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5-Cooperluz\"/>
    </mc:Choice>
  </mc:AlternateContent>
  <xr:revisionPtr revIDLastSave="0" documentId="8_{59134128-CD84-4B53-BF06-EB1BDB81B359}" xr6:coauthVersionLast="47" xr6:coauthVersionMax="47" xr10:uidLastSave="{00000000-0000-0000-0000-000000000000}"/>
  <bookViews>
    <workbookView xWindow="-120" yWindow="-120" windowWidth="29040" windowHeight="15840" tabRatio="725" firstSheet="10" activeTab="15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PIS_COFINS" sheetId="140" r:id="rId18"/>
    <sheet name="ICMS" sheetId="137" r:id="rId19"/>
    <sheet name="Financeiros Mitigação" sheetId="139" r:id="rId20"/>
    <sheet name="CVE" sheetId="135" r:id="rId21"/>
    <sheet name="Conta covid" sheetId="131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BD-NET" sheetId="49" r:id="rId29"/>
    <sheet name="Sharepoint" sheetId="121" state="hidden" r:id="rId30"/>
    <sheet name="COEFICIENTES" sheetId="102" state="hidden" r:id="rId31"/>
    <sheet name="REN 473" sheetId="95" state="hidden" r:id="rId32"/>
    <sheet name="ERD" sheetId="94" state="hidden" r:id="rId33"/>
    <sheet name="Glossário Vínculos" sheetId="85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\zx\zx\zx\" localSheetId="17" hidden="1">{#N/A,#N/A,FALSE,"CONTROLE";#N/A,#N/A,FALSE,"CONTROLE"}</definedName>
    <definedName name="\zx\zx\zx\" hidden="1">{#N/A,#N/A,FALSE,"CONTROLE";#N/A,#N/A,FALSE,"CONTROLE"}</definedName>
    <definedName name="__________ep1" localSheetId="17" hidden="1">{#N/A,#N/A,FALSE,"CONTROLE"}</definedName>
    <definedName name="__________ep1" hidden="1">{#N/A,#N/A,FALSE,"CONTROLE"}</definedName>
    <definedName name="__________r" localSheetId="17" hidden="1">{#N/A,#N/A,FALSE,"CONTROLE"}</definedName>
    <definedName name="__________r" hidden="1">{#N/A,#N/A,FALSE,"CONTROLE"}</definedName>
    <definedName name="__________yh7" localSheetId="17" hidden="1">{#N/A,#N/A,FALSE,"CONTROLE";#N/A,#N/A,FALSE,"CONTROLE"}</definedName>
    <definedName name="__________yh7" hidden="1">{#N/A,#N/A,FALSE,"CONTROLE";#N/A,#N/A,FALSE,"CONTROLE"}</definedName>
    <definedName name="________ep1" localSheetId="17" hidden="1">{#N/A,#N/A,FALSE,"CONTROLE"}</definedName>
    <definedName name="________ep1" hidden="1">{#N/A,#N/A,FALSE,"CONTROLE"}</definedName>
    <definedName name="________r" localSheetId="17" hidden="1">{#N/A,#N/A,FALSE,"CONTROLE"}</definedName>
    <definedName name="________r" hidden="1">{#N/A,#N/A,FALSE,"CONTROLE"}</definedName>
    <definedName name="________yh7" localSheetId="17" hidden="1">{#N/A,#N/A,FALSE,"CONTROLE";#N/A,#N/A,FALSE,"CONTROLE"}</definedName>
    <definedName name="________yh7" hidden="1">{#N/A,#N/A,FALSE,"CONTROLE";#N/A,#N/A,FALSE,"CONTROLE"}</definedName>
    <definedName name="______ep1" localSheetId="17" hidden="1">{#N/A,#N/A,FALSE,"CONTROLE"}</definedName>
    <definedName name="______ep1" hidden="1">{#N/A,#N/A,FALSE,"CONTROLE"}</definedName>
    <definedName name="______r" localSheetId="17" hidden="1">{#N/A,#N/A,FALSE,"CONTROLE"}</definedName>
    <definedName name="______r" hidden="1">{#N/A,#N/A,FALSE,"CONTROLE"}</definedName>
    <definedName name="______yh7" localSheetId="17" hidden="1">{#N/A,#N/A,FALSE,"CONTROLE";#N/A,#N/A,FALSE,"CONTROLE"}</definedName>
    <definedName name="______yh7" hidden="1">{#N/A,#N/A,FALSE,"CONTROLE";#N/A,#N/A,FALSE,"CONTROLE"}</definedName>
    <definedName name="_____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7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7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7" hidden="1">{#N/A,#N/A,FALSE,"CONTROLE"}</definedName>
    <definedName name="_____r" hidden="1">{#N/A,#N/A,FALSE,"CONTROLE"}</definedName>
    <definedName name="_____yh7" localSheetId="17" hidden="1">{#N/A,#N/A,FALSE,"CONTROLE";#N/A,#N/A,FALSE,"CONTROLE"}</definedName>
    <definedName name="_____yh7" hidden="1">{#N/A,#N/A,FALSE,"CONTROLE";#N/A,#N/A,FALSE,"CONTROLE"}</definedName>
    <definedName name="____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7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7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7" hidden="1">{#N/A,#N/A,FALSE,"CONTROLE"}</definedName>
    <definedName name="____ep1" hidden="1">{#N/A,#N/A,FALSE,"CONTROLE"}</definedName>
    <definedName name="____FT08" hidden="1">"3OYHDJRF05V1IN1D1R6C32J5E"</definedName>
    <definedName name="____r" localSheetId="17" hidden="1">{#N/A,#N/A,FALSE,"CONTROLE"}</definedName>
    <definedName name="____r" hidden="1">{#N/A,#N/A,FALSE,"CONTROLE"}</definedName>
    <definedName name="____yh7" localSheetId="17" hidden="1">{#N/A,#N/A,FALSE,"CONTROLE";#N/A,#N/A,FALSE,"CONTROLE"}</definedName>
    <definedName name="____yh7" hidden="1">{#N/A,#N/A,FALSE,"CONTROLE";#N/A,#N/A,FALSE,"CONTROLE"}</definedName>
    <definedName name="___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7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7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7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7" hidden="1">[2]Mercado!#REF!</definedName>
    <definedName name="__123Graph_A" localSheetId="8" hidden="1">[2]Mercado!#REF!</definedName>
    <definedName name="__123Graph_A" hidden="1">[2]Mercado!#REF!</definedName>
    <definedName name="__123Graph_ACOMPARA" localSheetId="17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20" hidden="1">#REF!</definedName>
    <definedName name="__123Graph_APREVRCOM" localSheetId="17" hidden="1">#REF!</definedName>
    <definedName name="__123Graph_APREVRCOM" localSheetId="8" hidden="1">#REF!</definedName>
    <definedName name="__123Graph_APREVRCOM" hidden="1">#REF!</definedName>
    <definedName name="__123Graph_APREVREALI" localSheetId="20" hidden="1">#REF!</definedName>
    <definedName name="__123Graph_APREVREALI" localSheetId="8" hidden="1">#REF!</definedName>
    <definedName name="__123Graph_APREVREALI" hidden="1">#REF!</definedName>
    <definedName name="__123Graph_APREVRIND" localSheetId="20" hidden="1">#REF!</definedName>
    <definedName name="__123Graph_APREVRIND" localSheetId="8" hidden="1">#REF!</definedName>
    <definedName name="__123Graph_APREVRIND" hidden="1">#REF!</definedName>
    <definedName name="__123Graph_APREVROUT" localSheetId="20" hidden="1">[2]Mercado!#REF!</definedName>
    <definedName name="__123Graph_APREVROUT" localSheetId="17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20" hidden="1">#REF!</definedName>
    <definedName name="__123Graph_APREVRRES" localSheetId="17" hidden="1">#REF!</definedName>
    <definedName name="__123Graph_APREVRRES" localSheetId="8" hidden="1">#REF!</definedName>
    <definedName name="__123Graph_APREVRRES" hidden="1">#REF!</definedName>
    <definedName name="__123Graph_APREVRTOT" localSheetId="20" hidden="1">#REF!</definedName>
    <definedName name="__123Graph_APREVRTOT" localSheetId="8" hidden="1">#REF!</definedName>
    <definedName name="__123Graph_APREVRTOT" hidden="1">#REF!</definedName>
    <definedName name="__123Graph_B" localSheetId="20" hidden="1">#REF!</definedName>
    <definedName name="__123Graph_B" localSheetId="8" hidden="1">#REF!</definedName>
    <definedName name="__123Graph_B" hidden="1">#REF!</definedName>
    <definedName name="__123Graph_BCOMPARA" localSheetId="20" hidden="1">#REF!</definedName>
    <definedName name="__123Graph_BCOMPARA" localSheetId="8" hidden="1">#REF!</definedName>
    <definedName name="__123Graph_BCOMPARA" hidden="1">#REF!</definedName>
    <definedName name="__123Graph_BGAS" localSheetId="17" hidden="1">[6]Detail!#REF!</definedName>
    <definedName name="__123Graph_BGAS" hidden="1">[6]Detail!#REF!</definedName>
    <definedName name="__123Graph_BGERAL" localSheetId="20" hidden="1">[5]MENSAL!#REF!</definedName>
    <definedName name="__123Graph_BGERAL" localSheetId="17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20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20" hidden="1">#REF!</definedName>
    <definedName name="__123Graph_BPREVREALI" localSheetId="17" hidden="1">#REF!</definedName>
    <definedName name="__123Graph_BPREVREALI" localSheetId="8" hidden="1">#REF!</definedName>
    <definedName name="__123Graph_BPREVREALI" hidden="1">#REF!</definedName>
    <definedName name="__123Graph_C" localSheetId="20" hidden="1">[5]MENSAL!#REF!</definedName>
    <definedName name="__123Graph_C" localSheetId="17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20" hidden="1">#REF!</definedName>
    <definedName name="__123Graph_CPREVREALI" localSheetId="17" hidden="1">#REF!</definedName>
    <definedName name="__123Graph_CPREVREALI" localSheetId="8" hidden="1">#REF!</definedName>
    <definedName name="__123Graph_CPREVREALI" hidden="1">#REF!</definedName>
    <definedName name="__123Graph_D" localSheetId="20" hidden="1">#REF!</definedName>
    <definedName name="__123Graph_D" localSheetId="8" hidden="1">#REF!</definedName>
    <definedName name="__123Graph_D" hidden="1">#REF!</definedName>
    <definedName name="__123Graph_DCDI" localSheetId="20" hidden="1">[5]MENSAL!#REF!</definedName>
    <definedName name="__123Graph_DCDI" localSheetId="17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20" hidden="1">#REF!</definedName>
    <definedName name="__123Graph_DCOMPARA" localSheetId="17" hidden="1">#REF!</definedName>
    <definedName name="__123Graph_DCOMPARA" localSheetId="8" hidden="1">#REF!</definedName>
    <definedName name="__123Graph_DCOMPARA" hidden="1">#REF!</definedName>
    <definedName name="__123Graph_DGERAL" localSheetId="20" hidden="1">[5]MENSAL!#REF!</definedName>
    <definedName name="__123Graph_DGERAL" localSheetId="17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20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20" hidden="1">#REF!</definedName>
    <definedName name="__123Graph_EPREVREALI" localSheetId="17" hidden="1">#REF!</definedName>
    <definedName name="__123Graph_EPREVREALI" localSheetId="8" hidden="1">#REF!</definedName>
    <definedName name="__123Graph_EPREVREALI" hidden="1">#REF!</definedName>
    <definedName name="__123Graph_F" localSheetId="20" hidden="1">#REF!</definedName>
    <definedName name="__123Graph_F" localSheetId="8" hidden="1">#REF!</definedName>
    <definedName name="__123Graph_F" hidden="1">#REF!</definedName>
    <definedName name="__123Graph_FCDI" localSheetId="20" hidden="1">[5]MENSAL!#REF!</definedName>
    <definedName name="__123Graph_FCDI" localSheetId="17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20" hidden="1">#REF!</definedName>
    <definedName name="__123Graph_FCOMPARA" localSheetId="17" hidden="1">#REF!</definedName>
    <definedName name="__123Graph_FCOMPARA" localSheetId="8" hidden="1">#REF!</definedName>
    <definedName name="__123Graph_FCOMPARA" hidden="1">#REF!</definedName>
    <definedName name="__123Graph_FGERAL" localSheetId="20" hidden="1">[5]MENSAL!#REF!</definedName>
    <definedName name="__123Graph_FGERAL" localSheetId="17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20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7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7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7" hidden="1">{#N/A,#N/A,FALSE,"CONTROLE"}</definedName>
    <definedName name="__ep1" hidden="1">{#N/A,#N/A,FALSE,"CONTROLE"}</definedName>
    <definedName name="__FT08" hidden="1">"3OYHDJRF05V1IN1D1R6C32J5E"</definedName>
    <definedName name="__r" localSheetId="17" hidden="1">{#N/A,#N/A,FALSE,"CONTROLE"}</definedName>
    <definedName name="__r" hidden="1">{#N/A,#N/A,FALSE,"CONTROLE"}</definedName>
    <definedName name="__yh7" localSheetId="17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7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7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7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7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7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7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7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7" hidden="1">#REF!</definedName>
    <definedName name="_AMO_SingleObject_630089467_ROM_F0.SEC2.Print_1.SEC1.BDY.Data_Set_WORK_PARCELABBADNET" hidden="1">#REF!</definedName>
    <definedName name="_AMO_SingleObject_630089467_ROM_F0.SEC2.Print_1.SEC1.HDR.TXT1" localSheetId="17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7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7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7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7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7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7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7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7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0" hidden="1">#REF!</definedName>
    <definedName name="_Fill" localSheetId="17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3" hidden="1">BDCOVID!$A$1:$AH$497</definedName>
    <definedName name="_xlnm._FilterDatabase" localSheetId="28" hidden="1">'BD-NET'!$A$1:$P$179</definedName>
    <definedName name="_xlnm._FilterDatabase" localSheetId="6" hidden="1">CAPA!$A:$H</definedName>
    <definedName name="_xlnm._FilterDatabase" localSheetId="30" hidden="1">COEFICIENTES!$D$20:$M$124</definedName>
    <definedName name="_xlnm._FilterDatabase" localSheetId="14" hidden="1">CUSD!$A:$H</definedName>
    <definedName name="_xlnm._FilterDatabase" localSheetId="20" hidden="1">#REF!</definedName>
    <definedName name="_xlnm._FilterDatabase" localSheetId="11" hidden="1">Energia!$A:$H</definedName>
    <definedName name="_xlnm._FilterDatabase" localSheetId="4" hidden="1">Faturas!$AB$1:$AE$281</definedName>
    <definedName name="_xlnm._FilterDatabase" localSheetId="27" hidden="1">Índices!$B$6:$F$500</definedName>
    <definedName name="_xlnm._FilterDatabase" localSheetId="17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20" hidden="1">#REF!</definedName>
    <definedName name="_Key1" localSheetId="17" hidden="1">#REF!</definedName>
    <definedName name="_Key1" localSheetId="8" hidden="1">#REF!</definedName>
    <definedName name="_Key1" hidden="1">#REF!</definedName>
    <definedName name="_Key2" hidden="1">#REF!</definedName>
    <definedName name="_MEN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7" hidden="1">#REF!</definedName>
    <definedName name="_p55" hidden="1">#REF!</definedName>
    <definedName name="_PP12" localSheetId="17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0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20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localSheetId="17" hidden="1">#REF!</definedName>
    <definedName name="_Regression_Y" hidden="1">#REF!</definedName>
    <definedName name="_s1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0" hidden="1">#REF!</definedName>
    <definedName name="_Sort" localSheetId="17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7" hidden="1">{#N/A,#N/A,FALSE,"CONTROLE";#N/A,#N/A,FALSE,"CONTROLE"}</definedName>
    <definedName name="_yh7" hidden="1">{#N/A,#N/A,FALSE,"CONTROLE";#N/A,#N/A,FALSE,"CONTROLE"}</definedName>
    <definedName name="A" localSheetId="20" hidden="1">{#N/A,#N/A,FALSE,"ENERGIA";#N/A,#N/A,FALSE,"PERDIDAS";#N/A,#N/A,FALSE,"CLIENTES";#N/A,#N/A,FALSE,"ESTADO";#N/A,#N/A,FALSE,"TECNICA"}</definedName>
    <definedName name="A" localSheetId="17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7" hidden="1">{#N/A,#N/A,FALSE,"CONTROLE";#N/A,#N/A,FALSE,"CONTROLE"}</definedName>
    <definedName name="a_" hidden="1">{#N/A,#N/A,FALSE,"CONTROLE";#N/A,#N/A,FALSE,"CONTROLE"}</definedName>
    <definedName name="a4e4" localSheetId="17" hidden="1">{#N/A,#N/A,FALSE,"CONTROLE"}</definedName>
    <definedName name="a4e4" hidden="1">{#N/A,#N/A,FALSE,"CONTROLE"}</definedName>
    <definedName name="abc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7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localSheetId="17" hidden="1">{#N/A,#N/A,FALSE,"CONTROLE"}</definedName>
    <definedName name="aplicação" hidden="1">{#N/A,#N/A,FALSE,"CONTROLE"}</definedName>
    <definedName name="aplicação_" localSheetId="17" hidden="1">{#N/A,#N/A,FALSE,"CONTROLE"}</definedName>
    <definedName name="aplicação_" hidden="1">{#N/A,#N/A,FALSE,"CONTROLE"}</definedName>
    <definedName name="_xlnm.Extract" localSheetId="4">Faturas!$O:$V</definedName>
    <definedName name="aretret" localSheetId="17" hidden="1">{#N/A,#N/A,FALSE,"CONTROLE"}</definedName>
    <definedName name="aretret" hidden="1">{#N/A,#N/A,FALSE,"CONTROLE"}</definedName>
    <definedName name="artret" localSheetId="17" hidden="1">{#N/A,#N/A,FALSE,"CONTROLE";#N/A,#N/A,FALSE,"CONTROLE"}</definedName>
    <definedName name="artret" hidden="1">{#N/A,#N/A,FALSE,"CONTROLE";#N/A,#N/A,FALSE,"CONTROLE"}</definedName>
    <definedName name="as" localSheetId="17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7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7" hidden="1">{#N/A,#N/A,FALSE,"CONTROLE"}</definedName>
    <definedName name="asdadsada" hidden="1">{#N/A,#N/A,FALSE,"CONTROLE"}</definedName>
    <definedName name="asdf" localSheetId="17" hidden="1">{#N/A,#N/A,FALSE,"CONTROLE"}</definedName>
    <definedName name="asdf" hidden="1">{#N/A,#N/A,FALSE,"CONTROLE"}</definedName>
    <definedName name="asfaf" localSheetId="17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0" hidden="1">[2]Mercado!#REF!</definedName>
    <definedName name="B" localSheetId="17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0" hidden="1">#REF!</definedName>
    <definedName name="BANCO1" localSheetId="17" hidden="1">#REF!</definedName>
    <definedName name="BANCO1" localSheetId="8" hidden="1">#REF!</definedName>
    <definedName name="BANCO1" hidden="1">#REF!</definedName>
    <definedName name="bb" localSheetId="20" hidden="1">{#N/A,#N/A,FALSE,"ENERGIA";#N/A,#N/A,FALSE,"PERDIDAS";#N/A,#N/A,FALSE,"CLIENTES";#N/A,#N/A,FALSE,"ESTADO";#N/A,#N/A,FALSE,"TECNICA"}</definedName>
    <definedName name="bb" localSheetId="17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7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7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7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7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7" hidden="1">{#N/A,#N/A,FALSE,"CONTROLE"}</definedName>
    <definedName name="cgico" hidden="1">{#N/A,#N/A,FALSE,"CONTROLE"}</definedName>
    <definedName name="Chico" localSheetId="17" hidden="1">{#N/A,#N/A,FALSE,"CONTROLE"}</definedName>
    <definedName name="Chico" hidden="1">{#N/A,#N/A,FALSE,"CONTROLE"}</definedName>
    <definedName name="Chico_" localSheetId="17" hidden="1">{#N/A,#N/A,FALSE,"CONTROLE"}</definedName>
    <definedName name="Chico_" hidden="1">{#N/A,#N/A,FALSE,"CONTROLE"}</definedName>
    <definedName name="Chico__" localSheetId="17" hidden="1">{#N/A,#N/A,FALSE,"CONTROLE"}</definedName>
    <definedName name="Chico__" hidden="1">{#N/A,#N/A,FALSE,"CONTROLE"}</definedName>
    <definedName name="Chico___" localSheetId="17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7" hidden="1">{#N/A,#N/A,FALSE,"CONTROLE";#N/A,#N/A,FALSE,"CONTROLE"}</definedName>
    <definedName name="comp.SP.pag.4.PIRA" hidden="1">{#N/A,#N/A,FALSE,"CONTROLE";#N/A,#N/A,FALSE,"CONTROLE"}</definedName>
    <definedName name="conferencia" localSheetId="17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7" hidden="1">{#N/A,#N/A,FALSE,"CONTROLE"}</definedName>
    <definedName name="COPIA" hidden="1">{#N/A,#N/A,FALSE,"CONTROLE"}</definedName>
    <definedName name="COPIA1" localSheetId="17" hidden="1">{#N/A,#N/A,FALSE,"CONTROLE"}</definedName>
    <definedName name="COPIA1" hidden="1">{#N/A,#N/A,FALSE,"CONTROLE"}</definedName>
    <definedName name="_xlnm.Criteria" localSheetId="4">Faturas!$J$1:$M$5</definedName>
    <definedName name="cust" localSheetId="17" hidden="1">{#N/A,#N/A,FALSE,"CONTROLE"}</definedName>
    <definedName name="cust" hidden="1">{#N/A,#N/A,FALSE,"CONTROLE"}</definedName>
    <definedName name="cv" localSheetId="17" hidden="1">{#N/A,#N/A,FALSE,"CONTROLE"}</definedName>
    <definedName name="cv" hidden="1">{#N/A,#N/A,FALSE,"CONTROLE"}</definedName>
    <definedName name="cvcvxvxcvxcvxcv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7" hidden="1">{#N/A,#N/A,FALSE,"CONTROLE"}</definedName>
    <definedName name="DASDA" hidden="1">{#N/A,#N/A,FALSE,"CONTROLE"}</definedName>
    <definedName name="data_adit_contratual">'[10]Encargo Uso RB'!$N$2</definedName>
    <definedName name="DataRevRea" localSheetId="8">CAPA!$C$15</definedName>
    <definedName name="DataRevRea">CAPA!$C$15</definedName>
    <definedName name="DCC" localSheetId="17" hidden="1">{#N/A,#N/A,FALSE,"CONTROLE"}</definedName>
    <definedName name="DCC" hidden="1">{#N/A,#N/A,FALSE,"CONTROLE"}</definedName>
    <definedName name="dddd" localSheetId="17" hidden="1">{#N/A,#N/A,FALSE,"CONTROLE";#N/A,#N/A,FALSE,"CONTROLE"}</definedName>
    <definedName name="dddd" hidden="1">{#N/A,#N/A,FALSE,"CONTROLE";#N/A,#N/A,FALSE,"CONTROLE"}</definedName>
    <definedName name="dddddddddddddddddddd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7" hidden="1">{#N/A,#N/A,FALSE,"CONTROLE"}</definedName>
    <definedName name="ddsds" hidden="1">{#N/A,#N/A,FALSE,"CONTROLE"}</definedName>
    <definedName name="defw" localSheetId="17" hidden="1">{#N/A,#N/A,FALSE,"CONTROLE";#N/A,#N/A,FALSE,"CONTROLE"}</definedName>
    <definedName name="defw" hidden="1">{#N/A,#N/A,FALSE,"CONTROLE";#N/A,#N/A,FALSE,"CONTROLE"}</definedName>
    <definedName name="departamentos" localSheetId="17" hidden="1">{#N/A,#N/A,FALSE,"CONTROLE";#N/A,#N/A,FALSE,"CONTROLE"}</definedName>
    <definedName name="departamentos" hidden="1">{#N/A,#N/A,FALSE,"CONTROLE";#N/A,#N/A,FALSE,"CONTROLE"}</definedName>
    <definedName name="df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7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7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0" hidden="1">[2]Mercado!#REF!</definedName>
    <definedName name="E" localSheetId="17" hidden="1">[2]Mercado!#REF!</definedName>
    <definedName name="e" hidden="1">{#N/A,#N/A,FALSE,"ENERGIA";#N/A,#N/A,FALSE,"PERDIDAS";#N/A,#N/A,FALSE,"CLIENTES";#N/A,#N/A,FALSE,"ESTADO";#N/A,#N/A,FALSE,"TECNICA"}</definedName>
    <definedName name="EAEEE" localSheetId="17" hidden="1">{#N/A,#N/A,FALSE,"CONTROLE";#N/A,#N/A,FALSE,"CONTROLE"}</definedName>
    <definedName name="EAEEE" hidden="1">{#N/A,#N/A,FALSE,"CONTROLE";#N/A,#N/A,FALSE,"CONTROLE"}</definedName>
    <definedName name="ee" localSheetId="17" hidden="1">{#N/A,#N/A,FALSE,"CONTROLE"}</definedName>
    <definedName name="ee" hidden="1">{#N/A,#N/A,FALSE,"CONTROLE"}</definedName>
    <definedName name="efi" localSheetId="17" hidden="1">{#N/A,#N/A,FALSE,"CONTROLE"}</definedName>
    <definedName name="efi" hidden="1">{#N/A,#N/A,FALSE,"CONTROLE"}</definedName>
    <definedName name="eficiencia" localSheetId="17" hidden="1">{#N/A,#N/A,FALSE,"CONTROLE"}</definedName>
    <definedName name="eficiencia" hidden="1">{#N/A,#N/A,FALSE,"CONTROLE"}</definedName>
    <definedName name="ENERTRADE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20" hidden="1">#REF!</definedName>
    <definedName name="F" localSheetId="17" hidden="1">#REF!</definedName>
    <definedName name="F" hidden="1">{#N/A,#N/A,FALSE,"ENERGIA";#N/A,#N/A,FALSE,"PERDIDAS";#N/A,#N/A,FALSE,"CLIENTES";#N/A,#N/A,FALSE,"ESTADO";#N/A,#N/A,FALSE,"TECNICA"}</definedName>
    <definedName name="fa" localSheetId="17" hidden="1">{#N/A,#N/A,FALSE,"CONTROLE"}</definedName>
    <definedName name="fa" hidden="1">{#N/A,#N/A,FALSE,"CONTROLE"}</definedName>
    <definedName name="fasdfasfasdfsd">[11]VPB1!$F$39</definedName>
    <definedName name="fdfds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7" hidden="1">{#N/A,#N/A,FALSE,"CONTROLE";#N/A,#N/A,FALSE,"CONTROLE"}</definedName>
    <definedName name="fevcpflr" hidden="1">{#N/A,#N/A,FALSE,"CONTROLE";#N/A,#N/A,FALSE,"CONTROLE"}</definedName>
    <definedName name="ff" localSheetId="20" hidden="1">{#N/A,#N/A,FALSE,"ENERGIA";#N/A,#N/A,FALSE,"PERDIDAS";#N/A,#N/A,FALSE,"CLIENTES";#N/A,#N/A,FALSE,"ESTADO";#N/A,#N/A,FALSE,"TECNICA"}</definedName>
    <definedName name="ff" localSheetId="17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7" hidden="1">{#N/A,#N/A,FALSE,"CONTROLE"}</definedName>
    <definedName name="fgfghtfhjgh" hidden="1">{#N/A,#N/A,FALSE,"CONTROLE"}</definedName>
    <definedName name="FinanceiroSuprimento" localSheetId="17">[12]Suprimento!$F$34</definedName>
    <definedName name="FinanceiroSuprimento">[13]Suprimento!$F$34</definedName>
    <definedName name="fornecimento" localSheetId="17" hidden="1">{#N/A,#N/A,FALSE,"CONTROLE"}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localSheetId="17" hidden="1">{#N/A,#N/A,FALSE,"CONTROLE"}</definedName>
    <definedName name="frr" hidden="1">{#N/A,#N/A,FALSE,"CONTROLE"}</definedName>
    <definedName name="fx" localSheetId="20" hidden="1">{#N/A,#N/A,FALSE,"ENERGIA";#N/A,#N/A,FALSE,"PERDIDAS";#N/A,#N/A,FALSE,"CLIENTES";#N/A,#N/A,FALSE,"ESTADO";#N/A,#N/A,FALSE,"TECNICA"}</definedName>
    <definedName name="fx" localSheetId="17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7" hidden="1">#REF!</definedName>
    <definedName name="G" hidden="1">#REF!</definedName>
    <definedName name="gbvergtrgfv" localSheetId="17" hidden="1">{#N/A,#N/A,FALSE,"CONTROLE";#N/A,#N/A,FALSE,"CONTROLE"}</definedName>
    <definedName name="gbvergtrgfv" hidden="1">{#N/A,#N/A,FALSE,"CONTROLE";#N/A,#N/A,FALSE,"CONTROLE"}</definedName>
    <definedName name="ger" localSheetId="17" hidden="1">{#N/A,#N/A,FALSE,"CONTROLE"}</definedName>
    <definedName name="ger" hidden="1">{#N/A,#N/A,FALSE,"CONTROLE"}</definedName>
    <definedName name="gerencial" localSheetId="17" hidden="1">{#N/A,#N/A,FALSE,"CONTROLE"}</definedName>
    <definedName name="gerencial" hidden="1">{#N/A,#N/A,FALSE,"CONTROLE"}</definedName>
    <definedName name="gfgsdfrytwcfrycRV" localSheetId="17" hidden="1">{#N/A,#N/A,FALSE,"CONTROLE";#N/A,#N/A,FALSE,"CONTROLE"}</definedName>
    <definedName name="gfgsdfrytwcfrycRV" hidden="1">{#N/A,#N/A,FALSE,"CONTROLE";#N/A,#N/A,FALSE,"CONTROLE"}</definedName>
    <definedName name="gjhyd" localSheetId="17" hidden="1">{#N/A,#N/A,FALSE,"CONTROLE"}</definedName>
    <definedName name="gjhyd" hidden="1">{#N/A,#N/A,FALSE,"CONTROLE"}</definedName>
    <definedName name="gkjf" localSheetId="17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7" hidden="1">{#N/A,#N/A,FALSE,"CONTROLE"}</definedName>
    <definedName name="Grafico" hidden="1">{#N/A,#N/A,FALSE,"CONTROLE"}</definedName>
    <definedName name="GraphRepasse">'Tabelas e Gráficos'!$BA$267:$BI$274</definedName>
    <definedName name="GT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 localSheetId="17">BD!$B$8:$C$38,BD!$C$40:$C$43,BD!$C$45:$C$46,BD!$B$47:$C$48,BD!$B$50:$C$53,BD!$G$8:$I$19,BD!$G$24:$H$29,BD!$G$36:$H$39,BD!$G$43:$H$44,BD!$G$47:$H$50,BD!$G$53:$H$56,BD!$B$59:$H$62,BD!$B$67:$G$81,BD!$L$8:$O$9,BD!$L$12:$M$21,BD!$L$23:$P$34,BD!$L$37:$P$48,BD!$L$51:$O$54,BD!$L$57:$M$60,BD!$L$67:$M$73,BD!$L$63:$M$63,BD!$O$67:$P$78,BD!$I$87:$O$108,BD!$I$112:$N$132,BD!$B$86:$G$132,BD!$S$8:$V$82,BD!$A$141:$T$439,BD!$B$442:$J$456,BD!$B$553:$H$553,BD!$B$459:$E$546,BD!$G$459:$K$477,TabRIAnt,BD!$S$87:$T$116,BD!$S$121:$T$123,TabMercado6,TabPID,Tab_CVA_Neutralidade,TabFinanCovid[],TabCVA_Neutralidade_Covid, Tab_CUSTOS_BE_FR_ONS_T</definedName>
    <definedName name="GTIFPastaBD">[13]BD!$B$8:$C$38,[13]BD!$C$40:$C$43,[13]BD!$C$45:$C$46,[13]BD!$B$47:$C$48,[13]BD!$B$50:$C$53,[13]BD!$G$8:$I$19,[13]BD!$G$24:$H$29,[13]BD!$G$36:$H$39,[13]BD!$G$43:$H$44,[13]BD!$G$47:$H$50,[13]BD!$G$53:$H$56,[13]BD!$B$59:$H$62,[13]BD!$B$67:$G$81,[13]BD!$L$8:$O$9,[13]BD!$L$12:$M$21,[13]BD!$L$23:$P$34,[13]BD!$L$37:$P$48,[13]BD!$L$51:$O$54,[13]BD!$L$57:$M$60,[13]BD!$L$67:$M$73,[13]BD!$L$63:$M$63,[13]BD!$O$67:$P$78,[13]BD!$I$87:$O$108,[13]BD!$I$112:$N$132,[13]BD!$B$86:$G$132,[13]BD!$S$8:$V$82,[13]BD!$A$141:$T$439,[13]BD!$B$442:$J$456,[13]BD!$B$553:$H$553,[13]BD!$B$459:$E$546,[13]BD!$G$459:$K$477,[13]!TabRIAnt[#Data],[13]BD!$S$87:$T$116,[13]BD!$S$121:$T$123,[13]!TabMercado6[#Data],[13]!TabPID[#Data],[13]!Tab_CVA_Neutralidade[#Data],[13]!TabFinanCovid[#Data],[13]!TabCVA_Neutralidade_Covid[#Data]</definedName>
    <definedName name="GTIFPastaCapa" localSheetId="17">CAPA!$G$8,CAPA!$G$16,CAPA!$G$21:$G$27</definedName>
    <definedName name="GTIFPastaCapa">[13]CAPA!$G$8,[13]CAPA!$G$16,[13]CAPA!$G$21:$G$27</definedName>
    <definedName name="GTIFPastaCUSD" localSheetId="17">CUSD!$C$38:$C$39,CUSD!$C$42:$E$43,CUSD!$H$39:$R$50,CUSD!$E$49,CUSD!$C$53:$C$54,CUSD!$C$57:$E$58,CUSD!$E$64,CUSD!$H$54:$R$65,CUSD!$C$68:$C$69,CUSD!$C$72:$E$73,CUSD!$E$79,CUSD!$H$69:$R$80,CUSD!$C$83:$C$84,CUSD!$C$87:$E$88,CUSD!$E$94,CUSD!$H$84:$R$95,CUSD!$C$98:$C$99,CUSD!$C$102:$E$103,CUSD!$E$109,CUSD!$H$99:$R$110,CUSD!$C$113:$C$114,CUSD!$C$117:$E$118,CUSD!$E$124,CUSD!$H$114:$R$125,CUSD!$C$128:$C$129,CUSD!$C$132:$E$133,CUSD!$E$139,CUSD!$H$129:$R$140,CUSD!$C$143:$C$144,CUSD!$C$147:$E$148,CUSD!$E$154,CUSD!$H$144:$R$155,CUSD!$C$158:$C$159,CUSD!$C$162:$E$163,CUSD!$E$169,CUSD!$H$159:$R$170,CUSD!$C$173:$C$174,CUSD!$C$177:$E$178,CUSD!$E$184,CUSD!$H$174:$R$185</definedName>
    <definedName name="GTIFPastaCUSD">[13]CUSD!$C$38:$C$39,[13]CUSD!$C$42:$E$43,[13]CUSD!$H$39:$R$50,[13]CUSD!$E$49,[13]CUSD!$C$53:$C$54,[13]CUSD!$C$57:$E$58,[13]CUSD!$E$64,[13]CUSD!$H$54:$R$65,[13]CUSD!$C$68:$C$69,[13]CUSD!$C$72:$E$73,[13]CUSD!$E$79,[13]CUSD!$H$69:$R$80,[13]CUSD!$C$83:$C$84,[13]CUSD!$C$87:$E$88,[13]CUSD!$E$94,[13]CUSD!$H$84:$R$95,[13]CUSD!$C$98:$C$99,[13]CUSD!$C$102:$E$103,[13]CUSD!$E$109,[13]CUSD!$H$99:$R$110,[13]CUSD!$C$113:$C$114,[13]CUSD!$C$117:$E$118,[13]CUSD!$E$124,[13]CUSD!$H$114:$R$125,[13]CUSD!$C$128:$C$129,[13]CUSD!$C$132:$E$133,[13]CUSD!$E$139,[13]CUSD!$H$129:$R$140,[13]CUSD!$C$143:$C$144,[13]CUSD!$C$147:$E$148,[13]CUSD!$E$154,[13]CUSD!$H$144:$R$155,[13]CUSD!$C$158:$C$159,[13]CUSD!$C$162:$E$163,[13]CUSD!$E$169,[13]CUSD!$H$159:$R$170,[13]CUSD!$C$173:$C$174,[13]CUSD!$C$177:$E$178,[13]CUSD!$E$184,[13]CUSD!$H$174:$R$185</definedName>
    <definedName name="GTIFPastaCVA" localSheetId="17">[12]CVA!$C$9:$E$17,[12]CVA!$I$9:$I$9,[12]CVA!$D$24:$D$32,[12]CVA!$C$42,[12]CVA!$C$46,[12]CVA!$I$11:$I$14</definedName>
    <definedName name="GTIFPastaCVA">CVE!$C$9:$E$17,CVE!$I$9:$I$9,CVE!$D$24:$D$32,CVE!$C$42,CVE!$C$46,CVE!$I$11:$I$14</definedName>
    <definedName name="GTIFPastaEnergia" localSheetId="17">Energia!$B$49:$H$140,Energia!$B$145:$L$191,Energia!$C$35:$D$35,Energia!$C$40,Energia!$E$40</definedName>
    <definedName name="GTIFPastaEnergia">[13]Energia!$B$49:$H$140,[13]Energia!$B$145:$L$191,[13]Energia!$C$35:$D$35,[13]Energia!$C$40,[13]Energia!$E$40</definedName>
    <definedName name="GTIFPastaEntrada" localSheetId="17">[12]Entrada!$Q$8:$BD$29,[12]Entrada!$G$26:$G$30,[12]Entrada!$G$33:$G$34,[12]Entrada!$G$37:$G$41,[12]Entrada!$G$44:$G$54,[12]Entrada!$G$58:$G$67,[12]Entrada!$L$7:$M$7,[12]Entrada!$L$9:$M$17,[12]Entrada!$Q$32,[12]Entrada!$Q$35:$AB$43,[12]Entrada!$Q$46:$AB$47,[12]Entrada!$C$6:$C$10,[12]Entrada!$G$70:$G$74,[12]Entrada!$G$76,[12]Entrada!$G$78,[12]Entrada!$G$80,[12]Entrada!$G$82,[12]Entrada!$G$83,[12]Entrada!$G$86,[12]Entrada!$G$87,[12]Entrada!$G$91:$G$110,[12]Entrada!$L$20:$M$22,[12]Entrada!$L$25:$M$37,[12]Entrada!$L$40:$M$42,[12]Entrada!$L$45:$M$45,[12]Entrada!$L$48:$M$53,[12]Entrada!$L$56:$M$59, [12]Entrada!$Q$58:$AI$59, [12]Entrada!$Q$53, [12]Entrada!$Q$54</definedName>
    <definedName name="GTIFPastaEntrada">[13]Entrada!$Q$8:$BD$29,[13]Entrada!$G$27:$G$31,[13]Entrada!$G$33:$G$34,[13]Entrada!$G$37:$G$41,[13]Entrada!$G$44:$G$54,[13]Entrada!$G$58:$G$67,[13]Entrada!$L$7:$M$7,[13]Entrada!$L$9:$M$17,[13]Entrada!$Q$32,[13]Entrada!$Q$35:$AB$43,[13]Entrada!$Q$46:$AB$47,[13]Entrada!$C$6:$C$10,[13]Entrada!$G$70:$G$74,[13]Entrada!$G$76,[13]Entrada!$G$78,[13]Entrada!$G$80,[13]Entrada!$G$82,[13]Entrada!$G$83,[13]Entrada!$G$86,[13]Entrada!$G$87,[13]Entrada!$G$91:$G$110,[13]Entrada!$L$20:$M$22,[13]Entrada!$L$25:$M$37,[13]Entrada!$L$40:$M$42,[13]Entrada!$L$45:$M$45,[13]Entrada!$L$48:$M$53,[13]Entrada!$L$56:$M$59</definedName>
    <definedName name="GTIFPastaFinanceiros" localSheetId="17">Financeiros!$D$128:$D$128,Financeiros!$C$205:$D$209,Financeiros!$C$222:$D$335</definedName>
    <definedName name="GTIFPastaFinanceiros">[13]Financeiros!$D$128:$D$128,[13]Financeiros!$C$194:$D$335</definedName>
    <definedName name="GTIFPastaIndexador" localSheetId="17">Indexador!$E$95:$J$95,Indexador!$F$96,Indexador!$H$96,Indexador!$J$96,Indexador!$E$97:$E$116,Indexador!$G$97:$G$116,Indexador!$I$97:$I$116,Indexador!$F$121:$J$124,Indexador!$F$126:$J$126,Indexador!$C$143:$C$172</definedName>
    <definedName name="GTIFPastaIndexador">[13]Indexador!$E$95:$J$95,[13]Indexador!$F$96,[13]Indexador!$H$96,[13]Indexador!$J$96,[13]Indexador!$E$97:$E$116,[13]Indexador!$G$97:$G$116,[13]Indexador!$I$97:$I$116,[13]Indexador!$F$121:$J$124,[13]Indexador!$F$126:$J$126,[13]Indexador!$C$143:$C$172</definedName>
    <definedName name="GTIFPastaSuprimento" localSheetId="17">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#REF!,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,[12]Suprimento!#REF!</definedName>
    <definedName name="GTIFPastaSuprimento">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#REF!,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,[13]Suprimento!#REF!</definedName>
    <definedName name="Guapore" localSheetId="17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7" hidden="1">#REF!</definedName>
    <definedName name="H" hidden="1">#REF!</definedName>
    <definedName name="hghjhhgj" localSheetId="17" hidden="1">{#N/A,#N/A,FALSE,"CONTROLE";#N/A,#N/A,FALSE,"CONTROLE"}</definedName>
    <definedName name="hghjhhgj" hidden="1">{#N/A,#N/A,FALSE,"CONTROLE";#N/A,#N/A,FALSE,"CONTROLE"}</definedName>
    <definedName name="hjawt" localSheetId="17" hidden="1">{#N/A,#N/A,FALSE,"CONTROLE"}</definedName>
    <definedName name="hjawt" hidden="1">{#N/A,#N/A,FALSE,"CONTROLE"}</definedName>
    <definedName name="ht" localSheetId="17" hidden="1">{#N/A,#N/A,FALSE,"CONTROLE"}</definedName>
    <definedName name="ht" hidden="1">{#N/A,#N/A,FALSE,"CONTROLE"}</definedName>
    <definedName name="HTML_CodePage" hidden="1">1252</definedName>
    <definedName name="HTML_Control" localSheetId="17" hidden="1">{"'1998'!$B$2:$O$16"}</definedName>
    <definedName name="HTML_Control" hidden="1">{"'1998'!$B$2:$O$16"}</definedName>
    <definedName name="HTML_Control2" localSheetId="17" hidden="1">{"'DEC ou FEC'!$A$1:$O$132"}</definedName>
    <definedName name="HTML_Control2" hidden="1">{"'DEC ou FEC'!$A$1:$O$132"}</definedName>
    <definedName name="HTML_Control3" localSheetId="17" hidden="1">{"'DEC ou FEC'!$A$1:$O$132"}</definedName>
    <definedName name="HTML_Control3" hidden="1">{"'DEC ou FEC'!$A$1:$O$132"}</definedName>
    <definedName name="HTML_Control4" localSheetId="17" hidden="1">{"'DEC ou FEC'!$A$1:$O$132"}</definedName>
    <definedName name="HTML_Control4" hidden="1">{"'DEC ou FEC'!$A$1:$O$132"}</definedName>
    <definedName name="HTML_Control5" localSheetId="17" hidden="1">{"'DEC ou FEC'!$A$1:$O$132"}</definedName>
    <definedName name="HTML_Control5" hidden="1">{"'DEC ou FEC'!$A$1:$O$132"}</definedName>
    <definedName name="HTML_Control6" localSheetId="17" hidden="1">{"'DEC ou FEC'!$A$1:$O$132"}</definedName>
    <definedName name="HTML_Control6" hidden="1">{"'DEC ou FEC'!$A$1:$O$132"}</definedName>
    <definedName name="HTML_Control7" localSheetId="17" hidden="1">{"'DEC ou FEC'!$A$1:$O$132"}</definedName>
    <definedName name="HTML_Control7" hidden="1">{"'DEC ou FEC'!$A$1:$O$132"}</definedName>
    <definedName name="HTML_Control8" localSheetId="1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7" hidden="1">[2]Mercado!#REF!</definedName>
    <definedName name="I" hidden="1">[2]Mercado!#REF!</definedName>
    <definedName name="idagente">CAPA!$K$11</definedName>
    <definedName name="idsreag">CAPA!$K$10</definedName>
    <definedName name="im" localSheetId="20" hidden="1">{#N/A,#N/A,FALSE,"ENERGIA";#N/A,#N/A,FALSE,"PERDIDAS";#N/A,#N/A,FALSE,"CLIENTES";#N/A,#N/A,FALSE,"ESTADO";#N/A,#N/A,FALSE,"TECNICA"}</definedName>
    <definedName name="im" localSheetId="17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[14]Detail!#REF!</definedName>
    <definedName name="iukiikii" localSheetId="17" hidden="1">{#N/A,#N/A,FALSE,"CONTROLE"}</definedName>
    <definedName name="iukiikii" hidden="1">{#N/A,#N/A,FALSE,"CONTROLE"}</definedName>
    <definedName name="J" localSheetId="17" hidden="1">#REF!</definedName>
    <definedName name="J" hidden="1">#REF!</definedName>
    <definedName name="jd" localSheetId="17" hidden="1">{#N/A,#N/A,FALSE,"CONTROLE"}</definedName>
    <definedName name="jd" hidden="1">{#N/A,#N/A,FALSE,"CONTROLE"}</definedName>
    <definedName name="jhhgj" localSheetId="17" hidden="1">{#N/A,#N/A,FALSE,"CONTROLE"}</definedName>
    <definedName name="jhhgj" hidden="1">{#N/A,#N/A,FALSE,"CONTROLE"}</definedName>
    <definedName name="juu" localSheetId="17" hidden="1">{#N/A,#N/A,FALSE,"CONTROLE"}</definedName>
    <definedName name="juu" hidden="1">{#N/A,#N/A,FALSE,"CONTROLE"}</definedName>
    <definedName name="jyd" localSheetId="17" hidden="1">{#N/A,#N/A,FALSE,"CONTROLE"}</definedName>
    <definedName name="jyd" hidden="1">{#N/A,#N/A,FALSE,"CONTROLE"}</definedName>
    <definedName name="kico" localSheetId="17" hidden="1">{#N/A,#N/A,FALSE,"CONTROLE";#N/A,#N/A,FALSE,"CONTROLE"}</definedName>
    <definedName name="kico" hidden="1">{#N/A,#N/A,FALSE,"CONTROLE";#N/A,#N/A,FALSE,"CONTROLE"}</definedName>
    <definedName name="kiko" localSheetId="17" hidden="1">{#N/A,#N/A,FALSE,"CONTROLE";#N/A,#N/A,FALSE,"CONTROLE"}</definedName>
    <definedName name="kiko" hidden="1">{#N/A,#N/A,FALSE,"CONTROLE";#N/A,#N/A,FALSE,"CONTROLE"}</definedName>
    <definedName name="kiy" localSheetId="17" hidden="1">{#N/A,#N/A,FALSE,"CONTROLE"}</definedName>
    <definedName name="kiy" hidden="1">{#N/A,#N/A,FALSE,"CONTROLE"}</definedName>
    <definedName name="kjfhgjfj" localSheetId="17" hidden="1">{#N/A,#N/A,FALSE,"CONTROLE";#N/A,#N/A,FALSE,"CONTROLE"}</definedName>
    <definedName name="kjfhgjfj" hidden="1">{#N/A,#N/A,FALSE,"CONTROLE";#N/A,#N/A,FALSE,"CONTROLE"}</definedName>
    <definedName name="LEILA" localSheetId="17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7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[15]CAPA!$Q$62:$Q$65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localSheetId="17" hidden="1">{#N/A,#N/A,FALSE,"CONTROLE"}</definedName>
    <definedName name="Livres" hidden="1">{#N/A,#N/A,FALSE,"CONTROLE"}</definedName>
    <definedName name="LL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 localSheetId="17">Financeiros!#REF!</definedName>
    <definedName name="LnkTxEfeitoSobrecontratacao">[13]Financeiros!#REF!</definedName>
    <definedName name="LnkTxTAjusteCUST">Financeiros!$D$26</definedName>
    <definedName name="LnkTXTAumfin">'Tabelas e Gráficos'!$AC$5</definedName>
    <definedName name="LnkTxtAvalEfeitoEnergia" localSheetId="17">'[12]Votos e NTs'!$BP$287</definedName>
    <definedName name="LnkTxtAvalEfeitoEnergia">'[13]Votos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 localSheetId="17">Financeiros!#REF!</definedName>
    <definedName name="LnkTxtConcatenacaoCUSD">[13]Financeiros!#REF!</definedName>
    <definedName name="LnkTXTConexao">CAPA!$C$105</definedName>
    <definedName name="LnkTxtConselho" localSheetId="17">Financeiros!$D$90</definedName>
    <definedName name="LnkTxtConselho">[13]Financeiros!$D$90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 localSheetId="17">CAPA!$C$10</definedName>
    <definedName name="LnkTxtDRPData">[13]CAPA!$C$10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 localSheetId="17">Resultado!$L$10</definedName>
    <definedName name="LnkTXTEfeito">Resultado!$L$5</definedName>
    <definedName name="LnkTxtEfeitoAT" localSheetId="17">Resultado!$L$8</definedName>
    <definedName name="LnkTXTEfeitoAT">Resultado!$L$3</definedName>
    <definedName name="LnkTxtEfeitoBT" localSheetId="17">Resultado!$L$9</definedName>
    <definedName name="LnkTXTEfeitoBT">Resultado!$L$4</definedName>
    <definedName name="LnkTxtEfeitoExpSubmercados" localSheetId="17">Financeiros!#REF!</definedName>
    <definedName name="LnkTxtEfeitoExpSubmercados">[13]Financeiros!#REF!</definedName>
    <definedName name="LnkTxTEfeitofimdesPor">[15]CAPA!$X$59</definedName>
    <definedName name="LnkTXTEfFinU">CAPA!$C$87</definedName>
    <definedName name="LnkTXTEfMeU">CAPA!$C$85</definedName>
    <definedName name="LnkTxtEletronuclear" localSheetId="17">Financeiros!#REF!</definedName>
    <definedName name="LnkTxtEletronuclear">[13]Financeiros!#REF!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Pd">[12]VPB1!$F$40</definedName>
    <definedName name="LnkTxtFatorQ">[12]VPB1!$F$42</definedName>
    <definedName name="LnkTxtFatorT">[12]VPB1!$F$41</definedName>
    <definedName name="LnkTXTFatorX">CAPA!$C$100</definedName>
    <definedName name="LnkTXTfora">'Tabelas e Gráficos'!$X$10</definedName>
    <definedName name="LnkTxtGarantias" localSheetId="17">Financeiros!#REF!</definedName>
    <definedName name="LnkTxtGarantias">[13]Financeiros!#REF!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 localSheetId="17">'[12]Votos e NTs'!$R$29</definedName>
    <definedName name="LnkTXTICMS">Calc_Mercado!$J$8</definedName>
    <definedName name="LnkTXTIGPM">'Tabelas e Gráficos'!$W$41</definedName>
    <definedName name="LnkTxtIGPMFatorX" localSheetId="17">[12]VPB1!$F$44</definedName>
    <definedName name="LnkTxtIGPMFatorX">[13]VPB1!$F$44</definedName>
    <definedName name="LnkTXTIParcelaBcomSub">Resultado!$D$39</definedName>
    <definedName name="LnkTXTIParcelaBsemSub">Resultado!$D$40</definedName>
    <definedName name="LnkTxtIPCA" localSheetId="17">[12]VPB1!$F$39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omeCompleto">CAPA!$B$7</definedName>
    <definedName name="LnkTxtNomeResumido">CAPA!$B$6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 localSheetId="17">'[12]VPB e Fator X'!$C$33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 localSheetId="17">'[12]Votos e NTs'!$R$30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 localSheetId="17">Energia!$E$38</definedName>
    <definedName name="LnkTxtprevisaoriscohidro">[13]Energia!$E$38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 localSheetId="17">Financeiros!#REF!</definedName>
    <definedName name="LnkTxtReversaoCDEenergia">[13]Financeiros!#REF!</definedName>
    <definedName name="LnkTxtReversaoCDEuso" localSheetId="17">Financeiros!#REF!</definedName>
    <definedName name="LnkTxtReversaoCDEuso">[13]Financeiros!#REF!</definedName>
    <definedName name="LnkTxtRI" localSheetId="17">Resultado!$D$39</definedName>
    <definedName name="LnkTxtRI">[13]Resultado!$D$39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 localSheetId="17">Financeiros!#REF!</definedName>
    <definedName name="LnkTxtSobrecontratacao">[13]Financeiros!#REF!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 localSheetId="17">'[12]Votos e NTs'!#REF!</definedName>
    <definedName name="LnkTxtVariacaoIGPM">'[13]Votos e NTs'!#REF!</definedName>
    <definedName name="LnkTxtVariacaoIPCA" localSheetId="17">'[12]Votos e NTs'!#REF!</definedName>
    <definedName name="LnkTxtVariacaoIPCA">'[13]Votos e NTs'!#REF!</definedName>
    <definedName name="LnkTxtVaricaoTarifa" localSheetId="17">'[12]Votos e NTs'!#REF!</definedName>
    <definedName name="LnkTxtVaricaoTarifa">'[13]Votos e NTs'!#REF!</definedName>
    <definedName name="LnkTXTVarTE">'Tabelas e Gráficos'!$AV$221</definedName>
    <definedName name="LnkTxtVarTFSEE">Resultado!$F$17</definedName>
    <definedName name="M" localSheetId="17" hidden="1">#REF!</definedName>
    <definedName name="M" hidden="1">#REF!</definedName>
    <definedName name="MANU" localSheetId="17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 localSheetId="17">dados_MercadoBase[#All]</definedName>
    <definedName name="MercadoBase">'BD MERCADO'!$A$2:$FC$3999</definedName>
    <definedName name="MercadoBase1">dados_MercadoBase[#All]</definedName>
    <definedName name="mov_ac" localSheetId="17" hidden="1">[16]Mercado!#REF!</definedName>
    <definedName name="mov_ac" hidden="1">[16]Mercado!#REF!</definedName>
    <definedName name="mso" localSheetId="17" hidden="1">{#N/A,#N/A,FALSE,"CONTROLE"}</definedName>
    <definedName name="mso" hidden="1">{#N/A,#N/A,FALSE,"CONTROLE"}</definedName>
    <definedName name="N" localSheetId="17" hidden="1">#REF!</definedName>
    <definedName name="N" hidden="1">#REF!</definedName>
    <definedName name="oiio" localSheetId="17" hidden="1">{#N/A,#N/A,FALSE,"CONTROLE"}</definedName>
    <definedName name="oiio" hidden="1">{#N/A,#N/A,FALSE,"CONTROLE"}</definedName>
    <definedName name="old" localSheetId="20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localSheetId="17" hidden="1">{#N/A,#N/A,FALSE,"CONTROLE"}</definedName>
    <definedName name="operação" hidden="1">{#N/A,#N/A,FALSE,"CONTROLE"}</definedName>
    <definedName name="oy" localSheetId="17" hidden="1">{#N/A,#N/A,FALSE,"CONTROLE";#N/A,#N/A,FALSE,"CONTROLE"}</definedName>
    <definedName name="oy" hidden="1">{#N/A,#N/A,FALSE,"CONTROLE";#N/A,#N/A,FALSE,"CONTROLE"}</definedName>
    <definedName name="PEDRO" localSheetId="17" hidden="1">{#N/A,#N/A,FALSE,"CONTROLE"}</definedName>
    <definedName name="PEDRO" hidden="1">{#N/A,#N/A,FALSE,"CONTROLE"}</definedName>
    <definedName name="Piratininga" localSheetId="17" hidden="1">{#N/A,#N/A,FALSE,"CONTROLE"}</definedName>
    <definedName name="Piratininga" hidden="1">{#N/A,#N/A,FALSE,"CONTROLE"}</definedName>
    <definedName name="PIRATININGAV2" localSheetId="17" hidden="1">{#N/A,#N/A,FALSE,"CONTROLE"}</definedName>
    <definedName name="PIRATININGAV2" hidden="1">{#N/A,#N/A,FALSE,"CONTROLE"}</definedName>
    <definedName name="PisCofins" localSheetId="20" hidden="1">{#N/A,#N/A,FALSE,"ENERGIA";#N/A,#N/A,FALSE,"PERDIDAS";#N/A,#N/A,FALSE,"CLIENTES";#N/A,#N/A,FALSE,"ESTADO";#N/A,#N/A,FALSE,"TECNICA"}</definedName>
    <definedName name="PisCofins" localSheetId="17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0" hidden="1">{#N/A,#N/A,FALSE,"ENERGIA";#N/A,#N/A,FALSE,"PERDIDAS";#N/A,#N/A,FALSE,"CLIENTES";#N/A,#N/A,FALSE,"ESTADO";#N/A,#N/A,FALSE,"TECNICA"}</definedName>
    <definedName name="planilha" localSheetId="17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7" hidden="1">{#N/A,#N/A,FALSE,"CONTROLE";#N/A,#N/A,FALSE,"CONTROLE"}</definedName>
    <definedName name="poiu" hidden="1">{#N/A,#N/A,FALSE,"CONTROLE";#N/A,#N/A,FALSE,"CONTROLE"}</definedName>
    <definedName name="pp" localSheetId="20" hidden="1">{#N/A,#N/A,FALSE,"ENERGIA";#N/A,#N/A,FALSE,"PERDIDAS";#N/A,#N/A,FALSE,"CLIENTES";#N/A,#N/A,FALSE,"ESTADO";#N/A,#N/A,FALSE,"TECNICA"}</definedName>
    <definedName name="pp" localSheetId="17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7" hidden="1">{#N/A,#N/A,FALSE,"CONTROLE";#N/A,#N/A,FALSE,"CONTROLE"}</definedName>
    <definedName name="q" hidden="1">{#N/A,#N/A,FALSE,"CONTROLE";#N/A,#N/A,FALSE,"CONTROLE"}</definedName>
    <definedName name="qq" localSheetId="17" hidden="1">{#N/A,#N/A,FALSE,"CONTROLE";#N/A,#N/A,FALSE,"CONTROLE"}</definedName>
    <definedName name="qq" hidden="1">{#N/A,#N/A,FALSE,"CONTROLE";#N/A,#N/A,FALSE,"CONTROLE"}</definedName>
    <definedName name="qqq" localSheetId="17" hidden="1">{#N/A,#N/A,FALSE,"CONTROLE"}</definedName>
    <definedName name="qqq" hidden="1">{#N/A,#N/A,FALSE,"CONTROLE"}</definedName>
    <definedName name="qqqq" localSheetId="17" hidden="1">{#N/A,#N/A,FALSE,"CONTROLE"}</definedName>
    <definedName name="qqqq" hidden="1">{#N/A,#N/A,FALSE,"CONTROLE"}</definedName>
    <definedName name="qtret" localSheetId="17" hidden="1">{#N/A,#N/A,FALSE,"CONTROLE"}</definedName>
    <definedName name="qtret" hidden="1">{#N/A,#N/A,FALSE,"CONTROLE"}</definedName>
    <definedName name="qtyyuu" localSheetId="17" hidden="1">{#N/A,#N/A,FALSE,"CONTROLE"}</definedName>
    <definedName name="qtyyuu" hidden="1">{#N/A,#N/A,FALSE,"CONTROLE"}</definedName>
    <definedName name="QuadroMercado">Calc_Mercado!$B$7:$D$25</definedName>
    <definedName name="qwe" localSheetId="17" hidden="1">{#N/A,#N/A,FALSE,"CONTROLE"}</definedName>
    <definedName name="qwe" hidden="1">{#N/A,#N/A,FALSE,"CONTROLE"}</definedName>
    <definedName name="qweer" localSheetId="17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7" hidden="1">{#N/A,#N/A,FALSE,"CONTROLE";#N/A,#N/A,FALSE,"CONTROLE"}</definedName>
    <definedName name="raf" hidden="1">{#N/A,#N/A,FALSE,"CONTROLE";#N/A,#N/A,FALSE,"CONTROLE"}</definedName>
    <definedName name="R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0" hidden="1">{#N/A,#N/A,FALSE,"ENERGIA";#N/A,#N/A,FALSE,"PERDIDAS";#N/A,#N/A,FALSE,"CLIENTES";#N/A,#N/A,FALSE,"ESTADO";#N/A,#N/A,FALSE,"TECNICA"}</definedName>
    <definedName name="RBTESTE" localSheetId="17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7" hidden="1">{#N/A,#N/A,FALSE,"CONTROLE"}</definedName>
    <definedName name="REAIS" hidden="1">{#N/A,#N/A,FALSE,"CONTROLE"}</definedName>
    <definedName name="REAISPREV" localSheetId="17" hidden="1">{#N/A,#N/A,FALSE,"CONTROLE"}</definedName>
    <definedName name="REAISPREV" hidden="1">{#N/A,#N/A,FALSE,"CONTROLE"}</definedName>
    <definedName name="REDE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7" hidden="1">{#N/A,#N/A,FALSE,"CONTROLE";#N/A,#N/A,FALSE,"CONTROLE"}</definedName>
    <definedName name="Relat" hidden="1">{#N/A,#N/A,FALSE,"CONTROLE";#N/A,#N/A,FALSE,"CONTROLE"}</definedName>
    <definedName name="Renato" localSheetId="17" hidden="1">{#N/A,#N/A,FALSE,"CONTROLE"}</definedName>
    <definedName name="Renato" hidden="1">{#N/A,#N/A,FALSE,"CONTROLE"}</definedName>
    <definedName name="RESUMO3" localSheetId="17" hidden="1">{#N/A,#N/A,FALSE,"CONTROLE"}</definedName>
    <definedName name="RESUMO3" hidden="1">{#N/A,#N/A,FALSE,"CONTROLE"}</definedName>
    <definedName name="rey" localSheetId="17" hidden="1">{#N/A,#N/A,FALSE,"CONTROLE"}</definedName>
    <definedName name="rey" hidden="1">{#N/A,#N/A,FALSE,"CONTROLE"}</definedName>
    <definedName name="rg" localSheetId="17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7" hidden="1">{#N/A,#N/A,FALSE,"CONTROLE"}</definedName>
    <definedName name="rr" hidden="1">{#N/A,#N/A,FALSE,"CONTROLE"}</definedName>
    <definedName name="rtet" localSheetId="17" hidden="1">{#N/A,#N/A,FALSE,"CONTROLE";#N/A,#N/A,FALSE,"CONTROLE"}</definedName>
    <definedName name="rtet" hidden="1">{#N/A,#N/A,FALSE,"CONTROLE";#N/A,#N/A,FALSE,"CONTROLE"}</definedName>
    <definedName name="rtre" localSheetId="17" hidden="1">{#N/A,#N/A,FALSE,"CONTROLE";#N/A,#N/A,FALSE,"CONTROLE"}</definedName>
    <definedName name="rtre" hidden="1">{#N/A,#N/A,FALSE,"CONTROLE";#N/A,#N/A,FALSE,"CONTROLE"}</definedName>
    <definedName name="rtt" localSheetId="17" hidden="1">{#N/A,#N/A,FALSE,"CONTROLE"}</definedName>
    <definedName name="rtt" hidden="1">{#N/A,#N/A,FALSE,"CONTROLE"}</definedName>
    <definedName name="S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7" hidden="1">{#N/A,#N/A,FALSE,"CONTROLE";#N/A,#N/A,FALSE,"CONTROLE"}</definedName>
    <definedName name="SADSSA" hidden="1">{#N/A,#N/A,FALSE,"CONTROLE";#N/A,#N/A,FALSE,"CONTROLE"}</definedName>
    <definedName name="SaldoCVA_Energia" localSheetId="17">[12]Mercado!$K$67</definedName>
    <definedName name="SaldoCVA_Energia">[13]Mercado!$K$67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7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7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7" hidden="1">{#N/A,#N/A,FALSE,"CONTROLE"}</definedName>
    <definedName name="ssss" hidden="1">{#N/A,#N/A,FALSE,"CONTROLE"}</definedName>
    <definedName name="ssssss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7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 localSheetId="17">[12]Mercado!$B$29:$C$38,[12]Mercado!$G$29:$H$38</definedName>
    <definedName name="TabVariaçãoRI">[13]Mercado!$B$29:$C$38,[13]Mercado!$G$29:$H$38</definedName>
    <definedName name="TabVariaRI" localSheetId="17">[12]Mercado!$B$29:$C$38,[12]Mercado!$G$29:$H$38</definedName>
    <definedName name="TabVariaRI">[13]Mercado!$B$29:$C$38,[13]Mercado!$G$29:$H$38</definedName>
    <definedName name="TarB1Valor">[13]!TabB1[Valor]</definedName>
    <definedName name="tarifas_2003" localSheetId="20" hidden="1">{#N/A,#N/A,FALSE,"ENERGIA";#N/A,#N/A,FALSE,"PERDIDAS";#N/A,#N/A,FALSE,"CLIENTES";#N/A,#N/A,FALSE,"ESTADO";#N/A,#N/A,FALSE,"TECNICA"}</definedName>
    <definedName name="tarifas_2003" localSheetId="17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[17]Mercado!#REF!</definedName>
    <definedName name="teste2" localSheetId="8" hidden="1">[17]Mercado!#REF!</definedName>
    <definedName name="teste2" hidden="1">[17]Mercado!#REF!</definedName>
    <definedName name="tg" localSheetId="17" hidden="1">{#N/A,#N/A,FALSE,"CONTROLE";#N/A,#N/A,FALSE,"CONTROLE"}</definedName>
    <definedName name="tg" hidden="1">{#N/A,#N/A,FALSE,"CONTROLE";#N/A,#N/A,FALSE,"CONTROLE"}</definedName>
    <definedName name="tiuliul" localSheetId="17" hidden="1">{#N/A,#N/A,FALSE,"CONTROLE"}</definedName>
    <definedName name="tiuliul" hidden="1">{#N/A,#N/A,FALSE,"CONTROLE"}</definedName>
    <definedName name="tr" localSheetId="17" hidden="1">{#N/A,#N/A,FALSE,"CONTROLE"}</definedName>
    <definedName name="tr" hidden="1">{#N/A,#N/A,FALSE,"CONTROLE"}</definedName>
    <definedName name="try" localSheetId="17" hidden="1">{#N/A,#N/A,FALSE,"CONTROLE"}</definedName>
    <definedName name="try" hidden="1">{#N/A,#N/A,FALSE,"CONTROLE"}</definedName>
    <definedName name="trye" localSheetId="17" hidden="1">{#N/A,#N/A,FALSE,"CONTROLE"}</definedName>
    <definedName name="trye" hidden="1">{#N/A,#N/A,FALSE,"CONTROLE"}</definedName>
    <definedName name="tttt" localSheetId="17" hidden="1">{#N/A,#N/A,FALSE,"CONTROLE"}</definedName>
    <definedName name="tttt" hidden="1">{#N/A,#N/A,FALSE,"CONTROLE"}</definedName>
    <definedName name="ttttt" localSheetId="17" hidden="1">{#N/A,#N/A,FALSE,"CONTROLE";#N/A,#N/A,FALSE,"CONTROLE"}</definedName>
    <definedName name="ttttt" hidden="1">{#N/A,#N/A,FALSE,"CONTROLE";#N/A,#N/A,FALSE,"CONTROLE"}</definedName>
    <definedName name="tttttt" localSheetId="17" hidden="1">{#N/A,#N/A,FALSE,"CONTROLE"}</definedName>
    <definedName name="tttttt" hidden="1">{#N/A,#N/A,FALSE,"CONTROLE"}</definedName>
    <definedName name="tyt" localSheetId="17" hidden="1">{#N/A,#N/A,FALSE,"CONTROLE"}</definedName>
    <definedName name="tyt" hidden="1">{#N/A,#N/A,FALSE,"CONTROLE"}</definedName>
    <definedName name="tyuttry" localSheetId="17" hidden="1">{#N/A,#N/A,FALSE,"CONTROLE";#N/A,#N/A,FALSE,"CONTROLE"}</definedName>
    <definedName name="tyuttry" hidden="1">{#N/A,#N/A,FALSE,"CONTROLE";#N/A,#N/A,FALSE,"CONTROLE"}</definedName>
    <definedName name="uiliul" localSheetId="17" hidden="1">{#N/A,#N/A,FALSE,"CONTROLE"}</definedName>
    <definedName name="uiliul" hidden="1">{#N/A,#N/A,FALSE,"CONTROLE"}</definedName>
    <definedName name="uj" localSheetId="17" hidden="1">{#N/A,#N/A,FALSE,"CONTROLE"}</definedName>
    <definedName name="uj" hidden="1">{#N/A,#N/A,FALSE,"CONTROLE"}</definedName>
    <definedName name="ujuju" localSheetId="17" hidden="1">{#N/A,#N/A,FALSE,"CONTROLE";#N/A,#N/A,FALSE,"CONTROLE"}</definedName>
    <definedName name="ujuju" hidden="1">{#N/A,#N/A,FALSE,"CONTROLE";#N/A,#N/A,FALSE,"CONTROLE"}</definedName>
    <definedName name="utkiukuy" localSheetId="17" hidden="1">{#N/A,#N/A,FALSE,"CONTROLE"}</definedName>
    <definedName name="utkiukuy" hidden="1">{#N/A,#N/A,FALSE,"CONTROLE"}</definedName>
    <definedName name="uuy" localSheetId="17" hidden="1">{#N/A,#N/A,FALSE,"CONTROLE"}</definedName>
    <definedName name="uuy" hidden="1">{#N/A,#N/A,FALSE,"CONTROLE"}</definedName>
    <definedName name="uytuytu" localSheetId="17" hidden="1">{#N/A,#N/A,FALSE,"CONTROLE"}</definedName>
    <definedName name="uytuytu" hidden="1">{#N/A,#N/A,FALSE,"CONTROLE"}</definedName>
    <definedName name="vcxbstg" localSheetId="17" hidden="1">{#N/A,#N/A,FALSE,"CONTROLE"}</definedName>
    <definedName name="vcxbstg" hidden="1">{#N/A,#N/A,FALSE,"CONTROLE"}</definedName>
    <definedName name="vfr" localSheetId="17" hidden="1">{#N/A,#N/A,FALSE,"CONTROLE"}</definedName>
    <definedName name="vfr" hidden="1">{#N/A,#N/A,FALSE,"CONTROLE"}</definedName>
    <definedName name="wdwd" localSheetId="17" hidden="1">{#N/A,#N/A,FALSE,"CONTROLE";#N/A,#N/A,FALSE,"CONTROLE"}</definedName>
    <definedName name="wdwd" hidden="1">{#N/A,#N/A,FALSE,"CONTROLE";#N/A,#N/A,FALSE,"CONTROLE"}</definedName>
    <definedName name="werrt" localSheetId="17" hidden="1">{#N/A,#N/A,FALSE,"CONTROLE";#N/A,#N/A,FALSE,"CONTROLE"}</definedName>
    <definedName name="werrt" hidden="1">{#N/A,#N/A,FALSE,"CONTROLE";#N/A,#N/A,FALSE,"CONTROLE"}</definedName>
    <definedName name="WQWQRWERW" localSheetId="17" hidden="1">{#N/A,#N/A,FALSE,"CONTROLE";#N/A,#N/A,FALSE,"CONTROLE"}</definedName>
    <definedName name="WQWQRWERW" hidden="1">{#N/A,#N/A,FALSE,"CONTROLE";#N/A,#N/A,FALSE,"CONTROLE"}</definedName>
    <definedName name="wrn.APLICAÇÃO." localSheetId="17" hidden="1">{#N/A,#N/A,FALSE,"CONTROLE"}</definedName>
    <definedName name="wrn.APLICAÇÃO." hidden="1">{#N/A,#N/A,FALSE,"CONTROLE"}</definedName>
    <definedName name="wrn.ESTADOS._.FINANCIEROS." localSheetId="17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7" hidden="1">{#N/A,#N/A,FALSE,"CONTROLE";#N/A,#N/A,FALSE,"CONTROLE"}</definedName>
    <definedName name="wrn.forneci" hidden="1">{#N/A,#N/A,FALSE,"CONTROLE";#N/A,#N/A,FALSE,"CONTROLE"}</definedName>
    <definedName name="WRN.INFMES" localSheetId="17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0" hidden="1">{#N/A,#N/A,FALSE,"ENERGIA";#N/A,#N/A,FALSE,"PERDIDAS";#N/A,#N/A,FALSE,"CLIENTES";#N/A,#N/A,FALSE,"ESTADO";#N/A,#N/A,FALSE,"TECNICA"}</definedName>
    <definedName name="wrn.INFMES." localSheetId="17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7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7" hidden="1">{#N/A,#N/A,FALSE,"CONTROLE";#N/A,#N/A,FALSE,"CONTROLE"}</definedName>
    <definedName name="wrn.RELATORIO." hidden="1">{#N/A,#N/A,FALSE,"CONTROLE";#N/A,#N/A,FALSE,"CONTROLE"}</definedName>
    <definedName name="ws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7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0" hidden="1">{#N/A,#N/A,FALSE,"ENERGIA";#N/A,#N/A,FALSE,"PERDIDAS";#N/A,#N/A,FALSE,"CLIENTES";#N/A,#N/A,FALSE,"ESTADO";#N/A,#N/A,FALSE,"TECNICA"}</definedName>
    <definedName name="xs" localSheetId="17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7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7" hidden="1">{#N/A,#N/A,FALSE,"CONTROLE"}</definedName>
    <definedName name="Xuxu" hidden="1">{#N/A,#N/A,FALSE,"CONTROLE"}</definedName>
    <definedName name="xxx" localSheetId="20" hidden="1">{#N/A,#N/A,FALSE,"ENERGIA";#N/A,#N/A,FALSE,"PERDIDAS";#N/A,#N/A,FALSE,"CLIENTES";#N/A,#N/A,FALSE,"ESTADO";#N/A,#N/A,FALSE,"TECNICA"}</definedName>
    <definedName name="xxx" localSheetId="17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7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7" hidden="1">{#N/A,#N/A,FALSE,"CONTROLE"}</definedName>
    <definedName name="yeuyu" hidden="1">{#N/A,#N/A,FALSE,"CONTROLE"}</definedName>
    <definedName name="yru6" localSheetId="17" hidden="1">{#N/A,#N/A,FALSE,"CONTROLE";#N/A,#N/A,FALSE,"CONTROLE"}</definedName>
    <definedName name="yru6" hidden="1">{#N/A,#N/A,FALSE,"CONTROLE";#N/A,#N/A,FALSE,"CONTROLE"}</definedName>
    <definedName name="ytuytuyt" localSheetId="17" hidden="1">{#N/A,#N/A,FALSE,"CONTROLE";#N/A,#N/A,FALSE,"CONTROLE"}</definedName>
    <definedName name="ytuytuyt" hidden="1">{#N/A,#N/A,FALSE,"CONTROLE";#N/A,#N/A,FALSE,"CONTROLE"}</definedName>
    <definedName name="ytytry" localSheetId="17" hidden="1">{#N/A,#N/A,FALSE,"CONTROLE"}</definedName>
    <definedName name="ytytry" hidden="1">{#N/A,#N/A,FALSE,"CONTROLE"}</definedName>
    <definedName name="yuii" localSheetId="17" hidden="1">{#N/A,#N/A,FALSE,"CONTROLE";#N/A,#N/A,FALSE,"CONTROLE"}</definedName>
    <definedName name="yuii" hidden="1">{#N/A,#N/A,FALSE,"CONTROLE";#N/A,#N/A,FALSE,"CONTROLE"}</definedName>
    <definedName name="yyy" localSheetId="17" hidden="1">{#N/A,#N/A,FALSE,"CONTROLE"}</definedName>
    <definedName name="yyy" hidden="1">{#N/A,#N/A,FALSE,"CONTROLE"}</definedName>
    <definedName name="Z_A46625B5_2B64_4741_9BD6_64D33D3699F2_.wvu.Cols" hidden="1">'[18]22.  Despesa Uso Sistema Distr '!#REF!</definedName>
    <definedName name="zx\" hidden="1">[1]Calc!$AJ$8:$AJ$19</definedName>
    <definedName name="zxcz" localSheetId="17" hidden="1">{#N/A,#N/A,FALSE,"CONTROLE"}</definedName>
    <definedName name="zxcz" hidden="1">{#N/A,#N/A,FALSE,"CONTROLE"}</definedName>
    <definedName name="zz" localSheetId="17" hidden="1">{#N/A,#N/A,FALSE,"CONTROLE"}</definedName>
    <definedName name="zz" hidden="1">{#N/A,#N/A,FALSE,"CONTROLE"}</definedName>
    <definedName name="zzzzz" localSheetId="17" hidden="1">#REF!</definedName>
    <definedName name="zzzzz" hidden="1">#REF!</definedName>
    <definedName name="zzzzzzzzzzzzzzzzzz" localSheetId="17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8" r:id="rId53"/>
    <pivotCache cacheId="9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3" i="58" l="1"/>
  <c r="D64" i="58"/>
  <c r="D65" i="58"/>
  <c r="AS244" i="89"/>
  <c r="AS246" i="89"/>
  <c r="AS254" i="89"/>
  <c r="AS255" i="89"/>
  <c r="AS256" i="89"/>
  <c r="AS257" i="89"/>
  <c r="AS258" i="89"/>
  <c r="AS259" i="89"/>
  <c r="AS260" i="89"/>
  <c r="AU260" i="89"/>
  <c r="AO194" i="89" l="1"/>
  <c r="AO195" i="89"/>
  <c r="AO196" i="89"/>
  <c r="F243" i="49" l="1"/>
  <c r="G243" i="49"/>
  <c r="H243" i="49"/>
  <c r="I243" i="49"/>
  <c r="J243" i="49"/>
  <c r="K243" i="49"/>
  <c r="F244" i="49"/>
  <c r="G244" i="49"/>
  <c r="H244" i="49"/>
  <c r="I244" i="49"/>
  <c r="J244" i="49"/>
  <c r="K244" i="49"/>
  <c r="F245" i="49"/>
  <c r="G245" i="49"/>
  <c r="H245" i="49"/>
  <c r="I245" i="49"/>
  <c r="J245" i="49"/>
  <c r="K245" i="49"/>
  <c r="F246" i="49"/>
  <c r="G246" i="49"/>
  <c r="H246" i="49"/>
  <c r="I246" i="49"/>
  <c r="J246" i="49"/>
  <c r="K246" i="49"/>
  <c r="F247" i="49"/>
  <c r="G247" i="49"/>
  <c r="H247" i="49"/>
  <c r="I247" i="49"/>
  <c r="J247" i="49"/>
  <c r="K247" i="49"/>
  <c r="D64" i="50" l="1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E65" i="58" l="1"/>
  <c r="C18" i="50"/>
  <c r="E27" i="140" l="1"/>
  <c r="D27" i="140"/>
  <c r="I4" i="140"/>
  <c r="H4" i="140"/>
  <c r="C27" i="140" l="1"/>
  <c r="G19" i="82" l="1"/>
  <c r="F104" i="58" l="1"/>
  <c r="F101" i="58"/>
  <c r="F99" i="58"/>
  <c r="F98" i="58"/>
  <c r="F100" i="58"/>
  <c r="F102" i="58"/>
  <c r="F103" i="58"/>
  <c r="F105" i="58"/>
  <c r="F97" i="58"/>
  <c r="E64" i="58"/>
  <c r="G14" i="25"/>
  <c r="G13" i="25"/>
  <c r="H104" i="58" l="1"/>
  <c r="H105" i="58"/>
  <c r="H106" i="58"/>
  <c r="H107" i="58"/>
  <c r="H108" i="58"/>
  <c r="H103" i="58"/>
  <c r="E106" i="58"/>
  <c r="F106" i="58" s="1"/>
  <c r="H110" i="58" l="1"/>
  <c r="J41" i="58" s="1"/>
  <c r="E107" i="58"/>
  <c r="K54" i="58"/>
  <c r="C6" i="139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E108" i="58" l="1"/>
  <c r="F108" i="58" s="1"/>
  <c r="F107" i="58"/>
  <c r="C147" i="49"/>
  <c r="C148" i="49"/>
  <c r="C149" i="49"/>
  <c r="AM182" i="89"/>
  <c r="AS248" i="89" s="1"/>
  <c r="AN182" i="89"/>
  <c r="AM183" i="89"/>
  <c r="AS249" i="89" s="1"/>
  <c r="AN183" i="89"/>
  <c r="AM184" i="89"/>
  <c r="AS250" i="89" s="1"/>
  <c r="AN184" i="89"/>
  <c r="AM185" i="89"/>
  <c r="AS251" i="89" s="1"/>
  <c r="AN185" i="89"/>
  <c r="AM186" i="89"/>
  <c r="AS252" i="89" s="1"/>
  <c r="AN186" i="89"/>
  <c r="AM187" i="89"/>
  <c r="AS253" i="89" s="1"/>
  <c r="AN187" i="89"/>
  <c r="E43" i="50"/>
  <c r="Q149" i="49" s="1"/>
  <c r="P149" i="49" s="1"/>
  <c r="E42" i="50"/>
  <c r="Q148" i="49" s="1"/>
  <c r="P148" i="49" s="1"/>
  <c r="E44" i="50"/>
  <c r="AU252" i="89" l="1"/>
  <c r="AO186" i="89"/>
  <c r="AU248" i="89"/>
  <c r="AO182" i="89"/>
  <c r="AU250" i="89"/>
  <c r="AO184" i="89"/>
  <c r="AU253" i="89"/>
  <c r="AO187" i="89"/>
  <c r="AU251" i="89"/>
  <c r="AO185" i="89"/>
  <c r="AU249" i="89"/>
  <c r="AO183" i="89"/>
  <c r="E109" i="58"/>
  <c r="F109" i="58"/>
  <c r="J53" i="58" s="1"/>
  <c r="L53" i="58" s="1"/>
  <c r="M22" i="58" l="1"/>
  <c r="M23" i="58"/>
  <c r="N6" i="139" l="1"/>
  <c r="N7" i="139" s="1"/>
  <c r="N8" i="139" s="1"/>
  <c r="N9" i="139" s="1"/>
  <c r="N10" i="139" s="1"/>
  <c r="AO168" i="8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C126" i="49" l="1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I20" i="51"/>
  <c r="Q273" i="49" l="1"/>
  <c r="P273" i="49" s="1"/>
  <c r="F47" i="58" l="1"/>
  <c r="E47" i="58"/>
  <c r="F46" i="58"/>
  <c r="E46" i="58"/>
  <c r="F45" i="58"/>
  <c r="E45" i="58"/>
  <c r="F44" i="58"/>
  <c r="E44" i="58"/>
  <c r="K44" i="58" s="1"/>
  <c r="F43" i="58"/>
  <c r="E43" i="58"/>
  <c r="K42" i="58"/>
  <c r="M6" i="58"/>
  <c r="K46" i="58" l="1"/>
  <c r="L6" i="58"/>
  <c r="K43" i="58"/>
  <c r="L43" i="58" s="1"/>
  <c r="K47" i="58"/>
  <c r="L47" i="58" s="1"/>
  <c r="K45" i="58"/>
  <c r="L45" i="58" s="1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Q193" i="49" l="1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1" i="89" l="1"/>
  <c r="AM181" i="89"/>
  <c r="AS247" i="89" s="1"/>
  <c r="AU247" i="89" l="1"/>
  <c r="AO181" i="89"/>
  <c r="AS240" i="89"/>
  <c r="AS242" i="89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48" i="49"/>
  <c r="O49" i="49"/>
  <c r="O50" i="49"/>
  <c r="O51" i="49"/>
  <c r="O47" i="49"/>
  <c r="J11" i="130"/>
  <c r="P276" i="49"/>
  <c r="P275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AN189" i="89"/>
  <c r="D63" i="50"/>
  <c r="D56" i="50"/>
  <c r="D50" i="50"/>
  <c r="D48" i="50"/>
  <c r="D49" i="50"/>
  <c r="AU255" i="89" l="1"/>
  <c r="AO189" i="89"/>
  <c r="Q216" i="49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I64" i="58"/>
  <c r="I65" i="58" s="1"/>
  <c r="C65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E21" i="58" l="1"/>
  <c r="F66" i="58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K65" i="135" a="1"/>
  <c r="O65" i="135" a="1"/>
  <c r="E65" i="135" a="1"/>
  <c r="AA65" i="135" a="1"/>
  <c r="AB65" i="135" a="1"/>
  <c r="J65" i="135" a="1"/>
  <c r="D65" i="135" a="1"/>
  <c r="H65" i="135" a="1"/>
  <c r="Y65" i="135" a="1"/>
  <c r="Q65" i="135" a="1"/>
  <c r="F65" i="135" a="1"/>
  <c r="X65" i="135" a="1"/>
  <c r="P65" i="135" a="1"/>
  <c r="V65" i="135" a="1"/>
  <c r="N65" i="135" a="1"/>
  <c r="W65" i="135" a="1"/>
  <c r="U65" i="135" a="1"/>
  <c r="L65" i="135" a="1"/>
  <c r="S65" i="135" a="1"/>
  <c r="G65" i="135" a="1"/>
  <c r="I65" i="135" a="1"/>
  <c r="T65" i="135" a="1"/>
  <c r="Z65" i="135" a="1"/>
  <c r="M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V64" i="135" a="1"/>
  <c r="K64" i="135" a="1"/>
  <c r="AA64" i="135" a="1"/>
  <c r="I64" i="135" a="1"/>
  <c r="X64" i="135" a="1"/>
  <c r="U64" i="135" a="1"/>
  <c r="L64" i="135" a="1"/>
  <c r="M64" i="135" a="1"/>
  <c r="F64" i="135" a="1"/>
  <c r="G64" i="135" a="1"/>
  <c r="P64" i="135" a="1"/>
  <c r="Z64" i="135" a="1"/>
  <c r="O64" i="135" a="1"/>
  <c r="D64" i="135" a="1"/>
  <c r="E64" i="135" a="1"/>
  <c r="Q64" i="135" a="1"/>
  <c r="J64" i="135" a="1"/>
  <c r="W64" i="135" a="1"/>
  <c r="T64" i="135" a="1"/>
  <c r="N64" i="135" a="1"/>
  <c r="H64" i="135" a="1"/>
  <c r="S64" i="135" a="1"/>
  <c r="Y64" i="135" a="1"/>
  <c r="AB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O63" i="135" a="1"/>
  <c r="D63" i="135" a="1"/>
  <c r="J63" i="135" a="1"/>
  <c r="X63" i="135" a="1"/>
  <c r="M63" i="135" a="1"/>
  <c r="N63" i="135" a="1"/>
  <c r="H63" i="135" a="1"/>
  <c r="K63" i="135" a="1"/>
  <c r="AB63" i="135" a="1"/>
  <c r="E63" i="135" a="1"/>
  <c r="L63" i="135" a="1"/>
  <c r="U63" i="135" a="1"/>
  <c r="Q63" i="135" a="1"/>
  <c r="I63" i="135" a="1"/>
  <c r="G63" i="135" a="1"/>
  <c r="V63" i="135" a="1"/>
  <c r="T63" i="135" a="1"/>
  <c r="S63" i="135" a="1"/>
  <c r="AA63" i="135" a="1"/>
  <c r="Y63" i="135" a="1"/>
  <c r="P63" i="135" a="1"/>
  <c r="F63" i="135" a="1"/>
  <c r="Z63" i="135" a="1"/>
  <c r="W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X62" i="135" a="1"/>
  <c r="Z62" i="135" a="1"/>
  <c r="P62" i="135" a="1"/>
  <c r="T62" i="135" a="1"/>
  <c r="Q62" i="135" a="1"/>
  <c r="O62" i="135" a="1"/>
  <c r="AA62" i="135" a="1"/>
  <c r="U62" i="135" a="1"/>
  <c r="N62" i="135" a="1"/>
  <c r="S62" i="135" a="1"/>
  <c r="E62" i="135" a="1"/>
  <c r="K62" i="135" a="1"/>
  <c r="AB62" i="135" a="1"/>
  <c r="M62" i="135" a="1"/>
  <c r="H62" i="135" a="1"/>
  <c r="J62" i="135" a="1"/>
  <c r="L62" i="135" a="1"/>
  <c r="D62" i="135" a="1"/>
  <c r="V62" i="135" a="1"/>
  <c r="I62" i="135" a="1"/>
  <c r="W62" i="135" a="1"/>
  <c r="G62" i="135" a="1"/>
  <c r="Y62" i="135" a="1"/>
  <c r="F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AA61" i="135" a="1"/>
  <c r="G61" i="135" a="1"/>
  <c r="X61" i="135" a="1"/>
  <c r="P61" i="135" a="1"/>
  <c r="K61" i="135" a="1"/>
  <c r="Q61" i="135" a="1"/>
  <c r="O61" i="135" a="1"/>
  <c r="Y61" i="135" a="1"/>
  <c r="E61" i="135" a="1"/>
  <c r="H61" i="135" a="1"/>
  <c r="Z61" i="135" a="1"/>
  <c r="W61" i="135" a="1"/>
  <c r="M61" i="135" a="1"/>
  <c r="N61" i="135" a="1"/>
  <c r="L61" i="135" a="1"/>
  <c r="AB61" i="135" a="1"/>
  <c r="D61" i="135" a="1"/>
  <c r="U61" i="135" a="1"/>
  <c r="V61" i="135" a="1"/>
  <c r="S61" i="135" a="1"/>
  <c r="J61" i="135" a="1"/>
  <c r="I61" i="135" a="1"/>
  <c r="T61" i="135" a="1"/>
  <c r="F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X60" i="135" a="1"/>
  <c r="AA60" i="135" a="1"/>
  <c r="D60" i="135" a="1"/>
  <c r="W60" i="135" a="1"/>
  <c r="I60" i="135" a="1"/>
  <c r="AB60" i="135" a="1"/>
  <c r="N60" i="135" a="1"/>
  <c r="V60" i="135" a="1"/>
  <c r="L60" i="135" a="1"/>
  <c r="F60" i="135" a="1"/>
  <c r="H60" i="135" a="1"/>
  <c r="S60" i="135" a="1"/>
  <c r="P60" i="135" a="1"/>
  <c r="E60" i="135" a="1"/>
  <c r="O60" i="135" a="1"/>
  <c r="T60" i="135" a="1"/>
  <c r="J60" i="135" a="1"/>
  <c r="K60" i="135" a="1"/>
  <c r="Q60" i="135" a="1"/>
  <c r="G60" i="135" a="1"/>
  <c r="M60" i="135" a="1"/>
  <c r="U60" i="135" a="1"/>
  <c r="Y60" i="135" a="1"/>
  <c r="Z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M59" i="135" a="1"/>
  <c r="F59" i="135" a="1"/>
  <c r="N59" i="135" a="1"/>
  <c r="H59" i="135" a="1"/>
  <c r="W59" i="135" a="1"/>
  <c r="J59" i="135" a="1"/>
  <c r="X59" i="135" a="1"/>
  <c r="L59" i="135" a="1"/>
  <c r="Z59" i="135" a="1"/>
  <c r="G59" i="135" a="1"/>
  <c r="I59" i="135" a="1"/>
  <c r="Q59" i="135" a="1"/>
  <c r="O59" i="135" a="1"/>
  <c r="T59" i="135" a="1"/>
  <c r="K59" i="135" a="1"/>
  <c r="P59" i="135" a="1"/>
  <c r="U59" i="135" a="1"/>
  <c r="E59" i="135" a="1"/>
  <c r="AB59" i="135" a="1"/>
  <c r="S59" i="135" a="1"/>
  <c r="V59" i="135" a="1"/>
  <c r="AA59" i="135" a="1"/>
  <c r="D59" i="135" a="1"/>
  <c r="Y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F58" i="135" a="1"/>
  <c r="Z58" i="135" a="1"/>
  <c r="Y58" i="135" a="1"/>
  <c r="P58" i="135" a="1"/>
  <c r="L58" i="135" a="1"/>
  <c r="N58" i="135" a="1"/>
  <c r="K58" i="135" a="1"/>
  <c r="J58" i="135" a="1"/>
  <c r="I58" i="135" a="1"/>
  <c r="U58" i="135" a="1"/>
  <c r="G58" i="135" a="1"/>
  <c r="M58" i="135" a="1"/>
  <c r="X58" i="135" a="1"/>
  <c r="V58" i="135" a="1"/>
  <c r="H58" i="135" a="1"/>
  <c r="D58" i="135" a="1"/>
  <c r="AA58" i="135" a="1"/>
  <c r="T58" i="135" a="1"/>
  <c r="E58" i="135" a="1"/>
  <c r="Q58" i="135" a="1"/>
  <c r="S58" i="135" a="1"/>
  <c r="O58" i="135" a="1"/>
  <c r="W58" i="135" a="1"/>
  <c r="AB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P57" i="135" a="1"/>
  <c r="M57" i="135" a="1"/>
  <c r="J57" i="135" a="1"/>
  <c r="N57" i="135" a="1"/>
  <c r="AA57" i="135" a="1"/>
  <c r="S57" i="135" a="1"/>
  <c r="I57" i="135" a="1"/>
  <c r="Z57" i="135" a="1"/>
  <c r="H57" i="135" a="1"/>
  <c r="G57" i="135" a="1"/>
  <c r="Y57" i="135" a="1"/>
  <c r="U57" i="135" a="1"/>
  <c r="V57" i="135" a="1"/>
  <c r="AB57" i="135" a="1"/>
  <c r="L57" i="135" a="1"/>
  <c r="D57" i="135" a="1"/>
  <c r="E57" i="135" a="1"/>
  <c r="K57" i="135" a="1"/>
  <c r="F57" i="135" a="1"/>
  <c r="W57" i="135" a="1"/>
  <c r="O57" i="135" a="1"/>
  <c r="X57" i="135" a="1"/>
  <c r="Q57" i="135" a="1"/>
  <c r="T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P56" i="135" a="1"/>
  <c r="W56" i="135" a="1"/>
  <c r="K56" i="135" a="1"/>
  <c r="L56" i="135" a="1"/>
  <c r="S56" i="135" a="1"/>
  <c r="AA56" i="135" a="1"/>
  <c r="H56" i="135" a="1"/>
  <c r="AB56" i="135" a="1"/>
  <c r="D56" i="135" a="1"/>
  <c r="J56" i="135" a="1"/>
  <c r="Q56" i="135" a="1"/>
  <c r="G56" i="135" a="1"/>
  <c r="Y56" i="135" a="1"/>
  <c r="V56" i="135" a="1"/>
  <c r="F56" i="135" a="1"/>
  <c r="M56" i="135" a="1"/>
  <c r="I56" i="135" a="1"/>
  <c r="Z56" i="135" a="1"/>
  <c r="X56" i="135" a="1"/>
  <c r="T56" i="135" a="1"/>
  <c r="O56" i="135" a="1"/>
  <c r="N56" i="135" a="1"/>
  <c r="U56" i="135" a="1"/>
  <c r="E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H55" i="135" a="1"/>
  <c r="S55" i="135" a="1"/>
  <c r="U55" i="135" a="1"/>
  <c r="J55" i="135" a="1"/>
  <c r="I55" i="135" a="1"/>
  <c r="E55" i="135" a="1"/>
  <c r="V55" i="135" a="1"/>
  <c r="F55" i="135" a="1"/>
  <c r="Z55" i="135" a="1"/>
  <c r="M55" i="135" a="1"/>
  <c r="N55" i="135" a="1"/>
  <c r="L55" i="135" a="1"/>
  <c r="P55" i="135" a="1"/>
  <c r="AA55" i="135" a="1"/>
  <c r="W55" i="135" a="1"/>
  <c r="D55" i="135" a="1"/>
  <c r="X55" i="135" a="1"/>
  <c r="T55" i="135" a="1"/>
  <c r="G55" i="135" a="1"/>
  <c r="K55" i="135" a="1"/>
  <c r="O55" i="135" a="1"/>
  <c r="Q55" i="135" a="1"/>
  <c r="AB55" i="135" a="1"/>
  <c r="Y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M54" i="135" a="1"/>
  <c r="N54" i="135" a="1"/>
  <c r="I54" i="135" a="1"/>
  <c r="AB54" i="135" a="1"/>
  <c r="S54" i="135" a="1"/>
  <c r="G54" i="135" a="1"/>
  <c r="O54" i="135" a="1"/>
  <c r="U54" i="135" a="1"/>
  <c r="H54" i="135" a="1"/>
  <c r="Z54" i="135" a="1"/>
  <c r="F54" i="135" a="1"/>
  <c r="J54" i="135" a="1"/>
  <c r="Q54" i="135" a="1"/>
  <c r="D54" i="135" a="1"/>
  <c r="T54" i="135" a="1"/>
  <c r="K54" i="135" a="1"/>
  <c r="V54" i="135" a="1"/>
  <c r="Y54" i="135" a="1"/>
  <c r="W54" i="135" a="1"/>
  <c r="AA54" i="135" a="1"/>
  <c r="X54" i="135" a="1"/>
  <c r="P54" i="135" a="1"/>
  <c r="L54" i="135" a="1"/>
  <c r="E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L4" i="140" l="1"/>
  <c r="H10" i="140"/>
  <c r="H12" i="140"/>
  <c r="H14" i="140"/>
  <c r="H16" i="140"/>
  <c r="H18" i="140"/>
  <c r="H20" i="140"/>
  <c r="H22" i="140"/>
  <c r="H24" i="140"/>
  <c r="H26" i="140"/>
  <c r="F13" i="140"/>
  <c r="F17" i="140"/>
  <c r="F21" i="140"/>
  <c r="F25" i="140"/>
  <c r="F26" i="140"/>
  <c r="G11" i="140"/>
  <c r="G13" i="140"/>
  <c r="G15" i="140"/>
  <c r="G17" i="140"/>
  <c r="G19" i="140"/>
  <c r="G21" i="140"/>
  <c r="G23" i="140"/>
  <c r="G25" i="140"/>
  <c r="F10" i="140"/>
  <c r="F14" i="140"/>
  <c r="F18" i="140"/>
  <c r="F22" i="140"/>
  <c r="F9" i="140"/>
  <c r="N4" i="140"/>
  <c r="G14" i="140"/>
  <c r="G18" i="140"/>
  <c r="G22" i="140"/>
  <c r="G26" i="140"/>
  <c r="F16" i="140"/>
  <c r="G9" i="140"/>
  <c r="G10" i="140"/>
  <c r="G16" i="140"/>
  <c r="G20" i="140"/>
  <c r="F12" i="140"/>
  <c r="F24" i="140"/>
  <c r="H9" i="140"/>
  <c r="H11" i="140"/>
  <c r="H13" i="140"/>
  <c r="H15" i="140"/>
  <c r="H17" i="140"/>
  <c r="H19" i="140"/>
  <c r="H21" i="140"/>
  <c r="H23" i="140"/>
  <c r="H25" i="140"/>
  <c r="F11" i="140"/>
  <c r="F15" i="140"/>
  <c r="F19" i="140"/>
  <c r="F23" i="140"/>
  <c r="G12" i="140"/>
  <c r="G24" i="140"/>
  <c r="F20" i="140"/>
  <c r="G10" i="13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F12" i="131"/>
  <c r="F13" i="131"/>
  <c r="F11" i="131"/>
  <c r="F15" i="131"/>
  <c r="H10" i="131" l="1"/>
  <c r="F27" i="140"/>
  <c r="J4" i="140" s="1"/>
  <c r="G27" i="140"/>
  <c r="O4" i="140" s="1"/>
  <c r="H27" i="140"/>
  <c r="D5" i="139"/>
  <c r="D7" i="139"/>
  <c r="D6" i="139"/>
  <c r="D70" i="50" s="1"/>
  <c r="AN191" i="89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AU257" i="89" l="1"/>
  <c r="AO191" i="89"/>
  <c r="P4" i="140"/>
  <c r="Q4" i="140" s="1"/>
  <c r="R4" i="140" s="1"/>
  <c r="D38" i="50" s="1"/>
  <c r="AN176" i="89" s="1"/>
  <c r="D8" i="139"/>
  <c r="J9" i="131"/>
  <c r="J17" i="131" s="1"/>
  <c r="D35" i="50" s="1"/>
  <c r="AN174" i="89" s="1"/>
  <c r="AU240" i="89" s="1"/>
  <c r="H17" i="131"/>
  <c r="M7" i="123"/>
  <c r="AU242" i="89" l="1"/>
  <c r="AO176" i="89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F19" i="82" l="1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H18" i="82"/>
  <c r="E20" i="58" l="1"/>
  <c r="B21" i="58"/>
  <c r="B20" i="58"/>
  <c r="J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6" i="49" l="1"/>
  <c r="Q107" i="49"/>
  <c r="Q108" i="49"/>
  <c r="Q109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7" i="89" s="1"/>
  <c r="AO174" i="89"/>
  <c r="D117" i="78"/>
  <c r="D119" i="78"/>
  <c r="D114" i="78"/>
  <c r="D115" i="78"/>
  <c r="C116" i="78"/>
  <c r="C114" i="78"/>
  <c r="C115" i="78"/>
  <c r="C119" i="78"/>
  <c r="C117" i="78"/>
  <c r="D116" i="78"/>
  <c r="AU243" i="89" l="1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9" i="89"/>
  <c r="AS245" i="89" s="1"/>
  <c r="AN179" i="89"/>
  <c r="AM171" i="89"/>
  <c r="AS237" i="89" s="1"/>
  <c r="B56" i="64"/>
  <c r="C56" i="64"/>
  <c r="B57" i="64"/>
  <c r="C57" i="64"/>
  <c r="B58" i="64"/>
  <c r="B59" i="64"/>
  <c r="B60" i="64"/>
  <c r="B53" i="64"/>
  <c r="C53" i="64"/>
  <c r="B54" i="64"/>
  <c r="C54" i="64"/>
  <c r="B51" i="64"/>
  <c r="B52" i="64"/>
  <c r="B50" i="64"/>
  <c r="AU245" i="89" l="1"/>
  <c r="AO179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8" i="49"/>
  <c r="Q180" i="49"/>
  <c r="Q181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J6" i="6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G13" i="78"/>
  <c r="D20" i="78"/>
  <c r="C13" i="78"/>
  <c r="D9" i="78"/>
  <c r="G10" i="78"/>
  <c r="D16" i="78"/>
  <c r="C20" i="78"/>
  <c r="D21" i="78"/>
  <c r="D13" i="78"/>
  <c r="C79" i="78"/>
  <c r="C16" i="78"/>
  <c r="D19" i="78"/>
  <c r="C93" i="78"/>
  <c r="C17" i="78"/>
  <c r="G9" i="78"/>
  <c r="G14" i="78"/>
  <c r="D15" i="78"/>
  <c r="C89" i="78"/>
  <c r="D11" i="78"/>
  <c r="D17" i="78"/>
  <c r="C83" i="78"/>
  <c r="C87" i="78"/>
  <c r="D10" i="78"/>
  <c r="C97" i="78"/>
  <c r="C19" i="78"/>
  <c r="C81" i="78"/>
  <c r="D12" i="78"/>
  <c r="C90" i="78"/>
  <c r="C82" i="78"/>
  <c r="C95" i="78"/>
  <c r="G11" i="78"/>
  <c r="D18" i="78"/>
  <c r="D14" i="78"/>
  <c r="C14" i="78"/>
  <c r="C18" i="78"/>
  <c r="C88" i="78"/>
  <c r="C84" i="78"/>
  <c r="C15" i="78"/>
  <c r="C80" i="78"/>
  <c r="C92" i="78"/>
  <c r="G12" i="78"/>
  <c r="C12" i="78"/>
  <c r="C94" i="78"/>
  <c r="G8" i="78"/>
  <c r="C91" i="78"/>
  <c r="C11" i="78"/>
  <c r="J16" i="61" l="1"/>
  <c r="AJ156" i="89" s="1"/>
  <c r="AK156" i="89" s="1"/>
  <c r="J21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I22" i="51" s="1"/>
  <c r="C7" i="51" s="1"/>
  <c r="C3" i="61"/>
  <c r="C25" i="78"/>
  <c r="I6" i="51"/>
  <c r="BB274" i="89"/>
  <c r="X9" i="89"/>
  <c r="X10" i="89" s="1"/>
  <c r="G60" i="89"/>
  <c r="J85" i="89"/>
  <c r="L84" i="89"/>
  <c r="F60" i="89"/>
  <c r="G17" i="78"/>
  <c r="Q14" i="49" l="1"/>
  <c r="D18" i="64"/>
  <c r="AU212" i="89" s="1"/>
  <c r="P214" i="49"/>
  <c r="N15" i="78"/>
  <c r="F70" i="89"/>
  <c r="G70" i="89"/>
  <c r="AT226" i="89"/>
  <c r="AW214" i="89" s="1"/>
  <c r="AY214" i="89" s="1"/>
  <c r="J97" i="89"/>
  <c r="AT220" i="89"/>
  <c r="AT219" i="89" s="1"/>
  <c r="L85" i="89"/>
  <c r="N103" i="89" l="1"/>
  <c r="K76" i="89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50" i="85"/>
  <c r="C32" i="85"/>
  <c r="C156" i="85"/>
  <c r="C73" i="85"/>
  <c r="C8" i="85"/>
  <c r="C20" i="85"/>
  <c r="C102" i="85"/>
  <c r="C87" i="85"/>
  <c r="C154" i="85"/>
  <c r="C142" i="85"/>
  <c r="C15" i="85"/>
  <c r="C107" i="85"/>
  <c r="C123" i="85"/>
  <c r="C17" i="85"/>
  <c r="C108" i="85"/>
  <c r="C158" i="85"/>
  <c r="C19" i="85"/>
  <c r="C45" i="85"/>
  <c r="C113" i="85"/>
  <c r="C100" i="85"/>
  <c r="C12" i="85"/>
  <c r="C110" i="85"/>
  <c r="C153" i="85"/>
  <c r="C96" i="85"/>
  <c r="C98" i="85"/>
  <c r="C24" i="85"/>
  <c r="C37" i="85"/>
  <c r="C101" i="85"/>
  <c r="C36" i="85"/>
  <c r="C114" i="85"/>
  <c r="C103" i="85"/>
  <c r="C151" i="85"/>
  <c r="C119" i="85"/>
  <c r="C137" i="85"/>
  <c r="C5" i="85"/>
  <c r="C131" i="85"/>
  <c r="C129" i="85"/>
  <c r="C39" i="85"/>
  <c r="C144" i="85"/>
  <c r="C161" i="85"/>
  <c r="C138" i="85"/>
  <c r="C60" i="85"/>
  <c r="C106" i="85"/>
  <c r="C4" i="85"/>
  <c r="C134" i="85"/>
  <c r="C9" i="85"/>
  <c r="C57" i="85"/>
  <c r="C3" i="85"/>
  <c r="C143" i="85"/>
  <c r="C16" i="85"/>
  <c r="C162" i="85"/>
  <c r="C97" i="85"/>
  <c r="C13" i="85"/>
  <c r="C139" i="85"/>
  <c r="C6" i="85"/>
  <c r="C155" i="85"/>
  <c r="C157" i="85"/>
  <c r="C21" i="85"/>
  <c r="C25" i="85"/>
  <c r="C149" i="85"/>
  <c r="C165" i="85"/>
  <c r="C147" i="85"/>
  <c r="C44" i="85"/>
  <c r="C167" i="85"/>
  <c r="C125" i="85"/>
  <c r="C71" i="85"/>
  <c r="C146" i="85"/>
  <c r="C11" i="85"/>
  <c r="C111" i="85"/>
  <c r="C163" i="85"/>
  <c r="C164" i="85"/>
  <c r="C160" i="85"/>
  <c r="C145" i="85"/>
  <c r="C133" i="85"/>
  <c r="C117" i="85"/>
  <c r="C132" i="85"/>
  <c r="C77" i="85"/>
  <c r="C148" i="85"/>
  <c r="C18" i="85"/>
  <c r="C7" i="85"/>
  <c r="C90" i="85"/>
  <c r="C109" i="85"/>
  <c r="C112" i="85"/>
  <c r="C10" i="85"/>
  <c r="C99" i="85"/>
  <c r="C38" i="85"/>
  <c r="C127" i="85"/>
  <c r="C105" i="85"/>
  <c r="C140" i="85"/>
  <c r="C115" i="85"/>
  <c r="C23" i="85"/>
  <c r="C104" i="85"/>
  <c r="C152" i="85"/>
  <c r="C26" i="85"/>
  <c r="C166" i="85"/>
  <c r="C95" i="85"/>
  <c r="C141" i="85"/>
  <c r="C159" i="85"/>
  <c r="C130" i="85"/>
  <c r="C14" i="85"/>
  <c r="C121" i="85"/>
  <c r="C46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193" i="49"/>
  <c r="P188" i="49"/>
  <c r="P175" i="49"/>
  <c r="P174" i="49"/>
  <c r="P156" i="49"/>
  <c r="P155" i="49"/>
  <c r="P10" i="49"/>
  <c r="P9" i="49"/>
  <c r="M49" i="25" l="1"/>
  <c r="B48" i="25"/>
  <c r="C22" i="25"/>
  <c r="H14" i="25"/>
  <c r="I14" i="25" s="1"/>
  <c r="J14" i="25" s="1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82" i="85"/>
  <c r="C22" i="85"/>
  <c r="C135" i="85"/>
  <c r="C136" i="85"/>
  <c r="C70" i="85"/>
  <c r="C88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K41" i="58" s="1"/>
  <c r="L41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8" i="49"/>
  <c r="P1728" i="49" s="1"/>
  <c r="Q1729" i="49"/>
  <c r="P1729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C72" i="85"/>
  <c r="E74" i="78"/>
  <c r="G74" i="78"/>
  <c r="D74" i="78"/>
  <c r="S74" i="78"/>
  <c r="U74" i="78"/>
  <c r="N74" i="78"/>
  <c r="L74" i="78"/>
  <c r="K74" i="78"/>
  <c r="T74" i="78"/>
  <c r="Q74" i="78"/>
  <c r="I74" i="78"/>
  <c r="O74" i="78"/>
  <c r="H74" i="78"/>
  <c r="J74" i="78"/>
  <c r="R74" i="78"/>
  <c r="F74" i="78"/>
  <c r="M74" i="78"/>
  <c r="P74" i="78"/>
  <c r="C30" i="85"/>
  <c r="H73" i="51" l="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L7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L9" i="58" s="1"/>
  <c r="L16" i="58" s="1"/>
  <c r="K17" i="39"/>
  <c r="E16" i="87"/>
  <c r="E21" i="87" s="1"/>
  <c r="D31" i="64" s="1"/>
  <c r="C21" i="87"/>
  <c r="I13" i="25"/>
  <c r="H15" i="25"/>
  <c r="H17" i="25" s="1"/>
  <c r="B46" i="25"/>
  <c r="P73" i="78"/>
  <c r="K73" i="78"/>
  <c r="R73" i="78"/>
  <c r="H73" i="78"/>
  <c r="J73" i="78"/>
  <c r="F73" i="78"/>
  <c r="M73" i="78"/>
  <c r="G73" i="78"/>
  <c r="S73" i="78"/>
  <c r="U73" i="78"/>
  <c r="T73" i="78"/>
  <c r="L73" i="78"/>
  <c r="E73" i="78"/>
  <c r="D73" i="78"/>
  <c r="O73" i="78"/>
  <c r="Q73" i="78"/>
  <c r="I73" i="78"/>
  <c r="N73" i="78"/>
  <c r="M24" i="58" l="1"/>
  <c r="M16" i="58"/>
  <c r="H19" i="25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AV224" i="89" s="1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L17" i="58" s="1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G72" i="78"/>
  <c r="J72" i="78"/>
  <c r="D72" i="78"/>
  <c r="S72" i="78"/>
  <c r="L72" i="78"/>
  <c r="T72" i="78"/>
  <c r="H72" i="78"/>
  <c r="Q72" i="78"/>
  <c r="M72" i="78"/>
  <c r="K72" i="78"/>
  <c r="R72" i="78"/>
  <c r="N72" i="78"/>
  <c r="U72" i="78"/>
  <c r="F72" i="78"/>
  <c r="O72" i="78"/>
  <c r="I72" i="78"/>
  <c r="P72" i="78"/>
  <c r="E72" i="78"/>
  <c r="D39" i="50" l="1"/>
  <c r="D40" i="50"/>
  <c r="Q112" i="49" s="1"/>
  <c r="P112" i="49" s="1"/>
  <c r="H20" i="25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T71" i="78"/>
  <c r="R71" i="78"/>
  <c r="G71" i="78"/>
  <c r="U71" i="78"/>
  <c r="S71" i="78"/>
  <c r="P71" i="78"/>
  <c r="L71" i="78"/>
  <c r="D71" i="78"/>
  <c r="H71" i="78"/>
  <c r="N71" i="78"/>
  <c r="O71" i="78"/>
  <c r="J71" i="78"/>
  <c r="C55" i="85"/>
  <c r="K71" i="78"/>
  <c r="F71" i="78"/>
  <c r="I71" i="78"/>
  <c r="E71" i="78"/>
  <c r="M71" i="78"/>
  <c r="Q71" i="78"/>
  <c r="AN180" i="89" l="1"/>
  <c r="C60" i="64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76" i="49"/>
  <c r="P14" i="49"/>
  <c r="Q168" i="49"/>
  <c r="P168" i="49" s="1"/>
  <c r="C6" i="64"/>
  <c r="B43" i="25"/>
  <c r="N44" i="25"/>
  <c r="U70" i="78"/>
  <c r="J70" i="78"/>
  <c r="Q70" i="78"/>
  <c r="D70" i="78"/>
  <c r="L70" i="78"/>
  <c r="T70" i="78"/>
  <c r="R70" i="78"/>
  <c r="N70" i="78"/>
  <c r="M70" i="78"/>
  <c r="I70" i="78"/>
  <c r="K70" i="78"/>
  <c r="G70" i="78"/>
  <c r="S70" i="78"/>
  <c r="O70" i="78"/>
  <c r="E70" i="78"/>
  <c r="P70" i="78"/>
  <c r="H70" i="78"/>
  <c r="F70" i="78"/>
  <c r="AU246" i="89" l="1"/>
  <c r="AO180" i="89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N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I69" i="78"/>
  <c r="S69" i="78"/>
  <c r="R69" i="78"/>
  <c r="F69" i="78"/>
  <c r="K69" i="78"/>
  <c r="O69" i="78"/>
  <c r="U69" i="78"/>
  <c r="H69" i="78"/>
  <c r="Q69" i="78"/>
  <c r="T69" i="78"/>
  <c r="D69" i="78"/>
  <c r="M69" i="78"/>
  <c r="P69" i="78"/>
  <c r="N69" i="78"/>
  <c r="E69" i="78"/>
  <c r="G69" i="78"/>
  <c r="J69" i="78"/>
  <c r="L69" i="78"/>
  <c r="AW245" i="89" l="1"/>
  <c r="AY245" i="89" s="1"/>
  <c r="AW257" i="89"/>
  <c r="AY257" i="89" s="1"/>
  <c r="AW246" i="89"/>
  <c r="AY246" i="89" s="1"/>
  <c r="AW247" i="89"/>
  <c r="AY247" i="89" s="1"/>
  <c r="AW248" i="89"/>
  <c r="AY248" i="89" s="1"/>
  <c r="AW249" i="89"/>
  <c r="AY249" i="89" s="1"/>
  <c r="AW250" i="89"/>
  <c r="AY250" i="89" s="1"/>
  <c r="AW251" i="89"/>
  <c r="AY251" i="89" s="1"/>
  <c r="AW252" i="89"/>
  <c r="AY252" i="89" s="1"/>
  <c r="AW253" i="89"/>
  <c r="AY253" i="89" s="1"/>
  <c r="AW255" i="89"/>
  <c r="AY255" i="89" s="1"/>
  <c r="AW260" i="89"/>
  <c r="AY260" i="89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2" i="89"/>
  <c r="AW243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I68" i="78"/>
  <c r="M68" i="78"/>
  <c r="N68" i="78"/>
  <c r="D68" i="78"/>
  <c r="O68" i="78"/>
  <c r="L68" i="78"/>
  <c r="P68" i="78"/>
  <c r="J68" i="78"/>
  <c r="E68" i="78"/>
  <c r="T68" i="78"/>
  <c r="U68" i="78"/>
  <c r="G68" i="78"/>
  <c r="S68" i="78"/>
  <c r="F68" i="78"/>
  <c r="H68" i="78"/>
  <c r="R68" i="78"/>
  <c r="K68" i="78"/>
  <c r="Q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T67" i="78"/>
  <c r="G67" i="78"/>
  <c r="Q67" i="78"/>
  <c r="P67" i="78"/>
  <c r="S67" i="78"/>
  <c r="J67" i="78"/>
  <c r="K67" i="78"/>
  <c r="I67" i="78"/>
  <c r="U67" i="78"/>
  <c r="L67" i="78"/>
  <c r="O67" i="78"/>
  <c r="F67" i="78"/>
  <c r="D67" i="78"/>
  <c r="E67" i="78"/>
  <c r="M67" i="78"/>
  <c r="R67" i="78"/>
  <c r="N67" i="78"/>
  <c r="H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L66" i="78"/>
  <c r="M66" i="78"/>
  <c r="E66" i="78"/>
  <c r="H66" i="78"/>
  <c r="I66" i="78"/>
  <c r="P66" i="78"/>
  <c r="S66" i="78"/>
  <c r="N66" i="78"/>
  <c r="J66" i="78"/>
  <c r="D66" i="78"/>
  <c r="U66" i="78"/>
  <c r="O66" i="78"/>
  <c r="Q66" i="78"/>
  <c r="G66" i="78"/>
  <c r="T66" i="78"/>
  <c r="R66" i="78"/>
  <c r="K66" i="78"/>
  <c r="F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I65" i="78"/>
  <c r="O65" i="78"/>
  <c r="D65" i="78"/>
  <c r="M65" i="78"/>
  <c r="E65" i="78"/>
  <c r="J65" i="78"/>
  <c r="K65" i="78"/>
  <c r="F65" i="78"/>
  <c r="P65" i="78"/>
  <c r="G65" i="78"/>
  <c r="H65" i="78"/>
  <c r="S65" i="78"/>
  <c r="R65" i="78"/>
  <c r="U65" i="78"/>
  <c r="N65" i="78"/>
  <c r="L65" i="78"/>
  <c r="Q65" i="78"/>
  <c r="T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J64" i="78"/>
  <c r="S64" i="78"/>
  <c r="N64" i="78"/>
  <c r="M64" i="78"/>
  <c r="L64" i="78"/>
  <c r="P64" i="78"/>
  <c r="U64" i="78"/>
  <c r="D64" i="78"/>
  <c r="H64" i="78"/>
  <c r="R64" i="78"/>
  <c r="I64" i="78"/>
  <c r="T64" i="78"/>
  <c r="G64" i="78"/>
  <c r="K64" i="78"/>
  <c r="F64" i="78"/>
  <c r="E64" i="78"/>
  <c r="O64" i="78"/>
  <c r="Q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J63" i="78"/>
  <c r="D63" i="78"/>
  <c r="N63" i="78"/>
  <c r="O63" i="78"/>
  <c r="G63" i="78"/>
  <c r="S63" i="78"/>
  <c r="H63" i="78"/>
  <c r="P63" i="78"/>
  <c r="E63" i="78"/>
  <c r="K63" i="78"/>
  <c r="M63" i="78"/>
  <c r="U63" i="78"/>
  <c r="Q63" i="78"/>
  <c r="L63" i="78"/>
  <c r="R63" i="78"/>
  <c r="F63" i="78"/>
  <c r="I63" i="78"/>
  <c r="T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J78" i="89" l="1"/>
  <c r="AT212" i="89" s="1"/>
  <c r="C18" i="64"/>
  <c r="AT213" i="89"/>
  <c r="R68" i="25"/>
  <c r="X67" i="25"/>
  <c r="R67" i="25"/>
  <c r="P67" i="25"/>
  <c r="P68" i="25"/>
  <c r="O80" i="25"/>
  <c r="C36" i="25"/>
  <c r="D36" i="25" s="1"/>
  <c r="G36" i="25"/>
  <c r="H36" i="25" s="1"/>
  <c r="O36" i="25"/>
  <c r="P36" i="25" s="1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AV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K78" i="89" l="1"/>
  <c r="L78" i="89"/>
  <c r="AW212" i="89"/>
  <c r="AY212" i="89" s="1"/>
  <c r="AV212" i="89"/>
  <c r="X66" i="25"/>
  <c r="R66" i="25"/>
  <c r="P66" i="25"/>
  <c r="C35" i="25"/>
  <c r="D35" i="25" s="1"/>
  <c r="G35" i="25"/>
  <c r="H35" i="25" s="1"/>
  <c r="AW215" i="89"/>
  <c r="AY215" i="89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18" i="89"/>
  <c r="AW218" i="89" s="1"/>
  <c r="K82" i="89"/>
  <c r="K83" i="89"/>
  <c r="AV216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O34" i="25"/>
  <c r="P34" i="25" s="1"/>
  <c r="Q34" i="25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AW222" i="89" l="1"/>
  <c r="AV222" i="89"/>
  <c r="X59" i="25"/>
  <c r="R59" i="25"/>
  <c r="P59" i="25"/>
  <c r="V59" i="25"/>
  <c r="T59" i="25"/>
  <c r="T27" i="25"/>
  <c r="V27" i="25"/>
  <c r="L59" i="25"/>
  <c r="D59" i="25"/>
  <c r="P27" i="25"/>
  <c r="R27" i="25"/>
  <c r="AY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D25" i="25"/>
  <c r="D49" i="25" s="1"/>
  <c r="H25" i="25"/>
  <c r="H49" i="25" s="1"/>
  <c r="D27" i="50" s="1"/>
  <c r="AN171" i="89" s="1"/>
  <c r="D11" i="50" l="1"/>
  <c r="D10" i="50"/>
  <c r="AN172" i="89"/>
  <c r="AU238" i="89" s="1"/>
  <c r="AW238" i="89" s="1"/>
  <c r="I15" i="135"/>
  <c r="D82" i="50" s="1"/>
  <c r="AN178" i="89" s="1"/>
  <c r="X56" i="25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C51" i="64"/>
  <c r="D51" i="64" s="1"/>
  <c r="E51" i="64" s="1"/>
  <c r="D9" i="50"/>
  <c r="AY240" i="89"/>
  <c r="C52" i="64"/>
  <c r="D52" i="64" s="1"/>
  <c r="E52" i="64" s="1"/>
  <c r="C50" i="64"/>
  <c r="D50" i="64" s="1"/>
  <c r="E50" i="64" s="1"/>
  <c r="Q101" i="49"/>
  <c r="P101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AU244" i="89" l="1"/>
  <c r="AW244" i="89" s="1"/>
  <c r="AY244" i="89" s="1"/>
  <c r="AO178" i="89"/>
  <c r="AO172" i="89"/>
  <c r="Q249" i="49"/>
  <c r="P249" i="49" s="1"/>
  <c r="C99" i="64"/>
  <c r="D99" i="64" s="1"/>
  <c r="E99" i="64" s="1"/>
  <c r="X55" i="25"/>
  <c r="X80" i="25" s="1"/>
  <c r="G31" i="135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M36" i="51"/>
  <c r="D18" i="50" s="1"/>
  <c r="G32" i="135" l="1"/>
  <c r="C98" i="64" s="1"/>
  <c r="D98" i="64" s="1"/>
  <c r="E98" i="64" s="1"/>
  <c r="G27" i="135"/>
  <c r="G25" i="135"/>
  <c r="G33" i="135" s="1"/>
  <c r="G30" i="135"/>
  <c r="G28" i="135"/>
  <c r="G26" i="135"/>
  <c r="G29" i="135"/>
  <c r="M43" i="51"/>
  <c r="D19" i="50"/>
  <c r="AN167" i="89" s="1"/>
  <c r="AU234" i="89" s="1"/>
  <c r="AW234" i="89" s="1"/>
  <c r="Q93" i="49"/>
  <c r="P93" i="49" s="1"/>
  <c r="E20" i="50"/>
  <c r="Q127" i="49" s="1"/>
  <c r="P127" i="49" s="1"/>
  <c r="P114" i="49"/>
  <c r="Q117" i="49"/>
  <c r="Q91" i="49"/>
  <c r="P91" i="49" s="1"/>
  <c r="Q248" i="49"/>
  <c r="P248" i="49" s="1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O167" i="89" l="1"/>
  <c r="Q92" i="49"/>
  <c r="P92" i="49" s="1"/>
  <c r="E19" i="50"/>
  <c r="Q126" i="49" s="1"/>
  <c r="P126" i="49" s="1"/>
  <c r="D13" i="50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N166" i="89" l="1"/>
  <c r="AY239" i="89"/>
  <c r="E13" i="50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O170" i="8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2" i="49" l="1"/>
  <c r="P1732" i="49" s="1"/>
  <c r="E9" i="82"/>
  <c r="C10" i="82"/>
  <c r="Q1733" i="49" s="1"/>
  <c r="P1733" i="49" s="1"/>
  <c r="E10" i="82"/>
  <c r="Q1731" i="49" s="1"/>
  <c r="P1731" i="49" s="1"/>
  <c r="Q1730" i="49" l="1"/>
  <c r="P1730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Q24" i="49"/>
  <c r="P24" i="49" s="1"/>
  <c r="E26" i="64"/>
  <c r="C30" i="95"/>
  <c r="C21" i="95"/>
  <c r="AW223" i="89" l="1"/>
  <c r="AV223" i="89"/>
  <c r="Q218" i="49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AY223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s="1"/>
  <c r="AN197" i="89" l="1"/>
  <c r="D55" i="64"/>
  <c r="E55" i="64" s="1"/>
  <c r="C44" i="64"/>
  <c r="D44" i="64" s="1"/>
  <c r="E44" i="64" s="1"/>
  <c r="AU241" i="89"/>
  <c r="AW241" i="89" l="1"/>
  <c r="AY241" i="89" l="1"/>
  <c r="AW261" i="89"/>
  <c r="Q237" i="49"/>
  <c r="P237" i="49" s="1"/>
  <c r="E70" i="50"/>
  <c r="C87" i="64"/>
  <c r="D87" i="64" s="1"/>
  <c r="E87" i="64" s="1"/>
  <c r="V32" i="58" l="1"/>
  <c r="V34" i="58" s="1"/>
  <c r="V52" i="58" s="1"/>
  <c r="V56" i="58" s="1"/>
  <c r="Q11" i="58" l="1"/>
  <c r="Q13" i="58" s="1"/>
  <c r="R13" i="58" s="1"/>
  <c r="R15" i="58" s="1"/>
  <c r="N13" i="58"/>
  <c r="Q37" i="49" s="1"/>
  <c r="P37" i="49" s="1"/>
  <c r="N16" i="58"/>
  <c r="N17" i="58"/>
  <c r="Q32" i="49" l="1"/>
  <c r="P32" i="49" s="1"/>
  <c r="Q33" i="49"/>
  <c r="P33" i="49" s="1"/>
  <c r="S15" i="58"/>
  <c r="Q15" i="58"/>
  <c r="C10" i="58"/>
  <c r="T124" i="89" s="1"/>
  <c r="U124" i="89" s="1"/>
  <c r="K35" i="39"/>
  <c r="N15" i="58"/>
  <c r="Q112" i="89" s="1"/>
  <c r="N14" i="58"/>
  <c r="Q113" i="89" s="1"/>
  <c r="Q114" i="89" l="1"/>
  <c r="Q36" i="49"/>
  <c r="P36" i="49" s="1"/>
  <c r="K36" i="39"/>
  <c r="C99" i="39" s="1"/>
  <c r="Q16" i="58"/>
  <c r="R16" i="58" s="1"/>
  <c r="R17" i="58" s="1"/>
  <c r="Q18" i="58" s="1"/>
  <c r="Q38" i="49"/>
  <c r="P38" i="49" s="1"/>
  <c r="N19" i="58"/>
  <c r="L19" i="58" s="1"/>
  <c r="Q165" i="49"/>
  <c r="P165" i="49" s="1"/>
  <c r="N18" i="58"/>
  <c r="L18" i="58" l="1"/>
  <c r="Q35" i="49"/>
  <c r="P35" i="49" s="1"/>
  <c r="C12" i="58"/>
  <c r="Q34" i="49"/>
  <c r="P34" i="49" s="1"/>
  <c r="Q166" i="49"/>
  <c r="P166" i="49" s="1"/>
  <c r="C11" i="58"/>
  <c r="Q17" i="58"/>
  <c r="L35" i="58" l="1"/>
  <c r="Q274" i="49" s="1"/>
  <c r="P274" i="49" s="1"/>
  <c r="T123" i="89"/>
  <c r="C9" i="58"/>
  <c r="Q179" i="49" l="1"/>
  <c r="P179" i="49" s="1"/>
  <c r="L8" i="51"/>
  <c r="C5" i="58"/>
  <c r="U123" i="89"/>
  <c r="T122" i="89"/>
  <c r="T125" i="89" s="1"/>
  <c r="D77" i="50" l="1"/>
  <c r="E77" i="50" s="1"/>
  <c r="D78" i="50"/>
  <c r="E78" i="50" s="1"/>
  <c r="D79" i="50"/>
  <c r="E79" i="50" s="1"/>
  <c r="D80" i="50"/>
  <c r="E80" i="50" s="1"/>
  <c r="D76" i="50"/>
  <c r="D61" i="50"/>
  <c r="D59" i="50"/>
  <c r="D60" i="50"/>
  <c r="Q227" i="49" s="1"/>
  <c r="P227" i="49" s="1"/>
  <c r="D58" i="50"/>
  <c r="D57" i="50"/>
  <c r="Q158" i="49"/>
  <c r="P158" i="49" s="1"/>
  <c r="Q177" i="49"/>
  <c r="P177" i="49" s="1"/>
  <c r="D65" i="50"/>
  <c r="D67" i="50"/>
  <c r="D72" i="50"/>
  <c r="Q31" i="49"/>
  <c r="P31" i="49" s="1"/>
  <c r="L6" i="51"/>
  <c r="L10" i="51" s="1"/>
  <c r="N30" i="58"/>
  <c r="D73" i="50"/>
  <c r="D66" i="50"/>
  <c r="D71" i="50"/>
  <c r="D69" i="50"/>
  <c r="D68" i="50"/>
  <c r="D75" i="50"/>
  <c r="D74" i="50"/>
  <c r="D62" i="50"/>
  <c r="E76" i="50" l="1"/>
  <c r="AN193" i="89"/>
  <c r="AU259" i="89" s="1"/>
  <c r="AW259" i="89" s="1"/>
  <c r="AY259" i="89" s="1"/>
  <c r="AN192" i="89"/>
  <c r="AU258" i="89" s="1"/>
  <c r="AW258" i="89" s="1"/>
  <c r="AY258" i="89" s="1"/>
  <c r="AN190" i="89"/>
  <c r="AU256" i="89" s="1"/>
  <c r="AW256" i="89" s="1"/>
  <c r="AY256" i="89" s="1"/>
  <c r="C94" i="64"/>
  <c r="D94" i="64" s="1"/>
  <c r="E94" i="64" s="1"/>
  <c r="Q244" i="49"/>
  <c r="P244" i="49" s="1"/>
  <c r="Q247" i="49"/>
  <c r="P247" i="49" s="1"/>
  <c r="C97" i="64"/>
  <c r="D97" i="64" s="1"/>
  <c r="E97" i="64" s="1"/>
  <c r="C96" i="64"/>
  <c r="D96" i="64" s="1"/>
  <c r="E96" i="64" s="1"/>
  <c r="Q246" i="49"/>
  <c r="P246" i="49" s="1"/>
  <c r="C95" i="64"/>
  <c r="D95" i="64" s="1"/>
  <c r="E95" i="64" s="1"/>
  <c r="Q245" i="49"/>
  <c r="P245" i="49" s="1"/>
  <c r="C93" i="64"/>
  <c r="D93" i="64" s="1"/>
  <c r="E93" i="64" s="1"/>
  <c r="Q243" i="49"/>
  <c r="P243" i="49" s="1"/>
  <c r="L9" i="51"/>
  <c r="E60" i="50"/>
  <c r="C77" i="64"/>
  <c r="D77" i="64" s="1"/>
  <c r="E77" i="64" s="1"/>
  <c r="Q241" i="49"/>
  <c r="P241" i="49" s="1"/>
  <c r="E74" i="50"/>
  <c r="C91" i="64"/>
  <c r="D91" i="64" s="1"/>
  <c r="E91" i="64" s="1"/>
  <c r="Q240" i="49"/>
  <c r="P240" i="49" s="1"/>
  <c r="E73" i="50"/>
  <c r="C90" i="64"/>
  <c r="D90" i="64" s="1"/>
  <c r="E90" i="64" s="1"/>
  <c r="Q242" i="49"/>
  <c r="P242" i="49" s="1"/>
  <c r="E75" i="50"/>
  <c r="C92" i="64"/>
  <c r="D92" i="64" s="1"/>
  <c r="E92" i="64" s="1"/>
  <c r="Q238" i="49"/>
  <c r="P238" i="49" s="1"/>
  <c r="E71" i="50"/>
  <c r="C88" i="64"/>
  <c r="D88" i="64" s="1"/>
  <c r="E88" i="64" s="1"/>
  <c r="Q234" i="49"/>
  <c r="P234" i="49" s="1"/>
  <c r="E67" i="50"/>
  <c r="C84" i="64"/>
  <c r="D84" i="64" s="1"/>
  <c r="E84" i="64" s="1"/>
  <c r="Q235" i="49"/>
  <c r="P235" i="49" s="1"/>
  <c r="E68" i="50"/>
  <c r="C85" i="64"/>
  <c r="D85" i="64" s="1"/>
  <c r="E85" i="64" s="1"/>
  <c r="Q233" i="49"/>
  <c r="P233" i="49" s="1"/>
  <c r="E66" i="50"/>
  <c r="C83" i="64"/>
  <c r="D83" i="64" s="1"/>
  <c r="E83" i="64" s="1"/>
  <c r="Q232" i="49"/>
  <c r="P232" i="49" s="1"/>
  <c r="E65" i="50"/>
  <c r="C82" i="64"/>
  <c r="D82" i="64" s="1"/>
  <c r="E82" i="64" s="1"/>
  <c r="Q228" i="49"/>
  <c r="P228" i="49" s="1"/>
  <c r="E61" i="50"/>
  <c r="C78" i="64"/>
  <c r="D78" i="64" s="1"/>
  <c r="E78" i="64" s="1"/>
  <c r="Q239" i="49"/>
  <c r="P239" i="49" s="1"/>
  <c r="E72" i="50"/>
  <c r="C89" i="64"/>
  <c r="D89" i="64" s="1"/>
  <c r="E89" i="64" s="1"/>
  <c r="Q224" i="49"/>
  <c r="P224" i="49" s="1"/>
  <c r="E57" i="50"/>
  <c r="C74" i="64"/>
  <c r="D74" i="64" s="1"/>
  <c r="E74" i="64" s="1"/>
  <c r="AN188" i="89"/>
  <c r="AU254" i="89" s="1"/>
  <c r="T29" i="58"/>
  <c r="O30" i="58"/>
  <c r="AA141" i="89"/>
  <c r="Q229" i="49"/>
  <c r="P229" i="49" s="1"/>
  <c r="E62" i="50"/>
  <c r="C79" i="64"/>
  <c r="D79" i="64" s="1"/>
  <c r="E79" i="64" s="1"/>
  <c r="Q236" i="49"/>
  <c r="P236" i="49" s="1"/>
  <c r="E69" i="50"/>
  <c r="C86" i="64"/>
  <c r="D86" i="64" s="1"/>
  <c r="E86" i="64" s="1"/>
  <c r="Q225" i="49"/>
  <c r="P225" i="49" s="1"/>
  <c r="E58" i="50"/>
  <c r="C75" i="64"/>
  <c r="D75" i="64" s="1"/>
  <c r="E75" i="64" s="1"/>
  <c r="Q226" i="49"/>
  <c r="P226" i="49" s="1"/>
  <c r="E59" i="50"/>
  <c r="C76" i="64"/>
  <c r="D76" i="64" s="1"/>
  <c r="E76" i="64" s="1"/>
  <c r="AW254" i="89" l="1"/>
  <c r="AY254" i="89" s="1"/>
  <c r="AU261" i="89"/>
  <c r="AO188" i="89"/>
  <c r="AO190" i="89"/>
  <c r="AO192" i="89"/>
  <c r="AO193" i="89"/>
  <c r="AC141" i="89"/>
  <c r="AD141" i="89"/>
  <c r="C18" i="58"/>
  <c r="M54" i="58"/>
  <c r="N54" i="58" s="1"/>
  <c r="M56" i="58"/>
  <c r="N56" i="58" s="1"/>
  <c r="M58" i="58"/>
  <c r="N58" i="58" s="1"/>
  <c r="C20" i="58"/>
  <c r="C22" i="58"/>
  <c r="Q42" i="49" s="1"/>
  <c r="P42" i="49" s="1"/>
  <c r="M41" i="58"/>
  <c r="M43" i="58"/>
  <c r="N43" i="58" s="1"/>
  <c r="M45" i="58"/>
  <c r="N45" i="58" s="1"/>
  <c r="M47" i="58"/>
  <c r="N47" i="58" s="1"/>
  <c r="M53" i="58"/>
  <c r="M55" i="58"/>
  <c r="N55" i="58" s="1"/>
  <c r="M57" i="58"/>
  <c r="N57" i="58" s="1"/>
  <c r="M59" i="58"/>
  <c r="N59" i="58" s="1"/>
  <c r="C21" i="58"/>
  <c r="M42" i="58"/>
  <c r="N42" i="58" s="1"/>
  <c r="M44" i="58"/>
  <c r="N44" i="58" s="1"/>
  <c r="M46" i="58"/>
  <c r="N46" i="58" s="1"/>
  <c r="C68" i="58"/>
  <c r="U29" i="58"/>
  <c r="W29" i="58" s="1"/>
  <c r="T32" i="58"/>
  <c r="Q268" i="49" l="1"/>
  <c r="P268" i="49" s="1"/>
  <c r="F20" i="58"/>
  <c r="Q269" i="49" s="1"/>
  <c r="P269" i="49" s="1"/>
  <c r="F21" i="58"/>
  <c r="Q271" i="49" s="1"/>
  <c r="P271" i="49" s="1"/>
  <c r="Q270" i="49"/>
  <c r="P270" i="49" s="1"/>
  <c r="K60" i="58"/>
  <c r="M60" i="58"/>
  <c r="N53" i="58"/>
  <c r="N60" i="58" s="1"/>
  <c r="M48" i="58"/>
  <c r="N41" i="58"/>
  <c r="N48" i="58" s="1"/>
  <c r="K48" i="58"/>
  <c r="C23" i="58"/>
  <c r="E6" i="58" s="1"/>
  <c r="F18" i="58"/>
  <c r="Q44" i="49"/>
  <c r="P44" i="49" s="1"/>
  <c r="R11" i="58"/>
  <c r="AA139" i="89"/>
  <c r="E22" i="58" l="1"/>
  <c r="F22" i="58" s="1"/>
  <c r="Q43" i="49" s="1"/>
  <c r="P43" i="49" s="1"/>
  <c r="AC139" i="89"/>
  <c r="AC142" i="89" s="1"/>
  <c r="AD139" i="89"/>
  <c r="AA142" i="89"/>
  <c r="Q45" i="49"/>
  <c r="P45" i="49" s="1"/>
  <c r="L13" i="51"/>
  <c r="L14" i="51" s="1"/>
  <c r="C6" i="51" s="1"/>
  <c r="F23" i="58" l="1"/>
  <c r="D33" i="64" s="1"/>
  <c r="E23" i="58"/>
  <c r="C13" i="58" s="1"/>
  <c r="C14" i="58" s="1"/>
  <c r="AB142" i="89"/>
  <c r="C13" i="51"/>
  <c r="O7" i="51"/>
  <c r="D17" i="64"/>
  <c r="L73" i="39" l="1"/>
  <c r="D51" i="71" s="1"/>
  <c r="M73" i="39"/>
  <c r="Q40" i="49"/>
  <c r="P40" i="49" s="1"/>
  <c r="Q39" i="49"/>
  <c r="P39" i="49" s="1"/>
  <c r="Q159" i="49"/>
  <c r="P159" i="49" s="1"/>
  <c r="Q178" i="49"/>
  <c r="P178" i="49" s="1"/>
  <c r="Q13" i="49"/>
  <c r="P13" i="49" s="1"/>
  <c r="D14" i="64"/>
  <c r="E17" i="64"/>
  <c r="F17" i="64"/>
  <c r="K42" i="39" s="1"/>
  <c r="N102" i="89"/>
  <c r="AU211" i="89"/>
  <c r="C102" i="39"/>
  <c r="O9" i="51"/>
  <c r="O11" i="51" s="1"/>
  <c r="C13" i="137"/>
  <c r="F33" i="64"/>
  <c r="AE16" i="89"/>
  <c r="AU220" i="89"/>
  <c r="C14" i="137"/>
  <c r="E33" i="64"/>
  <c r="L10" i="89" s="1"/>
  <c r="D49" i="71" l="1"/>
  <c r="D48" i="71"/>
  <c r="D50" i="71"/>
  <c r="D47" i="71"/>
  <c r="D46" i="71"/>
  <c r="D45" i="71"/>
  <c r="D44" i="71"/>
  <c r="D43" i="71"/>
  <c r="D42" i="71"/>
  <c r="D41" i="71"/>
  <c r="D55" i="71"/>
  <c r="D54" i="71"/>
  <c r="D53" i="71"/>
  <c r="D52" i="71"/>
  <c r="D13" i="137"/>
  <c r="E13" i="137" s="1"/>
  <c r="D32" i="50" s="1"/>
  <c r="Q162" i="49"/>
  <c r="P162" i="49" s="1"/>
  <c r="E14" i="64"/>
  <c r="L8" i="89" s="1"/>
  <c r="AG16" i="89"/>
  <c r="F14" i="64"/>
  <c r="D14" i="137"/>
  <c r="E14" i="137" s="1"/>
  <c r="D33" i="50" s="1"/>
  <c r="AU219" i="89"/>
  <c r="AV220" i="89"/>
  <c r="AW220" i="89"/>
  <c r="AV211" i="89"/>
  <c r="AU208" i="89"/>
  <c r="AW211" i="89"/>
  <c r="D34" i="64"/>
  <c r="C5" i="64" s="1"/>
  <c r="O102" i="89"/>
  <c r="N109" i="89"/>
  <c r="D7" i="50" l="1"/>
  <c r="J73" i="39"/>
  <c r="Q105" i="49"/>
  <c r="P105" i="49" s="1"/>
  <c r="E33" i="50"/>
  <c r="Q139" i="49" s="1"/>
  <c r="P139" i="49" s="1"/>
  <c r="AW208" i="89"/>
  <c r="AY211" i="89"/>
  <c r="U11" i="89"/>
  <c r="AU227" i="89"/>
  <c r="AV208" i="89"/>
  <c r="AU226" i="89"/>
  <c r="AX208" i="89" s="1"/>
  <c r="Q160" i="49"/>
  <c r="P160" i="49" s="1"/>
  <c r="E34" i="64"/>
  <c r="F34" i="64"/>
  <c r="U9" i="89"/>
  <c r="AV219" i="89"/>
  <c r="Q104" i="49"/>
  <c r="P104" i="49" s="1"/>
  <c r="E32" i="50"/>
  <c r="AY220" i="89"/>
  <c r="AW219" i="89"/>
  <c r="AX219" i="89" l="1"/>
  <c r="T22" i="89" s="1"/>
  <c r="Q138" i="49"/>
  <c r="P138" i="49" s="1"/>
  <c r="Q137" i="49"/>
  <c r="P137" i="49" s="1"/>
  <c r="U15" i="89"/>
  <c r="T9" i="89" s="1"/>
  <c r="AY219" i="89"/>
  <c r="O12" i="51"/>
  <c r="O13" i="51" s="1"/>
  <c r="Q169" i="49"/>
  <c r="P169" i="49" s="1"/>
  <c r="D5" i="50"/>
  <c r="E82" i="50" s="1"/>
  <c r="E7" i="50" s="1"/>
  <c r="Q164" i="49"/>
  <c r="P164" i="49" s="1"/>
  <c r="Q171" i="49"/>
  <c r="P171" i="49" s="1"/>
  <c r="C52" i="89"/>
  <c r="C54" i="89" s="1"/>
  <c r="C7" i="64"/>
  <c r="AV227" i="89"/>
  <c r="AW227" i="89"/>
  <c r="AW229" i="89"/>
  <c r="AW262" i="89" s="1"/>
  <c r="AX227" i="89"/>
  <c r="AX212" i="89"/>
  <c r="T27" i="89" s="1"/>
  <c r="AX216" i="89"/>
  <c r="T26" i="89" s="1"/>
  <c r="AX224" i="89"/>
  <c r="AX226" i="89"/>
  <c r="AX209" i="89"/>
  <c r="T24" i="89" s="1"/>
  <c r="AX213" i="89"/>
  <c r="AX217" i="89"/>
  <c r="T30" i="89" s="1"/>
  <c r="AX221" i="89"/>
  <c r="T23" i="89" s="1"/>
  <c r="AX225" i="89"/>
  <c r="AX228" i="89"/>
  <c r="AX215" i="89"/>
  <c r="T29" i="89" s="1"/>
  <c r="AX223" i="89"/>
  <c r="AX210" i="89"/>
  <c r="T25" i="89" s="1"/>
  <c r="AX214" i="89"/>
  <c r="AX218" i="89"/>
  <c r="AX222" i="89"/>
  <c r="AX211" i="89"/>
  <c r="AX220" i="89"/>
  <c r="T11" i="89" l="1"/>
  <c r="T28" i="89"/>
  <c r="D10" i="64"/>
  <c r="T21" i="89"/>
  <c r="AY227" i="89"/>
  <c r="Q170" i="49"/>
  <c r="P170" i="49" s="1"/>
  <c r="C8" i="64"/>
  <c r="C9" i="64" s="1"/>
  <c r="AC5" i="89"/>
  <c r="AW263" i="89"/>
  <c r="F1" i="71"/>
  <c r="H1" i="78"/>
  <c r="H1" i="61"/>
  <c r="Q6" i="49"/>
  <c r="P6" i="49" s="1"/>
  <c r="G1" i="58"/>
  <c r="H1" i="87"/>
  <c r="I1" i="51"/>
  <c r="H1" i="50"/>
  <c r="H1" i="82"/>
  <c r="H1" i="25"/>
  <c r="U13" i="89"/>
  <c r="T8" i="89"/>
  <c r="T10" i="89"/>
  <c r="U12" i="89"/>
  <c r="T15" i="89" l="1"/>
  <c r="T31" i="89"/>
  <c r="L13" i="89"/>
  <c r="U14" i="89"/>
  <c r="H2" i="87"/>
  <c r="I2" i="51"/>
  <c r="F2" i="71"/>
  <c r="H2" i="50"/>
  <c r="Q8" i="49"/>
  <c r="P8" i="49" s="1"/>
  <c r="H2" i="78"/>
  <c r="H2" i="61"/>
  <c r="G2" i="58"/>
  <c r="H2" i="82"/>
  <c r="C10" i="64"/>
  <c r="H2" i="25"/>
  <c r="Q7" i="49"/>
  <c r="P7" i="49" s="1"/>
  <c r="L12" i="89"/>
  <c r="C55" i="89"/>
  <c r="C56" i="89" s="1"/>
  <c r="C929" i="85"/>
  <c r="C1342" i="85"/>
  <c r="C823" i="85"/>
  <c r="C1974" i="85"/>
  <c r="C1602" i="85"/>
  <c r="C1473" i="85"/>
  <c r="C598" i="85"/>
  <c r="C479" i="85"/>
  <c r="C833" i="85"/>
  <c r="C1320" i="85"/>
  <c r="C455" i="85"/>
  <c r="C1411" i="85"/>
  <c r="C454" i="85"/>
  <c r="C1403" i="85"/>
  <c r="C859" i="85"/>
  <c r="C1849" i="85"/>
  <c r="C653" i="85"/>
  <c r="C786" i="85"/>
  <c r="C452" i="85"/>
  <c r="C1230" i="85"/>
  <c r="C312" i="85"/>
  <c r="C1661" i="85"/>
  <c r="C397" i="85"/>
  <c r="C1356" i="85"/>
  <c r="C1421" i="85"/>
  <c r="C1341" i="85"/>
  <c r="C562" i="85"/>
  <c r="C1311" i="85"/>
  <c r="C950" i="85"/>
  <c r="C310" i="85"/>
  <c r="C740" i="85"/>
  <c r="C1040" i="85"/>
  <c r="C1145" i="85"/>
  <c r="C741" i="85"/>
  <c r="C1359" i="85"/>
  <c r="C1272" i="85"/>
  <c r="C1805" i="85"/>
  <c r="C958" i="85"/>
  <c r="C1826" i="85"/>
  <c r="C271" i="85"/>
  <c r="C1264" i="85"/>
  <c r="C1554" i="85"/>
  <c r="C1142" i="85"/>
  <c r="C1646" i="85"/>
  <c r="C1093" i="85"/>
  <c r="C69" i="85"/>
  <c r="C1413" i="85"/>
  <c r="C776" i="85"/>
  <c r="C949" i="85"/>
  <c r="C1391" i="85"/>
  <c r="C1362" i="85"/>
  <c r="C1334" i="85"/>
  <c r="C1819" i="85"/>
  <c r="C1780" i="85"/>
  <c r="C1355" i="85"/>
  <c r="C780" i="85"/>
  <c r="C288" i="85"/>
  <c r="C917" i="85"/>
  <c r="C1613" i="85"/>
  <c r="C524" i="85"/>
  <c r="C1782" i="85"/>
  <c r="C1295" i="85"/>
  <c r="C802" i="85"/>
  <c r="C175" i="85"/>
  <c r="C460" i="85"/>
  <c r="C1900" i="85"/>
  <c r="C777" i="85"/>
  <c r="C641" i="85"/>
  <c r="C494" i="85"/>
  <c r="C989" i="85"/>
  <c r="C66" i="85"/>
  <c r="C126" i="85"/>
  <c r="C1409" i="85"/>
  <c r="C762" i="85"/>
  <c r="C204" i="85"/>
  <c r="C746" i="85"/>
  <c r="C1729" i="85"/>
  <c r="C1179" i="85"/>
  <c r="C572" i="85"/>
  <c r="C51" i="85"/>
  <c r="C866" i="85"/>
  <c r="C957" i="85"/>
  <c r="C1016" i="85"/>
  <c r="C1855" i="85"/>
  <c r="C1717" i="85"/>
  <c r="C569" i="85"/>
  <c r="C1075" i="85"/>
  <c r="C1187" i="85"/>
  <c r="C1510" i="85"/>
  <c r="C1039" i="85"/>
  <c r="C1447" i="85"/>
  <c r="C403" i="85"/>
  <c r="C443" i="85"/>
  <c r="C1631" i="85"/>
  <c r="C1453" i="85"/>
  <c r="C1350" i="85"/>
  <c r="C226" i="85"/>
  <c r="C318" i="85"/>
  <c r="C887" i="85"/>
  <c r="C362" i="85"/>
  <c r="C955" i="85"/>
  <c r="C758" i="85"/>
  <c r="C1644" i="85"/>
  <c r="C385" i="85"/>
  <c r="C978" i="85"/>
  <c r="C222" i="85"/>
  <c r="C1624" i="85"/>
  <c r="C1283" i="85"/>
  <c r="C730" i="85"/>
  <c r="C1914" i="85"/>
  <c r="C1539" i="85"/>
  <c r="C998" i="85"/>
  <c r="C1022" i="85"/>
  <c r="C1810" i="85"/>
  <c r="C1749" i="85"/>
  <c r="C1837" i="85"/>
  <c r="C363" i="85"/>
  <c r="C195" i="85"/>
  <c r="C1770" i="85"/>
  <c r="C1141" i="85"/>
  <c r="C1653" i="85"/>
  <c r="C1218" i="85"/>
  <c r="C1622" i="85"/>
  <c r="C1968" i="85"/>
  <c r="C791" i="85"/>
  <c r="C294" i="85"/>
  <c r="C1364" i="85"/>
  <c r="C565" i="85"/>
  <c r="C212" i="85"/>
  <c r="C597" i="85"/>
  <c r="C1479" i="85"/>
  <c r="C1639" i="85"/>
  <c r="C1116" i="85"/>
  <c r="C1970" i="85"/>
  <c r="C1280" i="85"/>
  <c r="C1151" i="85"/>
  <c r="C210" i="85"/>
  <c r="C1765" i="85"/>
  <c r="C169" i="85"/>
  <c r="C93" i="85"/>
  <c r="C1227" i="85"/>
  <c r="C482" i="85"/>
  <c r="C1705" i="85"/>
  <c r="C557" i="85"/>
  <c r="C1287" i="85"/>
  <c r="C1596" i="85"/>
  <c r="C881" i="85"/>
  <c r="C1839" i="85"/>
  <c r="C675" i="85"/>
  <c r="C612" i="85"/>
  <c r="C896" i="85"/>
  <c r="C1094" i="85"/>
  <c r="C505" i="85"/>
  <c r="C756" i="85"/>
  <c r="C782" i="85"/>
  <c r="C1941" i="85"/>
  <c r="C679" i="85"/>
  <c r="C886" i="85"/>
  <c r="C458" i="85"/>
  <c r="C1202" i="85"/>
  <c r="C1303" i="85"/>
  <c r="C1493" i="85"/>
  <c r="C1496" i="85"/>
  <c r="C1995" i="85"/>
  <c r="C632" i="85"/>
  <c r="C1778" i="85"/>
  <c r="C1013" i="85"/>
  <c r="C338" i="85"/>
  <c r="C838" i="85"/>
  <c r="C1921" i="85"/>
  <c r="C1063" i="85"/>
  <c r="C1828" i="85"/>
  <c r="C1015" i="85"/>
  <c r="C1104" i="85"/>
  <c r="C1348" i="85"/>
  <c r="C1710" i="85"/>
  <c r="C252" i="85"/>
  <c r="C1224" i="85"/>
  <c r="C700" i="85"/>
  <c r="C1129" i="85"/>
  <c r="C357" i="85"/>
  <c r="C558" i="85"/>
  <c r="C1442" i="85"/>
  <c r="C1767" i="85"/>
  <c r="C1480" i="85"/>
  <c r="C334" i="85"/>
  <c r="C1620" i="85"/>
  <c r="C618" i="85"/>
  <c r="C662" i="85"/>
  <c r="C797" i="85"/>
  <c r="C1955" i="85"/>
  <c r="C1872" i="85"/>
  <c r="C1130" i="85"/>
  <c r="C392" i="85"/>
  <c r="C434" i="85"/>
  <c r="C914" i="85"/>
  <c r="C1802" i="85"/>
  <c r="C409" i="85"/>
  <c r="C276" i="85"/>
  <c r="C1301" i="85"/>
  <c r="C1024" i="85"/>
  <c r="C1531" i="85"/>
  <c r="C784" i="85"/>
  <c r="C678" i="85"/>
  <c r="C1651" i="85"/>
  <c r="C1634" i="85"/>
  <c r="C1188" i="85"/>
  <c r="C728" i="85"/>
  <c r="C1638" i="85"/>
  <c r="C1003" i="85"/>
  <c r="C1728" i="85"/>
  <c r="C283" i="85"/>
  <c r="C1406" i="85"/>
  <c r="C1521" i="85"/>
  <c r="C834" i="85"/>
  <c r="C1956" i="85"/>
  <c r="C1707" i="85"/>
  <c r="C1570" i="85"/>
  <c r="C1490" i="85"/>
  <c r="C921" i="85"/>
  <c r="C1741" i="85"/>
  <c r="C647" i="85"/>
  <c r="C1668" i="85"/>
  <c r="C118" i="85"/>
  <c r="C808" i="85"/>
  <c r="C1381" i="85"/>
  <c r="C548" i="85"/>
  <c r="C1065" i="85"/>
  <c r="C1587" i="85"/>
  <c r="C526" i="85"/>
  <c r="C1713" i="85"/>
  <c r="C1096" i="85"/>
  <c r="C2000" i="85"/>
  <c r="C941" i="85"/>
  <c r="C1146" i="85"/>
  <c r="C997" i="85"/>
  <c r="C1688" i="85"/>
  <c r="C561" i="85"/>
  <c r="C680" i="85"/>
  <c r="C1349" i="85"/>
  <c r="C1520" i="85"/>
  <c r="C568" i="85"/>
  <c r="C181" i="85"/>
  <c r="C1345" i="85"/>
  <c r="C586" i="85"/>
  <c r="C818" i="85"/>
  <c r="C1579" i="85"/>
  <c r="C1351" i="85"/>
  <c r="C974" i="85"/>
  <c r="C1484" i="85"/>
  <c r="C370" i="85"/>
  <c r="C1451" i="85"/>
  <c r="C1249" i="85"/>
  <c r="C1443" i="85"/>
  <c r="C1964" i="85"/>
  <c r="C1909" i="85"/>
  <c r="C177" i="85"/>
  <c r="C237" i="85"/>
  <c r="C1686" i="85"/>
  <c r="C1621" i="85"/>
  <c r="C1961" i="85"/>
  <c r="C613" i="85"/>
  <c r="C438" i="85"/>
  <c r="C372" i="85"/>
  <c r="C470" i="85"/>
  <c r="C277" i="85"/>
  <c r="C501" i="85"/>
  <c r="C1008" i="85"/>
  <c r="C1541" i="85"/>
  <c r="C1748" i="85"/>
  <c r="C816" i="85"/>
  <c r="C1028" i="85"/>
  <c r="C1156" i="85"/>
  <c r="C1689" i="85"/>
  <c r="C502" i="85"/>
  <c r="C1994" i="85"/>
  <c r="C1888" i="85"/>
  <c r="C1595" i="85"/>
  <c r="C496" i="85"/>
  <c r="C1524" i="85"/>
  <c r="C1669" i="85"/>
  <c r="C1823" i="85"/>
  <c r="C1026" i="85"/>
  <c r="C1212" i="85"/>
  <c r="C284" i="85"/>
  <c r="C80" i="85"/>
  <c r="C1803" i="85"/>
  <c r="C1534" i="85"/>
  <c r="C168" i="85"/>
  <c r="C1814" i="85"/>
  <c r="C1594" i="85"/>
  <c r="C560" i="85"/>
  <c r="C1240" i="85"/>
  <c r="C352" i="85"/>
  <c r="C320" i="85"/>
  <c r="C506" i="85"/>
  <c r="C341" i="85"/>
  <c r="C1722" i="85"/>
  <c r="C414" i="85"/>
  <c r="C1244" i="85"/>
  <c r="C1731" i="85"/>
  <c r="C1309" i="85"/>
  <c r="C1680" i="85"/>
  <c r="C1326" i="85"/>
  <c r="C576" i="85"/>
  <c r="C813" i="85"/>
  <c r="C1245" i="85"/>
  <c r="C27" i="85"/>
  <c r="C962" i="85"/>
  <c r="C817" i="85"/>
  <c r="C1519" i="85"/>
  <c r="C841" i="85"/>
  <c r="C1674" i="85"/>
  <c r="C122" i="85"/>
  <c r="C29" i="85"/>
  <c r="C996" i="85"/>
  <c r="C1012" i="85"/>
  <c r="C176" i="85"/>
  <c r="C1110" i="85"/>
  <c r="C1822" i="85"/>
  <c r="C938" i="85"/>
  <c r="C457" i="85"/>
  <c r="C335" i="85"/>
  <c r="C1184" i="85"/>
  <c r="C504" i="85"/>
  <c r="C987" i="85"/>
  <c r="C1543" i="85"/>
  <c r="C1426" i="85"/>
  <c r="C614" i="85"/>
  <c r="C555" i="85"/>
  <c r="C307" i="85"/>
  <c r="C83" i="85"/>
  <c r="C1702" i="85"/>
  <c r="C1606" i="85"/>
  <c r="C543" i="85"/>
  <c r="C1374" i="85"/>
  <c r="C1050" i="85"/>
  <c r="C170" i="85"/>
  <c r="C1366" i="85"/>
  <c r="C575" i="85"/>
  <c r="C1439" i="85"/>
  <c r="C1745" i="85"/>
  <c r="C267" i="85"/>
  <c r="C556" i="85"/>
  <c r="C907" i="85"/>
  <c r="C1917" i="85"/>
  <c r="C1931" i="85"/>
  <c r="C982" i="85"/>
  <c r="C1323" i="85"/>
  <c r="C1549" i="85"/>
  <c r="C1875" i="85"/>
  <c r="C906" i="85"/>
  <c r="C1953" i="85"/>
  <c r="C1877" i="85"/>
  <c r="C407" i="85"/>
  <c r="C520" i="85"/>
  <c r="C959" i="85"/>
  <c r="C343" i="85"/>
  <c r="C1988" i="85"/>
  <c r="C1273" i="85"/>
  <c r="C759" i="85"/>
  <c r="C1583" i="85"/>
  <c r="C1586" i="85"/>
  <c r="C1468" i="85"/>
  <c r="C743" i="85"/>
  <c r="C1971" i="85"/>
  <c r="C517" i="85"/>
  <c r="C1352" i="85"/>
  <c r="C47" i="85"/>
  <c r="C355" i="85"/>
  <c r="C744" i="85"/>
  <c r="C1346" i="85"/>
  <c r="C306" i="85"/>
  <c r="C1035" i="85"/>
  <c r="C1105" i="85"/>
  <c r="C1598" i="85"/>
  <c r="C1056" i="85"/>
  <c r="C1462" i="85"/>
  <c r="C657" i="85"/>
  <c r="C1719" i="85"/>
  <c r="C471" i="85"/>
  <c r="C814" i="85"/>
  <c r="C715" i="85"/>
  <c r="C451" i="85"/>
  <c r="C230" i="85"/>
  <c r="C904" i="85"/>
  <c r="C1911" i="85"/>
  <c r="C607" i="85"/>
  <c r="C33" i="85"/>
  <c r="C1564" i="85"/>
  <c r="C28" i="85"/>
  <c r="C488" i="85"/>
  <c r="C353" i="85"/>
  <c r="C1851" i="85"/>
  <c r="C1485" i="85"/>
  <c r="C62" i="85"/>
  <c r="C1400" i="85"/>
  <c r="C1031" i="85"/>
  <c r="C905" i="85"/>
  <c r="C1292" i="85"/>
  <c r="C1547" i="85"/>
  <c r="C399" i="85"/>
  <c r="C599" i="85"/>
  <c r="C685" i="85"/>
  <c r="C509" i="85"/>
  <c r="C441" i="85"/>
  <c r="C541" i="85"/>
  <c r="C58" i="85"/>
  <c r="C1628" i="85"/>
  <c r="C1425" i="85"/>
  <c r="C382" i="85"/>
  <c r="C413" i="85"/>
  <c r="C1697" i="85"/>
  <c r="C1555" i="85"/>
  <c r="C1983" i="85"/>
  <c r="C1701" i="85"/>
  <c r="C1831" i="85"/>
  <c r="C770" i="85"/>
  <c r="C1090" i="85"/>
  <c r="C59" i="85"/>
  <c r="C1079" i="85"/>
  <c r="C924" i="85"/>
  <c r="C549" i="85"/>
  <c r="C1502" i="85"/>
  <c r="C485" i="85"/>
  <c r="C1335" i="85"/>
  <c r="C1373" i="85"/>
  <c r="C1816" i="85"/>
  <c r="C1059" i="85"/>
  <c r="C874" i="85"/>
  <c r="C1649" i="85"/>
  <c r="C1149" i="85"/>
  <c r="C1569" i="85"/>
  <c r="C1454" i="85"/>
  <c r="C703" i="85"/>
  <c r="C1612" i="85"/>
  <c r="C1067" i="85"/>
  <c r="C1825" i="85"/>
  <c r="C1838" i="85"/>
  <c r="C1618" i="85"/>
  <c r="C1275" i="85"/>
  <c r="C1648" i="85"/>
  <c r="C1191" i="85"/>
  <c r="C750" i="85"/>
  <c r="C1114" i="85"/>
  <c r="C295" i="85"/>
  <c r="C270" i="85"/>
  <c r="C621" i="85"/>
  <c r="C1199" i="85"/>
  <c r="C1759" i="85"/>
  <c r="C1798" i="85"/>
  <c r="C532" i="85"/>
  <c r="C1386" i="85"/>
  <c r="C1340" i="85"/>
  <c r="C684" i="85"/>
  <c r="C1812" i="85"/>
  <c r="C245" i="85"/>
  <c r="C1193" i="85"/>
  <c r="C396" i="85"/>
  <c r="C426" i="85"/>
  <c r="C965" i="85"/>
  <c r="C698" i="85"/>
  <c r="C1589" i="85"/>
  <c r="C626" i="85"/>
  <c r="C498" i="85"/>
  <c r="C1119" i="85"/>
  <c r="C1927" i="85"/>
  <c r="C832" i="85"/>
  <c r="C722" i="85"/>
  <c r="C824" i="85"/>
  <c r="C1664" i="85"/>
  <c r="C76" i="85"/>
  <c r="C316" i="85"/>
  <c r="C1763" i="85"/>
  <c r="C1818" i="85"/>
  <c r="C1724" i="85"/>
  <c r="C885" i="85"/>
  <c r="C542" i="85"/>
  <c r="C1232" i="85"/>
  <c r="C1712" i="85"/>
  <c r="C766" i="85"/>
  <c r="C1329" i="85"/>
  <c r="C380" i="85"/>
  <c r="C85" i="85"/>
  <c r="C1726" i="85"/>
  <c r="C323" i="85"/>
  <c r="C465" i="85"/>
  <c r="C1623" i="85"/>
  <c r="C1714" i="85"/>
  <c r="C610" i="85"/>
  <c r="C1800" i="85"/>
  <c r="C1609" i="85"/>
  <c r="C490" i="85"/>
  <c r="C521" i="85"/>
  <c r="C1908" i="85"/>
  <c r="C1632" i="85"/>
  <c r="C299" i="85"/>
  <c r="C999" i="85"/>
  <c r="C327" i="85"/>
  <c r="C1168" i="85"/>
  <c r="C430" i="85"/>
  <c r="C1115" i="85"/>
  <c r="C242" i="85"/>
  <c r="C655" i="85"/>
  <c r="C194" i="85"/>
  <c r="C1144" i="85"/>
  <c r="C573" i="85"/>
  <c r="C820" i="85"/>
  <c r="C919" i="85"/>
  <c r="C332" i="85"/>
  <c r="C1833" i="85"/>
  <c r="C761" i="85"/>
  <c r="C388" i="85"/>
  <c r="C1647" i="85"/>
  <c r="C888" i="85"/>
  <c r="C1687" i="85"/>
  <c r="C1000" i="85"/>
  <c r="C333" i="85"/>
  <c r="C578" i="85"/>
  <c r="C717" i="85"/>
  <c r="C1268" i="85"/>
  <c r="C416" i="85"/>
  <c r="C350" i="85"/>
  <c r="C673" i="85"/>
  <c r="C410" i="85"/>
  <c r="C1250" i="85"/>
  <c r="C531" i="85"/>
  <c r="C328" i="85"/>
  <c r="C1885" i="85"/>
  <c r="C203" i="85"/>
  <c r="C1854" i="85"/>
  <c r="C1775" i="85"/>
  <c r="C1865" i="85"/>
  <c r="C1696" i="85"/>
  <c r="C979" i="85"/>
  <c r="C649" i="85"/>
  <c r="C344" i="85"/>
  <c r="C1029" i="85"/>
  <c r="C336" i="85"/>
  <c r="C895" i="85"/>
  <c r="C628" i="85"/>
  <c r="C850" i="85"/>
  <c r="C522" i="85"/>
  <c r="C1635" i="85"/>
  <c r="C1274" i="85"/>
  <c r="C1723" i="85"/>
  <c r="C1735" i="85"/>
  <c r="C224" i="85"/>
  <c r="C1337" i="85"/>
  <c r="C553" i="85"/>
  <c r="C937" i="85"/>
  <c r="C1935" i="85"/>
  <c r="C1010" i="85"/>
  <c r="C1407" i="85"/>
  <c r="C1330" i="85"/>
  <c r="C56" i="85"/>
  <c r="C477" i="85"/>
  <c r="C1711" i="85"/>
  <c r="C1627" i="85"/>
  <c r="C1747" i="85"/>
  <c r="C1788" i="85"/>
  <c r="C1820" i="85"/>
  <c r="C1007" i="85"/>
  <c r="C1809" i="85"/>
  <c r="C476" i="85"/>
  <c r="C233" i="85"/>
  <c r="C1657" i="85"/>
  <c r="C1739" i="85"/>
  <c r="C361" i="85"/>
  <c r="C768" i="85"/>
  <c r="C1605" i="85"/>
  <c r="C1399" i="85"/>
  <c r="C1322" i="85"/>
  <c r="C1757" i="85"/>
  <c r="C1185" i="85"/>
  <c r="C1291" i="85"/>
  <c r="C1219" i="85"/>
  <c r="C1483" i="85"/>
  <c r="C417" i="85"/>
  <c r="C1532" i="85"/>
  <c r="C920" i="85"/>
  <c r="C1004" i="85"/>
  <c r="C1041" i="85"/>
  <c r="C1414" i="85"/>
  <c r="C897" i="85"/>
  <c r="C646" i="85"/>
  <c r="C437" i="85"/>
  <c r="C1945" i="85"/>
  <c r="C971" i="85"/>
  <c r="C423" i="85"/>
  <c r="C671" i="85"/>
  <c r="C1089" i="85"/>
  <c r="C1869" i="85"/>
  <c r="C605" i="85"/>
  <c r="C486" i="85"/>
  <c r="C1389" i="85"/>
  <c r="C358" i="85"/>
  <c r="C846" i="85"/>
  <c r="C78" i="85"/>
  <c r="C876" i="85"/>
  <c r="C1769" i="85"/>
  <c r="C274" i="85"/>
  <c r="C185" i="85"/>
  <c r="C1180" i="85"/>
  <c r="C415" i="85"/>
  <c r="C1693" i="85"/>
  <c r="C579" i="85"/>
  <c r="C433" i="85"/>
  <c r="C912" i="85"/>
  <c r="C851" i="85"/>
  <c r="C249" i="85"/>
  <c r="C375" i="85"/>
  <c r="C173" i="85"/>
  <c r="C1247" i="85"/>
  <c r="C670" i="85"/>
  <c r="C379" i="85"/>
  <c r="C208" i="85"/>
  <c r="C749" i="85"/>
  <c r="C934" i="85"/>
  <c r="C1666" i="85"/>
  <c r="C1457" i="85"/>
  <c r="C1159" i="85"/>
  <c r="C736" i="85"/>
  <c r="C1768" i="85"/>
  <c r="C952" i="85"/>
  <c r="C611" i="85"/>
  <c r="C661" i="85"/>
  <c r="C591" i="85"/>
  <c r="C1459" i="85"/>
  <c r="C704" i="85"/>
  <c r="C1660" i="85"/>
  <c r="C1331" i="85"/>
  <c r="C1806" i="85"/>
  <c r="C1338" i="85"/>
  <c r="C116" i="85"/>
  <c r="C1700" i="85"/>
  <c r="C900" i="85"/>
  <c r="C961" i="85"/>
  <c r="C442" i="85"/>
  <c r="C232" i="85"/>
  <c r="C975" i="85"/>
  <c r="C1893" i="85"/>
  <c r="C376" i="85"/>
  <c r="C640" i="85"/>
  <c r="C1297" i="85"/>
  <c r="C401" i="85"/>
  <c r="C1284" i="85"/>
  <c r="C1762" i="85"/>
  <c r="C1997" i="85"/>
  <c r="C483" i="85"/>
  <c r="C638" i="85"/>
  <c r="C511" i="85"/>
  <c r="C1925" i="85"/>
  <c r="C1154" i="85"/>
  <c r="C1960" i="85"/>
  <c r="C289" i="85"/>
  <c r="C1991" i="85"/>
  <c r="C1133" i="85"/>
  <c r="C637" i="85"/>
  <c r="C1736" i="85"/>
  <c r="C942" i="85"/>
  <c r="C1859" i="85"/>
  <c r="C1679" i="85"/>
  <c r="C1936" i="85"/>
  <c r="C1683" i="85"/>
  <c r="C1243" i="85"/>
  <c r="C1325" i="85"/>
  <c r="C1205" i="85"/>
  <c r="C120" i="85"/>
  <c r="C1452" i="85"/>
  <c r="C1786" i="85"/>
  <c r="C1412" i="85"/>
  <c r="C1797" i="85"/>
  <c r="C935" i="85"/>
  <c r="C1675" i="85"/>
  <c r="C1178" i="85"/>
  <c r="C1751" i="85"/>
  <c r="C878" i="85"/>
  <c r="C235" i="85"/>
  <c r="C1882" i="85"/>
  <c r="C1471" i="85"/>
  <c r="C1408" i="85"/>
  <c r="C492" i="85"/>
  <c r="C872" i="85"/>
  <c r="C1977" i="85"/>
  <c r="C992" i="85"/>
  <c r="C1654" i="85"/>
  <c r="C34" i="85"/>
  <c r="C1236" i="85"/>
  <c r="C345" i="85"/>
  <c r="C349" i="85"/>
  <c r="C1213" i="85"/>
  <c r="C1756" i="85"/>
  <c r="C1223" i="85"/>
  <c r="C1101" i="85"/>
  <c r="C1836" i="85"/>
  <c r="C1186" i="85"/>
  <c r="C337" i="85"/>
  <c r="C1124" i="85"/>
  <c r="C584" i="85"/>
  <c r="C1314" i="85"/>
  <c r="C592" i="85"/>
  <c r="C973" i="85"/>
  <c r="C429" i="85"/>
  <c r="C228" i="85"/>
  <c r="C1054" i="85"/>
  <c r="C1265" i="85"/>
  <c r="C665" i="85"/>
  <c r="C275" i="85"/>
  <c r="C932" i="85"/>
  <c r="C314" i="85"/>
  <c r="C559" i="85"/>
  <c r="C1392" i="85"/>
  <c r="C1887" i="85"/>
  <c r="C1211" i="85"/>
  <c r="C1166" i="85"/>
  <c r="C1404" i="85"/>
  <c r="C1981" i="85"/>
  <c r="C1375" i="85"/>
  <c r="C708" i="85"/>
  <c r="C1266" i="85"/>
  <c r="C1009" i="85"/>
  <c r="C1198" i="85"/>
  <c r="C1673" i="85"/>
  <c r="C1942" i="85"/>
  <c r="C1190" i="85"/>
  <c r="C1120" i="85"/>
  <c r="C1758" i="85"/>
  <c r="C1546" i="85"/>
  <c r="C503" i="85"/>
  <c r="C1642" i="85"/>
  <c r="C1989" i="85"/>
  <c r="C1270" i="85"/>
  <c r="C1208" i="85"/>
  <c r="C1405" i="85"/>
  <c r="C1867" i="85"/>
  <c r="C552" i="85"/>
  <c r="C279" i="85"/>
  <c r="C1924" i="85"/>
  <c r="C1658" i="85"/>
  <c r="C402" i="85"/>
  <c r="C983" i="85"/>
  <c r="C1619" i="85"/>
  <c r="C854" i="85"/>
  <c r="C1049" i="85"/>
  <c r="C830" i="85"/>
  <c r="C1072" i="85"/>
  <c r="C1907" i="85"/>
  <c r="C889" i="85"/>
  <c r="C1393" i="85"/>
  <c r="C930" i="85"/>
  <c r="C828" i="85"/>
  <c r="C840" i="85"/>
  <c r="C317" i="85"/>
  <c r="C1271" i="85"/>
  <c r="C1095" i="85"/>
  <c r="C180" i="85"/>
  <c r="C918" i="85"/>
  <c r="C563" i="85"/>
  <c r="C1482" i="85"/>
  <c r="C1608" i="85"/>
  <c r="C1498" i="85"/>
  <c r="C1460" i="85"/>
  <c r="C1676" i="85"/>
  <c r="C629" i="85"/>
  <c r="C1718" i="85"/>
  <c r="C1263" i="85"/>
  <c r="C853" i="85"/>
  <c r="C278" i="85"/>
  <c r="C1682" i="85"/>
  <c r="C1445" i="85"/>
  <c r="C1125" i="85"/>
  <c r="C238" i="85"/>
  <c r="C1781" i="85"/>
  <c r="C1523" i="85"/>
  <c r="C322" i="85"/>
  <c r="C652" i="85"/>
  <c r="C1064" i="85"/>
  <c r="C1001" i="85"/>
  <c r="C1033" i="85"/>
  <c r="C1590" i="85"/>
  <c r="C1206" i="85"/>
  <c r="C1933" i="85"/>
  <c r="C1566" i="85"/>
  <c r="C1787" i="85"/>
  <c r="C1761" i="85"/>
  <c r="C676" i="85"/>
  <c r="C622" i="85"/>
  <c r="C789" i="85"/>
  <c r="C1773" i="85"/>
  <c r="C1904" i="85"/>
  <c r="C221" i="85"/>
  <c r="C1962" i="85"/>
  <c r="C43" i="85"/>
  <c r="C1738" i="85"/>
  <c r="C683" i="85"/>
  <c r="C1492" i="85"/>
  <c r="C873" i="85"/>
  <c r="C891" i="85"/>
  <c r="C755" i="85"/>
  <c r="C1517" i="85"/>
  <c r="C1537" i="85"/>
  <c r="C1088" i="85"/>
  <c r="C773" i="85"/>
  <c r="C377" i="85"/>
  <c r="C1926" i="85"/>
  <c r="C663" i="85"/>
  <c r="C875" i="85"/>
  <c r="C1699" i="85"/>
  <c r="C1023" i="85"/>
  <c r="C1996" i="85"/>
  <c r="C1140" i="85"/>
  <c r="C1461" i="85"/>
  <c r="C1148" i="85"/>
  <c r="C1207" i="85"/>
  <c r="C257" i="85"/>
  <c r="C1843" i="85"/>
  <c r="C1852" i="85"/>
  <c r="C774" i="85"/>
  <c r="C1469" i="85"/>
  <c r="C52" i="85"/>
  <c r="C564" i="85"/>
  <c r="C1255" i="85"/>
  <c r="C1535" i="85"/>
  <c r="C651" i="85"/>
  <c r="C1475" i="85"/>
  <c r="C67" i="85"/>
  <c r="C1099" i="85"/>
  <c r="C1857" i="85"/>
  <c r="C1708" i="85"/>
  <c r="C1507" i="85"/>
  <c r="C445" i="85"/>
  <c r="C1430" i="85"/>
  <c r="C1066" i="85"/>
  <c r="C474" i="85"/>
  <c r="C1397" i="85"/>
  <c r="C596" i="85"/>
  <c r="C734" i="85"/>
  <c r="C1038" i="85"/>
  <c r="C1046" i="85"/>
  <c r="C1259" i="85"/>
  <c r="C658" i="85"/>
  <c r="C545" i="85"/>
  <c r="C1431" i="85"/>
  <c r="C466" i="85"/>
  <c r="C313" i="85"/>
  <c r="C702" i="85"/>
  <c r="C1082" i="85"/>
  <c r="C1372" i="85"/>
  <c r="C1344" i="85"/>
  <c r="C378" i="85"/>
  <c r="C1360" i="85"/>
  <c r="C1706" i="85"/>
  <c r="C1827" i="85"/>
  <c r="C205" i="85"/>
  <c r="C716" i="85"/>
  <c r="C1495" i="85"/>
  <c r="C303" i="85"/>
  <c r="C588" i="85"/>
  <c r="C510" i="85"/>
  <c r="C847" i="85"/>
  <c r="C1910" i="85"/>
  <c r="C1746" i="85"/>
  <c r="C1234" i="85"/>
  <c r="C81" i="85"/>
  <c r="C1817" i="85"/>
  <c r="C259" i="85"/>
  <c r="C1685" i="85"/>
  <c r="C792" i="85"/>
  <c r="C256" i="85"/>
  <c r="C913" i="85"/>
  <c r="C239" i="85"/>
  <c r="C1863" i="85"/>
  <c r="C202" i="85"/>
  <c r="C1228" i="85"/>
  <c r="C1261" i="85"/>
  <c r="C742" i="85"/>
  <c r="C1963" i="85"/>
  <c r="C581" i="85"/>
  <c r="C248" i="85"/>
  <c r="C589" i="85"/>
  <c r="C544" i="85"/>
  <c r="C1085" i="85"/>
  <c r="C1850" i="85"/>
  <c r="C667" i="85"/>
  <c r="C266" i="85"/>
  <c r="C609" i="85"/>
  <c r="C231" i="85"/>
  <c r="C1897" i="85"/>
  <c r="C1109" i="85"/>
  <c r="C1607" i="85"/>
  <c r="C393" i="85"/>
  <c r="C976" i="85"/>
  <c r="C1387" i="85"/>
  <c r="C1370" i="85"/>
  <c r="C639" i="85"/>
  <c r="C1876" i="85"/>
  <c r="C893" i="85"/>
  <c r="C1930" i="85"/>
  <c r="C1084" i="85"/>
  <c r="C643" i="85"/>
  <c r="C366" i="85"/>
  <c r="C624" i="85"/>
  <c r="C246" i="85"/>
  <c r="C1952" i="85"/>
  <c r="C1194" i="85"/>
  <c r="C1021" i="85"/>
  <c r="C1365" i="85"/>
  <c r="C539" i="85"/>
  <c r="C1842" i="85"/>
  <c r="C1181" i="85"/>
  <c r="C1529" i="85"/>
  <c r="C1455" i="85"/>
  <c r="C431" i="85"/>
  <c r="C1318" i="85"/>
  <c r="C1134" i="85"/>
  <c r="C63" i="85"/>
  <c r="C1878" i="85"/>
  <c r="C1652" i="85"/>
  <c r="C530" i="85"/>
  <c r="C590" i="85"/>
  <c r="C1092" i="85"/>
  <c r="C1966" i="85"/>
  <c r="C882" i="85"/>
  <c r="C1027" i="85"/>
  <c r="C1069" i="85"/>
  <c r="C864" i="85"/>
  <c r="C394" i="85"/>
  <c r="C1299" i="85"/>
  <c r="C1892" i="85"/>
  <c r="C806" i="85"/>
  <c r="C1918" i="85"/>
  <c r="C1503" i="85"/>
  <c r="C1183" i="85"/>
  <c r="C1163" i="85"/>
  <c r="C945" i="85"/>
  <c r="C491" i="85"/>
  <c r="C453" i="85"/>
  <c r="C280" i="85"/>
  <c r="C1527" i="85"/>
  <c r="C354" i="85"/>
  <c r="C1636" i="85"/>
  <c r="C745" i="85"/>
  <c r="C1262" i="85"/>
  <c r="C969" i="85"/>
  <c r="C754" i="85"/>
  <c r="C1715" i="85"/>
  <c r="C1339" i="85"/>
  <c r="C1906" i="85"/>
  <c r="C1487" i="85"/>
  <c r="C1444" i="85"/>
  <c r="C1369" i="85"/>
  <c r="C1164" i="85"/>
  <c r="C821" i="85"/>
  <c r="C331" i="85"/>
  <c r="C915" i="85"/>
  <c r="C339" i="85"/>
  <c r="C724" i="85"/>
  <c r="C412" i="85"/>
  <c r="C693" i="85"/>
  <c r="C1051" i="85"/>
  <c r="C1135" i="85"/>
  <c r="C178" i="85"/>
  <c r="C1226" i="85"/>
  <c r="C1172" i="85"/>
  <c r="C1795" i="85"/>
  <c r="C1025" i="85"/>
  <c r="C1601" i="85"/>
  <c r="C1173" i="85"/>
  <c r="C1298" i="85"/>
  <c r="C1730" i="85"/>
  <c r="C329" i="85"/>
  <c r="C1282" i="85"/>
  <c r="C1533" i="85"/>
  <c r="C787" i="85"/>
  <c r="C197" i="85"/>
  <c r="C1436" i="85"/>
  <c r="C1256" i="85"/>
  <c r="C1158" i="85"/>
  <c r="C1873" i="85"/>
  <c r="C1006" i="85"/>
  <c r="C325" i="85"/>
  <c r="C1073" i="85"/>
  <c r="C672" i="85"/>
  <c r="C261" i="85"/>
  <c r="C686" i="85"/>
  <c r="C1860" i="85"/>
  <c r="C1290" i="85"/>
  <c r="C727" i="85"/>
  <c r="C877" i="85"/>
  <c r="C1565" i="85"/>
  <c r="C61" i="85"/>
  <c r="C330" i="85"/>
  <c r="C1884" i="85"/>
  <c r="C1071" i="85"/>
  <c r="C550" i="85"/>
  <c r="C1740" i="85"/>
  <c r="C1560" i="85"/>
  <c r="C606" i="85"/>
  <c r="C1592" i="85"/>
  <c r="C771" i="85"/>
  <c r="C1384" i="85"/>
  <c r="C1379" i="85"/>
  <c r="C1076" i="85"/>
  <c r="C1720" i="85"/>
  <c r="C751" i="85"/>
  <c r="C963" i="85"/>
  <c r="C1755" i="85"/>
  <c r="C1204" i="85"/>
  <c r="C1681" i="85"/>
  <c r="C1947" i="85"/>
  <c r="C1792" i="85"/>
  <c r="C799" i="85"/>
  <c r="C1385" i="85"/>
  <c r="C1784" i="85"/>
  <c r="C1254" i="85"/>
  <c r="C1937" i="85"/>
  <c r="C1098" i="85"/>
  <c r="C1662" i="85"/>
  <c r="C515" i="85"/>
  <c r="C1582" i="85"/>
  <c r="C1793" i="85"/>
  <c r="C1427" i="85"/>
  <c r="C1363" i="85"/>
  <c r="C566" i="85"/>
  <c r="C1946" i="85"/>
  <c r="C943" i="85"/>
  <c r="C892" i="85"/>
  <c r="C1840" i="85"/>
  <c r="C760" i="85"/>
  <c r="C1540" i="85"/>
  <c r="C967" i="85"/>
  <c r="C779" i="85"/>
  <c r="C1929" i="85"/>
  <c r="C753" i="85"/>
  <c r="C449" i="85"/>
  <c r="C1902" i="85"/>
  <c r="C1771" i="85"/>
  <c r="C1083" i="85"/>
  <c r="C546" i="85"/>
  <c r="C258" i="85"/>
  <c r="C1637" i="85"/>
  <c r="C908" i="85"/>
  <c r="C868" i="85"/>
  <c r="C1665" i="85"/>
  <c r="C253" i="85"/>
  <c r="C448" i="85"/>
  <c r="C1943" i="85"/>
  <c r="C1160" i="85"/>
  <c r="C389" i="85"/>
  <c r="C1545" i="85"/>
  <c r="C1704" i="85"/>
  <c r="C1052" i="85"/>
  <c r="C1044" i="85"/>
  <c r="C585" i="85"/>
  <c r="C1103" i="85"/>
  <c r="C484" i="85"/>
  <c r="C1060" i="85"/>
  <c r="C1959" i="85"/>
  <c r="C1734" i="85"/>
  <c r="C1127" i="85"/>
  <c r="C644" i="85"/>
  <c r="C1398" i="85"/>
  <c r="C1174" i="85"/>
  <c r="C953" i="85"/>
  <c r="C367" i="85"/>
  <c r="C1388" i="85"/>
  <c r="C384" i="85"/>
  <c r="C296" i="85"/>
  <c r="C1260" i="85"/>
  <c r="C1209" i="85"/>
  <c r="C805" i="85"/>
  <c r="C1550" i="85"/>
  <c r="C1126" i="85"/>
  <c r="C580" i="85"/>
  <c r="C783" i="85"/>
  <c r="C619" i="85"/>
  <c r="C1324" i="85"/>
  <c r="C1829" i="85"/>
  <c r="C1903" i="85"/>
  <c r="C1512" i="85"/>
  <c r="C456" i="85"/>
  <c r="C869" i="85"/>
  <c r="C1848" i="85"/>
  <c r="C269" i="85"/>
  <c r="C198" i="85"/>
  <c r="C1289" i="85"/>
  <c r="C1889" i="85"/>
  <c r="C1883" i="85"/>
  <c r="C459" i="85"/>
  <c r="C1874" i="85"/>
  <c r="C1677" i="85"/>
  <c r="C720" i="85"/>
  <c r="C1429" i="85"/>
  <c r="C1195" i="85"/>
  <c r="C862" i="85"/>
  <c r="C1561" i="85"/>
  <c r="C837" i="85"/>
  <c r="C1396" i="85"/>
  <c r="C360" i="85"/>
  <c r="C594" i="85"/>
  <c r="C600" i="85"/>
  <c r="C858" i="85"/>
  <c r="C1562" i="85"/>
  <c r="C1948" i="85"/>
  <c r="C1132" i="85"/>
  <c r="C1428" i="85"/>
  <c r="C469" i="85"/>
  <c r="C827" i="85"/>
  <c r="C604" i="85"/>
  <c r="C243" i="85"/>
  <c r="C319" i="85"/>
  <c r="C631" i="85"/>
  <c r="C1984" i="85"/>
  <c r="C1542" i="85"/>
  <c r="C890" i="85"/>
  <c r="C964" i="85"/>
  <c r="C387" i="85"/>
  <c r="C1434" i="85"/>
  <c r="C1949" i="85"/>
  <c r="C223" i="85"/>
  <c r="C1919" i="85"/>
  <c r="C1939" i="85"/>
  <c r="C1327" i="85"/>
  <c r="C300" i="85"/>
  <c r="C1418" i="85"/>
  <c r="C1313" i="85"/>
  <c r="C849" i="85"/>
  <c r="C263" i="85"/>
  <c r="C856" i="85"/>
  <c r="C1464" i="85"/>
  <c r="C1506" i="85"/>
  <c r="C1629" i="85"/>
  <c r="C731" i="85"/>
  <c r="C1155" i="85"/>
  <c r="C447" i="85"/>
  <c r="C793" i="85"/>
  <c r="C533" i="85"/>
  <c r="C1034" i="85"/>
  <c r="C719" i="85"/>
  <c r="C1042" i="85"/>
  <c r="C1528" i="85"/>
  <c r="C718" i="85"/>
  <c r="C293" i="85"/>
  <c r="C1536" i="85"/>
  <c r="C1880" i="85"/>
  <c r="C712" i="85"/>
  <c r="C1467" i="85"/>
  <c r="C1410" i="85"/>
  <c r="C738" i="85"/>
  <c r="C733" i="85"/>
  <c r="C775" i="85"/>
  <c r="C995" i="85"/>
  <c r="C1934" i="85"/>
  <c r="C1870" i="85"/>
  <c r="C687" i="85"/>
  <c r="C960" i="85"/>
  <c r="C1600" i="85"/>
  <c r="C1047" i="85"/>
  <c r="C668" i="85"/>
  <c r="C993" i="85"/>
  <c r="C1774" i="85"/>
  <c r="C1376" i="85"/>
  <c r="C1435" i="85"/>
  <c r="C1315" i="85"/>
  <c r="C1196" i="85"/>
  <c r="C691" i="85"/>
  <c r="C421" i="85"/>
  <c r="C400" i="85"/>
  <c r="C682" i="85"/>
  <c r="C1766" i="85"/>
  <c r="C1783" i="85"/>
  <c r="C519" i="85"/>
  <c r="C1354" i="85"/>
  <c r="C1625" i="85"/>
  <c r="C1866" i="85"/>
  <c r="C1944" i="85"/>
  <c r="C642" i="85"/>
  <c r="C1777" i="85"/>
  <c r="C1610" i="85"/>
  <c r="C1267" i="85"/>
  <c r="C1448" i="85"/>
  <c r="C826" i="85"/>
  <c r="C926" i="85"/>
  <c r="C1804" i="85"/>
  <c r="C1203" i="85"/>
  <c r="C1321" i="85"/>
  <c r="C1036" i="85"/>
  <c r="C174" i="85"/>
  <c r="C571" i="85"/>
  <c r="C835" i="85"/>
  <c r="C199" i="85"/>
  <c r="C1980" i="85"/>
  <c r="C570" i="85"/>
  <c r="C894" i="85"/>
  <c r="C91" i="85"/>
  <c r="C602" i="85"/>
  <c r="C478" i="85"/>
  <c r="C436" i="85"/>
  <c r="C1703" i="85"/>
  <c r="C1220" i="85"/>
  <c r="C1481" i="85"/>
  <c r="C1567" i="85"/>
  <c r="C748" i="85"/>
  <c r="C1518" i="85"/>
  <c r="C1169" i="85"/>
  <c r="C1417" i="85"/>
  <c r="C636" i="85"/>
  <c r="C1246" i="85"/>
  <c r="C374" i="85"/>
  <c r="C1557" i="85"/>
  <c r="C763" i="85"/>
  <c r="C241" i="85"/>
  <c r="C1449" i="85"/>
  <c r="C1789" i="85"/>
  <c r="C184" i="85"/>
  <c r="C1347" i="85"/>
  <c r="C1871" i="85"/>
  <c r="C1018" i="85"/>
  <c r="C1293" i="85"/>
  <c r="C1950" i="85"/>
  <c r="C371" i="85"/>
  <c r="C1538" i="85"/>
  <c r="C1733" i="85"/>
  <c r="C1969" i="85"/>
  <c r="C1754" i="85"/>
  <c r="C1821" i="85"/>
  <c r="C172" i="85"/>
  <c r="C432" i="85"/>
  <c r="C1563" i="85"/>
  <c r="C694" i="85"/>
  <c r="C1659" i="85"/>
  <c r="C1170" i="85"/>
  <c r="C290" i="85"/>
  <c r="C1358" i="85"/>
  <c r="C1394" i="85"/>
  <c r="C50" i="85"/>
  <c r="C497" i="85"/>
  <c r="C1241" i="85"/>
  <c r="C968" i="85"/>
  <c r="C966" i="85"/>
  <c r="C692" i="85"/>
  <c r="C348" i="85"/>
  <c r="C1470" i="85"/>
  <c r="C480" i="85"/>
  <c r="C1811" i="85"/>
  <c r="C1972" i="85"/>
  <c r="C523" i="85"/>
  <c r="C988" i="85"/>
  <c r="C811" i="85"/>
  <c r="C865" i="85"/>
  <c r="C633" i="85"/>
  <c r="C94" i="85"/>
  <c r="C1940" i="85"/>
  <c r="C53" i="85"/>
  <c r="C1456" i="85"/>
  <c r="C179" i="85"/>
  <c r="C424" i="85"/>
  <c r="C1552" i="85"/>
  <c r="C1286" i="85"/>
  <c r="C1307" i="85"/>
  <c r="C1721" i="85"/>
  <c r="C192" i="85"/>
  <c r="C721" i="85"/>
  <c r="C390" i="85"/>
  <c r="C1401" i="85"/>
  <c r="C707" i="85"/>
  <c r="C1214" i="85"/>
  <c r="C1967" i="85"/>
  <c r="C1020" i="85"/>
  <c r="C1698" i="85"/>
  <c r="C1841" i="85"/>
  <c r="C1210" i="85"/>
  <c r="C725" i="85"/>
  <c r="C1588" i="85"/>
  <c r="C1489" i="85"/>
  <c r="C980" i="85"/>
  <c r="C215" i="85"/>
  <c r="C1078" i="85"/>
  <c r="C1357" i="85"/>
  <c r="C1117" i="85"/>
  <c r="C309" i="85"/>
  <c r="C1316" i="85"/>
  <c r="C1853" i="85"/>
  <c r="C1043" i="85"/>
  <c r="C1251" i="85"/>
  <c r="C1530" i="85"/>
  <c r="C839" i="85"/>
  <c r="C931" i="85"/>
  <c r="C1576" i="85"/>
  <c r="C220" i="85"/>
  <c r="C1333" i="85"/>
  <c r="C701" i="85"/>
  <c r="C1118" i="85"/>
  <c r="C711" i="85"/>
  <c r="C547" i="85"/>
  <c r="C1525" i="85"/>
  <c r="C972" i="85"/>
  <c r="C227" i="85"/>
  <c r="C1584" i="85"/>
  <c r="C1847" i="85"/>
  <c r="C1591" i="85"/>
  <c r="C1832" i="85"/>
  <c r="C529" i="85"/>
  <c r="C788" i="85"/>
  <c r="C187" i="85"/>
  <c r="C1053" i="85"/>
  <c r="C815" i="85"/>
  <c r="C927" i="85"/>
  <c r="C321" i="85"/>
  <c r="C1895" i="85"/>
  <c r="C1463" i="85"/>
  <c r="C1437" i="85"/>
  <c r="C981" i="85"/>
  <c r="C193" i="85"/>
  <c r="C1896" i="85"/>
  <c r="C398" i="85"/>
  <c r="C1137" i="85"/>
  <c r="C909" i="85"/>
  <c r="C516" i="85"/>
  <c r="C1571" i="85"/>
  <c r="C790" i="85"/>
  <c r="C871" i="85"/>
  <c r="C732" i="85"/>
  <c r="C315" i="85"/>
  <c r="C1161" i="85"/>
  <c r="C1438" i="85"/>
  <c r="C986" i="85"/>
  <c r="C1277" i="85"/>
  <c r="C1975" i="85"/>
  <c r="C1979" i="85"/>
  <c r="C1886" i="85"/>
  <c r="C260" i="85"/>
  <c r="C1915" i="85"/>
  <c r="C48" i="85"/>
  <c r="C1017" i="85"/>
  <c r="C1390" i="85"/>
  <c r="C659" i="85"/>
  <c r="C1491" i="85"/>
  <c r="C769" i="85"/>
  <c r="C186" i="85"/>
  <c r="C1472" i="85"/>
  <c r="C1300" i="85"/>
  <c r="C1899" i="85"/>
  <c r="C281" i="85"/>
  <c r="C1310" i="85"/>
  <c r="C1122" i="85"/>
  <c r="C804" i="85"/>
  <c r="C948" i="85"/>
  <c r="C1422" i="85"/>
  <c r="C1395" i="85"/>
  <c r="C1922" i="85"/>
  <c r="C305" i="85"/>
  <c r="C1585" i="85"/>
  <c r="C1813" i="85"/>
  <c r="C1998" i="85"/>
  <c r="C1694" i="85"/>
  <c r="C1061" i="85"/>
  <c r="C1923" i="85"/>
  <c r="C1433" i="85"/>
  <c r="C446" i="85"/>
  <c r="C1764" i="85"/>
  <c r="C251" i="85"/>
  <c r="C475" i="85"/>
  <c r="C812" i="85"/>
  <c r="C757" i="85"/>
  <c r="C1737" i="85"/>
  <c r="C689" i="85"/>
  <c r="C1599" i="85"/>
  <c r="C1553" i="85"/>
  <c r="C1548" i="85"/>
  <c r="C574" i="85"/>
  <c r="C1476" i="85"/>
  <c r="C1048" i="85"/>
  <c r="C1097" i="85"/>
  <c r="C1229" i="85"/>
  <c r="C461" i="85"/>
  <c r="C902" i="85"/>
  <c r="C1667" i="85"/>
  <c r="C985" i="85"/>
  <c r="C273" i="85"/>
  <c r="C213" i="85"/>
  <c r="C406" i="85"/>
  <c r="C1912" i="85"/>
  <c r="C1057" i="85"/>
  <c r="C1616" i="85"/>
  <c r="C669" i="85"/>
  <c r="C190" i="85"/>
  <c r="C1864" i="85"/>
  <c r="C128" i="85"/>
  <c r="C346" i="85"/>
  <c r="C381" i="85"/>
  <c r="C462" i="85"/>
  <c r="C1252" i="85"/>
  <c r="C1382" i="85"/>
  <c r="C928" i="85"/>
  <c r="C1779" i="85"/>
  <c r="C365" i="85"/>
  <c r="C1509" i="85"/>
  <c r="C1432" i="85"/>
  <c r="C1913" i="85"/>
  <c r="C822" i="85"/>
  <c r="C620" i="85"/>
  <c r="C40" i="85"/>
  <c r="C709" i="85"/>
  <c r="C645" i="85"/>
  <c r="C386" i="85"/>
  <c r="C1415" i="85"/>
  <c r="C1091" i="85"/>
  <c r="C1002" i="85"/>
  <c r="C970" i="85"/>
  <c r="C1235" i="85"/>
  <c r="C1032" i="85"/>
  <c r="C1465" i="85"/>
  <c r="C1074" i="85"/>
  <c r="C1807" i="85"/>
  <c r="C405" i="85"/>
  <c r="C489" i="85"/>
  <c r="C1423" i="85"/>
  <c r="C1890" i="85"/>
  <c r="C65" i="85"/>
  <c r="C351" i="85"/>
  <c r="C1958" i="85"/>
  <c r="C444" i="85"/>
  <c r="C1965" i="85"/>
  <c r="C84" i="85"/>
  <c r="C705" i="85"/>
  <c r="C304" i="85"/>
  <c r="C977" i="85"/>
  <c r="C1920" i="85"/>
  <c r="C171" i="85"/>
  <c r="C898" i="85"/>
  <c r="C1288" i="85"/>
  <c r="C1222" i="85"/>
  <c r="C1515" i="85"/>
  <c r="C1976" i="85"/>
  <c r="C1978" i="85"/>
  <c r="C1932" i="85"/>
  <c r="C1772" i="85"/>
  <c r="C292" i="85"/>
  <c r="C778" i="85"/>
  <c r="C1112" i="85"/>
  <c r="C340" i="85"/>
  <c r="C1905" i="85"/>
  <c r="C1508" i="85"/>
  <c r="C567" i="85"/>
  <c r="C1672" i="85"/>
  <c r="C79" i="85"/>
  <c r="C1296" i="85"/>
  <c r="C1225" i="85"/>
  <c r="C206" i="85"/>
  <c r="C1511" i="85"/>
  <c r="C1143" i="85"/>
  <c r="C1162" i="85"/>
  <c r="C860" i="85"/>
  <c r="C1466" i="85"/>
  <c r="C688" i="85"/>
  <c r="C910" i="85"/>
  <c r="C772" i="85"/>
  <c r="C255" i="85"/>
  <c r="C1231" i="85"/>
  <c r="C1575" i="85"/>
  <c r="C1121" i="85"/>
  <c r="C794" i="85"/>
  <c r="C419" i="85"/>
  <c r="C735" i="85"/>
  <c r="C623" i="85"/>
  <c r="C1383" i="85"/>
  <c r="C1982" i="85"/>
  <c r="C829" i="85"/>
  <c r="C956" i="85"/>
  <c r="C272" i="85"/>
  <c r="C1317" i="85"/>
  <c r="C373" i="85"/>
  <c r="C1957" i="85"/>
  <c r="C899" i="85"/>
  <c r="C803" i="85"/>
  <c r="C831" i="85"/>
  <c r="C298" i="85"/>
  <c r="C487" i="85"/>
  <c r="C1257" i="85"/>
  <c r="C1578" i="85"/>
  <c r="C287" i="85"/>
  <c r="C481" i="85"/>
  <c r="C250" i="85"/>
  <c r="C855" i="85"/>
  <c r="C863" i="85"/>
  <c r="C234" i="85"/>
  <c r="C1171" i="85"/>
  <c r="C630" i="85"/>
  <c r="C798" i="85"/>
  <c r="C699" i="85"/>
  <c r="C1856" i="85"/>
  <c r="C1167" i="85"/>
  <c r="C1215" i="85"/>
  <c r="C1332" i="85"/>
  <c r="C200" i="85"/>
  <c r="C1420" i="85"/>
  <c r="C1328" i="85"/>
  <c r="C936" i="85"/>
  <c r="C844" i="85"/>
  <c r="C660" i="85"/>
  <c r="C990" i="85"/>
  <c r="C1285" i="85"/>
  <c r="C1361" i="85"/>
  <c r="C514" i="85"/>
  <c r="C302" i="85"/>
  <c r="C1500" i="85"/>
  <c r="C1901" i="85"/>
  <c r="C472" i="85"/>
  <c r="C595" i="85"/>
  <c r="C819" i="85"/>
  <c r="C1343" i="85"/>
  <c r="C1597" i="85"/>
  <c r="C1790" i="85"/>
  <c r="C1799" i="85"/>
  <c r="C843" i="85"/>
  <c r="C427" i="85"/>
  <c r="C1371" i="85"/>
  <c r="C656" i="85"/>
  <c r="C1424" i="85"/>
  <c r="C747" i="85"/>
  <c r="C1087" i="85"/>
  <c r="C262" i="85"/>
  <c r="C852" i="85"/>
  <c r="C1514" i="85"/>
  <c r="C1732" i="85"/>
  <c r="C807" i="85"/>
  <c r="C1614" i="85"/>
  <c r="C209" i="85"/>
  <c r="C500" i="85"/>
  <c r="C1615" i="85"/>
  <c r="C297" i="85"/>
  <c r="C1377" i="85"/>
  <c r="C1834" i="85"/>
  <c r="C1999" i="85"/>
  <c r="C842" i="85"/>
  <c r="C1139" i="85"/>
  <c r="C1416" i="85"/>
  <c r="C796" i="85"/>
  <c r="C1572" i="85"/>
  <c r="C1304" i="85"/>
  <c r="C428" i="85"/>
  <c r="C1898" i="85"/>
  <c r="C219" i="85"/>
  <c r="C654" i="85"/>
  <c r="C984" i="85"/>
  <c r="C264" i="85"/>
  <c r="C1062" i="85"/>
  <c r="C635" i="85"/>
  <c r="C729" i="85"/>
  <c r="C677" i="85"/>
  <c r="C1281" i="85"/>
  <c r="C1136" i="85"/>
  <c r="C1123" i="85"/>
  <c r="C1993" i="85"/>
  <c r="C1516" i="85"/>
  <c r="C1581" i="85"/>
  <c r="C1182" i="85"/>
  <c r="C1709" i="85"/>
  <c r="C1645" i="85"/>
  <c r="C1643" i="85"/>
  <c r="C1353" i="85"/>
  <c r="C1752" i="85"/>
  <c r="C324" i="85"/>
  <c r="C690" i="85"/>
  <c r="C1458" i="85"/>
  <c r="C391" i="85"/>
  <c r="C1014" i="85"/>
  <c r="C1641" i="85"/>
  <c r="C1045" i="85"/>
  <c r="C1100" i="85"/>
  <c r="C247" i="85"/>
  <c r="C41" i="85"/>
  <c r="C836" i="85"/>
  <c r="C939" i="85"/>
  <c r="C211" i="85"/>
  <c r="C1242" i="85"/>
  <c r="C1655" i="85"/>
  <c r="C933" i="85"/>
  <c r="C196" i="85"/>
  <c r="C1201" i="85"/>
  <c r="C1678" i="85"/>
  <c r="C282" i="85"/>
  <c r="C1128" i="85"/>
  <c r="C1306" i="85"/>
  <c r="C1150" i="85"/>
  <c r="C954" i="85"/>
  <c r="C1441" i="85"/>
  <c r="C1868" i="85"/>
  <c r="C1402" i="85"/>
  <c r="C240" i="85"/>
  <c r="C512" i="85"/>
  <c r="C92" i="85"/>
  <c r="C1216" i="85"/>
  <c r="C450" i="85"/>
  <c r="C867" i="85"/>
  <c r="C1440" i="85"/>
  <c r="C901" i="85"/>
  <c r="C1881" i="85"/>
  <c r="C1165" i="85"/>
  <c r="C1494" i="85"/>
  <c r="C1928" i="85"/>
  <c r="C1604" i="85"/>
  <c r="C879" i="85"/>
  <c r="C1844" i="85"/>
  <c r="C1111" i="85"/>
  <c r="C1239" i="85"/>
  <c r="C528" i="85"/>
  <c r="C420" i="85"/>
  <c r="C1791" i="85"/>
  <c r="C648" i="85"/>
  <c r="C1380" i="85"/>
  <c r="C1176" i="85"/>
  <c r="C1233" i="85"/>
  <c r="C991" i="85"/>
  <c r="C68" i="85"/>
  <c r="C616" i="85"/>
  <c r="C1030" i="85"/>
  <c r="C1684" i="85"/>
  <c r="C1640" i="85"/>
  <c r="C525" i="85"/>
  <c r="C518" i="85"/>
  <c r="C285" i="85"/>
  <c r="C634" i="85"/>
  <c r="C752" i="85"/>
  <c r="C422" i="85"/>
  <c r="C801" i="85"/>
  <c r="C1671" i="85"/>
  <c r="C925" i="85"/>
  <c r="C1742" i="85"/>
  <c r="C395" i="85"/>
  <c r="C1973" i="85"/>
  <c r="C1068" i="85"/>
  <c r="C870" i="85"/>
  <c r="C308" i="85"/>
  <c r="C535" i="85"/>
  <c r="C1070" i="85"/>
  <c r="C681" i="85"/>
  <c r="C124" i="85"/>
  <c r="C1504" i="85"/>
  <c r="C439" i="85"/>
  <c r="C1157" i="85"/>
  <c r="C1695" i="85"/>
  <c r="C1419" i="85"/>
  <c r="C947" i="85"/>
  <c r="C326" i="85"/>
  <c r="C1486" i="85"/>
  <c r="C286" i="85"/>
  <c r="C764" i="85"/>
  <c r="C944" i="85"/>
  <c r="C1559" i="85"/>
  <c r="C368" i="85"/>
  <c r="C625" i="85"/>
  <c r="C86" i="85"/>
  <c r="C1603" i="85"/>
  <c r="C1845" i="85"/>
  <c r="C1378" i="85"/>
  <c r="C1081" i="85"/>
  <c r="C923" i="85"/>
  <c r="C1058" i="85"/>
  <c r="C884" i="85"/>
  <c r="C765" i="85"/>
  <c r="C1650" i="85"/>
  <c r="C408" i="85"/>
  <c r="C1147" i="85"/>
  <c r="C697" i="85"/>
  <c r="C1055" i="85"/>
  <c r="C1835" i="85"/>
  <c r="C1692" i="85"/>
  <c r="C1197" i="85"/>
  <c r="C1573" i="85"/>
  <c r="C440" i="85"/>
  <c r="C587" i="85"/>
  <c r="C1785" i="85"/>
  <c r="C1558" i="85"/>
  <c r="C493" i="85"/>
  <c r="C1992" i="85"/>
  <c r="C1077" i="85"/>
  <c r="C1005" i="85"/>
  <c r="C499" i="85"/>
  <c r="C1276" i="85"/>
  <c r="C311" i="85"/>
  <c r="C795" i="85"/>
  <c r="C513" i="85"/>
  <c r="C1497" i="85"/>
  <c r="C1753" i="85"/>
  <c r="C1846" i="85"/>
  <c r="C225" i="85"/>
  <c r="C404" i="85"/>
  <c r="C1221" i="85"/>
  <c r="C1177" i="85"/>
  <c r="C508" i="85"/>
  <c r="C903" i="85"/>
  <c r="C369" i="85"/>
  <c r="C810" i="85"/>
  <c r="C1776" i="85"/>
  <c r="C383" i="85"/>
  <c r="C861" i="85"/>
  <c r="C495" i="85"/>
  <c r="C577" i="85"/>
  <c r="C1269" i="85"/>
  <c r="C527" i="85"/>
  <c r="C951" i="85"/>
  <c r="C291" i="85"/>
  <c r="C1278" i="85"/>
  <c r="C540" i="85"/>
  <c r="C1153" i="85"/>
  <c r="C507" i="85"/>
  <c r="C201" i="85"/>
  <c r="C356" i="85"/>
  <c r="C739" i="85"/>
  <c r="C464" i="85"/>
  <c r="C1544" i="85"/>
  <c r="C244" i="85"/>
  <c r="C418" i="85"/>
  <c r="C1744" i="85"/>
  <c r="C534" i="85"/>
  <c r="C1815" i="85"/>
  <c r="C74" i="85"/>
  <c r="C537" i="85"/>
  <c r="C911" i="85"/>
  <c r="C64" i="85"/>
  <c r="C940" i="85"/>
  <c r="C1474" i="85"/>
  <c r="C880" i="85"/>
  <c r="C1302" i="85"/>
  <c r="C364" i="85"/>
  <c r="C674" i="85"/>
  <c r="C1794" i="85"/>
  <c r="C214" i="85"/>
  <c r="C1450" i="85"/>
  <c r="C1367" i="85"/>
  <c r="C1312" i="85"/>
  <c r="C582" i="85"/>
  <c r="C1611" i="85"/>
  <c r="C1279" i="85"/>
  <c r="C1760" i="85"/>
  <c r="C714" i="85"/>
  <c r="C1750" i="85"/>
  <c r="C1808" i="85"/>
  <c r="C467" i="85"/>
  <c r="C627" i="85"/>
  <c r="C848" i="85"/>
  <c r="C1796" i="85"/>
  <c r="C1727" i="85"/>
  <c r="C536" i="85"/>
  <c r="C551" i="85"/>
  <c r="C1305" i="85"/>
  <c r="C1106" i="85"/>
  <c r="C1189" i="85"/>
  <c r="C1954" i="85"/>
  <c r="C1102" i="85"/>
  <c r="C554" i="85"/>
  <c r="C1192" i="85"/>
  <c r="C1891" i="85"/>
  <c r="C664" i="85"/>
  <c r="C217" i="85"/>
  <c r="C35" i="85"/>
  <c r="C1522" i="85"/>
  <c r="C1499" i="85"/>
  <c r="C1985" i="85"/>
  <c r="C615" i="85"/>
  <c r="C1526" i="85"/>
  <c r="C1656" i="85"/>
  <c r="C75" i="85"/>
  <c r="C265" i="85"/>
  <c r="C435" i="85"/>
  <c r="C1630" i="85"/>
  <c r="C781" i="85"/>
  <c r="C994" i="85"/>
  <c r="C1011" i="85"/>
  <c r="C1987" i="85"/>
  <c r="C922" i="85"/>
  <c r="C785" i="85"/>
  <c r="C342" i="85"/>
  <c r="C49" i="85"/>
  <c r="C182" i="85"/>
  <c r="C1633" i="85"/>
  <c r="C1488" i="85"/>
  <c r="C236" i="85"/>
  <c r="C1175" i="85"/>
  <c r="C1138" i="85"/>
  <c r="C1238" i="85"/>
  <c r="C1200" i="85"/>
  <c r="C1862" i="85"/>
  <c r="C1716" i="85"/>
  <c r="C1086" i="85"/>
  <c r="C183" i="85"/>
  <c r="C216" i="85"/>
  <c r="C809" i="85"/>
  <c r="C1505" i="85"/>
  <c r="C207" i="85"/>
  <c r="C1556" i="85"/>
  <c r="C1801" i="85"/>
  <c r="C1879" i="85"/>
  <c r="C1725" i="85"/>
  <c r="C601" i="85"/>
  <c r="C825" i="85"/>
  <c r="C1217" i="85"/>
  <c r="C1568" i="85"/>
  <c r="C1368" i="85"/>
  <c r="C1861" i="85"/>
  <c r="C696" i="85"/>
  <c r="C1574" i="85"/>
  <c r="C1319" i="85"/>
  <c r="C1663" i="85"/>
  <c r="C359" i="85"/>
  <c r="C1513" i="85"/>
  <c r="C218" i="85"/>
  <c r="C1593" i="85"/>
  <c r="C268" i="85"/>
  <c r="C713" i="85"/>
  <c r="C1743" i="85"/>
  <c r="C1894" i="85"/>
  <c r="C1580" i="85"/>
  <c r="C1248" i="85"/>
  <c r="C1253" i="85"/>
  <c r="C425" i="85"/>
  <c r="C1037" i="85"/>
  <c r="C1336" i="85"/>
  <c r="C347" i="85"/>
  <c r="C1108" i="85"/>
  <c r="C883" i="85"/>
  <c r="C1477" i="85"/>
  <c r="C857" i="85"/>
  <c r="C603" i="85"/>
  <c r="C1986" i="85"/>
  <c r="C800" i="85"/>
  <c r="C1258" i="85"/>
  <c r="C42" i="85"/>
  <c r="C583" i="85"/>
  <c r="C946" i="85"/>
  <c r="C1830" i="85"/>
  <c r="C1691" i="85"/>
  <c r="C538" i="85"/>
  <c r="C737" i="85"/>
  <c r="C301" i="85"/>
  <c r="C411" i="85"/>
  <c r="C188" i="85"/>
  <c r="C1308" i="85"/>
  <c r="C1107" i="85"/>
  <c r="C1990" i="85"/>
  <c r="C650" i="85"/>
  <c r="C710" i="85"/>
  <c r="C189" i="85"/>
  <c r="C1131" i="85"/>
  <c r="C1577" i="85"/>
  <c r="C1916" i="85"/>
  <c r="C191" i="85"/>
  <c r="C229" i="85"/>
  <c r="C1938" i="85"/>
  <c r="C706" i="85"/>
  <c r="C1824" i="85"/>
  <c r="C254" i="85"/>
  <c r="C608" i="85"/>
  <c r="C468" i="85"/>
  <c r="C726" i="85"/>
  <c r="C473" i="85"/>
  <c r="C1113" i="85"/>
  <c r="C463" i="85"/>
  <c r="C617" i="85"/>
  <c r="C1951" i="85"/>
  <c r="C1019" i="85"/>
  <c r="C845" i="85"/>
  <c r="C1551" i="85"/>
  <c r="C1858" i="85"/>
  <c r="C1670" i="85"/>
  <c r="C1690" i="85"/>
  <c r="C916" i="85"/>
  <c r="C695" i="85"/>
  <c r="C1446" i="85"/>
  <c r="C1501" i="85"/>
  <c r="C1294" i="85"/>
  <c r="C666" i="85"/>
  <c r="C1080" i="85"/>
  <c r="C767" i="85"/>
  <c r="C1152" i="85"/>
  <c r="C54" i="85"/>
  <c r="C1626" i="85"/>
  <c r="C1478" i="85"/>
  <c r="C593" i="85"/>
  <c r="C1237" i="85"/>
  <c r="C1617" i="85"/>
  <c r="C723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<sst xmlns="http://schemas.openxmlformats.org/spreadsheetml/2006/main" count="24183" uniqueCount="2382">
  <si>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</si>
  <si>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</si>
  <si>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</si>
  <si>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</si>
  <si>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</si>
  <si>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</si>
  <si>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</si>
  <si>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</si>
  <si>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</si>
  <si>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</si>
  <si>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</si>
  <si>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</si>
  <si>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</si>
  <si>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</si>
  <si>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</si>
  <si>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</si>
  <si>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</si>
  <si>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</si>
  <si>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</si>
  <si>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</si>
  <si>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</si>
  <si>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</si>
  <si>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</si>
  <si>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</si>
  <si>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</si>
  <si>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</si>
  <si>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</si>
  <si>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</si>
  <si>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</si>
  <si>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</si>
  <si>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</si>
  <si>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</si>
  <si>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</si>
  <si>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</si>
  <si>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</si>
  <si>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</si>
  <si>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</si>
  <si>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</si>
  <si>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</si>
  <si>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</si>
  <si>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</si>
  <si>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</si>
  <si>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</si>
  <si>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</si>
  <si>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</si>
  <si>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</si>
  <si>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</si>
  <si>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</si>
  <si>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</si>
  <si>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</si>
  <si>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</si>
  <si>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</si>
  <si>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</si>
  <si>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</si>
  <si>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</si>
  <si>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</si>
  <si>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</si>
  <si>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</si>
  <si>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</si>
  <si>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</si>
  <si>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</si>
  <si>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</si>
  <si>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</si>
  <si>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</si>
  <si>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</si>
  <si>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</si>
  <si>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</si>
  <si>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</si>
  <si>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</si>
  <si>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</si>
  <si>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</si>
  <si>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</si>
  <si>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</si>
  <si>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</si>
  <si>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</si>
  <si>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</si>
  <si>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</si>
  <si>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</si>
  <si>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</si>
  <si>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</si>
  <si>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</si>
  <si>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</si>
  <si>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</si>
  <si>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</si>
  <si>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</si>
  <si>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</si>
  <si>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</si>
  <si>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</si>
  <si>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</si>
  <si>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</si>
  <si>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</si>
  <si>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</si>
  <si>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</si>
  <si>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</si>
  <si>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</si>
  <si>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</si>
  <si>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</si>
  <si>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</si>
  <si>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</si>
  <si>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</si>
  <si>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</si>
  <si>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</si>
  <si>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</si>
  <si>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</si>
  <si>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</si>
  <si>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</si>
  <si>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</si>
  <si>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</si>
  <si>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</si>
  <si>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</si>
  <si>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</si>
  <si>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</si>
  <si>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</si>
  <si>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</si>
  <si>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</si>
  <si>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</si>
  <si>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</si>
  <si>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</si>
  <si>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</si>
  <si>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</si>
  <si>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</si>
  <si>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</si>
  <si>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</si>
  <si>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</si>
  <si>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</si>
  <si>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</si>
  <si>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</si>
  <si>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</si>
  <si>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</si>
  <si>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</si>
  <si>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</si>
  <si>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</si>
  <si>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</si>
  <si>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</si>
  <si>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</si>
  <si>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</si>
  <si>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</si>
  <si>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</si>
  <si>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</si>
  <si>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</si>
  <si>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</si>
  <si>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</si>
  <si>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</si>
  <si>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</si>
  <si>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</si>
  <si>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</si>
  <si>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</si>
  <si>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</si>
  <si>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</si>
  <si>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</si>
  <si>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</si>
  <si>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</si>
  <si>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</si>
  <si>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</si>
  <si>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</si>
  <si>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</si>
  <si>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</si>
  <si>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</si>
  <si>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</si>
  <si>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</si>
  <si>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</si>
  <si>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</si>
  <si>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</si>
  <si>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</si>
  <si>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</si>
  <si>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</si>
  <si>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</si>
  <si>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</si>
  <si>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</si>
  <si>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</si>
  <si>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</si>
  <si>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</si>
  <si>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</si>
  <si>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</si>
  <si>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</si>
  <si>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</si>
  <si>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</si>
  <si>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</si>
  <si>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</si>
  <si>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</si>
  <si>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</si>
  <si>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</si>
  <si>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</si>
  <si>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</si>
  <si>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</si>
  <si>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</si>
  <si>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</si>
  <si>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</si>
  <si>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</si>
  <si>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</si>
  <si>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</si>
  <si>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</si>
  <si>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</si>
  <si>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</si>
  <si>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</si>
  <si>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</si>
  <si>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</si>
  <si>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</si>
  <si>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</si>
  <si>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</si>
  <si>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</si>
  <si>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</si>
  <si>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</si>
  <si>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</si>
  <si>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</si>
  <si>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</si>
  <si>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</si>
  <si>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</si>
  <si>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</si>
  <si>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</si>
  <si>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</si>
  <si>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</si>
  <si>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</si>
  <si>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</si>
  <si>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</si>
  <si>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A3 ( 69 kV)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</si>
  <si>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</si>
  <si>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</si>
  <si>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</si>
  <si>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</si>
  <si>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</si>
  <si>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</si>
  <si>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</si>
  <si>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</si>
  <si>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</si>
  <si>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</si>
  <si>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</si>
  <si>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</si>
  <si>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</si>
  <si>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</si>
  <si>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</si>
  <si>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</si>
  <si>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</si>
  <si>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</si>
  <si>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</si>
  <si>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</si>
  <si>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</si>
  <si>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</si>
  <si>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</si>
  <si>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</si>
  <si>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</si>
  <si>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</si>
  <si>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</si>
  <si>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</si>
  <si>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</si>
  <si>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</si>
  <si>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</si>
  <si>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</si>
  <si>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</si>
  <si>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</si>
  <si>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</si>
  <si>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</si>
  <si>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</si>
  <si>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</si>
  <si>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</si>
  <si>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</si>
  <si>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</si>
  <si>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</si>
  <si>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</si>
  <si>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</si>
  <si>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</si>
  <si>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</si>
  <si>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</si>
  <si>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</si>
  <si>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</si>
  <si>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</si>
  <si>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</si>
  <si>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</si>
  <si>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</si>
  <si>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</si>
  <si>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</si>
  <si>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</si>
  <si>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</si>
  <si>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</si>
  <si>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</si>
  <si>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</si>
  <si>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</si>
  <si>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</si>
  <si>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</si>
  <si>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</si>
  <si>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</si>
  <si>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</si>
  <si>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</si>
  <si>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</si>
  <si>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</si>
  <si>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</si>
  <si>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</si>
  <si>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</si>
  <si>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</si>
  <si>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</si>
  <si>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</si>
  <si>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</si>
  <si>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</si>
  <si>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</si>
  <si>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</si>
  <si>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</si>
  <si>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</si>
  <si>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</si>
  <si>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</si>
  <si>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</si>
  <si>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</si>
  <si>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</si>
  <si>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</si>
  <si>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</si>
  <si>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</si>
  <si>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</si>
  <si>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</si>
  <si>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</si>
  <si>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</si>
  <si>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</si>
  <si>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</si>
  <si>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</si>
  <si>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</si>
  <si>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</si>
  <si>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</si>
  <si>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</si>
  <si>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</si>
  <si>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</si>
  <si>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</si>
  <si>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</si>
  <si>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</si>
  <si>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</si>
  <si>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</si>
  <si>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</si>
  <si>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</si>
  <si>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</si>
  <si>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</si>
  <si>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</si>
  <si>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</si>
  <si>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</si>
  <si>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</si>
  <si>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</si>
  <si>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</si>
  <si>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</si>
  <si>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</si>
  <si>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</si>
  <si>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</si>
  <si>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</si>
  <si>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</si>
  <si>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</si>
  <si>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</si>
  <si>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</si>
  <si>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</si>
  <si>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</si>
  <si>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</si>
  <si>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</si>
  <si>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</si>
  <si>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</si>
  <si>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</si>
  <si>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</si>
  <si>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</si>
  <si>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</si>
  <si>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</si>
  <si>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</si>
  <si>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</si>
  <si>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</si>
  <si>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</si>
  <si>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</si>
  <si>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</si>
  <si>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</si>
  <si>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</si>
  <si>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</si>
  <si>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</si>
  <si>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</si>
  <si>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</si>
  <si>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</si>
  <si>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</si>
  <si>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</si>
  <si>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</si>
  <si>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</si>
  <si>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</si>
  <si>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</si>
  <si>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</si>
  <si>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</si>
  <si>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</si>
  <si>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</si>
  <si>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</si>
  <si>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</si>
  <si>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</si>
  <si>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</si>
  <si>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</si>
  <si>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</si>
  <si>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</si>
  <si>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</si>
  <si>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</si>
  <si>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</si>
  <si>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</si>
  <si>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</si>
  <si>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</si>
  <si>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</si>
  <si>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</si>
  <si>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</si>
  <si>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</si>
  <si>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</si>
  <si>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</si>
  <si>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</si>
  <si>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</si>
  <si>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</si>
  <si>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</si>
  <si>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</si>
  <si>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</si>
  <si>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</si>
  <si>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</si>
  <si>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</si>
  <si>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</si>
  <si>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</si>
  <si>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</si>
  <si>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</si>
  <si>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</si>
  <si>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</si>
  <si>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</si>
  <si>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</si>
  <si>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</si>
  <si>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</si>
  <si>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</si>
  <si>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</si>
  <si>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</si>
  <si>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</si>
  <si>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</si>
  <si>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</si>
  <si>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</si>
  <si>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</si>
  <si>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</si>
  <si>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</si>
  <si>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</si>
  <si>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</si>
  <si>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</si>
  <si>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</si>
  <si>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</si>
  <si>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</si>
  <si>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</si>
  <si>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</si>
  <si>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</si>
  <si>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</si>
  <si>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</si>
  <si>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</si>
  <si>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</si>
  <si>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</si>
  <si>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</si>
  <si>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</si>
  <si>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</si>
  <si>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</si>
  <si>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</si>
  <si>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</si>
  <si>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</si>
  <si>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</si>
  <si>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</si>
  <si>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</si>
  <si>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</si>
  <si>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</si>
  <si>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</si>
  <si>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</si>
  <si>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</si>
  <si>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</si>
  <si>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</si>
  <si>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</si>
  <si>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</si>
  <si>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</si>
  <si>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</si>
  <si>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</si>
  <si>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</si>
  <si>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</si>
  <si>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</si>
  <si>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</si>
  <si>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</si>
  <si>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</si>
  <si>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</si>
  <si>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</si>
  <si>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</si>
  <si>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</si>
  <si>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</si>
  <si>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</si>
  <si>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</si>
  <si>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</si>
  <si>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</si>
  <si>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</si>
  <si>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</si>
  <si>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</si>
  <si>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</si>
  <si>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</si>
  <si>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</si>
  <si>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</si>
  <si>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</si>
  <si>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</si>
  <si>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</si>
  <si>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</si>
  <si>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</si>
  <si>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</si>
  <si>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</si>
  <si>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</si>
  <si>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</si>
  <si>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</si>
  <si>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</si>
  <si>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</si>
  <si>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</si>
  <si>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</si>
  <si>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</si>
  <si>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</si>
  <si>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</si>
  <si>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</si>
  <si>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</si>
  <si>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</si>
  <si>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</si>
  <si>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</si>
  <si>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</si>
  <si>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</si>
  <si>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</si>
  <si>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</si>
  <si>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</si>
  <si>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</si>
  <si>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</si>
  <si>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</si>
  <si>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</si>
  <si>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</si>
  <si>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</si>
  <si>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</si>
  <si>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</si>
  <si>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</si>
  <si>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</si>
  <si>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</si>
  <si>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</si>
  <si>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</si>
  <si>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</si>
  <si>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</si>
  <si>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</si>
  <si>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</si>
  <si>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</si>
  <si>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</si>
  <si>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</si>
  <si>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</si>
  <si>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</si>
  <si>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</si>
  <si>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</si>
  <si>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</si>
  <si>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</si>
  <si>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</si>
  <si>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</si>
  <si>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</si>
  <si>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</si>
  <si>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</si>
  <si>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</si>
  <si>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</si>
  <si>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</si>
  <si>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</si>
  <si>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</si>
  <si>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</si>
  <si>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</si>
  <si>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</si>
  <si>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</si>
  <si>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</si>
  <si>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</si>
  <si>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</si>
  <si>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</si>
  <si>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</si>
  <si>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</si>
  <si>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</si>
  <si>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</si>
  <si>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</si>
  <si>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</si>
  <si>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</si>
  <si>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</si>
  <si>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</si>
  <si>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</si>
  <si>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</si>
  <si>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</si>
  <si>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</si>
  <si>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</si>
  <si>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</si>
  <si>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</si>
  <si>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</si>
  <si>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</si>
  <si>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</si>
  <si>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</si>
  <si>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</si>
  <si>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</si>
  <si>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</si>
  <si>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</si>
  <si>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</si>
  <si>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</si>
  <si>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</si>
  <si>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</si>
  <si>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</si>
  <si>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</si>
  <si>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</si>
  <si>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</si>
  <si>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</si>
  <si>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</si>
  <si>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</si>
  <si>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</si>
  <si>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</si>
  <si>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</si>
  <si>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</si>
  <si>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</si>
  <si>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</si>
  <si>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</si>
  <si>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</si>
  <si>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</si>
  <si>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</si>
  <si>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</si>
  <si>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</si>
  <si>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</si>
  <si>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</si>
  <si>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</si>
  <si>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</si>
  <si>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</si>
  <si>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</si>
  <si>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</si>
  <si>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</si>
  <si>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</si>
  <si>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</si>
  <si>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</si>
  <si>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</si>
  <si>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</si>
  <si>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</si>
  <si>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</si>
  <si>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</si>
  <si>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</si>
  <si>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</si>
  <si>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</si>
  <si>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</si>
  <si>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</si>
  <si>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</si>
  <si>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</si>
  <si>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</si>
  <si>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</si>
  <si>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</si>
  <si>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</si>
  <si>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</si>
  <si>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</si>
  <si>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</si>
  <si>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</si>
  <si>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</si>
  <si>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</si>
  <si>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</si>
  <si>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</si>
  <si>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</si>
  <si>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</si>
  <si>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</si>
  <si>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</si>
  <si>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</si>
  <si>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</si>
  <si>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</si>
  <si>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</si>
  <si>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</si>
  <si>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</si>
  <si>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</si>
  <si>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</si>
  <si>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</si>
  <si>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</si>
  <si>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</si>
  <si>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</si>
  <si>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</si>
  <si>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</si>
  <si>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</si>
  <si>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</si>
  <si>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</si>
  <si>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</si>
  <si>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</si>
  <si>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</si>
  <si>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</si>
  <si>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</si>
  <si>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</si>
  <si>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</si>
  <si>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</si>
  <si>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</si>
  <si>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</si>
  <si>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</si>
  <si>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</si>
  <si>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</si>
  <si>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</si>
  <si>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</si>
  <si>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</si>
  <si>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</si>
  <si>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</si>
  <si>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</si>
  <si>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</si>
  <si>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</si>
  <si>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</si>
  <si>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</si>
  <si>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</si>
  <si>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</si>
  <si>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</si>
  <si>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</si>
  <si>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</si>
  <si>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</si>
  <si>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</si>
  <si>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</si>
  <si>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</si>
  <si>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</si>
  <si>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</si>
  <si>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</si>
  <si>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</si>
  <si>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</si>
  <si>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</si>
  <si>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</si>
  <si>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</si>
  <si>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</si>
  <si>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</si>
  <si>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</si>
  <si>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</si>
  <si>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</si>
  <si>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</si>
  <si>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</si>
  <si>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</si>
  <si>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</si>
  <si>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</si>
  <si>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</si>
  <si>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</si>
  <si>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</si>
  <si>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</si>
  <si>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</si>
  <si>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</si>
  <si>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</si>
  <si>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</si>
  <si>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</si>
  <si>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</si>
  <si>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</si>
  <si>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</si>
  <si>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</si>
  <si>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</si>
  <si>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</si>
  <si>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</si>
  <si>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</si>
  <si>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</si>
  <si>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</si>
  <si>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</si>
  <si>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</si>
  <si>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</si>
  <si>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</si>
  <si>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</si>
  <si>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</si>
  <si>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</si>
  <si>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</si>
  <si>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</si>
  <si>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</si>
  <si>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</si>
  <si>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</si>
  <si>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</si>
  <si>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</si>
  <si>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</si>
  <si>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</si>
  <si>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</si>
  <si>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</si>
  <si>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</si>
  <si>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</si>
  <si>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</si>
  <si>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</si>
  <si>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</si>
  <si>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</si>
  <si>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</si>
  <si>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</si>
  <si>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</si>
  <si>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</si>
  <si>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</si>
  <si>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</si>
  <si>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</si>
  <si>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</si>
  <si>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</si>
  <si>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</si>
  <si>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</si>
  <si>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</si>
  <si>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</si>
  <si>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</si>
  <si>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</si>
  <si>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</si>
  <si>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</si>
  <si>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</si>
  <si>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</si>
  <si>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</si>
  <si>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</si>
  <si>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</si>
  <si>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</si>
  <si>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</si>
  <si>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</si>
  <si>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</si>
  <si>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</si>
  <si>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</si>
  <si>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</si>
  <si>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</si>
  <si>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</si>
  <si>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</si>
  <si>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</si>
  <si>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</si>
  <si>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</si>
  <si>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</si>
  <si>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</si>
  <si>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</si>
  <si>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</si>
  <si>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</si>
  <si>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</si>
  <si>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</si>
  <si>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</si>
  <si>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</si>
  <si>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</si>
  <si>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</si>
  <si>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</si>
  <si>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</si>
  <si>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</si>
  <si>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</si>
  <si>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</si>
  <si>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</si>
  <si>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</si>
  <si>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</si>
  <si>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</si>
  <si>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</si>
  <si>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</si>
  <si>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</si>
  <si>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</si>
  <si>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</si>
  <si>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</si>
  <si>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</si>
  <si>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</si>
  <si>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</si>
  <si>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</si>
  <si>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</si>
  <si>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</si>
  <si>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</si>
  <si>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</si>
  <si>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</si>
  <si>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</si>
  <si>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</si>
  <si>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</si>
  <si>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</si>
  <si>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</si>
  <si>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</si>
  <si>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</si>
  <si>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</si>
  <si>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</si>
  <si>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</si>
  <si>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</si>
  <si>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</si>
  <si>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</si>
  <si>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</si>
  <si>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</si>
  <si>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</si>
  <si>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</si>
  <si>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</si>
  <si>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</si>
  <si>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</si>
  <si>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</si>
  <si>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</si>
  <si>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</si>
  <si>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</si>
  <si>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</si>
  <si>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</si>
  <si>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</si>
  <si>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</si>
  <si>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</si>
  <si>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</si>
  <si>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</si>
  <si>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</si>
  <si>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</si>
  <si>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</si>
  <si>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</si>
  <si>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</si>
  <si>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</si>
  <si>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</si>
  <si>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</si>
  <si>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</si>
  <si>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</si>
  <si>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</si>
  <si>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</si>
  <si>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</si>
  <si>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</si>
  <si>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</si>
  <si>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</si>
  <si>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</si>
  <si>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</si>
  <si>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</si>
  <si>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</si>
  <si>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</si>
  <si>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</si>
  <si>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</si>
  <si>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</si>
  <si>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</si>
  <si>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</si>
  <si>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</si>
  <si>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</si>
  <si>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</si>
  <si>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</si>
  <si>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</si>
  <si>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</si>
  <si>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</si>
  <si>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</si>
  <si>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</si>
  <si>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</si>
  <si>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</si>
  <si>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</si>
  <si>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</si>
  <si>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</si>
  <si>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</si>
  <si>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</si>
  <si>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</si>
  <si>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</si>
  <si>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</si>
  <si>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</si>
  <si>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</si>
  <si>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</si>
  <si>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</si>
  <si>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</si>
  <si>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</si>
  <si>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</si>
  <si>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</si>
  <si>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</si>
  <si>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</si>
  <si>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</si>
  <si>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</si>
  <si>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</si>
  <si>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</si>
  <si>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</si>
  <si>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</si>
  <si>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</si>
  <si>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</si>
  <si>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</si>
  <si>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</si>
  <si>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</si>
  <si>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</si>
  <si>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</si>
  <si>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</si>
  <si>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</si>
  <si>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</si>
  <si>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</si>
  <si>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</si>
  <si>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</si>
  <si>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</si>
  <si>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</si>
  <si>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</si>
  <si>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</si>
  <si>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</si>
  <si>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</si>
  <si>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</si>
  <si>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</si>
  <si>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</si>
  <si>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</si>
  <si>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</si>
  <si>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</si>
  <si>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</si>
  <si>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</si>
  <si>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</si>
  <si>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</si>
  <si>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</si>
  <si>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</si>
  <si>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</si>
  <si>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</si>
  <si>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</si>
  <si>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</si>
  <si>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</si>
  <si>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</si>
  <si>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</si>
  <si>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</si>
  <si>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</si>
  <si>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</si>
  <si>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</si>
  <si>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</si>
  <si>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</si>
  <si>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</si>
  <si>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</si>
  <si>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</si>
  <si>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</si>
  <si>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</si>
  <si>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</si>
  <si>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</si>
  <si>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</si>
  <si>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</si>
  <si>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</si>
  <si>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</si>
  <si>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</si>
  <si>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</si>
  <si>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</si>
  <si>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</si>
  <si>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</si>
  <si>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</si>
  <si>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</si>
  <si>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</si>
  <si>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</si>
  <si>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</si>
  <si>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</si>
  <si>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</si>
  <si>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</si>
  <si>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</si>
  <si>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</si>
  <si>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</si>
  <si>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</si>
  <si>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</si>
  <si>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</si>
  <si>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</si>
  <si>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</si>
  <si>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</si>
  <si>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</si>
  <si>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</si>
  <si>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</si>
  <si>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</si>
  <si>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</si>
  <si>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</si>
  <si>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</si>
  <si>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</si>
  <si>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</si>
  <si>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</si>
  <si>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</si>
  <si>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</si>
  <si>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</si>
  <si>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</si>
  <si>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</si>
  <si>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</si>
  <si>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</si>
  <si>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</si>
  <si>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</si>
  <si>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</si>
  <si>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</si>
  <si>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</si>
  <si>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</si>
  <si>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</si>
  <si>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</si>
  <si>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</si>
  <si>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</si>
  <si>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</si>
  <si>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</si>
  <si>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</si>
  <si>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</si>
  <si>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</si>
  <si>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</si>
  <si>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</si>
  <si>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</si>
  <si>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</si>
  <si>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</si>
  <si>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</si>
  <si>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</si>
  <si>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</si>
  <si>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</si>
  <si>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</si>
  <si>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</si>
  <si>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</si>
  <si>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</si>
  <si>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</si>
  <si>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</si>
  <si>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</si>
  <si>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</si>
  <si>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</si>
  <si>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</si>
  <si>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</si>
  <si>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</si>
  <si>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</si>
  <si>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</si>
  <si>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</si>
  <si>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</si>
  <si>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</si>
  <si>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</si>
  <si>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</si>
  <si>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</si>
  <si>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</si>
  <si>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</si>
  <si>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</si>
  <si>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</si>
  <si>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</si>
  <si>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</si>
  <si>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</si>
  <si>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</si>
  <si>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</si>
  <si>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</si>
  <si>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</si>
  <si>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</si>
  <si>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</si>
  <si>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</si>
  <si>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</si>
  <si>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</si>
  <si>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</si>
  <si>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</si>
  <si>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</si>
  <si>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</si>
  <si>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</si>
  <si>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</si>
  <si>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</si>
  <si>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</si>
  <si>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</si>
  <si>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</si>
  <si>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</si>
  <si>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</si>
  <si>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</si>
  <si>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</si>
  <si>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</si>
  <si>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</si>
  <si>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</si>
  <si>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</si>
  <si>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</si>
  <si>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</si>
  <si>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</si>
  <si>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</si>
  <si>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</si>
  <si>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</si>
  <si>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</si>
  <si>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</si>
  <si>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</si>
  <si>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</si>
  <si>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</si>
  <si>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</si>
  <si>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</si>
  <si>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</si>
  <si>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</si>
  <si>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</si>
  <si>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</si>
  <si>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</si>
  <si>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</si>
  <si>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</si>
  <si>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</si>
  <si>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</si>
  <si>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</si>
  <si>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</si>
  <si>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</si>
  <si>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</si>
  <si>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</si>
  <si>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</si>
  <si>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</si>
  <si>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</si>
  <si>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</si>
  <si>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</si>
  <si>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</si>
  <si>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</si>
  <si>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</si>
  <si>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</si>
  <si>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</si>
  <si>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</si>
  <si>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</si>
  <si>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</si>
  <si>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</si>
  <si>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</si>
  <si>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</si>
  <si>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</si>
  <si>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</si>
  <si>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</si>
  <si>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</si>
  <si>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</si>
  <si>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</si>
  <si>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</si>
  <si>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</si>
  <si>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</si>
  <si>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</si>
  <si>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</si>
  <si>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</si>
  <si>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</si>
  <si>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</si>
  <si>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</si>
  <si>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</si>
  <si>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</si>
  <si>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</si>
  <si>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</si>
  <si>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</si>
  <si>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</si>
  <si>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</si>
  <si>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</si>
  <si>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</si>
  <si>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</si>
  <si>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</si>
  <si>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</si>
  <si>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</si>
  <si>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</si>
  <si>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</si>
  <si>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</si>
  <si>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</si>
  <si>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</si>
  <si>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</si>
  <si>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</si>
  <si>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</si>
  <si>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</si>
  <si>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</si>
  <si>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</si>
  <si>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</si>
  <si>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</si>
  <si>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</si>
  <si>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</si>
  <si>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</si>
  <si>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</si>
  <si>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</si>
  <si>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</si>
  <si>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</si>
  <si>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</si>
  <si>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</si>
  <si>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</si>
  <si>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</si>
  <si>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</si>
  <si>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</si>
  <si>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</si>
  <si>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</si>
  <si>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</si>
  <si>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</si>
  <si>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</si>
  <si>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</si>
  <si>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</si>
  <si>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</si>
  <si>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</si>
  <si>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</si>
  <si>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</si>
  <si>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</si>
  <si>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</si>
  <si>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</si>
  <si>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</si>
  <si>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</si>
  <si>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</si>
  <si>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</si>
  <si>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</si>
  <si>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</si>
  <si>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</si>
  <si>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</si>
  <si>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</si>
  <si>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</si>
  <si>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</si>
  <si>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</si>
  <si>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</si>
  <si>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</si>
  <si>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</si>
  <si>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</si>
  <si>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</si>
  <si>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</si>
  <si>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</si>
  <si>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</si>
  <si>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</si>
  <si>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</si>
  <si>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</si>
  <si>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</si>
  <si>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</si>
  <si>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</si>
  <si>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</si>
  <si>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</si>
  <si>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</si>
  <si>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</si>
  <si>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</si>
  <si>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</si>
  <si>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</si>
  <si>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</si>
  <si>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</si>
  <si>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</si>
  <si>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</si>
  <si>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</si>
  <si>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</si>
  <si>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</si>
  <si>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</si>
  <si>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</si>
  <si>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</si>
  <si>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</si>
  <si>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</si>
  <si>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</si>
  <si>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</si>
  <si>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</si>
  <si>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</si>
  <si>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</si>
  <si>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</si>
  <si>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</si>
  <si>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</si>
  <si>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</si>
  <si>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</si>
  <si>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</si>
  <si>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</si>
  <si>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</si>
  <si>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</si>
  <si>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</si>
  <si>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</si>
  <si>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</si>
  <si>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</si>
  <si>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</si>
  <si>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</si>
  <si>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</si>
  <si>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</si>
  <si>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</si>
  <si>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</si>
  <si>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</si>
  <si>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</si>
  <si>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</si>
  <si>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</si>
  <si>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</si>
  <si>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</si>
  <si>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</si>
  <si>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</si>
  <si>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</si>
  <si>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</si>
  <si>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</si>
  <si>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</si>
  <si>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</si>
  <si>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</si>
  <si>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</si>
  <si>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</si>
  <si>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</si>
  <si>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</si>
  <si>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</si>
  <si>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</si>
  <si>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</si>
  <si>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</si>
  <si>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</si>
  <si>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</si>
  <si>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</si>
  <si>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</si>
  <si>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</si>
  <si>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</si>
  <si>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</si>
  <si>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</si>
  <si>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</si>
  <si>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</si>
  <si>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</si>
  <si>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</si>
  <si>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</si>
  <si>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</si>
  <si>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</si>
  <si>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</si>
  <si>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</si>
  <si>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</si>
  <si>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</si>
  <si>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</si>
  <si>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</si>
  <si>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</si>
  <si>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</si>
  <si>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</si>
  <si>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</si>
  <si>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</si>
  <si>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</si>
  <si>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</si>
  <si>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</si>
  <si>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</si>
  <si>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</si>
  <si>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</si>
  <si>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</si>
  <si>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</si>
  <si>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</si>
  <si>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</si>
  <si>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</si>
  <si>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</si>
  <si>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</si>
  <si>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</si>
  <si>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</si>
  <si>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</si>
  <si>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</si>
  <si>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</si>
  <si>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</si>
  <si>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</si>
  <si>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</si>
  <si>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</si>
  <si>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</si>
  <si>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</si>
  <si>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</si>
  <si>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</si>
  <si>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</si>
  <si>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</si>
  <si>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</si>
  <si>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</si>
  <si>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</si>
  <si>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</si>
  <si>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</si>
  <si>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</si>
  <si>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</si>
  <si>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</si>
  <si>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</si>
  <si>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</si>
  <si>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</si>
  <si>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</si>
  <si>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</si>
  <si>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</si>
  <si>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</si>
  <si>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</si>
  <si>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</si>
  <si>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</si>
  <si>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</si>
  <si>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</si>
  <si>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</si>
  <si>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</si>
  <si>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</si>
  <si>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</si>
  <si>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</si>
  <si>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</si>
  <si>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</si>
  <si>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</si>
  <si>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</si>
  <si>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</si>
  <si>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</si>
  <si>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</si>
  <si>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</si>
  <si>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</si>
  <si>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</si>
  <si>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</si>
  <si>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</si>
  <si>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</si>
  <si>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</si>
  <si>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</si>
  <si>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</si>
  <si>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</si>
  <si>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</si>
  <si>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</si>
  <si>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</si>
  <si>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</si>
  <si>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</si>
  <si>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</si>
  <si>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</si>
  <si>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</si>
  <si>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</si>
  <si>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</si>
  <si>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</si>
  <si>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</si>
  <si>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</si>
  <si>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Financeiros associados ao §7º do Art. 88 da Ren 414/2021</t>
  </si>
  <si>
    <t>CVA cde energia</t>
  </si>
  <si>
    <t>Reversão de Risco Hidrológico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</si>
  <si>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</si>
  <si>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</si>
  <si>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</si>
  <si>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</si>
  <si>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</si>
  <si>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</si>
  <si>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</si>
  <si>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</si>
  <si>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</si>
  <si>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</si>
  <si>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</si>
  <si>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</si>
  <si>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</si>
  <si>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</si>
  <si>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</si>
  <si>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</si>
  <si>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</si>
  <si>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</si>
  <si>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</si>
  <si>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</si>
  <si>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</si>
  <si>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</si>
  <si>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</si>
  <si>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</si>
  <si>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</si>
  <si>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</si>
  <si>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</si>
  <si>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</si>
  <si>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</si>
  <si>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</si>
  <si>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</si>
  <si>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</si>
  <si>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</si>
  <si>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</si>
  <si>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</si>
  <si>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</si>
  <si>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</si>
  <si>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</si>
  <si>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</si>
  <si>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</si>
  <si>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</si>
  <si>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</si>
  <si>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</si>
  <si>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</si>
  <si>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</si>
  <si>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</si>
  <si>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</si>
  <si>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</si>
  <si>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</si>
  <si>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</si>
  <si>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</si>
  <si>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</si>
  <si>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</si>
  <si>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</si>
  <si>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</si>
  <si>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</si>
  <si>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</si>
  <si>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</si>
  <si>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</si>
  <si>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</si>
  <si>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</si>
  <si>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</si>
  <si>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</si>
  <si>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</si>
  <si>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</si>
  <si>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</si>
  <si>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</si>
  <si>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</si>
  <si>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</si>
  <si>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</si>
  <si>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</si>
  <si>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</si>
  <si>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</si>
  <si>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</si>
  <si>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</si>
  <si>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</si>
  <si>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</si>
  <si>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</si>
  <si>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</si>
  <si>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</si>
  <si>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</si>
  <si>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</si>
  <si>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</si>
  <si>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</si>
  <si>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</si>
  <si>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</si>
  <si>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</si>
  <si>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</si>
  <si>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</si>
  <si>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</si>
  <si>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</si>
  <si>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</si>
  <si>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</si>
  <si>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</si>
  <si>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</si>
  <si>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</si>
  <si>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</si>
  <si>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</si>
  <si>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</si>
  <si>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</si>
  <si>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</si>
  <si>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</si>
  <si>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</si>
  <si>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</si>
  <si>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</si>
  <si>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</si>
  <si>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</si>
  <si>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</si>
  <si>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</si>
  <si>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</si>
  <si>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</si>
  <si>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</si>
  <si>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</si>
  <si>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</si>
  <si>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</si>
  <si>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</si>
  <si>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</si>
  <si>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</si>
  <si>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</si>
  <si>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</si>
  <si>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</si>
  <si>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</si>
  <si>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</si>
  <si>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</si>
  <si>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</si>
  <si>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</si>
  <si>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</si>
  <si>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</si>
  <si>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</si>
  <si>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</si>
  <si>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</si>
  <si>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</si>
  <si>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</si>
  <si>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</si>
  <si>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</si>
  <si>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</si>
  <si>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</si>
  <si>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</si>
  <si>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</si>
  <si>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</si>
  <si>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</si>
  <si>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</si>
  <si>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</si>
  <si>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</si>
  <si>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</si>
  <si>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</si>
  <si>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</si>
  <si>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</si>
  <si>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</si>
  <si>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</si>
  <si>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</si>
  <si>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</si>
  <si>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</si>
  <si>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</si>
  <si>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</si>
  <si>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</si>
  <si>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</si>
  <si>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</si>
  <si>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</si>
  <si>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</si>
  <si>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</si>
  <si>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</si>
  <si>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</si>
  <si>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</si>
  <si>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</si>
  <si>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</si>
  <si>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</si>
  <si>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</si>
  <si>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</si>
  <si>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</si>
  <si>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</si>
  <si>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</si>
  <si>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</si>
  <si>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</si>
  <si>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</si>
  <si>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</si>
  <si>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</si>
  <si>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</si>
  <si>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</si>
  <si>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</si>
  <si>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</si>
  <si>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</si>
  <si>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</si>
  <si>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</si>
  <si>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</si>
  <si>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</si>
  <si>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</si>
  <si>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</si>
  <si>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</si>
  <si>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</si>
  <si>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</si>
  <si>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</si>
  <si>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</si>
  <si>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</si>
  <si>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</si>
  <si>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</si>
  <si>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</si>
  <si>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</si>
  <si>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</si>
  <si>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</si>
  <si>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</si>
  <si>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</si>
  <si>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</si>
  <si>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</si>
  <si>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</si>
  <si>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</si>
  <si>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</si>
  <si>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</si>
  <si>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</si>
  <si>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</si>
  <si>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</si>
  <si>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</si>
  <si>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</si>
  <si>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</si>
  <si>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</si>
  <si>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</si>
  <si>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</si>
  <si>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</si>
  <si>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</si>
  <si>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</si>
  <si>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</si>
  <si>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</si>
  <si>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</si>
  <si>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</si>
  <si>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</si>
  <si>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</si>
  <si>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</si>
  <si>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</si>
  <si>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</si>
  <si>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</si>
  <si>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</si>
  <si>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</si>
  <si>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</si>
  <si>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</si>
  <si>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</si>
  <si>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</si>
  <si>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</si>
  <si>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</si>
  <si>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</si>
  <si>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</si>
  <si>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</si>
  <si>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</si>
  <si>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</si>
  <si>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</si>
  <si>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</si>
  <si>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</si>
  <si>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</si>
  <si>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</si>
  <si>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</si>
  <si>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</si>
  <si>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</si>
  <si>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</si>
  <si>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</si>
  <si>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</si>
  <si>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</si>
  <si>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</si>
  <si>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</si>
  <si>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</si>
  <si>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</si>
  <si>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</si>
  <si>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</si>
  <si>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</si>
  <si>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</si>
  <si>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</si>
  <si>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</si>
  <si>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</si>
  <si>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</si>
  <si>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</si>
  <si>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</si>
  <si>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</si>
  <si>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</si>
  <si>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</si>
  <si>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</si>
  <si>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</si>
  <si>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</si>
  <si>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</si>
  <si>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</si>
  <si>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</si>
  <si>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</si>
  <si>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</si>
  <si>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</si>
  <si>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</si>
  <si>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</si>
  <si>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</si>
  <si>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</si>
  <si>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</si>
  <si>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</si>
  <si>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</si>
  <si>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</si>
  <si>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</si>
  <si>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</si>
  <si>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</si>
  <si>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</si>
  <si>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</si>
  <si>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</si>
  <si>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</si>
  <si>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</si>
  <si>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</si>
  <si>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</si>
  <si>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</si>
  <si>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</si>
  <si>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</si>
  <si>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</si>
  <si>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</si>
  <si>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</si>
  <si>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</si>
  <si>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</si>
  <si>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</si>
  <si>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</si>
  <si>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</si>
  <si>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</si>
  <si>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</si>
  <si>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</si>
  <si>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</si>
  <si>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</si>
  <si>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</si>
  <si>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</si>
  <si>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</si>
  <si>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</si>
  <si>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</si>
  <si>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</si>
  <si>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</si>
  <si>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</si>
  <si>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</si>
  <si>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</si>
  <si>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</si>
  <si>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</si>
  <si>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</si>
  <si>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</si>
  <si>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</si>
  <si>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</si>
  <si>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</si>
  <si>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</si>
  <si>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</si>
  <si>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</si>
  <si>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</si>
  <si>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</si>
  <si>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</si>
  <si>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</si>
  <si>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</si>
  <si>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</si>
  <si>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</si>
  <si>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</si>
  <si>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</si>
  <si>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</si>
  <si>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</si>
  <si>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</si>
  <si>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</si>
  <si>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</si>
  <si>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</si>
  <si>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</si>
  <si>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</si>
  <si>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</si>
  <si>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</si>
  <si>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</si>
  <si>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</si>
  <si>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</si>
  <si>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</si>
  <si>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</si>
  <si>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</si>
  <si>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</si>
  <si>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</si>
  <si>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</si>
  <si>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</si>
  <si>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</si>
  <si>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</si>
  <si>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</si>
  <si>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</si>
  <si>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</si>
  <si>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</si>
  <si>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</si>
  <si>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</si>
  <si>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</si>
  <si>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</si>
  <si>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</si>
  <si>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</si>
  <si>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</si>
  <si>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</si>
  <si>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</si>
  <si>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</si>
  <si>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</si>
  <si>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</si>
  <si>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</si>
  <si>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</si>
  <si>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</si>
  <si>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</si>
  <si>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</si>
  <si>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</si>
  <si>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</si>
  <si>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</si>
  <si>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</si>
  <si>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</si>
  <si>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</si>
  <si>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</si>
  <si>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</si>
  <si>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</si>
  <si>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</si>
  <si>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</si>
  <si>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</si>
  <si>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</si>
  <si>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</si>
  <si>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</si>
  <si>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</si>
  <si>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</si>
  <si>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</si>
  <si>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</si>
  <si>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</si>
  <si>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</si>
  <si>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</si>
  <si>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</si>
  <si>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</si>
  <si>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</si>
  <si>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</si>
  <si>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</si>
  <si>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</si>
  <si>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</si>
  <si>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</si>
  <si>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</si>
  <si>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</si>
  <si>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</si>
  <si>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</si>
  <si>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</si>
  <si>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</si>
  <si>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</si>
  <si>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</si>
  <si>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</si>
  <si>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</si>
  <si>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</si>
  <si>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</si>
  <si>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</si>
  <si>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</si>
  <si>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</si>
  <si>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</si>
  <si>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</si>
  <si>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</si>
  <si>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</si>
  <si>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</si>
  <si>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</si>
  <si>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</si>
  <si>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</si>
  <si>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</si>
  <si>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</si>
  <si>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</si>
  <si>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</si>
  <si>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</si>
  <si>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</si>
  <si>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</si>
  <si>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</si>
  <si>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</si>
  <si>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</si>
  <si>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</si>
  <si>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</si>
  <si>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</si>
  <si>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</si>
  <si>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</si>
  <si>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</si>
  <si>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</si>
  <si>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</si>
  <si>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</si>
  <si>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</si>
  <si>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</si>
  <si>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</si>
  <si>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</si>
  <si>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</si>
  <si>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</si>
  <si>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</si>
  <si>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</si>
  <si>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</si>
  <si>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</si>
  <si>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</si>
  <si>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</si>
  <si>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</si>
  <si>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</si>
  <si>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</si>
  <si>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</si>
  <si>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</si>
  <si>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</si>
  <si>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</si>
  <si>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</si>
  <si>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</si>
  <si>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</si>
  <si>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</si>
  <si>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</si>
  <si>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</si>
  <si>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</si>
  <si>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</si>
  <si>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</si>
  <si>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</si>
  <si>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</si>
  <si>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</si>
  <si>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</si>
  <si>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</si>
  <si>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</si>
  <si>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</si>
  <si>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</si>
  <si>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</si>
  <si>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</si>
  <si>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</si>
  <si>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</si>
  <si>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</si>
  <si>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</si>
  <si>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</si>
  <si>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</si>
  <si>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</si>
  <si>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</si>
  <si>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</si>
  <si>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</si>
  <si>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</si>
  <si>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</si>
  <si>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</si>
  <si>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</si>
  <si>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</si>
  <si>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</si>
  <si>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</si>
  <si>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</si>
  <si>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</si>
  <si>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</si>
  <si>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</si>
  <si>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</si>
  <si>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</si>
  <si>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</si>
  <si>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</si>
  <si>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</si>
  <si>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</si>
  <si>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</si>
  <si>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</si>
  <si>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</si>
  <si>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</si>
  <si>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</si>
  <si>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</si>
  <si>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</si>
  <si>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</si>
  <si>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</si>
  <si>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</si>
  <si>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</si>
  <si>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</si>
  <si>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</si>
  <si>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</si>
  <si>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</si>
  <si>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</si>
  <si>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</si>
  <si>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</si>
  <si>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</si>
  <si>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</si>
  <si>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</si>
  <si>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</si>
  <si>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</si>
  <si>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</si>
  <si>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</si>
  <si>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</si>
  <si>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</si>
  <si>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</si>
  <si>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</si>
  <si>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</si>
  <si>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</si>
  <si>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</si>
  <si>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</si>
  <si>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</si>
  <si>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</si>
  <si>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</si>
  <si>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</si>
  <si>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</si>
  <si>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</si>
  <si>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</si>
  <si>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</si>
  <si>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</si>
  <si>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</si>
  <si>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</si>
  <si>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</si>
  <si>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</si>
  <si>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</si>
  <si>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</si>
  <si>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</si>
  <si>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</si>
  <si>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</si>
  <si>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</si>
  <si>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</si>
  <si>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</si>
  <si>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</si>
  <si>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</si>
  <si>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</si>
  <si>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</si>
  <si>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</si>
  <si>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</si>
  <si>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</si>
  <si>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</si>
  <si>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</si>
  <si>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</si>
  <si>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</si>
  <si>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</si>
  <si>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</si>
  <si>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</si>
  <si>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</si>
  <si>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</si>
  <si>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</si>
  <si>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</si>
  <si>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</si>
  <si>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</si>
  <si>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</si>
  <si>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</si>
  <si>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</si>
  <si>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</si>
  <si>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</si>
  <si>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</si>
  <si>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</si>
  <si>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</si>
  <si>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</si>
  <si>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</si>
  <si>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</si>
  <si>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</si>
  <si>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</si>
  <si>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</si>
  <si>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</si>
  <si>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</si>
  <si>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</si>
  <si>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</si>
  <si>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</si>
  <si>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</si>
  <si>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</si>
  <si>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</si>
  <si>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</si>
  <si>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</si>
  <si>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</si>
  <si>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</si>
  <si>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</si>
  <si>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</si>
  <si>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</si>
  <si>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</si>
  <si>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</si>
  <si>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</si>
  <si>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</si>
  <si>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</si>
  <si>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</si>
  <si>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</si>
  <si>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</si>
  <si>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</si>
  <si>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</si>
  <si>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</si>
  <si>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</si>
  <si>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</si>
  <si>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</si>
  <si>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</si>
  <si>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</si>
  <si>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</si>
  <si>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</si>
  <si>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</si>
  <si>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</si>
  <si>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</si>
  <si>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</si>
  <si>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</si>
  <si>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</si>
  <si>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</si>
  <si>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</si>
  <si>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</si>
  <si>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</si>
  <si>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</si>
  <si>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</si>
  <si>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</si>
  <si>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</si>
  <si>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</si>
  <si>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</si>
  <si>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</si>
  <si>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</si>
  <si>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</si>
  <si>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</si>
  <si>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</si>
  <si>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</si>
  <si>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</si>
  <si>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</si>
  <si>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</si>
  <si>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</si>
  <si>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</si>
  <si>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</si>
  <si>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</si>
  <si>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</si>
  <si>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</si>
  <si>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</si>
  <si>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</si>
  <si>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</si>
  <si>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</si>
  <si>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</si>
  <si>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</si>
  <si>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</si>
  <si>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</si>
  <si>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</si>
  <si>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</si>
  <si>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</si>
  <si>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</si>
  <si>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</si>
  <si>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</si>
  <si>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</si>
  <si>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</si>
  <si>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</si>
  <si>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</si>
  <si>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</si>
  <si>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</si>
  <si>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</si>
  <si>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</si>
  <si>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</si>
  <si>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</si>
  <si>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</si>
  <si>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</si>
  <si>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</si>
  <si>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</si>
  <si>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</si>
  <si>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</si>
  <si>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</si>
  <si>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</si>
  <si>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</si>
  <si>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</si>
  <si>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</si>
  <si>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</si>
  <si>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</si>
  <si>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</si>
  <si>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</si>
  <si>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</si>
  <si>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</si>
  <si>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</si>
  <si>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</si>
  <si>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</si>
  <si>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</si>
  <si>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</si>
  <si>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</si>
  <si>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</si>
  <si>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</si>
  <si>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</si>
  <si>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</si>
  <si>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</si>
  <si>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</si>
  <si>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</si>
  <si>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</si>
  <si>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</si>
  <si>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</si>
  <si>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</si>
  <si>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</si>
  <si>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</si>
  <si>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</si>
  <si>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</si>
  <si>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</si>
  <si>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</si>
  <si>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</si>
  <si>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</si>
  <si>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</si>
  <si>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</si>
  <si>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</si>
  <si>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</si>
  <si>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</si>
  <si>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</si>
  <si>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</si>
  <si>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</si>
  <si>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</si>
  <si>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</si>
  <si>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</si>
  <si>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</si>
  <si>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</si>
  <si>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</si>
  <si>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</si>
  <si>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</si>
  <si>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</si>
  <si>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</si>
  <si>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</si>
  <si>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</si>
  <si>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</si>
  <si>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</si>
  <si>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</si>
  <si>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</si>
  <si>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</si>
  <si>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</si>
  <si>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</si>
  <si>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</si>
  <si>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</si>
  <si>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</si>
  <si>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</si>
  <si>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</si>
  <si>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</si>
  <si>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</si>
  <si>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</si>
  <si>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</si>
  <si>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</si>
  <si>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</si>
  <si>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</si>
  <si>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</si>
  <si>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</si>
  <si>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</si>
  <si>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</si>
  <si>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</si>
  <si>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</si>
  <si>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</si>
  <si>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</si>
  <si>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</si>
  <si>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</si>
  <si>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</si>
  <si>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</si>
  <si>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</si>
  <si>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</si>
  <si>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</si>
  <si>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</si>
  <si>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</si>
  <si>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</si>
  <si>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</si>
  <si>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DSP 1.708/2022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</si>
  <si>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</si>
  <si>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</si>
  <si>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</si>
  <si>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</si>
  <si>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</si>
  <si>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</si>
  <si>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</si>
  <si>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</si>
  <si>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</si>
  <si>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</si>
  <si>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</si>
  <si>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</si>
  <si>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</si>
  <si>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</si>
  <si>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</si>
  <si>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</si>
  <si>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</si>
  <si>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Previsão-SGT-2022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</si>
  <si>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</si>
  <si>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</si>
  <si>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</si>
  <si>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</si>
  <si>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</si>
  <si>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</si>
  <si>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</si>
  <si>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</si>
  <si>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</si>
  <si>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</si>
  <si>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</si>
  <si>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</si>
  <si>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</si>
  <si>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</si>
  <si>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</si>
  <si>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</si>
  <si>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</si>
  <si>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</si>
  <si>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</si>
  <si>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</si>
  <si>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</si>
  <si>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</si>
  <si>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</si>
  <si>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</si>
  <si>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</si>
  <si>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</si>
  <si>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</si>
  <si>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</si>
  <si>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</si>
  <si>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</si>
  <si>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</si>
  <si>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</si>
  <si>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</si>
  <si>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</si>
  <si>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</si>
  <si>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</si>
  <si>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GERAÇÃO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</si>
  <si>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</si>
  <si>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</si>
  <si>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</si>
  <si>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</si>
  <si>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</si>
  <si>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</si>
  <si>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</si>
  <si>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</si>
  <si>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</si>
  <si>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</si>
  <si>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</si>
  <si>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</si>
  <si>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</si>
  <si>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</si>
  <si>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</si>
  <si>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</si>
  <si>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</si>
  <si>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</si>
  <si>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</si>
  <si>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</si>
  <si>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</si>
  <si>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</si>
  <si>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</si>
  <si>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</si>
  <si>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</si>
  <si>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</si>
  <si>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</si>
  <si>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</si>
  <si>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</si>
  <si>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</si>
  <si>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</si>
  <si>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</si>
  <si>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</si>
  <si>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</si>
  <si>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</si>
  <si>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</si>
  <si>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</si>
  <si>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</si>
  <si>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</si>
  <si>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</si>
  <si>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</si>
  <si>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</si>
  <si>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</si>
  <si>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</si>
  <si>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</si>
  <si>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</si>
  <si>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</si>
  <si>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</si>
  <si>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</si>
  <si>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</si>
  <si>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</si>
  <si>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</si>
  <si>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</si>
  <si>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</si>
  <si>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</si>
  <si>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EUST - FR</t>
  </si>
  <si>
    <t>EUST - RB</t>
  </si>
  <si>
    <t>RGE Uni</t>
  </si>
  <si>
    <t>RESOLUÇÃO HOMOLOGATÓRIA Nº 3.045, DE 21 DE JUNHO DE 2022</t>
  </si>
  <si>
    <t>Energia suprimento permissionária</t>
  </si>
  <si>
    <t>3627</t>
  </si>
  <si>
    <t>COOPERLUZ - COOPERATIVA DISTRIBUIDORA DE ENERGIA FRONTEIRA NOROESTE</t>
  </si>
  <si>
    <t>396</t>
  </si>
  <si>
    <t>RGE SUL DISTRIBUIDORA DE ENERGIA S.A.</t>
  </si>
  <si>
    <t>ELECTRA Comercializadora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</si>
  <si>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</si>
  <si>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</si>
  <si>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</si>
  <si>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</si>
  <si>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</si>
  <si>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</si>
  <si>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</si>
  <si>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</si>
  <si>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</si>
  <si>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Fonte incentivada</t>
  </si>
  <si>
    <t>LIVRE</t>
  </si>
  <si>
    <t>CARAGUATÁ</t>
  </si>
  <si>
    <t>RH</t>
  </si>
  <si>
    <t>SANTA ROSA 1 - 69 kV (A)</t>
  </si>
  <si>
    <t>69</t>
  </si>
  <si>
    <t>Início Término MW Médio</t>
  </si>
  <si>
    <t>Contrato ACL</t>
  </si>
  <si>
    <t>Mwmédio</t>
  </si>
  <si>
    <t>Contrato RGE</t>
  </si>
  <si>
    <t>Diferimento Pis Cofins TUSD 25% do valor remanecescente de 2020</t>
  </si>
  <si>
    <t>Diferimento Pis Cofins TE 25% do valor remanecescente de 2020</t>
  </si>
  <si>
    <t>Mwh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</si>
  <si>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</si>
  <si>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</si>
  <si>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</si>
  <si>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</si>
  <si>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</si>
  <si>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</si>
  <si>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</si>
  <si>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</si>
  <si>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</si>
  <si>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</si>
  <si>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</si>
  <si>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</si>
  <si>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</si>
  <si>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</si>
  <si>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</si>
  <si>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</si>
  <si>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</si>
  <si>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</si>
  <si>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</si>
  <si>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</si>
  <si>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</si>
  <si>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</si>
  <si>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</si>
  <si>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Informações para o cálculo da Sobrecontratação</t>
  </si>
  <si>
    <t>Perdas DRA realizadas</t>
  </si>
  <si>
    <t xml:space="preserve">CVE em Processamento </t>
  </si>
  <si>
    <t>Risco hidrologico</t>
  </si>
  <si>
    <t>Soma de TE_E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</si>
  <si>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</si>
  <si>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</si>
  <si>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</si>
  <si>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</si>
  <si>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</si>
  <si>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>Ofpres 18/2022, 30/06/2022</t>
  </si>
  <si>
    <t>.</t>
  </si>
  <si>
    <t>Conta Escassez H. - Imp jul- ago/2021</t>
  </si>
  <si>
    <t>Conta Escassez H. - Bônus Red. Voluntária</t>
  </si>
  <si>
    <t>Conta Escassez H. - Diferimento</t>
  </si>
  <si>
    <t>Sobrecontratação/Reversão de Energia</t>
  </si>
  <si>
    <t>Reversão da Previsão de Risco Hidrologico</t>
  </si>
  <si>
    <t>  8505.257694    02JUN2082    157.29498687</t>
  </si>
  <si>
    <t>CCGF                10801.673625    02JUN2082    136.13091356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</si>
</sst>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2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  <numFmt numFmtId="282" formatCode="mmm/yyyy"/>
  </numFmts>
  <fonts count="329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Arial Narrow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rgb="FF242424"/>
      <name val="Segoe UI"/>
      <family val="2"/>
    </font>
    <font>
      <b/>
      <sz val="11"/>
      <color rgb="FF000000"/>
      <name val="Calibri"/>
      <family val="2"/>
    </font>
  </fonts>
  <fills count="143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darkGray">
        <bgColor indexed="9"/>
      </patternFill>
    </fill>
    <fill>
      <patternFill patternType="darkGray">
        <bgColor theme="4" tint="-0.499984740745262"/>
      </patternFill>
    </fill>
    <fill>
      <patternFill patternType="darkGray"/>
    </fill>
    <fill>
      <patternFill patternType="darkGray">
        <bgColor theme="0"/>
      </patternFill>
    </fill>
    <fill>
      <patternFill patternType="darkGray">
        <bgColor indexed="22"/>
      </patternFill>
    </fill>
    <fill>
      <patternFill patternType="darkGray">
        <bgColor theme="3" tint="0.79998168889431442"/>
      </patternFill>
    </fill>
    <fill>
      <patternFill patternType="darkGray">
        <bgColor indexed="56"/>
      </patternFill>
    </fill>
    <fill>
      <patternFill patternType="darkGray">
        <bgColor theme="8" tint="0.59996337778862885"/>
      </patternFill>
    </fill>
    <fill>
      <patternFill patternType="darkGray">
        <bgColor theme="0" tint="-0.249977111117893"/>
      </patternFill>
    </fill>
  </fills>
  <borders count="2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</borders>
  <cellStyleXfs count="44005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2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301" fillId="0" borderId="0" applyNumberFormat="0" applyFill="0" applyBorder="0" applyAlignment="0" applyProtection="0"/>
    <xf numFmtId="0" fontId="302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32" borderId="206" applyNumberFormat="0" applyFont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" fillId="0" borderId="0"/>
    <xf numFmtId="0" fontId="3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26" fillId="0" borderId="0" applyFont="0" applyFill="0" applyBorder="0" applyAlignment="0" applyProtection="0"/>
    <xf numFmtId="43" fontId="326" fillId="0" borderId="0" applyFont="0" applyFill="0" applyBorder="0" applyAlignment="0" applyProtection="0"/>
    <xf numFmtId="43" fontId="326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26" fillId="0" borderId="0" applyFont="0" applyFill="0" applyBorder="0" applyAlignment="0" applyProtection="0"/>
    <xf numFmtId="43" fontId="326" fillId="0" borderId="0" applyFont="0" applyFill="0" applyBorder="0" applyAlignment="0" applyProtection="0"/>
    <xf numFmtId="43" fontId="326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0" fontId="1" fillId="0" borderId="0"/>
    <xf numFmtId="43" fontId="3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0" fontId="1" fillId="0" borderId="0"/>
    <xf numFmtId="43" fontId="3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0" fontId="1" fillId="0" borderId="0"/>
    <xf numFmtId="43" fontId="3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878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89" applyAlignment="1">
      <alignment vertical="top"/>
    </xf>
    <xf numFmtId="14" fontId="31" fillId="0" borderId="0" xfId="0" applyNumberFormat="1" applyFont="1"/>
    <xf numFmtId="0" fontId="31" fillId="0" borderId="0" xfId="2695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5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5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5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1" applyFont="1" applyFill="1" applyBorder="1" applyAlignment="1">
      <alignment horizontal="center" vertical="center" wrapText="1"/>
    </xf>
    <xf numFmtId="9" fontId="44" fillId="41" borderId="0" xfId="1821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4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7" applyNumberFormat="1" applyFont="1" applyFill="1" applyBorder="1" applyAlignment="1">
      <alignment horizontal="center"/>
    </xf>
    <xf numFmtId="10" fontId="44" fillId="33" borderId="0" xfId="1717" applyNumberFormat="1" applyFont="1" applyFill="1" applyBorder="1" applyAlignment="1">
      <alignment horizontal="center"/>
    </xf>
    <xf numFmtId="0" fontId="44" fillId="0" borderId="0" xfId="2542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7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5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37" fontId="206" fillId="0" borderId="0" xfId="0" applyNumberFormat="1" applyFont="1" applyAlignment="1">
      <alignment horizontal="left"/>
    </xf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5" applyFont="1"/>
    <xf numFmtId="0" fontId="215" fillId="0" borderId="0" xfId="801" applyFont="1" applyAlignment="1" applyProtection="1"/>
    <xf numFmtId="0" fontId="206" fillId="41" borderId="0" xfId="2695" applyFont="1" applyFill="1"/>
    <xf numFmtId="0" fontId="206" fillId="33" borderId="0" xfId="2695" applyFont="1" applyFill="1"/>
    <xf numFmtId="168" fontId="206" fillId="41" borderId="0" xfId="43183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2" applyFont="1" applyBorder="1"/>
    <xf numFmtId="43" fontId="206" fillId="0" borderId="0" xfId="2695" applyNumberFormat="1" applyFont="1"/>
    <xf numFmtId="165" fontId="206" fillId="0" borderId="0" xfId="2695" applyNumberFormat="1" applyFont="1"/>
    <xf numFmtId="165" fontId="210" fillId="0" borderId="0" xfId="2695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5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2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5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10" fontId="206" fillId="41" borderId="0" xfId="847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5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5" applyFont="1" applyFill="1" applyBorder="1" applyAlignment="1">
      <alignment vertical="top"/>
    </xf>
    <xf numFmtId="0" fontId="225" fillId="95" borderId="114" xfId="2695" applyFont="1" applyFill="1" applyBorder="1" applyAlignment="1">
      <alignment horizontal="right" vertical="top"/>
    </xf>
    <xf numFmtId="0" fontId="225" fillId="95" borderId="115" xfId="2695" applyFont="1" applyFill="1" applyBorder="1" applyAlignment="1">
      <alignment vertical="top"/>
    </xf>
    <xf numFmtId="0" fontId="225" fillId="95" borderId="116" xfId="2695" applyFont="1" applyFill="1" applyBorder="1" applyAlignment="1">
      <alignment vertical="top"/>
    </xf>
    <xf numFmtId="0" fontId="225" fillId="95" borderId="117" xfId="2695" applyFont="1" applyFill="1" applyBorder="1" applyAlignment="1">
      <alignment horizontal="right" vertical="top"/>
    </xf>
    <xf numFmtId="0" fontId="225" fillId="95" borderId="118" xfId="2695" applyFont="1" applyFill="1" applyBorder="1" applyAlignment="1">
      <alignment vertical="top"/>
    </xf>
    <xf numFmtId="0" fontId="209" fillId="41" borderId="0" xfId="2695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5" applyFont="1" applyFill="1" applyAlignment="1">
      <alignment vertical="top"/>
    </xf>
    <xf numFmtId="0" fontId="225" fillId="95" borderId="0" xfId="2695" applyFont="1" applyFill="1" applyAlignment="1">
      <alignment horizontal="right" vertical="top"/>
    </xf>
    <xf numFmtId="0" fontId="225" fillId="95" borderId="119" xfId="2695" applyFont="1" applyFill="1" applyBorder="1" applyAlignment="1">
      <alignment vertical="top"/>
    </xf>
    <xf numFmtId="0" fontId="225" fillId="95" borderId="120" xfId="2695" applyFont="1" applyFill="1" applyBorder="1" applyAlignment="1">
      <alignment horizontal="right" vertical="top"/>
    </xf>
    <xf numFmtId="0" fontId="225" fillId="95" borderId="121" xfId="2695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5" applyFont="1"/>
    <xf numFmtId="0" fontId="230" fillId="0" borderId="0" xfId="2695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5" applyFont="1" applyFill="1"/>
    <xf numFmtId="165" fontId="206" fillId="46" borderId="0" xfId="2695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67" fontId="209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5" applyFont="1" applyAlignment="1">
      <alignment vertical="top"/>
    </xf>
    <xf numFmtId="0" fontId="225" fillId="0" borderId="0" xfId="2695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1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5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1" borderId="0" xfId="2695" applyFont="1" applyFill="1" applyAlignment="1">
      <alignment horizontal="center" vertical="center" wrapText="1"/>
    </xf>
    <xf numFmtId="0" fontId="44" fillId="41" borderId="0" xfId="2695" applyFont="1" applyFill="1" applyAlignment="1">
      <alignment horizontal="left" vertical="center"/>
    </xf>
    <xf numFmtId="43" fontId="44" fillId="41" borderId="0" xfId="43197" applyFont="1" applyFill="1" applyBorder="1" applyAlignment="1"/>
    <xf numFmtId="43" fontId="44" fillId="41" borderId="0" xfId="43197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5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198" applyFont="1" applyFill="1" applyBorder="1" applyAlignment="1" applyProtection="1">
      <alignment horizontal="center"/>
    </xf>
    <xf numFmtId="43" fontId="204" fillId="41" borderId="0" xfId="43197" applyFont="1" applyFill="1" applyBorder="1"/>
    <xf numFmtId="43" fontId="111" fillId="41" borderId="0" xfId="43197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5" applyFont="1" applyFill="1" applyBorder="1" applyAlignment="1">
      <alignment horizontal="center"/>
    </xf>
    <xf numFmtId="0" fontId="233" fillId="41" borderId="124" xfId="2695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7" applyNumberFormat="1" applyFont="1" applyFill="1" applyBorder="1" applyAlignment="1">
      <alignment horizontal="center" wrapText="1"/>
    </xf>
    <xf numFmtId="43" fontId="44" fillId="41" borderId="0" xfId="43197" applyFont="1" applyFill="1" applyBorder="1" applyAlignment="1">
      <alignment horizontal="center"/>
    </xf>
    <xf numFmtId="0" fontId="44" fillId="41" borderId="0" xfId="2695" applyFont="1" applyFill="1" applyAlignment="1">
      <alignment horizontal="center" vertical="center"/>
    </xf>
    <xf numFmtId="2" fontId="44" fillId="41" borderId="0" xfId="2695" applyNumberFormat="1" applyFont="1" applyFill="1" applyAlignment="1">
      <alignment horizontal="center"/>
    </xf>
    <xf numFmtId="43" fontId="44" fillId="41" borderId="0" xfId="2695" applyNumberFormat="1" applyFont="1" applyFill="1" applyAlignment="1">
      <alignment horizontal="left"/>
    </xf>
    <xf numFmtId="0" fontId="44" fillId="41" borderId="0" xfId="2695" applyFont="1" applyFill="1" applyAlignment="1">
      <alignment horizontal="center"/>
    </xf>
    <xf numFmtId="0" fontId="44" fillId="41" borderId="0" xfId="2695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7" applyNumberFormat="1" applyFont="1" applyFill="1" applyBorder="1" applyAlignment="1">
      <alignment horizontal="right"/>
    </xf>
    <xf numFmtId="43" fontId="44" fillId="41" borderId="0" xfId="43197" applyFont="1" applyFill="1" applyBorder="1" applyAlignment="1">
      <alignment horizontal="right"/>
    </xf>
    <xf numFmtId="43" fontId="44" fillId="41" borderId="0" xfId="43197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7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7" applyFont="1" applyFill="1" applyBorder="1" applyAlignment="1">
      <alignment horizontal="left"/>
    </xf>
    <xf numFmtId="43" fontId="44" fillId="0" borderId="0" xfId="2695" applyNumberFormat="1" applyFont="1"/>
    <xf numFmtId="43" fontId="111" fillId="0" borderId="0" xfId="2695" applyNumberFormat="1" applyFont="1" applyAlignment="1">
      <alignment horizontal="left"/>
    </xf>
    <xf numFmtId="43" fontId="111" fillId="41" borderId="0" xfId="43197" quotePrefix="1" applyFont="1" applyFill="1" applyBorder="1" applyAlignment="1">
      <alignment horizontal="left"/>
    </xf>
    <xf numFmtId="10" fontId="44" fillId="41" borderId="0" xfId="43197" applyNumberFormat="1" applyFont="1" applyFill="1" applyBorder="1"/>
    <xf numFmtId="0" fontId="146" fillId="41" borderId="0" xfId="2695" applyFont="1" applyFill="1" applyAlignment="1">
      <alignment horizontal="center" vertical="center"/>
    </xf>
    <xf numFmtId="0" fontId="146" fillId="41" borderId="0" xfId="2695" applyFont="1" applyFill="1" applyAlignment="1">
      <alignment horizontal="center" vertical="center" wrapText="1"/>
    </xf>
    <xf numFmtId="0" fontId="145" fillId="41" borderId="0" xfId="2695" applyFont="1" applyFill="1" applyAlignment="1">
      <alignment vertical="center"/>
    </xf>
    <xf numFmtId="3" fontId="145" fillId="41" borderId="0" xfId="2695" applyNumberFormat="1" applyFont="1" applyFill="1" applyAlignment="1">
      <alignment horizontal="center" vertical="center"/>
    </xf>
    <xf numFmtId="10" fontId="145" fillId="41" borderId="0" xfId="2695" applyNumberFormat="1" applyFont="1" applyFill="1" applyAlignment="1">
      <alignment horizontal="center" vertical="center"/>
    </xf>
    <xf numFmtId="0" fontId="145" fillId="41" borderId="0" xfId="2695" applyFont="1" applyFill="1" applyAlignment="1">
      <alignment horizontal="center" vertical="center"/>
    </xf>
    <xf numFmtId="3" fontId="145" fillId="41" borderId="0" xfId="2695" applyNumberFormat="1" applyFont="1" applyFill="1" applyAlignment="1">
      <alignment vertical="center"/>
    </xf>
    <xf numFmtId="10" fontId="145" fillId="41" borderId="0" xfId="2695" applyNumberFormat="1" applyFont="1" applyFill="1" applyAlignment="1">
      <alignment horizontal="right" vertical="center"/>
    </xf>
    <xf numFmtId="0" fontId="147" fillId="41" borderId="0" xfId="2695" applyFont="1" applyFill="1"/>
    <xf numFmtId="9" fontId="39" fillId="38" borderId="0" xfId="1094" applyFont="1" applyFill="1" applyBorder="1" applyAlignment="1">
      <alignment horizontal="center" vertical="center" wrapText="1"/>
    </xf>
    <xf numFmtId="0" fontId="144" fillId="41" borderId="0" xfId="2695" applyFont="1" applyFill="1" applyAlignment="1">
      <alignment horizontal="center" vertical="center"/>
    </xf>
    <xf numFmtId="43" fontId="44" fillId="0" borderId="0" xfId="43197" applyFont="1" applyAlignment="1">
      <alignment vertical="center"/>
    </xf>
    <xf numFmtId="0" fontId="44" fillId="0" borderId="0" xfId="2695" applyFont="1"/>
    <xf numFmtId="0" fontId="111" fillId="0" borderId="0" xfId="2695" applyFont="1"/>
    <xf numFmtId="43" fontId="44" fillId="0" borderId="0" xfId="43199" applyFont="1" applyFill="1" applyBorder="1" applyAlignment="1">
      <alignment horizontal="right" vertical="center"/>
    </xf>
    <xf numFmtId="0" fontId="147" fillId="0" borderId="0" xfId="2695" applyFont="1" applyAlignment="1">
      <alignment vertical="center"/>
    </xf>
    <xf numFmtId="0" fontId="147" fillId="0" borderId="0" xfId="2695" applyFont="1"/>
    <xf numFmtId="43" fontId="147" fillId="41" borderId="0" xfId="43197" applyFont="1" applyFill="1" applyBorder="1"/>
    <xf numFmtId="43" fontId="144" fillId="41" borderId="0" xfId="2695" applyNumberFormat="1" applyFont="1" applyFill="1" applyAlignment="1">
      <alignment horizontal="center" vertical="center"/>
    </xf>
    <xf numFmtId="9" fontId="44" fillId="0" borderId="0" xfId="2695" applyNumberFormat="1" applyFont="1"/>
    <xf numFmtId="10" fontId="44" fillId="0" borderId="0" xfId="2695" applyNumberFormat="1" applyFont="1"/>
    <xf numFmtId="0" fontId="44" fillId="41" borderId="0" xfId="2695" applyFont="1" applyFill="1" applyAlignment="1">
      <alignment vertical="center"/>
    </xf>
    <xf numFmtId="43" fontId="44" fillId="41" borderId="0" xfId="43197" applyFont="1" applyFill="1" applyBorder="1" applyAlignment="1">
      <alignment vertical="center"/>
    </xf>
    <xf numFmtId="217" fontId="44" fillId="33" borderId="0" xfId="2695" applyNumberFormat="1" applyFont="1" applyFill="1" applyAlignment="1">
      <alignment horizontal="center"/>
    </xf>
    <xf numFmtId="0" fontId="125" fillId="41" borderId="0" xfId="43200" applyFont="1" applyFill="1" applyAlignment="1">
      <alignment horizontal="center" wrapText="1"/>
    </xf>
    <xf numFmtId="0" fontId="125" fillId="41" borderId="0" xfId="43200" applyFont="1" applyFill="1" applyAlignment="1">
      <alignment horizontal="center"/>
    </xf>
    <xf numFmtId="0" fontId="138" fillId="41" borderId="0" xfId="43200" applyFont="1" applyFill="1"/>
    <xf numFmtId="43" fontId="138" fillId="41" borderId="0" xfId="43197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2" borderId="0" xfId="0" applyFont="1" applyFill="1"/>
    <xf numFmtId="0" fontId="33" fillId="45" borderId="0" xfId="10223" applyFill="1" applyAlignment="1"/>
    <xf numFmtId="0" fontId="44" fillId="0" borderId="0" xfId="0" applyFont="1"/>
    <xf numFmtId="174" fontId="0" fillId="0" borderId="0" xfId="0" applyNumberFormat="1"/>
    <xf numFmtId="0" fontId="111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5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5" applyNumberFormat="1" applyFont="1" applyFill="1" applyAlignment="1">
      <alignment horizontal="center"/>
    </xf>
    <xf numFmtId="10" fontId="206" fillId="0" borderId="0" xfId="0" applyNumberFormat="1" applyFont="1"/>
    <xf numFmtId="168" fontId="206" fillId="100" borderId="0" xfId="863" applyFont="1" applyFill="1" applyBorder="1"/>
    <xf numFmtId="49" fontId="31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6" fillId="104" borderId="0" xfId="847" applyNumberFormat="1" applyFont="1" applyFill="1" applyBorder="1" applyAlignment="1">
      <alignment horizontal="right"/>
    </xf>
    <xf numFmtId="167" fontId="206" fillId="100" borderId="29" xfId="815" applyFont="1" applyFill="1" applyBorder="1"/>
    <xf numFmtId="170" fontId="44" fillId="0" borderId="0" xfId="43197" applyNumberFormat="1" applyFont="1" applyFill="1" applyBorder="1" applyAlignment="1">
      <alignment horizontal="right"/>
    </xf>
    <xf numFmtId="2" fontId="44" fillId="0" borderId="0" xfId="2695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7" applyFont="1" applyFill="1" applyBorder="1" applyAlignment="1">
      <alignment horizontal="left" vertical="center"/>
    </xf>
    <xf numFmtId="43" fontId="44" fillId="41" borderId="0" xfId="43197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7" applyFont="1" applyFill="1" applyBorder="1" applyProtection="1">
      <protection locked="0"/>
    </xf>
    <xf numFmtId="0" fontId="44" fillId="0" borderId="0" xfId="2695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3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5" applyFont="1" applyAlignment="1">
      <alignment horizontal="left" vertical="center"/>
    </xf>
    <xf numFmtId="43" fontId="44" fillId="0" borderId="0" xfId="43197" applyFont="1" applyFill="1" applyBorder="1" applyAlignment="1"/>
    <xf numFmtId="10" fontId="44" fillId="41" borderId="0" xfId="43197" applyNumberFormat="1" applyFont="1" applyFill="1" applyBorder="1" applyAlignment="1"/>
    <xf numFmtId="0" fontId="245" fillId="0" borderId="0" xfId="43403" applyFont="1"/>
    <xf numFmtId="10" fontId="245" fillId="0" borderId="0" xfId="847" applyNumberFormat="1" applyFont="1" applyFill="1" applyBorder="1"/>
    <xf numFmtId="0" fontId="251" fillId="0" borderId="0" xfId="7306" applyFont="1"/>
    <xf numFmtId="0" fontId="252" fillId="0" borderId="0" xfId="7306" applyFont="1" applyAlignment="1">
      <alignment horizontal="center"/>
    </xf>
    <xf numFmtId="2" fontId="251" fillId="0" borderId="0" xfId="7306" applyNumberFormat="1" applyFont="1"/>
    <xf numFmtId="0" fontId="252" fillId="0" borderId="0" xfId="7306" applyFont="1"/>
    <xf numFmtId="0" fontId="253" fillId="0" borderId="0" xfId="7306" applyFont="1" applyAlignment="1">
      <alignment horizontal="center"/>
    </xf>
    <xf numFmtId="0" fontId="254" fillId="0" borderId="0" xfId="7306" applyFont="1"/>
    <xf numFmtId="168" fontId="253" fillId="0" borderId="0" xfId="43163" applyFont="1"/>
    <xf numFmtId="0" fontId="251" fillId="42" borderId="0" xfId="7306" applyFont="1" applyFill="1"/>
    <xf numFmtId="0" fontId="260" fillId="41" borderId="0" xfId="831" applyFont="1" applyFill="1" applyAlignment="1">
      <alignment horizontal="left"/>
    </xf>
    <xf numFmtId="0" fontId="251" fillId="0" borderId="20" xfId="7306" applyFont="1" applyBorder="1"/>
    <xf numFmtId="10" fontId="251" fillId="41" borderId="10" xfId="1094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5" applyFont="1" applyAlignment="1">
      <alignment vertical="center"/>
    </xf>
    <xf numFmtId="191" fontId="251" fillId="0" borderId="0" xfId="1094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4" applyNumberFormat="1" applyFont="1" applyBorder="1" applyAlignment="1">
      <alignment horizontal="right" vertical="center"/>
    </xf>
    <xf numFmtId="43" fontId="251" fillId="0" borderId="0" xfId="7306" applyNumberFormat="1" applyFont="1"/>
    <xf numFmtId="168" fontId="251" fillId="0" borderId="0" xfId="43163" applyFont="1" applyAlignment="1">
      <alignment horizontal="center"/>
    </xf>
    <xf numFmtId="0" fontId="265" fillId="0" borderId="0" xfId="7306" applyFont="1" applyAlignment="1">
      <alignment horizontal="center"/>
    </xf>
    <xf numFmtId="168" fontId="251" fillId="0" borderId="0" xfId="43163" applyFont="1" applyAlignment="1"/>
    <xf numFmtId="168" fontId="251" fillId="0" borderId="0" xfId="43163" applyFont="1" applyAlignment="1">
      <alignment horizontal="left" vertical="center"/>
    </xf>
    <xf numFmtId="168" fontId="252" fillId="0" borderId="0" xfId="43163" applyFont="1" applyAlignment="1"/>
    <xf numFmtId="168" fontId="252" fillId="0" borderId="0" xfId="43163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4" applyNumberFormat="1" applyFont="1" applyFill="1" applyBorder="1" applyAlignment="1">
      <alignment horizontal="right" vertical="center"/>
    </xf>
    <xf numFmtId="0" fontId="264" fillId="0" borderId="0" xfId="7306" applyFont="1"/>
    <xf numFmtId="168" fontId="251" fillId="0" borderId="0" xfId="43163" applyFont="1" applyFill="1" applyBorder="1" applyAlignment="1">
      <alignment horizontal="center"/>
    </xf>
    <xf numFmtId="168" fontId="251" fillId="0" borderId="0" xfId="43163" applyFont="1" applyFill="1" applyBorder="1" applyAlignment="1"/>
    <xf numFmtId="0" fontId="111" fillId="0" borderId="0" xfId="2695" applyFont="1" applyAlignment="1">
      <alignment vertical="center"/>
    </xf>
    <xf numFmtId="4" fontId="111" fillId="0" borderId="0" xfId="2695" applyNumberFormat="1" applyFont="1" applyAlignment="1">
      <alignment vertical="center"/>
    </xf>
    <xf numFmtId="168" fontId="252" fillId="0" borderId="0" xfId="43163" applyFont="1" applyFill="1" applyBorder="1" applyAlignment="1"/>
    <xf numFmtId="10" fontId="262" fillId="61" borderId="150" xfId="1094" applyNumberFormat="1" applyFont="1" applyFill="1" applyBorder="1" applyAlignment="1">
      <alignment vertical="center"/>
    </xf>
    <xf numFmtId="0" fontId="252" fillId="0" borderId="151" xfId="7306" applyFont="1" applyBorder="1" applyAlignment="1">
      <alignment horizontal="center"/>
    </xf>
    <xf numFmtId="167" fontId="251" fillId="102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8" borderId="0" xfId="847" applyNumberFormat="1" applyFont="1" applyFill="1" applyBorder="1"/>
    <xf numFmtId="168" fontId="206" fillId="108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114" fillId="0" borderId="0" xfId="0" applyFont="1"/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08" applyFont="1"/>
    <xf numFmtId="0" fontId="267" fillId="0" borderId="0" xfId="43409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4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6"/>
    <xf numFmtId="43" fontId="0" fillId="0" borderId="0" xfId="43417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3" borderId="154" xfId="0" applyFont="1" applyFill="1" applyBorder="1" applyAlignment="1">
      <alignment horizontal="center" vertical="distributed"/>
    </xf>
    <xf numFmtId="14" fontId="268" fillId="103" borderId="154" xfId="0" applyNumberFormat="1" applyFont="1" applyFill="1" applyBorder="1" applyAlignment="1">
      <alignment horizontal="center" vertical="distributed"/>
    </xf>
    <xf numFmtId="0" fontId="268" fillId="103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11" borderId="0" xfId="0" applyFont="1" applyFill="1" applyAlignment="1">
      <alignment horizontal="center"/>
    </xf>
    <xf numFmtId="0" fontId="31" fillId="111" borderId="0" xfId="0" applyFont="1" applyFill="1"/>
    <xf numFmtId="14" fontId="31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11" borderId="0" xfId="847" applyNumberFormat="1" applyFont="1" applyFill="1" applyBorder="1"/>
    <xf numFmtId="168" fontId="206" fillId="111" borderId="0" xfId="863" applyFont="1" applyFill="1" applyBorder="1"/>
    <xf numFmtId="168" fontId="206" fillId="111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3" borderId="16" xfId="815" applyFont="1" applyFill="1" applyBorder="1" applyAlignment="1">
      <alignment horizontal="left"/>
    </xf>
    <xf numFmtId="3" fontId="31" fillId="113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11" borderId="0" xfId="863" applyNumberFormat="1" applyFont="1" applyFill="1" applyBorder="1" applyAlignment="1">
      <alignment horizontal="left"/>
    </xf>
    <xf numFmtId="230" fontId="31" fillId="111" borderId="0" xfId="0" applyNumberFormat="1" applyFont="1" applyFill="1"/>
    <xf numFmtId="230" fontId="31" fillId="111" borderId="0" xfId="0" applyNumberFormat="1" applyFont="1" applyFill="1" applyAlignment="1">
      <alignment horizontal="left"/>
    </xf>
    <xf numFmtId="230" fontId="117" fillId="111" borderId="0" xfId="0" applyNumberFormat="1" applyFont="1" applyFill="1" applyAlignment="1">
      <alignment horizontal="left"/>
    </xf>
    <xf numFmtId="0" fontId="272" fillId="113" borderId="16" xfId="0" applyFont="1" applyFill="1" applyBorder="1"/>
    <xf numFmtId="165" fontId="31" fillId="0" borderId="0" xfId="863" applyNumberFormat="1" applyFont="1" applyFill="1" applyBorder="1"/>
    <xf numFmtId="168" fontId="31" fillId="111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3" borderId="159" xfId="0" applyFont="1" applyFill="1" applyBorder="1"/>
    <xf numFmtId="0" fontId="44" fillId="113" borderId="16" xfId="0" applyFont="1" applyFill="1" applyBorder="1"/>
    <xf numFmtId="0" fontId="44" fillId="113" borderId="16" xfId="907" applyFont="1" applyFill="1" applyBorder="1"/>
    <xf numFmtId="10" fontId="44" fillId="113" borderId="16" xfId="847" applyNumberFormat="1" applyFont="1" applyFill="1" applyBorder="1" applyAlignment="1"/>
    <xf numFmtId="14" fontId="44" fillId="113" borderId="16" xfId="0" applyNumberFormat="1" applyFont="1" applyFill="1" applyBorder="1"/>
    <xf numFmtId="0" fontId="276" fillId="113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3" borderId="159" xfId="0" applyFont="1" applyFill="1" applyBorder="1"/>
    <xf numFmtId="0" fontId="272" fillId="113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0" fontId="31" fillId="0" borderId="0" xfId="907" applyAlignment="1">
      <alignment horizontal="left"/>
    </xf>
    <xf numFmtId="10" fontId="31" fillId="0" borderId="0" xfId="847" applyNumberFormat="1" applyFont="1" applyFill="1" applyBorder="1" applyAlignment="1">
      <alignment horizontal="left"/>
    </xf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7" fontId="31" fillId="111" borderId="0" xfId="815" applyFont="1" applyFill="1" applyBorder="1" applyAlignment="1"/>
    <xf numFmtId="10" fontId="31" fillId="111" borderId="0" xfId="847" applyNumberFormat="1" applyFont="1" applyFill="1" applyBorder="1" applyAlignment="1">
      <alignment horizontal="right"/>
    </xf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11" borderId="0" xfId="863" applyNumberFormat="1" applyFont="1" applyFill="1" applyBorder="1" applyAlignment="1">
      <alignment horizontal="left"/>
    </xf>
    <xf numFmtId="10" fontId="31" fillId="111" borderId="0" xfId="847" applyNumberFormat="1" applyFont="1" applyFill="1" applyBorder="1" applyAlignment="1">
      <alignment horizontal="left"/>
    </xf>
    <xf numFmtId="260" fontId="31" fillId="111" borderId="0" xfId="0" applyNumberFormat="1" applyFont="1" applyFill="1" applyAlignment="1">
      <alignment horizontal="left"/>
    </xf>
    <xf numFmtId="260" fontId="31" fillId="111" borderId="0" xfId="0" applyNumberFormat="1" applyFont="1" applyFill="1"/>
    <xf numFmtId="257" fontId="31" fillId="111" borderId="0" xfId="863" applyNumberFormat="1" applyFont="1" applyFill="1" applyBorder="1" applyAlignment="1">
      <alignment horizontal="left"/>
    </xf>
    <xf numFmtId="258" fontId="31" fillId="111" borderId="0" xfId="847" applyNumberFormat="1" applyFont="1" applyFill="1" applyBorder="1" applyAlignment="1">
      <alignment horizontal="left"/>
    </xf>
    <xf numFmtId="259" fontId="31" fillId="111" borderId="0" xfId="0" applyNumberFormat="1" applyFont="1" applyFill="1" applyAlignment="1">
      <alignment horizontal="left"/>
    </xf>
    <xf numFmtId="230" fontId="31" fillId="111" borderId="0" xfId="2695" applyNumberFormat="1" applyFill="1"/>
    <xf numFmtId="257" fontId="31" fillId="111" borderId="0" xfId="847" applyNumberFormat="1" applyFont="1" applyFill="1" applyBorder="1" applyAlignment="1">
      <alignment horizontal="left"/>
    </xf>
    <xf numFmtId="4" fontId="31" fillId="111" borderId="0" xfId="863" applyNumberFormat="1" applyFont="1" applyFill="1" applyBorder="1" applyAlignment="1">
      <alignment horizontal="left"/>
    </xf>
    <xf numFmtId="0" fontId="31" fillId="111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3" applyNumberFormat="1" applyFont="1" applyFill="1" applyBorder="1" applyAlignment="1" applyProtection="1">
      <alignment horizontal="right"/>
      <protection locked="0"/>
    </xf>
    <xf numFmtId="168" fontId="209" fillId="0" borderId="0" xfId="43181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right" vertical="top"/>
    </xf>
    <xf numFmtId="10" fontId="286" fillId="0" borderId="0" xfId="0" applyNumberFormat="1" applyFont="1" applyAlignment="1">
      <alignment horizontal="left" vertical="top"/>
    </xf>
    <xf numFmtId="0" fontId="285" fillId="33" borderId="0" xfId="829" applyFont="1" applyFill="1" applyAlignment="1">
      <alignment horizontal="left" vertical="top"/>
    </xf>
    <xf numFmtId="168" fontId="284" fillId="0" borderId="0" xfId="863" applyFont="1"/>
    <xf numFmtId="168" fontId="284" fillId="0" borderId="0" xfId="0" applyNumberFormat="1" applyFont="1"/>
    <xf numFmtId="0" fontId="289" fillId="0" borderId="0" xfId="0" applyFont="1"/>
    <xf numFmtId="0" fontId="284" fillId="117" borderId="0" xfId="0" applyFont="1" applyFill="1"/>
    <xf numFmtId="165" fontId="284" fillId="117" borderId="0" xfId="815" applyNumberFormat="1" applyFont="1" applyFill="1" applyBorder="1"/>
    <xf numFmtId="167" fontId="290" fillId="43" borderId="0" xfId="0" applyNumberFormat="1" applyFont="1" applyFill="1"/>
    <xf numFmtId="10" fontId="290" fillId="43" borderId="0" xfId="0" applyNumberFormat="1" applyFont="1" applyFill="1"/>
    <xf numFmtId="0" fontId="291" fillId="0" borderId="0" xfId="0" applyFont="1"/>
    <xf numFmtId="0" fontId="284" fillId="1" borderId="0" xfId="0" applyFont="1" applyFill="1"/>
    <xf numFmtId="0" fontId="284" fillId="42" borderId="0" xfId="0" applyFont="1" applyFill="1"/>
    <xf numFmtId="167" fontId="284" fillId="42" borderId="0" xfId="815" applyFont="1" applyFill="1" applyBorder="1"/>
    <xf numFmtId="167" fontId="283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5" borderId="161" xfId="0" applyFont="1" applyFill="1" applyBorder="1" applyAlignment="1">
      <alignment horizontal="center" vertical="distributed"/>
    </xf>
    <xf numFmtId="0" fontId="31" fillId="116" borderId="161" xfId="0" applyFont="1" applyFill="1" applyBorder="1" applyAlignment="1">
      <alignment horizontal="center" vertical="distributed"/>
    </xf>
    <xf numFmtId="0" fontId="31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5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1" applyFont="1" applyFill="1" applyBorder="1" applyAlignment="1">
      <alignment horizontal="left" vertical="center" wrapText="1"/>
    </xf>
    <xf numFmtId="217" fontId="111" fillId="0" borderId="0" xfId="1821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1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5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5" applyFont="1"/>
    <xf numFmtId="0" fontId="147" fillId="41" borderId="0" xfId="36377" applyFont="1" applyFill="1" applyProtection="1">
      <protection locked="0"/>
    </xf>
    <xf numFmtId="0" fontId="44" fillId="41" borderId="0" xfId="36377" applyFont="1" applyFill="1"/>
    <xf numFmtId="0" fontId="292" fillId="41" borderId="0" xfId="36377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5" applyFont="1" applyAlignment="1">
      <alignment horizontal="center"/>
    </xf>
    <xf numFmtId="0" fontId="118" fillId="55" borderId="163" xfId="2695" applyFont="1" applyFill="1" applyBorder="1" applyAlignment="1">
      <alignment horizontal="center" vertical="center" wrapText="1"/>
    </xf>
    <xf numFmtId="0" fontId="118" fillId="55" borderId="164" xfId="2695" applyFont="1" applyFill="1" applyBorder="1" applyAlignment="1">
      <alignment horizontal="center" vertical="center" wrapText="1"/>
    </xf>
    <xf numFmtId="269" fontId="44" fillId="0" borderId="20" xfId="43181" applyNumberFormat="1" applyFont="1" applyBorder="1" applyAlignment="1">
      <alignment vertical="center"/>
    </xf>
    <xf numFmtId="0" fontId="44" fillId="0" borderId="29" xfId="2695" applyFont="1" applyBorder="1" applyAlignment="1">
      <alignment vertical="center"/>
    </xf>
    <xf numFmtId="269" fontId="44" fillId="0" borderId="20" xfId="2695" applyNumberFormat="1" applyFont="1" applyBorder="1" applyAlignment="1">
      <alignment vertical="center"/>
    </xf>
    <xf numFmtId="269" fontId="44" fillId="0" borderId="10" xfId="2695" applyNumberFormat="1" applyFont="1" applyBorder="1" applyAlignment="1">
      <alignment vertical="center"/>
    </xf>
    <xf numFmtId="0" fontId="44" fillId="0" borderId="155" xfId="2695" applyFont="1" applyBorder="1" applyAlignment="1">
      <alignment vertical="center"/>
    </xf>
    <xf numFmtId="269" fontId="44" fillId="0" borderId="156" xfId="2695" applyNumberFormat="1" applyFont="1" applyBorder="1" applyAlignment="1">
      <alignment vertical="center"/>
    </xf>
    <xf numFmtId="0" fontId="118" fillId="55" borderId="0" xfId="2695" applyFont="1" applyFill="1" applyAlignment="1">
      <alignment horizontal="center" vertical="center" wrapText="1"/>
    </xf>
    <xf numFmtId="171" fontId="118" fillId="43" borderId="0" xfId="2695" applyNumberFormat="1" applyFont="1" applyFill="1" applyAlignment="1">
      <alignment horizontal="center" vertical="center" wrapText="1"/>
    </xf>
    <xf numFmtId="171" fontId="118" fillId="55" borderId="0" xfId="2695" applyNumberFormat="1" applyFont="1" applyFill="1" applyAlignment="1">
      <alignment horizontal="center" vertical="center" wrapText="1"/>
    </xf>
    <xf numFmtId="0" fontId="44" fillId="0" borderId="29" xfId="2695" applyFont="1" applyBorder="1"/>
    <xf numFmtId="0" fontId="44" fillId="0" borderId="10" xfId="2695" applyFont="1" applyBorder="1" applyAlignment="1">
      <alignment vertical="center"/>
    </xf>
    <xf numFmtId="270" fontId="44" fillId="0" borderId="0" xfId="2695" applyNumberFormat="1" applyFont="1" applyAlignment="1">
      <alignment vertical="center"/>
    </xf>
    <xf numFmtId="0" fontId="44" fillId="0" borderId="155" xfId="2695" applyFont="1" applyBorder="1"/>
    <xf numFmtId="0" fontId="44" fillId="0" borderId="20" xfId="2695" applyFont="1" applyBorder="1" applyAlignment="1">
      <alignment vertical="center"/>
    </xf>
    <xf numFmtId="270" fontId="44" fillId="118" borderId="20" xfId="2695" applyNumberFormat="1" applyFont="1" applyFill="1" applyBorder="1" applyAlignment="1">
      <alignment vertical="center"/>
    </xf>
    <xf numFmtId="270" fontId="44" fillId="118" borderId="0" xfId="2695" applyNumberFormat="1" applyFont="1" applyFill="1" applyAlignment="1">
      <alignment vertical="center"/>
    </xf>
    <xf numFmtId="270" fontId="44" fillId="118" borderId="156" xfId="2695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11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3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4" fillId="0" borderId="152" xfId="907" applyFont="1" applyBorder="1"/>
    <xf numFmtId="168" fontId="294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43" fontId="284" fillId="0" borderId="0" xfId="0" applyNumberFormat="1" applyFont="1"/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10" borderId="167" xfId="907" applyNumberFormat="1" applyFill="1" applyBorder="1"/>
    <xf numFmtId="171" fontId="31" fillId="110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10" borderId="172" xfId="907" applyNumberFormat="1" applyFill="1" applyBorder="1"/>
    <xf numFmtId="167" fontId="31" fillId="111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206" fillId="0" borderId="0" xfId="847" applyNumberFormat="1" applyFont="1" applyFill="1" applyBorder="1" applyAlignment="1">
      <alignment horizontal="right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11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11" borderId="166" xfId="0" applyFont="1" applyFill="1" applyBorder="1" applyAlignment="1">
      <alignment horizontal="left" wrapText="1"/>
    </xf>
    <xf numFmtId="14" fontId="31" fillId="111" borderId="178" xfId="0" applyNumberFormat="1" applyFont="1" applyFill="1" applyBorder="1" applyAlignment="1">
      <alignment horizontal="left" wrapText="1"/>
    </xf>
    <xf numFmtId="0" fontId="31" fillId="111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273" fontId="206" fillId="119" borderId="0" xfId="847" applyNumberFormat="1" applyFont="1" applyFill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3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1" applyNumberFormat="1" applyFont="1" applyFill="1" applyBorder="1"/>
    <xf numFmtId="9" fontId="284" fillId="0" borderId="0" xfId="847" applyFont="1"/>
    <xf numFmtId="4" fontId="0" fillId="0" borderId="0" xfId="0" applyNumberFormat="1" applyAlignment="1">
      <alignment horizontal="center" vertical="center"/>
    </xf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3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3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847" applyNumberFormat="1" applyFont="1" applyAlignment="1">
      <alignment horizontal="center" vertical="distributed"/>
    </xf>
    <xf numFmtId="10" fontId="31" fillId="0" borderId="0" xfId="0" applyNumberFormat="1" applyFont="1" applyAlignment="1">
      <alignment horizontal="center"/>
    </xf>
    <xf numFmtId="10" fontId="31" fillId="0" borderId="0" xfId="847" applyNumberFormat="1" applyFont="1" applyBorder="1" applyAlignment="1">
      <alignment horizontal="center" vertical="distributed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6" fillId="121" borderId="156" xfId="907" applyFont="1" applyFill="1" applyBorder="1"/>
    <xf numFmtId="0" fontId="297" fillId="59" borderId="0" xfId="0" applyFont="1" applyFill="1" applyAlignment="1">
      <alignment horizontal="left"/>
    </xf>
    <xf numFmtId="43" fontId="296" fillId="118" borderId="0" xfId="43406" applyFont="1" applyFill="1"/>
    <xf numFmtId="205" fontId="0" fillId="0" borderId="0" xfId="0" applyNumberFormat="1"/>
    <xf numFmtId="168" fontId="206" fillId="42" borderId="0" xfId="863" applyFont="1" applyFill="1"/>
    <xf numFmtId="167" fontId="206" fillId="111" borderId="0" xfId="815" applyFont="1" applyFill="1"/>
    <xf numFmtId="168" fontId="209" fillId="59" borderId="0" xfId="863" applyFont="1" applyFill="1"/>
    <xf numFmtId="0" fontId="296" fillId="0" borderId="0" xfId="907" applyFont="1"/>
    <xf numFmtId="43" fontId="297" fillId="0" borderId="0" xfId="43406" applyFont="1" applyFill="1" applyBorder="1"/>
    <xf numFmtId="43" fontId="296" fillId="0" borderId="0" xfId="43406" applyFont="1" applyFill="1" applyBorder="1"/>
    <xf numFmtId="167" fontId="297" fillId="0" borderId="0" xfId="815" applyFont="1" applyFill="1" applyBorder="1"/>
    <xf numFmtId="0" fontId="297" fillId="0" borderId="0" xfId="0" applyFont="1"/>
    <xf numFmtId="0" fontId="297" fillId="0" borderId="0" xfId="0" applyFont="1" applyAlignment="1">
      <alignment horizontal="left"/>
    </xf>
    <xf numFmtId="275" fontId="297" fillId="0" borderId="0" xfId="815" applyNumberFormat="1" applyFont="1" applyFill="1" applyBorder="1"/>
    <xf numFmtId="168" fontId="206" fillId="111" borderId="0" xfId="863" applyFont="1" applyFill="1"/>
    <xf numFmtId="0" fontId="296" fillId="0" borderId="20" xfId="907" applyFont="1" applyBorder="1"/>
    <xf numFmtId="217" fontId="297" fillId="0" borderId="0" xfId="847" applyNumberFormat="1" applyFont="1" applyFill="1"/>
    <xf numFmtId="43" fontId="296" fillId="0" borderId="0" xfId="43406" applyFont="1" applyFill="1"/>
    <xf numFmtId="43" fontId="296" fillId="0" borderId="29" xfId="43406" applyFont="1" applyFill="1" applyBorder="1"/>
    <xf numFmtId="0" fontId="296" fillId="0" borderId="156" xfId="907" applyFont="1" applyBorder="1"/>
    <xf numFmtId="43" fontId="206" fillId="0" borderId="0" xfId="907" applyNumberFormat="1" applyFont="1"/>
    <xf numFmtId="170" fontId="206" fillId="42" borderId="0" xfId="863" applyNumberFormat="1" applyFont="1" applyFill="1" applyBorder="1" applyAlignment="1">
      <alignment horizontal="right"/>
    </xf>
    <xf numFmtId="43" fontId="206" fillId="42" borderId="0" xfId="863" applyNumberFormat="1" applyFont="1" applyFill="1" applyAlignment="1">
      <alignment horizontal="right"/>
    </xf>
    <xf numFmtId="275" fontId="297" fillId="42" borderId="0" xfId="815" applyNumberFormat="1" applyFont="1" applyFill="1"/>
    <xf numFmtId="168" fontId="209" fillId="0" borderId="0" xfId="863" applyFont="1"/>
    <xf numFmtId="14" fontId="31" fillId="0" borderId="29" xfId="0" applyNumberFormat="1" applyFont="1" applyBorder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1" quotePrefix="1" applyFont="1" applyBorder="1"/>
    <xf numFmtId="43" fontId="245" fillId="0" borderId="152" xfId="43429" applyFont="1" applyBorder="1"/>
    <xf numFmtId="43" fontId="245" fillId="113" borderId="152" xfId="43429" applyFont="1" applyFill="1" applyBorder="1"/>
    <xf numFmtId="4" fontId="44" fillId="42" borderId="152" xfId="815" applyNumberFormat="1" applyFont="1" applyFill="1" applyBorder="1"/>
    <xf numFmtId="167" fontId="206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3" fillId="0" borderId="0" xfId="0" applyFont="1"/>
    <xf numFmtId="168" fontId="31" fillId="111" borderId="178" xfId="863" applyFont="1" applyFill="1" applyBorder="1"/>
    <xf numFmtId="168" fontId="31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29" applyFont="1" applyFill="1" applyBorder="1"/>
    <xf numFmtId="167" fontId="31" fillId="111" borderId="183" xfId="815" applyFont="1" applyFill="1" applyBorder="1" applyAlignment="1">
      <alignment horizontal="center" vertical="center"/>
    </xf>
    <xf numFmtId="168" fontId="284" fillId="0" borderId="0" xfId="863" applyFont="1" applyFill="1" applyBorder="1"/>
    <xf numFmtId="168" fontId="284" fillId="117" borderId="0" xfId="863" applyFont="1" applyFill="1" applyBorder="1"/>
    <xf numFmtId="168" fontId="284" fillId="44" borderId="0" xfId="863" applyFont="1" applyFill="1" applyBorder="1"/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7" fillId="0" borderId="0" xfId="2695" applyFont="1"/>
    <xf numFmtId="9" fontId="37" fillId="103" borderId="0" xfId="2695" applyNumberFormat="1" applyFont="1" applyFill="1"/>
    <xf numFmtId="0" fontId="273" fillId="101" borderId="0" xfId="2695" applyFont="1" applyFill="1"/>
    <xf numFmtId="168" fontId="31" fillId="0" borderId="0" xfId="2695" applyNumberFormat="1"/>
    <xf numFmtId="0" fontId="3" fillId="0" borderId="0" xfId="43433"/>
    <xf numFmtId="43" fontId="0" fillId="0" borderId="0" xfId="43434" applyFont="1"/>
    <xf numFmtId="277" fontId="3" fillId="0" borderId="0" xfId="43433" applyNumberFormat="1"/>
    <xf numFmtId="167" fontId="284" fillId="0" borderId="0" xfId="815" applyFont="1" applyFill="1" applyBorder="1"/>
    <xf numFmtId="168" fontId="44" fillId="41" borderId="0" xfId="863" applyFont="1" applyFill="1" applyBorder="1" applyAlignment="1">
      <alignment horizontal="right" vertical="center" wrapText="1"/>
    </xf>
    <xf numFmtId="168" fontId="44" fillId="0" borderId="0" xfId="863" applyFont="1" applyFill="1" applyBorder="1" applyAlignment="1">
      <alignment horizontal="right" vertical="center" wrapText="1"/>
    </xf>
    <xf numFmtId="0" fontId="31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5" applyNumberFormat="1" applyFont="1" applyAlignment="1">
      <alignment horizontal="center" vertical="center" wrapText="1"/>
    </xf>
    <xf numFmtId="0" fontId="305" fillId="0" borderId="0" xfId="0" applyFont="1"/>
    <xf numFmtId="270" fontId="44" fillId="118" borderId="178" xfId="2695" applyNumberFormat="1" applyFont="1" applyFill="1" applyBorder="1" applyAlignment="1">
      <alignment vertical="center"/>
    </xf>
    <xf numFmtId="0" fontId="304" fillId="0" borderId="0" xfId="2695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5" applyNumberFormat="1" applyFont="1" applyAlignment="1">
      <alignment vertical="center"/>
    </xf>
    <xf numFmtId="271" fontId="44" fillId="0" borderId="0" xfId="2695" applyNumberFormat="1" applyFont="1" applyAlignment="1">
      <alignment vertical="center"/>
    </xf>
    <xf numFmtId="270" fontId="111" fillId="0" borderId="0" xfId="43181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8" borderId="0" xfId="0" applyFont="1" applyFill="1" applyAlignment="1">
      <alignment vertical="center"/>
    </xf>
    <xf numFmtId="174" fontId="251" fillId="118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8" borderId="0" xfId="0" applyNumberFormat="1" applyFont="1" applyFill="1" applyAlignment="1">
      <alignment vertical="center"/>
    </xf>
    <xf numFmtId="0" fontId="44" fillId="33" borderId="0" xfId="43435" applyFont="1" applyFill="1" applyAlignment="1">
      <alignment vertical="center"/>
    </xf>
    <xf numFmtId="0" fontId="44" fillId="33" borderId="0" xfId="43435" applyFont="1" applyFill="1" applyAlignment="1">
      <alignment vertical="center" wrapText="1"/>
    </xf>
    <xf numFmtId="0" fontId="306" fillId="33" borderId="178" xfId="43435" applyFont="1" applyFill="1" applyBorder="1" applyAlignment="1">
      <alignment horizontal="left" vertical="center"/>
    </xf>
    <xf numFmtId="0" fontId="251" fillId="33" borderId="178" xfId="43435" applyFont="1" applyFill="1" applyBorder="1" applyAlignment="1">
      <alignment vertical="center" wrapText="1"/>
    </xf>
    <xf numFmtId="0" fontId="44" fillId="33" borderId="178" xfId="43435" applyFont="1" applyFill="1" applyBorder="1" applyAlignment="1">
      <alignment vertical="center"/>
    </xf>
    <xf numFmtId="0" fontId="251" fillId="33" borderId="178" xfId="43435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5" applyFont="1" applyFill="1" applyAlignment="1">
      <alignment vertical="center"/>
    </xf>
    <xf numFmtId="0" fontId="307" fillId="0" borderId="0" xfId="2695" applyFont="1" applyAlignment="1">
      <alignment vertical="center"/>
    </xf>
    <xf numFmtId="0" fontId="251" fillId="33" borderId="0" xfId="43435" applyFont="1" applyFill="1" applyAlignment="1">
      <alignment vertical="center" wrapText="1"/>
    </xf>
    <xf numFmtId="0" fontId="251" fillId="33" borderId="0" xfId="43435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8" fillId="33" borderId="0" xfId="43435" applyFont="1" applyFill="1" applyAlignment="1">
      <alignment horizontal="right" vertical="center"/>
    </xf>
    <xf numFmtId="168" fontId="251" fillId="33" borderId="0" xfId="43435" applyNumberFormat="1" applyFont="1" applyFill="1" applyAlignment="1">
      <alignment vertical="center" wrapText="1"/>
    </xf>
    <xf numFmtId="0" fontId="309" fillId="33" borderId="0" xfId="43435" applyFont="1" applyFill="1" applyAlignment="1">
      <alignment horizontal="right" vertical="center"/>
    </xf>
    <xf numFmtId="0" fontId="310" fillId="33" borderId="0" xfId="43435" applyFont="1" applyFill="1" applyAlignment="1">
      <alignment vertical="center"/>
    </xf>
    <xf numFmtId="0" fontId="310" fillId="33" borderId="0" xfId="43435" applyFont="1" applyFill="1" applyAlignment="1">
      <alignment vertical="center" wrapText="1"/>
    </xf>
    <xf numFmtId="0" fontId="311" fillId="33" borderId="0" xfId="43435" applyFont="1" applyFill="1" applyAlignment="1">
      <alignment vertical="center"/>
    </xf>
    <xf numFmtId="0" fontId="312" fillId="33" borderId="0" xfId="43435" applyFont="1" applyFill="1" applyAlignment="1">
      <alignment vertical="center"/>
    </xf>
    <xf numFmtId="0" fontId="310" fillId="33" borderId="0" xfId="43435" applyFont="1" applyFill="1" applyAlignment="1">
      <alignment horizontal="center" vertical="center" wrapText="1"/>
    </xf>
    <xf numFmtId="0" fontId="310" fillId="33" borderId="0" xfId="43435" applyFont="1" applyFill="1" applyAlignment="1">
      <alignment horizontal="right" vertical="center"/>
    </xf>
    <xf numFmtId="0" fontId="261" fillId="101" borderId="178" xfId="43436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5" quotePrefix="1" applyFont="1" applyAlignment="1">
      <alignment horizontal="left" vertical="center"/>
    </xf>
    <xf numFmtId="278" fontId="251" fillId="41" borderId="0" xfId="43437" applyNumberFormat="1" applyFont="1" applyFill="1" applyBorder="1" applyAlignment="1">
      <alignment vertical="center" wrapText="1"/>
    </xf>
    <xf numFmtId="0" fontId="251" fillId="0" borderId="10" xfId="43435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170" fontId="251" fillId="42" borderId="10" xfId="863" applyNumberFormat="1" applyFont="1" applyFill="1" applyBorder="1" applyAlignment="1">
      <alignment vertical="center"/>
    </xf>
    <xf numFmtId="0" fontId="252" fillId="60" borderId="178" xfId="43435" quotePrefix="1" applyFont="1" applyFill="1" applyBorder="1" applyAlignment="1">
      <alignment horizontal="left" vertical="center"/>
    </xf>
    <xf numFmtId="278" fontId="252" fillId="60" borderId="178" xfId="43437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/>
    </xf>
    <xf numFmtId="0" fontId="44" fillId="0" borderId="0" xfId="2695" applyFont="1" applyAlignment="1">
      <alignment vertical="center" wrapText="1"/>
    </xf>
    <xf numFmtId="0" fontId="314" fillId="0" borderId="0" xfId="0" applyFont="1"/>
    <xf numFmtId="0" fontId="315" fillId="55" borderId="186" xfId="0" applyFont="1" applyFill="1" applyBorder="1" applyAlignment="1">
      <alignment vertical="center"/>
    </xf>
    <xf numFmtId="14" fontId="251" fillId="0" borderId="20" xfId="0" applyNumberFormat="1" applyFont="1" applyBorder="1" applyAlignment="1">
      <alignment horizontal="left" vertical="center"/>
    </xf>
    <xf numFmtId="167" fontId="251" fillId="0" borderId="0" xfId="815" applyFont="1" applyBorder="1" applyAlignment="1">
      <alignment vertical="center"/>
    </xf>
    <xf numFmtId="170" fontId="251" fillId="0" borderId="10" xfId="863" applyNumberFormat="1" applyFont="1" applyBorder="1" applyAlignment="1">
      <alignment vertical="center"/>
    </xf>
    <xf numFmtId="272" fontId="251" fillId="0" borderId="10" xfId="863" applyNumberFormat="1" applyFont="1" applyBorder="1" applyAlignment="1">
      <alignment vertical="center"/>
    </xf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170" fontId="251" fillId="0" borderId="20" xfId="863" applyNumberFormat="1" applyFont="1" applyBorder="1" applyAlignment="1">
      <alignment vertical="center"/>
    </xf>
    <xf numFmtId="170" fontId="251" fillId="0" borderId="156" xfId="863" applyNumberFormat="1" applyFont="1" applyBorder="1" applyAlignment="1">
      <alignment vertical="center"/>
    </xf>
    <xf numFmtId="170" fontId="251" fillId="0" borderId="29" xfId="863" applyNumberFormat="1" applyFont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4" fillId="118" borderId="0" xfId="0" applyNumberFormat="1" applyFont="1" applyFill="1" applyAlignment="1">
      <alignment vertical="center"/>
    </xf>
    <xf numFmtId="174" fontId="314" fillId="118" borderId="0" xfId="0" applyNumberFormat="1" applyFont="1" applyFill="1" applyAlignment="1">
      <alignment vertical="center"/>
    </xf>
    <xf numFmtId="0" fontId="250" fillId="0" borderId="0" xfId="0" applyFont="1"/>
    <xf numFmtId="14" fontId="250" fillId="118" borderId="0" xfId="0" applyNumberFormat="1" applyFont="1" applyFill="1" applyAlignment="1">
      <alignment vertical="center"/>
    </xf>
    <xf numFmtId="174" fontId="250" fillId="118" borderId="0" xfId="0" applyNumberFormat="1" applyFont="1" applyFill="1" applyAlignment="1">
      <alignment vertical="center"/>
    </xf>
    <xf numFmtId="43" fontId="297" fillId="59" borderId="0" xfId="0" applyNumberFormat="1" applyFont="1" applyFill="1"/>
    <xf numFmtId="0" fontId="213" fillId="122" borderId="0" xfId="0" applyFont="1" applyFill="1"/>
    <xf numFmtId="3" fontId="0" fillId="0" borderId="0" xfId="43167" applyFont="1"/>
    <xf numFmtId="0" fontId="31" fillId="0" borderId="152" xfId="0" applyFont="1" applyBorder="1" applyAlignment="1">
      <alignment horizontal="center" vertical="center"/>
    </xf>
    <xf numFmtId="170" fontId="251" fillId="0" borderId="0" xfId="863" applyNumberFormat="1" applyFont="1" applyAlignment="1">
      <alignment vertical="center"/>
    </xf>
    <xf numFmtId="170" fontId="251" fillId="0" borderId="0" xfId="863" applyNumberFormat="1" applyFont="1" applyBorder="1" applyAlignment="1">
      <alignment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84" fillId="117" borderId="0" xfId="847" applyNumberFormat="1" applyFont="1" applyFill="1" applyBorder="1" applyAlignment="1">
      <alignment horizontal="center"/>
    </xf>
    <xf numFmtId="10" fontId="284" fillId="0" borderId="0" xfId="847" applyNumberFormat="1" applyFont="1" applyFill="1" applyBorder="1" applyAlignment="1">
      <alignment horizontal="center"/>
    </xf>
    <xf numFmtId="10" fontId="206" fillId="0" borderId="0" xfId="847" applyNumberFormat="1" applyFont="1" applyAlignment="1">
      <alignment horizontal="center"/>
    </xf>
    <xf numFmtId="167" fontId="283" fillId="123" borderId="0" xfId="5581" applyNumberFormat="1" applyFont="1" applyFill="1" applyBorder="1" applyAlignment="1">
      <alignment vertical="center"/>
    </xf>
    <xf numFmtId="167" fontId="283" fillId="0" borderId="0" xfId="5581" applyNumberFormat="1" applyFont="1" applyFill="1" applyBorder="1" applyAlignment="1">
      <alignment vertical="center"/>
    </xf>
    <xf numFmtId="3" fontId="251" fillId="0" borderId="0" xfId="43167" applyFont="1"/>
    <xf numFmtId="174" fontId="251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4" borderId="0" xfId="0" applyNumberFormat="1" applyFill="1"/>
    <xf numFmtId="281" fontId="316" fillId="0" borderId="187" xfId="863" applyNumberFormat="1" applyFont="1" applyFill="1" applyBorder="1" applyAlignment="1">
      <alignment vertical="center"/>
    </xf>
    <xf numFmtId="0" fontId="44" fillId="41" borderId="0" xfId="36377" applyFont="1" applyFill="1" applyAlignment="1">
      <alignment horizontal="center"/>
    </xf>
    <xf numFmtId="165" fontId="206" fillId="0" borderId="178" xfId="815" applyNumberFormat="1" applyFont="1" applyBorder="1" applyAlignment="1">
      <alignment horizontal="left"/>
    </xf>
    <xf numFmtId="10" fontId="206" fillId="0" borderId="178" xfId="847" applyNumberFormat="1" applyFont="1" applyFill="1" applyBorder="1" applyAlignment="1">
      <alignment horizontal="right"/>
    </xf>
    <xf numFmtId="165" fontId="206" fillId="0" borderId="166" xfId="815" applyNumberFormat="1" applyFont="1" applyBorder="1" applyAlignment="1">
      <alignment horizontal="left"/>
    </xf>
    <xf numFmtId="10" fontId="206" fillId="0" borderId="166" xfId="847" applyNumberFormat="1" applyFont="1" applyFill="1" applyBorder="1" applyAlignment="1">
      <alignment horizontal="right"/>
    </xf>
    <xf numFmtId="0" fontId="317" fillId="41" borderId="0" xfId="36377" applyFont="1" applyFill="1"/>
    <xf numFmtId="9" fontId="261" fillId="38" borderId="0" xfId="1821" applyFont="1" applyFill="1" applyBorder="1" applyAlignment="1">
      <alignment horizontal="center" vertical="center" wrapText="1"/>
    </xf>
    <xf numFmtId="9" fontId="251" fillId="41" borderId="0" xfId="1821" applyFont="1" applyFill="1" applyBorder="1" applyAlignment="1">
      <alignment horizontal="left" vertical="center" wrapText="1"/>
    </xf>
    <xf numFmtId="43" fontId="251" fillId="41" borderId="0" xfId="43197" applyFont="1" applyFill="1" applyBorder="1" applyAlignment="1">
      <alignment horizontal="center" vertical="center" wrapText="1"/>
    </xf>
    <xf numFmtId="262" fontId="251" fillId="41" borderId="0" xfId="1821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4" applyFont="1" applyFill="1" applyBorder="1" applyAlignment="1">
      <alignment horizontal="center" vertical="center" wrapText="1"/>
    </xf>
    <xf numFmtId="43" fontId="251" fillId="0" borderId="0" xfId="43197" applyFont="1" applyAlignment="1">
      <alignment vertical="center"/>
    </xf>
    <xf numFmtId="168" fontId="251" fillId="0" borderId="0" xfId="863" applyFont="1" applyAlignment="1">
      <alignment vertical="center"/>
    </xf>
    <xf numFmtId="270" fontId="44" fillId="61" borderId="0" xfId="2695" applyNumberFormat="1" applyFont="1" applyFill="1" applyAlignment="1">
      <alignment vertical="center"/>
    </xf>
    <xf numFmtId="0" fontId="0" fillId="104" borderId="0" xfId="863" applyNumberFormat="1" applyFont="1" applyFill="1"/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11" borderId="166" xfId="0" applyFont="1" applyFill="1" applyBorder="1" applyAlignment="1">
      <alignment horizontal="center"/>
    </xf>
    <xf numFmtId="0" fontId="31" fillId="111" borderId="166" xfId="0" applyFont="1" applyFill="1" applyBorder="1"/>
    <xf numFmtId="14" fontId="31" fillId="111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11" borderId="178" xfId="0" applyNumberFormat="1" applyFont="1" applyFill="1" applyBorder="1"/>
    <xf numFmtId="0" fontId="31" fillId="111" borderId="178" xfId="0" applyFont="1" applyFill="1" applyBorder="1" applyAlignment="1">
      <alignment horizontal="center"/>
    </xf>
    <xf numFmtId="0" fontId="31" fillId="111" borderId="178" xfId="0" applyFont="1" applyFill="1" applyBorder="1"/>
    <xf numFmtId="14" fontId="31" fillId="111" borderId="166" xfId="0" applyNumberFormat="1" applyFont="1" applyFill="1" applyBorder="1" applyAlignment="1">
      <alignment horizontal="right"/>
    </xf>
    <xf numFmtId="14" fontId="31" fillId="111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3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67" fontId="31" fillId="111" borderId="166" xfId="815" applyFont="1" applyFill="1" applyBorder="1" applyAlignment="1"/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167" fontId="31" fillId="111" borderId="178" xfId="815" applyFont="1" applyFill="1" applyBorder="1" applyAlignment="1"/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168" fontId="31" fillId="41" borderId="166" xfId="863" applyFont="1" applyFill="1" applyBorder="1" applyAlignment="1"/>
    <xf numFmtId="168" fontId="31" fillId="41" borderId="178" xfId="863" applyFont="1" applyFill="1" applyBorder="1" applyAlignment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0" fontId="31" fillId="111" borderId="166" xfId="847" applyNumberFormat="1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0" fontId="31" fillId="111" borderId="178" xfId="847" applyNumberFormat="1" applyFont="1" applyFill="1" applyBorder="1" applyAlignment="1">
      <alignment horizontal="right"/>
    </xf>
    <xf numFmtId="168" fontId="31" fillId="0" borderId="144" xfId="863" applyFont="1" applyFill="1" applyBorder="1" applyAlignment="1">
      <alignment horizontal="left"/>
    </xf>
    <xf numFmtId="268" fontId="31" fillId="0" borderId="166" xfId="847" applyNumberFormat="1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0" fontId="31" fillId="0" borderId="178" xfId="847" applyNumberFormat="1" applyFont="1" applyFill="1" applyBorder="1" applyAlignment="1">
      <alignment horizontal="left"/>
    </xf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11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11" borderId="144" xfId="863" applyFont="1" applyFill="1" applyBorder="1" applyAlignment="1">
      <alignment horizontal="left"/>
    </xf>
    <xf numFmtId="230" fontId="31" fillId="111" borderId="144" xfId="863" applyNumberFormat="1" applyFont="1" applyFill="1" applyBorder="1" applyAlignment="1">
      <alignment horizontal="left"/>
    </xf>
    <xf numFmtId="3" fontId="31" fillId="111" borderId="166" xfId="863" applyNumberFormat="1" applyFont="1" applyFill="1" applyBorder="1" applyAlignment="1">
      <alignment horizontal="left"/>
    </xf>
    <xf numFmtId="230" fontId="31" fillId="111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11" borderId="178" xfId="0" applyFont="1" applyFill="1" applyBorder="1" applyAlignment="1">
      <alignment horizontal="left"/>
    </xf>
    <xf numFmtId="230" fontId="31" fillId="111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4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4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4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10" fontId="209" fillId="59" borderId="166" xfId="847" applyNumberFormat="1" applyFont="1" applyFill="1" applyBorder="1" applyAlignment="1" applyProtection="1">
      <alignment horizontal="right"/>
      <protection hidden="1"/>
    </xf>
    <xf numFmtId="9" fontId="39" fillId="38" borderId="149" xfId="1821" applyFont="1" applyFill="1" applyBorder="1" applyAlignment="1">
      <alignment horizontal="center" vertical="center" wrapText="1"/>
    </xf>
    <xf numFmtId="9" fontId="111" fillId="94" borderId="144" xfId="1821" applyFont="1" applyFill="1" applyBorder="1" applyAlignment="1">
      <alignment horizontal="center" vertical="center" wrapText="1"/>
    </xf>
    <xf numFmtId="10" fontId="111" fillId="94" borderId="144" xfId="1821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5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1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5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1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5" applyFont="1" applyBorder="1" applyAlignment="1">
      <alignment vertical="center"/>
    </xf>
    <xf numFmtId="43" fontId="44" fillId="41" borderId="178" xfId="43197" applyFont="1" applyFill="1" applyBorder="1" applyAlignment="1">
      <alignment vertical="center"/>
    </xf>
    <xf numFmtId="43" fontId="44" fillId="41" borderId="178" xfId="43197" applyFont="1" applyFill="1" applyBorder="1" applyAlignment="1">
      <alignment horizontal="center" vertical="center"/>
    </xf>
    <xf numFmtId="0" fontId="111" fillId="59" borderId="144" xfId="2695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7" applyFont="1" applyFill="1" applyBorder="1" applyAlignment="1">
      <alignment vertical="center"/>
    </xf>
    <xf numFmtId="0" fontId="111" fillId="42" borderId="144" xfId="2695" applyFont="1" applyFill="1" applyBorder="1" applyAlignment="1">
      <alignment vertical="center"/>
    </xf>
    <xf numFmtId="43" fontId="111" fillId="42" borderId="144" xfId="43197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7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1" applyFont="1" applyFill="1" applyBorder="1" applyAlignment="1">
      <alignment horizontal="left" vertical="center" wrapText="1"/>
    </xf>
    <xf numFmtId="0" fontId="44" fillId="41" borderId="178" xfId="2695" applyFont="1" applyFill="1" applyBorder="1" applyAlignment="1">
      <alignment horizontal="center" vertical="center"/>
    </xf>
    <xf numFmtId="0" fontId="44" fillId="41" borderId="166" xfId="2695" applyFont="1" applyFill="1" applyBorder="1" applyAlignment="1">
      <alignment horizontal="center"/>
    </xf>
    <xf numFmtId="0" fontId="44" fillId="41" borderId="166" xfId="2695" applyFont="1" applyFill="1" applyBorder="1" applyAlignment="1">
      <alignment horizontal="left"/>
    </xf>
    <xf numFmtId="2" fontId="44" fillId="41" borderId="166" xfId="2695" applyNumberFormat="1" applyFont="1" applyFill="1" applyBorder="1" applyAlignment="1">
      <alignment horizontal="center"/>
    </xf>
    <xf numFmtId="3" fontId="44" fillId="41" borderId="178" xfId="43197" applyNumberFormat="1" applyFont="1" applyFill="1" applyBorder="1" applyAlignment="1">
      <alignment horizontal="right"/>
    </xf>
    <xf numFmtId="43" fontId="44" fillId="41" borderId="178" xfId="43197" applyFont="1" applyFill="1" applyBorder="1" applyAlignment="1">
      <alignment horizontal="right"/>
    </xf>
    <xf numFmtId="43" fontId="44" fillId="41" borderId="178" xfId="43197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7" applyFont="1" applyFill="1" applyBorder="1" applyAlignment="1">
      <alignment horizontal="right"/>
    </xf>
    <xf numFmtId="3" fontId="111" fillId="59" borderId="144" xfId="2695" applyNumberFormat="1" applyFont="1" applyFill="1" applyBorder="1" applyAlignment="1">
      <alignment horizontal="right" vertical="center"/>
    </xf>
    <xf numFmtId="43" fontId="111" fillId="59" borderId="144" xfId="43197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7" applyNumberFormat="1" applyFont="1" applyFill="1" applyBorder="1" applyAlignment="1">
      <alignment horizontal="right"/>
    </xf>
    <xf numFmtId="9" fontId="39" fillId="38" borderId="144" xfId="1821" applyFont="1" applyFill="1" applyBorder="1" applyAlignment="1">
      <alignment vertical="center" wrapText="1"/>
    </xf>
    <xf numFmtId="168" fontId="111" fillId="59" borderId="144" xfId="863" applyFont="1" applyFill="1" applyBorder="1" applyAlignment="1">
      <alignment vertical="center"/>
    </xf>
    <xf numFmtId="9" fontId="251" fillId="42" borderId="144" xfId="1821" applyFont="1" applyFill="1" applyBorder="1" applyAlignment="1">
      <alignment horizontal="left" vertical="center" wrapText="1"/>
    </xf>
    <xf numFmtId="43" fontId="251" fillId="42" borderId="144" xfId="43197" applyFont="1" applyFill="1" applyBorder="1" applyAlignment="1">
      <alignment horizontal="center" vertical="center" wrapText="1"/>
    </xf>
    <xf numFmtId="262" fontId="251" fillId="42" borderId="144" xfId="1821" applyNumberFormat="1" applyFont="1" applyFill="1" applyBorder="1" applyAlignment="1">
      <alignment horizontal="center" vertical="center" wrapText="1"/>
    </xf>
    <xf numFmtId="262" fontId="251" fillId="42" borderId="144" xfId="1821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7" applyFont="1" applyFill="1" applyBorder="1" applyAlignment="1">
      <alignment horizontal="center"/>
    </xf>
    <xf numFmtId="262" fontId="251" fillId="42" borderId="144" xfId="1821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1" applyFont="1" applyFill="1" applyBorder="1" applyAlignment="1">
      <alignment horizontal="left" vertical="center" wrapText="1"/>
    </xf>
    <xf numFmtId="262" fontId="252" fillId="42" borderId="144" xfId="1821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198" applyNumberFormat="1" applyFont="1" applyFill="1" applyBorder="1" applyAlignment="1">
      <alignment horizontal="center"/>
    </xf>
    <xf numFmtId="9" fontId="318" fillId="55" borderId="144" xfId="1821" applyFont="1" applyFill="1" applyBorder="1" applyAlignment="1">
      <alignment horizontal="left" vertical="center" wrapText="1"/>
    </xf>
    <xf numFmtId="262" fontId="318" fillId="55" borderId="144" xfId="1821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7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7" applyNumberFormat="1" applyFont="1" applyFill="1" applyBorder="1" applyAlignment="1">
      <alignment vertical="center"/>
    </xf>
    <xf numFmtId="0" fontId="118" fillId="101" borderId="188" xfId="2695" applyFont="1" applyFill="1" applyBorder="1" applyAlignment="1">
      <alignment horizontal="center" vertical="center" wrapText="1"/>
    </xf>
    <xf numFmtId="0" fontId="111" fillId="59" borderId="189" xfId="905" applyFont="1" applyFill="1" applyBorder="1" applyAlignment="1">
      <alignment horizontal="left"/>
    </xf>
    <xf numFmtId="0" fontId="147" fillId="0" borderId="190" xfId="2695" applyFont="1" applyBorder="1" applyAlignment="1">
      <alignment horizontal="center" vertical="center" wrapText="1"/>
    </xf>
    <xf numFmtId="0" fontId="147" fillId="0" borderId="191" xfId="2695" applyFont="1" applyBorder="1" applyAlignment="1">
      <alignment horizontal="center" vertical="center" wrapText="1"/>
    </xf>
    <xf numFmtId="0" fontId="147" fillId="0" borderId="190" xfId="2695" applyFont="1" applyBorder="1" applyAlignment="1">
      <alignment vertical="center"/>
    </xf>
    <xf numFmtId="4" fontId="147" fillId="0" borderId="190" xfId="43197" applyNumberFormat="1" applyFont="1" applyBorder="1" applyAlignment="1">
      <alignment horizontal="right" vertical="center" wrapText="1"/>
    </xf>
    <xf numFmtId="4" fontId="147" fillId="0" borderId="191" xfId="43197" applyNumberFormat="1" applyFont="1" applyBorder="1" applyAlignment="1">
      <alignment horizontal="right" vertical="center" wrapText="1"/>
    </xf>
    <xf numFmtId="0" fontId="147" fillId="41" borderId="190" xfId="907" applyFont="1" applyFill="1" applyBorder="1"/>
    <xf numFmtId="0" fontId="144" fillId="43" borderId="166" xfId="43403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3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92" xfId="834" applyFont="1" applyFill="1" applyBorder="1" applyAlignment="1" applyProtection="1">
      <alignment horizontal="left" vertical="center"/>
    </xf>
    <xf numFmtId="0" fontId="209" fillId="58" borderId="193" xfId="834" applyFont="1" applyFill="1" applyBorder="1" applyAlignment="1" applyProtection="1">
      <alignment horizontal="left" vertical="center"/>
    </xf>
    <xf numFmtId="4" fontId="209" fillId="58" borderId="192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9" xfId="0" applyFont="1" applyFill="1" applyBorder="1" applyAlignment="1">
      <alignment horizontal="center"/>
    </xf>
    <xf numFmtId="0" fontId="213" fillId="43" borderId="194" xfId="0" applyFont="1" applyFill="1" applyBorder="1" applyAlignment="1">
      <alignment horizontal="center"/>
    </xf>
    <xf numFmtId="0" fontId="209" fillId="41" borderId="189" xfId="0" applyFont="1" applyFill="1" applyBorder="1" applyAlignment="1" applyProtection="1">
      <alignment horizontal="left"/>
      <protection hidden="1"/>
    </xf>
    <xf numFmtId="170" fontId="209" fillId="41" borderId="189" xfId="43181" applyNumberFormat="1" applyFont="1" applyFill="1" applyBorder="1" applyAlignment="1" applyProtection="1">
      <alignment horizontal="center" vertical="center"/>
    </xf>
    <xf numFmtId="165" fontId="209" fillId="41" borderId="189" xfId="43182" applyFont="1" applyFill="1" applyBorder="1" applyAlignment="1" applyProtection="1">
      <alignment horizontal="center" vertical="center"/>
    </xf>
    <xf numFmtId="0" fontId="206" fillId="41" borderId="194" xfId="2695" applyFont="1" applyFill="1" applyBorder="1"/>
    <xf numFmtId="43" fontId="111" fillId="0" borderId="194" xfId="43183" applyFont="1" applyFill="1" applyBorder="1" applyAlignment="1" applyProtection="1">
      <alignment vertical="center"/>
    </xf>
    <xf numFmtId="167" fontId="206" fillId="41" borderId="194" xfId="815" applyFont="1" applyFill="1" applyBorder="1"/>
    <xf numFmtId="0" fontId="230" fillId="0" borderId="178" xfId="2695" applyFont="1" applyBorder="1"/>
    <xf numFmtId="10" fontId="206" fillId="0" borderId="178" xfId="847" applyNumberFormat="1" applyFont="1" applyFill="1" applyBorder="1"/>
    <xf numFmtId="0" fontId="230" fillId="41" borderId="194" xfId="2695" applyFont="1" applyFill="1" applyBorder="1" applyAlignment="1">
      <alignment vertical="center" wrapText="1"/>
    </xf>
    <xf numFmtId="170" fontId="206" fillId="0" borderId="194" xfId="43181" applyNumberFormat="1" applyFont="1" applyFill="1" applyBorder="1" applyAlignment="1">
      <alignment vertical="center" wrapText="1"/>
    </xf>
    <xf numFmtId="0" fontId="231" fillId="0" borderId="178" xfId="2695" applyFont="1" applyBorder="1"/>
    <xf numFmtId="10" fontId="209" fillId="0" borderId="178" xfId="2695" applyNumberFormat="1" applyFont="1" applyBorder="1"/>
    <xf numFmtId="0" fontId="206" fillId="41" borderId="178" xfId="2695" applyFont="1" applyFill="1" applyBorder="1"/>
    <xf numFmtId="43" fontId="44" fillId="0" borderId="178" xfId="43183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9" xfId="43183" applyNumberFormat="1" applyFont="1" applyFill="1" applyBorder="1" applyAlignment="1" applyProtection="1">
      <alignment horizontal="right"/>
      <protection locked="0"/>
    </xf>
    <xf numFmtId="165" fontId="209" fillId="41" borderId="189" xfId="43182" applyFont="1" applyFill="1" applyBorder="1" applyAlignment="1" applyProtection="1">
      <alignment horizontal="right"/>
      <protection locked="0"/>
    </xf>
    <xf numFmtId="0" fontId="209" fillId="97" borderId="189" xfId="2695" applyFont="1" applyFill="1" applyBorder="1"/>
    <xf numFmtId="167" fontId="209" fillId="97" borderId="189" xfId="2695" applyNumberFormat="1" applyFont="1" applyFill="1" applyBorder="1"/>
    <xf numFmtId="0" fontId="231" fillId="0" borderId="189" xfId="2695" applyFont="1" applyBorder="1"/>
    <xf numFmtId="170" fontId="206" fillId="0" borderId="189" xfId="43181" applyNumberFormat="1" applyFont="1" applyFill="1" applyBorder="1" applyAlignment="1">
      <alignment vertical="center" wrapText="1"/>
    </xf>
    <xf numFmtId="170" fontId="209" fillId="41" borderId="189" xfId="43181" applyNumberFormat="1" applyFont="1" applyFill="1" applyBorder="1" applyAlignment="1" applyProtection="1">
      <alignment vertical="center"/>
    </xf>
    <xf numFmtId="165" fontId="209" fillId="0" borderId="189" xfId="43182" applyFont="1" applyFill="1" applyBorder="1" applyAlignment="1" applyProtection="1">
      <alignment vertical="center"/>
    </xf>
    <xf numFmtId="0" fontId="209" fillId="97" borderId="189" xfId="0" applyFont="1" applyFill="1" applyBorder="1" applyAlignment="1" applyProtection="1">
      <alignment horizontal="left"/>
      <protection hidden="1"/>
    </xf>
    <xf numFmtId="43" fontId="209" fillId="97" borderId="189" xfId="43181" applyFont="1" applyFill="1" applyBorder="1" applyAlignment="1" applyProtection="1">
      <alignment vertical="center"/>
    </xf>
    <xf numFmtId="165" fontId="209" fillId="97" borderId="189" xfId="43182" applyFont="1" applyFill="1" applyBorder="1" applyAlignment="1" applyProtection="1">
      <alignment vertical="center"/>
    </xf>
    <xf numFmtId="0" fontId="111" fillId="58" borderId="191" xfId="834" applyFont="1" applyFill="1" applyBorder="1" applyAlignment="1" applyProtection="1">
      <alignment horizontal="left" vertical="center"/>
    </xf>
    <xf numFmtId="0" fontId="111" fillId="58" borderId="195" xfId="834" applyFont="1" applyFill="1" applyBorder="1" applyAlignment="1" applyProtection="1">
      <alignment horizontal="left" vertical="center"/>
    </xf>
    <xf numFmtId="0" fontId="111" fillId="56" borderId="191" xfId="834" applyFont="1" applyFill="1" applyBorder="1" applyAlignment="1" applyProtection="1">
      <alignment horizontal="left" vertical="center"/>
    </xf>
    <xf numFmtId="0" fontId="111" fillId="56" borderId="195" xfId="834" applyFont="1" applyFill="1" applyBorder="1" applyAlignment="1" applyProtection="1">
      <alignment horizontal="left" vertical="center"/>
    </xf>
    <xf numFmtId="0" fontId="209" fillId="97" borderId="194" xfId="0" applyFont="1" applyFill="1" applyBorder="1" applyAlignment="1" applyProtection="1">
      <alignment horizontal="left"/>
      <protection hidden="1"/>
    </xf>
    <xf numFmtId="0" fontId="209" fillId="0" borderId="189" xfId="2695" applyFont="1" applyBorder="1" applyAlignment="1">
      <alignment horizontal="left"/>
    </xf>
    <xf numFmtId="165" fontId="209" fillId="0" borderId="189" xfId="2695" applyNumberFormat="1" applyFont="1" applyBorder="1"/>
    <xf numFmtId="168" fontId="206" fillId="0" borderId="196" xfId="863" applyFont="1" applyBorder="1"/>
    <xf numFmtId="0" fontId="206" fillId="97" borderId="194" xfId="0" applyFont="1" applyFill="1" applyBorder="1" applyAlignment="1" applyProtection="1">
      <alignment horizontal="left"/>
      <protection hidden="1"/>
    </xf>
    <xf numFmtId="165" fontId="206" fillId="0" borderId="194" xfId="43182" applyFont="1" applyBorder="1"/>
    <xf numFmtId="168" fontId="206" fillId="0" borderId="190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2" applyFont="1" applyBorder="1"/>
    <xf numFmtId="14" fontId="111" fillId="56" borderId="195" xfId="834" applyNumberFormat="1" applyFont="1" applyFill="1" applyBorder="1" applyAlignment="1" applyProtection="1">
      <alignment horizontal="left" vertical="center"/>
    </xf>
    <xf numFmtId="0" fontId="218" fillId="43" borderId="189" xfId="0" applyFont="1" applyFill="1" applyBorder="1" applyAlignment="1">
      <alignment horizontal="center"/>
    </xf>
    <xf numFmtId="0" fontId="214" fillId="59" borderId="189" xfId="907" applyFont="1" applyFill="1" applyBorder="1"/>
    <xf numFmtId="219" fontId="214" fillId="59" borderId="189" xfId="863" applyNumberFormat="1" applyFont="1" applyFill="1" applyBorder="1"/>
    <xf numFmtId="0" fontId="206" fillId="0" borderId="189" xfId="907" applyFont="1" applyBorder="1" applyAlignment="1">
      <alignment horizontal="left" indent="1"/>
    </xf>
    <xf numFmtId="219" fontId="219" fillId="41" borderId="189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4" xfId="0" applyFont="1" applyBorder="1"/>
    <xf numFmtId="44" fontId="206" fillId="0" borderId="194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4" xfId="863" applyFont="1" applyBorder="1"/>
    <xf numFmtId="168" fontId="206" fillId="100" borderId="178" xfId="863" applyFont="1" applyFill="1" applyBorder="1"/>
    <xf numFmtId="0" fontId="209" fillId="59" borderId="189" xfId="907" applyFont="1" applyFill="1" applyBorder="1"/>
    <xf numFmtId="170" fontId="209" fillId="59" borderId="189" xfId="907" applyNumberFormat="1" applyFont="1" applyFill="1" applyBorder="1"/>
    <xf numFmtId="168" fontId="209" fillId="59" borderId="189" xfId="863" applyFont="1" applyFill="1" applyBorder="1"/>
    <xf numFmtId="167" fontId="209" fillId="59" borderId="189" xfId="907" applyNumberFormat="1" applyFont="1" applyFill="1" applyBorder="1"/>
    <xf numFmtId="0" fontId="206" fillId="0" borderId="194" xfId="907" applyFont="1" applyBorder="1"/>
    <xf numFmtId="168" fontId="206" fillId="61" borderId="194" xfId="863" applyFont="1" applyFill="1" applyBorder="1"/>
    <xf numFmtId="168" fontId="206" fillId="0" borderId="194" xfId="863" applyFont="1" applyFill="1" applyBorder="1"/>
    <xf numFmtId="168" fontId="206" fillId="44" borderId="194" xfId="863" applyFont="1" applyFill="1" applyBorder="1"/>
    <xf numFmtId="0" fontId="218" fillId="43" borderId="194" xfId="0" applyFont="1" applyFill="1" applyBorder="1" applyAlignment="1">
      <alignment horizontal="center" vertical="center" wrapText="1"/>
    </xf>
    <xf numFmtId="0" fontId="218" fillId="43" borderId="189" xfId="0" applyFont="1" applyFill="1" applyBorder="1" applyAlignment="1">
      <alignment horizontal="center" vertical="center" wrapText="1"/>
    </xf>
    <xf numFmtId="0" fontId="298" fillId="43" borderId="192" xfId="907" applyFont="1" applyFill="1" applyBorder="1"/>
    <xf numFmtId="0" fontId="298" fillId="43" borderId="194" xfId="907" applyFont="1" applyFill="1" applyBorder="1"/>
    <xf numFmtId="0" fontId="298" fillId="43" borderId="193" xfId="907" applyFont="1" applyFill="1" applyBorder="1"/>
    <xf numFmtId="0" fontId="295" fillId="43" borderId="191" xfId="907" applyFont="1" applyFill="1" applyBorder="1"/>
    <xf numFmtId="0" fontId="295" fillId="43" borderId="189" xfId="907" applyFont="1" applyFill="1" applyBorder="1"/>
    <xf numFmtId="0" fontId="295" fillId="43" borderId="190" xfId="907" applyFont="1" applyFill="1" applyBorder="1"/>
    <xf numFmtId="0" fontId="209" fillId="97" borderId="189" xfId="0" applyFont="1" applyFill="1" applyBorder="1"/>
    <xf numFmtId="0" fontId="299" fillId="97" borderId="189" xfId="0" applyFont="1" applyFill="1" applyBorder="1"/>
    <xf numFmtId="0" fontId="217" fillId="97" borderId="189" xfId="0" applyFont="1" applyFill="1" applyBorder="1"/>
    <xf numFmtId="168" fontId="209" fillId="97" borderId="189" xfId="0" applyNumberFormat="1" applyFont="1" applyFill="1" applyBorder="1"/>
    <xf numFmtId="272" fontId="209" fillId="97" borderId="189" xfId="863" applyNumberFormat="1" applyFont="1" applyFill="1" applyBorder="1"/>
    <xf numFmtId="43" fontId="209" fillId="97" borderId="189" xfId="0" applyNumberFormat="1" applyFont="1" applyFill="1" applyBorder="1"/>
    <xf numFmtId="0" fontId="295" fillId="43" borderId="191" xfId="907" applyFont="1" applyFill="1" applyBorder="1" applyAlignment="1">
      <alignment vertical="center"/>
    </xf>
    <xf numFmtId="0" fontId="295" fillId="43" borderId="189" xfId="907" applyFont="1" applyFill="1" applyBorder="1" applyAlignment="1">
      <alignment horizontal="center" vertical="center"/>
    </xf>
    <xf numFmtId="0" fontId="295" fillId="43" borderId="190" xfId="907" applyFont="1" applyFill="1" applyBorder="1" applyAlignment="1">
      <alignment vertical="center"/>
    </xf>
    <xf numFmtId="0" fontId="295" fillId="43" borderId="189" xfId="907" applyFont="1" applyFill="1" applyBorder="1" applyAlignment="1">
      <alignment vertical="center"/>
    </xf>
    <xf numFmtId="0" fontId="295" fillId="120" borderId="192" xfId="907" applyFont="1" applyFill="1" applyBorder="1"/>
    <xf numFmtId="0" fontId="295" fillId="120" borderId="194" xfId="907" applyFont="1" applyFill="1" applyBorder="1" applyAlignment="1">
      <alignment horizontal="center" wrapText="1"/>
    </xf>
    <xf numFmtId="0" fontId="295" fillId="120" borderId="194" xfId="907" applyFont="1" applyFill="1" applyBorder="1" applyAlignment="1">
      <alignment horizontal="center"/>
    </xf>
    <xf numFmtId="0" fontId="295" fillId="120" borderId="193" xfId="907" applyFont="1" applyFill="1" applyBorder="1" applyAlignment="1">
      <alignment horizontal="center"/>
    </xf>
    <xf numFmtId="0" fontId="296" fillId="0" borderId="192" xfId="907" applyFont="1" applyBorder="1"/>
    <xf numFmtId="217" fontId="297" fillId="0" borderId="194" xfId="847" applyNumberFormat="1" applyFont="1" applyFill="1" applyBorder="1"/>
    <xf numFmtId="43" fontId="297" fillId="0" borderId="194" xfId="43406" applyFont="1" applyFill="1" applyBorder="1"/>
    <xf numFmtId="43" fontId="296" fillId="0" borderId="193" xfId="43406" applyFont="1" applyFill="1" applyBorder="1"/>
    <xf numFmtId="219" fontId="296" fillId="121" borderId="189" xfId="43406" applyNumberFormat="1" applyFont="1" applyFill="1" applyBorder="1"/>
    <xf numFmtId="43" fontId="297" fillId="121" borderId="189" xfId="43406" applyFont="1" applyFill="1" applyBorder="1"/>
    <xf numFmtId="167" fontId="297" fillId="121" borderId="195" xfId="815" applyFont="1" applyFill="1" applyBorder="1"/>
    <xf numFmtId="0" fontId="297" fillId="0" borderId="194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7" xfId="831" applyFont="1" applyFill="1" applyBorder="1" applyAlignment="1">
      <alignment horizontal="left" vertical="center"/>
    </xf>
    <xf numFmtId="0" fontId="213" fillId="43" borderId="189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91" xfId="905" applyFont="1" applyFill="1" applyBorder="1" applyAlignment="1">
      <alignment horizontal="center" vertical="center"/>
    </xf>
    <xf numFmtId="0" fontId="208" fillId="38" borderId="189" xfId="905" applyFont="1" applyFill="1" applyBorder="1" applyAlignment="1">
      <alignment vertical="center"/>
    </xf>
    <xf numFmtId="0" fontId="208" fillId="38" borderId="195" xfId="905" applyFont="1" applyFill="1" applyBorder="1" applyAlignment="1">
      <alignment vertical="center"/>
    </xf>
    <xf numFmtId="176" fontId="44" fillId="41" borderId="199" xfId="863" applyNumberFormat="1" applyFont="1" applyFill="1" applyBorder="1" applyAlignment="1">
      <alignment vertical="center"/>
    </xf>
    <xf numFmtId="176" fontId="206" fillId="0" borderId="190" xfId="863" applyNumberFormat="1" applyFont="1" applyFill="1" applyBorder="1" applyAlignment="1">
      <alignment vertical="center"/>
    </xf>
    <xf numFmtId="168" fontId="209" fillId="33" borderId="190" xfId="831" applyNumberFormat="1" applyFont="1" applyFill="1" applyBorder="1" applyAlignment="1">
      <alignment vertical="center"/>
    </xf>
    <xf numFmtId="168" fontId="209" fillId="33" borderId="190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90" xfId="905" applyNumberFormat="1" applyFont="1" applyFill="1" applyBorder="1" applyAlignment="1">
      <alignment horizontal="center" vertical="center"/>
    </xf>
    <xf numFmtId="0" fontId="34" fillId="33" borderId="190" xfId="907" applyFont="1" applyFill="1" applyBorder="1" applyAlignment="1">
      <alignment horizontal="center" vertical="center"/>
    </xf>
    <xf numFmtId="4" fontId="209" fillId="33" borderId="190" xfId="831" applyNumberFormat="1" applyFont="1" applyFill="1" applyBorder="1" applyAlignment="1">
      <alignment horizontal="right" vertical="center"/>
    </xf>
    <xf numFmtId="4" fontId="206" fillId="33" borderId="190" xfId="863" applyNumberFormat="1" applyFont="1" applyFill="1" applyBorder="1" applyAlignment="1">
      <alignment horizontal="right" vertical="center"/>
    </xf>
    <xf numFmtId="17" fontId="40" fillId="38" borderId="190" xfId="905" applyNumberFormat="1" applyFont="1" applyFill="1" applyBorder="1" applyAlignment="1">
      <alignment horizontal="center" vertical="center"/>
    </xf>
    <xf numFmtId="17" fontId="40" fillId="38" borderId="190" xfId="905" applyNumberFormat="1" applyFont="1" applyFill="1" applyBorder="1" applyAlignment="1">
      <alignment horizontal="center" vertical="center" wrapText="1"/>
    </xf>
    <xf numFmtId="17" fontId="40" fillId="38" borderId="199" xfId="905" applyNumberFormat="1" applyFont="1" applyFill="1" applyBorder="1" applyAlignment="1">
      <alignment horizontal="center" vertical="center" wrapText="1"/>
    </xf>
    <xf numFmtId="176" fontId="34" fillId="0" borderId="190" xfId="907" applyNumberFormat="1" applyFont="1" applyBorder="1" applyAlignment="1">
      <alignment horizontal="center" vertical="center"/>
    </xf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17" fontId="39" fillId="38" borderId="195" xfId="905" applyNumberFormat="1" applyFont="1" applyFill="1" applyBorder="1" applyAlignment="1">
      <alignment horizontal="center" vertical="center" wrapText="1"/>
    </xf>
    <xf numFmtId="17" fontId="39" fillId="38" borderId="190" xfId="905" applyNumberFormat="1" applyFont="1" applyFill="1" applyBorder="1" applyAlignment="1">
      <alignment horizontal="center" vertical="center" wrapText="1"/>
    </xf>
    <xf numFmtId="0" fontId="31" fillId="0" borderId="190" xfId="907" applyBorder="1"/>
    <xf numFmtId="168" fontId="31" fillId="0" borderId="190" xfId="863" applyFont="1" applyFill="1" applyBorder="1" applyAlignment="1"/>
    <xf numFmtId="171" fontId="31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31" fillId="0" borderId="199" xfId="863" applyBorder="1"/>
    <xf numFmtId="0" fontId="34" fillId="0" borderId="190" xfId="907" applyFont="1" applyBorder="1" applyAlignment="1">
      <alignment horizontal="center" vertical="center"/>
    </xf>
    <xf numFmtId="0" fontId="209" fillId="97" borderId="189" xfId="831" applyFont="1" applyFill="1" applyBorder="1" applyAlignment="1">
      <alignment horizontal="center"/>
    </xf>
    <xf numFmtId="4" fontId="209" fillId="97" borderId="189" xfId="831" applyNumberFormat="1" applyFont="1" applyFill="1" applyBorder="1" applyAlignment="1">
      <alignment horizontal="right"/>
    </xf>
    <xf numFmtId="170" fontId="209" fillId="97" borderId="189" xfId="863" applyNumberFormat="1" applyFont="1" applyFill="1" applyBorder="1" applyAlignment="1">
      <alignment horizontal="right"/>
    </xf>
    <xf numFmtId="0" fontId="206" fillId="33" borderId="189" xfId="831" applyFont="1" applyFill="1" applyBorder="1" applyAlignment="1">
      <alignment vertical="center"/>
    </xf>
    <xf numFmtId="170" fontId="209" fillId="97" borderId="189" xfId="863" applyNumberFormat="1" applyFont="1" applyFill="1" applyBorder="1" applyAlignment="1">
      <alignment horizontal="center"/>
    </xf>
    <xf numFmtId="4" fontId="209" fillId="0" borderId="189" xfId="831" applyNumberFormat="1" applyFont="1" applyBorder="1" applyAlignment="1">
      <alignment vertical="center"/>
    </xf>
    <xf numFmtId="14" fontId="209" fillId="42" borderId="189" xfId="863" applyNumberFormat="1" applyFont="1" applyFill="1" applyBorder="1" applyAlignment="1">
      <alignment horizontal="center" vertical="top" wrapText="1"/>
    </xf>
    <xf numFmtId="216" fontId="209" fillId="97" borderId="189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9" xfId="0" applyFont="1" applyFill="1" applyBorder="1"/>
    <xf numFmtId="167" fontId="209" fillId="0" borderId="189" xfId="815" applyFont="1" applyBorder="1"/>
    <xf numFmtId="10" fontId="206" fillId="44" borderId="189" xfId="847" applyNumberFormat="1" applyFont="1" applyFill="1" applyBorder="1" applyAlignment="1">
      <alignment horizontal="right"/>
    </xf>
    <xf numFmtId="10" fontId="206" fillId="45" borderId="189" xfId="847" applyNumberFormat="1" applyFont="1" applyFill="1" applyBorder="1" applyAlignment="1">
      <alignment horizontal="right"/>
    </xf>
    <xf numFmtId="0" fontId="237" fillId="43" borderId="189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11" borderId="178" xfId="863" applyNumberFormat="1" applyFont="1" applyFill="1" applyBorder="1" applyAlignment="1">
      <alignment horizontal="right"/>
    </xf>
    <xf numFmtId="168" fontId="206" fillId="54" borderId="194" xfId="903" applyFont="1" applyFill="1" applyBorder="1" applyAlignment="1">
      <alignment horizontal="left" vertical="top"/>
    </xf>
    <xf numFmtId="168" fontId="206" fillId="54" borderId="194" xfId="903" applyFont="1" applyFill="1" applyBorder="1" applyAlignment="1">
      <alignment horizontal="right"/>
    </xf>
    <xf numFmtId="0" fontId="209" fillId="0" borderId="189" xfId="0" applyFont="1" applyBorder="1"/>
    <xf numFmtId="167" fontId="209" fillId="0" borderId="189" xfId="0" applyNumberFormat="1" applyFont="1" applyBorder="1"/>
    <xf numFmtId="0" fontId="206" fillId="0" borderId="194" xfId="0" applyFont="1" applyBorder="1" applyAlignment="1">
      <alignment horizontal="left"/>
    </xf>
    <xf numFmtId="167" fontId="206" fillId="111" borderId="194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4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11" borderId="178" xfId="815" applyFont="1" applyFill="1" applyBorder="1"/>
    <xf numFmtId="167" fontId="206" fillId="0" borderId="178" xfId="815" applyFont="1" applyFill="1" applyBorder="1"/>
    <xf numFmtId="0" fontId="206" fillId="0" borderId="189" xfId="0" applyFont="1" applyBorder="1"/>
    <xf numFmtId="4" fontId="206" fillId="0" borderId="189" xfId="0" applyNumberFormat="1" applyFont="1" applyBorder="1"/>
    <xf numFmtId="43" fontId="206" fillId="0" borderId="194" xfId="0" applyNumberFormat="1" applyFont="1" applyBorder="1"/>
    <xf numFmtId="167" fontId="206" fillId="0" borderId="194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4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4" xfId="832" applyFont="1" applyFill="1" applyBorder="1" applyAlignment="1">
      <alignment horizontal="center"/>
    </xf>
    <xf numFmtId="167" fontId="283" fillId="0" borderId="194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9" xfId="43197" applyNumberFormat="1" applyFont="1" applyFill="1" applyBorder="1" applyAlignment="1">
      <alignment vertical="center"/>
    </xf>
    <xf numFmtId="0" fontId="288" fillId="43" borderId="192" xfId="0" applyFont="1" applyFill="1" applyBorder="1"/>
    <xf numFmtId="167" fontId="283" fillId="0" borderId="194" xfId="815" applyFont="1" applyFill="1" applyBorder="1"/>
    <xf numFmtId="10" fontId="283" fillId="0" borderId="193" xfId="847" applyNumberFormat="1" applyFont="1" applyFill="1" applyBorder="1" applyAlignment="1">
      <alignment horizontal="center"/>
    </xf>
    <xf numFmtId="0" fontId="288" fillId="43" borderId="189" xfId="0" applyFont="1" applyFill="1" applyBorder="1"/>
    <xf numFmtId="40" fontId="290" fillId="43" borderId="189" xfId="0" applyNumberFormat="1" applyFont="1" applyFill="1" applyBorder="1"/>
    <xf numFmtId="10" fontId="290" fillId="43" borderId="189" xfId="0" applyNumberFormat="1" applyFont="1" applyFill="1" applyBorder="1" applyAlignment="1">
      <alignment horizontal="center"/>
    </xf>
    <xf numFmtId="0" fontId="206" fillId="0" borderId="190" xfId="0" applyFont="1" applyBorder="1"/>
    <xf numFmtId="10" fontId="284" fillId="0" borderId="0" xfId="2576" applyNumberFormat="1" applyFont="1" applyFill="1" applyBorder="1" applyAlignment="1">
      <alignment horizontal="center" vertical="center"/>
    </xf>
    <xf numFmtId="170" fontId="284" fillId="0" borderId="0" xfId="863" applyNumberFormat="1" applyFont="1" applyBorder="1" applyAlignment="1">
      <alignment vertical="center"/>
    </xf>
    <xf numFmtId="0" fontId="252" fillId="58" borderId="192" xfId="834" applyFont="1" applyFill="1" applyBorder="1" applyAlignment="1" applyProtection="1">
      <alignment horizontal="left" vertical="center"/>
    </xf>
    <xf numFmtId="0" fontId="251" fillId="0" borderId="194" xfId="43435" quotePrefix="1" applyFont="1" applyBorder="1" applyAlignment="1">
      <alignment horizontal="left" vertical="center"/>
    </xf>
    <xf numFmtId="278" fontId="251" fillId="41" borderId="194" xfId="43437" applyNumberFormat="1" applyFont="1" applyFill="1" applyBorder="1" applyAlignment="1">
      <alignment vertical="center" wrapText="1"/>
    </xf>
    <xf numFmtId="0" fontId="251" fillId="0" borderId="196" xfId="43435" quotePrefix="1" applyFont="1" applyBorder="1" applyAlignment="1">
      <alignment horizontal="left" vertical="center"/>
    </xf>
    <xf numFmtId="170" fontId="313" fillId="42" borderId="196" xfId="863" applyNumberFormat="1" applyFont="1" applyFill="1" applyBorder="1" applyAlignment="1">
      <alignment vertical="center"/>
    </xf>
    <xf numFmtId="170" fontId="310" fillId="42" borderId="199" xfId="863" applyNumberFormat="1" applyFont="1" applyFill="1" applyBorder="1" applyAlignment="1">
      <alignment vertical="center"/>
    </xf>
    <xf numFmtId="170" fontId="251" fillId="42" borderId="196" xfId="863" applyNumberFormat="1" applyFont="1" applyFill="1" applyBorder="1" applyAlignment="1">
      <alignment vertical="center"/>
    </xf>
    <xf numFmtId="0" fontId="251" fillId="0" borderId="199" xfId="43435" quotePrefix="1" applyFont="1" applyBorder="1" applyAlignment="1">
      <alignment horizontal="left" vertical="center"/>
    </xf>
    <xf numFmtId="170" fontId="251" fillId="33" borderId="199" xfId="863" applyNumberFormat="1" applyFont="1" applyFill="1" applyBorder="1" applyAlignment="1">
      <alignment vertical="center"/>
    </xf>
    <xf numFmtId="0" fontId="315" fillId="55" borderId="192" xfId="0" applyFont="1" applyFill="1" applyBorder="1" applyAlignment="1">
      <alignment vertical="center"/>
    </xf>
    <xf numFmtId="0" fontId="315" fillId="55" borderId="202" xfId="0" applyFont="1" applyFill="1" applyBorder="1" applyAlignment="1">
      <alignment vertical="center"/>
    </xf>
    <xf numFmtId="170" fontId="251" fillId="0" borderId="196" xfId="863" applyNumberFormat="1" applyFont="1" applyBorder="1" applyAlignment="1">
      <alignment vertical="center"/>
    </xf>
    <xf numFmtId="170" fontId="251" fillId="0" borderId="192" xfId="863" applyNumberFormat="1" applyFont="1" applyBorder="1" applyAlignment="1">
      <alignment vertical="center"/>
    </xf>
    <xf numFmtId="272" fontId="251" fillId="0" borderId="196" xfId="863" applyNumberFormat="1" applyFont="1" applyBorder="1" applyAlignment="1">
      <alignment vertical="center"/>
    </xf>
    <xf numFmtId="170" fontId="251" fillId="0" borderId="193" xfId="863" applyNumberFormat="1" applyFont="1" applyBorder="1" applyAlignment="1">
      <alignment vertical="center"/>
    </xf>
    <xf numFmtId="170" fontId="251" fillId="0" borderId="199" xfId="863" applyNumberFormat="1" applyFont="1" applyBorder="1" applyAlignment="1">
      <alignment vertical="center"/>
    </xf>
    <xf numFmtId="272" fontId="251" fillId="0" borderId="199" xfId="863" applyNumberFormat="1" applyFont="1" applyBorder="1" applyAlignment="1">
      <alignment vertical="center"/>
    </xf>
    <xf numFmtId="0" fontId="251" fillId="0" borderId="191" xfId="0" applyFont="1" applyBorder="1" applyAlignment="1">
      <alignment horizontal="left" vertical="center"/>
    </xf>
    <xf numFmtId="279" fontId="251" fillId="0" borderId="189" xfId="0" applyNumberFormat="1" applyFont="1" applyBorder="1" applyAlignment="1">
      <alignment vertical="center"/>
    </xf>
    <xf numFmtId="170" fontId="251" fillId="0" borderId="190" xfId="863" applyNumberFormat="1" applyFont="1" applyBorder="1" applyAlignment="1">
      <alignment vertical="center"/>
    </xf>
    <xf numFmtId="0" fontId="252" fillId="0" borderId="191" xfId="0" applyFont="1" applyBorder="1" applyAlignment="1">
      <alignment vertical="center"/>
    </xf>
    <xf numFmtId="0" fontId="252" fillId="0" borderId="189" xfId="0" applyFont="1" applyBorder="1" applyAlignment="1">
      <alignment vertical="center"/>
    </xf>
    <xf numFmtId="170" fontId="252" fillId="0" borderId="190" xfId="863" applyNumberFormat="1" applyFont="1" applyFill="1" applyBorder="1" applyAlignment="1">
      <alignment vertical="center"/>
    </xf>
    <xf numFmtId="170" fontId="252" fillId="0" borderId="195" xfId="863" applyNumberFormat="1" applyFont="1" applyFill="1" applyBorder="1" applyAlignment="1">
      <alignment vertical="center"/>
    </xf>
    <xf numFmtId="170" fontId="252" fillId="0" borderId="199" xfId="863" applyNumberFormat="1" applyFont="1" applyFill="1" applyBorder="1" applyAlignment="1">
      <alignment vertical="center"/>
    </xf>
    <xf numFmtId="0" fontId="273" fillId="101" borderId="190" xfId="2695" applyFont="1" applyFill="1" applyBorder="1"/>
    <xf numFmtId="14" fontId="31" fillId="0" borderId="190" xfId="2695" applyNumberFormat="1" applyBorder="1"/>
    <xf numFmtId="0" fontId="31" fillId="0" borderId="190" xfId="2695" applyBorder="1"/>
    <xf numFmtId="43" fontId="31" fillId="0" borderId="190" xfId="2695" applyNumberFormat="1" applyBorder="1"/>
    <xf numFmtId="168" fontId="0" fillId="0" borderId="190" xfId="863" applyFont="1" applyBorder="1"/>
    <xf numFmtId="0" fontId="273" fillId="97" borderId="190" xfId="2695" applyFont="1" applyFill="1" applyBorder="1"/>
    <xf numFmtId="168" fontId="273" fillId="97" borderId="190" xfId="863" applyFont="1" applyFill="1" applyBorder="1"/>
    <xf numFmtId="0" fontId="118" fillId="55" borderId="189" xfId="2695" applyFont="1" applyFill="1" applyBorder="1" applyAlignment="1">
      <alignment horizontal="left" vertical="center" wrapText="1"/>
    </xf>
    <xf numFmtId="0" fontId="118" fillId="55" borderId="203" xfId="2695" applyFont="1" applyFill="1" applyBorder="1" applyAlignment="1">
      <alignment horizontal="center" vertical="center" wrapText="1"/>
    </xf>
    <xf numFmtId="0" fontId="44" fillId="0" borderId="194" xfId="2695" applyFont="1" applyBorder="1" applyAlignment="1">
      <alignment vertical="center"/>
    </xf>
    <xf numFmtId="0" fontId="44" fillId="0" borderId="193" xfId="2695" applyFont="1" applyBorder="1" applyAlignment="1">
      <alignment vertical="center"/>
    </xf>
    <xf numFmtId="269" fontId="44" fillId="0" borderId="192" xfId="2695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5" applyNumberFormat="1" applyFont="1" applyBorder="1" applyAlignment="1">
      <alignment vertical="center"/>
    </xf>
    <xf numFmtId="168" fontId="44" fillId="0" borderId="199" xfId="863" applyFont="1" applyBorder="1" applyAlignment="1">
      <alignment vertical="center"/>
    </xf>
    <xf numFmtId="269" fontId="44" fillId="0" borderId="199" xfId="2695" applyNumberFormat="1" applyFont="1" applyBorder="1" applyAlignment="1">
      <alignment vertical="center"/>
    </xf>
    <xf numFmtId="0" fontId="111" fillId="59" borderId="178" xfId="2695" applyFont="1" applyFill="1" applyBorder="1" applyAlignment="1">
      <alignment vertical="center"/>
    </xf>
    <xf numFmtId="270" fontId="111" fillId="59" borderId="190" xfId="43181" applyNumberFormat="1" applyFont="1" applyFill="1" applyBorder="1" applyAlignment="1">
      <alignment vertical="center"/>
    </xf>
    <xf numFmtId="270" fontId="111" fillId="59" borderId="191" xfId="43181" applyNumberFormat="1" applyFont="1" applyFill="1" applyBorder="1" applyAlignment="1">
      <alignment vertical="center"/>
    </xf>
    <xf numFmtId="0" fontId="44" fillId="60" borderId="195" xfId="905" applyFont="1" applyFill="1" applyBorder="1" applyAlignment="1">
      <alignment horizontal="left" vertical="center"/>
    </xf>
    <xf numFmtId="0" fontId="44" fillId="98" borderId="190" xfId="2695" applyFont="1" applyFill="1" applyBorder="1" applyAlignment="1">
      <alignment vertical="center"/>
    </xf>
    <xf numFmtId="271" fontId="44" fillId="60" borderId="189" xfId="2695" applyNumberFormat="1" applyFont="1" applyFill="1" applyBorder="1" applyAlignment="1">
      <alignment vertical="center"/>
    </xf>
    <xf numFmtId="0" fontId="111" fillId="60" borderId="195" xfId="905" applyFont="1" applyFill="1" applyBorder="1" applyAlignment="1">
      <alignment horizontal="left" vertical="center"/>
    </xf>
    <xf numFmtId="0" fontId="44" fillId="98" borderId="190" xfId="2695" applyFont="1" applyFill="1" applyBorder="1"/>
    <xf numFmtId="270" fontId="111" fillId="98" borderId="189" xfId="2695" applyNumberFormat="1" applyFont="1" applyFill="1" applyBorder="1" applyAlignment="1">
      <alignment vertical="center"/>
    </xf>
    <xf numFmtId="270" fontId="111" fillId="60" borderId="189" xfId="2695" applyNumberFormat="1" applyFont="1" applyFill="1" applyBorder="1" applyAlignment="1">
      <alignment vertical="center"/>
    </xf>
    <xf numFmtId="271" fontId="44" fillId="98" borderId="189" xfId="2695" applyNumberFormat="1" applyFont="1" applyFill="1" applyBorder="1" applyAlignment="1">
      <alignment vertical="center"/>
    </xf>
    <xf numFmtId="0" fontId="44" fillId="0" borderId="194" xfId="2695" applyFont="1" applyBorder="1"/>
    <xf numFmtId="171" fontId="118" fillId="43" borderId="192" xfId="2695" applyNumberFormat="1" applyFont="1" applyFill="1" applyBorder="1" applyAlignment="1">
      <alignment horizontal="center" vertical="center" wrapText="1"/>
    </xf>
    <xf numFmtId="0" fontId="31" fillId="0" borderId="190" xfId="0" applyFont="1" applyBorder="1"/>
    <xf numFmtId="0" fontId="0" fillId="0" borderId="190" xfId="0" applyBorder="1"/>
    <xf numFmtId="171" fontId="118" fillId="55" borderId="192" xfId="2695" applyNumberFormat="1" applyFont="1" applyFill="1" applyBorder="1" applyAlignment="1">
      <alignment horizontal="center" vertical="center" wrapText="1"/>
    </xf>
    <xf numFmtId="171" fontId="118" fillId="55" borderId="194" xfId="2695" applyNumberFormat="1" applyFont="1" applyFill="1" applyBorder="1" applyAlignment="1">
      <alignment horizontal="center" vertical="center" wrapText="1"/>
    </xf>
    <xf numFmtId="171" fontId="118" fillId="55" borderId="193" xfId="2695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204" xfId="832" applyFont="1" applyBorder="1"/>
    <xf numFmtId="0" fontId="206" fillId="33" borderId="204" xfId="0" applyFont="1" applyFill="1" applyBorder="1"/>
    <xf numFmtId="0" fontId="209" fillId="33" borderId="191" xfId="831" applyFont="1" applyFill="1" applyBorder="1" applyAlignment="1">
      <alignment vertical="center"/>
    </xf>
    <xf numFmtId="0" fontId="209" fillId="33" borderId="195" xfId="831" applyFont="1" applyFill="1" applyBorder="1" applyAlignment="1">
      <alignment vertical="center"/>
    </xf>
    <xf numFmtId="0" fontId="209" fillId="0" borderId="190" xfId="832" applyFont="1" applyBorder="1" applyAlignment="1">
      <alignment horizontal="center"/>
    </xf>
    <xf numFmtId="0" fontId="209" fillId="44" borderId="190" xfId="832" applyFont="1" applyFill="1" applyBorder="1" applyAlignment="1">
      <alignment horizontal="center"/>
    </xf>
    <xf numFmtId="0" fontId="209" fillId="44" borderId="190" xfId="0" applyFont="1" applyFill="1" applyBorder="1"/>
    <xf numFmtId="0" fontId="206" fillId="0" borderId="190" xfId="832" applyFont="1" applyBorder="1" applyAlignment="1">
      <alignment horizontal="center"/>
    </xf>
    <xf numFmtId="0" fontId="206" fillId="33" borderId="192" xfId="789" applyFont="1" applyFill="1" applyBorder="1"/>
    <xf numFmtId="17" fontId="206" fillId="0" borderId="193" xfId="0" applyNumberFormat="1" applyFont="1" applyBorder="1"/>
    <xf numFmtId="195" fontId="206" fillId="0" borderId="190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90" xfId="863" applyNumberFormat="1" applyFont="1" applyFill="1" applyBorder="1" applyAlignment="1">
      <alignment vertical="top"/>
    </xf>
    <xf numFmtId="165" fontId="228" fillId="44" borderId="190" xfId="863" applyNumberFormat="1" applyFont="1" applyFill="1" applyBorder="1" applyAlignment="1">
      <alignment vertical="top"/>
    </xf>
    <xf numFmtId="165" fontId="216" fillId="0" borderId="190" xfId="863" applyNumberFormat="1" applyFont="1" applyFill="1" applyBorder="1" applyAlignment="1">
      <alignment vertical="top"/>
    </xf>
    <xf numFmtId="0" fontId="208" fillId="0" borderId="189" xfId="832" applyFont="1" applyBorder="1"/>
    <xf numFmtId="0" fontId="206" fillId="0" borderId="189" xfId="832" applyFont="1" applyBorder="1"/>
    <xf numFmtId="0" fontId="206" fillId="0" borderId="191" xfId="0" applyFont="1" applyBorder="1" applyAlignment="1">
      <alignment horizontal="right"/>
    </xf>
    <xf numFmtId="0" fontId="206" fillId="0" borderId="195" xfId="832" applyFont="1" applyBorder="1" applyAlignment="1">
      <alignment horizontal="left"/>
    </xf>
    <xf numFmtId="0" fontId="206" fillId="41" borderId="191" xfId="0" applyFont="1" applyFill="1" applyBorder="1" applyAlignment="1">
      <alignment horizontal="right"/>
    </xf>
    <xf numFmtId="0" fontId="206" fillId="41" borderId="195" xfId="832" applyFont="1" applyFill="1" applyBorder="1" applyAlignment="1">
      <alignment horizontal="left"/>
    </xf>
    <xf numFmtId="171" fontId="206" fillId="0" borderId="194" xfId="0" applyNumberFormat="1" applyFont="1" applyBorder="1"/>
    <xf numFmtId="171" fontId="206" fillId="0" borderId="178" xfId="0" applyNumberFormat="1" applyFont="1" applyBorder="1"/>
    <xf numFmtId="167" fontId="209" fillId="0" borderId="191" xfId="815" applyFont="1" applyFill="1" applyBorder="1"/>
    <xf numFmtId="167" fontId="209" fillId="0" borderId="195" xfId="815" applyFont="1" applyFill="1" applyBorder="1"/>
    <xf numFmtId="167" fontId="209" fillId="0" borderId="189" xfId="815" applyFont="1" applyFill="1" applyBorder="1"/>
    <xf numFmtId="167" fontId="206" fillId="0" borderId="191" xfId="815" applyFont="1" applyFill="1" applyBorder="1"/>
    <xf numFmtId="167" fontId="206" fillId="0" borderId="195" xfId="815" applyFont="1" applyFill="1" applyBorder="1"/>
    <xf numFmtId="167" fontId="209" fillId="0" borderId="191" xfId="815" applyFont="1" applyBorder="1"/>
    <xf numFmtId="167" fontId="209" fillId="0" borderId="195" xfId="815" applyFont="1" applyBorder="1"/>
    <xf numFmtId="0" fontId="206" fillId="41" borderId="195" xfId="832" applyFont="1" applyFill="1" applyBorder="1" applyAlignment="1">
      <alignment horizontal="center"/>
    </xf>
    <xf numFmtId="167" fontId="209" fillId="0" borderId="190" xfId="815" applyFont="1" applyBorder="1"/>
    <xf numFmtId="0" fontId="35" fillId="33" borderId="197" xfId="831" applyFont="1" applyFill="1" applyBorder="1" applyAlignment="1">
      <alignment horizontal="left"/>
    </xf>
    <xf numFmtId="0" fontId="40" fillId="39" borderId="190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90" xfId="831" applyNumberFormat="1" applyFont="1" applyBorder="1" applyAlignment="1">
      <alignment horizontal="center"/>
    </xf>
    <xf numFmtId="172" fontId="44" fillId="0" borderId="190" xfId="863" applyNumberFormat="1" applyFont="1" applyBorder="1" applyAlignment="1">
      <alignment horizontal="center"/>
    </xf>
    <xf numFmtId="196" fontId="44" fillId="0" borderId="190" xfId="863" applyNumberFormat="1" applyFont="1" applyBorder="1" applyAlignment="1">
      <alignment horizontal="center"/>
    </xf>
    <xf numFmtId="0" fontId="3" fillId="0" borderId="0" xfId="43416" applyFont="1"/>
    <xf numFmtId="0" fontId="3" fillId="0" borderId="0" xfId="43416" quotePrefix="1" applyFont="1"/>
    <xf numFmtId="0" fontId="3" fillId="0" borderId="0" xfId="43416" applyFont="1" applyAlignment="1">
      <alignment horizontal="center" vertical="center"/>
    </xf>
    <xf numFmtId="40" fontId="121" fillId="0" borderId="190" xfId="43408" applyNumberFormat="1" applyFont="1" applyBorder="1" applyAlignment="1">
      <alignment vertical="center"/>
    </xf>
    <xf numFmtId="40" fontId="121" fillId="42" borderId="190" xfId="43408" applyNumberFormat="1" applyFont="1" applyFill="1" applyBorder="1" applyAlignment="1">
      <alignment vertical="center"/>
    </xf>
    <xf numFmtId="0" fontId="51" fillId="109" borderId="205" xfId="43409" applyFont="1" applyFill="1" applyBorder="1" applyAlignment="1">
      <alignment horizontal="center"/>
    </xf>
    <xf numFmtId="0" fontId="51" fillId="0" borderId="206" xfId="43409" applyFont="1" applyBorder="1" applyAlignment="1">
      <alignment horizontal="right" wrapText="1"/>
    </xf>
    <xf numFmtId="0" fontId="51" fillId="0" borderId="206" xfId="43409" applyFont="1" applyBorder="1" applyAlignment="1">
      <alignment wrapText="1"/>
    </xf>
    <xf numFmtId="14" fontId="51" fillId="0" borderId="206" xfId="43409" applyNumberFormat="1" applyFont="1" applyBorder="1" applyAlignment="1">
      <alignment horizontal="right" wrapText="1"/>
    </xf>
    <xf numFmtId="267" fontId="51" fillId="0" borderId="206" xfId="43409" applyNumberFormat="1" applyFont="1" applyBorder="1" applyAlignment="1">
      <alignment horizontal="right" wrapText="1"/>
    </xf>
    <xf numFmtId="0" fontId="252" fillId="0" borderId="190" xfId="7306" applyFont="1" applyBorder="1"/>
    <xf numFmtId="214" fontId="251" fillId="0" borderId="190" xfId="7306" applyNumberFormat="1" applyFont="1" applyBorder="1"/>
    <xf numFmtId="0" fontId="262" fillId="0" borderId="190" xfId="7306" applyFont="1" applyBorder="1" applyAlignment="1">
      <alignment vertical="center"/>
    </xf>
    <xf numFmtId="0" fontId="251" fillId="42" borderId="190" xfId="7306" applyFont="1" applyFill="1" applyBorder="1" applyAlignment="1">
      <alignment horizontal="center"/>
    </xf>
    <xf numFmtId="0" fontId="251" fillId="0" borderId="190" xfId="7306" applyFont="1" applyBorder="1"/>
    <xf numFmtId="174" fontId="251" fillId="0" borderId="190" xfId="7306" applyNumberFormat="1" applyFont="1" applyBorder="1"/>
    <xf numFmtId="266" fontId="251" fillId="0" borderId="190" xfId="7306" applyNumberFormat="1" applyFont="1" applyBorder="1"/>
    <xf numFmtId="10" fontId="256" fillId="0" borderId="190" xfId="7306" applyNumberFormat="1" applyFont="1" applyBorder="1" applyAlignment="1">
      <alignment horizontal="right" vertical="center"/>
    </xf>
    <xf numFmtId="214" fontId="251" fillId="0" borderId="190" xfId="43163" applyNumberFormat="1" applyFont="1" applyBorder="1"/>
    <xf numFmtId="167" fontId="259" fillId="41" borderId="190" xfId="902" applyFont="1" applyFill="1" applyBorder="1" applyAlignment="1">
      <alignment horizontal="center"/>
    </xf>
    <xf numFmtId="0" fontId="251" fillId="0" borderId="190" xfId="7306" applyFont="1" applyBorder="1" applyAlignment="1">
      <alignment horizontal="right"/>
    </xf>
    <xf numFmtId="0" fontId="251" fillId="0" borderId="190" xfId="7306" applyFont="1" applyBorder="1" applyAlignment="1">
      <alignment horizontal="center"/>
    </xf>
    <xf numFmtId="10" fontId="258" fillId="0" borderId="190" xfId="7306" applyNumberFormat="1" applyFont="1" applyBorder="1" applyAlignment="1">
      <alignment horizontal="center"/>
    </xf>
    <xf numFmtId="167" fontId="262" fillId="0" borderId="190" xfId="7306" applyNumberFormat="1" applyFont="1" applyBorder="1" applyAlignment="1">
      <alignment vertical="center"/>
    </xf>
    <xf numFmtId="0" fontId="262" fillId="0" borderId="196" xfId="7306" applyFont="1" applyBorder="1" applyAlignment="1">
      <alignment vertical="center"/>
    </xf>
    <xf numFmtId="43" fontId="262" fillId="0" borderId="190" xfId="7306" applyNumberFormat="1" applyFont="1" applyBorder="1" applyAlignment="1">
      <alignment vertical="center"/>
    </xf>
    <xf numFmtId="43" fontId="262" fillId="0" borderId="191" xfId="7306" applyNumberFormat="1" applyFont="1" applyBorder="1" applyAlignment="1">
      <alignment vertical="center"/>
    </xf>
    <xf numFmtId="10" fontId="263" fillId="0" borderId="199" xfId="1094" applyNumberFormat="1" applyFont="1" applyFill="1" applyBorder="1" applyAlignment="1">
      <alignment vertical="center"/>
    </xf>
    <xf numFmtId="10" fontId="263" fillId="0" borderId="190" xfId="1094" applyNumberFormat="1" applyFont="1" applyFill="1" applyBorder="1" applyAlignment="1">
      <alignment vertical="center"/>
    </xf>
    <xf numFmtId="10" fontId="263" fillId="0" borderId="190" xfId="1094" applyNumberFormat="1" applyFont="1" applyBorder="1" applyAlignment="1">
      <alignment vertical="center"/>
    </xf>
    <xf numFmtId="10" fontId="262" fillId="0" borderId="190" xfId="7306" applyNumberFormat="1" applyFont="1" applyBorder="1" applyAlignment="1">
      <alignment vertical="center"/>
    </xf>
    <xf numFmtId="0" fontId="252" fillId="107" borderId="191" xfId="7306" applyFont="1" applyFill="1" applyBorder="1"/>
    <xf numFmtId="167" fontId="252" fillId="41" borderId="190" xfId="902" applyFont="1" applyFill="1" applyBorder="1"/>
    <xf numFmtId="0" fontId="251" fillId="0" borderId="207" xfId="7306" applyFont="1" applyBorder="1"/>
    <xf numFmtId="167" fontId="251" fillId="41" borderId="199" xfId="902" applyFont="1" applyFill="1" applyBorder="1"/>
    <xf numFmtId="0" fontId="255" fillId="0" borderId="190" xfId="7306" applyFont="1" applyBorder="1" applyAlignment="1">
      <alignment horizontal="center" vertical="center"/>
    </xf>
    <xf numFmtId="0" fontId="252" fillId="0" borderId="190" xfId="7306" applyFont="1" applyBorder="1" applyAlignment="1">
      <alignment horizontal="center"/>
    </xf>
    <xf numFmtId="0" fontId="255" fillId="0" borderId="190" xfId="7306" applyFont="1" applyBorder="1" applyAlignment="1">
      <alignment vertical="center"/>
    </xf>
    <xf numFmtId="2" fontId="256" fillId="0" borderId="190" xfId="7306" applyNumberFormat="1" applyFont="1" applyBorder="1" applyAlignment="1">
      <alignment horizontal="center" vertical="center"/>
    </xf>
    <xf numFmtId="0" fontId="257" fillId="42" borderId="190" xfId="7306" applyFont="1" applyFill="1" applyBorder="1" applyAlignment="1">
      <alignment horizontal="center" vertical="center"/>
    </xf>
    <xf numFmtId="10" fontId="256" fillId="42" borderId="190" xfId="7306" applyNumberFormat="1" applyFont="1" applyFill="1" applyBorder="1" applyAlignment="1">
      <alignment horizontal="center" vertical="center"/>
    </xf>
    <xf numFmtId="0" fontId="258" fillId="61" borderId="190" xfId="7306" applyFont="1" applyFill="1" applyBorder="1"/>
    <xf numFmtId="2" fontId="251" fillId="42" borderId="190" xfId="7306" applyNumberFormat="1" applyFont="1" applyFill="1" applyBorder="1" applyAlignment="1">
      <alignment horizontal="center"/>
    </xf>
    <xf numFmtId="2" fontId="256" fillId="42" borderId="190" xfId="7306" applyNumberFormat="1" applyFont="1" applyFill="1" applyBorder="1" applyAlignment="1">
      <alignment horizontal="center" vertical="center"/>
    </xf>
    <xf numFmtId="167" fontId="259" fillId="42" borderId="190" xfId="902" applyFont="1" applyFill="1" applyBorder="1"/>
    <xf numFmtId="0" fontId="251" fillId="46" borderId="190" xfId="7306" applyFont="1" applyFill="1" applyBorder="1"/>
    <xf numFmtId="265" fontId="251" fillId="0" borderId="190" xfId="7306" applyNumberFormat="1" applyFont="1" applyBorder="1"/>
    <xf numFmtId="2" fontId="251" fillId="0" borderId="190" xfId="7306" applyNumberFormat="1" applyFont="1" applyBorder="1"/>
    <xf numFmtId="10" fontId="251" fillId="0" borderId="190" xfId="7306" applyNumberFormat="1" applyFont="1" applyBorder="1"/>
    <xf numFmtId="173" fontId="251" fillId="0" borderId="190" xfId="7306" applyNumberFormat="1" applyFont="1" applyBorder="1"/>
    <xf numFmtId="167" fontId="252" fillId="102" borderId="190" xfId="902" applyFont="1" applyFill="1" applyBorder="1"/>
    <xf numFmtId="0" fontId="252" fillId="59" borderId="189" xfId="2695" applyFont="1" applyFill="1" applyBorder="1" applyAlignment="1">
      <alignment vertical="center"/>
    </xf>
    <xf numFmtId="4" fontId="252" fillId="59" borderId="189" xfId="2695" applyNumberFormat="1" applyFont="1" applyFill="1" applyBorder="1" applyAlignment="1">
      <alignment vertical="center"/>
    </xf>
    <xf numFmtId="167" fontId="251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7" fillId="97" borderId="152" xfId="0" applyFont="1" applyFill="1" applyBorder="1" applyAlignment="1">
      <alignment vertical="center"/>
    </xf>
    <xf numFmtId="0" fontId="37" fillId="97" borderId="152" xfId="0" applyFont="1" applyFill="1" applyBorder="1" applyAlignment="1">
      <alignment horizontal="center" vertical="center" wrapText="1"/>
    </xf>
    <xf numFmtId="0" fontId="37" fillId="97" borderId="152" xfId="0" applyFont="1" applyFill="1" applyBorder="1" applyAlignment="1">
      <alignment horizontal="center" vertical="center"/>
    </xf>
    <xf numFmtId="168" fontId="284" fillId="42" borderId="0" xfId="863" applyFont="1" applyFill="1" applyBorder="1"/>
    <xf numFmtId="0" fontId="114" fillId="42" borderId="0" xfId="0" applyFont="1" applyFill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68" fontId="206" fillId="44" borderId="0" xfId="863" applyFont="1" applyFill="1"/>
    <xf numFmtId="2" fontId="206" fillId="44" borderId="0" xfId="863" applyNumberFormat="1" applyFont="1" applyFill="1"/>
    <xf numFmtId="14" fontId="206" fillId="44" borderId="0" xfId="847" applyNumberFormat="1" applyFont="1" applyFill="1"/>
    <xf numFmtId="14" fontId="206" fillId="44" borderId="0" xfId="0" applyNumberFormat="1" applyFont="1" applyFill="1"/>
    <xf numFmtId="2" fontId="206" fillId="44" borderId="0" xfId="0" applyNumberFormat="1" applyFont="1" applyFill="1"/>
    <xf numFmtId="167" fontId="206" fillId="44" borderId="0" xfId="815" applyFont="1" applyFill="1"/>
    <xf numFmtId="2" fontId="206" fillId="44" borderId="0" xfId="847" applyNumberFormat="1" applyFont="1" applyFill="1"/>
    <xf numFmtId="0" fontId="206" fillId="44" borderId="0" xfId="0" applyFont="1" applyFill="1"/>
    <xf numFmtId="10" fontId="206" fillId="108" borderId="178" xfId="0" applyNumberFormat="1" applyFont="1" applyFill="1" applyBorder="1"/>
    <xf numFmtId="0" fontId="206" fillId="108" borderId="178" xfId="847" applyNumberFormat="1" applyFont="1" applyFill="1" applyBorder="1"/>
    <xf numFmtId="168" fontId="206" fillId="108" borderId="178" xfId="863" applyFont="1" applyFill="1" applyBorder="1"/>
    <xf numFmtId="3" fontId="31" fillId="0" borderId="0" xfId="0" applyNumberFormat="1" applyFont="1" applyAlignment="1">
      <alignment horizontal="center" vertical="distributed"/>
    </xf>
    <xf numFmtId="257" fontId="31" fillId="0" borderId="0" xfId="0" applyNumberFormat="1" applyFont="1" applyAlignment="1">
      <alignment horizontal="center" vertical="distributed"/>
    </xf>
    <xf numFmtId="10" fontId="31" fillId="0" borderId="0" xfId="0" applyNumberFormat="1" applyFont="1" applyAlignment="1">
      <alignment horizontal="center" vertical="distributed"/>
    </xf>
    <xf numFmtId="9" fontId="31" fillId="0" borderId="0" xfId="0" applyNumberFormat="1" applyFont="1"/>
    <xf numFmtId="14" fontId="31" fillId="0" borderId="0" xfId="863" applyNumberFormat="1" applyFont="1" applyFill="1" applyAlignment="1">
      <alignment horizontal="center"/>
    </xf>
    <xf numFmtId="168" fontId="31" fillId="0" borderId="0" xfId="863" applyFont="1" applyFill="1" applyAlignment="1">
      <alignment horizontal="center" vertical="distributed"/>
    </xf>
    <xf numFmtId="168" fontId="31" fillId="0" borderId="0" xfId="0" applyNumberFormat="1" applyFont="1" applyAlignment="1">
      <alignment horizontal="center" vertical="distributed"/>
    </xf>
    <xf numFmtId="168" fontId="31" fillId="0" borderId="0" xfId="863" applyFont="1" applyFill="1" applyBorder="1" applyAlignment="1">
      <alignment horizontal="center" vertical="distributed"/>
    </xf>
    <xf numFmtId="9" fontId="31" fillId="0" borderId="0" xfId="847" applyFont="1" applyFill="1" applyAlignment="1">
      <alignment horizontal="center" vertical="distributed"/>
    </xf>
    <xf numFmtId="9" fontId="31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31" fillId="0" borderId="0" xfId="863" applyNumberFormat="1" applyFont="1" applyFill="1" applyAlignment="1">
      <alignment horizontal="center" vertical="distributed"/>
    </xf>
    <xf numFmtId="10" fontId="31" fillId="0" borderId="0" xfId="847" applyNumberFormat="1" applyFont="1" applyFill="1" applyAlignment="1">
      <alignment horizontal="center" vertical="distributed"/>
    </xf>
    <xf numFmtId="4" fontId="31" fillId="0" borderId="0" xfId="0" applyNumberFormat="1" applyFont="1" applyAlignment="1">
      <alignment vertical="center"/>
    </xf>
    <xf numFmtId="49" fontId="31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9" fillId="125" borderId="208" xfId="0" applyFont="1" applyFill="1" applyBorder="1"/>
    <xf numFmtId="0" fontId="319" fillId="125" borderId="209" xfId="0" applyFont="1" applyFill="1" applyBorder="1"/>
    <xf numFmtId="0" fontId="319" fillId="125" borderId="0" xfId="0" applyFont="1" applyFill="1"/>
    <xf numFmtId="168" fontId="213" fillId="43" borderId="189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8" borderId="0" xfId="863" applyFont="1" applyFill="1" applyBorder="1" applyAlignment="1">
      <alignment vertical="center"/>
    </xf>
    <xf numFmtId="168" fontId="206" fillId="126" borderId="0" xfId="863" applyFont="1" applyFill="1"/>
    <xf numFmtId="0" fontId="206" fillId="126" borderId="0" xfId="0" applyFont="1" applyFill="1" applyAlignment="1">
      <alignment horizontal="left"/>
    </xf>
    <xf numFmtId="0" fontId="0" fillId="0" borderId="0" xfId="863" applyNumberFormat="1" applyFont="1" applyFill="1"/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10" fontId="284" fillId="0" borderId="0" xfId="2576" applyNumberFormat="1" applyFont="1" applyFill="1" applyBorder="1" applyAlignment="1">
      <alignment horizontal="center"/>
    </xf>
    <xf numFmtId="167" fontId="283" fillId="114" borderId="0" xfId="5581" applyNumberFormat="1" applyFont="1" applyFill="1" applyBorder="1" applyAlignment="1">
      <alignment vertical="center"/>
    </xf>
    <xf numFmtId="0" fontId="251" fillId="42" borderId="210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6" xfId="831" applyFont="1" applyFill="1" applyBorder="1" applyAlignment="1">
      <alignment horizontal="left" vertical="center"/>
    </xf>
    <xf numFmtId="168" fontId="261" fillId="39" borderId="186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20" fillId="0" borderId="0" xfId="0" applyFont="1"/>
    <xf numFmtId="0" fontId="318" fillId="0" borderId="0" xfId="43416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8" borderId="0" xfId="863" applyNumberFormat="1" applyFont="1" applyFill="1" applyBorder="1"/>
    <xf numFmtId="43" fontId="206" fillId="108" borderId="178" xfId="863" applyNumberFormat="1" applyFont="1" applyFill="1" applyBorder="1"/>
    <xf numFmtId="0" fontId="318" fillId="129" borderId="144" xfId="0" applyFont="1" applyFill="1" applyBorder="1"/>
    <xf numFmtId="0" fontId="318" fillId="101" borderId="144" xfId="0" applyFont="1" applyFill="1" applyBorder="1" applyAlignment="1">
      <alignment horizontal="center"/>
    </xf>
    <xf numFmtId="0" fontId="318" fillId="101" borderId="178" xfId="0" applyFont="1" applyFill="1" applyBorder="1" applyAlignment="1">
      <alignment horizontal="center"/>
    </xf>
    <xf numFmtId="0" fontId="252" fillId="128" borderId="144" xfId="0" applyFont="1" applyFill="1" applyBorder="1"/>
    <xf numFmtId="17" fontId="316" fillId="127" borderId="144" xfId="0" applyNumberFormat="1" applyFont="1" applyFill="1" applyBorder="1" applyAlignment="1">
      <alignment horizontal="center"/>
    </xf>
    <xf numFmtId="214" fontId="252" fillId="131" borderId="178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8" fillId="0" borderId="0" xfId="0" applyFont="1" applyAlignment="1">
      <alignment horizontal="center"/>
    </xf>
    <xf numFmtId="17" fontId="316" fillId="0" borderId="0" xfId="0" applyNumberFormat="1" applyFont="1" applyAlignment="1">
      <alignment horizontal="center"/>
    </xf>
    <xf numFmtId="0" fontId="323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22" fillId="130" borderId="148" xfId="863" applyNumberFormat="1" applyFont="1" applyFill="1" applyBorder="1" applyAlignment="1">
      <alignment horizontal="center"/>
    </xf>
    <xf numFmtId="0" fontId="318" fillId="0" borderId="0" xfId="43416" applyFont="1" applyAlignment="1">
      <alignment horizontal="center" vertical="center"/>
    </xf>
    <xf numFmtId="17" fontId="321" fillId="0" borderId="0" xfId="43416" applyNumberFormat="1" applyFont="1" applyAlignment="1">
      <alignment horizontal="center"/>
    </xf>
    <xf numFmtId="0" fontId="321" fillId="0" borderId="0" xfId="43416" applyFont="1" applyAlignment="1">
      <alignment horizontal="center"/>
    </xf>
    <xf numFmtId="0" fontId="321" fillId="0" borderId="0" xfId="43416" applyFont="1" applyAlignment="1">
      <alignment horizontal="center" vertical="center"/>
    </xf>
    <xf numFmtId="214" fontId="321" fillId="0" borderId="0" xfId="43416" applyNumberFormat="1" applyFont="1" applyAlignment="1">
      <alignment horizontal="center"/>
    </xf>
    <xf numFmtId="17" fontId="258" fillId="0" borderId="0" xfId="43416" applyNumberFormat="1" applyFont="1" applyAlignment="1">
      <alignment horizontal="center"/>
    </xf>
    <xf numFmtId="0" fontId="258" fillId="0" borderId="0" xfId="43416" applyFont="1" applyAlignment="1">
      <alignment horizontal="center"/>
    </xf>
    <xf numFmtId="0" fontId="252" fillId="0" borderId="0" xfId="0" applyFont="1" applyAlignment="1">
      <alignment horizontal="center"/>
    </xf>
    <xf numFmtId="167" fontId="283" fillId="42" borderId="0" xfId="5581" applyNumberFormat="1" applyFont="1" applyFill="1" applyBorder="1"/>
    <xf numFmtId="0" fontId="250" fillId="0" borderId="211" xfId="0" applyFont="1" applyBorder="1" applyAlignment="1">
      <alignment horizontal="center" vertical="center" wrapText="1"/>
    </xf>
    <xf numFmtId="0" fontId="324" fillId="0" borderId="0" xfId="0" applyFont="1"/>
    <xf numFmtId="14" fontId="206" fillId="0" borderId="0" xfId="0" applyNumberFormat="1" applyFont="1" applyAlignment="1">
      <alignment horizontal="right"/>
    </xf>
    <xf numFmtId="9" fontId="206" fillId="0" borderId="0" xfId="0" applyNumberFormat="1" applyFont="1"/>
    <xf numFmtId="44" fontId="206" fillId="0" borderId="0" xfId="0" applyNumberFormat="1" applyFont="1"/>
    <xf numFmtId="10" fontId="44" fillId="0" borderId="0" xfId="847" applyNumberFormat="1" applyFont="1" applyFill="1"/>
    <xf numFmtId="14" fontId="206" fillId="0" borderId="190" xfId="0" applyNumberFormat="1" applyFont="1" applyBorder="1"/>
    <xf numFmtId="0" fontId="209" fillId="0" borderId="190" xfId="0" applyFont="1" applyBorder="1"/>
    <xf numFmtId="168" fontId="209" fillId="0" borderId="190" xfId="0" applyNumberFormat="1" applyFont="1" applyBorder="1"/>
    <xf numFmtId="14" fontId="220" fillId="0" borderId="190" xfId="0" applyNumberFormat="1" applyFont="1" applyBorder="1"/>
    <xf numFmtId="0" fontId="220" fillId="0" borderId="190" xfId="0" applyFont="1" applyBorder="1"/>
    <xf numFmtId="0" fontId="220" fillId="0" borderId="0" xfId="0" applyFont="1" applyAlignment="1">
      <alignment horizontal="center"/>
    </xf>
    <xf numFmtId="168" fontId="206" fillId="61" borderId="0" xfId="863" applyFont="1" applyFill="1" applyBorder="1"/>
    <xf numFmtId="176" fontId="44" fillId="61" borderId="199" xfId="863" applyNumberFormat="1" applyFont="1" applyFill="1" applyBorder="1" applyAlignment="1">
      <alignment vertical="center"/>
    </xf>
    <xf numFmtId="0" fontId="316" fillId="0" borderId="0" xfId="43438" applyFont="1" applyAlignment="1">
      <alignment vertical="center"/>
    </xf>
    <xf numFmtId="0" fontId="318" fillId="122" borderId="191" xfId="43438" applyFont="1" applyFill="1" applyBorder="1" applyAlignment="1">
      <alignment horizontal="center" vertical="center" wrapText="1"/>
    </xf>
    <xf numFmtId="0" fontId="318" fillId="122" borderId="212" xfId="43438" applyFont="1" applyFill="1" applyBorder="1" applyAlignment="1">
      <alignment horizontal="center" vertical="center" wrapText="1"/>
    </xf>
    <xf numFmtId="4" fontId="318" fillId="122" borderId="186" xfId="43438" applyNumberFormat="1" applyFont="1" applyFill="1" applyBorder="1" applyAlignment="1">
      <alignment horizontal="center" vertical="center" wrapText="1"/>
    </xf>
    <xf numFmtId="0" fontId="318" fillId="122" borderId="213" xfId="43438" applyFont="1" applyFill="1" applyBorder="1" applyAlignment="1">
      <alignment horizontal="center" vertical="center" wrapText="1"/>
    </xf>
    <xf numFmtId="4" fontId="318" fillId="122" borderId="214" xfId="43438" applyNumberFormat="1" applyFont="1" applyFill="1" applyBorder="1" applyAlignment="1">
      <alignment horizontal="center" vertical="center" wrapText="1"/>
    </xf>
    <xf numFmtId="168" fontId="316" fillId="132" borderId="199" xfId="863" applyFont="1" applyFill="1" applyBorder="1" applyAlignment="1">
      <alignment vertical="center"/>
    </xf>
    <xf numFmtId="168" fontId="316" fillId="132" borderId="191" xfId="863" applyFont="1" applyFill="1" applyBorder="1" applyAlignment="1">
      <alignment vertical="center"/>
    </xf>
    <xf numFmtId="168" fontId="316" fillId="132" borderId="195" xfId="863" applyFont="1" applyFill="1" applyBorder="1" applyAlignment="1">
      <alignment vertical="center"/>
    </xf>
    <xf numFmtId="168" fontId="251" fillId="0" borderId="199" xfId="863" applyFont="1" applyFill="1" applyBorder="1" applyAlignment="1">
      <alignment horizontal="right" vertical="center"/>
    </xf>
    <xf numFmtId="168" fontId="316" fillId="0" borderId="199" xfId="863" applyFont="1" applyFill="1" applyBorder="1" applyAlignment="1">
      <alignment vertical="center"/>
    </xf>
    <xf numFmtId="4" fontId="316" fillId="132" borderId="199" xfId="43438" applyNumberFormat="1" applyFont="1" applyFill="1" applyBorder="1" applyAlignment="1">
      <alignment vertical="center"/>
    </xf>
    <xf numFmtId="4" fontId="316" fillId="0" borderId="199" xfId="43438" applyNumberFormat="1" applyFont="1" applyBorder="1" applyAlignment="1">
      <alignment vertical="center"/>
    </xf>
    <xf numFmtId="168" fontId="325" fillId="133" borderId="199" xfId="863" applyFont="1" applyFill="1" applyBorder="1" applyAlignment="1">
      <alignment vertical="center"/>
    </xf>
    <xf numFmtId="0" fontId="316" fillId="0" borderId="191" xfId="43438" applyFont="1" applyBorder="1" applyAlignment="1">
      <alignment vertical="center"/>
    </xf>
    <xf numFmtId="0" fontId="316" fillId="0" borderId="195" xfId="43438" applyFont="1" applyBorder="1" applyAlignment="1">
      <alignment vertical="center"/>
    </xf>
    <xf numFmtId="43" fontId="251" fillId="42" borderId="190" xfId="43439" applyFont="1" applyFill="1" applyBorder="1" applyAlignment="1">
      <alignment horizontal="right" vertical="center"/>
    </xf>
    <xf numFmtId="168" fontId="316" fillId="0" borderId="0" xfId="863" applyFont="1" applyAlignment="1">
      <alignment vertical="center"/>
    </xf>
    <xf numFmtId="282" fontId="316" fillId="0" borderId="215" xfId="43438" applyNumberFormat="1" applyFont="1" applyBorder="1" applyAlignment="1">
      <alignment horizontal="center" vertical="center"/>
    </xf>
    <xf numFmtId="43" fontId="251" fillId="132" borderId="196" xfId="43439" applyFont="1" applyFill="1" applyBorder="1" applyAlignment="1">
      <alignment vertical="center"/>
    </xf>
    <xf numFmtId="43" fontId="251" fillId="132" borderId="0" xfId="43439" applyFont="1" applyFill="1" applyAlignment="1">
      <alignment vertical="center"/>
    </xf>
    <xf numFmtId="0" fontId="316" fillId="132" borderId="196" xfId="43438" applyFont="1" applyFill="1" applyBorder="1" applyAlignment="1">
      <alignment vertical="center"/>
    </xf>
    <xf numFmtId="43" fontId="251" fillId="132" borderId="10" xfId="43439" applyFont="1" applyFill="1" applyBorder="1" applyAlignment="1">
      <alignment vertical="center"/>
    </xf>
    <xf numFmtId="0" fontId="316" fillId="132" borderId="10" xfId="43438" applyFont="1" applyFill="1" applyBorder="1" applyAlignment="1">
      <alignment vertical="center"/>
    </xf>
    <xf numFmtId="43" fontId="251" fillId="0" borderId="10" xfId="43439" applyFont="1" applyBorder="1" applyAlignment="1">
      <alignment vertical="center"/>
    </xf>
    <xf numFmtId="43" fontId="251" fillId="0" borderId="0" xfId="43439" applyFont="1" applyAlignment="1">
      <alignment vertical="center"/>
    </xf>
    <xf numFmtId="0" fontId="316" fillId="132" borderId="0" xfId="43438" applyFont="1" applyFill="1" applyAlignment="1">
      <alignment vertical="center"/>
    </xf>
    <xf numFmtId="4" fontId="263" fillId="132" borderId="10" xfId="43438" applyNumberFormat="1" applyFont="1" applyFill="1" applyBorder="1" applyAlignment="1">
      <alignment vertical="center"/>
    </xf>
    <xf numFmtId="282" fontId="325" fillId="0" borderId="191" xfId="43438" applyNumberFormat="1" applyFont="1" applyBorder="1" applyAlignment="1">
      <alignment horizontal="center" vertical="center"/>
    </xf>
    <xf numFmtId="168" fontId="325" fillId="0" borderId="190" xfId="863" applyFont="1" applyBorder="1" applyAlignment="1">
      <alignment vertical="center"/>
    </xf>
    <xf numFmtId="168" fontId="251" fillId="0" borderId="196" xfId="863" applyFont="1" applyBorder="1" applyAlignment="1">
      <alignment vertical="center"/>
    </xf>
    <xf numFmtId="170" fontId="251" fillId="0" borderId="0" xfId="43406" applyNumberFormat="1" applyFont="1" applyAlignment="1">
      <alignment vertical="center"/>
    </xf>
    <xf numFmtId="9" fontId="206" fillId="0" borderId="178" xfId="0" applyNumberFormat="1" applyFont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5" fillId="43" borderId="190" xfId="907" applyFont="1" applyFill="1" applyBorder="1" applyAlignment="1">
      <alignment vertical="center"/>
    </xf>
    <xf numFmtId="10" fontId="251" fillId="0" borderId="190" xfId="847" applyNumberFormat="1" applyFont="1" applyBorder="1" applyAlignment="1">
      <alignment vertical="center"/>
    </xf>
    <xf numFmtId="168" fontId="324" fillId="0" borderId="0" xfId="863" applyFont="1"/>
    <xf numFmtId="0" fontId="213" fillId="43" borderId="189" xfId="0" applyFont="1" applyFill="1" applyBorder="1" applyAlignment="1">
      <alignment horizontal="left" vertical="center" wrapText="1"/>
    </xf>
    <xf numFmtId="0" fontId="309" fillId="134" borderId="0" xfId="43435" applyFont="1" applyFill="1" applyAlignment="1">
      <alignment horizontal="right" vertical="center"/>
    </xf>
    <xf numFmtId="0" fontId="310" fillId="134" borderId="0" xfId="43435" applyFont="1" applyFill="1" applyAlignment="1">
      <alignment vertical="center"/>
    </xf>
    <xf numFmtId="0" fontId="310" fillId="134" borderId="0" xfId="43435" applyFont="1" applyFill="1" applyAlignment="1">
      <alignment vertical="center" wrapText="1"/>
    </xf>
    <xf numFmtId="0" fontId="311" fillId="134" borderId="0" xfId="43435" applyFont="1" applyFill="1" applyAlignment="1">
      <alignment vertical="center"/>
    </xf>
    <xf numFmtId="0" fontId="44" fillId="134" borderId="0" xfId="43435" applyFont="1" applyFill="1" applyAlignment="1">
      <alignment vertical="center"/>
    </xf>
    <xf numFmtId="0" fontId="312" fillId="134" borderId="0" xfId="43435" applyFont="1" applyFill="1" applyAlignment="1">
      <alignment vertical="center"/>
    </xf>
    <xf numFmtId="0" fontId="251" fillId="134" borderId="0" xfId="43435" applyFont="1" applyFill="1" applyAlignment="1">
      <alignment vertical="center" wrapText="1"/>
    </xf>
    <xf numFmtId="0" fontId="251" fillId="134" borderId="0" xfId="43435" applyFont="1" applyFill="1" applyAlignment="1">
      <alignment vertical="center"/>
    </xf>
    <xf numFmtId="0" fontId="261" fillId="135" borderId="189" xfId="43436" applyFont="1" applyFill="1" applyBorder="1" applyAlignment="1">
      <alignment horizontal="center" vertical="center" wrapText="1"/>
    </xf>
    <xf numFmtId="0" fontId="251" fillId="136" borderId="200" xfId="43435" quotePrefix="1" applyFont="1" applyFill="1" applyBorder="1" applyAlignment="1">
      <alignment horizontal="left" vertical="center"/>
    </xf>
    <xf numFmtId="170" fontId="251" fillId="137" borderId="201" xfId="863" applyNumberFormat="1" applyFont="1" applyFill="1" applyBorder="1" applyAlignment="1">
      <alignment vertical="center" wrapText="1"/>
    </xf>
    <xf numFmtId="170" fontId="258" fillId="138" borderId="0" xfId="863" applyNumberFormat="1" applyFont="1" applyFill="1" applyBorder="1" applyAlignment="1">
      <alignment vertical="center" wrapText="1"/>
    </xf>
    <xf numFmtId="170" fontId="251" fillId="137" borderId="194" xfId="863" applyNumberFormat="1" applyFont="1" applyFill="1" applyBorder="1" applyAlignment="1">
      <alignment vertical="center" wrapText="1"/>
    </xf>
    <xf numFmtId="170" fontId="251" fillId="137" borderId="194" xfId="863" applyNumberFormat="1" applyFont="1" applyFill="1" applyBorder="1" applyAlignment="1">
      <alignment vertical="center"/>
    </xf>
    <xf numFmtId="0" fontId="251" fillId="134" borderId="0" xfId="43435" applyFont="1" applyFill="1" applyAlignment="1">
      <alignment horizontal="right" vertical="center"/>
    </xf>
    <xf numFmtId="170" fontId="251" fillId="137" borderId="0" xfId="863" applyNumberFormat="1" applyFont="1" applyFill="1" applyBorder="1" applyAlignment="1">
      <alignment vertical="center"/>
    </xf>
    <xf numFmtId="0" fontId="251" fillId="136" borderId="126" xfId="43435" quotePrefix="1" applyFont="1" applyFill="1" applyBorder="1" applyAlignment="1">
      <alignment horizontal="left" vertical="center"/>
    </xf>
    <xf numFmtId="170" fontId="251" fillId="137" borderId="165" xfId="863" applyNumberFormat="1" applyFont="1" applyFill="1" applyBorder="1" applyAlignment="1">
      <alignment vertical="center" wrapText="1"/>
    </xf>
    <xf numFmtId="170" fontId="313" fillId="138" borderId="0" xfId="863" applyNumberFormat="1" applyFont="1" applyFill="1" applyBorder="1" applyAlignment="1">
      <alignment vertical="center" wrapText="1"/>
    </xf>
    <xf numFmtId="170" fontId="251" fillId="137" borderId="0" xfId="863" applyNumberFormat="1" applyFont="1" applyFill="1" applyBorder="1" applyAlignment="1">
      <alignment vertical="center" wrapText="1"/>
    </xf>
    <xf numFmtId="0" fontId="251" fillId="137" borderId="0" xfId="863" applyNumberFormat="1" applyFont="1" applyFill="1" applyBorder="1" applyAlignment="1">
      <alignment vertical="center"/>
    </xf>
    <xf numFmtId="170" fontId="251" fillId="136" borderId="0" xfId="863" applyNumberFormat="1" applyFont="1" applyFill="1" applyBorder="1" applyAlignment="1">
      <alignment vertical="center" wrapText="1"/>
    </xf>
    <xf numFmtId="170" fontId="251" fillId="136" borderId="0" xfId="863" applyNumberFormat="1" applyFont="1" applyFill="1" applyBorder="1" applyAlignment="1">
      <alignment vertical="center"/>
    </xf>
    <xf numFmtId="0" fontId="251" fillId="136" borderId="0" xfId="863" applyNumberFormat="1" applyFont="1" applyFill="1" applyBorder="1" applyAlignment="1">
      <alignment vertical="center"/>
    </xf>
    <xf numFmtId="0" fontId="251" fillId="136" borderId="184" xfId="43435" quotePrefix="1" applyFont="1" applyFill="1" applyBorder="1" applyAlignment="1">
      <alignment horizontal="left" vertical="center"/>
    </xf>
    <xf numFmtId="170" fontId="251" fillId="137" borderId="185" xfId="863" applyNumberFormat="1" applyFont="1" applyFill="1" applyBorder="1" applyAlignment="1">
      <alignment vertical="center" wrapText="1"/>
    </xf>
    <xf numFmtId="170" fontId="251" fillId="136" borderId="178" xfId="863" applyNumberFormat="1" applyFont="1" applyFill="1" applyBorder="1" applyAlignment="1">
      <alignment vertical="center" wrapText="1"/>
    </xf>
    <xf numFmtId="170" fontId="251" fillId="136" borderId="178" xfId="863" applyNumberFormat="1" applyFont="1" applyFill="1" applyBorder="1" applyAlignment="1">
      <alignment vertical="center"/>
    </xf>
    <xf numFmtId="0" fontId="251" fillId="136" borderId="178" xfId="863" applyNumberFormat="1" applyFont="1" applyFill="1" applyBorder="1" applyAlignment="1">
      <alignment vertical="center"/>
    </xf>
    <xf numFmtId="0" fontId="252" fillId="139" borderId="178" xfId="43435" quotePrefix="1" applyFont="1" applyFill="1" applyBorder="1" applyAlignment="1">
      <alignment horizontal="left" vertical="center"/>
    </xf>
    <xf numFmtId="170" fontId="252" fillId="139" borderId="178" xfId="863" applyNumberFormat="1" applyFont="1" applyFill="1" applyBorder="1" applyAlignment="1">
      <alignment vertical="center" wrapText="1"/>
    </xf>
    <xf numFmtId="170" fontId="252" fillId="139" borderId="189" xfId="863" applyNumberFormat="1" applyFont="1" applyFill="1" applyBorder="1" applyAlignment="1">
      <alignment vertical="center" wrapText="1"/>
    </xf>
    <xf numFmtId="170" fontId="252" fillId="139" borderId="178" xfId="863" applyNumberFormat="1" applyFont="1" applyFill="1" applyBorder="1" applyAlignment="1">
      <alignment vertical="center"/>
    </xf>
    <xf numFmtId="170" fontId="252" fillId="137" borderId="0" xfId="863" applyNumberFormat="1" applyFont="1" applyFill="1" applyBorder="1" applyAlignment="1">
      <alignment vertical="center"/>
    </xf>
    <xf numFmtId="168" fontId="251" fillId="134" borderId="0" xfId="43184" applyFont="1" applyFill="1" applyAlignment="1">
      <alignment vertical="center" wrapText="1"/>
    </xf>
    <xf numFmtId="0" fontId="251" fillId="136" borderId="0" xfId="2695" applyFont="1" applyFill="1" applyAlignment="1">
      <alignment vertical="center"/>
    </xf>
    <xf numFmtId="39" fontId="251" fillId="134" borderId="0" xfId="43435" applyNumberFormat="1" applyFont="1" applyFill="1" applyAlignment="1">
      <alignment vertical="center"/>
    </xf>
    <xf numFmtId="0" fontId="261" fillId="140" borderId="189" xfId="43436" applyFont="1" applyFill="1" applyBorder="1" applyAlignment="1">
      <alignment horizontal="center" vertical="center" wrapText="1"/>
    </xf>
    <xf numFmtId="0" fontId="251" fillId="136" borderId="0" xfId="2695" applyFont="1" applyFill="1" applyAlignment="1">
      <alignment vertical="center" wrapText="1"/>
    </xf>
    <xf numFmtId="0" fontId="251" fillId="136" borderId="194" xfId="43435" quotePrefix="1" applyFont="1" applyFill="1" applyBorder="1" applyAlignment="1">
      <alignment horizontal="left" vertical="center"/>
    </xf>
    <xf numFmtId="0" fontId="251" fillId="134" borderId="194" xfId="43435" applyFont="1" applyFill="1" applyBorder="1" applyAlignment="1">
      <alignment vertical="center" wrapText="1"/>
    </xf>
    <xf numFmtId="0" fontId="251" fillId="141" borderId="0" xfId="2695" applyFont="1" applyFill="1" applyAlignment="1">
      <alignment vertical="center" wrapText="1"/>
    </xf>
    <xf numFmtId="0" fontId="251" fillId="136" borderId="0" xfId="43435" quotePrefix="1" applyFont="1" applyFill="1" applyAlignment="1">
      <alignment horizontal="left" vertical="center"/>
    </xf>
    <xf numFmtId="43" fontId="251" fillId="137" borderId="0" xfId="43406" applyFont="1" applyFill="1" applyBorder="1" applyAlignment="1">
      <alignment vertical="center" wrapText="1"/>
    </xf>
    <xf numFmtId="43" fontId="251" fillId="141" borderId="0" xfId="43406" applyFont="1" applyFill="1" applyBorder="1" applyAlignment="1">
      <alignment vertical="center" wrapText="1"/>
    </xf>
    <xf numFmtId="168" fontId="251" fillId="142" borderId="0" xfId="863" applyFont="1" applyFill="1" applyBorder="1" applyAlignment="1">
      <alignment vertical="center" wrapText="1"/>
    </xf>
    <xf numFmtId="0" fontId="251" fillId="134" borderId="0" xfId="2695" applyFont="1" applyFill="1" applyAlignment="1">
      <alignment vertical="center" wrapText="1"/>
    </xf>
    <xf numFmtId="0" fontId="251" fillId="142" borderId="178" xfId="2695" applyFont="1" applyFill="1" applyBorder="1" applyAlignment="1">
      <alignment vertical="center" wrapText="1"/>
    </xf>
    <xf numFmtId="0" fontId="251" fillId="141" borderId="178" xfId="2695" applyFont="1" applyFill="1" applyBorder="1" applyAlignment="1">
      <alignment vertical="center" wrapText="1"/>
    </xf>
    <xf numFmtId="0" fontId="206" fillId="0" borderId="0" xfId="0" pivotButton="1" applyFont="1"/>
    <xf numFmtId="205" fontId="206" fillId="0" borderId="0" xfId="0" applyNumberFormat="1" applyFont="1" applyAlignment="1">
      <alignment horizontal="left"/>
    </xf>
    <xf numFmtId="43" fontId="268" fillId="0" borderId="190" xfId="43440" applyNumberFormat="1" applyFont="1" applyBorder="1"/>
    <xf numFmtId="0" fontId="206" fillId="61" borderId="0" xfId="0" applyFont="1" applyFill="1" applyAlignment="1">
      <alignment horizontal="left" indent="1"/>
    </xf>
    <xf numFmtId="10" fontId="206" fillId="61" borderId="20" xfId="847" applyNumberFormat="1" applyFont="1" applyFill="1" applyBorder="1" applyAlignment="1">
      <alignment horizontal="right"/>
    </xf>
    <xf numFmtId="262" fontId="206" fillId="61" borderId="0" xfId="847" applyNumberFormat="1" applyFont="1" applyFill="1" applyBorder="1" applyAlignment="1">
      <alignment horizontal="right"/>
    </xf>
    <xf numFmtId="0" fontId="327" fillId="0" borderId="0" xfId="0" applyFont="1"/>
    <xf numFmtId="43" fontId="206" fillId="0" borderId="0" xfId="863" applyNumberFormat="1" applyFont="1" applyBorder="1"/>
    <xf numFmtId="4" fontId="328" fillId="0" borderId="0" xfId="0" applyNumberFormat="1" applyFont="1"/>
    <xf numFmtId="9" fontId="251" fillId="0" borderId="0" xfId="1821" applyFont="1" applyFill="1" applyBorder="1" applyAlignment="1">
      <alignment horizontal="left" vertical="center" wrapText="1"/>
    </xf>
    <xf numFmtId="43" fontId="251" fillId="0" borderId="0" xfId="43197" applyFont="1" applyFill="1" applyBorder="1" applyAlignment="1">
      <alignment horizontal="center" vertical="center" wrapText="1"/>
    </xf>
    <xf numFmtId="262" fontId="251" fillId="0" borderId="0" xfId="1821" applyNumberFormat="1" applyFont="1" applyFill="1" applyBorder="1" applyAlignment="1">
      <alignment horizontal="center" vertical="center" wrapText="1"/>
    </xf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3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0" fontId="37" fillId="0" borderId="178" xfId="0" applyFont="1" applyBorder="1" applyAlignment="1">
      <alignment horizontal="left"/>
    </xf>
    <xf numFmtId="0" fontId="31" fillId="59" borderId="178" xfId="907" applyFill="1" applyBorder="1" applyAlignment="1">
      <alignment horizontal="left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0" fontId="31" fillId="59" borderId="166" xfId="907" applyFill="1" applyBorder="1" applyAlignment="1">
      <alignment horizontal="left"/>
    </xf>
    <xf numFmtId="0" fontId="31" fillId="59" borderId="0" xfId="907" applyFill="1" applyAlignment="1">
      <alignment horizontal="left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0" borderId="166" xfId="907" applyFont="1" applyBorder="1" applyAlignment="1">
      <alignment horizontal="left"/>
    </xf>
    <xf numFmtId="0" fontId="37" fillId="0" borderId="166" xfId="907" applyFont="1" applyBorder="1" applyAlignment="1">
      <alignment horizontal="left"/>
    </xf>
    <xf numFmtId="9" fontId="39" fillId="38" borderId="0" xfId="1821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8" fillId="55" borderId="144" xfId="1821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1" applyFont="1" applyFill="1" applyBorder="1" applyAlignment="1">
      <alignment horizontal="center" vertical="center" wrapText="1"/>
    </xf>
    <xf numFmtId="0" fontId="111" fillId="41" borderId="0" xfId="2695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1" applyFont="1" applyFill="1" applyBorder="1" applyAlignment="1">
      <alignment horizontal="left" vertical="center" wrapText="1"/>
    </xf>
    <xf numFmtId="9" fontId="44" fillId="0" borderId="0" xfId="1821" applyFont="1" applyFill="1" applyBorder="1" applyAlignment="1">
      <alignment horizontal="left" vertical="center" wrapText="1"/>
    </xf>
    <xf numFmtId="0" fontId="297" fillId="0" borderId="0" xfId="0" applyFont="1" applyAlignment="1">
      <alignment horizontal="center"/>
    </xf>
    <xf numFmtId="0" fontId="297" fillId="0" borderId="194" xfId="0" applyFont="1" applyBorder="1" applyAlignment="1">
      <alignment horizontal="center"/>
    </xf>
    <xf numFmtId="0" fontId="37" fillId="0" borderId="190" xfId="907" applyFont="1" applyBorder="1" applyAlignment="1">
      <alignment horizontal="center"/>
    </xf>
    <xf numFmtId="0" fontId="37" fillId="0" borderId="192" xfId="907" applyFont="1" applyBorder="1" applyAlignment="1">
      <alignment horizontal="center"/>
    </xf>
    <xf numFmtId="0" fontId="37" fillId="0" borderId="194" xfId="907" applyFont="1" applyBorder="1" applyAlignment="1">
      <alignment horizontal="center"/>
    </xf>
    <xf numFmtId="0" fontId="206" fillId="33" borderId="191" xfId="831" applyFont="1" applyFill="1" applyBorder="1" applyAlignment="1">
      <alignment horizontal="center" vertical="center"/>
    </xf>
    <xf numFmtId="0" fontId="206" fillId="33" borderId="195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8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5" applyFont="1" applyFill="1" applyBorder="1" applyAlignment="1">
      <alignment horizontal="center" vertical="center"/>
    </xf>
    <xf numFmtId="0" fontId="118" fillId="55" borderId="0" xfId="2695" applyFont="1" applyFill="1" applyAlignment="1">
      <alignment horizontal="center" vertical="center"/>
    </xf>
    <xf numFmtId="0" fontId="118" fillId="55" borderId="136" xfId="2695" applyFont="1" applyFill="1" applyBorder="1" applyAlignment="1">
      <alignment horizontal="center" vertical="center"/>
    </xf>
    <xf numFmtId="0" fontId="118" fillId="55" borderId="125" xfId="2695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5" applyFont="1" applyFill="1" applyBorder="1" applyAlignment="1">
      <alignment horizontal="center" vertical="center" wrapText="1"/>
    </xf>
    <xf numFmtId="0" fontId="118" fillId="55" borderId="133" xfId="2695" applyFont="1" applyFill="1" applyBorder="1" applyAlignment="1">
      <alignment horizontal="center" vertical="center" wrapText="1"/>
    </xf>
    <xf numFmtId="0" fontId="118" fillId="55" borderId="134" xfId="2695" applyFont="1" applyFill="1" applyBorder="1" applyAlignment="1">
      <alignment horizontal="center" vertical="center" wrapText="1"/>
    </xf>
    <xf numFmtId="0" fontId="213" fillId="43" borderId="189" xfId="0" applyFont="1" applyFill="1" applyBorder="1" applyAlignment="1">
      <alignment horizontal="center" vertical="center" wrapText="1"/>
    </xf>
    <xf numFmtId="0" fontId="209" fillId="97" borderId="189" xfId="0" applyFont="1" applyFill="1" applyBorder="1" applyAlignment="1">
      <alignment horizontal="center" vertical="center" wrapText="1"/>
    </xf>
    <xf numFmtId="0" fontId="273" fillId="101" borderId="190" xfId="2695" applyFont="1" applyFill="1" applyBorder="1" applyAlignment="1">
      <alignment horizontal="center"/>
    </xf>
    <xf numFmtId="0" fontId="118" fillId="55" borderId="126" xfId="2695" applyFont="1" applyFill="1" applyBorder="1" applyAlignment="1">
      <alignment horizontal="left" vertical="center" wrapText="1"/>
    </xf>
    <xf numFmtId="0" fontId="118" fillId="55" borderId="165" xfId="2695" applyFont="1" applyFill="1" applyBorder="1" applyAlignment="1">
      <alignment horizontal="left" vertical="center" wrapText="1"/>
    </xf>
    <xf numFmtId="0" fontId="118" fillId="55" borderId="131" xfId="2695" applyFont="1" applyFill="1" applyBorder="1" applyAlignment="1">
      <alignment horizontal="left" vertical="center" wrapText="1"/>
    </xf>
    <xf numFmtId="0" fontId="209" fillId="41" borderId="192" xfId="832" applyFont="1" applyFill="1" applyBorder="1" applyAlignment="1">
      <alignment horizontal="center" vertical="center" wrapText="1"/>
    </xf>
    <xf numFmtId="0" fontId="209" fillId="41" borderId="193" xfId="0" applyFont="1" applyFill="1" applyBorder="1" applyAlignment="1">
      <alignment horizontal="center" vertical="center" wrapText="1"/>
    </xf>
    <xf numFmtId="0" fontId="209" fillId="0" borderId="192" xfId="0" applyFont="1" applyBorder="1" applyAlignment="1">
      <alignment horizontal="center" vertical="center"/>
    </xf>
    <xf numFmtId="0" fontId="209" fillId="0" borderId="193" xfId="0" applyFont="1" applyBorder="1" applyAlignment="1">
      <alignment horizontal="center" vertical="center"/>
    </xf>
    <xf numFmtId="0" fontId="209" fillId="0" borderId="191" xfId="0" applyFont="1" applyBorder="1" applyAlignment="1">
      <alignment horizontal="center" vertical="center"/>
    </xf>
    <xf numFmtId="0" fontId="209" fillId="0" borderId="195" xfId="0" applyFont="1" applyBorder="1" applyAlignment="1">
      <alignment horizontal="center" vertical="center"/>
    </xf>
    <xf numFmtId="0" fontId="209" fillId="41" borderId="192" xfId="0" applyFont="1" applyFill="1" applyBorder="1" applyAlignment="1">
      <alignment horizontal="center" vertical="center"/>
    </xf>
    <xf numFmtId="0" fontId="209" fillId="41" borderId="193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9" xfId="833" applyFont="1" applyBorder="1" applyAlignment="1">
      <alignment horizontal="left" vertical="center" wrapText="1"/>
    </xf>
    <xf numFmtId="0" fontId="206" fillId="0" borderId="189" xfId="0" applyFont="1" applyBorder="1" applyAlignment="1">
      <alignment horizontal="left" vertical="center" wrapText="1"/>
    </xf>
    <xf numFmtId="0" fontId="209" fillId="0" borderId="191" xfId="0" applyFont="1" applyBorder="1" applyAlignment="1">
      <alignment horizontal="left" vertical="center"/>
    </xf>
    <xf numFmtId="0" fontId="209" fillId="0" borderId="195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9" xfId="836" applyFont="1" applyFill="1" applyBorder="1" applyAlignment="1">
      <alignment horizontal="left" vertical="center" wrapText="1"/>
    </xf>
    <xf numFmtId="0" fontId="216" fillId="0" borderId="194" xfId="836" applyFont="1" applyFill="1" applyBorder="1" applyAlignment="1">
      <alignment horizontal="left" vertical="center" wrapText="1"/>
    </xf>
    <xf numFmtId="0" fontId="206" fillId="0" borderId="194" xfId="0" applyFont="1" applyBorder="1" applyAlignment="1">
      <alignment horizontal="left" vertical="center" wrapText="1"/>
    </xf>
    <xf numFmtId="0" fontId="209" fillId="0" borderId="192" xfId="0" applyFont="1" applyBorder="1" applyAlignment="1">
      <alignment horizontal="center" vertical="center" wrapText="1"/>
    </xf>
    <xf numFmtId="0" fontId="209" fillId="0" borderId="193" xfId="0" applyFont="1" applyBorder="1" applyAlignment="1">
      <alignment horizontal="center" vertical="center" wrapText="1"/>
    </xf>
    <xf numFmtId="0" fontId="209" fillId="105" borderId="191" xfId="0" applyFont="1" applyFill="1" applyBorder="1" applyAlignment="1">
      <alignment horizontal="center" vertical="center"/>
    </xf>
    <xf numFmtId="0" fontId="209" fillId="105" borderId="195" xfId="0" applyFont="1" applyFill="1" applyBorder="1" applyAlignment="1">
      <alignment horizontal="center" vertical="center"/>
    </xf>
    <xf numFmtId="10" fontId="251" fillId="0" borderId="191" xfId="7306" applyNumberFormat="1" applyFont="1" applyBorder="1" applyAlignment="1">
      <alignment horizontal="center"/>
    </xf>
    <xf numFmtId="0" fontId="251" fillId="0" borderId="189" xfId="7306" applyFont="1" applyBorder="1" applyAlignment="1">
      <alignment horizontal="center"/>
    </xf>
    <xf numFmtId="0" fontId="251" fillId="0" borderId="195" xfId="7306" applyFont="1" applyBorder="1" applyAlignment="1">
      <alignment horizontal="center"/>
    </xf>
    <xf numFmtId="214" fontId="251" fillId="0" borderId="191" xfId="43163" applyNumberFormat="1" applyFont="1" applyBorder="1" applyAlignment="1">
      <alignment horizontal="center"/>
    </xf>
    <xf numFmtId="214" fontId="251" fillId="0" borderId="189" xfId="43163" applyNumberFormat="1" applyFont="1" applyBorder="1" applyAlignment="1">
      <alignment horizontal="center"/>
    </xf>
    <xf numFmtId="214" fontId="251" fillId="0" borderId="195" xfId="43163" applyNumberFormat="1" applyFont="1" applyBorder="1" applyAlignment="1">
      <alignment horizontal="center"/>
    </xf>
    <xf numFmtId="214" fontId="251" fillId="0" borderId="191" xfId="7306" applyNumberFormat="1" applyFont="1" applyBorder="1" applyAlignment="1">
      <alignment horizontal="center"/>
    </xf>
    <xf numFmtId="214" fontId="251" fillId="0" borderId="189" xfId="7306" applyNumberFormat="1" applyFont="1" applyBorder="1" applyAlignment="1">
      <alignment horizontal="center"/>
    </xf>
    <xf numFmtId="214" fontId="251" fillId="0" borderId="195" xfId="7306" applyNumberFormat="1" applyFont="1" applyBorder="1" applyAlignment="1">
      <alignment horizontal="center"/>
    </xf>
  </cellXfs>
  <cellStyles count="44005">
    <cellStyle name="###0" xfId="1474" xr:uid="{00000000-0005-0000-0000-000000000000}"/>
    <cellStyle name="#,##0" xfId="1475" xr:uid="{00000000-0005-0000-0000-000001000000}"/>
    <cellStyle name="#,##0.0" xfId="1476" xr:uid="{00000000-0005-0000-0000-000002000000}"/>
    <cellStyle name="#.##0" xfId="1477" xr:uid="{00000000-0005-0000-0000-000003000000}"/>
    <cellStyle name="#.##0,0" xfId="1478" xr:uid="{00000000-0005-0000-0000-000004000000}"/>
    <cellStyle name="_~3339090" xfId="2696" xr:uid="{00000000-0005-0000-0000-000005000000}"/>
    <cellStyle name="_0 -Preenchido_CPFL-PIRATININGA_2_CICLO_DADOS_INICIAIS_Of" xfId="2697" xr:uid="{00000000-0005-0000-0000-000006000000}"/>
    <cellStyle name="_0 -Preenchido_CPFL-PIRATININGA_2_CICLO_DADOS_INICIAIS_Of.037_270207" xfId="2698" xr:uid="{00000000-0005-0000-0000-000007000000}"/>
    <cellStyle name="_0 -Preenchido_CPFL-PIRATININGA_2_CICLO_DADOS_INICIAIS_Of.037_270207 (V 170407)" xfId="2699" xr:uid="{00000000-0005-0000-0000-000008000000}"/>
    <cellStyle name="_0 -Preenchido_CPFL-PIRATININGA_2_CICLO_DADOS_INICIAIS_Of.037_270207(V 09-04-07)" xfId="2700" xr:uid="{00000000-0005-0000-0000-000009000000}"/>
    <cellStyle name="_0 -Preenchido_CPFL-PIRATININGA_2_CICLO_DADOS_INICIAIS_Of.037_270207(V 09-04-07)_2009.04.09 EEB IRT2009 Conexao CEMIG C Financeiro" xfId="2701" xr:uid="{00000000-0005-0000-0000-00000A000000}"/>
    <cellStyle name="_0 -Preenchido_CPFL-PIRATININGA_2_CICLO_DADOS_INICIAIS_Of.037_270207(V 09-04-07)_Base Mercado_EMG" xfId="2702" xr:uid="{00000000-0005-0000-0000-00000B000000}"/>
    <cellStyle name="_0 -Preenchido_CPFL-PIRATININGA_2_CICLO_DADOS_INICIAIS_Of.037_270207(V 09-04-07)_IF - Autoprodutores 2" xfId="2703" xr:uid="{00000000-0005-0000-0000-00000C000000}"/>
    <cellStyle name="_0 -Preenchido_CPFL-PIRATININGA_2_CICLO_DADOS_INICIAIS_Of.037_270207(V 09-04-07)_IF_Consumidores livres e geradoras_2010" xfId="2704" xr:uid="{00000000-0005-0000-0000-00000D000000}"/>
    <cellStyle name="_0 -Preenchido_CPFL-PIRATININGA_2_CICLO_DADOS_INICIAIS_Of.037_270207(V 09-04-07)_Pleito_IRT_ESE_2010_Envio_ANEEL_Final_atualizado_05_04" xfId="2705" xr:uid="{00000000-0005-0000-0000-00000E000000}"/>
    <cellStyle name="_0 -Preenchido_CPFL-PIRATININGA_2_CICLO_DADOS_INICIAIS_Of.037_270207(V 09-04-07)_Sheet1" xfId="2706" xr:uid="{00000000-0005-0000-0000-00000F000000}"/>
    <cellStyle name="_0 -Preenchido_CPFL-PIRATININGA_2_CICLO_DADOS_INICIAIS_Of.037_270207(VF)" xfId="2707" xr:uid="{00000000-0005-0000-0000-000010000000}"/>
    <cellStyle name="_0 -Preenchido_CPFL-PIRATININGA_2_CICLO_DADOS_INICIAIS_Of.037_270207(VF)_2009.04.09 EEB IRT2009 Conexao CEMIG C Financeiro" xfId="2708" xr:uid="{00000000-0005-0000-0000-000011000000}"/>
    <cellStyle name="_0 -Preenchido_CPFL-PIRATININGA_2_CICLO_DADOS_INICIAIS_Of.037_270207(VF)_Base Mercado_EMG" xfId="2709" xr:uid="{00000000-0005-0000-0000-000012000000}"/>
    <cellStyle name="_0 -Preenchido_CPFL-PIRATININGA_2_CICLO_DADOS_INICIAIS_Of.037_270207(VF)_IF - Autoprodutores 2" xfId="2710" xr:uid="{00000000-0005-0000-0000-000013000000}"/>
    <cellStyle name="_0 -Preenchido_CPFL-PIRATININGA_2_CICLO_DADOS_INICIAIS_Of.037_270207(VF)_IF_Consumidores livres e geradoras_2010" xfId="2711" xr:uid="{00000000-0005-0000-0000-000014000000}"/>
    <cellStyle name="_0 -Preenchido_CPFL-PIRATININGA_2_CICLO_DADOS_INICIAIS_Of.037_270207(VF)_Pleito_IRT_ESE_2010_Envio_ANEEL_Final_atualizado_05_04" xfId="2712" xr:uid="{00000000-0005-0000-0000-000015000000}"/>
    <cellStyle name="_0 -Preenchido_CPFL-PIRATININGA_2_CICLO_DADOS_INICIAIS_Of.037_270207(VF)_Sheet1" xfId="2713" xr:uid="{00000000-0005-0000-0000-000016000000}"/>
    <cellStyle name="_0 -Preenchido_CPFL-PIRATININGA_2_CICLO_DADOS_INICIAIS_Of.037_270207_2009.04.09 EEB IRT2009 Conexao CEMIG C Financeiro" xfId="2714" xr:uid="{00000000-0005-0000-0000-000017000000}"/>
    <cellStyle name="_0 -Preenchido_CPFL-PIRATININGA_2_CICLO_DADOS_INICIAIS_Of.037_270207_Base Mercado_EMG" xfId="2715" xr:uid="{00000000-0005-0000-0000-000018000000}"/>
    <cellStyle name="_0 -Preenchido_CPFL-PIRATININGA_2_CICLO_DADOS_INICIAIS_Of.037_270207_IF - Autoprodutores 2" xfId="2716" xr:uid="{00000000-0005-0000-0000-000019000000}"/>
    <cellStyle name="_0 -Preenchido_CPFL-PIRATININGA_2_CICLO_DADOS_INICIAIS_Of.037_270207_IF_Consumidores livres e geradoras_2010" xfId="2717" xr:uid="{00000000-0005-0000-0000-00001A000000}"/>
    <cellStyle name="_0 -Preenchido_CPFL-PIRATININGA_2_CICLO_DADOS_INICIAIS_Of.037_270207_Pleito_IRT_ESE_2010_Envio_ANEEL_Final_atualizado_05_04" xfId="2718" xr:uid="{00000000-0005-0000-0000-00001B000000}"/>
    <cellStyle name="_0 -Preenchido_CPFL-PIRATININGA_2_CICLO_DADOS_INICIAIS_Of.037_270207_Sheet1" xfId="2719" xr:uid="{00000000-0005-0000-0000-00001C000000}"/>
    <cellStyle name="_0 -Preenchido_CPFL-PIRATININGA_2_CICLO_DADOS_INICIAIS_Of.037_270207-EV 17abril" xfId="2720" xr:uid="{00000000-0005-0000-0000-00001D000000}"/>
    <cellStyle name="_0 -Preenchido_CPFL-PIRATININGA_2_CICLO_DADOS_INICIAIS_Of.037_270207-EV 17abril_2009.04.09 EEB IRT2009 Conexao CEMIG C Financeiro" xfId="2721" xr:uid="{00000000-0005-0000-0000-00001E000000}"/>
    <cellStyle name="_0 -Preenchido_CPFL-PIRATININGA_2_CICLO_DADOS_INICIAIS_Of.037_270207-EV 17abril_Base Mercado_EMG" xfId="2722" xr:uid="{00000000-0005-0000-0000-00001F000000}"/>
    <cellStyle name="_0 -Preenchido_CPFL-PIRATININGA_2_CICLO_DADOS_INICIAIS_Of.037_270207-EV 17abril_IF - Autoprodutores 2" xfId="2723" xr:uid="{00000000-0005-0000-0000-000020000000}"/>
    <cellStyle name="_0 -Preenchido_CPFL-PIRATININGA_2_CICLO_DADOS_INICIAIS_Of.037_270207-EV 17abril_IF_Consumidores livres e geradoras_2010" xfId="2724" xr:uid="{00000000-0005-0000-0000-000021000000}"/>
    <cellStyle name="_0 -Preenchido_CPFL-PIRATININGA_2_CICLO_DADOS_INICIAIS_Of.037_270207-EV 17abril_Pleito_IRT_ESE_2010_Envio_ANEEL_Final_atualizado_05_04" xfId="2725" xr:uid="{00000000-0005-0000-0000-000022000000}"/>
    <cellStyle name="_0 -Preenchido_CPFL-PIRATININGA_2_CICLO_DADOS_INICIAIS_Of.037_270207-EV 17abril_Sheet1" xfId="2726" xr:uid="{00000000-0005-0000-0000-000023000000}"/>
    <cellStyle name="_0 -Preenchido_CPFL-PIRATININGA_2_CICLO_DADOS_INICIAIS_Of_2009.04.09 EEB IRT2009 Conexao CEMIG C Financeiro" xfId="2727" xr:uid="{00000000-0005-0000-0000-000024000000}"/>
    <cellStyle name="_0 -Preenchido_CPFL-PIRATININGA_2_CICLO_DADOS_INICIAIS_Of_Base Mercado_EMG" xfId="2728" xr:uid="{00000000-0005-0000-0000-000025000000}"/>
    <cellStyle name="_0 -Preenchido_CPFL-PIRATININGA_2_CICLO_DADOS_INICIAIS_Of_IF - Autoprodutores 2" xfId="2729" xr:uid="{00000000-0005-0000-0000-000026000000}"/>
    <cellStyle name="_0 -Preenchido_CPFL-PIRATININGA_2_CICLO_DADOS_INICIAIS_Of_IF_Consumidores livres e geradoras_2010" xfId="2730" xr:uid="{00000000-0005-0000-0000-000027000000}"/>
    <cellStyle name="_0 -Preenchido_CPFL-PIRATININGA_2_CICLO_DADOS_INICIAIS_Of_Pleito_IRT_ESE_2010_Envio_ANEEL_Final_atualizado_05_04" xfId="2731" xr:uid="{00000000-0005-0000-0000-000028000000}"/>
    <cellStyle name="_0 -Preenchido_CPFL-PIRATININGA_2_CICLO_DADOS_INICIAIS_Of_Sheet1" xfId="2732" xr:uid="{00000000-0005-0000-0000-000029000000}"/>
    <cellStyle name="_02 IRT Bandeirante 2009" xfId="2733" xr:uid="{00000000-0005-0000-0000-00002A000000}"/>
    <cellStyle name="_02 IRT COSERN 2009" xfId="1479" xr:uid="{00000000-0005-0000-0000-00002B000000}"/>
    <cellStyle name="_10 ICMS FCC-Valdeci - OK" xfId="2734" xr:uid="{00000000-0005-0000-0000-00002C000000}"/>
    <cellStyle name="_11 PIS COFINS - FCC-Roger-OK" xfId="2735" xr:uid="{00000000-0005-0000-0000-00002D000000}"/>
    <cellStyle name="_15. Custos Operacionais versão FINAL (FC 160507)" xfId="2736" xr:uid="{00000000-0005-0000-0000-00002E000000}"/>
    <cellStyle name="_15. Custos Operacionais versão FINAL (FC 160507)_2009.04.09 EEB IRT2009 Conexao CEMIG C Financeiro" xfId="2737" xr:uid="{00000000-0005-0000-0000-00002F000000}"/>
    <cellStyle name="_15. Custos Operacionais versão FINAL (FC 160507)_IF - Autoprodutores 2" xfId="2738" xr:uid="{00000000-0005-0000-0000-000030000000}"/>
    <cellStyle name="_15. Custos Operacionais versão FINAL (FC 160507)_IF_Consumidores livres e geradoras_2010" xfId="2739" xr:uid="{00000000-0005-0000-0000-000031000000}"/>
    <cellStyle name="_15. Custos Operacionais versão FINAL (FC 160507)_Sheet1" xfId="2740" xr:uid="{00000000-0005-0000-0000-000032000000}"/>
    <cellStyle name="_2006.07.04 CELTINS IRT 2006 homologado" xfId="1480" xr:uid="{00000000-0005-0000-0000-000033000000}"/>
    <cellStyle name="_2006.07.04 CELTINS IRT 2006 homologado 2" xfId="2741" xr:uid="{00000000-0005-0000-0000-000034000000}"/>
    <cellStyle name="_2006.07.04 CELTINS IRT 2006 homologado_COELCE - RTO 2011 - PLPT_PLANILHA_CÁLCULO_DÉFICIT" xfId="2742" xr:uid="{00000000-0005-0000-0000-000035000000}"/>
    <cellStyle name="_2006.08.07 CELPA IRT 2006 pleito" xfId="1481" xr:uid="{00000000-0005-0000-0000-000036000000}"/>
    <cellStyle name="_2006.08.07 CELPA IRT 2006 pleito 2" xfId="2743" xr:uid="{00000000-0005-0000-0000-000037000000}"/>
    <cellStyle name="_2006.08.07 CELPA IRT 2006 pleito_COELCE - RTO 2011 - PLPT_PLANILHA_CÁLCULO_DÉFICIT" xfId="2744" xr:uid="{00000000-0005-0000-0000-000038000000}"/>
    <cellStyle name="_2007.04.08 CEMAT CVAvIRT 2007" xfId="2745" xr:uid="{00000000-0005-0000-0000-000039000000}"/>
    <cellStyle name="_2007.04.08 CEMAT IRT 2007 Pleito" xfId="2746" xr:uid="{00000000-0005-0000-0000-00003A000000}"/>
    <cellStyle name="_2008.05.10 CAIUA CVAvIRT 2008" xfId="2747" xr:uid="{00000000-0005-0000-0000-00003B000000}"/>
    <cellStyle name="_21 LPT - M3 DCC FCC - 29_06" xfId="2748" xr:uid="{00000000-0005-0000-0000-00003C000000}"/>
    <cellStyle name="_4 Outras Receitas - FCC-Roger" xfId="2749" xr:uid="{00000000-0005-0000-0000-00003D000000}"/>
    <cellStyle name="_5114722684(1).EXCEL" xfId="2750" xr:uid="{00000000-0005-0000-0000-00003E000000}"/>
    <cellStyle name="_5114722684(1).EXCEL_2009.04.09 EEB IRT2009 Conexao CEMIG C Financeiro" xfId="2751" xr:uid="{00000000-0005-0000-0000-00003F000000}"/>
    <cellStyle name="_5114722684(1).EXCEL_IF - Autoprodutores 2" xfId="2752" xr:uid="{00000000-0005-0000-0000-000040000000}"/>
    <cellStyle name="_5114722684(1).EXCEL_IF_Consumidores livres e geradoras_2010" xfId="2753" xr:uid="{00000000-0005-0000-0000-000041000000}"/>
    <cellStyle name="_5114722684(1).EXCEL_Sheet1" xfId="2754" xr:uid="{00000000-0005-0000-0000-000042000000}"/>
    <cellStyle name="_Abertura - ELETROPAULO 2008 - REAJUSTE Estrutura 2º Ciclo" xfId="2755" xr:uid="{00000000-0005-0000-0000-000043000000}"/>
    <cellStyle name="_Abertura RE-REVISÃO ELETROPAULO Base para Reajuste 2008" xfId="2756" xr:uid="{00000000-0005-0000-0000-000044000000}"/>
    <cellStyle name="_Abertura Tarifária CEB RTP 2008" xfId="2757" xr:uid="{00000000-0005-0000-0000-000045000000}"/>
    <cellStyle name="_Abertura Tarifária LIGHT RTP 2008" xfId="2758" xr:uid="{00000000-0005-0000-0000-000046000000}"/>
    <cellStyle name="_ABERTURA_TUSDg_v02_COPEL_14052010" xfId="1482" xr:uid="{00000000-0005-0000-0000-000047000000}"/>
    <cellStyle name="_Abertura-ATUAL2 - REAJUSTE" xfId="2759" xr:uid="{00000000-0005-0000-0000-000048000000}"/>
    <cellStyle name="_Abertura-ATUAL-REVISÃO2" xfId="2760" xr:uid="{00000000-0005-0000-0000-000049000000}"/>
    <cellStyle name="_ADIANTAMENTO SOBRECONTRATAÇÃO" xfId="1" xr:uid="{00000000-0005-0000-0000-00004A000000}"/>
    <cellStyle name="_ADIANTAMENTO SOBRECONTRATAÇÃO_Cálculo do Financeiro do Baixa Renda" xfId="2761" xr:uid="{00000000-0005-0000-0000-00004B000000}"/>
    <cellStyle name="_ADIANTAMENTO SOBRECONTRATAÇÃO_Cálculo do Financeiro do Baixa Renda_IRT-cálculo" xfId="2762" xr:uid="{00000000-0005-0000-0000-00004C000000}"/>
    <cellStyle name="_ADIANTAMENTO SOBRECONTRATAÇÃO_Cálculo do Financeiro do Baixa Renda_IRT-cálculo CAPA NEUTRALIDADE" xfId="2763" xr:uid="{00000000-0005-0000-0000-00004D000000}"/>
    <cellStyle name="_ADIANTAMENTO SOBRECONTRATAÇÃO_Calculo_Subsidio_ELFSM_26_06_08_Modelo_ANEEL" xfId="2764" xr:uid="{00000000-0005-0000-0000-00004E000000}"/>
    <cellStyle name="_ADIANTAMENTO SOBRECONTRATAÇÃO_Calculo_Subsidio_ELFSM_26_06_08_Modelo_ANEEL_IRT_Revisão A-1" xfId="2765" xr:uid="{00000000-0005-0000-0000-00004F000000}"/>
    <cellStyle name="_ADIANTAMENTO SOBRECONTRATAÇÃO_Calculo_Subsidio_ELFSM_26_06_08_Modelo_ANEEL_IRT-cálculo" xfId="2766" xr:uid="{00000000-0005-0000-0000-000050000000}"/>
    <cellStyle name="_ADIANTAMENTO SOBRECONTRATAÇÃO_Calculo_Subsidio_ELFSM_26_06_08_Modelo_ANEEL_IRT-cálculo CAPA NEUTRALIDADE" xfId="2767" xr:uid="{00000000-0005-0000-0000-000051000000}"/>
    <cellStyle name="_ADIANTAMENTO SOBRECONTRATAÇÃO_Custo com Avaliação de Ativos para Base de Remuneração" xfId="2768" xr:uid="{00000000-0005-0000-0000-000052000000}"/>
    <cellStyle name="_ADIANTAMENTO SOBRECONTRATAÇÃO_Custo com Avaliação de Ativos para Base de Remuneração_IRT-cálculo" xfId="2769" xr:uid="{00000000-0005-0000-0000-000053000000}"/>
    <cellStyle name="_ADIANTAMENTO SOBRECONTRATAÇÃO_Custo com Avaliação de Ativos para Base de Remuneração_IRT-cálculo CAPA NEUTRALIDADE" xfId="2770" xr:uid="{00000000-0005-0000-0000-000054000000}"/>
    <cellStyle name="_ADIANTAMENTO SOBRECONTRATAÇÃO_Energia Comprada" xfId="2771" xr:uid="{00000000-0005-0000-0000-000055000000}"/>
    <cellStyle name="_ADIANTAMENTO SOBRECONTRATAÇÃO_Energia Comprada_Dados Gerais" xfId="2772" xr:uid="{00000000-0005-0000-0000-000056000000}"/>
    <cellStyle name="_ADIANTAMENTO SOBRECONTRATAÇÃO_Energia Comprada_IRT_Revisão A-1" xfId="2773" xr:uid="{00000000-0005-0000-0000-000057000000}"/>
    <cellStyle name="_ADIANTAMENTO SOBRECONTRATAÇÃO_Energia Comprada_IRT-cálculo" xfId="2774" xr:uid="{00000000-0005-0000-0000-000058000000}"/>
    <cellStyle name="_ADIANTAMENTO SOBRECONTRATAÇÃO_Energia Comprada_IRT-cálculo CAPA NEUTRALIDADE" xfId="2775" xr:uid="{00000000-0005-0000-0000-000059000000}"/>
    <cellStyle name="_ADIANTAMENTO SOBRECONTRATAÇÃO_Fator X" xfId="1483" xr:uid="{00000000-0005-0000-0000-00005A000000}"/>
    <cellStyle name="_ADIANTAMENTO SOBRECONTRATAÇÃO_Fator X_Dados Gerais" xfId="2776" xr:uid="{00000000-0005-0000-0000-00005B000000}"/>
    <cellStyle name="_ADIANTAMENTO SOBRECONTRATAÇÃO_Fator X_IRT_Revisão A-1" xfId="2777" xr:uid="{00000000-0005-0000-0000-00005C000000}"/>
    <cellStyle name="_ADIANTAMENTO SOBRECONTRATAÇÃO_Fator X_IRT-cálculo" xfId="2778" xr:uid="{00000000-0005-0000-0000-00005D000000}"/>
    <cellStyle name="_ADIANTAMENTO SOBRECONTRATAÇÃO_Fator X_IRT-cálculo CAPA NEUTRALIDADE" xfId="2779" xr:uid="{00000000-0005-0000-0000-00005E000000}"/>
    <cellStyle name="_ADIANTAMENTO SOBRECONTRATAÇÃO_Fator X_SOBRECONTRATAÇÃO E CVA" xfId="2780" xr:uid="{00000000-0005-0000-0000-00005F000000}"/>
    <cellStyle name="_ADIANTAMENTO SOBRECONTRATAÇÃO_IF - Autoprodutores 2" xfId="2781" xr:uid="{00000000-0005-0000-0000-000060000000}"/>
    <cellStyle name="_ADIANTAMENTO SOBRECONTRATAÇÃO_IF_Consumidores livres e geradoras_2010" xfId="2782" xr:uid="{00000000-0005-0000-0000-000061000000}"/>
    <cellStyle name="_ADIANTAMENTO SOBRECONTRATAÇÃO_IRT (2)" xfId="1484" xr:uid="{00000000-0005-0000-0000-000062000000}"/>
    <cellStyle name="_ADIANTAMENTO SOBRECONTRATAÇÃO_IRT (2) 2" xfId="2783" xr:uid="{00000000-0005-0000-0000-000063000000}"/>
    <cellStyle name="_ADIANTAMENTO SOBRECONTRATAÇÃO_IRT_1" xfId="1485" xr:uid="{00000000-0005-0000-0000-000064000000}"/>
    <cellStyle name="_ADIANTAMENTO SOBRECONTRATAÇÃO_IRT_1_Dados Gerais" xfId="2784" xr:uid="{00000000-0005-0000-0000-000065000000}"/>
    <cellStyle name="_ADIANTAMENTO SOBRECONTRATAÇÃO_IRT_1_IRT_Revisão A-1" xfId="2785" xr:uid="{00000000-0005-0000-0000-000066000000}"/>
    <cellStyle name="_ADIANTAMENTO SOBRECONTRATAÇÃO_IRT_1_IRT-cálculo" xfId="2786" xr:uid="{00000000-0005-0000-0000-000067000000}"/>
    <cellStyle name="_ADIANTAMENTO SOBRECONTRATAÇÃO_IRT_1_IRT-cálculo CAPA NEUTRALIDADE" xfId="2787" xr:uid="{00000000-0005-0000-0000-000068000000}"/>
    <cellStyle name="_ADIANTAMENTO SOBRECONTRATAÇÃO_IRT_1_SOBRECONTRATAÇÃO E CVA" xfId="2788" xr:uid="{00000000-0005-0000-0000-000069000000}"/>
    <cellStyle name="_ADIANTAMENTO SOBRECONTRATAÇÃO_IRT_Pleito" xfId="2789" xr:uid="{00000000-0005-0000-0000-00006A000000}"/>
    <cellStyle name="_ADIANTAMENTO SOBRECONTRATAÇÃO_IRT_Pleito_Dados Gerais" xfId="2790" xr:uid="{00000000-0005-0000-0000-00006B000000}"/>
    <cellStyle name="_ADIANTAMENTO SOBRECONTRATAÇÃO_IRT_Pleito_IRT_Revisão A-1" xfId="2791" xr:uid="{00000000-0005-0000-0000-00006C000000}"/>
    <cellStyle name="_ADIANTAMENTO SOBRECONTRATAÇÃO_IRT_Pleito_IRT-cálculo" xfId="2792" xr:uid="{00000000-0005-0000-0000-00006D000000}"/>
    <cellStyle name="_ADIANTAMENTO SOBRECONTRATAÇÃO_IRT_Pleito_IRT-cálculo CAPA NEUTRALIDADE" xfId="2793" xr:uid="{00000000-0005-0000-0000-00006E000000}"/>
    <cellStyle name="_ADIANTAMENTO SOBRECONTRATAÇÃO_IRT_Revisão A-1" xfId="2794" xr:uid="{00000000-0005-0000-0000-00006F000000}"/>
    <cellStyle name="_ADIANTAMENTO SOBRECONTRATAÇÃO_IRT-cálculo" xfId="2795" xr:uid="{00000000-0005-0000-0000-000070000000}"/>
    <cellStyle name="_ADIANTAMENTO SOBRECONTRATAÇÃO_IRT-cálculo CAPA NEUTRALIDADE" xfId="2796" xr:uid="{00000000-0005-0000-0000-000071000000}"/>
    <cellStyle name="_ADIANTAMENTO SOBRECONTRATAÇÃO_Pasta1" xfId="1486" xr:uid="{00000000-0005-0000-0000-000072000000}"/>
    <cellStyle name="_ADIANTAMENTO SOBRECONTRATAÇÃO_Pasta1_Dados Gerais" xfId="2797" xr:uid="{00000000-0005-0000-0000-000073000000}"/>
    <cellStyle name="_ADIANTAMENTO SOBRECONTRATAÇÃO_Pasta1_IRT_Revisão A-1" xfId="2798" xr:uid="{00000000-0005-0000-0000-000074000000}"/>
    <cellStyle name="_ADIANTAMENTO SOBRECONTRATAÇÃO_Pasta1_IRT-cálculo" xfId="2799" xr:uid="{00000000-0005-0000-0000-000075000000}"/>
    <cellStyle name="_ADIANTAMENTO SOBRECONTRATAÇÃO_Pasta1_IRT-cálculo CAPA NEUTRALIDADE" xfId="2800" xr:uid="{00000000-0005-0000-0000-000076000000}"/>
    <cellStyle name="_ADIANTAMENTO SOBRECONTRATAÇÃO_Pasta1_SOBRECONTRATAÇÃO E CVA" xfId="2801" xr:uid="{00000000-0005-0000-0000-000077000000}"/>
    <cellStyle name="_ADIANTAMENTO SOBRECONTRATAÇÃO_Sheet1" xfId="2802" xr:uid="{00000000-0005-0000-0000-000078000000}"/>
    <cellStyle name="_ADIANTAMENTO SOBRECONTRATAÇÃO_Sheet2" xfId="2803" xr:uid="{00000000-0005-0000-0000-000079000000}"/>
    <cellStyle name="_ADIANTAMENTO SOBRECONTRATAÇÃO_SOBRECONTRATAÇÃO E CVA" xfId="2804" xr:uid="{00000000-0005-0000-0000-00007A000000}"/>
    <cellStyle name="_Ajustes REAJUSTE 2008 ELETROPAULO" xfId="2805" xr:uid="{00000000-0005-0000-0000-00007B000000}"/>
    <cellStyle name="_Ajustes REVISÃO 2007 ELETROPAULO" xfId="2806" xr:uid="{00000000-0005-0000-0000-00007C000000}"/>
    <cellStyle name="_Alocação Financeiros" xfId="1487" xr:uid="{00000000-0005-0000-0000-00007D000000}"/>
    <cellStyle name="_Alocação Financeiros 2" xfId="2807" xr:uid="{00000000-0005-0000-0000-00007E000000}"/>
    <cellStyle name="_Alocação Financeiros_Energia Comprada" xfId="2808" xr:uid="{00000000-0005-0000-0000-00007F000000}"/>
    <cellStyle name="_Alocação Financeiros_Energia Comprada_Dados Gerais" xfId="2809" xr:uid="{00000000-0005-0000-0000-000080000000}"/>
    <cellStyle name="_Alocação Financeiros_Energia Comprada_IRT_Revisão A-1" xfId="2810" xr:uid="{00000000-0005-0000-0000-000081000000}"/>
    <cellStyle name="_Alocação Financeiros_Energia Comprada_IRT-cálculo" xfId="2811" xr:uid="{00000000-0005-0000-0000-000082000000}"/>
    <cellStyle name="_Alocação Financeiros_Energia Comprada_IRT-cálculo CAPA NEUTRALIDADE" xfId="2812" xr:uid="{00000000-0005-0000-0000-000083000000}"/>
    <cellStyle name="_Alocação Financeiros_Fator X" xfId="1488" xr:uid="{00000000-0005-0000-0000-000084000000}"/>
    <cellStyle name="_Alocação Financeiros_Fator X 2" xfId="2813" xr:uid="{00000000-0005-0000-0000-000085000000}"/>
    <cellStyle name="_Alocação Financeiros_Fator X_Dados Gerais" xfId="2814" xr:uid="{00000000-0005-0000-0000-000086000000}"/>
    <cellStyle name="_Alocação Financeiros_Fator X_IRT_Revisão A-1" xfId="2815" xr:uid="{00000000-0005-0000-0000-000087000000}"/>
    <cellStyle name="_Alocação Financeiros_Fator X_IRT-cálculo" xfId="2816" xr:uid="{00000000-0005-0000-0000-000088000000}"/>
    <cellStyle name="_Alocação Financeiros_Fator X_IRT-cálculo CAPA NEUTRALIDADE" xfId="2817" xr:uid="{00000000-0005-0000-0000-000089000000}"/>
    <cellStyle name="_Alocação Financeiros_Fator X_SOBRECONTRATAÇÃO E CVA" xfId="2818" xr:uid="{00000000-0005-0000-0000-00008A000000}"/>
    <cellStyle name="_Alocação Financeiros_IRT (2)" xfId="1489" xr:uid="{00000000-0005-0000-0000-00008B000000}"/>
    <cellStyle name="_Alocação Financeiros_IRT_1" xfId="1490" xr:uid="{00000000-0005-0000-0000-00008C000000}"/>
    <cellStyle name="_Alocação Financeiros_IRT_1 2" xfId="2819" xr:uid="{00000000-0005-0000-0000-00008D000000}"/>
    <cellStyle name="_Alocação Financeiros_IRT_1_Dados Gerais" xfId="2820" xr:uid="{00000000-0005-0000-0000-00008E000000}"/>
    <cellStyle name="_Alocação Financeiros_IRT_1_IRT_Revisão A-1" xfId="2821" xr:uid="{00000000-0005-0000-0000-00008F000000}"/>
    <cellStyle name="_Alocação Financeiros_IRT_1_IRT-cálculo" xfId="2822" xr:uid="{00000000-0005-0000-0000-000090000000}"/>
    <cellStyle name="_Alocação Financeiros_IRT_1_IRT-cálculo CAPA NEUTRALIDADE" xfId="2823" xr:uid="{00000000-0005-0000-0000-000091000000}"/>
    <cellStyle name="_Alocação Financeiros_IRT_1_SOBRECONTRATAÇÃO E CVA" xfId="2824" xr:uid="{00000000-0005-0000-0000-000092000000}"/>
    <cellStyle name="_Alocação Financeiros_IRT_Revisão A-1" xfId="2825" xr:uid="{00000000-0005-0000-0000-000093000000}"/>
    <cellStyle name="_Alocação Financeiros_IRT-cálculo" xfId="2826" xr:uid="{00000000-0005-0000-0000-000094000000}"/>
    <cellStyle name="_Alocação Financeiros_IRT-cálculo CAPA NEUTRALIDADE" xfId="2827" xr:uid="{00000000-0005-0000-0000-000095000000}"/>
    <cellStyle name="_Alocação Financeiros_Pasta1" xfId="1491" xr:uid="{00000000-0005-0000-0000-000096000000}"/>
    <cellStyle name="_Alocação Financeiros_Pasta1 2" xfId="2828" xr:uid="{00000000-0005-0000-0000-000097000000}"/>
    <cellStyle name="_Alocação Financeiros_Pasta1_IRT-cálculo" xfId="2829" xr:uid="{00000000-0005-0000-0000-000098000000}"/>
    <cellStyle name="_Alocação Financeiros_Pasta1_IRT-cálculo CAPA NEUTRALIDADE" xfId="2830" xr:uid="{00000000-0005-0000-0000-000099000000}"/>
    <cellStyle name="_Alocação Financeiros_Pasta1_SOBRECONTRATAÇÃO E CVA" xfId="2831" xr:uid="{00000000-0005-0000-0000-00009A000000}"/>
    <cellStyle name="_Alocação Financeiros_SOBRECONTRATAÇÃO E CVA" xfId="2832" xr:uid="{00000000-0005-0000-0000-00009B000000}"/>
    <cellStyle name="_AMPLA_Repasse sobrecontratação" xfId="2" xr:uid="{00000000-0005-0000-0000-00009C000000}"/>
    <cellStyle name="_AMPLA_Repasse sobrecontratação 2" xfId="1164" xr:uid="{00000000-0005-0000-0000-00009D000000}"/>
    <cellStyle name="_AMPLA_Repasse sobrecontratação 3" xfId="2833" xr:uid="{00000000-0005-0000-0000-00009E000000}"/>
    <cellStyle name="_AMPLA_Repasse sobrecontratação_Exposição_Agosto 2" xfId="2834" xr:uid="{00000000-0005-0000-0000-00009F000000}"/>
    <cellStyle name="_AMPLA_Repasse sobrecontratação_IRT_Revisão A-2" xfId="2835" xr:uid="{00000000-0005-0000-0000-0000A0000000}"/>
    <cellStyle name="_Análise Coteminas" xfId="2836" xr:uid="{00000000-0005-0000-0000-0000A1000000}"/>
    <cellStyle name="_Análise empresas SCL_ws" xfId="2837" xr:uid="{00000000-0005-0000-0000-0000A2000000}"/>
    <cellStyle name="_Análise Pleitos ER ENERGIPE" xfId="2838" xr:uid="{00000000-0005-0000-0000-0000A3000000}"/>
    <cellStyle name="_ANEEL_FINAL_4ªRTP_ESCELSA_Planilhas" xfId="2839" xr:uid="{00000000-0005-0000-0000-0000A4000000}"/>
    <cellStyle name="_ANEEL_FINAL_4ªRTP_ESCELSA_Planilhas_IRT-cálculo" xfId="2840" xr:uid="{00000000-0005-0000-0000-0000A5000000}"/>
    <cellStyle name="_ANEEL_FINAL_4ªRTP_ESCELSA_Planilhas_IRT-cálculo CAPA NEUTRALIDADE" xfId="2841" xr:uid="{00000000-0005-0000-0000-0000A6000000}"/>
    <cellStyle name="_ANEXO II_Carta_CT_DP_3_06_Memória" xfId="3" xr:uid="{00000000-0005-0000-0000-0000A7000000}"/>
    <cellStyle name="_ANEXO II_Carta_CT_DP_3_06_Memória_IF - Autoprodutores 2" xfId="2842" xr:uid="{00000000-0005-0000-0000-0000A8000000}"/>
    <cellStyle name="_ANEXO II_Carta_CT_DP_3_06_Memória_IF_Consumidores livres e geradoras_2010" xfId="2843" xr:uid="{00000000-0005-0000-0000-0000A9000000}"/>
    <cellStyle name="_ANEXO II_Carta_CT_DP_3_06_Memória_IRT_Revisão A-1" xfId="2844" xr:uid="{00000000-0005-0000-0000-0000AA000000}"/>
    <cellStyle name="_ANEXO II_Carta_CT_DP_3_06_Memória_IRT-cálculo" xfId="2845" xr:uid="{00000000-0005-0000-0000-0000AB000000}"/>
    <cellStyle name="_ANEXO II_Carta_CT_DP_3_06_Memória_IRT-cálculo CAPA NEUTRALIDADE" xfId="2846" xr:uid="{00000000-0005-0000-0000-0000AC000000}"/>
    <cellStyle name="_ANEXO II_Carta_CT_DP_3_06_Memória_Sheet1" xfId="2847" xr:uid="{00000000-0005-0000-0000-0000AD000000}"/>
    <cellStyle name="_Autoprodução - mai09" xfId="2848" xr:uid="{00000000-0005-0000-0000-0000AE000000}"/>
    <cellStyle name="_BALANCO" xfId="2849" xr:uid="{00000000-0005-0000-0000-0000AF000000}"/>
    <cellStyle name="_BALANÇO" xfId="2850" xr:uid="{00000000-0005-0000-0000-0000B0000000}"/>
    <cellStyle name="_Balanço_Energetico" xfId="2851" xr:uid="{00000000-0005-0000-0000-0000B1000000}"/>
    <cellStyle name="_Balanço_Energetico_IRT-cálculo" xfId="2852" xr:uid="{00000000-0005-0000-0000-0000B2000000}"/>
    <cellStyle name="_Balanço_Energetico_IRT-cálculo CAPA NEUTRALIDADE" xfId="2853" xr:uid="{00000000-0005-0000-0000-0000B3000000}"/>
    <cellStyle name="_BALANÇO_IF - Autoprodutores 2" xfId="2854" xr:uid="{00000000-0005-0000-0000-0000B4000000}"/>
    <cellStyle name="_BALANÇO_IF_Consumidores livres e geradoras_2010" xfId="2855" xr:uid="{00000000-0005-0000-0000-0000B5000000}"/>
    <cellStyle name="_BALANÇO_Sheet1" xfId="2856" xr:uid="{00000000-0005-0000-0000-0000B6000000}"/>
    <cellStyle name="_BANCO DE DADOS_2010" xfId="2857" xr:uid="{00000000-0005-0000-0000-0000B7000000}"/>
    <cellStyle name="_Base de Dados - Ofício" xfId="1797" xr:uid="{00000000-0005-0000-0000-0000B8000000}"/>
    <cellStyle name="_Bragantina-SobrasExposição1" xfId="4" xr:uid="{00000000-0005-0000-0000-0000B9000000}"/>
    <cellStyle name="_Bragantina-SobrasExposição1 2" xfId="1165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58" xr:uid="{00000000-0005-0000-0000-0000BD000000}"/>
    <cellStyle name="_Bragantina-SobrasExposição1_Energia Comprada_IRT-cálculo" xfId="2859" xr:uid="{00000000-0005-0000-0000-0000BE000000}"/>
    <cellStyle name="_Bragantina-SobrasExposição1_Energia Comprada_IRT-cálculo CAPA NEUTRALIDADE" xfId="2860" xr:uid="{00000000-0005-0000-0000-0000BF000000}"/>
    <cellStyle name="_Bragantina-SobrasExposição1_Exposição_Agosto 2" xfId="2861" xr:uid="{00000000-0005-0000-0000-0000C0000000}"/>
    <cellStyle name="_Bragantina-SobrasExposição1_Fator X" xfId="1492" xr:uid="{00000000-0005-0000-0000-0000C1000000}"/>
    <cellStyle name="_Bragantina-SobrasExposição1_Fator X 2" xfId="2862" xr:uid="{00000000-0005-0000-0000-0000C2000000}"/>
    <cellStyle name="_Bragantina-SobrasExposição1_Fator X_IRT-cálculo" xfId="2863" xr:uid="{00000000-0005-0000-0000-0000C3000000}"/>
    <cellStyle name="_Bragantina-SobrasExposição1_Fator X_IRT-cálculo CAPA NEUTRALIDADE" xfId="2864" xr:uid="{00000000-0005-0000-0000-0000C4000000}"/>
    <cellStyle name="_Bragantina-SobrasExposição1_Fator X_SOBRECONTRATAÇÃO E CVA" xfId="2865" xr:uid="{00000000-0005-0000-0000-0000C5000000}"/>
    <cellStyle name="_Bragantina-SobrasExposição1_IMPACTO RECEITA" xfId="7" xr:uid="{00000000-0005-0000-0000-0000C6000000}"/>
    <cellStyle name="_Bragantina-SobrasExposição1_IMPACTO RECEITA 2" xfId="1166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6" xr:uid="{00000000-0005-0000-0000-0000CA000000}"/>
    <cellStyle name="_Bragantina-SobrasExposição1_IRT (2)" xfId="1493" xr:uid="{00000000-0005-0000-0000-0000CB000000}"/>
    <cellStyle name="_Bragantina-SobrasExposição1_IRT EEB 2010" xfId="2867" xr:uid="{00000000-0005-0000-0000-0000CC000000}"/>
    <cellStyle name="_Bragantina-SobrasExposição1_IRT_1" xfId="1494" xr:uid="{00000000-0005-0000-0000-0000CD000000}"/>
    <cellStyle name="_Bragantina-SobrasExposição1_IRT_1 2" xfId="2868" xr:uid="{00000000-0005-0000-0000-0000CE000000}"/>
    <cellStyle name="_Bragantina-SobrasExposição1_IRT_1_IRT-cálculo" xfId="2869" xr:uid="{00000000-0005-0000-0000-0000CF000000}"/>
    <cellStyle name="_Bragantina-SobrasExposição1_IRT_1_IRT-cálculo CAPA NEUTRALIDADE" xfId="2870" xr:uid="{00000000-0005-0000-0000-0000D0000000}"/>
    <cellStyle name="_Bragantina-SobrasExposição1_IRT_1_SOBRECONTRATAÇÃO E CVA" xfId="2871" xr:uid="{00000000-0005-0000-0000-0000D1000000}"/>
    <cellStyle name="_Bragantina-SobrasExposição1_IRT_Revisão A-2" xfId="2872" xr:uid="{00000000-0005-0000-0000-0000D2000000}"/>
    <cellStyle name="_Bragantina-SobrasExposição1_IRT-cálculo" xfId="2873" xr:uid="{00000000-0005-0000-0000-0000D3000000}"/>
    <cellStyle name="_Bragantina-SobrasExposição1_IRT-cálculo CAPA NEUTRALIDADE" xfId="2874" xr:uid="{00000000-0005-0000-0000-0000D4000000}"/>
    <cellStyle name="_Bragantina-SobrasExposição1_Pasta1" xfId="1495" xr:uid="{00000000-0005-0000-0000-0000D5000000}"/>
    <cellStyle name="_Bragantina-SobrasExposição1_Pasta1 2" xfId="2875" xr:uid="{00000000-0005-0000-0000-0000D6000000}"/>
    <cellStyle name="_Bragantina-SobrasExposição1_Pasta1_IRT-cálculo" xfId="2876" xr:uid="{00000000-0005-0000-0000-0000D7000000}"/>
    <cellStyle name="_Bragantina-SobrasExposição1_Pasta1_IRT-cálculo CAPA NEUTRALIDADE" xfId="2877" xr:uid="{00000000-0005-0000-0000-0000D8000000}"/>
    <cellStyle name="_Bragantina-SobrasExposição1_Pasta1_SOBRECONTRATAÇÃO E CVA" xfId="2878" xr:uid="{00000000-0005-0000-0000-0000D9000000}"/>
    <cellStyle name="_Bragantina-SobrasExposição1_Simulação CEPISA XX_08_07" xfId="1496" xr:uid="{00000000-0005-0000-0000-0000DA000000}"/>
    <cellStyle name="_Bragantina-SobrasExposição1_SOBRECONTRATAÇÃO E CVA" xfId="2879" xr:uid="{00000000-0005-0000-0000-0000DB000000}"/>
    <cellStyle name="_C_CVA_Rede Básica_2008" xfId="2880" xr:uid="{00000000-0005-0000-0000-0000DC000000}"/>
    <cellStyle name="_Calculo Tarifa" xfId="2881" xr:uid="{00000000-0005-0000-0000-0000DD000000}"/>
    <cellStyle name="_Calculo_Subsidio_ELFSM_26_06_08_Modelo_ANEEL" xfId="2882" xr:uid="{00000000-0005-0000-0000-0000DE000000}"/>
    <cellStyle name="_Calculo_Subsidio_ELFSM_26_06_08_Modelo_ANEEL_IRT-cálculo" xfId="2883" xr:uid="{00000000-0005-0000-0000-0000DF000000}"/>
    <cellStyle name="_Calculo_Subsidio_ELFSM_26_06_08_Modelo_ANEEL_IRT-cálculo CAPA NEUTRALIDADE" xfId="2884" xr:uid="{00000000-0005-0000-0000-0000E0000000}"/>
    <cellStyle name="_Cartilha CEB" xfId="2885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7" xr:uid="{00000000-0005-0000-0000-0000E4000000}"/>
    <cellStyle name="_CELPE - Repasse sobrecontratação 2 3" xfId="2886" xr:uid="{00000000-0005-0000-0000-0000E5000000}"/>
    <cellStyle name="_CELPE - Repasse sobrecontratação 2_Exposição_Agosto 2" xfId="2887" xr:uid="{00000000-0005-0000-0000-0000E6000000}"/>
    <cellStyle name="_CELPE - Repasse sobrecontratação 2_IRT_Revisão A-2" xfId="2888" xr:uid="{00000000-0005-0000-0000-0000E7000000}"/>
    <cellStyle name="_CELPE - Repasse sobrecontratação 3" xfId="1168" xr:uid="{00000000-0005-0000-0000-0000E8000000}"/>
    <cellStyle name="_CELPE - Repasse sobrecontratação 4" xfId="2889" xr:uid="{00000000-0005-0000-0000-0000E9000000}"/>
    <cellStyle name="_CELPE - Repasse sobrecontratação_Exposição_Agosto 2" xfId="2890" xr:uid="{00000000-0005-0000-0000-0000EA000000}"/>
    <cellStyle name="_CELPE - Repasse sobrecontratação_IRT_Revisão A-2" xfId="2891" xr:uid="{00000000-0005-0000-0000-0000EB000000}"/>
    <cellStyle name="_CEMAT - Repasse sobrecontratação" xfId="2892" xr:uid="{00000000-0005-0000-0000-0000EC000000}"/>
    <cellStyle name="_CEMIG - Repasse sobrecontratação" xfId="12" xr:uid="{00000000-0005-0000-0000-0000ED000000}"/>
    <cellStyle name="_CEMIG - Repasse sobrecontratação 2" xfId="1169" xr:uid="{00000000-0005-0000-0000-0000EE000000}"/>
    <cellStyle name="_CEMIG - Repasse sobrecontratação 3" xfId="2893" xr:uid="{00000000-0005-0000-0000-0000EF000000}"/>
    <cellStyle name="_CEMIG - Repasse sobrecontratação_Exposição_Agosto 2" xfId="2894" xr:uid="{00000000-0005-0000-0000-0000F0000000}"/>
    <cellStyle name="_CEMIG - Repasse sobrecontratação_IRT_Revisão A-2" xfId="2895" xr:uid="{00000000-0005-0000-0000-0000F1000000}"/>
    <cellStyle name="_Comprovação_Itens_Financeiros" xfId="2896" xr:uid="{00000000-0005-0000-0000-0000F2000000}"/>
    <cellStyle name="_Comprovação_Itens_Financeiros_IRT-cálculo" xfId="2897" xr:uid="{00000000-0005-0000-0000-0000F3000000}"/>
    <cellStyle name="_Comprovação_Itens_Financeiros_IRT-cálculo CAPA NEUTRALIDADE" xfId="2898" xr:uid="{00000000-0005-0000-0000-0000F4000000}"/>
    <cellStyle name="_Conferido Calculo_Subsídios_ENERGISA_MG" xfId="2899" xr:uid="{00000000-0005-0000-0000-0000F5000000}"/>
    <cellStyle name="_Consumidor livre - EPB - mai09" xfId="2900" xr:uid="{00000000-0005-0000-0000-0000F6000000}"/>
    <cellStyle name="_Controle RT EMG" xfId="2901" xr:uid="{00000000-0005-0000-0000-0000F7000000}"/>
    <cellStyle name="_Cooperativas - ESE 2010" xfId="2902" xr:uid="{00000000-0005-0000-0000-0000F8000000}"/>
    <cellStyle name="_Cópia (2) de PLPT_PLANILHA_CÁLCULO_DÉFICIT_RESOLUÇÃO_294_2007" xfId="2903" xr:uid="{00000000-0005-0000-0000-0000F9000000}"/>
    <cellStyle name="_Cópia de 2006.05.10 EEB IRT 2006 pleito" xfId="13" xr:uid="{00000000-0005-0000-0000-0000FA000000}"/>
    <cellStyle name="_Cópia de 2006.05.10 EEB IRT 2006 pleito 2" xfId="1170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4" xr:uid="{00000000-0005-0000-0000-0000FE000000}"/>
    <cellStyle name="_Cópia de 2006.05.10 EEB IRT 2006 pleito_Energia Comprada_IRT-cálculo" xfId="2905" xr:uid="{00000000-0005-0000-0000-0000FF000000}"/>
    <cellStyle name="_Cópia de 2006.05.10 EEB IRT 2006 pleito_Energia Comprada_IRT-cálculo CAPA NEUTRALIDADE" xfId="2906" xr:uid="{00000000-0005-0000-0000-000000010000}"/>
    <cellStyle name="_Cópia de 2006.05.10 EEB IRT 2006 pleito_Exposição_Agosto 2" xfId="2907" xr:uid="{00000000-0005-0000-0000-000001010000}"/>
    <cellStyle name="_Cópia de 2006.05.10 EEB IRT 2006 pleito_Fator X" xfId="1497" xr:uid="{00000000-0005-0000-0000-000002010000}"/>
    <cellStyle name="_Cópia de 2006.05.10 EEB IRT 2006 pleito_Fator X 2" xfId="2908" xr:uid="{00000000-0005-0000-0000-000003010000}"/>
    <cellStyle name="_Cópia de 2006.05.10 EEB IRT 2006 pleito_Fator X_IRT-cálculo" xfId="2909" xr:uid="{00000000-0005-0000-0000-000004010000}"/>
    <cellStyle name="_Cópia de 2006.05.10 EEB IRT 2006 pleito_Fator X_IRT-cálculo CAPA NEUTRALIDADE" xfId="2910" xr:uid="{00000000-0005-0000-0000-000005010000}"/>
    <cellStyle name="_Cópia de 2006.05.10 EEB IRT 2006 pleito_Fator X_SOBRECONTRATAÇÃO E CVA" xfId="2911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1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2" xr:uid="{00000000-0005-0000-0000-00000B010000}"/>
    <cellStyle name="_Cópia de 2006.05.10 EEB IRT 2006 pleito_IRT (2)" xfId="1498" xr:uid="{00000000-0005-0000-0000-00000C010000}"/>
    <cellStyle name="_Cópia de 2006.05.10 EEB IRT 2006 pleito_IRT EEB 2010" xfId="2913" xr:uid="{00000000-0005-0000-0000-00000D010000}"/>
    <cellStyle name="_Cópia de 2006.05.10 EEB IRT 2006 pleito_IRT_1" xfId="1499" xr:uid="{00000000-0005-0000-0000-00000E010000}"/>
    <cellStyle name="_Cópia de 2006.05.10 EEB IRT 2006 pleito_IRT_1 2" xfId="2914" xr:uid="{00000000-0005-0000-0000-00000F010000}"/>
    <cellStyle name="_Cópia de 2006.05.10 EEB IRT 2006 pleito_IRT_1_IRT-cálculo" xfId="2915" xr:uid="{00000000-0005-0000-0000-000010010000}"/>
    <cellStyle name="_Cópia de 2006.05.10 EEB IRT 2006 pleito_IRT_1_IRT-cálculo CAPA NEUTRALIDADE" xfId="2916" xr:uid="{00000000-0005-0000-0000-000011010000}"/>
    <cellStyle name="_Cópia de 2006.05.10 EEB IRT 2006 pleito_IRT_1_SOBRECONTRATAÇÃO E CVA" xfId="2917" xr:uid="{00000000-0005-0000-0000-000012010000}"/>
    <cellStyle name="_Cópia de 2006.05.10 EEB IRT 2006 pleito_IRT_Revisão A-2" xfId="2918" xr:uid="{00000000-0005-0000-0000-000013010000}"/>
    <cellStyle name="_Cópia de 2006.05.10 EEB IRT 2006 pleito_IRT-cálculo" xfId="2919" xr:uid="{00000000-0005-0000-0000-000014010000}"/>
    <cellStyle name="_Cópia de 2006.05.10 EEB IRT 2006 pleito_IRT-cálculo CAPA NEUTRALIDADE" xfId="2920" xr:uid="{00000000-0005-0000-0000-000015010000}"/>
    <cellStyle name="_Cópia de 2006.05.10 EEB IRT 2006 pleito_Pasta1" xfId="1500" xr:uid="{00000000-0005-0000-0000-000016010000}"/>
    <cellStyle name="_Cópia de 2006.05.10 EEB IRT 2006 pleito_Pasta1 2" xfId="2921" xr:uid="{00000000-0005-0000-0000-000017010000}"/>
    <cellStyle name="_Cópia de 2006.05.10 EEB IRT 2006 pleito_Pasta1_IRT-cálculo" xfId="2922" xr:uid="{00000000-0005-0000-0000-000018010000}"/>
    <cellStyle name="_Cópia de 2006.05.10 EEB IRT 2006 pleito_Pasta1_IRT-cálculo CAPA NEUTRALIDADE" xfId="2923" xr:uid="{00000000-0005-0000-0000-000019010000}"/>
    <cellStyle name="_Cópia de 2006.05.10 EEB IRT 2006 pleito_Pasta1_SOBRECONTRATAÇÃO E CVA" xfId="2924" xr:uid="{00000000-0005-0000-0000-00001A010000}"/>
    <cellStyle name="_Cópia de 2006.05.10 EEB IRT 2006 pleito_Simulação CEPISA XX_08_07" xfId="1501" xr:uid="{00000000-0005-0000-0000-00001B010000}"/>
    <cellStyle name="_Cópia de 2006.05.10 EEB IRT 2006 pleito_SOBRECONTRATAÇÃO E CVA" xfId="2925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2" xr:uid="{00000000-0005-0000-0000-00001F010000}"/>
    <cellStyle name="_Cópia de IRT2006_CEB_Final 3" xfId="2926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7" xr:uid="{00000000-0005-0000-0000-000023010000}"/>
    <cellStyle name="_Cópia de IRT2006_CEB_Final_IRT EEB 2010" xfId="2928" xr:uid="{00000000-0005-0000-0000-000024010000}"/>
    <cellStyle name="_Cópia de IRT2006_CEB_Final_IRT_Revisão A-2" xfId="2929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3" xr:uid="{00000000-0005-0000-0000-000027010000}"/>
    <cellStyle name="_Cópia de IRT2006_CEB_Final_Simulação AES SUL 03_04_07 3" xfId="2930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1" xr:uid="{00000000-0005-0000-0000-00002B010000}"/>
    <cellStyle name="_Cópia de IRT2006_CEB_Final_Sobrecontratação AES (2)" xfId="26" xr:uid="{00000000-0005-0000-0000-00002C010000}"/>
    <cellStyle name="_Cópia de IRT2006_CEB_Final_Sobrecontratação AES (2) 2" xfId="1174" xr:uid="{00000000-0005-0000-0000-00002D010000}"/>
    <cellStyle name="_Cópia de IRT2006_CEB_Final_Sobrecontratação AES (2) 3" xfId="2932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3" xr:uid="{00000000-0005-0000-0000-000031010000}"/>
    <cellStyle name="_Cópia de PRTP v9" xfId="29" xr:uid="{00000000-0005-0000-0000-000032010000}"/>
    <cellStyle name="_Cópia de PRTP v9 2" xfId="1175" xr:uid="{00000000-0005-0000-0000-000033010000}"/>
    <cellStyle name="_Cópia de PRTP v9_02 IRT Bandeirante 2009" xfId="2934" xr:uid="{00000000-0005-0000-0000-000034010000}"/>
    <cellStyle name="_Cópia de PRTP v9_Balanço" xfId="30" xr:uid="{00000000-0005-0000-0000-000035010000}"/>
    <cellStyle name="_Cópia de PRTP v9_Balanço 2" xfId="1176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7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5" xr:uid="{00000000-0005-0000-0000-00003C010000}"/>
    <cellStyle name="_Cópia de PRTP v9_IRT EEB 2010" xfId="2936" xr:uid="{00000000-0005-0000-0000-00003D010000}"/>
    <cellStyle name="_Cópia de PRTP v9_IRT Piratininga 2009" xfId="35" xr:uid="{00000000-0005-0000-0000-00003E010000}"/>
    <cellStyle name="_Cópia de PRTP v9_IRT Piratininga 2009 2" xfId="1178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7" xr:uid="{00000000-0005-0000-0000-000042010000}"/>
    <cellStyle name="_Cópia de PRTP v9_IRT_EBB_mai2010d" xfId="2938" xr:uid="{00000000-0005-0000-0000-000043010000}"/>
    <cellStyle name="_Cópia de PRTP v9_IRT_Planilha Básica_ CETRIL" xfId="38" xr:uid="{00000000-0005-0000-0000-000044010000}"/>
    <cellStyle name="_Cópia de PRTP v9_IRT_Planilha Básica_ CETRIL 2" xfId="1179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39" xr:uid="{00000000-0005-0000-0000-000048010000}"/>
    <cellStyle name="_Cópia de PRTP v9_IRT_Planilha Básica_DIRETORIA" xfId="2940" xr:uid="{00000000-0005-0000-0000-000049010000}"/>
    <cellStyle name="_Cópia de PRTP v9_IRT_Planilha Básica_fev2010" xfId="2941" xr:uid="{00000000-0005-0000-0000-00004A010000}"/>
    <cellStyle name="_Cópia de PRTP v9_IRT_Planilha Básica_fev2010a" xfId="41" xr:uid="{00000000-0005-0000-0000-00004B010000}"/>
    <cellStyle name="_Cópia de PRTP v9_IRT_Planilha Básica_fev2010a 2" xfId="1180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1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2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2" xr:uid="{00000000-0005-0000-0000-000054010000}"/>
    <cellStyle name="_Cópia de PRTP v9_IRT_Planilha Básica_fev2010a_IRT EEB 2010" xfId="2943" xr:uid="{00000000-0005-0000-0000-000055010000}"/>
    <cellStyle name="_Cópia de PRTP v9_IRT_Planilha Básica_jan2010" xfId="2944" xr:uid="{00000000-0005-0000-0000-000056010000}"/>
    <cellStyle name="_Cópia de PRTP v9_IRT_Planilha Básica_mar2010b" xfId="2945" xr:uid="{00000000-0005-0000-0000-000057010000}"/>
    <cellStyle name="_Cópia de PRTP v9_IRT_Planilha Básica_mar2010d" xfId="47" xr:uid="{00000000-0005-0000-0000-000058010000}"/>
    <cellStyle name="_Cópia de PRTP v9_IRT_Planilha Básica_mar2010d 2" xfId="1183" xr:uid="{00000000-0005-0000-0000-000059010000}"/>
    <cellStyle name="_Cópia de PRTP v9_IRT_Planilha Básica_NOVA METODOLOGIA" xfId="2946" xr:uid="{00000000-0005-0000-0000-00005A010000}"/>
    <cellStyle name="_Cópia de PRTP v9_IRT_Santa 2010" xfId="2947" xr:uid="{00000000-0005-0000-0000-00005B010000}"/>
    <cellStyle name="_Cópia de PRTP v9_IRT-cálculo" xfId="2948" xr:uid="{00000000-0005-0000-0000-00005C010000}"/>
    <cellStyle name="_Cópia de PRTP v9_IRT-cálculo CAPA NEUTRALIDADE" xfId="2949" xr:uid="{00000000-0005-0000-0000-00005D010000}"/>
    <cellStyle name="_Cópia de PRTP v9_Resultados_DEA_RND_QUAL_PERDAS" xfId="2950" xr:uid="{00000000-0005-0000-0000-00005E010000}"/>
    <cellStyle name="_Cópia de PRTP v9_teste ampla" xfId="48" xr:uid="{00000000-0005-0000-0000-00005F010000}"/>
    <cellStyle name="_Cópia de PRTP v9_teste ampla 2" xfId="1184" xr:uid="{00000000-0005-0000-0000-000060010000}"/>
    <cellStyle name="_Cópia de PRTP v9_teste ampla_Balanço" xfId="49" xr:uid="{00000000-0005-0000-0000-000061010000}"/>
    <cellStyle name="_Cópia de PRTP v9_teste ampla_Balanço 2" xfId="1185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6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1" xr:uid="{00000000-0005-0000-0000-000068010000}"/>
    <cellStyle name="_Cópia de PRTP v9_teste ampla_IRT EEB 2010" xfId="2952" xr:uid="{00000000-0005-0000-0000-000069010000}"/>
    <cellStyle name="_Cópia de PRTP_v6-Elektro" xfId="2953" xr:uid="{00000000-0005-0000-0000-00006A010000}"/>
    <cellStyle name="_Cópia de SOBRECONTRATAÇÃO - RES  255-2007 ENERGIPE - FINAL" xfId="1502" xr:uid="{00000000-0005-0000-0000-00006B010000}"/>
    <cellStyle name="_Cópia de SOBRECONTRATAÇÃO - RES  255-2007 ENERGIPE - FINAL 2" xfId="2954" xr:uid="{00000000-0005-0000-0000-00006C010000}"/>
    <cellStyle name="_Cópia de SOBRECONTRATAÇÃO - RES  255-2007 ENERGIPE - FINAL_CVA Borborema 2010 - Fiscalizada Final" xfId="2955" xr:uid="{00000000-0005-0000-0000-00006D010000}"/>
    <cellStyle name="_Cópia de SOBRECONTRATAÇÃO - RES  255-2007 ENERGIPE - FINAL_Energia Comprada" xfId="2956" xr:uid="{00000000-0005-0000-0000-00006E010000}"/>
    <cellStyle name="_Cópia de SOBRECONTRATAÇÃO - RES  255-2007 ENERGIPE - FINAL_Energia Comprada_IRT-cálculo" xfId="2957" xr:uid="{00000000-0005-0000-0000-00006F010000}"/>
    <cellStyle name="_Cópia de SOBRECONTRATAÇÃO - RES  255-2007 ENERGIPE - FINAL_Energia Comprada_IRT-cálculo CAPA NEUTRALIDADE" xfId="2958" xr:uid="{00000000-0005-0000-0000-000070010000}"/>
    <cellStyle name="_Cópia de SOBRECONTRATAÇÃO - RES  255-2007 ENERGIPE - FINAL_Fator X" xfId="1503" xr:uid="{00000000-0005-0000-0000-000071010000}"/>
    <cellStyle name="_Cópia de SOBRECONTRATAÇÃO - RES  255-2007 ENERGIPE - FINAL_Fator X 2" xfId="2959" xr:uid="{00000000-0005-0000-0000-000072010000}"/>
    <cellStyle name="_Cópia de SOBRECONTRATAÇÃO - RES  255-2007 ENERGIPE - FINAL_Fator X_IRT-cálculo" xfId="2960" xr:uid="{00000000-0005-0000-0000-000073010000}"/>
    <cellStyle name="_Cópia de SOBRECONTRATAÇÃO - RES  255-2007 ENERGIPE - FINAL_Fator X_IRT-cálculo CAPA NEUTRALIDADE" xfId="2961" xr:uid="{00000000-0005-0000-0000-000074010000}"/>
    <cellStyle name="_Cópia de SOBRECONTRATAÇÃO - RES  255-2007 ENERGIPE - FINAL_Fator X_SOBRECONTRATAÇÃO E CVA" xfId="2962" xr:uid="{00000000-0005-0000-0000-000075010000}"/>
    <cellStyle name="_Cópia de SOBRECONTRATAÇÃO - RES  255-2007 ENERGIPE - FINAL_IRT (2)" xfId="1504" xr:uid="{00000000-0005-0000-0000-000076010000}"/>
    <cellStyle name="_Cópia de SOBRECONTRATAÇÃO - RES  255-2007 ENERGIPE - FINAL_IRT_1" xfId="1505" xr:uid="{00000000-0005-0000-0000-000077010000}"/>
    <cellStyle name="_Cópia de SOBRECONTRATAÇÃO - RES  255-2007 ENERGIPE - FINAL_IRT_1 2" xfId="2963" xr:uid="{00000000-0005-0000-0000-000078010000}"/>
    <cellStyle name="_Cópia de SOBRECONTRATAÇÃO - RES  255-2007 ENERGIPE - FINAL_IRT_1_IRT-cálculo" xfId="2964" xr:uid="{00000000-0005-0000-0000-000079010000}"/>
    <cellStyle name="_Cópia de SOBRECONTRATAÇÃO - RES  255-2007 ENERGIPE - FINAL_IRT_1_IRT-cálculo CAPA NEUTRALIDADE" xfId="2965" xr:uid="{00000000-0005-0000-0000-00007A010000}"/>
    <cellStyle name="_Cópia de SOBRECONTRATAÇÃO - RES  255-2007 ENERGIPE - FINAL_IRT_1_SOBRECONTRATAÇÃO E CVA" xfId="2966" xr:uid="{00000000-0005-0000-0000-00007B010000}"/>
    <cellStyle name="_Cópia de SOBRECONTRATAÇÃO - RES  255-2007 ENERGIPE - FINAL_IRT-cálculo" xfId="2967" xr:uid="{00000000-0005-0000-0000-00007C010000}"/>
    <cellStyle name="_Cópia de SOBRECONTRATAÇÃO - RES  255-2007 ENERGIPE - FINAL_IRT-cálculo CAPA NEUTRALIDADE" xfId="2968" xr:uid="{00000000-0005-0000-0000-00007D010000}"/>
    <cellStyle name="_Cópia de SOBRECONTRATAÇÃO - RES  255-2007 ENERGIPE - FINAL_Pasta1" xfId="1506" xr:uid="{00000000-0005-0000-0000-00007E010000}"/>
    <cellStyle name="_Cópia de SOBRECONTRATAÇÃO - RES  255-2007 ENERGIPE - FINAL_Pasta1 2" xfId="2969" xr:uid="{00000000-0005-0000-0000-00007F010000}"/>
    <cellStyle name="_Cópia de SOBRECONTRATAÇÃO - RES  255-2007 ENERGIPE - FINAL_Pasta1_IRT-cálculo" xfId="2970" xr:uid="{00000000-0005-0000-0000-000080010000}"/>
    <cellStyle name="_Cópia de SOBRECONTRATAÇÃO - RES  255-2007 ENERGIPE - FINAL_Pasta1_IRT-cálculo CAPA NEUTRALIDADE" xfId="2971" xr:uid="{00000000-0005-0000-0000-000081010000}"/>
    <cellStyle name="_Cópia de SOBRECONTRATAÇÃO - RES  255-2007 ENERGIPE - FINAL_Pasta1_SOBRECONTRATAÇÃO E CVA" xfId="2972" xr:uid="{00000000-0005-0000-0000-000082010000}"/>
    <cellStyle name="_Cópia de SOBRECONTRATAÇÃO - RES  255-2007 ENERGIPE - FINAL_SOBRECONTRATAÇÃO E CVA" xfId="2973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4" xr:uid="{00000000-0005-0000-0000-000085010000}"/>
    <cellStyle name="_Correção e apuração PIS COFINS 26-08-2005_CEB_Calculo_Subsidio_ELFSM_26_06_08_Modelo_ANEEL_IRT-cálculo" xfId="2975" xr:uid="{00000000-0005-0000-0000-000086010000}"/>
    <cellStyle name="_Correção e apuração PIS COFINS 26-08-2005_CEB_Calculo_Subsidio_ELFSM_26_06_08_Modelo_ANEEL_IRT-cálculo CAPA NEUTRALIDADE" xfId="2976" xr:uid="{00000000-0005-0000-0000-000087010000}"/>
    <cellStyle name="_Correção e apuração PIS COFINS 26-08-2005_CEB_CVA_Projetada até dez-2008_Setembro" xfId="2977" xr:uid="{00000000-0005-0000-0000-000088010000}"/>
    <cellStyle name="_Correção e apuração PIS COFINS 26-08-2005_CEB_CVA_Projetada até dez-2008_Setembro_CVA Outros Componentes PROVISÃO" xfId="2978" xr:uid="{00000000-0005-0000-0000-000089010000}"/>
    <cellStyle name="_Correção e apuração PIS COFINS 26-08-2005_CEB_CVA_Projetada até dez-2008_Setembro_PROVISÃO" xfId="2979" xr:uid="{00000000-0005-0000-0000-00008A010000}"/>
    <cellStyle name="_Correção e apuração PIS COFINS 26-08-2005_CEB_Energia Comprada" xfId="2980" xr:uid="{00000000-0005-0000-0000-00008B010000}"/>
    <cellStyle name="_Correção e apuração PIS COFINS 26-08-2005_CEB_Energia Comprada_IRT-cálculo" xfId="2981" xr:uid="{00000000-0005-0000-0000-00008C010000}"/>
    <cellStyle name="_Correção e apuração PIS COFINS 26-08-2005_CEB_Energia Comprada_IRT-cálculo CAPA NEUTRALIDADE" xfId="2982" xr:uid="{00000000-0005-0000-0000-00008D010000}"/>
    <cellStyle name="_Correção e apuração PIS COFINS 26-08-2005_CEB_Fator X" xfId="1507" xr:uid="{00000000-0005-0000-0000-00008E010000}"/>
    <cellStyle name="_Correção e apuração PIS COFINS 26-08-2005_CEB_Fator X_IRT-cálculo" xfId="2983" xr:uid="{00000000-0005-0000-0000-00008F010000}"/>
    <cellStyle name="_Correção e apuração PIS COFINS 26-08-2005_CEB_Fator X_IRT-cálculo CAPA NEUTRALIDADE" xfId="2984" xr:uid="{00000000-0005-0000-0000-000090010000}"/>
    <cellStyle name="_Correção e apuração PIS COFINS 26-08-2005_CEB_Fator X_SOBRECONTRATAÇÃO E CVA" xfId="2985" xr:uid="{00000000-0005-0000-0000-000091010000}"/>
    <cellStyle name="_Correção e apuração PIS COFINS 26-08-2005_CEB_IF - Autoprodutores 2" xfId="2986" xr:uid="{00000000-0005-0000-0000-000092010000}"/>
    <cellStyle name="_Correção e apuração PIS COFINS 26-08-2005_CEB_IF_Consumidores livres e geradoras_2010" xfId="2987" xr:uid="{00000000-0005-0000-0000-000093010000}"/>
    <cellStyle name="_Correção e apuração PIS COFINS 26-08-2005_CEB_IRT (2)" xfId="1508" xr:uid="{00000000-0005-0000-0000-000094010000}"/>
    <cellStyle name="_Correção e apuração PIS COFINS 26-08-2005_CEB_IRT (2) 2" xfId="2988" xr:uid="{00000000-0005-0000-0000-000095010000}"/>
    <cellStyle name="_Correção e apuração PIS COFINS 26-08-2005_CEB_IRT_1" xfId="1509" xr:uid="{00000000-0005-0000-0000-000096010000}"/>
    <cellStyle name="_Correção e apuração PIS COFINS 26-08-2005_CEB_IRT_1_IRT-cálculo" xfId="2989" xr:uid="{00000000-0005-0000-0000-000097010000}"/>
    <cellStyle name="_Correção e apuração PIS COFINS 26-08-2005_CEB_IRT_1_IRT-cálculo CAPA NEUTRALIDADE" xfId="2990" xr:uid="{00000000-0005-0000-0000-000098010000}"/>
    <cellStyle name="_Correção e apuração PIS COFINS 26-08-2005_CEB_IRT_1_SOBRECONTRATAÇÃO E CVA" xfId="2991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7" xr:uid="{00000000-0005-0000-0000-00009B010000}"/>
    <cellStyle name="_Correção e apuração PIS COFINS 26-08-2005_CEB_IRT_Pleito" xfId="2992" xr:uid="{00000000-0005-0000-0000-00009C010000}"/>
    <cellStyle name="_Correção e apuração PIS COFINS 26-08-2005_CEB_IRT_Pleito_IRT-cálculo" xfId="2993" xr:uid="{00000000-0005-0000-0000-00009D010000}"/>
    <cellStyle name="_Correção e apuração PIS COFINS 26-08-2005_CEB_IRT_Pleito_IRT-cálculo CAPA NEUTRALIDADE" xfId="2994" xr:uid="{00000000-0005-0000-0000-00009E010000}"/>
    <cellStyle name="_Correção e apuração PIS COFINS 26-08-2005_CEB_IRT_Revisão A-1" xfId="2995" xr:uid="{00000000-0005-0000-0000-00009F010000}"/>
    <cellStyle name="_Correção e apuração PIS COFINS 26-08-2005_CEB_IRT-cálculo" xfId="2996" xr:uid="{00000000-0005-0000-0000-0000A0010000}"/>
    <cellStyle name="_Correção e apuração PIS COFINS 26-08-2005_CEB_IRT-cálculo CAPA NEUTRALIDADE" xfId="2997" xr:uid="{00000000-0005-0000-0000-0000A1010000}"/>
    <cellStyle name="_Correção e apuração PIS COFINS 26-08-2005_CEB_Pasta1" xfId="1510" xr:uid="{00000000-0005-0000-0000-0000A2010000}"/>
    <cellStyle name="_Correção e apuração PIS COFINS 26-08-2005_CEB_Pasta1_IRT-cálculo" xfId="2998" xr:uid="{00000000-0005-0000-0000-0000A3010000}"/>
    <cellStyle name="_Correção e apuração PIS COFINS 26-08-2005_CEB_Pasta1_IRT-cálculo CAPA NEUTRALIDADE" xfId="2999" xr:uid="{00000000-0005-0000-0000-0000A4010000}"/>
    <cellStyle name="_Correção e apuração PIS COFINS 26-08-2005_CEB_Pasta1_SOBRECONTRATAÇÃO E CVA" xfId="3000" xr:uid="{00000000-0005-0000-0000-0000A5010000}"/>
    <cellStyle name="_Correção e apuração PIS COFINS 26-08-2005_CEB_Sheet1" xfId="3001" xr:uid="{00000000-0005-0000-0000-0000A6010000}"/>
    <cellStyle name="_Correção e apuração PIS COFINS 26-08-2005_CEB_SOBRECONTRATAÇÃO E CVA" xfId="3002" xr:uid="{00000000-0005-0000-0000-0000A7010000}"/>
    <cellStyle name="_Correção e apuração PIS COFINS 26-08-2005_CEB_SOBRECONTRATAÇÃO E CVA A-1" xfId="3003" xr:uid="{00000000-0005-0000-0000-0000A8010000}"/>
    <cellStyle name="_Correção e apuração PIS COFINS 26-08-2005_CEB_SOBRECONTRATAÇÃO E CVA A-1_IRT-cálculo" xfId="3004" xr:uid="{00000000-0005-0000-0000-0000A9010000}"/>
    <cellStyle name="_Correção e apuração PIS COFINS 26-08-2005_CEB_SOBRECONTRATAÇÃO E CVA A-1_IRT-cálculo CAPA NEUTRALIDADE" xfId="3005" xr:uid="{00000000-0005-0000-0000-0000AA010000}"/>
    <cellStyle name="_COSERN_IRT_2007_SIMULADOR" xfId="1511" xr:uid="{00000000-0005-0000-0000-0000AB010000}"/>
    <cellStyle name="_COSERN_IRT_2007_SIMULADOR 2" xfId="3006" xr:uid="{00000000-0005-0000-0000-0000AC010000}"/>
    <cellStyle name="_CPFL PAULISTA - Repasse sobrecontratação" xfId="3007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08" xr:uid="{00000000-0005-0000-0000-0000B0010000}"/>
    <cellStyle name="_CPFL-SobrasExposiçãoSubmercados_02 IRT COSERN 2009" xfId="1512" xr:uid="{00000000-0005-0000-0000-0000B1010000}"/>
    <cellStyle name="_CPFL-SobrasExposiçãoSubmercados_2008.08.07 CELPA IRT2008 Homologado" xfId="3009" xr:uid="{00000000-0005-0000-0000-0000B2010000}"/>
    <cellStyle name="_CPFL-SobrasExposiçãoSubmercados_2009.04.09 EEB IRT2009 Conexao CEMIG C Financeiro" xfId="3010" xr:uid="{00000000-0005-0000-0000-0000B3010000}"/>
    <cellStyle name="_CPFL-SobrasExposiçãoSubmercados_Ajuste SALDO CVA ANO ANTERIOR PÓS-REVISÃOx" xfId="3011" xr:uid="{00000000-0005-0000-0000-0000B4010000}"/>
    <cellStyle name="_CPFL-SobrasExposiçãoSubmercados_Ajustes REAJUSTE 2008 ELETROPAULO" xfId="3012" xr:uid="{00000000-0005-0000-0000-0000B5010000}"/>
    <cellStyle name="_CPFL-SobrasExposiçãoSubmercados_Ajustes REAJUSTE 2008 ELETROPAULO_IRT-cálculo" xfId="3013" xr:uid="{00000000-0005-0000-0000-0000B6010000}"/>
    <cellStyle name="_CPFL-SobrasExposiçãoSubmercados_Ajustes REAJUSTE 2008 ELETROPAULO_IRT-cálculo CAPA NEUTRALIDADE" xfId="3014" xr:uid="{00000000-0005-0000-0000-0000B7010000}"/>
    <cellStyle name="_CPFL-SobrasExposiçãoSubmercados_Ajustes REVISÃO 2007 ELETROPAULO" xfId="3015" xr:uid="{00000000-0005-0000-0000-0000B8010000}"/>
    <cellStyle name="_CPFL-SobrasExposiçãoSubmercados_Ajustes REVISÃO 2007 ELETROPAULO_IRT-cálculo" xfId="3016" xr:uid="{00000000-0005-0000-0000-0000B9010000}"/>
    <cellStyle name="_CPFL-SobrasExposiçãoSubmercados_Ajustes REVISÃO 2007 ELETROPAULO_IRT-cálculo CAPA NEUTRALIDADE" xfId="3017" xr:uid="{00000000-0005-0000-0000-0000BA010000}"/>
    <cellStyle name="_CPFL-SobrasExposiçãoSubmercados_Balanço" xfId="57" xr:uid="{00000000-0005-0000-0000-0000BB010000}"/>
    <cellStyle name="_CPFL-SobrasExposiçãoSubmercados_Balanço 2" xfId="1188" xr:uid="{00000000-0005-0000-0000-0000BC010000}"/>
    <cellStyle name="_CPFL-SobrasExposiçãoSubmercados_Cálculo do Financeiro do Baixa Renda" xfId="3018" xr:uid="{00000000-0005-0000-0000-0000BD010000}"/>
    <cellStyle name="_CPFL-SobrasExposiçãoSubmercados_Cálculo do Financeiro do Baixa Renda_IRT-cálculo" xfId="3019" xr:uid="{00000000-0005-0000-0000-0000BE010000}"/>
    <cellStyle name="_CPFL-SobrasExposiçãoSubmercados_Cálculo do Financeiro do Baixa Renda_IRT-cálculo CAPA NEUTRALIDADE" xfId="3020" xr:uid="{00000000-0005-0000-0000-0000BF010000}"/>
    <cellStyle name="_CPFL-SobrasExposiçãoSubmercados_Calculo_Subsidio_ELFSM_26_06_08_Modelo_ANEEL" xfId="3021" xr:uid="{00000000-0005-0000-0000-0000C0010000}"/>
    <cellStyle name="_CPFL-SobrasExposiçãoSubmercados_Calculo_Subsidio_ELFSM_26_06_08_Modelo_ANEEL_IRT-cálculo" xfId="3022" xr:uid="{00000000-0005-0000-0000-0000C1010000}"/>
    <cellStyle name="_CPFL-SobrasExposiçãoSubmercados_Calculo_Subsidio_ELFSM_26_06_08_Modelo_ANEEL_IRT-cálculo CAPA NEUTRALIDADE" xfId="3023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89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4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0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1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2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5" xr:uid="{00000000-0005-0000-0000-0000D2010000}"/>
    <cellStyle name="_CPFL-SobrasExposiçãoSubmercados_Cópia de IRT_CPFL_LESTE_PAULISTA(CPEE)_fev2009-COM_PREVISÃO_BR_da_Diretoria_pos_IGPM_IRT EEB 2010" xfId="3026" xr:uid="{00000000-0005-0000-0000-0000D3010000}"/>
    <cellStyle name="_CPFL-SobrasExposiçãoSubmercados_Custo com Avaliação de Ativos para Base de Remuneração" xfId="3027" xr:uid="{00000000-0005-0000-0000-0000D4010000}"/>
    <cellStyle name="_CPFL-SobrasExposiçãoSubmercados_Custo com Avaliação de Ativos para Base de Remuneração_IRT-cálculo" xfId="3028" xr:uid="{00000000-0005-0000-0000-0000D5010000}"/>
    <cellStyle name="_CPFL-SobrasExposiçãoSubmercados_Custo com Avaliação de Ativos para Base de Remuneração_IRT-cálculo CAPA NEUTRALIDADE" xfId="3029" xr:uid="{00000000-0005-0000-0000-0000D6010000}"/>
    <cellStyle name="_CPFL-SobrasExposiçãoSubmercados_CVA e Subsídios fiscalização ESCELSA_08_07_2009 v3 SRE" xfId="3030" xr:uid="{00000000-0005-0000-0000-0000D7010000}"/>
    <cellStyle name="_CPFL-SobrasExposiçãoSubmercados_CVA Outros Componentes PROVISÃO" xfId="3031" xr:uid="{00000000-0005-0000-0000-0000D8010000}"/>
    <cellStyle name="_CPFL-SobrasExposiçãoSubmercados_CVA_Projetada até dez-2008_Setembro" xfId="3032" xr:uid="{00000000-0005-0000-0000-0000D9010000}"/>
    <cellStyle name="_CPFL-SobrasExposiçãoSubmercados_Descontos CCC_CDE_PROINFA Nov_07_Out_08" xfId="3033" xr:uid="{00000000-0005-0000-0000-0000DA010000}"/>
    <cellStyle name="_CPFL-SobrasExposiçãoSubmercados_Descontos CCC_CDE_PROINFA Nov_07_Out_08_IRT-cálculo" xfId="3034" xr:uid="{00000000-0005-0000-0000-0000DB010000}"/>
    <cellStyle name="_CPFL-SobrasExposiçãoSubmercados_Descontos CCC_CDE_PROINFA Nov_07_Out_08_IRT-cálculo CAPA NEUTRALIDADE" xfId="3035" xr:uid="{00000000-0005-0000-0000-0000DC010000}"/>
    <cellStyle name="_CPFL-SobrasExposiçãoSubmercados_Energia Comprada" xfId="3036" xr:uid="{00000000-0005-0000-0000-0000DD010000}"/>
    <cellStyle name="_CPFL-SobrasExposiçãoSubmercados_Energia Comprada_IRT-cálculo" xfId="3037" xr:uid="{00000000-0005-0000-0000-0000DE010000}"/>
    <cellStyle name="_CPFL-SobrasExposiçãoSubmercados_Energia Comprada_IRT-cálculo CAPA NEUTRALIDADE" xfId="3038" xr:uid="{00000000-0005-0000-0000-0000DF010000}"/>
    <cellStyle name="_CPFL-SobrasExposiçãoSubmercados_Fator Novo e Antigo 4 anos" xfId="3039" xr:uid="{00000000-0005-0000-0000-0000E0010000}"/>
    <cellStyle name="_CPFL-SobrasExposiçãoSubmercados_Fator X" xfId="1513" xr:uid="{00000000-0005-0000-0000-0000E1010000}"/>
    <cellStyle name="_CPFL-SobrasExposiçãoSubmercados_Fator X 2" xfId="3040" xr:uid="{00000000-0005-0000-0000-0000E2010000}"/>
    <cellStyle name="_CPFL-SobrasExposiçãoSubmercados_Fator X_IRT-cálculo" xfId="3041" xr:uid="{00000000-0005-0000-0000-0000E3010000}"/>
    <cellStyle name="_CPFL-SobrasExposiçãoSubmercados_Fator X_IRT-cálculo CAPA NEUTRALIDADE" xfId="3042" xr:uid="{00000000-0005-0000-0000-0000E4010000}"/>
    <cellStyle name="_CPFL-SobrasExposiçãoSubmercados_Fator X_SOBRECONTRATAÇÃO E CVA" xfId="3043" xr:uid="{00000000-0005-0000-0000-0000E5010000}"/>
    <cellStyle name="_CPFL-SobrasExposiçãoSubmercados_IF - Autoprodutores 2" xfId="3044" xr:uid="{00000000-0005-0000-0000-0000E6010000}"/>
    <cellStyle name="_CPFL-SobrasExposiçãoSubmercados_IF_Consumidores livres e geradoras_2010" xfId="3045" xr:uid="{00000000-0005-0000-0000-0000E7010000}"/>
    <cellStyle name="_CPFL-SobrasExposiçãoSubmercados_IRT" xfId="3046" xr:uid="{00000000-0005-0000-0000-0000E8010000}"/>
    <cellStyle name="_CPFL-SobrasExposiçãoSubmercados_IRT (2)" xfId="1514" xr:uid="{00000000-0005-0000-0000-0000E9010000}"/>
    <cellStyle name="_CPFL-SobrasExposiçãoSubmercados_IRT CELTINS 2009 versão 5" xfId="3047" xr:uid="{00000000-0005-0000-0000-0000EA010000}"/>
    <cellStyle name="_CPFL-SobrasExposiçãoSubmercados_IRT EEB 2010" xfId="3048" xr:uid="{00000000-0005-0000-0000-0000EB010000}"/>
    <cellStyle name="_CPFL-SobrasExposiçãoSubmercados_IRT Piratininga 2009" xfId="68" xr:uid="{00000000-0005-0000-0000-0000EC010000}"/>
    <cellStyle name="_CPFL-SobrasExposiçãoSubmercados_IRT Piratininga 2009 2" xfId="1193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49" xr:uid="{00000000-0005-0000-0000-0000F0010000}"/>
    <cellStyle name="_CPFL-SobrasExposiçãoSubmercados_IRT Reloaded" xfId="71" xr:uid="{00000000-0005-0000-0000-0000F1010000}"/>
    <cellStyle name="_CPFL-SobrasExposiçãoSubmercados_IRT Reloaded 2" xfId="1194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5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6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0" xr:uid="{00000000-0005-0000-0000-0000FA010000}"/>
    <cellStyle name="_CPFL-SobrasExposiçãoSubmercados_IRT Reloaded_IRT EEB 2010" xfId="3051" xr:uid="{00000000-0005-0000-0000-0000FB010000}"/>
    <cellStyle name="_CPFL-SobrasExposiçãoSubmercados_IRT_1" xfId="1515" xr:uid="{00000000-0005-0000-0000-0000FC010000}"/>
    <cellStyle name="_CPFL-SobrasExposiçãoSubmercados_IRT_1 2" xfId="3052" xr:uid="{00000000-0005-0000-0000-0000FD010000}"/>
    <cellStyle name="_CPFL-SobrasExposiçãoSubmercados_IRT_1_IRT-cálculo" xfId="3053" xr:uid="{00000000-0005-0000-0000-0000FE010000}"/>
    <cellStyle name="_CPFL-SobrasExposiçãoSubmercados_IRT_1_IRT-cálculo CAPA NEUTRALIDADE" xfId="3054" xr:uid="{00000000-0005-0000-0000-0000FF010000}"/>
    <cellStyle name="_CPFL-SobrasExposiçãoSubmercados_IRT_1_SOBRECONTRATAÇÃO E CVA" xfId="3055" xr:uid="{00000000-0005-0000-0000-000000020000}"/>
    <cellStyle name="_CPFL-SobrasExposiçãoSubmercados_IRT_Bragantina_maio_2009" xfId="3056" xr:uid="{00000000-0005-0000-0000-000001020000}"/>
    <cellStyle name="_CPFL-SobrasExposiçãoSubmercados_IRT_CEMAT_2009" xfId="3057" xr:uid="{00000000-0005-0000-0000-000002020000}"/>
    <cellStyle name="_CPFL-SobrasExposiçãoSubmercados_IRT_EBB_mai2010d" xfId="3058" xr:uid="{00000000-0005-0000-0000-000003020000}"/>
    <cellStyle name="_CPFL-SobrasExposiçãoSubmercados_IRT_ENERGISA_SE_abr2009" xfId="3059" xr:uid="{00000000-0005-0000-0000-000004020000}"/>
    <cellStyle name="_CPFL-SobrasExposiçãoSubmercados_IRT_ENF" xfId="3060" xr:uid="{00000000-0005-0000-0000-000005020000}"/>
    <cellStyle name="_CPFL-SobrasExposiçãoSubmercados_IRT_Escelsa" xfId="3061" xr:uid="{00000000-0005-0000-0000-000006020000}"/>
    <cellStyle name="_CPFL-SobrasExposiçãoSubmercados_IRT_LIGHT_nov2007" xfId="1516" xr:uid="{00000000-0005-0000-0000-000007020000}"/>
    <cellStyle name="_CPFL-SobrasExposiçãoSubmercados_IRT_LIGHT_nov2007 2" xfId="3062" xr:uid="{00000000-0005-0000-0000-000008020000}"/>
    <cellStyle name="_CPFL-SobrasExposiçãoSubmercados_IRT_LIGHT_nov2007_IRT-cálculo" xfId="3063" xr:uid="{00000000-0005-0000-0000-000009020000}"/>
    <cellStyle name="_CPFL-SobrasExposiçãoSubmercados_IRT_LIGHT_nov2007_IRT-cálculo CAPA NEUTRALIDADE" xfId="3064" xr:uid="{00000000-0005-0000-0000-00000A020000}"/>
    <cellStyle name="_CPFL-SobrasExposiçãoSubmercados_IRT_LIGHT_nov2007_SOBRECONTRATAÇÃO E CVA" xfId="3065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7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6" xr:uid="{00000000-0005-0000-0000-000010020000}"/>
    <cellStyle name="_CPFL-SobrasExposiçãoSubmercados_IRT_Planilha Básica_30jun2009" xfId="3067" xr:uid="{00000000-0005-0000-0000-000011020000}"/>
    <cellStyle name="_CPFL-SobrasExposiçãoSubmercados_IRT_Planilha Básica_DIRETORIA" xfId="3068" xr:uid="{00000000-0005-0000-0000-000012020000}"/>
    <cellStyle name="_CPFL-SobrasExposiçãoSubmercados_IRT_Planilha Básica_fev2010" xfId="3069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8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199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0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0" xr:uid="{00000000-0005-0000-0000-00001D020000}"/>
    <cellStyle name="_CPFL-SobrasExposiçãoSubmercados_IRT_Planilha Básica_fev2010a_IRT EEB 2010" xfId="3071" xr:uid="{00000000-0005-0000-0000-00001E020000}"/>
    <cellStyle name="_CPFL-SobrasExposiçãoSubmercados_IRT_Planilha Básica_jun2009" xfId="3072" xr:uid="{00000000-0005-0000-0000-00001F020000}"/>
    <cellStyle name="_CPFL-SobrasExposiçãoSubmercados_IRT_Planilha Básica_mar2010b" xfId="3073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1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2" xr:uid="{00000000-0005-0000-0000-000024020000}"/>
    <cellStyle name="_CPFL-SobrasExposiçãoSubmercados_IRT_Planilha Básica_março2009_02 IRT Bandeirante 2009" xfId="3074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3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4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5" xr:uid="{00000000-0005-0000-0000-00002D020000}"/>
    <cellStyle name="_CPFL-SobrasExposiçãoSubmercados_IRT_Planilha Básica_março2009_COELCE  ICMS Não Compensado RTO 2012 281211" xfId="3076" xr:uid="{00000000-0005-0000-0000-00002E020000}"/>
    <cellStyle name="_CPFL-SobrasExposiçãoSubmercados_IRT_Planilha Básica_março2009_COELCE - RTO 2011 - PLPT_PLANILHA_CÁLCULO_DÉFICIT" xfId="3077" xr:uid="{00000000-0005-0000-0000-00002F020000}"/>
    <cellStyle name="_CPFL-SobrasExposiçãoSubmercados_IRT_Planilha Básica_março2009_IRT EEB 2010" xfId="3078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5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79" xr:uid="{00000000-0005-0000-0000-000035020000}"/>
    <cellStyle name="_CPFL-SobrasExposiçãoSubmercados_IRT_Planilha Básica_março2009_IRT_EBB_mai2010d" xfId="3080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6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1" xr:uid="{00000000-0005-0000-0000-00003B020000}"/>
    <cellStyle name="_CPFL-SobrasExposiçãoSubmercados_IRT_Planilha Básica_março2009_IRT_Planilha Básica_DIRETORIA" xfId="3082" xr:uid="{00000000-0005-0000-0000-00003C020000}"/>
    <cellStyle name="_CPFL-SobrasExposiçãoSubmercados_IRT_Planilha Básica_março2009_IRT_Planilha Básica_fev2010" xfId="3083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7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8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09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4" xr:uid="{00000000-0005-0000-0000-000047020000}"/>
    <cellStyle name="_CPFL-SobrasExposiçãoSubmercados_IRT_Planilha Básica_março2009_IRT_Planilha Básica_fev2010a_IRT EEB 2010" xfId="3085" xr:uid="{00000000-0005-0000-0000-000048020000}"/>
    <cellStyle name="_CPFL-SobrasExposiçãoSubmercados_IRT_Planilha Básica_março2009_IRT_Planilha Básica_jan2010" xfId="3086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0" xr:uid="{00000000-0005-0000-0000-00004B020000}"/>
    <cellStyle name="_CPFL-SobrasExposiçãoSubmercados_IRT_Planilha Básica_março2009_IRT_Planilha Básica_NOVA METODOLOGIA" xfId="3087" xr:uid="{00000000-0005-0000-0000-00004C020000}"/>
    <cellStyle name="_CPFL-SobrasExposiçãoSubmercados_IRT_Planilha Básica_março2009_IRT_Santa 2010" xfId="3088" xr:uid="{00000000-0005-0000-0000-00004D020000}"/>
    <cellStyle name="_CPFL-SobrasExposiçãoSubmercados_IRT_Planilha Básica_março2009_Resultados_DEA_RND_QUAL_PERDAS" xfId="3089" xr:uid="{00000000-0005-0000-0000-00004E020000}"/>
    <cellStyle name="_CPFL-SobrasExposiçãoSubmercados_IRT_Planilha Básica_março2009_Simulação congelamento COELCE 2011 - Propostas 3ª Fase AP040 (20.12.2011)" xfId="3090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1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2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3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1" xr:uid="{00000000-0005-0000-0000-000059020000}"/>
    <cellStyle name="_CPFL-SobrasExposiçãoSubmercados_IRT_Planilha Básica_março2009_teste ampla_IRT EEB 2010" xfId="3092" xr:uid="{00000000-0005-0000-0000-00005A020000}"/>
    <cellStyle name="_CPFL-SobrasExposiçãoSubmercados_IRT_Planilha Básica_NOVA METODOLOGIA" xfId="3093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4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5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6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4" xr:uid="{00000000-0005-0000-0000-000065020000}"/>
    <cellStyle name="_CPFL-SobrasExposiçãoSubmercados_IRT_Planilha Básica_out2009_IRT EEB 2010" xfId="3095" xr:uid="{00000000-0005-0000-0000-000066020000}"/>
    <cellStyle name="_CPFL-SobrasExposiçãoSubmercados_IRT_Pleito" xfId="3096" xr:uid="{00000000-0005-0000-0000-000067020000}"/>
    <cellStyle name="_CPFL-SobrasExposiçãoSubmercados_IRT_Pleito_IRT-cálculo" xfId="3097" xr:uid="{00000000-0005-0000-0000-000068020000}"/>
    <cellStyle name="_CPFL-SobrasExposiçãoSubmercados_IRT_Pleito_IRT-cálculo CAPA NEUTRALIDADE" xfId="3098" xr:uid="{00000000-0005-0000-0000-000069020000}"/>
    <cellStyle name="_CPFL-SobrasExposiçãoSubmercados_IRT_Revisão A-1" xfId="3099" xr:uid="{00000000-0005-0000-0000-00006A020000}"/>
    <cellStyle name="_CPFL-SobrasExposiçãoSubmercados_IRT_Revisão A-1_IRT-cálculo" xfId="3100" xr:uid="{00000000-0005-0000-0000-00006B020000}"/>
    <cellStyle name="_CPFL-SobrasExposiçãoSubmercados_IRT_Revisão A-1_IRT-cálculo CAPA NEUTRALIDADE" xfId="3101" xr:uid="{00000000-0005-0000-0000-00006C020000}"/>
    <cellStyle name="_CPFL-SobrasExposiçãoSubmercados_IRT_SantaCruzpós IGPM" xfId="3102" xr:uid="{00000000-0005-0000-0000-00006D020000}"/>
    <cellStyle name="_CPFL-SobrasExposiçãoSubmercados_IRT1" xfId="3103" xr:uid="{00000000-0005-0000-0000-00006E020000}"/>
    <cellStyle name="_CPFL-SobrasExposiçãoSubmercados_IRT1_IRT-cálculo" xfId="3104" xr:uid="{00000000-0005-0000-0000-00006F020000}"/>
    <cellStyle name="_CPFL-SobrasExposiçãoSubmercados_IRT1_IRT-cálculo CAPA NEUTRALIDADE" xfId="3105" xr:uid="{00000000-0005-0000-0000-000070020000}"/>
    <cellStyle name="_CPFL-SobrasExposiçãoSubmercados_IRT-2010_COPEL_SOBRECONTRATAÇÃOeCVAenergia" xfId="1517" xr:uid="{00000000-0005-0000-0000-000071020000}"/>
    <cellStyle name="_CPFL-SobrasExposiçãoSubmercados_IRT-cálculo" xfId="3106" xr:uid="{00000000-0005-0000-0000-000072020000}"/>
    <cellStyle name="_CPFL-SobrasExposiçãoSubmercados_IRT-cálculo CAPA NEUTRALIDADE" xfId="3107" xr:uid="{00000000-0005-0000-0000-000073020000}"/>
    <cellStyle name="_CPFL-SobrasExposiçãoSubmercados_Pasta1" xfId="1518" xr:uid="{00000000-0005-0000-0000-000074020000}"/>
    <cellStyle name="_CPFL-SobrasExposiçãoSubmercados_Pasta1 2" xfId="3108" xr:uid="{00000000-0005-0000-0000-000075020000}"/>
    <cellStyle name="_CPFL-SobrasExposiçãoSubmercados_Pasta1_IRT-cálculo" xfId="3109" xr:uid="{00000000-0005-0000-0000-000076020000}"/>
    <cellStyle name="_CPFL-SobrasExposiçãoSubmercados_Pasta1_IRT-cálculo CAPA NEUTRALIDADE" xfId="3110" xr:uid="{00000000-0005-0000-0000-000077020000}"/>
    <cellStyle name="_CPFL-SobrasExposiçãoSubmercados_Pasta1_SOBRECONTRATAÇÃO E CVA" xfId="3111" xr:uid="{00000000-0005-0000-0000-000078020000}"/>
    <cellStyle name="_CPFL-SobrasExposiçãoSubmercados_Pasta2" xfId="118" xr:uid="{00000000-0005-0000-0000-000079020000}"/>
    <cellStyle name="_CPFL-SobrasExposiçãoSubmercados_Pasta2 2" xfId="1217" xr:uid="{00000000-0005-0000-0000-00007A020000}"/>
    <cellStyle name="_CPFL-SobrasExposiçãoSubmercados_Pasta2_02 IRT Bandeirante 2009" xfId="3112" xr:uid="{00000000-0005-0000-0000-00007B020000}"/>
    <cellStyle name="_CPFL-SobrasExposiçãoSubmercados_Pasta2_Balanço" xfId="119" xr:uid="{00000000-0005-0000-0000-00007C020000}"/>
    <cellStyle name="_CPFL-SobrasExposiçãoSubmercados_Pasta2_Balanço 2" xfId="1218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19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3" xr:uid="{00000000-0005-0000-0000-000083020000}"/>
    <cellStyle name="_CPFL-SobrasExposiçãoSubmercados_Pasta2_IRT EEB 2010" xfId="3114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0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5" xr:uid="{00000000-0005-0000-0000-000089020000}"/>
    <cellStyle name="_CPFL-SobrasExposiçãoSubmercados_Pasta2_IRT_EBB_mai2010d" xfId="3116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1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7" xr:uid="{00000000-0005-0000-0000-00008F020000}"/>
    <cellStyle name="_CPFL-SobrasExposiçãoSubmercados_Pasta2_IRT_Planilha Básica_DIRETORIA" xfId="3118" xr:uid="{00000000-0005-0000-0000-000090020000}"/>
    <cellStyle name="_CPFL-SobrasExposiçãoSubmercados_Pasta2_IRT_Planilha Básica_fev2010" xfId="3119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2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3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4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0" xr:uid="{00000000-0005-0000-0000-00009B020000}"/>
    <cellStyle name="_CPFL-SobrasExposiçãoSubmercados_Pasta2_IRT_Planilha Básica_fev2010a_IRT EEB 2010" xfId="3121" xr:uid="{00000000-0005-0000-0000-00009C020000}"/>
    <cellStyle name="_CPFL-SobrasExposiçãoSubmercados_Pasta2_IRT_Planilha Básica_jan2010" xfId="3122" xr:uid="{00000000-0005-0000-0000-00009D020000}"/>
    <cellStyle name="_CPFL-SobrasExposiçãoSubmercados_Pasta2_IRT_Planilha Básica_mar2010b" xfId="3123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5" xr:uid="{00000000-0005-0000-0000-0000A0020000}"/>
    <cellStyle name="_CPFL-SobrasExposiçãoSubmercados_Pasta2_IRT_Planilha Básica_NOVA METODOLOGIA" xfId="3124" xr:uid="{00000000-0005-0000-0000-0000A1020000}"/>
    <cellStyle name="_CPFL-SobrasExposiçãoSubmercados_Pasta2_IRT_Santa 2010" xfId="3125" xr:uid="{00000000-0005-0000-0000-0000A2020000}"/>
    <cellStyle name="_CPFL-SobrasExposiçãoSubmercados_Pasta2_IRT-cálculo" xfId="3126" xr:uid="{00000000-0005-0000-0000-0000A3020000}"/>
    <cellStyle name="_CPFL-SobrasExposiçãoSubmercados_Pasta2_IRT-cálculo CAPA NEUTRALIDADE" xfId="3127" xr:uid="{00000000-0005-0000-0000-0000A4020000}"/>
    <cellStyle name="_CPFL-SobrasExposiçãoSubmercados_Pasta2_Resultados_DEA_RND_QUAL_PERDAS" xfId="3128" xr:uid="{00000000-0005-0000-0000-0000A5020000}"/>
    <cellStyle name="_CPFL-SobrasExposiçãoSubmercados_Pasta2_teste ampla" xfId="137" xr:uid="{00000000-0005-0000-0000-0000A6020000}"/>
    <cellStyle name="_CPFL-SobrasExposiçãoSubmercados_Pasta2_teste ampla 2" xfId="1226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7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8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29" xr:uid="{00000000-0005-0000-0000-0000AF020000}"/>
    <cellStyle name="_CPFL-SobrasExposiçãoSubmercados_Pasta2_teste ampla_IRT EEB 2010" xfId="3130" xr:uid="{00000000-0005-0000-0000-0000B0020000}"/>
    <cellStyle name="_CPFL-SobrasExposiçãoSubmercados_Plan1" xfId="3131" xr:uid="{00000000-0005-0000-0000-0000B1020000}"/>
    <cellStyle name="_CPFL-SobrasExposiçãoSubmercados_Pleito_IRT_EBO_2010_FINAL_ENVIO_ANEEL" xfId="3132" xr:uid="{00000000-0005-0000-0000-0000B2020000}"/>
    <cellStyle name="_CPFL-SobrasExposiçãoSubmercados_PROVISÃO" xfId="3133" xr:uid="{00000000-0005-0000-0000-0000B3020000}"/>
    <cellStyle name="_CPFL-SobrasExposiçãoSubmercados_Receita de Venda Leilão Nova Térmico" xfId="3134" xr:uid="{00000000-0005-0000-0000-0000B4020000}"/>
    <cellStyle name="_CPFL-SobrasExposiçãoSubmercados_Receita de Venda Leilão Nova Térmico_IRT-cálculo" xfId="3135" xr:uid="{00000000-0005-0000-0000-0000B5020000}"/>
    <cellStyle name="_CPFL-SobrasExposiçãoSubmercados_Receita de Venda Leilão Nova Térmico_IRT-cálculo CAPA NEUTRALIDADE" xfId="3136" xr:uid="{00000000-0005-0000-0000-0000B6020000}"/>
    <cellStyle name="_CPFL-SobrasExposiçãoSubmercados_Resultados_DEA_RND_QUAL_PERDAS" xfId="3137" xr:uid="{00000000-0005-0000-0000-0000B7020000}"/>
    <cellStyle name="_CPFL-SobrasExposiçãoSubmercados_Sheet1" xfId="3138" xr:uid="{00000000-0005-0000-0000-0000B8020000}"/>
    <cellStyle name="_CPFL-SobrasExposiçãoSubmercados_Sheet2" xfId="3139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29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0" xr:uid="{00000000-0005-0000-0000-0000BE020000}"/>
    <cellStyle name="_CPFL-SobrasExposiçãoSubmercados_Simulação CEPISA XX_08_07" xfId="1519" xr:uid="{00000000-0005-0000-0000-0000BF020000}"/>
    <cellStyle name="_CPFL-SobrasExposiçãoSubmercados_Simulação Nova Carga Coteminas RT EBO" xfId="3141" xr:uid="{00000000-0005-0000-0000-0000C0020000}"/>
    <cellStyle name="_CPFL-SobrasExposiçãoSubmercados_Simulador modelo" xfId="146" xr:uid="{00000000-0005-0000-0000-0000C1020000}"/>
    <cellStyle name="_CPFL-SobrasExposiçãoSubmercados_Simulador modelo 2" xfId="1230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1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2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2" xr:uid="{00000000-0005-0000-0000-0000CA020000}"/>
    <cellStyle name="_CPFL-SobrasExposiçãoSubmercados_Simulador modelo_IRT EEB 2010" xfId="3143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3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4" xr:uid="{00000000-0005-0000-0000-0000D0020000}"/>
    <cellStyle name="_CPFL-SobrasExposiçãoSubmercados_SOBRECONTRATAÇÃO E CVA" xfId="3145" xr:uid="{00000000-0005-0000-0000-0000D1020000}"/>
    <cellStyle name="_CPFL-SobrasExposiçãoSubmercados_SOBRECONTRATAÇÃO E CVA A-1" xfId="3146" xr:uid="{00000000-0005-0000-0000-0000D2020000}"/>
    <cellStyle name="_CPFL-SobrasExposiçãoSubmercados_SOBRECONTRATAÇÃO E CVA A-1_IRT-cálculo" xfId="3147" xr:uid="{00000000-0005-0000-0000-0000D3020000}"/>
    <cellStyle name="_CPFL-SobrasExposiçãoSubmercados_SOBRECONTRATAÇÃO E CVA A-1_IRT-cálculo CAPA NEUTRALIDADE" xfId="3148" xr:uid="{00000000-0005-0000-0000-0000D4020000}"/>
    <cellStyle name="_CPFL-SobrasExposiçãoSubmercados_SOBRECONTRATAÇÃO E CVA Energisa Paraíba" xfId="3149" xr:uid="{00000000-0005-0000-0000-0000D5020000}"/>
    <cellStyle name="_CPFL-SobrasExposiçãoSubmercados_SOBRECONTRATAÇÃO-RES 255-2007-ap038-07-CPFL07" xfId="3150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4" xr:uid="{00000000-0005-0000-0000-0000D8020000}"/>
    <cellStyle name="_CPFL-SobrasExposiçãoSubmercados_Subsídios para análise da SRE_02 IRT Bandeirante 2009" xfId="3151" xr:uid="{00000000-0005-0000-0000-0000D9020000}"/>
    <cellStyle name="_CPFL-SobrasExposiçãoSubmercados_Subsídios para análise da SRE_1" xfId="3152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5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6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3" xr:uid="{00000000-0005-0000-0000-0000E2020000}"/>
    <cellStyle name="_CPFL-SobrasExposiçãoSubmercados_Subsídios para análise da SRE_IRT EEB 2010" xfId="3154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7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5" xr:uid="{00000000-0005-0000-0000-0000E8020000}"/>
    <cellStyle name="_CPFL-SobrasExposiçãoSubmercados_Subsídios para análise da SRE_IRT_EBB_mai2010d" xfId="3156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8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7" xr:uid="{00000000-0005-0000-0000-0000EE020000}"/>
    <cellStyle name="_CPFL-SobrasExposiçãoSubmercados_Subsídios para análise da SRE_IRT_Planilha Básica_DIRETORIA" xfId="3158" xr:uid="{00000000-0005-0000-0000-0000EF020000}"/>
    <cellStyle name="_CPFL-SobrasExposiçãoSubmercados_Subsídios para análise da SRE_IRT_Planilha Básica_fev2010" xfId="3159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39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0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1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0" xr:uid="{00000000-0005-0000-0000-0000FA020000}"/>
    <cellStyle name="_CPFL-SobrasExposiçãoSubmercados_Subsídios para análise da SRE_IRT_Planilha Básica_fev2010a_IRT EEB 2010" xfId="3161" xr:uid="{00000000-0005-0000-0000-0000FB020000}"/>
    <cellStyle name="_CPFL-SobrasExposiçãoSubmercados_Subsídios para análise da SRE_IRT_Planilha Básica_jan2010" xfId="3162" xr:uid="{00000000-0005-0000-0000-0000FC020000}"/>
    <cellStyle name="_CPFL-SobrasExposiçãoSubmercados_Subsídios para análise da SRE_IRT_Planilha Básica_mar2010b" xfId="3163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2" xr:uid="{00000000-0005-0000-0000-0000FF020000}"/>
    <cellStyle name="_CPFL-SobrasExposiçãoSubmercados_Subsídios para análise da SRE_IRT_Planilha Básica_NOVA METODOLOGIA" xfId="3164" xr:uid="{00000000-0005-0000-0000-000000030000}"/>
    <cellStyle name="_CPFL-SobrasExposiçãoSubmercados_Subsídios para análise da SRE_IRT_Santa 2010" xfId="3165" xr:uid="{00000000-0005-0000-0000-000001030000}"/>
    <cellStyle name="_CPFL-SobrasExposiçãoSubmercados_Subsídios para análise da SRE_IRT-cálculo" xfId="3166" xr:uid="{00000000-0005-0000-0000-000002030000}"/>
    <cellStyle name="_CPFL-SobrasExposiçãoSubmercados_Subsídios para análise da SRE_IRT-cálculo CAPA NEUTRALIDADE" xfId="3167" xr:uid="{00000000-0005-0000-0000-000003030000}"/>
    <cellStyle name="_CPFL-SobrasExposiçãoSubmercados_Subsídios para análise da SRE_Resultados_DEA_RND_QUAL_PERDAS" xfId="3168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3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4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5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69" xr:uid="{00000000-0005-0000-0000-00000E030000}"/>
    <cellStyle name="_CPFL-SobrasExposiçãoSubmercados_Subsídios para análise da SRE_teste ampla_IRT EEB 2010" xfId="3170" xr:uid="{00000000-0005-0000-0000-00000F030000}"/>
    <cellStyle name="_CPFL-SobrasExposiçãoSubmercados_SubsídiosAnáliseSRE_COSERN_IRT-2010" xfId="1520" xr:uid="{00000000-0005-0000-0000-000010030000}"/>
    <cellStyle name="_CPFL-SobrasExposiçãoSubmercados_teste ampla" xfId="180" xr:uid="{00000000-0005-0000-0000-000011030000}"/>
    <cellStyle name="_CPFL-SobrasExposiçãoSubmercados_teste ampla 2" xfId="1246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7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8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1" xr:uid="{00000000-0005-0000-0000-00001A030000}"/>
    <cellStyle name="_CPFL-SobrasExposiçãoSubmercados_teste ampla_IRT EEB 2010" xfId="3172" xr:uid="{00000000-0005-0000-0000-00001B030000}"/>
    <cellStyle name="_CVA e Subsídios para Fiscalizaçao SFF" xfId="3173" xr:uid="{00000000-0005-0000-0000-00001C030000}"/>
    <cellStyle name="_CVA_Celpe_final_tarifa média" xfId="1521" xr:uid="{00000000-0005-0000-0000-00001D030000}"/>
    <cellStyle name="_CVA_Energia_Sobrecontratacao_23_06_2009" xfId="3174" xr:uid="{00000000-0005-0000-0000-00001E030000}"/>
    <cellStyle name="_CVA_SFF_CELPA_AGO2006" xfId="1522" xr:uid="{00000000-0005-0000-0000-00001F030000}"/>
    <cellStyle name="_CVA_SFF_CELPA_AGO2006 2" xfId="3175" xr:uid="{00000000-0005-0000-0000-000020030000}"/>
    <cellStyle name="_CVA_SFF_CELPA_AGO2006_COELCE - RTO 2011 - PLPT_PLANILHA_CÁLCULO_DÉFICIT" xfId="3176" xr:uid="{00000000-0005-0000-0000-000021030000}"/>
    <cellStyle name="_CVAacompensar_ESCELSA_ago-07_jul-08" xfId="3177" xr:uid="{00000000-0005-0000-0000-000022030000}"/>
    <cellStyle name="_CVAacompensar_ESCELSA_ago-07_jul-08_IRT-cálculo" xfId="3178" xr:uid="{00000000-0005-0000-0000-000023030000}"/>
    <cellStyle name="_CVAacompensar_ESCELSA_ago-07_jul-08_IRT-cálculo CAPA NEUTRALIDADE" xfId="3179" xr:uid="{00000000-0005-0000-0000-000024030000}"/>
    <cellStyle name="_Dados 2 ciclo Revisão Tarifaria Santa Cruz Base de Dados" xfId="3180" xr:uid="{00000000-0005-0000-0000-000025030000}"/>
    <cellStyle name="_Dados_Rede_Basica_Compra_ESC_IRT_2008" xfId="3181" xr:uid="{00000000-0005-0000-0000-000026030000}"/>
    <cellStyle name="_Dados_Rede_Basica_Compra_ESC_IRT_2008_IRT-cálculo" xfId="3182" xr:uid="{00000000-0005-0000-0000-000027030000}"/>
    <cellStyle name="_Dados_Rede_Basica_Compra_ESC_IRT_2008_IRT-cálculo CAPA NEUTRALIDADE" xfId="3183" xr:uid="{00000000-0005-0000-0000-000028030000}"/>
    <cellStyle name="_Desverticalização EDEVP" xfId="3184" xr:uid="{00000000-0005-0000-0000-000029030000}"/>
    <cellStyle name="_Desverticalização EDEVP_2009.04.09 EEB IRT2009 Conexao CEMIG C Financeiro" xfId="3185" xr:uid="{00000000-0005-0000-0000-00002A030000}"/>
    <cellStyle name="_Desverticalização EDEVP_IF - Autoprodutores 2" xfId="3186" xr:uid="{00000000-0005-0000-0000-00002B030000}"/>
    <cellStyle name="_Desverticalização EDEVP_IF_Consumidores livres e geradoras_2010" xfId="3187" xr:uid="{00000000-0005-0000-0000-00002C030000}"/>
    <cellStyle name="_Desverticalização EDEVP_Sheet1" xfId="3188" xr:uid="{00000000-0005-0000-0000-00002D030000}"/>
    <cellStyle name="_EBO 2009 Subsídio Irrigantes - Final" xfId="3189" xr:uid="{00000000-0005-0000-0000-00002E030000}"/>
    <cellStyle name="_EBOSubsídio Fontes Alternativas Cons Livre - final" xfId="3190" xr:uid="{00000000-0005-0000-0000-00002F030000}"/>
    <cellStyle name="_EDVP-SobrasExposiçãoSubmercados" xfId="3191" xr:uid="{00000000-0005-0000-0000-000030030000}"/>
    <cellStyle name="_EDVP-SobrasExposiçãoSubmercados_2009.04.09 EEB IRT2009 Conexao CEMIG C Financeiro" xfId="3192" xr:uid="{00000000-0005-0000-0000-000031030000}"/>
    <cellStyle name="_EDVP-SobrasExposiçãoSubmercados_IF - Autoprodutores 2" xfId="3193" xr:uid="{00000000-0005-0000-0000-000032030000}"/>
    <cellStyle name="_EDVP-SobrasExposiçãoSubmercados_IF_Consumidores livres e geradoras_2010" xfId="3194" xr:uid="{00000000-0005-0000-0000-000033030000}"/>
    <cellStyle name="_EDVP-SobrasExposiçãoSubmercados_Sheet1" xfId="3195" xr:uid="{00000000-0005-0000-0000-000034030000}"/>
    <cellStyle name="_EEVP_Repasse-Sobrecontratação" xfId="3196" xr:uid="{00000000-0005-0000-0000-000035030000}"/>
    <cellStyle name="_EEVP_Repasse-Sobrecontratação_IF - Autoprodutores 2" xfId="3197" xr:uid="{00000000-0005-0000-0000-000036030000}"/>
    <cellStyle name="_EEVP_Repasse-Sobrecontratação_IF_Consumidores livres e geradoras_2010" xfId="3198" xr:uid="{00000000-0005-0000-0000-000037030000}"/>
    <cellStyle name="_EEVP_Repasse-Sobrecontratação_Sheet1" xfId="3199" xr:uid="{00000000-0005-0000-0000-000038030000}"/>
    <cellStyle name="_ELEKTRO - Dados Repasse sobrecontratação" xfId="186" xr:uid="{00000000-0005-0000-0000-000039030000}"/>
    <cellStyle name="_ELEKTRO - Dados Repasse sobrecontratação 2" xfId="1249" xr:uid="{00000000-0005-0000-0000-00003A030000}"/>
    <cellStyle name="_ELEKTRO - Dados Repasse sobrecontratação 3" xfId="3200" xr:uid="{00000000-0005-0000-0000-00003B030000}"/>
    <cellStyle name="_ELEKTRO - Dados Repasse sobrecontratação_Exposição_Agosto 2" xfId="3201" xr:uid="{00000000-0005-0000-0000-00003C030000}"/>
    <cellStyle name="_ELEKTRO - Dados Repasse sobrecontratação_IRT_Revisão A-2" xfId="3202" xr:uid="{00000000-0005-0000-0000-00003D030000}"/>
    <cellStyle name="_ELEKTRO_Repasse-sobrecontratação" xfId="187" xr:uid="{00000000-0005-0000-0000-00003E030000}"/>
    <cellStyle name="_ELEKTRO_Repasse-sobrecontratação 2" xfId="1250" xr:uid="{00000000-0005-0000-0000-00003F030000}"/>
    <cellStyle name="_ELEKTRO_Repasse-sobrecontratação 3" xfId="3203" xr:uid="{00000000-0005-0000-0000-000040030000}"/>
    <cellStyle name="_ELEKTRO_Repasse-sobrecontratação_Exposição_Agosto 2" xfId="3204" xr:uid="{00000000-0005-0000-0000-000041030000}"/>
    <cellStyle name="_ELEKTRO_Repasse-sobrecontratação_IRT_Revisão A-2" xfId="3205" xr:uid="{00000000-0005-0000-0000-000042030000}"/>
    <cellStyle name="_ELEKTRO-tarifa media - para CVA" xfId="188" xr:uid="{00000000-0005-0000-0000-000043030000}"/>
    <cellStyle name="_ELEKTRO-tarifa media - para CVA 2" xfId="1251" xr:uid="{00000000-0005-0000-0000-000044030000}"/>
    <cellStyle name="_ELEKTRO-tarifa media - para CVA_Calculo_Subsidio_ELFSM_26_06_08_Modelo_ANEEL" xfId="3206" xr:uid="{00000000-0005-0000-0000-000045030000}"/>
    <cellStyle name="_ELEKTRO-tarifa media - para CVA_Calculo_Subsidio_ELFSM_26_06_08_Modelo_ANEEL_IRT-cálculo" xfId="3207" xr:uid="{00000000-0005-0000-0000-000046030000}"/>
    <cellStyle name="_ELEKTRO-tarifa media - para CVA_Calculo_Subsidio_ELFSM_26_06_08_Modelo_ANEEL_IRT-cálculo CAPA NEUTRALIDADE" xfId="3208" xr:uid="{00000000-0005-0000-0000-000047030000}"/>
    <cellStyle name="_ELEKTRO-tarifa media - para CVA_CVA_Projetada até dez-2008_Setembro" xfId="3209" xr:uid="{00000000-0005-0000-0000-000048030000}"/>
    <cellStyle name="_ELEKTRO-tarifa media - para CVA_CVA_Projetada até dez-2008_Setembro_CVA Outros Componentes PROVISÃO" xfId="3210" xr:uid="{00000000-0005-0000-0000-000049030000}"/>
    <cellStyle name="_ELEKTRO-tarifa media - para CVA_CVA_Projetada até dez-2008_Setembro_PROVISÃO" xfId="3211" xr:uid="{00000000-0005-0000-0000-00004A030000}"/>
    <cellStyle name="_ELEKTRO-tarifa media - para CVA_Energia Comprada" xfId="3212" xr:uid="{00000000-0005-0000-0000-00004B030000}"/>
    <cellStyle name="_ELEKTRO-tarifa media - para CVA_Energia Comprada_IRT-cálculo" xfId="3213" xr:uid="{00000000-0005-0000-0000-00004C030000}"/>
    <cellStyle name="_ELEKTRO-tarifa media - para CVA_Energia Comprada_IRT-cálculo CAPA NEUTRALIDADE" xfId="3214" xr:uid="{00000000-0005-0000-0000-00004D030000}"/>
    <cellStyle name="_ELEKTRO-tarifa media - para CVA_Fator X" xfId="1523" xr:uid="{00000000-0005-0000-0000-00004E030000}"/>
    <cellStyle name="_ELEKTRO-tarifa media - para CVA_Fator X_IRT-cálculo" xfId="3215" xr:uid="{00000000-0005-0000-0000-00004F030000}"/>
    <cellStyle name="_ELEKTRO-tarifa media - para CVA_Fator X_IRT-cálculo CAPA NEUTRALIDADE" xfId="3216" xr:uid="{00000000-0005-0000-0000-000050030000}"/>
    <cellStyle name="_ELEKTRO-tarifa media - para CVA_Fator X_SOBRECONTRATAÇÃO E CVA" xfId="3217" xr:uid="{00000000-0005-0000-0000-000051030000}"/>
    <cellStyle name="_ELEKTRO-tarifa media - para CVA_IRT (2)" xfId="1524" xr:uid="{00000000-0005-0000-0000-000052030000}"/>
    <cellStyle name="_ELEKTRO-tarifa media - para CVA_IRT (2) 2" xfId="3218" xr:uid="{00000000-0005-0000-0000-000053030000}"/>
    <cellStyle name="_ELEKTRO-tarifa media - para CVA_IRT_1" xfId="1525" xr:uid="{00000000-0005-0000-0000-000054030000}"/>
    <cellStyle name="_ELEKTRO-tarifa media - para CVA_IRT_1_IRT-cálculo" xfId="3219" xr:uid="{00000000-0005-0000-0000-000055030000}"/>
    <cellStyle name="_ELEKTRO-tarifa media - para CVA_IRT_1_IRT-cálculo CAPA NEUTRALIDADE" xfId="3220" xr:uid="{00000000-0005-0000-0000-000056030000}"/>
    <cellStyle name="_ELEKTRO-tarifa media - para CVA_IRT_1_SOBRECONTRATAÇÃO E CVA" xfId="3221" xr:uid="{00000000-0005-0000-0000-000057030000}"/>
    <cellStyle name="_ELEKTRO-tarifa media - para CVA_IRT_Planilha Básica_DIRETORIA" xfId="3222" xr:uid="{00000000-0005-0000-0000-000058030000}"/>
    <cellStyle name="_ELEKTRO-tarifa media - para CVA_IRT_Pleito" xfId="3223" xr:uid="{00000000-0005-0000-0000-000059030000}"/>
    <cellStyle name="_ELEKTRO-tarifa media - para CVA_IRT_Pleito_IRT-cálculo" xfId="3224" xr:uid="{00000000-0005-0000-0000-00005A030000}"/>
    <cellStyle name="_ELEKTRO-tarifa media - para CVA_IRT_Pleito_IRT-cálculo CAPA NEUTRALIDADE" xfId="3225" xr:uid="{00000000-0005-0000-0000-00005B030000}"/>
    <cellStyle name="_ELEKTRO-tarifa media - para CVA_IRT-cálculo" xfId="3226" xr:uid="{00000000-0005-0000-0000-00005C030000}"/>
    <cellStyle name="_ELEKTRO-tarifa media - para CVA_IRT-cálculo CAPA NEUTRALIDADE" xfId="3227" xr:uid="{00000000-0005-0000-0000-00005D030000}"/>
    <cellStyle name="_ELEKTRO-tarifa media - para CVA_Pasta1" xfId="1526" xr:uid="{00000000-0005-0000-0000-00005E030000}"/>
    <cellStyle name="_ELEKTRO-tarifa media - para CVA_Pasta1_IRT-cálculo" xfId="3228" xr:uid="{00000000-0005-0000-0000-00005F030000}"/>
    <cellStyle name="_ELEKTRO-tarifa media - para CVA_Pasta1_IRT-cálculo CAPA NEUTRALIDADE" xfId="3229" xr:uid="{00000000-0005-0000-0000-000060030000}"/>
    <cellStyle name="_ELEKTRO-tarifa media - para CVA_Pasta1_SOBRECONTRATAÇÃO E CVA" xfId="3230" xr:uid="{00000000-0005-0000-0000-000061030000}"/>
    <cellStyle name="_ELEKTRO-tarifa media - para CVA_SOBRECONTRATAÇÃO E CVA" xfId="3231" xr:uid="{00000000-0005-0000-0000-000062030000}"/>
    <cellStyle name="_ELEKTRO-tarifa media - para CVA_SOBRECONTRATAÇÃO E CVA A-1" xfId="3232" xr:uid="{00000000-0005-0000-0000-000063030000}"/>
    <cellStyle name="_ELEKTRO-tarifa media - para CVA_SOBRECONTRATAÇÃO E CVA A-1_IRT-cálculo" xfId="3233" xr:uid="{00000000-0005-0000-0000-000064030000}"/>
    <cellStyle name="_ELEKTRO-tarifa media - para CVA_SOBRECONTRATAÇÃO E CVA A-1_IRT-cálculo CAPA NEUTRALIDADE" xfId="3234" xr:uid="{00000000-0005-0000-0000-000065030000}"/>
    <cellStyle name="_ELETROPAULO - IRT_julho2006_PÓS IGPM" xfId="1527" xr:uid="{00000000-0005-0000-0000-000066030000}"/>
    <cellStyle name="_ELETROPAULO - IRT_julho2006_PÓS IGPM_COELCE - RTO 2011 - PLPT_PLANILHA_CÁLCULO_DÉFICIT" xfId="3235" xr:uid="{00000000-0005-0000-0000-000067030000}"/>
    <cellStyle name="_ELETROPAULO 2007 - Repasse sobrecontratação" xfId="189" xr:uid="{00000000-0005-0000-0000-000068030000}"/>
    <cellStyle name="_ELETROPAULO 2007 - Repasse sobrecontratação 2" xfId="1252" xr:uid="{00000000-0005-0000-0000-000069030000}"/>
    <cellStyle name="_ELETROPAULO 2007 - Repasse sobrecontratação 3" xfId="3236" xr:uid="{00000000-0005-0000-0000-00006A030000}"/>
    <cellStyle name="_ELETROPAULO 2007 - Repasse sobrecontratação_Exposição_Agosto 2" xfId="3237" xr:uid="{00000000-0005-0000-0000-00006B030000}"/>
    <cellStyle name="_ELETROPAULO 2007 - Repasse sobrecontratação_IRT_Revisão A-2" xfId="3238" xr:uid="{00000000-0005-0000-0000-00006C030000}"/>
    <cellStyle name="_ENERGIA-RESUMO" xfId="3239" xr:uid="{00000000-0005-0000-0000-00006D030000}"/>
    <cellStyle name="_ENERGIA-RESUMO_IF - Autoprodutores 2" xfId="3240" xr:uid="{00000000-0005-0000-0000-00006E030000}"/>
    <cellStyle name="_ENERGIA-RESUMO_IF_Consumidores livres e geradoras_2010" xfId="3241" xr:uid="{00000000-0005-0000-0000-00006F030000}"/>
    <cellStyle name="_ENERGIA-RESUMO_Sheet1" xfId="3242" xr:uid="{00000000-0005-0000-0000-000070030000}"/>
    <cellStyle name="_ENERGIPE_Análise 1ª Proposta ANEEL_13 fev 2008" xfId="3243" xr:uid="{00000000-0005-0000-0000-000071030000}"/>
    <cellStyle name="_Energipe-SobrasExposiçãoSubmercados" xfId="190" xr:uid="{00000000-0005-0000-0000-000072030000}"/>
    <cellStyle name="_Energipe-SobrasExposiçãoSubmercados 2" xfId="1253" xr:uid="{00000000-0005-0000-0000-000073030000}"/>
    <cellStyle name="_Energipe-SobrasExposiçãoSubmercados 3" xfId="3244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8" xr:uid="{00000000-0005-0000-0000-000077030000}"/>
    <cellStyle name="_Energipe-SobrasExposiçãoSubmercados_CELPA CVA 2007 corrigida 2" xfId="3245" xr:uid="{00000000-0005-0000-0000-000078030000}"/>
    <cellStyle name="_Energipe-SobrasExposiçãoSubmercados_CELPA CVA 2007 corrigida_COELCE - RTO 2011 - PLPT_PLANILHA_CÁLCULO_DÉFICIT" xfId="3246" xr:uid="{00000000-0005-0000-0000-000079030000}"/>
    <cellStyle name="_Energipe-SobrasExposiçãoSubmercados_Exposição_Agosto 2" xfId="3247" xr:uid="{00000000-0005-0000-0000-00007A030000}"/>
    <cellStyle name="_Energipe-SobrasExposiçãoSubmercados_IRT EEB 2010" xfId="3248" xr:uid="{00000000-0005-0000-0000-00007B030000}"/>
    <cellStyle name="_Energipe-SobrasExposiçãoSubmercados_IRT_Revisão A-2" xfId="3249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4" xr:uid="{00000000-0005-0000-0000-00007E030000}"/>
    <cellStyle name="_Energipe-SobrasExposiçãoSubmercados_Simulação AES SUL 03_04_07 3" xfId="3250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1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5" xr:uid="{00000000-0005-0000-0000-000084030000}"/>
    <cellStyle name="_Energipe-SobrasExposiçãoSubmercados_Sobrecontratação AES (2) 3" xfId="3252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3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4" xr:uid="{00000000-0005-0000-0000-00008B030000}"/>
    <cellStyle name="_Enersul Impacto LPT_FINAL_22_02_07_2008.08.07 CELPA IRT2008 Homologado" xfId="3255" xr:uid="{00000000-0005-0000-0000-00008C030000}"/>
    <cellStyle name="_Enersul Impacto LPT_FINAL_22_02_07_2009.04.09 EEB IRT2009 Conexao CEMIG C Financeiro" xfId="3256" xr:uid="{00000000-0005-0000-0000-00008D030000}"/>
    <cellStyle name="_Enersul Impacto LPT_FINAL_22_02_07_Ajuste SALDO CVA ANO ANTERIOR PÓS-REVISÃOx" xfId="3257" xr:uid="{00000000-0005-0000-0000-00008E030000}"/>
    <cellStyle name="_Enersul Impacto LPT_FINAL_22_02_07_Balanço" xfId="200" xr:uid="{00000000-0005-0000-0000-00008F030000}"/>
    <cellStyle name="_Enersul Impacto LPT_FINAL_22_02_07_Balanço 2" xfId="1256" xr:uid="{00000000-0005-0000-0000-000090030000}"/>
    <cellStyle name="_Enersul Impacto LPT_FINAL_22_02_07_Cálculo do Financeiro do Baixa Renda" xfId="3258" xr:uid="{00000000-0005-0000-0000-000091030000}"/>
    <cellStyle name="_Enersul Impacto LPT_FINAL_22_02_07_Cálculo do Financeiro do Baixa Renda_IRT-cálculo" xfId="3259" xr:uid="{00000000-0005-0000-0000-000092030000}"/>
    <cellStyle name="_Enersul Impacto LPT_FINAL_22_02_07_Cálculo do Financeiro do Baixa Renda_IRT-cálculo CAPA NEUTRALIDADE" xfId="3260" xr:uid="{00000000-0005-0000-0000-000093030000}"/>
    <cellStyle name="_Enersul Impacto LPT_FINAL_22_02_07_Calculo_Subsidio_ELFSM_26_06_08_Modelo_ANEEL" xfId="3261" xr:uid="{00000000-0005-0000-0000-000094030000}"/>
    <cellStyle name="_Enersul Impacto LPT_FINAL_22_02_07_Calculo_Subsidio_ELFSM_26_06_08_Modelo_ANEEL_IRT-cálculo" xfId="3262" xr:uid="{00000000-0005-0000-0000-000095030000}"/>
    <cellStyle name="_Enersul Impacto LPT_FINAL_22_02_07_Calculo_Subsidio_ELFSM_26_06_08_Modelo_ANEEL_IRT-cálculo CAPA NEUTRALIDADE" xfId="3263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7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4" xr:uid="{00000000-0005-0000-0000-00009C030000}"/>
    <cellStyle name="_Enersul Impacto LPT_FINAL_22_02_07_Custo com Avaliação de Ativos para Base de Remuneração" xfId="3265" xr:uid="{00000000-0005-0000-0000-00009D030000}"/>
    <cellStyle name="_Enersul Impacto LPT_FINAL_22_02_07_Custo com Avaliação de Ativos para Base de Remuneração_IRT-cálculo" xfId="3266" xr:uid="{00000000-0005-0000-0000-00009E030000}"/>
    <cellStyle name="_Enersul Impacto LPT_FINAL_22_02_07_Custo com Avaliação de Ativos para Base de Remuneração_IRT-cálculo CAPA NEUTRALIDADE" xfId="3267" xr:uid="{00000000-0005-0000-0000-00009F030000}"/>
    <cellStyle name="_Enersul Impacto LPT_FINAL_22_02_07_Descontos CCC_CDE_PROINFA Nov_07_Out_08" xfId="3268" xr:uid="{00000000-0005-0000-0000-0000A0030000}"/>
    <cellStyle name="_Enersul Impacto LPT_FINAL_22_02_07_Descontos CCC_CDE_PROINFA Nov_07_Out_08_IRT-cálculo" xfId="3269" xr:uid="{00000000-0005-0000-0000-0000A1030000}"/>
    <cellStyle name="_Enersul Impacto LPT_FINAL_22_02_07_Descontos CCC_CDE_PROINFA Nov_07_Out_08_IRT-cálculo CAPA NEUTRALIDADE" xfId="3270" xr:uid="{00000000-0005-0000-0000-0000A2030000}"/>
    <cellStyle name="_Enersul Impacto LPT_FINAL_22_02_07_Energia Comprada" xfId="3271" xr:uid="{00000000-0005-0000-0000-0000A3030000}"/>
    <cellStyle name="_Enersul Impacto LPT_FINAL_22_02_07_Energia Comprada_IRT-cálculo" xfId="3272" xr:uid="{00000000-0005-0000-0000-0000A4030000}"/>
    <cellStyle name="_Enersul Impacto LPT_FINAL_22_02_07_Energia Comprada_IRT-cálculo CAPA NEUTRALIDADE" xfId="3273" xr:uid="{00000000-0005-0000-0000-0000A5030000}"/>
    <cellStyle name="_Enersul Impacto LPT_FINAL_22_02_07_Fator Novo e Antigo 4 anos" xfId="3274" xr:uid="{00000000-0005-0000-0000-0000A6030000}"/>
    <cellStyle name="_Enersul Impacto LPT_FINAL_22_02_07_Fator X" xfId="1529" xr:uid="{00000000-0005-0000-0000-0000A7030000}"/>
    <cellStyle name="_Enersul Impacto LPT_FINAL_22_02_07_Fator X 2" xfId="3275" xr:uid="{00000000-0005-0000-0000-0000A8030000}"/>
    <cellStyle name="_Enersul Impacto LPT_FINAL_22_02_07_Fator X_IRT-cálculo" xfId="3276" xr:uid="{00000000-0005-0000-0000-0000A9030000}"/>
    <cellStyle name="_Enersul Impacto LPT_FINAL_22_02_07_Fator X_IRT-cálculo CAPA NEUTRALIDADE" xfId="3277" xr:uid="{00000000-0005-0000-0000-0000AA030000}"/>
    <cellStyle name="_Enersul Impacto LPT_FINAL_22_02_07_Fator X_SOBRECONTRATAÇÃO E CVA" xfId="3278" xr:uid="{00000000-0005-0000-0000-0000AB030000}"/>
    <cellStyle name="_Enersul Impacto LPT_FINAL_22_02_07_IF - Autoprodutores 2" xfId="3279" xr:uid="{00000000-0005-0000-0000-0000AC030000}"/>
    <cellStyle name="_Enersul Impacto LPT_FINAL_22_02_07_IF_Consumidores livres e geradoras_2010" xfId="3280" xr:uid="{00000000-0005-0000-0000-0000AD030000}"/>
    <cellStyle name="_Enersul Impacto LPT_FINAL_22_02_07_IRT (2)" xfId="1530" xr:uid="{00000000-0005-0000-0000-0000AE030000}"/>
    <cellStyle name="_Enersul Impacto LPT_FINAL_22_02_07_IRT EEB 2010" xfId="3281" xr:uid="{00000000-0005-0000-0000-0000AF030000}"/>
    <cellStyle name="_Enersul Impacto LPT_FINAL_22_02_07_IRT_1" xfId="1531" xr:uid="{00000000-0005-0000-0000-0000B0030000}"/>
    <cellStyle name="_Enersul Impacto LPT_FINAL_22_02_07_IRT_1 2" xfId="3282" xr:uid="{00000000-0005-0000-0000-0000B1030000}"/>
    <cellStyle name="_Enersul Impacto LPT_FINAL_22_02_07_IRT_1_IRT-cálculo" xfId="3283" xr:uid="{00000000-0005-0000-0000-0000B2030000}"/>
    <cellStyle name="_Enersul Impacto LPT_FINAL_22_02_07_IRT_1_IRT-cálculo CAPA NEUTRALIDADE" xfId="3284" xr:uid="{00000000-0005-0000-0000-0000B3030000}"/>
    <cellStyle name="_Enersul Impacto LPT_FINAL_22_02_07_IRT_1_SOBRECONTRATAÇÃO E CVA" xfId="3285" xr:uid="{00000000-0005-0000-0000-0000B4030000}"/>
    <cellStyle name="_Enersul Impacto LPT_FINAL_22_02_07_IRT_Bragantina_maio_2009" xfId="3286" xr:uid="{00000000-0005-0000-0000-0000B5030000}"/>
    <cellStyle name="_Enersul Impacto LPT_FINAL_22_02_07_IRT_Planilha Básica_DIRETORIA" xfId="3287" xr:uid="{00000000-0005-0000-0000-0000B6030000}"/>
    <cellStyle name="_Enersul Impacto LPT_FINAL_22_02_07_IRT_Pleito" xfId="3288" xr:uid="{00000000-0005-0000-0000-0000B7030000}"/>
    <cellStyle name="_Enersul Impacto LPT_FINAL_22_02_07_IRT_Pleito_IRT-cálculo" xfId="3289" xr:uid="{00000000-0005-0000-0000-0000B8030000}"/>
    <cellStyle name="_Enersul Impacto LPT_FINAL_22_02_07_IRT_Pleito_IRT-cálculo CAPA NEUTRALIDADE" xfId="3290" xr:uid="{00000000-0005-0000-0000-0000B9030000}"/>
    <cellStyle name="_Enersul Impacto LPT_FINAL_22_02_07_IRT_Revisão A-1" xfId="3291" xr:uid="{00000000-0005-0000-0000-0000BA030000}"/>
    <cellStyle name="_Enersul Impacto LPT_FINAL_22_02_07_IRT_Revisão A-1_IRT-cálculo" xfId="3292" xr:uid="{00000000-0005-0000-0000-0000BB030000}"/>
    <cellStyle name="_Enersul Impacto LPT_FINAL_22_02_07_IRT_Revisão A-1_IRT-cálculo CAPA NEUTRALIDADE" xfId="3293" xr:uid="{00000000-0005-0000-0000-0000BC030000}"/>
    <cellStyle name="_Enersul Impacto LPT_FINAL_22_02_07_IRT-cálculo" xfId="3294" xr:uid="{00000000-0005-0000-0000-0000BD030000}"/>
    <cellStyle name="_Enersul Impacto LPT_FINAL_22_02_07_IRT-cálculo CAPA NEUTRALIDADE" xfId="3295" xr:uid="{00000000-0005-0000-0000-0000BE030000}"/>
    <cellStyle name="_Enersul Impacto LPT_FINAL_22_02_07_Pasta1" xfId="1532" xr:uid="{00000000-0005-0000-0000-0000BF030000}"/>
    <cellStyle name="_Enersul Impacto LPT_FINAL_22_02_07_Pasta1 2" xfId="3296" xr:uid="{00000000-0005-0000-0000-0000C0030000}"/>
    <cellStyle name="_Enersul Impacto LPT_FINAL_22_02_07_Pasta1_IRT-cálculo" xfId="3297" xr:uid="{00000000-0005-0000-0000-0000C1030000}"/>
    <cellStyle name="_Enersul Impacto LPT_FINAL_22_02_07_Pasta1_IRT-cálculo CAPA NEUTRALIDADE" xfId="3298" xr:uid="{00000000-0005-0000-0000-0000C2030000}"/>
    <cellStyle name="_Enersul Impacto LPT_FINAL_22_02_07_Pasta1_SOBRECONTRATAÇÃO E CVA" xfId="3299" xr:uid="{00000000-0005-0000-0000-0000C3030000}"/>
    <cellStyle name="_Enersul Impacto LPT_FINAL_22_02_07_Sheet1" xfId="3300" xr:uid="{00000000-0005-0000-0000-0000C4030000}"/>
    <cellStyle name="_Enersul Impacto LPT_FINAL_22_02_07_Sheet2" xfId="3301" xr:uid="{00000000-0005-0000-0000-0000C5030000}"/>
    <cellStyle name="_Enersul Impacto LPT_FINAL_22_02_07_SOBRECONTRATAÇÃO E CVA" xfId="3302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3" xr:uid="{00000000-0005-0000-0000-0000C9030000}"/>
    <cellStyle name="_Enersul Impacto PLT v1_2008.08.07 CELPA IRT2008 Homologado" xfId="3304" xr:uid="{00000000-0005-0000-0000-0000CA030000}"/>
    <cellStyle name="_Enersul Impacto PLT v1_2009.04.09 EEB IRT2009 Conexao CEMIG C Financeiro" xfId="3305" xr:uid="{00000000-0005-0000-0000-0000CB030000}"/>
    <cellStyle name="_Enersul Impacto PLT v1_Ajuste SALDO CVA ANO ANTERIOR PÓS-REVISÃOx" xfId="3306" xr:uid="{00000000-0005-0000-0000-0000CC030000}"/>
    <cellStyle name="_Enersul Impacto PLT v1_Balanço" xfId="206" xr:uid="{00000000-0005-0000-0000-0000CD030000}"/>
    <cellStyle name="_Enersul Impacto PLT v1_Balanço 2" xfId="1258" xr:uid="{00000000-0005-0000-0000-0000CE030000}"/>
    <cellStyle name="_Enersul Impacto PLT v1_Cálculo do Financeiro do Baixa Renda" xfId="3307" xr:uid="{00000000-0005-0000-0000-0000CF030000}"/>
    <cellStyle name="_Enersul Impacto PLT v1_Cálculo do Financeiro do Baixa Renda_IRT-cálculo" xfId="3308" xr:uid="{00000000-0005-0000-0000-0000D0030000}"/>
    <cellStyle name="_Enersul Impacto PLT v1_Cálculo do Financeiro do Baixa Renda_IRT-cálculo CAPA NEUTRALIDADE" xfId="3309" xr:uid="{00000000-0005-0000-0000-0000D1030000}"/>
    <cellStyle name="_Enersul Impacto PLT v1_Calculo_Subsidio_ELFSM_26_06_08_Modelo_ANEEL" xfId="3310" xr:uid="{00000000-0005-0000-0000-0000D2030000}"/>
    <cellStyle name="_Enersul Impacto PLT v1_Calculo_Subsidio_ELFSM_26_06_08_Modelo_ANEEL_IRT-cálculo" xfId="3311" xr:uid="{00000000-0005-0000-0000-0000D3030000}"/>
    <cellStyle name="_Enersul Impacto PLT v1_Calculo_Subsidio_ELFSM_26_06_08_Modelo_ANEEL_IRT-cálculo CAPA NEUTRALIDADE" xfId="3312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59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3" xr:uid="{00000000-0005-0000-0000-0000DA030000}"/>
    <cellStyle name="_Enersul Impacto PLT v1_Custo com Avaliação de Ativos para Base de Remuneração" xfId="3314" xr:uid="{00000000-0005-0000-0000-0000DB030000}"/>
    <cellStyle name="_Enersul Impacto PLT v1_Custo com Avaliação de Ativos para Base de Remuneração_IRT-cálculo" xfId="3315" xr:uid="{00000000-0005-0000-0000-0000DC030000}"/>
    <cellStyle name="_Enersul Impacto PLT v1_Custo com Avaliação de Ativos para Base de Remuneração_IRT-cálculo CAPA NEUTRALIDADE" xfId="3316" xr:uid="{00000000-0005-0000-0000-0000DD030000}"/>
    <cellStyle name="_Enersul Impacto PLT v1_Descontos CCC_CDE_PROINFA Nov_07_Out_08" xfId="3317" xr:uid="{00000000-0005-0000-0000-0000DE030000}"/>
    <cellStyle name="_Enersul Impacto PLT v1_Descontos CCC_CDE_PROINFA Nov_07_Out_08_IRT-cálculo" xfId="3318" xr:uid="{00000000-0005-0000-0000-0000DF030000}"/>
    <cellStyle name="_Enersul Impacto PLT v1_Descontos CCC_CDE_PROINFA Nov_07_Out_08_IRT-cálculo CAPA NEUTRALIDADE" xfId="3319" xr:uid="{00000000-0005-0000-0000-0000E0030000}"/>
    <cellStyle name="_Enersul Impacto PLT v1_Energia Comprada" xfId="3320" xr:uid="{00000000-0005-0000-0000-0000E1030000}"/>
    <cellStyle name="_Enersul Impacto PLT v1_Energia Comprada_IRT-cálculo" xfId="3321" xr:uid="{00000000-0005-0000-0000-0000E2030000}"/>
    <cellStyle name="_Enersul Impacto PLT v1_Energia Comprada_IRT-cálculo CAPA NEUTRALIDADE" xfId="3322" xr:uid="{00000000-0005-0000-0000-0000E3030000}"/>
    <cellStyle name="_Enersul Impacto PLT v1_Fator Novo e Antigo 4 anos" xfId="3323" xr:uid="{00000000-0005-0000-0000-0000E4030000}"/>
    <cellStyle name="_Enersul Impacto PLT v1_Fator X" xfId="1533" xr:uid="{00000000-0005-0000-0000-0000E5030000}"/>
    <cellStyle name="_Enersul Impacto PLT v1_Fator X 2" xfId="3324" xr:uid="{00000000-0005-0000-0000-0000E6030000}"/>
    <cellStyle name="_Enersul Impacto PLT v1_Fator X_IRT-cálculo" xfId="3325" xr:uid="{00000000-0005-0000-0000-0000E7030000}"/>
    <cellStyle name="_Enersul Impacto PLT v1_Fator X_IRT-cálculo CAPA NEUTRALIDADE" xfId="3326" xr:uid="{00000000-0005-0000-0000-0000E8030000}"/>
    <cellStyle name="_Enersul Impacto PLT v1_Fator X_SOBRECONTRATAÇÃO E CVA" xfId="3327" xr:uid="{00000000-0005-0000-0000-0000E9030000}"/>
    <cellStyle name="_Enersul Impacto PLT v1_IF - Autoprodutores 2" xfId="3328" xr:uid="{00000000-0005-0000-0000-0000EA030000}"/>
    <cellStyle name="_Enersul Impacto PLT v1_IF_Consumidores livres e geradoras_2010" xfId="3329" xr:uid="{00000000-0005-0000-0000-0000EB030000}"/>
    <cellStyle name="_Enersul Impacto PLT v1_IRT (2)" xfId="1534" xr:uid="{00000000-0005-0000-0000-0000EC030000}"/>
    <cellStyle name="_Enersul Impacto PLT v1_IRT EEB 2010" xfId="3330" xr:uid="{00000000-0005-0000-0000-0000ED030000}"/>
    <cellStyle name="_Enersul Impacto PLT v1_IRT_1" xfId="1535" xr:uid="{00000000-0005-0000-0000-0000EE030000}"/>
    <cellStyle name="_Enersul Impacto PLT v1_IRT_1 2" xfId="3331" xr:uid="{00000000-0005-0000-0000-0000EF030000}"/>
    <cellStyle name="_Enersul Impacto PLT v1_IRT_1_IRT-cálculo" xfId="3332" xr:uid="{00000000-0005-0000-0000-0000F0030000}"/>
    <cellStyle name="_Enersul Impacto PLT v1_IRT_1_IRT-cálculo CAPA NEUTRALIDADE" xfId="3333" xr:uid="{00000000-0005-0000-0000-0000F1030000}"/>
    <cellStyle name="_Enersul Impacto PLT v1_IRT_1_SOBRECONTRATAÇÃO E CVA" xfId="3334" xr:uid="{00000000-0005-0000-0000-0000F2030000}"/>
    <cellStyle name="_Enersul Impacto PLT v1_IRT_Bragantina_maio_2009" xfId="3335" xr:uid="{00000000-0005-0000-0000-0000F3030000}"/>
    <cellStyle name="_Enersul Impacto PLT v1_IRT_Planilha Básica_DIRETORIA" xfId="3336" xr:uid="{00000000-0005-0000-0000-0000F4030000}"/>
    <cellStyle name="_Enersul Impacto PLT v1_IRT_Pleito" xfId="3337" xr:uid="{00000000-0005-0000-0000-0000F5030000}"/>
    <cellStyle name="_Enersul Impacto PLT v1_IRT_Pleito_IRT-cálculo" xfId="3338" xr:uid="{00000000-0005-0000-0000-0000F6030000}"/>
    <cellStyle name="_Enersul Impacto PLT v1_IRT_Pleito_IRT-cálculo CAPA NEUTRALIDADE" xfId="3339" xr:uid="{00000000-0005-0000-0000-0000F7030000}"/>
    <cellStyle name="_Enersul Impacto PLT v1_IRT_Revisão A-1" xfId="3340" xr:uid="{00000000-0005-0000-0000-0000F8030000}"/>
    <cellStyle name="_Enersul Impacto PLT v1_IRT_Revisão A-1_IRT-cálculo" xfId="3341" xr:uid="{00000000-0005-0000-0000-0000F9030000}"/>
    <cellStyle name="_Enersul Impacto PLT v1_IRT_Revisão A-1_IRT-cálculo CAPA NEUTRALIDADE" xfId="3342" xr:uid="{00000000-0005-0000-0000-0000FA030000}"/>
    <cellStyle name="_Enersul Impacto PLT v1_IRT-cálculo" xfId="3343" xr:uid="{00000000-0005-0000-0000-0000FB030000}"/>
    <cellStyle name="_Enersul Impacto PLT v1_IRT-cálculo CAPA NEUTRALIDADE" xfId="3344" xr:uid="{00000000-0005-0000-0000-0000FC030000}"/>
    <cellStyle name="_Enersul Impacto PLT v1_Pasta1" xfId="1536" xr:uid="{00000000-0005-0000-0000-0000FD030000}"/>
    <cellStyle name="_Enersul Impacto PLT v1_Pasta1 2" xfId="3345" xr:uid="{00000000-0005-0000-0000-0000FE030000}"/>
    <cellStyle name="_Enersul Impacto PLT v1_Pasta1_IRT-cálculo" xfId="3346" xr:uid="{00000000-0005-0000-0000-0000FF030000}"/>
    <cellStyle name="_Enersul Impacto PLT v1_Pasta1_IRT-cálculo CAPA NEUTRALIDADE" xfId="3347" xr:uid="{00000000-0005-0000-0000-000000040000}"/>
    <cellStyle name="_Enersul Impacto PLT v1_Pasta1_SOBRECONTRATAÇÃO E CVA" xfId="3348" xr:uid="{00000000-0005-0000-0000-000001040000}"/>
    <cellStyle name="_Enersul Impacto PLT v1_Sheet1" xfId="3349" xr:uid="{00000000-0005-0000-0000-000002040000}"/>
    <cellStyle name="_Enersul Impacto PLT v1_Sheet2" xfId="3350" xr:uid="{00000000-0005-0000-0000-000003040000}"/>
    <cellStyle name="_Enersul Impacto PLT v1_SOBRECONTRATAÇÃO E CVA" xfId="3351" xr:uid="{00000000-0005-0000-0000-000004040000}"/>
    <cellStyle name="_ESCELSA_Anexo II_Carta_CT_CCRE_31_07_Itens_Financeiros" xfId="3352" xr:uid="{00000000-0005-0000-0000-000005040000}"/>
    <cellStyle name="_ESCELSA_Anexo II_Carta_CT_CCRE_31_07_Itens_Financeiros_IRT-cálculo" xfId="3353" xr:uid="{00000000-0005-0000-0000-000006040000}"/>
    <cellStyle name="_ESCELSA_Anexo II_Carta_CT_CCRE_31_07_Itens_Financeiros_IRT-cálculo CAPA NEUTRALIDADE" xfId="3354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5" xr:uid="{00000000-0005-0000-0000-00000A040000}"/>
    <cellStyle name="_ESCELSA_RESPOSTA_OFÍCIO_325_DEFINITIVO_2008.08.07 CELPA IRT2008 Homologado" xfId="3356" xr:uid="{00000000-0005-0000-0000-00000B040000}"/>
    <cellStyle name="_ESCELSA_RESPOSTA_OFÍCIO_325_DEFINITIVO_2009.04.09 EEB IRT2009 Conexao CEMIG C Financeiro" xfId="3357" xr:uid="{00000000-0005-0000-0000-00000C040000}"/>
    <cellStyle name="_ESCELSA_RESPOSTA_OFÍCIO_325_DEFINITIVO_Ajuste SALDO CVA ANO ANTERIOR PÓS-REVISÃOx" xfId="3358" xr:uid="{00000000-0005-0000-0000-00000D040000}"/>
    <cellStyle name="_ESCELSA_RESPOSTA_OFÍCIO_325_DEFINITIVO_Balanço" xfId="212" xr:uid="{00000000-0005-0000-0000-00000E040000}"/>
    <cellStyle name="_ESCELSA_RESPOSTA_OFÍCIO_325_DEFINITIVO_Balanço 2" xfId="1260" xr:uid="{00000000-0005-0000-0000-00000F040000}"/>
    <cellStyle name="_ESCELSA_RESPOSTA_OFÍCIO_325_DEFINITIVO_Cálculo do Financeiro do Baixa Renda" xfId="3359" xr:uid="{00000000-0005-0000-0000-000010040000}"/>
    <cellStyle name="_ESCELSA_RESPOSTA_OFÍCIO_325_DEFINITIVO_Cálculo do Financeiro do Baixa Renda_IRT-cálculo" xfId="3360" xr:uid="{00000000-0005-0000-0000-000011040000}"/>
    <cellStyle name="_ESCELSA_RESPOSTA_OFÍCIO_325_DEFINITIVO_Cálculo do Financeiro do Baixa Renda_IRT-cálculo CAPA NEUTRALIDADE" xfId="3361" xr:uid="{00000000-0005-0000-0000-000012040000}"/>
    <cellStyle name="_ESCELSA_RESPOSTA_OFÍCIO_325_DEFINITIVO_Calculo_Subsidio_ELFSM_26_06_08_Modelo_ANEEL" xfId="3362" xr:uid="{00000000-0005-0000-0000-000013040000}"/>
    <cellStyle name="_ESCELSA_RESPOSTA_OFÍCIO_325_DEFINITIVO_Calculo_Subsidio_ELFSM_26_06_08_Modelo_ANEEL_IRT-cálculo" xfId="3363" xr:uid="{00000000-0005-0000-0000-000014040000}"/>
    <cellStyle name="_ESCELSA_RESPOSTA_OFÍCIO_325_DEFINITIVO_Calculo_Subsidio_ELFSM_26_06_08_Modelo_ANEEL_IRT-cálculo CAPA NEUTRALIDADE" xfId="3364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1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5" xr:uid="{00000000-0005-0000-0000-00001B040000}"/>
    <cellStyle name="_ESCELSA_RESPOSTA_OFÍCIO_325_DEFINITIVO_Custo com Avaliação de Ativos para Base de Remuneração" xfId="3366" xr:uid="{00000000-0005-0000-0000-00001C040000}"/>
    <cellStyle name="_ESCELSA_RESPOSTA_OFÍCIO_325_DEFINITIVO_Custo com Avaliação de Ativos para Base de Remuneração_IRT-cálculo" xfId="3367" xr:uid="{00000000-0005-0000-0000-00001D040000}"/>
    <cellStyle name="_ESCELSA_RESPOSTA_OFÍCIO_325_DEFINITIVO_Custo com Avaliação de Ativos para Base de Remuneração_IRT-cálculo CAPA NEUTRALIDADE" xfId="3368" xr:uid="{00000000-0005-0000-0000-00001E040000}"/>
    <cellStyle name="_ESCELSA_RESPOSTA_OFÍCIO_325_DEFINITIVO_Descontos CCC_CDE_PROINFA Nov_07_Out_08" xfId="3369" xr:uid="{00000000-0005-0000-0000-00001F040000}"/>
    <cellStyle name="_ESCELSA_RESPOSTA_OFÍCIO_325_DEFINITIVO_Descontos CCC_CDE_PROINFA Nov_07_Out_08_IRT-cálculo" xfId="3370" xr:uid="{00000000-0005-0000-0000-000020040000}"/>
    <cellStyle name="_ESCELSA_RESPOSTA_OFÍCIO_325_DEFINITIVO_Descontos CCC_CDE_PROINFA Nov_07_Out_08_IRT-cálculo CAPA NEUTRALIDADE" xfId="3371" xr:uid="{00000000-0005-0000-0000-000021040000}"/>
    <cellStyle name="_ESCELSA_RESPOSTA_OFÍCIO_325_DEFINITIVO_Energia Comprada" xfId="3372" xr:uid="{00000000-0005-0000-0000-000022040000}"/>
    <cellStyle name="_ESCELSA_RESPOSTA_OFÍCIO_325_DEFINITIVO_Energia Comprada_IRT-cálculo" xfId="3373" xr:uid="{00000000-0005-0000-0000-000023040000}"/>
    <cellStyle name="_ESCELSA_RESPOSTA_OFÍCIO_325_DEFINITIVO_Energia Comprada_IRT-cálculo CAPA NEUTRALIDADE" xfId="3374" xr:uid="{00000000-0005-0000-0000-000024040000}"/>
    <cellStyle name="_ESCELSA_RESPOSTA_OFÍCIO_325_DEFINITIVO_Fator Novo e Antigo 4 anos" xfId="3375" xr:uid="{00000000-0005-0000-0000-000025040000}"/>
    <cellStyle name="_ESCELSA_RESPOSTA_OFÍCIO_325_DEFINITIVO_Fator X" xfId="1537" xr:uid="{00000000-0005-0000-0000-000026040000}"/>
    <cellStyle name="_ESCELSA_RESPOSTA_OFÍCIO_325_DEFINITIVO_Fator X 2" xfId="3376" xr:uid="{00000000-0005-0000-0000-000027040000}"/>
    <cellStyle name="_ESCELSA_RESPOSTA_OFÍCIO_325_DEFINITIVO_Fator X_IRT-cálculo" xfId="3377" xr:uid="{00000000-0005-0000-0000-000028040000}"/>
    <cellStyle name="_ESCELSA_RESPOSTA_OFÍCIO_325_DEFINITIVO_Fator X_IRT-cálculo CAPA NEUTRALIDADE" xfId="3378" xr:uid="{00000000-0005-0000-0000-000029040000}"/>
    <cellStyle name="_ESCELSA_RESPOSTA_OFÍCIO_325_DEFINITIVO_Fator X_SOBRECONTRATAÇÃO E CVA" xfId="3379" xr:uid="{00000000-0005-0000-0000-00002A040000}"/>
    <cellStyle name="_ESCELSA_RESPOSTA_OFÍCIO_325_DEFINITIVO_IF - Autoprodutores 2" xfId="3380" xr:uid="{00000000-0005-0000-0000-00002B040000}"/>
    <cellStyle name="_ESCELSA_RESPOSTA_OFÍCIO_325_DEFINITIVO_IF_Consumidores livres e geradoras_2010" xfId="3381" xr:uid="{00000000-0005-0000-0000-00002C040000}"/>
    <cellStyle name="_ESCELSA_RESPOSTA_OFÍCIO_325_DEFINITIVO_IRT (2)" xfId="1538" xr:uid="{00000000-0005-0000-0000-00002D040000}"/>
    <cellStyle name="_ESCELSA_RESPOSTA_OFÍCIO_325_DEFINITIVO_IRT EEB 2010" xfId="3382" xr:uid="{00000000-0005-0000-0000-00002E040000}"/>
    <cellStyle name="_ESCELSA_RESPOSTA_OFÍCIO_325_DEFINITIVO_IRT_1" xfId="1539" xr:uid="{00000000-0005-0000-0000-00002F040000}"/>
    <cellStyle name="_ESCELSA_RESPOSTA_OFÍCIO_325_DEFINITIVO_IRT_1 2" xfId="3383" xr:uid="{00000000-0005-0000-0000-000030040000}"/>
    <cellStyle name="_ESCELSA_RESPOSTA_OFÍCIO_325_DEFINITIVO_IRT_1_IRT-cálculo" xfId="3384" xr:uid="{00000000-0005-0000-0000-000031040000}"/>
    <cellStyle name="_ESCELSA_RESPOSTA_OFÍCIO_325_DEFINITIVO_IRT_1_IRT-cálculo CAPA NEUTRALIDADE" xfId="3385" xr:uid="{00000000-0005-0000-0000-000032040000}"/>
    <cellStyle name="_ESCELSA_RESPOSTA_OFÍCIO_325_DEFINITIVO_IRT_1_SOBRECONTRATAÇÃO E CVA" xfId="3386" xr:uid="{00000000-0005-0000-0000-000033040000}"/>
    <cellStyle name="_ESCELSA_RESPOSTA_OFÍCIO_325_DEFINITIVO_IRT_Bragantina_maio_2009" xfId="3387" xr:uid="{00000000-0005-0000-0000-000034040000}"/>
    <cellStyle name="_ESCELSA_RESPOSTA_OFÍCIO_325_DEFINITIVO_IRT_Planilha Básica_DIRETORIA" xfId="3388" xr:uid="{00000000-0005-0000-0000-000035040000}"/>
    <cellStyle name="_ESCELSA_RESPOSTA_OFÍCIO_325_DEFINITIVO_IRT_Pleito" xfId="3389" xr:uid="{00000000-0005-0000-0000-000036040000}"/>
    <cellStyle name="_ESCELSA_RESPOSTA_OFÍCIO_325_DEFINITIVO_IRT_Pleito_IRT-cálculo" xfId="3390" xr:uid="{00000000-0005-0000-0000-000037040000}"/>
    <cellStyle name="_ESCELSA_RESPOSTA_OFÍCIO_325_DEFINITIVO_IRT_Pleito_IRT-cálculo CAPA NEUTRALIDADE" xfId="3391" xr:uid="{00000000-0005-0000-0000-000038040000}"/>
    <cellStyle name="_ESCELSA_RESPOSTA_OFÍCIO_325_DEFINITIVO_IRT_Revisão A-1" xfId="3392" xr:uid="{00000000-0005-0000-0000-000039040000}"/>
    <cellStyle name="_ESCELSA_RESPOSTA_OFÍCIO_325_DEFINITIVO_IRT_Revisão A-1_IRT-cálculo" xfId="3393" xr:uid="{00000000-0005-0000-0000-00003A040000}"/>
    <cellStyle name="_ESCELSA_RESPOSTA_OFÍCIO_325_DEFINITIVO_IRT_Revisão A-1_IRT-cálculo CAPA NEUTRALIDADE" xfId="3394" xr:uid="{00000000-0005-0000-0000-00003B040000}"/>
    <cellStyle name="_ESCELSA_RESPOSTA_OFÍCIO_325_DEFINITIVO_IRT-cálculo" xfId="3395" xr:uid="{00000000-0005-0000-0000-00003C040000}"/>
    <cellStyle name="_ESCELSA_RESPOSTA_OFÍCIO_325_DEFINITIVO_IRT-cálculo CAPA NEUTRALIDADE" xfId="3396" xr:uid="{00000000-0005-0000-0000-00003D040000}"/>
    <cellStyle name="_ESCELSA_RESPOSTA_OFÍCIO_325_DEFINITIVO_Pasta1" xfId="1540" xr:uid="{00000000-0005-0000-0000-00003E040000}"/>
    <cellStyle name="_ESCELSA_RESPOSTA_OFÍCIO_325_DEFINITIVO_Pasta1 2" xfId="3397" xr:uid="{00000000-0005-0000-0000-00003F040000}"/>
    <cellStyle name="_ESCELSA_RESPOSTA_OFÍCIO_325_DEFINITIVO_Pasta1_IRT-cálculo" xfId="3398" xr:uid="{00000000-0005-0000-0000-000040040000}"/>
    <cellStyle name="_ESCELSA_RESPOSTA_OFÍCIO_325_DEFINITIVO_Pasta1_IRT-cálculo CAPA NEUTRALIDADE" xfId="3399" xr:uid="{00000000-0005-0000-0000-000041040000}"/>
    <cellStyle name="_ESCELSA_RESPOSTA_OFÍCIO_325_DEFINITIVO_Pasta1_SOBRECONTRATAÇÃO E CVA" xfId="3400" xr:uid="{00000000-0005-0000-0000-000042040000}"/>
    <cellStyle name="_ESCELSA_RESPOSTA_OFÍCIO_325_DEFINITIVO_Sheet1" xfId="3401" xr:uid="{00000000-0005-0000-0000-000043040000}"/>
    <cellStyle name="_ESCELSA_RESPOSTA_OFÍCIO_325_DEFINITIVO_Sheet2" xfId="3402" xr:uid="{00000000-0005-0000-0000-000044040000}"/>
    <cellStyle name="_ESCELSA_RESPOSTA_OFÍCIO_325_DEFINITIVO_SOBRECONTRATAÇÃO E CVA" xfId="3403" xr:uid="{00000000-0005-0000-0000-000045040000}"/>
    <cellStyle name="_Exposição" xfId="1541" xr:uid="{00000000-0005-0000-0000-000046040000}"/>
    <cellStyle name="_Fator Novo e Antigo 4 anos" xfId="3404" xr:uid="{00000000-0005-0000-0000-000047040000}"/>
    <cellStyle name="_Fiança EMG" xfId="3405" xr:uid="{00000000-0005-0000-0000-000048040000}"/>
    <cellStyle name="_Fiança ESE" xfId="3406" xr:uid="{00000000-0005-0000-0000-000049040000}"/>
    <cellStyle name="_Financiamento-Eletrobras Roger-Sergio-1-1" xfId="3407" xr:uid="{00000000-0005-0000-0000-00004A040000}"/>
    <cellStyle name="_FR CHESFxCeal, Cepisa e Saelpa-2005-protegida" xfId="217" xr:uid="{00000000-0005-0000-0000-00004B040000}"/>
    <cellStyle name="_FR CHESFxCeal, Cepisa e Saelpa-2005-protegida 2" xfId="1262" xr:uid="{00000000-0005-0000-0000-00004C040000}"/>
    <cellStyle name="_FR CHESFxCeal, Cepisa e Saelpa-2005-protegida_2009.04.09 EEB IRT2009 Conexao CEMIG C Financeiro" xfId="3408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3" xr:uid="{00000000-0005-0000-0000-00004F040000}"/>
    <cellStyle name="_FR CHESFxCeal, Cepisa e Saelpa-2005-protegida_Calculo_Subsidio_ELFSM_26_06_08_Modelo_ANEEL" xfId="3409" xr:uid="{00000000-0005-0000-0000-000050040000}"/>
    <cellStyle name="_FR CHESFxCeal, Cepisa e Saelpa-2005-protegida_Calculo_Subsidio_ELFSM_26_06_08_Modelo_ANEEL_IRT-cálculo" xfId="3410" xr:uid="{00000000-0005-0000-0000-000051040000}"/>
    <cellStyle name="_FR CHESFxCeal, Cepisa e Saelpa-2005-protegida_Calculo_Subsidio_ELFSM_26_06_08_Modelo_ANEEL_IRT-cálculo CAPA NEUTRALIDADE" xfId="3411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4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2" xr:uid="{00000000-0005-0000-0000-000058040000}"/>
    <cellStyle name="_FR CHESFxCeal, Cepisa e Saelpa-2005-protegida_CVA Borborema 2010 - Fiscalizada Final" xfId="3413" xr:uid="{00000000-0005-0000-0000-000059040000}"/>
    <cellStyle name="_FR CHESFxCeal, Cepisa e Saelpa-2005-protegida_CVA e Subsídios fiscalização ESCELSA_08_07_2009 v3 SRE" xfId="3414" xr:uid="{00000000-0005-0000-0000-00005A040000}"/>
    <cellStyle name="_FR CHESFxCeal, Cepisa e Saelpa-2005-protegida_CVA Outros Componentes PROVISÃO" xfId="3415" xr:uid="{00000000-0005-0000-0000-00005B040000}"/>
    <cellStyle name="_FR CHESFxCeal, Cepisa e Saelpa-2005-protegida_CVA_Projetada até dez-2008_Setembro" xfId="3416" xr:uid="{00000000-0005-0000-0000-00005C040000}"/>
    <cellStyle name="_FR CHESFxCeal, Cepisa e Saelpa-2005-protegida_Energia Comprada" xfId="3417" xr:uid="{00000000-0005-0000-0000-00005D040000}"/>
    <cellStyle name="_FR CHESFxCeal, Cepisa e Saelpa-2005-protegida_Energia Comprada_IRT-cálculo" xfId="3418" xr:uid="{00000000-0005-0000-0000-00005E040000}"/>
    <cellStyle name="_FR CHESFxCeal, Cepisa e Saelpa-2005-protegida_Energia Comprada_IRT-cálculo CAPA NEUTRALIDADE" xfId="3419" xr:uid="{00000000-0005-0000-0000-00005F040000}"/>
    <cellStyle name="_FR CHESFxCeal, Cepisa e Saelpa-2005-protegida_Fator X" xfId="1542" xr:uid="{00000000-0005-0000-0000-000060040000}"/>
    <cellStyle name="_FR CHESFxCeal, Cepisa e Saelpa-2005-protegida_Fator X 2" xfId="3420" xr:uid="{00000000-0005-0000-0000-000061040000}"/>
    <cellStyle name="_FR CHESFxCeal, Cepisa e Saelpa-2005-protegida_Fator X_IRT-cálculo" xfId="3421" xr:uid="{00000000-0005-0000-0000-000062040000}"/>
    <cellStyle name="_FR CHESFxCeal, Cepisa e Saelpa-2005-protegida_Fator X_IRT-cálculo CAPA NEUTRALIDADE" xfId="3422" xr:uid="{00000000-0005-0000-0000-000063040000}"/>
    <cellStyle name="_FR CHESFxCeal, Cepisa e Saelpa-2005-protegida_Fator X_SOBRECONTRATAÇÃO E CVA" xfId="3423" xr:uid="{00000000-0005-0000-0000-000064040000}"/>
    <cellStyle name="_FR CHESFxCeal, Cepisa e Saelpa-2005-protegida_IF - Autoprodutores 2" xfId="3424" xr:uid="{00000000-0005-0000-0000-000065040000}"/>
    <cellStyle name="_FR CHESFxCeal, Cepisa e Saelpa-2005-protegida_IF_Consumidores livres e geradoras_2010" xfId="3425" xr:uid="{00000000-0005-0000-0000-000066040000}"/>
    <cellStyle name="_FR CHESFxCeal, Cepisa e Saelpa-2005-protegida_IRT (2)" xfId="1543" xr:uid="{00000000-0005-0000-0000-000067040000}"/>
    <cellStyle name="_FR CHESFxCeal, Cepisa e Saelpa-2005-protegida_IRT EEB 2010" xfId="3426" xr:uid="{00000000-0005-0000-0000-000068040000}"/>
    <cellStyle name="_FR CHESFxCeal, Cepisa e Saelpa-2005-protegida_IRT_1" xfId="1544" xr:uid="{00000000-0005-0000-0000-000069040000}"/>
    <cellStyle name="_FR CHESFxCeal, Cepisa e Saelpa-2005-protegida_IRT_1 2" xfId="3427" xr:uid="{00000000-0005-0000-0000-00006A040000}"/>
    <cellStyle name="_FR CHESFxCeal, Cepisa e Saelpa-2005-protegida_IRT_1_IRT-cálculo" xfId="3428" xr:uid="{00000000-0005-0000-0000-00006B040000}"/>
    <cellStyle name="_FR CHESFxCeal, Cepisa e Saelpa-2005-protegida_IRT_1_IRT-cálculo CAPA NEUTRALIDADE" xfId="3429" xr:uid="{00000000-0005-0000-0000-00006C040000}"/>
    <cellStyle name="_FR CHESFxCeal, Cepisa e Saelpa-2005-protegida_IRT_1_SOBRECONTRATAÇÃO E CVA" xfId="3430" xr:uid="{00000000-0005-0000-0000-00006D040000}"/>
    <cellStyle name="_FR CHESFxCeal, Cepisa e Saelpa-2005-protegida_IRT_Bragantina_maio_2009" xfId="3431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5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2" xr:uid="{00000000-0005-0000-0000-000073040000}"/>
    <cellStyle name="_FR CHESFxCeal, Cepisa e Saelpa-2005-protegida_IRT_Planilha Básica_DIRETORIA" xfId="3433" xr:uid="{00000000-0005-0000-0000-000074040000}"/>
    <cellStyle name="_FR CHESFxCeal, Cepisa e Saelpa-2005-protegida_IRT_Pleito" xfId="3434" xr:uid="{00000000-0005-0000-0000-000075040000}"/>
    <cellStyle name="_FR CHESFxCeal, Cepisa e Saelpa-2005-protegida_IRT_Pleito_IRT-cálculo" xfId="3435" xr:uid="{00000000-0005-0000-0000-000076040000}"/>
    <cellStyle name="_FR CHESFxCeal, Cepisa e Saelpa-2005-protegida_IRT_Pleito_IRT-cálculo CAPA NEUTRALIDADE" xfId="3436" xr:uid="{00000000-0005-0000-0000-000077040000}"/>
    <cellStyle name="_FR CHESFxCeal, Cepisa e Saelpa-2005-protegida_IRT_Revisão A-1" xfId="3437" xr:uid="{00000000-0005-0000-0000-000078040000}"/>
    <cellStyle name="_FR CHESFxCeal, Cepisa e Saelpa-2005-protegida_IRT_Revisão A-1_IRT-cálculo" xfId="3438" xr:uid="{00000000-0005-0000-0000-000079040000}"/>
    <cellStyle name="_FR CHESFxCeal, Cepisa e Saelpa-2005-protegida_IRT_Revisão A-1_IRT-cálculo CAPA NEUTRALIDADE" xfId="3439" xr:uid="{00000000-0005-0000-0000-00007A040000}"/>
    <cellStyle name="_FR CHESFxCeal, Cepisa e Saelpa-2005-protegida_IRT-cálculo" xfId="3440" xr:uid="{00000000-0005-0000-0000-00007B040000}"/>
    <cellStyle name="_FR CHESFxCeal, Cepisa e Saelpa-2005-protegida_IRT-cálculo CAPA NEUTRALIDADE" xfId="3441" xr:uid="{00000000-0005-0000-0000-00007C040000}"/>
    <cellStyle name="_FR CHESFxCeal, Cepisa e Saelpa-2005-protegida_Pasta1" xfId="1545" xr:uid="{00000000-0005-0000-0000-00007D040000}"/>
    <cellStyle name="_FR CHESFxCeal, Cepisa e Saelpa-2005-protegida_Pasta1 2" xfId="3442" xr:uid="{00000000-0005-0000-0000-00007E040000}"/>
    <cellStyle name="_FR CHESFxCeal, Cepisa e Saelpa-2005-protegida_Pasta1_IRT-cálculo" xfId="3443" xr:uid="{00000000-0005-0000-0000-00007F040000}"/>
    <cellStyle name="_FR CHESFxCeal, Cepisa e Saelpa-2005-protegida_Pasta1_IRT-cálculo CAPA NEUTRALIDADE" xfId="3444" xr:uid="{00000000-0005-0000-0000-000080040000}"/>
    <cellStyle name="_FR CHESFxCeal, Cepisa e Saelpa-2005-protegida_Pasta1_SOBRECONTRATAÇÃO E CVA" xfId="3445" xr:uid="{00000000-0005-0000-0000-000081040000}"/>
    <cellStyle name="_FR CHESFxCeal, Cepisa e Saelpa-2005-protegida_PROVISÃO" xfId="3446" xr:uid="{00000000-0005-0000-0000-000082040000}"/>
    <cellStyle name="_FR CHESFxCeal, Cepisa e Saelpa-2005-protegida_Sheet1" xfId="3447" xr:uid="{00000000-0005-0000-0000-000083040000}"/>
    <cellStyle name="_FR CHESFxCeal, Cepisa e Saelpa-2005-protegida_SOBRECONTRATAÇÃO E CVA" xfId="3448" xr:uid="{00000000-0005-0000-0000-000084040000}"/>
    <cellStyle name="_FR CHESFxCeal, Cepisa e Saelpa-2005-protegida_SOBRECONTRATAÇÃO E CVA A-1" xfId="3449" xr:uid="{00000000-0005-0000-0000-000085040000}"/>
    <cellStyle name="_FR CHESFxCeal, Cepisa e Saelpa-2005-protegida_SOBRECONTRATAÇÃO E CVA A-1_IRT-cálculo" xfId="3450" xr:uid="{00000000-0005-0000-0000-000086040000}"/>
    <cellStyle name="_FR CHESFxCeal, Cepisa e Saelpa-2005-protegida_SOBRECONTRATAÇÃO E CVA A-1_IRT-cálculo CAPA NEUTRALIDADE" xfId="3451" xr:uid="{00000000-0005-0000-0000-000087040000}"/>
    <cellStyle name="_FR CHESFxCeal, Cepisa e Saelpa-2005-protegida_SOBRECONTRATAÇÃO-RES 255-2007-ap038-07-CPFL07" xfId="3452" xr:uid="{00000000-0005-0000-0000-000088040000}"/>
    <cellStyle name="_GARANTIAS - EMG" xfId="3453" xr:uid="{00000000-0005-0000-0000-000089040000}"/>
    <cellStyle name="_Garantias - ESE 2010" xfId="3454" xr:uid="{00000000-0005-0000-0000-00008A040000}"/>
    <cellStyle name="_Garantias - Final" xfId="3455" xr:uid="{00000000-0005-0000-0000-00008B040000}"/>
    <cellStyle name="_Hom07-Realinhamento ELETROPAULO FINAL  com tarifa cooperativa" xfId="3456" xr:uid="{00000000-0005-0000-0000-00008C040000}"/>
    <cellStyle name="_Hom07-Realinhamento ELETROPAULO FINAL  com tarifa cooperativa_NOVA PLANILHA REVISÃO 1" xfId="3457" xr:uid="{00000000-0005-0000-0000-00008D040000}"/>
    <cellStyle name="_Irrigantes_-_ESE_2010_aud" xfId="3458" xr:uid="{00000000-0005-0000-0000-00008E040000}"/>
    <cellStyle name="_IRT" xfId="3459" xr:uid="{00000000-0005-0000-0000-00008F040000}"/>
    <cellStyle name="_IRT - chesp 2005-V2 " xfId="226" xr:uid="{00000000-0005-0000-0000-000090040000}"/>
    <cellStyle name="_IRT - chesp 2005-V2 _Calculo_Subsidio_ELFSM_26_06_08_Modelo_ANEEL" xfId="3460" xr:uid="{00000000-0005-0000-0000-000091040000}"/>
    <cellStyle name="_IRT - chesp 2005-V2 _Calculo_Subsidio_ELFSM_26_06_08_Modelo_ANEEL_IRT-cálculo" xfId="3461" xr:uid="{00000000-0005-0000-0000-000092040000}"/>
    <cellStyle name="_IRT - chesp 2005-V2 _Calculo_Subsidio_ELFSM_26_06_08_Modelo_ANEEL_IRT-cálculo CAPA NEUTRALIDADE" xfId="3462" xr:uid="{00000000-0005-0000-0000-000093040000}"/>
    <cellStyle name="_IRT - chesp 2005-V2 _CVA_Projetada até dez-2008_Setembro" xfId="3463" xr:uid="{00000000-0005-0000-0000-000094040000}"/>
    <cellStyle name="_IRT - chesp 2005-V2 _CVA_Projetada até dez-2008_Setembro_CVA Outros Componentes PROVISÃO" xfId="3464" xr:uid="{00000000-0005-0000-0000-000095040000}"/>
    <cellStyle name="_IRT - chesp 2005-V2 _CVA_Projetada até dez-2008_Setembro_PROVISÃO" xfId="3465" xr:uid="{00000000-0005-0000-0000-000096040000}"/>
    <cellStyle name="_IRT - chesp 2005-V2 _Energia Comprada" xfId="3466" xr:uid="{00000000-0005-0000-0000-000097040000}"/>
    <cellStyle name="_IRT - chesp 2005-V2 _Energia Comprada_IRT-cálculo" xfId="3467" xr:uid="{00000000-0005-0000-0000-000098040000}"/>
    <cellStyle name="_IRT - chesp 2005-V2 _Energia Comprada_IRT-cálculo CAPA NEUTRALIDADE" xfId="3468" xr:uid="{00000000-0005-0000-0000-000099040000}"/>
    <cellStyle name="_IRT - chesp 2005-V2 _Fator X" xfId="1546" xr:uid="{00000000-0005-0000-0000-00009A040000}"/>
    <cellStyle name="_IRT - chesp 2005-V2 _Fator X_IRT-cálculo" xfId="3469" xr:uid="{00000000-0005-0000-0000-00009B040000}"/>
    <cellStyle name="_IRT - chesp 2005-V2 _Fator X_IRT-cálculo CAPA NEUTRALIDADE" xfId="3470" xr:uid="{00000000-0005-0000-0000-00009C040000}"/>
    <cellStyle name="_IRT - chesp 2005-V2 _Fator X_SOBRECONTRATAÇÃO E CVA" xfId="3471" xr:uid="{00000000-0005-0000-0000-00009D040000}"/>
    <cellStyle name="_IRT - chesp 2005-V2 _IF - Autoprodutores 2" xfId="3472" xr:uid="{00000000-0005-0000-0000-00009E040000}"/>
    <cellStyle name="_IRT - chesp 2005-V2 _IF_Consumidores livres e geradoras_2010" xfId="3473" xr:uid="{00000000-0005-0000-0000-00009F040000}"/>
    <cellStyle name="_IRT - chesp 2005-V2 _IRT (2)" xfId="1547" xr:uid="{00000000-0005-0000-0000-0000A0040000}"/>
    <cellStyle name="_IRT - chesp 2005-V2 _IRT (2) 2" xfId="3474" xr:uid="{00000000-0005-0000-0000-0000A1040000}"/>
    <cellStyle name="_IRT - chesp 2005-V2 _IRT_1" xfId="1548" xr:uid="{00000000-0005-0000-0000-0000A2040000}"/>
    <cellStyle name="_IRT - chesp 2005-V2 _IRT_1_IRT-cálculo" xfId="3475" xr:uid="{00000000-0005-0000-0000-0000A3040000}"/>
    <cellStyle name="_IRT - chesp 2005-V2 _IRT_1_IRT-cálculo CAPA NEUTRALIDADE" xfId="3476" xr:uid="{00000000-0005-0000-0000-0000A4040000}"/>
    <cellStyle name="_IRT - chesp 2005-V2 _IRT_1_SOBRECONTRATAÇÃO E CVA" xfId="3477" xr:uid="{00000000-0005-0000-0000-0000A5040000}"/>
    <cellStyle name="_IRT - chesp 2005-V2 _IRT_Planilha Básica_ CETRIL" xfId="227" xr:uid="{00000000-0005-0000-0000-0000A6040000}"/>
    <cellStyle name="_IRT - chesp 2005-V2 _IRT_Planilha Básica_ CETRIL 2" xfId="1266" xr:uid="{00000000-0005-0000-0000-0000A7040000}"/>
    <cellStyle name="_IRT - chesp 2005-V2 _IRT_Pleito" xfId="3478" xr:uid="{00000000-0005-0000-0000-0000A8040000}"/>
    <cellStyle name="_IRT - chesp 2005-V2 _IRT_Pleito_IRT-cálculo" xfId="3479" xr:uid="{00000000-0005-0000-0000-0000A9040000}"/>
    <cellStyle name="_IRT - chesp 2005-V2 _IRT_Pleito_IRT-cálculo CAPA NEUTRALIDADE" xfId="3480" xr:uid="{00000000-0005-0000-0000-0000AA040000}"/>
    <cellStyle name="_IRT - chesp 2005-V2 _IRT_Revisão A-1" xfId="3481" xr:uid="{00000000-0005-0000-0000-0000AB040000}"/>
    <cellStyle name="_IRT - chesp 2005-V2 _IRT-cálculo" xfId="3482" xr:uid="{00000000-0005-0000-0000-0000AC040000}"/>
    <cellStyle name="_IRT - chesp 2005-V2 _IRT-cálculo CAPA NEUTRALIDADE" xfId="3483" xr:uid="{00000000-0005-0000-0000-0000AD040000}"/>
    <cellStyle name="_IRT - chesp 2005-V2 _Pasta1" xfId="1549" xr:uid="{00000000-0005-0000-0000-0000AE040000}"/>
    <cellStyle name="_IRT - chesp 2005-V2 _Pasta1_IRT-cálculo" xfId="3484" xr:uid="{00000000-0005-0000-0000-0000AF040000}"/>
    <cellStyle name="_IRT - chesp 2005-V2 _Pasta1_IRT-cálculo CAPA NEUTRALIDADE" xfId="3485" xr:uid="{00000000-0005-0000-0000-0000B0040000}"/>
    <cellStyle name="_IRT - chesp 2005-V2 _Pasta1_SOBRECONTRATAÇÃO E CVA" xfId="3486" xr:uid="{00000000-0005-0000-0000-0000B1040000}"/>
    <cellStyle name="_IRT - chesp 2005-V2 _Sheet1" xfId="3487" xr:uid="{00000000-0005-0000-0000-0000B2040000}"/>
    <cellStyle name="_IRT - chesp 2005-V2 _SOBRECONTRATAÇÃO E CVA" xfId="3488" xr:uid="{00000000-0005-0000-0000-0000B3040000}"/>
    <cellStyle name="_IRT - chesp 2005-V2 _SOBRECONTRATAÇÃO E CVA A-1" xfId="3489" xr:uid="{00000000-0005-0000-0000-0000B4040000}"/>
    <cellStyle name="_IRT - chesp 2005-V2 _SOBRECONTRATAÇÃO E CVA A-1_IRT-cálculo" xfId="3490" xr:uid="{00000000-0005-0000-0000-0000B5040000}"/>
    <cellStyle name="_IRT - chesp 2005-V2 _SOBRECONTRATAÇÃO E CVA A-1_IRT-cálculo CAPA NEUTRALIDADE" xfId="3491" xr:uid="{00000000-0005-0000-0000-0000B6040000}"/>
    <cellStyle name="_IRT 2" xfId="3492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3" xr:uid="{00000000-0005-0000-0000-0000B9040000}"/>
    <cellStyle name="_IRT 2005 - CELTINS-cláudia210605_Calculo_Subsidio_ELFSM_26_06_08_Modelo_ANEEL_IRT-cálculo" xfId="3494" xr:uid="{00000000-0005-0000-0000-0000BA040000}"/>
    <cellStyle name="_IRT 2005 - CELTINS-cláudia210605_Calculo_Subsidio_ELFSM_26_06_08_Modelo_ANEEL_IRT-cálculo CAPA NEUTRALIDADE" xfId="3495" xr:uid="{00000000-0005-0000-0000-0000BB040000}"/>
    <cellStyle name="_IRT 2005 - CELTINS-cláudia210605_CVA_Projetada até dez-2008_Setembro" xfId="3496" xr:uid="{00000000-0005-0000-0000-0000BC040000}"/>
    <cellStyle name="_IRT 2005 - CELTINS-cláudia210605_CVA_Projetada até dez-2008_Setembro_CVA Outros Componentes PROVISÃO" xfId="3497" xr:uid="{00000000-0005-0000-0000-0000BD040000}"/>
    <cellStyle name="_IRT 2005 - CELTINS-cláudia210605_CVA_Projetada até dez-2008_Setembro_PROVISÃO" xfId="3498" xr:uid="{00000000-0005-0000-0000-0000BE040000}"/>
    <cellStyle name="_IRT 2005 - CELTINS-cláudia210605_Energia Comprada" xfId="3499" xr:uid="{00000000-0005-0000-0000-0000BF040000}"/>
    <cellStyle name="_IRT 2005 - CELTINS-cláudia210605_Energia Comprada_IRT-cálculo" xfId="3500" xr:uid="{00000000-0005-0000-0000-0000C0040000}"/>
    <cellStyle name="_IRT 2005 - CELTINS-cláudia210605_Energia Comprada_IRT-cálculo CAPA NEUTRALIDADE" xfId="3501" xr:uid="{00000000-0005-0000-0000-0000C1040000}"/>
    <cellStyle name="_IRT 2005 - CELTINS-cláudia210605_Fator X" xfId="1550" xr:uid="{00000000-0005-0000-0000-0000C2040000}"/>
    <cellStyle name="_IRT 2005 - CELTINS-cláudia210605_Fator X_IRT-cálculo" xfId="3502" xr:uid="{00000000-0005-0000-0000-0000C3040000}"/>
    <cellStyle name="_IRT 2005 - CELTINS-cláudia210605_Fator X_IRT-cálculo CAPA NEUTRALIDADE" xfId="3503" xr:uid="{00000000-0005-0000-0000-0000C4040000}"/>
    <cellStyle name="_IRT 2005 - CELTINS-cláudia210605_Fator X_SOBRECONTRATAÇÃO E CVA" xfId="3504" xr:uid="{00000000-0005-0000-0000-0000C5040000}"/>
    <cellStyle name="_IRT 2005 - CELTINS-cláudia210605_IF - Autoprodutores 2" xfId="3505" xr:uid="{00000000-0005-0000-0000-0000C6040000}"/>
    <cellStyle name="_IRT 2005 - CELTINS-cláudia210605_IF_Consumidores livres e geradoras_2010" xfId="3506" xr:uid="{00000000-0005-0000-0000-0000C7040000}"/>
    <cellStyle name="_IRT 2005 - CELTINS-cláudia210605_IRT (2)" xfId="1551" xr:uid="{00000000-0005-0000-0000-0000C8040000}"/>
    <cellStyle name="_IRT 2005 - CELTINS-cláudia210605_IRT (2) 2" xfId="3507" xr:uid="{00000000-0005-0000-0000-0000C9040000}"/>
    <cellStyle name="_IRT 2005 - CELTINS-cláudia210605_IRT_1" xfId="1552" xr:uid="{00000000-0005-0000-0000-0000CA040000}"/>
    <cellStyle name="_IRT 2005 - CELTINS-cláudia210605_IRT_1_IRT-cálculo" xfId="3508" xr:uid="{00000000-0005-0000-0000-0000CB040000}"/>
    <cellStyle name="_IRT 2005 - CELTINS-cláudia210605_IRT_1_IRT-cálculo CAPA NEUTRALIDADE" xfId="3509" xr:uid="{00000000-0005-0000-0000-0000CC040000}"/>
    <cellStyle name="_IRT 2005 - CELTINS-cláudia210605_IRT_1_SOBRECONTRATAÇÃO E CVA" xfId="3510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7" xr:uid="{00000000-0005-0000-0000-0000CF040000}"/>
    <cellStyle name="_IRT 2005 - CELTINS-cláudia210605_IRT_Pleito" xfId="3511" xr:uid="{00000000-0005-0000-0000-0000D0040000}"/>
    <cellStyle name="_IRT 2005 - CELTINS-cláudia210605_IRT_Pleito_IRT-cálculo" xfId="3512" xr:uid="{00000000-0005-0000-0000-0000D1040000}"/>
    <cellStyle name="_IRT 2005 - CELTINS-cláudia210605_IRT_Pleito_IRT-cálculo CAPA NEUTRALIDADE" xfId="3513" xr:uid="{00000000-0005-0000-0000-0000D2040000}"/>
    <cellStyle name="_IRT 2005 - CELTINS-cláudia210605_IRT_Revisão A-1" xfId="3514" xr:uid="{00000000-0005-0000-0000-0000D3040000}"/>
    <cellStyle name="_IRT 2005 - CELTINS-cláudia210605_IRT-cálculo" xfId="3515" xr:uid="{00000000-0005-0000-0000-0000D4040000}"/>
    <cellStyle name="_IRT 2005 - CELTINS-cláudia210605_IRT-cálculo CAPA NEUTRALIDADE" xfId="3516" xr:uid="{00000000-0005-0000-0000-0000D5040000}"/>
    <cellStyle name="_IRT 2005 - CELTINS-cláudia210605_Pasta1" xfId="1553" xr:uid="{00000000-0005-0000-0000-0000D6040000}"/>
    <cellStyle name="_IRT 2005 - CELTINS-cláudia210605_Pasta1_IRT-cálculo" xfId="3517" xr:uid="{00000000-0005-0000-0000-0000D7040000}"/>
    <cellStyle name="_IRT 2005 - CELTINS-cláudia210605_Pasta1_IRT-cálculo CAPA NEUTRALIDADE" xfId="3518" xr:uid="{00000000-0005-0000-0000-0000D8040000}"/>
    <cellStyle name="_IRT 2005 - CELTINS-cláudia210605_Pasta1_SOBRECONTRATAÇÃO E CVA" xfId="3519" xr:uid="{00000000-0005-0000-0000-0000D9040000}"/>
    <cellStyle name="_IRT 2005 - CELTINS-cláudia210605_Sheet1" xfId="3520" xr:uid="{00000000-0005-0000-0000-0000DA040000}"/>
    <cellStyle name="_IRT 2005 - CELTINS-cláudia210605_SOBRECONTRATAÇÃO E CVA" xfId="3521" xr:uid="{00000000-0005-0000-0000-0000DB040000}"/>
    <cellStyle name="_IRT 2005 - CELTINS-cláudia210605_SOBRECONTRATAÇÃO E CVA A-1" xfId="3522" xr:uid="{00000000-0005-0000-0000-0000DC040000}"/>
    <cellStyle name="_IRT 2005 - CELTINS-cláudia210605_SOBRECONTRATAÇÃO E CVA A-1_IRT-cálculo" xfId="3523" xr:uid="{00000000-0005-0000-0000-0000DD040000}"/>
    <cellStyle name="_IRT 2005 - CELTINS-cláudia210605_SOBRECONTRATAÇÃO E CVA A-1_IRT-cálculo CAPA NEUTRALIDADE" xfId="3524" xr:uid="{00000000-0005-0000-0000-0000DE040000}"/>
    <cellStyle name="_IRT 2005 - CHESP-040705" xfId="230" xr:uid="{00000000-0005-0000-0000-0000DF040000}"/>
    <cellStyle name="_IRT 2005 - CHESP-040705_Calculo_Subsidio_ELFSM_26_06_08_Modelo_ANEEL" xfId="3525" xr:uid="{00000000-0005-0000-0000-0000E0040000}"/>
    <cellStyle name="_IRT 2005 - CHESP-040705_Calculo_Subsidio_ELFSM_26_06_08_Modelo_ANEEL_IRT-cálculo" xfId="3526" xr:uid="{00000000-0005-0000-0000-0000E1040000}"/>
    <cellStyle name="_IRT 2005 - CHESP-040705_Calculo_Subsidio_ELFSM_26_06_08_Modelo_ANEEL_IRT-cálculo CAPA NEUTRALIDADE" xfId="3527" xr:uid="{00000000-0005-0000-0000-0000E2040000}"/>
    <cellStyle name="_IRT 2005 - CHESP-040705_CVA_Projetada até dez-2008_Setembro" xfId="3528" xr:uid="{00000000-0005-0000-0000-0000E3040000}"/>
    <cellStyle name="_IRT 2005 - CHESP-040705_CVA_Projetada até dez-2008_Setembro_CVA Outros Componentes PROVISÃO" xfId="3529" xr:uid="{00000000-0005-0000-0000-0000E4040000}"/>
    <cellStyle name="_IRT 2005 - CHESP-040705_CVA_Projetada até dez-2008_Setembro_PROVISÃO" xfId="3530" xr:uid="{00000000-0005-0000-0000-0000E5040000}"/>
    <cellStyle name="_IRT 2005 - CHESP-040705_Energia Comprada" xfId="3531" xr:uid="{00000000-0005-0000-0000-0000E6040000}"/>
    <cellStyle name="_IRT 2005 - CHESP-040705_Energia Comprada_IRT-cálculo" xfId="3532" xr:uid="{00000000-0005-0000-0000-0000E7040000}"/>
    <cellStyle name="_IRT 2005 - CHESP-040705_Energia Comprada_IRT-cálculo CAPA NEUTRALIDADE" xfId="3533" xr:uid="{00000000-0005-0000-0000-0000E8040000}"/>
    <cellStyle name="_IRT 2005 - CHESP-040705_Fator X" xfId="1554" xr:uid="{00000000-0005-0000-0000-0000E9040000}"/>
    <cellStyle name="_IRT 2005 - CHESP-040705_Fator X_IRT-cálculo" xfId="3534" xr:uid="{00000000-0005-0000-0000-0000EA040000}"/>
    <cellStyle name="_IRT 2005 - CHESP-040705_Fator X_IRT-cálculo CAPA NEUTRALIDADE" xfId="3535" xr:uid="{00000000-0005-0000-0000-0000EB040000}"/>
    <cellStyle name="_IRT 2005 - CHESP-040705_Fator X_SOBRECONTRATAÇÃO E CVA" xfId="3536" xr:uid="{00000000-0005-0000-0000-0000EC040000}"/>
    <cellStyle name="_IRT 2005 - CHESP-040705_IF - Autoprodutores 2" xfId="3537" xr:uid="{00000000-0005-0000-0000-0000ED040000}"/>
    <cellStyle name="_IRT 2005 - CHESP-040705_IF_Consumidores livres e geradoras_2010" xfId="3538" xr:uid="{00000000-0005-0000-0000-0000EE040000}"/>
    <cellStyle name="_IRT 2005 - CHESP-040705_IRT (2)" xfId="1555" xr:uid="{00000000-0005-0000-0000-0000EF040000}"/>
    <cellStyle name="_IRT 2005 - CHESP-040705_IRT (2) 2" xfId="3539" xr:uid="{00000000-0005-0000-0000-0000F0040000}"/>
    <cellStyle name="_IRT 2005 - CHESP-040705_IRT_1" xfId="1556" xr:uid="{00000000-0005-0000-0000-0000F1040000}"/>
    <cellStyle name="_IRT 2005 - CHESP-040705_IRT_1_IRT-cálculo" xfId="3540" xr:uid="{00000000-0005-0000-0000-0000F2040000}"/>
    <cellStyle name="_IRT 2005 - CHESP-040705_IRT_1_IRT-cálculo CAPA NEUTRALIDADE" xfId="3541" xr:uid="{00000000-0005-0000-0000-0000F3040000}"/>
    <cellStyle name="_IRT 2005 - CHESP-040705_IRT_1_SOBRECONTRATAÇÃO E CVA" xfId="3542" xr:uid="{00000000-0005-0000-0000-0000F4040000}"/>
    <cellStyle name="_IRT 2005 - CHESP-040705_IRT_Planilha Básica_ CETRIL" xfId="231" xr:uid="{00000000-0005-0000-0000-0000F5040000}"/>
    <cellStyle name="_IRT 2005 - CHESP-040705_IRT_Planilha Básica_ CETRIL 2" xfId="1268" xr:uid="{00000000-0005-0000-0000-0000F6040000}"/>
    <cellStyle name="_IRT 2005 - CHESP-040705_IRT_Pleito" xfId="3543" xr:uid="{00000000-0005-0000-0000-0000F7040000}"/>
    <cellStyle name="_IRT 2005 - CHESP-040705_IRT_Pleito_IRT-cálculo" xfId="3544" xr:uid="{00000000-0005-0000-0000-0000F8040000}"/>
    <cellStyle name="_IRT 2005 - CHESP-040705_IRT_Pleito_IRT-cálculo CAPA NEUTRALIDADE" xfId="3545" xr:uid="{00000000-0005-0000-0000-0000F9040000}"/>
    <cellStyle name="_IRT 2005 - CHESP-040705_IRT_Revisão A-1" xfId="3546" xr:uid="{00000000-0005-0000-0000-0000FA040000}"/>
    <cellStyle name="_IRT 2005 - CHESP-040705_IRT-cálculo" xfId="3547" xr:uid="{00000000-0005-0000-0000-0000FB040000}"/>
    <cellStyle name="_IRT 2005 - CHESP-040705_IRT-cálculo CAPA NEUTRALIDADE" xfId="3548" xr:uid="{00000000-0005-0000-0000-0000FC040000}"/>
    <cellStyle name="_IRT 2005 - CHESP-040705_Pasta1" xfId="1557" xr:uid="{00000000-0005-0000-0000-0000FD040000}"/>
    <cellStyle name="_IRT 2005 - CHESP-040705_Pasta1_IRT-cálculo" xfId="3549" xr:uid="{00000000-0005-0000-0000-0000FE040000}"/>
    <cellStyle name="_IRT 2005 - CHESP-040705_Pasta1_IRT-cálculo CAPA NEUTRALIDADE" xfId="3550" xr:uid="{00000000-0005-0000-0000-0000FF040000}"/>
    <cellStyle name="_IRT 2005 - CHESP-040705_Pasta1_SOBRECONTRATAÇÃO E CVA" xfId="3551" xr:uid="{00000000-0005-0000-0000-000000050000}"/>
    <cellStyle name="_IRT 2005 - CHESP-040705_Sheet1" xfId="3552" xr:uid="{00000000-0005-0000-0000-000001050000}"/>
    <cellStyle name="_IRT 2005 - CHESP-040705_SOBRECONTRATAÇÃO E CVA" xfId="3553" xr:uid="{00000000-0005-0000-0000-000002050000}"/>
    <cellStyle name="_IRT 2005 - CHESP-040705_SOBRECONTRATAÇÃO E CVA A-1" xfId="3554" xr:uid="{00000000-0005-0000-0000-000003050000}"/>
    <cellStyle name="_IRT 2005 - CHESP-040705_SOBRECONTRATAÇÃO E CVA A-1_IRT-cálculo" xfId="3555" xr:uid="{00000000-0005-0000-0000-000004050000}"/>
    <cellStyle name="_IRT 2005 - CHESP-040705_SOBRECONTRATAÇÃO E CVA A-1_IRT-cálculo CAPA NEUTRALIDADE" xfId="3556" xr:uid="{00000000-0005-0000-0000-000005050000}"/>
    <cellStyle name="_IRT 2005 - CHESP-140705" xfId="232" xr:uid="{00000000-0005-0000-0000-000006050000}"/>
    <cellStyle name="_IRT 2005 - CHESP-140705_Calculo_Subsidio_ELFSM_26_06_08_Modelo_ANEEL" xfId="3557" xr:uid="{00000000-0005-0000-0000-000007050000}"/>
    <cellStyle name="_IRT 2005 - CHESP-140705_Calculo_Subsidio_ELFSM_26_06_08_Modelo_ANEEL_IRT-cálculo" xfId="3558" xr:uid="{00000000-0005-0000-0000-000008050000}"/>
    <cellStyle name="_IRT 2005 - CHESP-140705_Calculo_Subsidio_ELFSM_26_06_08_Modelo_ANEEL_IRT-cálculo CAPA NEUTRALIDADE" xfId="3559" xr:uid="{00000000-0005-0000-0000-000009050000}"/>
    <cellStyle name="_IRT 2005 - CHESP-140705_CVA_Projetada até dez-2008_Setembro" xfId="3560" xr:uid="{00000000-0005-0000-0000-00000A050000}"/>
    <cellStyle name="_IRT 2005 - CHESP-140705_CVA_Projetada até dez-2008_Setembro_CVA Outros Componentes PROVISÃO" xfId="3561" xr:uid="{00000000-0005-0000-0000-00000B050000}"/>
    <cellStyle name="_IRT 2005 - CHESP-140705_CVA_Projetada até dez-2008_Setembro_PROVISÃO" xfId="3562" xr:uid="{00000000-0005-0000-0000-00000C050000}"/>
    <cellStyle name="_IRT 2005 - CHESP-140705_Energia Comprada" xfId="3563" xr:uid="{00000000-0005-0000-0000-00000D050000}"/>
    <cellStyle name="_IRT 2005 - CHESP-140705_Energia Comprada_IRT-cálculo" xfId="3564" xr:uid="{00000000-0005-0000-0000-00000E050000}"/>
    <cellStyle name="_IRT 2005 - CHESP-140705_Energia Comprada_IRT-cálculo CAPA NEUTRALIDADE" xfId="3565" xr:uid="{00000000-0005-0000-0000-00000F050000}"/>
    <cellStyle name="_IRT 2005 - CHESP-140705_Fator X" xfId="1558" xr:uid="{00000000-0005-0000-0000-000010050000}"/>
    <cellStyle name="_IRT 2005 - CHESP-140705_Fator X_IRT-cálculo" xfId="3566" xr:uid="{00000000-0005-0000-0000-000011050000}"/>
    <cellStyle name="_IRT 2005 - CHESP-140705_Fator X_IRT-cálculo CAPA NEUTRALIDADE" xfId="3567" xr:uid="{00000000-0005-0000-0000-000012050000}"/>
    <cellStyle name="_IRT 2005 - CHESP-140705_Fator X_SOBRECONTRATAÇÃO E CVA" xfId="3568" xr:uid="{00000000-0005-0000-0000-000013050000}"/>
    <cellStyle name="_IRT 2005 - CHESP-140705_IF - Autoprodutores 2" xfId="3569" xr:uid="{00000000-0005-0000-0000-000014050000}"/>
    <cellStyle name="_IRT 2005 - CHESP-140705_IF_Consumidores livres e geradoras_2010" xfId="3570" xr:uid="{00000000-0005-0000-0000-000015050000}"/>
    <cellStyle name="_IRT 2005 - CHESP-140705_IRT (2)" xfId="1559" xr:uid="{00000000-0005-0000-0000-000016050000}"/>
    <cellStyle name="_IRT 2005 - CHESP-140705_IRT (2) 2" xfId="3571" xr:uid="{00000000-0005-0000-0000-000017050000}"/>
    <cellStyle name="_IRT 2005 - CHESP-140705_IRT_1" xfId="1560" xr:uid="{00000000-0005-0000-0000-000018050000}"/>
    <cellStyle name="_IRT 2005 - CHESP-140705_IRT_1_IRT-cálculo" xfId="3572" xr:uid="{00000000-0005-0000-0000-000019050000}"/>
    <cellStyle name="_IRT 2005 - CHESP-140705_IRT_1_IRT-cálculo CAPA NEUTRALIDADE" xfId="3573" xr:uid="{00000000-0005-0000-0000-00001A050000}"/>
    <cellStyle name="_IRT 2005 - CHESP-140705_IRT_1_SOBRECONTRATAÇÃO E CVA" xfId="3574" xr:uid="{00000000-0005-0000-0000-00001B050000}"/>
    <cellStyle name="_IRT 2005 - CHESP-140705_IRT_Planilha Básica_ CETRIL" xfId="233" xr:uid="{00000000-0005-0000-0000-00001C050000}"/>
    <cellStyle name="_IRT 2005 - CHESP-140705_IRT_Planilha Básica_ CETRIL 2" xfId="1269" xr:uid="{00000000-0005-0000-0000-00001D050000}"/>
    <cellStyle name="_IRT 2005 - CHESP-140705_IRT_Pleito" xfId="3575" xr:uid="{00000000-0005-0000-0000-00001E050000}"/>
    <cellStyle name="_IRT 2005 - CHESP-140705_IRT_Pleito_IRT-cálculo" xfId="3576" xr:uid="{00000000-0005-0000-0000-00001F050000}"/>
    <cellStyle name="_IRT 2005 - CHESP-140705_IRT_Pleito_IRT-cálculo CAPA NEUTRALIDADE" xfId="3577" xr:uid="{00000000-0005-0000-0000-000020050000}"/>
    <cellStyle name="_IRT 2005 - CHESP-140705_IRT_Revisão A-1" xfId="3578" xr:uid="{00000000-0005-0000-0000-000021050000}"/>
    <cellStyle name="_IRT 2005 - CHESP-140705_IRT-cálculo" xfId="3579" xr:uid="{00000000-0005-0000-0000-000022050000}"/>
    <cellStyle name="_IRT 2005 - CHESP-140705_IRT-cálculo CAPA NEUTRALIDADE" xfId="3580" xr:uid="{00000000-0005-0000-0000-000023050000}"/>
    <cellStyle name="_IRT 2005 - CHESP-140705_Pasta1" xfId="1561" xr:uid="{00000000-0005-0000-0000-000024050000}"/>
    <cellStyle name="_IRT 2005 - CHESP-140705_Pasta1_IRT-cálculo" xfId="3581" xr:uid="{00000000-0005-0000-0000-000025050000}"/>
    <cellStyle name="_IRT 2005 - CHESP-140705_Pasta1_IRT-cálculo CAPA NEUTRALIDADE" xfId="3582" xr:uid="{00000000-0005-0000-0000-000026050000}"/>
    <cellStyle name="_IRT 2005 - CHESP-140705_Pasta1_SOBRECONTRATAÇÃO E CVA" xfId="3583" xr:uid="{00000000-0005-0000-0000-000027050000}"/>
    <cellStyle name="_IRT 2005 - CHESP-140705_Sheet1" xfId="3584" xr:uid="{00000000-0005-0000-0000-000028050000}"/>
    <cellStyle name="_IRT 2005 - CHESP-140705_SOBRECONTRATAÇÃO E CVA" xfId="3585" xr:uid="{00000000-0005-0000-0000-000029050000}"/>
    <cellStyle name="_IRT 2005 - CHESP-140705_SOBRECONTRATAÇÃO E CVA A-1" xfId="3586" xr:uid="{00000000-0005-0000-0000-00002A050000}"/>
    <cellStyle name="_IRT 2005 - CHESP-140705_SOBRECONTRATAÇÃO E CVA A-1_IRT-cálculo" xfId="3587" xr:uid="{00000000-0005-0000-0000-00002B050000}"/>
    <cellStyle name="_IRT 2005 - CHESP-140705_SOBRECONTRATAÇÃO E CVA A-1_IRT-cálculo CAPA NEUTRALIDADE" xfId="3588" xr:uid="{00000000-0005-0000-0000-00002C050000}"/>
    <cellStyle name="_IRT 2006 - CEEE" xfId="234" xr:uid="{00000000-0005-0000-0000-00002D050000}"/>
    <cellStyle name="_IRT 2006 - CEEE_Calculo_Subsidio_ELFSM_26_06_08_Modelo_ANEEL" xfId="3589" xr:uid="{00000000-0005-0000-0000-00002E050000}"/>
    <cellStyle name="_IRT 2006 - CEEE_Calculo_Subsidio_ELFSM_26_06_08_Modelo_ANEEL_IRT-cálculo" xfId="3590" xr:uid="{00000000-0005-0000-0000-00002F050000}"/>
    <cellStyle name="_IRT 2006 - CEEE_Calculo_Subsidio_ELFSM_26_06_08_Modelo_ANEEL_IRT-cálculo CAPA NEUTRALIDADE" xfId="3591" xr:uid="{00000000-0005-0000-0000-000030050000}"/>
    <cellStyle name="_IRT 2006 - CEEE_CVA_Projetada até dez-2008_Setembro" xfId="3592" xr:uid="{00000000-0005-0000-0000-000031050000}"/>
    <cellStyle name="_IRT 2006 - CEEE_CVA_Projetada até dez-2008_Setembro_CVA Outros Componentes PROVISÃO" xfId="3593" xr:uid="{00000000-0005-0000-0000-000032050000}"/>
    <cellStyle name="_IRT 2006 - CEEE_CVA_Projetada até dez-2008_Setembro_PROVISÃO" xfId="3594" xr:uid="{00000000-0005-0000-0000-000033050000}"/>
    <cellStyle name="_IRT 2006 - CEEE_Energia Comprada" xfId="3595" xr:uid="{00000000-0005-0000-0000-000034050000}"/>
    <cellStyle name="_IRT 2006 - CEEE_Energia Comprada_IRT-cálculo" xfId="3596" xr:uid="{00000000-0005-0000-0000-000035050000}"/>
    <cellStyle name="_IRT 2006 - CEEE_Energia Comprada_IRT-cálculo CAPA NEUTRALIDADE" xfId="3597" xr:uid="{00000000-0005-0000-0000-000036050000}"/>
    <cellStyle name="_IRT 2006 - CEEE_Fator X" xfId="1562" xr:uid="{00000000-0005-0000-0000-000037050000}"/>
    <cellStyle name="_IRT 2006 - CEEE_Fator X_IRT-cálculo" xfId="3598" xr:uid="{00000000-0005-0000-0000-000038050000}"/>
    <cellStyle name="_IRT 2006 - CEEE_Fator X_IRT-cálculo CAPA NEUTRALIDADE" xfId="3599" xr:uid="{00000000-0005-0000-0000-000039050000}"/>
    <cellStyle name="_IRT 2006 - CEEE_Fator X_SOBRECONTRATAÇÃO E CVA" xfId="3600" xr:uid="{00000000-0005-0000-0000-00003A050000}"/>
    <cellStyle name="_IRT 2006 - CEEE_IF - Autoprodutores 2" xfId="3601" xr:uid="{00000000-0005-0000-0000-00003B050000}"/>
    <cellStyle name="_IRT 2006 - CEEE_IF_Consumidores livres e geradoras_2010" xfId="3602" xr:uid="{00000000-0005-0000-0000-00003C050000}"/>
    <cellStyle name="_IRT 2006 - CEEE_IRT (2)" xfId="1563" xr:uid="{00000000-0005-0000-0000-00003D050000}"/>
    <cellStyle name="_IRT 2006 - CEEE_IRT (2) 2" xfId="3603" xr:uid="{00000000-0005-0000-0000-00003E050000}"/>
    <cellStyle name="_IRT 2006 - CEEE_IRT_1" xfId="1564" xr:uid="{00000000-0005-0000-0000-00003F050000}"/>
    <cellStyle name="_IRT 2006 - CEEE_IRT_1_IRT-cálculo" xfId="3604" xr:uid="{00000000-0005-0000-0000-000040050000}"/>
    <cellStyle name="_IRT 2006 - CEEE_IRT_1_IRT-cálculo CAPA NEUTRALIDADE" xfId="3605" xr:uid="{00000000-0005-0000-0000-000041050000}"/>
    <cellStyle name="_IRT 2006 - CEEE_IRT_1_SOBRECONTRATAÇÃO E CVA" xfId="3606" xr:uid="{00000000-0005-0000-0000-000042050000}"/>
    <cellStyle name="_IRT 2006 - CEEE_IRT_Planilha Básica_ CETRIL" xfId="235" xr:uid="{00000000-0005-0000-0000-000043050000}"/>
    <cellStyle name="_IRT 2006 - CEEE_IRT_Planilha Básica_ CETRIL 2" xfId="1270" xr:uid="{00000000-0005-0000-0000-000044050000}"/>
    <cellStyle name="_IRT 2006 - CEEE_IRT_Pleito" xfId="3607" xr:uid="{00000000-0005-0000-0000-000045050000}"/>
    <cellStyle name="_IRT 2006 - CEEE_IRT_Pleito_IRT-cálculo" xfId="3608" xr:uid="{00000000-0005-0000-0000-000046050000}"/>
    <cellStyle name="_IRT 2006 - CEEE_IRT_Pleito_IRT-cálculo CAPA NEUTRALIDADE" xfId="3609" xr:uid="{00000000-0005-0000-0000-000047050000}"/>
    <cellStyle name="_IRT 2006 - CEEE_IRT_Revisão A-1" xfId="3610" xr:uid="{00000000-0005-0000-0000-000048050000}"/>
    <cellStyle name="_IRT 2006 - CEEE_IRT-cálculo" xfId="3611" xr:uid="{00000000-0005-0000-0000-000049050000}"/>
    <cellStyle name="_IRT 2006 - CEEE_IRT-cálculo CAPA NEUTRALIDADE" xfId="3612" xr:uid="{00000000-0005-0000-0000-00004A050000}"/>
    <cellStyle name="_IRT 2006 - CEEE_Pasta1" xfId="1565" xr:uid="{00000000-0005-0000-0000-00004B050000}"/>
    <cellStyle name="_IRT 2006 - CEEE_Pasta1_IRT-cálculo" xfId="3613" xr:uid="{00000000-0005-0000-0000-00004C050000}"/>
    <cellStyle name="_IRT 2006 - CEEE_Pasta1_IRT-cálculo CAPA NEUTRALIDADE" xfId="3614" xr:uid="{00000000-0005-0000-0000-00004D050000}"/>
    <cellStyle name="_IRT 2006 - CEEE_Pasta1_SOBRECONTRATAÇÃO E CVA" xfId="3615" xr:uid="{00000000-0005-0000-0000-00004E050000}"/>
    <cellStyle name="_IRT 2006 - CEEE_Sheet1" xfId="3616" xr:uid="{00000000-0005-0000-0000-00004F050000}"/>
    <cellStyle name="_IRT 2006 - CEEE_SOBRECONTRATAÇÃO E CVA" xfId="3617" xr:uid="{00000000-0005-0000-0000-000050050000}"/>
    <cellStyle name="_IRT 2006 - CEEE_SOBRECONTRATAÇÃO E CVA A-1" xfId="3618" xr:uid="{00000000-0005-0000-0000-000051050000}"/>
    <cellStyle name="_IRT 2006 - CEEE_SOBRECONTRATAÇÃO E CVA A-1_IRT-cálculo" xfId="3619" xr:uid="{00000000-0005-0000-0000-000052050000}"/>
    <cellStyle name="_IRT 2006 - CEEE_SOBRECONTRATAÇÃO E CVA A-1_IRT-cálculo CAPA NEUTRALIDADE" xfId="3620" xr:uid="{00000000-0005-0000-0000-000053050000}"/>
    <cellStyle name="_IRT 2006 Boa Vista" xfId="236" xr:uid="{00000000-0005-0000-0000-000054050000}"/>
    <cellStyle name="_IRT 2006 Boa Vista 2" xfId="1271" xr:uid="{00000000-0005-0000-0000-000055050000}"/>
    <cellStyle name="_IRT 2006 Boa Vista 3" xfId="3621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2" xr:uid="{00000000-0005-0000-0000-000059050000}"/>
    <cellStyle name="_IRT 2006 Boa Vista_COELCE - RTO 2011 - PLPT_PLANILHA_CÁLCULO_DÉFICIT" xfId="3623" xr:uid="{00000000-0005-0000-0000-00005A050000}"/>
    <cellStyle name="_IRT 2006 Boa Vista_Exposição_Agosto 2" xfId="3624" xr:uid="{00000000-0005-0000-0000-00005B050000}"/>
    <cellStyle name="_IRT 2006 Boa Vista_IRT EEB 2010" xfId="3625" xr:uid="{00000000-0005-0000-0000-00005C050000}"/>
    <cellStyle name="_IRT 2006 Boa Vista_IRT_Revisão A-2" xfId="3626" xr:uid="{00000000-0005-0000-0000-00005D050000}"/>
    <cellStyle name="_IRT 2006 Boa Vista_IRT-cálculo" xfId="3627" xr:uid="{00000000-0005-0000-0000-00005E050000}"/>
    <cellStyle name="_IRT 2006 Boa Vista_Simulação AES SUL 03_04_07" xfId="239" xr:uid="{00000000-0005-0000-0000-00005F050000}"/>
    <cellStyle name="_IRT 2006 Boa Vista_Simulação AES SUL 03_04_07 2" xfId="1272" xr:uid="{00000000-0005-0000-0000-000060050000}"/>
    <cellStyle name="_IRT 2006 Boa Vista_Simulação AES SUL 03_04_07 3" xfId="3628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29" xr:uid="{00000000-0005-0000-0000-000064050000}"/>
    <cellStyle name="_IRT 2006 Boa Vista_Simulação congelamento COELCE 2011 - Propostas 3ª Fase AP040 (20.12.2011)" xfId="3630" xr:uid="{00000000-0005-0000-0000-000065050000}"/>
    <cellStyle name="_IRT 2006 Boa Vista_Sobrecontratação AES (2)" xfId="242" xr:uid="{00000000-0005-0000-0000-000066050000}"/>
    <cellStyle name="_IRT 2006 Boa Vista_Sobrecontratação AES (2) 2" xfId="1273" xr:uid="{00000000-0005-0000-0000-000067050000}"/>
    <cellStyle name="_IRT 2006 Boa Vista_Sobrecontratação AES (2) 3" xfId="3631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2" xr:uid="{00000000-0005-0000-0000-00006B050000}"/>
    <cellStyle name="_IRT 2006 Boa Vista_SOBRECONTRATAÇÃO E CVA" xfId="3633" xr:uid="{00000000-0005-0000-0000-00006C050000}"/>
    <cellStyle name="_IRT 2007 - COELBA" xfId="245" xr:uid="{00000000-0005-0000-0000-00006D050000}"/>
    <cellStyle name="_IRT 2007 - COELBA_IF - Autoprodutores 2" xfId="3634" xr:uid="{00000000-0005-0000-0000-00006E050000}"/>
    <cellStyle name="_IRT 2007 - COELBA_IF_Consumidores livres e geradoras_2010" xfId="3635" xr:uid="{00000000-0005-0000-0000-00006F050000}"/>
    <cellStyle name="_IRT 2007 - COELBA_IRT-cálculo" xfId="3636" xr:uid="{00000000-0005-0000-0000-000070050000}"/>
    <cellStyle name="_IRT 2007 - COELBA_Sheet1" xfId="3637" xr:uid="{00000000-0005-0000-0000-000071050000}"/>
    <cellStyle name="_IRT 2007 - COELBA_Sheet2" xfId="3638" xr:uid="{00000000-0005-0000-0000-000072050000}"/>
    <cellStyle name="_IRT 2007 - Enersul" xfId="246" xr:uid="{00000000-0005-0000-0000-000073050000}"/>
    <cellStyle name="_IRT 2007 - Enersul_IF - Autoprodutores 2" xfId="3639" xr:uid="{00000000-0005-0000-0000-000074050000}"/>
    <cellStyle name="_IRT 2007 - Enersul_IF_Consumidores livres e geradoras_2010" xfId="3640" xr:uid="{00000000-0005-0000-0000-000075050000}"/>
    <cellStyle name="_IRT 2007 - Enersul_IRT-cálculo" xfId="3641" xr:uid="{00000000-0005-0000-0000-000076050000}"/>
    <cellStyle name="_IRT 2007 - Enersul_Sheet1" xfId="3642" xr:uid="{00000000-0005-0000-0000-000077050000}"/>
    <cellStyle name="_IRT CPEE_fev07" xfId="247" xr:uid="{00000000-0005-0000-0000-000078050000}"/>
    <cellStyle name="_IRT CPEE_fev07_Calculo_Subsidio_ELFSM_26_06_08_Modelo_ANEEL" xfId="3643" xr:uid="{00000000-0005-0000-0000-000079050000}"/>
    <cellStyle name="_IRT CPEE_fev07_Calculo_Subsidio_ELFSM_26_06_08_Modelo_ANEEL_IRT-cálculo" xfId="3644" xr:uid="{00000000-0005-0000-0000-00007A050000}"/>
    <cellStyle name="_IRT CPEE_fev07_Calculo_Subsidio_ELFSM_26_06_08_Modelo_ANEEL_IRT-cálculo CAPA NEUTRALIDADE" xfId="3645" xr:uid="{00000000-0005-0000-0000-00007B050000}"/>
    <cellStyle name="_IRT CPEE_fev07_CVA_Projetada até dez-2008_Setembro" xfId="3646" xr:uid="{00000000-0005-0000-0000-00007C050000}"/>
    <cellStyle name="_IRT CPEE_fev07_CVA_Projetada até dez-2008_Setembro_CVA Outros Componentes PROVISÃO" xfId="3647" xr:uid="{00000000-0005-0000-0000-00007D050000}"/>
    <cellStyle name="_IRT CPEE_fev07_CVA_Projetada até dez-2008_Setembro_PROVISÃO" xfId="3648" xr:uid="{00000000-0005-0000-0000-00007E050000}"/>
    <cellStyle name="_IRT CPEE_fev07_Energia Comprada" xfId="3649" xr:uid="{00000000-0005-0000-0000-00007F050000}"/>
    <cellStyle name="_IRT CPEE_fev07_Energia Comprada_IRT-cálculo" xfId="3650" xr:uid="{00000000-0005-0000-0000-000080050000}"/>
    <cellStyle name="_IRT CPEE_fev07_Energia Comprada_IRT-cálculo CAPA NEUTRALIDADE" xfId="3651" xr:uid="{00000000-0005-0000-0000-000081050000}"/>
    <cellStyle name="_IRT CPEE_fev07_Fator X" xfId="1566" xr:uid="{00000000-0005-0000-0000-000082050000}"/>
    <cellStyle name="_IRT CPEE_fev07_Fator X_IRT-cálculo" xfId="3652" xr:uid="{00000000-0005-0000-0000-000083050000}"/>
    <cellStyle name="_IRT CPEE_fev07_Fator X_IRT-cálculo CAPA NEUTRALIDADE" xfId="3653" xr:uid="{00000000-0005-0000-0000-000084050000}"/>
    <cellStyle name="_IRT CPEE_fev07_Fator X_SOBRECONTRATAÇÃO E CVA" xfId="3654" xr:uid="{00000000-0005-0000-0000-000085050000}"/>
    <cellStyle name="_IRT CPEE_fev07_IF - Autoprodutores 2" xfId="3655" xr:uid="{00000000-0005-0000-0000-000086050000}"/>
    <cellStyle name="_IRT CPEE_fev07_IF_Consumidores livres e geradoras_2010" xfId="3656" xr:uid="{00000000-0005-0000-0000-000087050000}"/>
    <cellStyle name="_IRT CPEE_fev07_IRT (2)" xfId="1567" xr:uid="{00000000-0005-0000-0000-000088050000}"/>
    <cellStyle name="_IRT CPEE_fev07_IRT (2) 2" xfId="3657" xr:uid="{00000000-0005-0000-0000-000089050000}"/>
    <cellStyle name="_IRT CPEE_fev07_IRT_1" xfId="1568" xr:uid="{00000000-0005-0000-0000-00008A050000}"/>
    <cellStyle name="_IRT CPEE_fev07_IRT_1_IRT-cálculo" xfId="3658" xr:uid="{00000000-0005-0000-0000-00008B050000}"/>
    <cellStyle name="_IRT CPEE_fev07_IRT_1_IRT-cálculo CAPA NEUTRALIDADE" xfId="3659" xr:uid="{00000000-0005-0000-0000-00008C050000}"/>
    <cellStyle name="_IRT CPEE_fev07_IRT_1_SOBRECONTRATAÇÃO E CVA" xfId="3660" xr:uid="{00000000-0005-0000-0000-00008D050000}"/>
    <cellStyle name="_IRT CPEE_fev07_IRT_Planilha Básica_ CETRIL" xfId="248" xr:uid="{00000000-0005-0000-0000-00008E050000}"/>
    <cellStyle name="_IRT CPEE_fev07_IRT_Planilha Básica_ CETRIL 2" xfId="1274" xr:uid="{00000000-0005-0000-0000-00008F050000}"/>
    <cellStyle name="_IRT CPEE_fev07_IRT_Pleito" xfId="3661" xr:uid="{00000000-0005-0000-0000-000090050000}"/>
    <cellStyle name="_IRT CPEE_fev07_IRT_Pleito_IRT-cálculo" xfId="3662" xr:uid="{00000000-0005-0000-0000-000091050000}"/>
    <cellStyle name="_IRT CPEE_fev07_IRT_Pleito_IRT-cálculo CAPA NEUTRALIDADE" xfId="3663" xr:uid="{00000000-0005-0000-0000-000092050000}"/>
    <cellStyle name="_IRT CPEE_fev07_IRT_Revisão A-1" xfId="3664" xr:uid="{00000000-0005-0000-0000-000093050000}"/>
    <cellStyle name="_IRT CPEE_fev07_IRT-cálculo" xfId="3665" xr:uid="{00000000-0005-0000-0000-000094050000}"/>
    <cellStyle name="_IRT CPEE_fev07_IRT-cálculo CAPA NEUTRALIDADE" xfId="3666" xr:uid="{00000000-0005-0000-0000-000095050000}"/>
    <cellStyle name="_IRT CPEE_fev07_Pasta1" xfId="1569" xr:uid="{00000000-0005-0000-0000-000096050000}"/>
    <cellStyle name="_IRT CPEE_fev07_Pasta1_IRT-cálculo" xfId="3667" xr:uid="{00000000-0005-0000-0000-000097050000}"/>
    <cellStyle name="_IRT CPEE_fev07_Pasta1_IRT-cálculo CAPA NEUTRALIDADE" xfId="3668" xr:uid="{00000000-0005-0000-0000-000098050000}"/>
    <cellStyle name="_IRT CPEE_fev07_Pasta1_SOBRECONTRATAÇÃO E CVA" xfId="3669" xr:uid="{00000000-0005-0000-0000-000099050000}"/>
    <cellStyle name="_IRT CPEE_fev07_pós-IGPM" xfId="249" xr:uid="{00000000-0005-0000-0000-00009A050000}"/>
    <cellStyle name="_IRT CPEE_fev07_pós-IGPM_Cálculo do Financeiro do Baixa Renda" xfId="3670" xr:uid="{00000000-0005-0000-0000-00009B050000}"/>
    <cellStyle name="_IRT CPEE_fev07_pós-IGPM_Cálculo do Financeiro do Baixa Renda_IRT-cálculo" xfId="3671" xr:uid="{00000000-0005-0000-0000-00009C050000}"/>
    <cellStyle name="_IRT CPEE_fev07_pós-IGPM_Cálculo do Financeiro do Baixa Renda_IRT-cálculo CAPA NEUTRALIDADE" xfId="3672" xr:uid="{00000000-0005-0000-0000-00009D050000}"/>
    <cellStyle name="_IRT CPEE_fev07_pós-IGPM_Custo com Avaliação de Ativos para Base de Remuneração" xfId="3673" xr:uid="{00000000-0005-0000-0000-00009E050000}"/>
    <cellStyle name="_IRT CPEE_fev07_pós-IGPM_Custo com Avaliação de Ativos para Base de Remuneração_IRT-cálculo" xfId="3674" xr:uid="{00000000-0005-0000-0000-00009F050000}"/>
    <cellStyle name="_IRT CPEE_fev07_pós-IGPM_Custo com Avaliação de Ativos para Base de Remuneração_IRT-cálculo CAPA NEUTRALIDADE" xfId="3675" xr:uid="{00000000-0005-0000-0000-0000A0050000}"/>
    <cellStyle name="_IRT CPEE_fev07_pós-IGPM_Energia Comprada" xfId="3676" xr:uid="{00000000-0005-0000-0000-0000A1050000}"/>
    <cellStyle name="_IRT CPEE_fev07_pós-IGPM_Energia Comprada_IRT-cálculo" xfId="3677" xr:uid="{00000000-0005-0000-0000-0000A2050000}"/>
    <cellStyle name="_IRT CPEE_fev07_pós-IGPM_Energia Comprada_IRT-cálculo CAPA NEUTRALIDADE" xfId="3678" xr:uid="{00000000-0005-0000-0000-0000A3050000}"/>
    <cellStyle name="_IRT CPEE_fev07_pós-IGPM_Fator X" xfId="1570" xr:uid="{00000000-0005-0000-0000-0000A4050000}"/>
    <cellStyle name="_IRT CPEE_fev07_pós-IGPM_Fator X_IRT-cálculo" xfId="3679" xr:uid="{00000000-0005-0000-0000-0000A5050000}"/>
    <cellStyle name="_IRT CPEE_fev07_pós-IGPM_Fator X_IRT-cálculo CAPA NEUTRALIDADE" xfId="3680" xr:uid="{00000000-0005-0000-0000-0000A6050000}"/>
    <cellStyle name="_IRT CPEE_fev07_pós-IGPM_Fator X_SOBRECONTRATAÇÃO E CVA" xfId="3681" xr:uid="{00000000-0005-0000-0000-0000A7050000}"/>
    <cellStyle name="_IRT CPEE_fev07_pós-IGPM_IF - Autoprodutores 2" xfId="3682" xr:uid="{00000000-0005-0000-0000-0000A8050000}"/>
    <cellStyle name="_IRT CPEE_fev07_pós-IGPM_IF_Consumidores livres e geradoras_2010" xfId="3683" xr:uid="{00000000-0005-0000-0000-0000A9050000}"/>
    <cellStyle name="_IRT CPEE_fev07_pós-IGPM_IRT (2)" xfId="1571" xr:uid="{00000000-0005-0000-0000-0000AA050000}"/>
    <cellStyle name="_IRT CPEE_fev07_pós-IGPM_IRT (2) 2" xfId="3684" xr:uid="{00000000-0005-0000-0000-0000AB050000}"/>
    <cellStyle name="_IRT CPEE_fev07_pós-IGPM_IRT_1" xfId="1572" xr:uid="{00000000-0005-0000-0000-0000AC050000}"/>
    <cellStyle name="_IRT CPEE_fev07_pós-IGPM_IRT_1_IRT-cálculo" xfId="3685" xr:uid="{00000000-0005-0000-0000-0000AD050000}"/>
    <cellStyle name="_IRT CPEE_fev07_pós-IGPM_IRT_1_IRT-cálculo CAPA NEUTRALIDADE" xfId="3686" xr:uid="{00000000-0005-0000-0000-0000AE050000}"/>
    <cellStyle name="_IRT CPEE_fev07_pós-IGPM_IRT_1_SOBRECONTRATAÇÃO E CVA" xfId="3687" xr:uid="{00000000-0005-0000-0000-0000AF050000}"/>
    <cellStyle name="_IRT CPEE_fev07_pós-IGPM_IRT_Revisão A-1" xfId="3688" xr:uid="{00000000-0005-0000-0000-0000B0050000}"/>
    <cellStyle name="_IRT CPEE_fev07_pós-IGPM_IRT-cálculo" xfId="3689" xr:uid="{00000000-0005-0000-0000-0000B1050000}"/>
    <cellStyle name="_IRT CPEE_fev07_pós-IGPM_IRT-cálculo CAPA NEUTRALIDADE" xfId="3690" xr:uid="{00000000-0005-0000-0000-0000B2050000}"/>
    <cellStyle name="_IRT CPEE_fev07_pós-IGPM_Pasta1" xfId="1573" xr:uid="{00000000-0005-0000-0000-0000B3050000}"/>
    <cellStyle name="_IRT CPEE_fev07_pós-IGPM_Pasta1_IRT-cálculo" xfId="3691" xr:uid="{00000000-0005-0000-0000-0000B4050000}"/>
    <cellStyle name="_IRT CPEE_fev07_pós-IGPM_Pasta1_IRT-cálculo CAPA NEUTRALIDADE" xfId="3692" xr:uid="{00000000-0005-0000-0000-0000B5050000}"/>
    <cellStyle name="_IRT CPEE_fev07_pós-IGPM_Pasta1_SOBRECONTRATAÇÃO E CVA" xfId="3693" xr:uid="{00000000-0005-0000-0000-0000B6050000}"/>
    <cellStyle name="_IRT CPEE_fev07_pós-IGPM_Sheet1" xfId="3694" xr:uid="{00000000-0005-0000-0000-0000B7050000}"/>
    <cellStyle name="_IRT CPEE_fev07_pós-IGPM_Sheet2" xfId="3695" xr:uid="{00000000-0005-0000-0000-0000B8050000}"/>
    <cellStyle name="_IRT CPEE_fev07_pós-IGPM_SOBRECONTRATAÇÃO E CVA" xfId="3696" xr:uid="{00000000-0005-0000-0000-0000B9050000}"/>
    <cellStyle name="_IRT CPEE_fev07_Sheet1" xfId="3697" xr:uid="{00000000-0005-0000-0000-0000BA050000}"/>
    <cellStyle name="_IRT CPEE_fev07_SOBRECONTRATAÇÃO E CVA" xfId="3698" xr:uid="{00000000-0005-0000-0000-0000BB050000}"/>
    <cellStyle name="_IRT CPEE_fev07_SOBRECONTRATAÇÃO E CVA A-1" xfId="3699" xr:uid="{00000000-0005-0000-0000-0000BC050000}"/>
    <cellStyle name="_IRT CPEE_fev07_SOBRECONTRATAÇÃO E CVA A-1_IRT-cálculo" xfId="3700" xr:uid="{00000000-0005-0000-0000-0000BD050000}"/>
    <cellStyle name="_IRT CPEE_fev07_SOBRECONTRATAÇÃO E CVA A-1_IRT-cálculo CAPA NEUTRALIDADE" xfId="3701" xr:uid="{00000000-0005-0000-0000-0000BE050000}"/>
    <cellStyle name="_IRT Energipe 2007" xfId="3702" xr:uid="{00000000-0005-0000-0000-0000BF050000}"/>
    <cellStyle name="_IRT IGUAÇU_2007 (2)" xfId="3703" xr:uid="{00000000-0005-0000-0000-0000C0050000}"/>
    <cellStyle name="_IRT SAELPA-2006" xfId="3704" xr:uid="{00000000-0005-0000-0000-0000C1050000}"/>
    <cellStyle name="_IRT SAELPA-2006_CVA Borborema 2010 - Fiscalizada Final" xfId="3705" xr:uid="{00000000-0005-0000-0000-0000C2050000}"/>
    <cellStyle name="_IRT_2006_Sulgipe_Final" xfId="250" xr:uid="{00000000-0005-0000-0000-0000C3050000}"/>
    <cellStyle name="_IRT_2006_Sulgipe_Final 2" xfId="1275" xr:uid="{00000000-0005-0000-0000-0000C4050000}"/>
    <cellStyle name="_IRT_2006_Sulgipe_Final 3" xfId="3706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7" xr:uid="{00000000-0005-0000-0000-0000C8050000}"/>
    <cellStyle name="_IRT_2006_Sulgipe_Final_COELCE - RTO 2011 - PLPT_PLANILHA_CÁLCULO_DÉFICIT" xfId="3708" xr:uid="{00000000-0005-0000-0000-0000C9050000}"/>
    <cellStyle name="_IRT_2006_Sulgipe_Final_Exposição_Agosto 2" xfId="3709" xr:uid="{00000000-0005-0000-0000-0000CA050000}"/>
    <cellStyle name="_IRT_2006_Sulgipe_Final_IRT EEB 2010" xfId="3710" xr:uid="{00000000-0005-0000-0000-0000CB050000}"/>
    <cellStyle name="_IRT_2006_Sulgipe_Final_IRT_Revisão A-2" xfId="3711" xr:uid="{00000000-0005-0000-0000-0000CC050000}"/>
    <cellStyle name="_IRT_2006_Sulgipe_Final_IRT-cálculo" xfId="3712" xr:uid="{00000000-0005-0000-0000-0000CD050000}"/>
    <cellStyle name="_IRT_2006_Sulgipe_Final_Simulação AES SUL 03_04_07" xfId="253" xr:uid="{00000000-0005-0000-0000-0000CE050000}"/>
    <cellStyle name="_IRT_2006_Sulgipe_Final_Simulação AES SUL 03_04_07 2" xfId="1276" xr:uid="{00000000-0005-0000-0000-0000CF050000}"/>
    <cellStyle name="_IRT_2006_Sulgipe_Final_Simulação AES SUL 03_04_07 3" xfId="3713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4" xr:uid="{00000000-0005-0000-0000-0000D3050000}"/>
    <cellStyle name="_IRT_2006_Sulgipe_Final_Simulação congelamento COELCE 2011 - Propostas 3ª Fase AP040 (20.12.2011)" xfId="3715" xr:uid="{00000000-0005-0000-0000-0000D4050000}"/>
    <cellStyle name="_IRT_2006_Sulgipe_Final_Sobrecontratação AES (2)" xfId="256" xr:uid="{00000000-0005-0000-0000-0000D5050000}"/>
    <cellStyle name="_IRT_2006_Sulgipe_Final_Sobrecontratação AES (2) 2" xfId="1277" xr:uid="{00000000-0005-0000-0000-0000D6050000}"/>
    <cellStyle name="_IRT_2006_Sulgipe_Final_Sobrecontratação AES (2) 3" xfId="3716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7" xr:uid="{00000000-0005-0000-0000-0000DA050000}"/>
    <cellStyle name="_IRT_2006_Sulgipe_Final_SOBRECONTRATAÇÃO E CVA" xfId="3718" xr:uid="{00000000-0005-0000-0000-0000DB050000}"/>
    <cellStyle name="_IRT_Bragantina_maio_2009" xfId="3719" xr:uid="{00000000-0005-0000-0000-0000DC050000}"/>
    <cellStyle name="_IRT_CAT_LEO" xfId="3720" xr:uid="{00000000-0005-0000-0000-0000DD050000}"/>
    <cellStyle name="_IRT_CAT_LEO_CVA Borborema 2010 - Fiscalizada Final" xfId="3721" xr:uid="{00000000-0005-0000-0000-0000DE050000}"/>
    <cellStyle name="_IRT_CEEE_OUT2009" xfId="3722" xr:uid="{00000000-0005-0000-0000-0000DF050000}"/>
    <cellStyle name="_IRT_CELG_setembro2007_pósIPCA" xfId="3723" xr:uid="{00000000-0005-0000-0000-0000E0050000}"/>
    <cellStyle name="_IRT_CELG_setembro2007_pósIPCA_Cálculo do Financeiro do Baixa Renda" xfId="3724" xr:uid="{00000000-0005-0000-0000-0000E1050000}"/>
    <cellStyle name="_IRT_CELG_setembro2007_pósIPCA_Cálculo do Financeiro do Baixa Renda_IRT-cálculo" xfId="3725" xr:uid="{00000000-0005-0000-0000-0000E2050000}"/>
    <cellStyle name="_IRT_CELG_setembro2007_pósIPCA_Cálculo do Financeiro do Baixa Renda_IRT-cálculo CAPA NEUTRALIDADE" xfId="3726" xr:uid="{00000000-0005-0000-0000-0000E3050000}"/>
    <cellStyle name="_IRT_CELG_setembro2007_pósIPCA_Custo com Avaliação de Ativos para Base de Remuneração" xfId="3727" xr:uid="{00000000-0005-0000-0000-0000E4050000}"/>
    <cellStyle name="_IRT_CELG_setembro2007_pósIPCA_Custo com Avaliação de Ativos para Base de Remuneração_IRT-cálculo" xfId="3728" xr:uid="{00000000-0005-0000-0000-0000E5050000}"/>
    <cellStyle name="_IRT_CELG_setembro2007_pósIPCA_Custo com Avaliação de Ativos para Base de Remuneração_IRT-cálculo CAPA NEUTRALIDADE" xfId="3729" xr:uid="{00000000-0005-0000-0000-0000E6050000}"/>
    <cellStyle name="_IRT_CELG_setembro2007_pósIPCA_IF - Autoprodutores 2" xfId="3730" xr:uid="{00000000-0005-0000-0000-0000E7050000}"/>
    <cellStyle name="_IRT_CELG_setembro2007_pósIPCA_IF_Consumidores livres e geradoras_2010" xfId="3731" xr:uid="{00000000-0005-0000-0000-0000E8050000}"/>
    <cellStyle name="_IRT_CELG_setembro2007_pósIPCA_Sheet1" xfId="3732" xr:uid="{00000000-0005-0000-0000-0000E9050000}"/>
    <cellStyle name="_IRT_CEMAR_2007_VDef" xfId="259" xr:uid="{00000000-0005-0000-0000-0000EA050000}"/>
    <cellStyle name="_IRT_CEMAR_2007_VDef_IF - Autoprodutores 2" xfId="3733" xr:uid="{00000000-0005-0000-0000-0000EB050000}"/>
    <cellStyle name="_IRT_CEMAR_2007_VDef_IF_Consumidores livres e geradoras_2010" xfId="3734" xr:uid="{00000000-0005-0000-0000-0000EC050000}"/>
    <cellStyle name="_IRT_CEMAR_2007_VDef_IRT-cálculo" xfId="3735" xr:uid="{00000000-0005-0000-0000-0000ED050000}"/>
    <cellStyle name="_IRT_CEMAR_2007_VDef_Sheet1" xfId="3736" xr:uid="{00000000-0005-0000-0000-0000EE050000}"/>
    <cellStyle name="_IRT_CEMAT_2009" xfId="3737" xr:uid="{00000000-0005-0000-0000-0000EF050000}"/>
    <cellStyle name="_IRT_CEMIG_abr 2009" xfId="1574" xr:uid="{00000000-0005-0000-0000-0000F0050000}"/>
    <cellStyle name="_IRT_COPEL-DIS_junho2007" xfId="260" xr:uid="{00000000-0005-0000-0000-0000F1050000}"/>
    <cellStyle name="_IRT_COPEL-DIS_junho2007_Cálculo do Financeiro do Baixa Renda" xfId="3738" xr:uid="{00000000-0005-0000-0000-0000F2050000}"/>
    <cellStyle name="_IRT_COPEL-DIS_junho2007_Cálculo do Financeiro do Baixa Renda_IRT-cálculo" xfId="3739" xr:uid="{00000000-0005-0000-0000-0000F3050000}"/>
    <cellStyle name="_IRT_COPEL-DIS_junho2007_Cálculo do Financeiro do Baixa Renda_IRT-cálculo CAPA NEUTRALIDADE" xfId="3740" xr:uid="{00000000-0005-0000-0000-0000F4050000}"/>
    <cellStyle name="_IRT_COPEL-DIS_junho2007_Contratos_Compra_Energia_Fev_09_Jan_10_recebido_06_01_09" xfId="3741" xr:uid="{00000000-0005-0000-0000-0000F5050000}"/>
    <cellStyle name="_IRT_COPEL-DIS_junho2007_CT_DIR_13_2008_Anexo_II_IRT_ESCELSA_Memoria_de_Calculo" xfId="3742" xr:uid="{00000000-0005-0000-0000-0000F6050000}"/>
    <cellStyle name="_IRT_COPEL-DIS_junho2007_Custo com Avaliação de Ativos para Base de Remuneração" xfId="3743" xr:uid="{00000000-0005-0000-0000-0000F7050000}"/>
    <cellStyle name="_IRT_COPEL-DIS_junho2007_Custo com Avaliação de Ativos para Base de Remuneração_IRT-cálculo" xfId="3744" xr:uid="{00000000-0005-0000-0000-0000F8050000}"/>
    <cellStyle name="_IRT_COPEL-DIS_junho2007_Custo com Avaliação de Ativos para Base de Remuneração_IRT-cálculo CAPA NEUTRALIDADE" xfId="3745" xr:uid="{00000000-0005-0000-0000-0000F9050000}"/>
    <cellStyle name="_IRT_COPEL-DIS_junho2007_Energia Comprada" xfId="3746" xr:uid="{00000000-0005-0000-0000-0000FA050000}"/>
    <cellStyle name="_IRT_COPEL-DIS_junho2007_Energia Comprada_IRT-cálculo" xfId="3747" xr:uid="{00000000-0005-0000-0000-0000FB050000}"/>
    <cellStyle name="_IRT_COPEL-DIS_junho2007_Energia Comprada_IRT-cálculo CAPA NEUTRALIDADE" xfId="3748" xr:uid="{00000000-0005-0000-0000-0000FC050000}"/>
    <cellStyle name="_IRT_COPEL-DIS_junho2007_Fator X" xfId="1575" xr:uid="{00000000-0005-0000-0000-0000FD050000}"/>
    <cellStyle name="_IRT_COPEL-DIS_junho2007_Fator X_IRT-cálculo" xfId="3749" xr:uid="{00000000-0005-0000-0000-0000FE050000}"/>
    <cellStyle name="_IRT_COPEL-DIS_junho2007_Fator X_IRT-cálculo CAPA NEUTRALIDADE" xfId="3750" xr:uid="{00000000-0005-0000-0000-0000FF050000}"/>
    <cellStyle name="_IRT_COPEL-DIS_junho2007_Fator X_SOBRECONTRATAÇÃO E CVA" xfId="3751" xr:uid="{00000000-0005-0000-0000-000000060000}"/>
    <cellStyle name="_IRT_COPEL-DIS_junho2007_IF - Autoprodutores 2" xfId="3752" xr:uid="{00000000-0005-0000-0000-000001060000}"/>
    <cellStyle name="_IRT_COPEL-DIS_junho2007_IF_Consumidores livres e geradoras_2010" xfId="3753" xr:uid="{00000000-0005-0000-0000-000002060000}"/>
    <cellStyle name="_IRT_COPEL-DIS_junho2007_IRT (2)" xfId="1576" xr:uid="{00000000-0005-0000-0000-000003060000}"/>
    <cellStyle name="_IRT_COPEL-DIS_junho2007_IRT (2) 2" xfId="3754" xr:uid="{00000000-0005-0000-0000-000004060000}"/>
    <cellStyle name="_IRT_COPEL-DIS_junho2007_IRT_1" xfId="1577" xr:uid="{00000000-0005-0000-0000-000005060000}"/>
    <cellStyle name="_IRT_COPEL-DIS_junho2007_IRT_1_IRT-cálculo" xfId="3755" xr:uid="{00000000-0005-0000-0000-000006060000}"/>
    <cellStyle name="_IRT_COPEL-DIS_junho2007_IRT_1_IRT-cálculo CAPA NEUTRALIDADE" xfId="3756" xr:uid="{00000000-0005-0000-0000-000007060000}"/>
    <cellStyle name="_IRT_COPEL-DIS_junho2007_IRT_1_SOBRECONTRATAÇÃO E CVA" xfId="3757" xr:uid="{00000000-0005-0000-0000-000008060000}"/>
    <cellStyle name="_IRT_COPEL-DIS_junho2007_IRT_ESCELSA_2009_Contratos_Compra_Energia_Ago_08_Jul_10_PerfilCarga_25_06_2009" xfId="3758" xr:uid="{00000000-0005-0000-0000-000009060000}"/>
    <cellStyle name="_IRT_COPEL-DIS_junho2007_IRT_Revisão A-1" xfId="3759" xr:uid="{00000000-0005-0000-0000-00000A060000}"/>
    <cellStyle name="_IRT_COPEL-DIS_junho2007_IRT-cálculo" xfId="3760" xr:uid="{00000000-0005-0000-0000-00000B060000}"/>
    <cellStyle name="_IRT_COPEL-DIS_junho2007_IRT-cálculo CAPA NEUTRALIDADE" xfId="3761" xr:uid="{00000000-0005-0000-0000-00000C060000}"/>
    <cellStyle name="_IRT_COPEL-DIS_junho2007_Pasta1" xfId="1578" xr:uid="{00000000-0005-0000-0000-00000D060000}"/>
    <cellStyle name="_IRT_COPEL-DIS_junho2007_Pasta1_IRT-cálculo" xfId="3762" xr:uid="{00000000-0005-0000-0000-00000E060000}"/>
    <cellStyle name="_IRT_COPEL-DIS_junho2007_Pasta1_IRT-cálculo CAPA NEUTRALIDADE" xfId="3763" xr:uid="{00000000-0005-0000-0000-00000F060000}"/>
    <cellStyle name="_IRT_COPEL-DIS_junho2007_Pasta1_SOBRECONTRATAÇÃO E CVA" xfId="3764" xr:uid="{00000000-0005-0000-0000-000010060000}"/>
    <cellStyle name="_IRT_COPEL-DIS_junho2007_Sheet1" xfId="3765" xr:uid="{00000000-0005-0000-0000-000011060000}"/>
    <cellStyle name="_IRT_COPEL-DIS_junho2007_Sheet2" xfId="3766" xr:uid="{00000000-0005-0000-0000-000012060000}"/>
    <cellStyle name="_IRT_COPEL-DIS_junho2007_SOBRECONTRATAÇÃO E CVA" xfId="3767" xr:uid="{00000000-0005-0000-0000-000013060000}"/>
    <cellStyle name="_IRT_CPFL_LESTE_PAULISTA(CPEE)_fev2009-COM_PREVISÃO_BR_da_Diretoria_pos_IGPM" xfId="261" xr:uid="{00000000-0005-0000-0000-000014060000}"/>
    <cellStyle name="_IRT_ENERGISA_SE_abr2009" xfId="3768" xr:uid="{00000000-0005-0000-0000-000015060000}"/>
    <cellStyle name="_IRT_ENF" xfId="3769" xr:uid="{00000000-0005-0000-0000-000016060000}"/>
    <cellStyle name="_IRT_Escelsa" xfId="3770" xr:uid="{00000000-0005-0000-0000-000017060000}"/>
    <cellStyle name="_IRT_IRT-cálculo" xfId="3771" xr:uid="{00000000-0005-0000-0000-000018060000}"/>
    <cellStyle name="_IRT_IRT-cálculo CAPA NEUTRALIDADE" xfId="3772" xr:uid="{00000000-0005-0000-0000-000019060000}"/>
    <cellStyle name="_IRT_LIGHT_nov2007" xfId="3773" xr:uid="{00000000-0005-0000-0000-00001A060000}"/>
    <cellStyle name="_IRT_LIGHT_nov2007_Cálculo do Financeiro do Baixa Renda" xfId="3774" xr:uid="{00000000-0005-0000-0000-00001B060000}"/>
    <cellStyle name="_IRT_LIGHT_nov2007_Cálculo do Financeiro do Baixa Renda_IRT-cálculo" xfId="3775" xr:uid="{00000000-0005-0000-0000-00001C060000}"/>
    <cellStyle name="_IRT_LIGHT_nov2007_Cálculo do Financeiro do Baixa Renda_IRT-cálculo CAPA NEUTRALIDADE" xfId="3776" xr:uid="{00000000-0005-0000-0000-00001D060000}"/>
    <cellStyle name="_IRT_LIGHT_nov2007_Custo com Avaliação de Ativos para Base de Remuneração" xfId="3777" xr:uid="{00000000-0005-0000-0000-00001E060000}"/>
    <cellStyle name="_IRT_LIGHT_nov2007_Custo com Avaliação de Ativos para Base de Remuneração_IRT-cálculo" xfId="3778" xr:uid="{00000000-0005-0000-0000-00001F060000}"/>
    <cellStyle name="_IRT_LIGHT_nov2007_Custo com Avaliação de Ativos para Base de Remuneração_IRT-cálculo CAPA NEUTRALIDADE" xfId="3779" xr:uid="{00000000-0005-0000-0000-000020060000}"/>
    <cellStyle name="_IRT_Planilha Básica_30jun2009" xfId="3780" xr:uid="{00000000-0005-0000-0000-000021060000}"/>
    <cellStyle name="_IRT_Planilha Básica_fev2010a" xfId="262" xr:uid="{00000000-0005-0000-0000-000022060000}"/>
    <cellStyle name="_IRT_Planilha Básica_fev2010a 2" xfId="1278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1" xr:uid="{00000000-0005-0000-0000-000026060000}"/>
    <cellStyle name="_IRT_Planilha Básica_jun2009" xfId="3782" xr:uid="{00000000-0005-0000-0000-000027060000}"/>
    <cellStyle name="_IRT_Planilha Básica_mar2010b" xfId="3783" xr:uid="{00000000-0005-0000-0000-000028060000}"/>
    <cellStyle name="_IRT_Planilha Básica_março2009" xfId="265" xr:uid="{00000000-0005-0000-0000-000029060000}"/>
    <cellStyle name="_IRT_Planilha Básica_março2009_COELCE  ICMS Não Compensado RTO 2012 281211" xfId="3784" xr:uid="{00000000-0005-0000-0000-00002A060000}"/>
    <cellStyle name="_IRT_Planilha Básica_março2009_COELCE - RTO 2011 - PLPT_PLANILHA_CÁLCULO_DÉFICIT" xfId="3785" xr:uid="{00000000-0005-0000-0000-00002B060000}"/>
    <cellStyle name="_IRT_Planilha Básica_março2009_IRT Piratininga 2009" xfId="266" xr:uid="{00000000-0005-0000-0000-00002C060000}"/>
    <cellStyle name="_IRT_Planilha Básica_março2009_IRT Piratininga 2009 2" xfId="1279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0" xr:uid="{00000000-0005-0000-0000-00002F060000}"/>
    <cellStyle name="_IRT_Planilha Básica_março2009_Simulação congelamento COELCE 2011 - Propostas 3ª Fase AP040 (20.12.2011)" xfId="3786" xr:uid="{00000000-0005-0000-0000-000030060000}"/>
    <cellStyle name="_IRT_Planilha Básica_NOVA METODOLOGIA" xfId="3787" xr:uid="{00000000-0005-0000-0000-000031060000}"/>
    <cellStyle name="_IRT_Planilha Básica_set2009" xfId="3788" xr:uid="{00000000-0005-0000-0000-000032060000}"/>
    <cellStyle name="_IRT_Pleito" xfId="3789" xr:uid="{00000000-0005-0000-0000-000033060000}"/>
    <cellStyle name="_IRT_Pleito_IRT-cálculo" xfId="3790" xr:uid="{00000000-0005-0000-0000-000034060000}"/>
    <cellStyle name="_IRT_Pleito_IRT-cálculo CAPA NEUTRALIDADE" xfId="3791" xr:uid="{00000000-0005-0000-0000-000035060000}"/>
    <cellStyle name="_IRT_Revisão A-1" xfId="3792" xr:uid="{00000000-0005-0000-0000-000036060000}"/>
    <cellStyle name="_IRT_Revisão A-2" xfId="3793" xr:uid="{00000000-0005-0000-0000-000037060000}"/>
    <cellStyle name="_IRT_Santa 2010" xfId="3794" xr:uid="{00000000-0005-0000-0000-000038060000}"/>
    <cellStyle name="_IRT_SantaCruzpós IGPM" xfId="3795" xr:uid="{00000000-0005-0000-0000-000039060000}"/>
    <cellStyle name="_IRT2006_CEB_Final" xfId="268" xr:uid="{00000000-0005-0000-0000-00003A060000}"/>
    <cellStyle name="_IRT2006_CEB_Final 2" xfId="1281" xr:uid="{00000000-0005-0000-0000-00003B060000}"/>
    <cellStyle name="_IRT2006_CEB_Final 3" xfId="3796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7" xr:uid="{00000000-0005-0000-0000-00003F060000}"/>
    <cellStyle name="_IRT2006_CEB_Final_IRT EEB 2010" xfId="3798" xr:uid="{00000000-0005-0000-0000-000040060000}"/>
    <cellStyle name="_IRT2006_CEB_Final_IRT_Revisão A-2" xfId="3799" xr:uid="{00000000-0005-0000-0000-000041060000}"/>
    <cellStyle name="_IRT2006_CEB_Final_Simulação AES SUL 03_04_07" xfId="271" xr:uid="{00000000-0005-0000-0000-000042060000}"/>
    <cellStyle name="_IRT2006_CEB_Final_Simulação AES SUL 03_04_07 2" xfId="1282" xr:uid="{00000000-0005-0000-0000-000043060000}"/>
    <cellStyle name="_IRT2006_CEB_Final_Simulação AES SUL 03_04_07 3" xfId="3800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1" xr:uid="{00000000-0005-0000-0000-000047060000}"/>
    <cellStyle name="_IRT2006_CEB_Final_Sobrecontratação AES (2)" xfId="274" xr:uid="{00000000-0005-0000-0000-000048060000}"/>
    <cellStyle name="_IRT2006_CEB_Final_Sobrecontratação AES (2) 2" xfId="1283" xr:uid="{00000000-0005-0000-0000-000049060000}"/>
    <cellStyle name="_IRT2006_CEB_Final_Sobrecontratação AES (2) 3" xfId="3802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3" xr:uid="{00000000-0005-0000-0000-00004D060000}"/>
    <cellStyle name="_IRT-2010_COPEL_PLPT_CALCULO_DEFICIT_RES_294_V4" xfId="1579" xr:uid="{00000000-0005-0000-0000-00004E060000}"/>
    <cellStyle name="_IRT-2010_COPEL_SOBRECONTRATAÇÃOeCVAenergia" xfId="1580" xr:uid="{00000000-0005-0000-0000-00004F060000}"/>
    <cellStyle name="_IRT-cálculo" xfId="3804" xr:uid="{00000000-0005-0000-0000-000050060000}"/>
    <cellStyle name="_Modelo  Repasse sobrecontratação" xfId="1581" xr:uid="{00000000-0005-0000-0000-000051060000}"/>
    <cellStyle name="_Modelo  Repasse sobrecontratação 2" xfId="3805" xr:uid="{00000000-0005-0000-0000-000052060000}"/>
    <cellStyle name="_MODELO PLANILHAS IRT-versão 2" xfId="277" xr:uid="{00000000-0005-0000-0000-000053060000}"/>
    <cellStyle name="_MODELO PLANILHAS IRT-versão 2_Calculo_Subsidio_ELFSM_26_06_08_Modelo_ANEEL" xfId="3806" xr:uid="{00000000-0005-0000-0000-000054060000}"/>
    <cellStyle name="_MODELO PLANILHAS IRT-versão 2_Calculo_Subsidio_ELFSM_26_06_08_Modelo_ANEEL_IRT-cálculo" xfId="3807" xr:uid="{00000000-0005-0000-0000-000055060000}"/>
    <cellStyle name="_MODELO PLANILHAS IRT-versão 2_Calculo_Subsidio_ELFSM_26_06_08_Modelo_ANEEL_IRT-cálculo CAPA NEUTRALIDADE" xfId="3808" xr:uid="{00000000-0005-0000-0000-000056060000}"/>
    <cellStyle name="_MODELO PLANILHAS IRT-versão 2_CVA_Projetada até dez-2008_Setembro" xfId="3809" xr:uid="{00000000-0005-0000-0000-000057060000}"/>
    <cellStyle name="_MODELO PLANILHAS IRT-versão 2_CVA_Projetada até dez-2008_Setembro_CVA Outros Componentes PROVISÃO" xfId="3810" xr:uid="{00000000-0005-0000-0000-000058060000}"/>
    <cellStyle name="_MODELO PLANILHAS IRT-versão 2_CVA_Projetada até dez-2008_Setembro_PROVISÃO" xfId="3811" xr:uid="{00000000-0005-0000-0000-000059060000}"/>
    <cellStyle name="_MODELO PLANILHAS IRT-versão 2_Energia Comprada" xfId="3812" xr:uid="{00000000-0005-0000-0000-00005A060000}"/>
    <cellStyle name="_MODELO PLANILHAS IRT-versão 2_Energia Comprada_IRT-cálculo" xfId="3813" xr:uid="{00000000-0005-0000-0000-00005B060000}"/>
    <cellStyle name="_MODELO PLANILHAS IRT-versão 2_Energia Comprada_IRT-cálculo CAPA NEUTRALIDADE" xfId="3814" xr:uid="{00000000-0005-0000-0000-00005C060000}"/>
    <cellStyle name="_MODELO PLANILHAS IRT-versão 2_Fator X" xfId="1582" xr:uid="{00000000-0005-0000-0000-00005D060000}"/>
    <cellStyle name="_MODELO PLANILHAS IRT-versão 2_Fator X_IRT-cálculo" xfId="3815" xr:uid="{00000000-0005-0000-0000-00005E060000}"/>
    <cellStyle name="_MODELO PLANILHAS IRT-versão 2_Fator X_IRT-cálculo CAPA NEUTRALIDADE" xfId="3816" xr:uid="{00000000-0005-0000-0000-00005F060000}"/>
    <cellStyle name="_MODELO PLANILHAS IRT-versão 2_Fator X_SOBRECONTRATAÇÃO E CVA" xfId="3817" xr:uid="{00000000-0005-0000-0000-000060060000}"/>
    <cellStyle name="_MODELO PLANILHAS IRT-versão 2_IF - Autoprodutores 2" xfId="3818" xr:uid="{00000000-0005-0000-0000-000061060000}"/>
    <cellStyle name="_MODELO PLANILHAS IRT-versão 2_IF_Consumidores livres e geradoras_2010" xfId="3819" xr:uid="{00000000-0005-0000-0000-000062060000}"/>
    <cellStyle name="_MODELO PLANILHAS IRT-versão 2_IRT (2)" xfId="1583" xr:uid="{00000000-0005-0000-0000-000063060000}"/>
    <cellStyle name="_MODELO PLANILHAS IRT-versão 2_IRT (2) 2" xfId="3820" xr:uid="{00000000-0005-0000-0000-000064060000}"/>
    <cellStyle name="_MODELO PLANILHAS IRT-versão 2_IRT_1" xfId="1584" xr:uid="{00000000-0005-0000-0000-000065060000}"/>
    <cellStyle name="_MODELO PLANILHAS IRT-versão 2_IRT_1_IRT-cálculo" xfId="3821" xr:uid="{00000000-0005-0000-0000-000066060000}"/>
    <cellStyle name="_MODELO PLANILHAS IRT-versão 2_IRT_1_IRT-cálculo CAPA NEUTRALIDADE" xfId="3822" xr:uid="{00000000-0005-0000-0000-000067060000}"/>
    <cellStyle name="_MODELO PLANILHAS IRT-versão 2_IRT_1_SOBRECONTRATAÇÃO E CVA" xfId="3823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4" xr:uid="{00000000-0005-0000-0000-00006A060000}"/>
    <cellStyle name="_MODELO PLANILHAS IRT-versão 2_IRT_Pleito" xfId="3824" xr:uid="{00000000-0005-0000-0000-00006B060000}"/>
    <cellStyle name="_MODELO PLANILHAS IRT-versão 2_IRT_Pleito_IRT-cálculo" xfId="3825" xr:uid="{00000000-0005-0000-0000-00006C060000}"/>
    <cellStyle name="_MODELO PLANILHAS IRT-versão 2_IRT_Pleito_IRT-cálculo CAPA NEUTRALIDADE" xfId="3826" xr:uid="{00000000-0005-0000-0000-00006D060000}"/>
    <cellStyle name="_MODELO PLANILHAS IRT-versão 2_IRT_Revisão A-1" xfId="3827" xr:uid="{00000000-0005-0000-0000-00006E060000}"/>
    <cellStyle name="_MODELO PLANILHAS IRT-versão 2_IRT-cálculo" xfId="3828" xr:uid="{00000000-0005-0000-0000-00006F060000}"/>
    <cellStyle name="_MODELO PLANILHAS IRT-versão 2_IRT-cálculo CAPA NEUTRALIDADE" xfId="3829" xr:uid="{00000000-0005-0000-0000-000070060000}"/>
    <cellStyle name="_MODELO PLANILHAS IRT-versão 2_Pasta1" xfId="1585" xr:uid="{00000000-0005-0000-0000-000071060000}"/>
    <cellStyle name="_MODELO PLANILHAS IRT-versão 2_Pasta1_IRT-cálculo" xfId="3830" xr:uid="{00000000-0005-0000-0000-000072060000}"/>
    <cellStyle name="_MODELO PLANILHAS IRT-versão 2_Pasta1_IRT-cálculo CAPA NEUTRALIDADE" xfId="3831" xr:uid="{00000000-0005-0000-0000-000073060000}"/>
    <cellStyle name="_MODELO PLANILHAS IRT-versão 2_Pasta1_SOBRECONTRATAÇÃO E CVA" xfId="3832" xr:uid="{00000000-0005-0000-0000-000074060000}"/>
    <cellStyle name="_MODELO PLANILHAS IRT-versão 2_Sheet1" xfId="3833" xr:uid="{00000000-0005-0000-0000-000075060000}"/>
    <cellStyle name="_MODELO PLANILHAS IRT-versão 2_SOBRECONTRATAÇÃO E CVA" xfId="3834" xr:uid="{00000000-0005-0000-0000-000076060000}"/>
    <cellStyle name="_MODELO PLANILHAS IRT-versão 2_SOBRECONTRATAÇÃO E CVA A-1" xfId="3835" xr:uid="{00000000-0005-0000-0000-000077060000}"/>
    <cellStyle name="_MODELO PLANILHAS IRT-versão 2_SOBRECONTRATAÇÃO E CVA A-1_IRT-cálculo" xfId="3836" xr:uid="{00000000-0005-0000-0000-000078060000}"/>
    <cellStyle name="_MODELO PLANILHAS IRT-versão 2_SOBRECONTRATAÇÃO E CVA A-1_IRT-cálculo CAPA NEUTRALIDADE" xfId="3837" xr:uid="{00000000-0005-0000-0000-000079060000}"/>
    <cellStyle name="_MODELO SALDO CVA" xfId="279" xr:uid="{00000000-0005-0000-0000-00007A060000}"/>
    <cellStyle name="_MODELO SALDO CVA 2" xfId="1285" xr:uid="{00000000-0005-0000-0000-00007B060000}"/>
    <cellStyle name="_MODELO SALDO CVA 3" xfId="3838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39" xr:uid="{00000000-0005-0000-0000-00007F060000}"/>
    <cellStyle name="_MODELO SALDO CVA_IRT EEB 2010" xfId="3840" xr:uid="{00000000-0005-0000-0000-000080060000}"/>
    <cellStyle name="_MODELO SALDO CVA_IRT_Revisão A-2" xfId="3841" xr:uid="{00000000-0005-0000-0000-000081060000}"/>
    <cellStyle name="_MODELO SALDO CVA_Simulação AES SUL 03_04_07" xfId="282" xr:uid="{00000000-0005-0000-0000-000082060000}"/>
    <cellStyle name="_MODELO SALDO CVA_Simulação AES SUL 03_04_07 2" xfId="1286" xr:uid="{00000000-0005-0000-0000-000083060000}"/>
    <cellStyle name="_MODELO SALDO CVA_Simulação AES SUL 03_04_07 3" xfId="3842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3" xr:uid="{00000000-0005-0000-0000-000087060000}"/>
    <cellStyle name="_MODELO SALDO CVA_Sobrecontratação AES (2)" xfId="285" xr:uid="{00000000-0005-0000-0000-000088060000}"/>
    <cellStyle name="_MODELO SALDO CVA_Sobrecontratação AES (2) 2" xfId="1287" xr:uid="{00000000-0005-0000-0000-000089060000}"/>
    <cellStyle name="_MODELO SALDO CVA_Sobrecontratação AES (2) 3" xfId="3844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5" xr:uid="{00000000-0005-0000-0000-00008D060000}"/>
    <cellStyle name="_modelo_Sobrecontratacao" xfId="3846" xr:uid="{00000000-0005-0000-0000-00008E060000}"/>
    <cellStyle name="_Oficio037-Planilha07 v18-04-07c" xfId="3847" xr:uid="{00000000-0005-0000-0000-00008F060000}"/>
    <cellStyle name="_Oficio037-Planilha07 v18-04-07c_2009.04.09 EEB IRT2009 Conexao CEMIG C Financeiro" xfId="3848" xr:uid="{00000000-0005-0000-0000-000090060000}"/>
    <cellStyle name="_Oficio037-Planilha07 v18-04-07c_Base Mercado_EMG" xfId="3849" xr:uid="{00000000-0005-0000-0000-000091060000}"/>
    <cellStyle name="_Oficio037-Planilha07 v18-04-07c_IF - Autoprodutores 2" xfId="3850" xr:uid="{00000000-0005-0000-0000-000092060000}"/>
    <cellStyle name="_Oficio037-Planilha07 v18-04-07c_IF_Consumidores livres e geradoras_2010" xfId="3851" xr:uid="{00000000-0005-0000-0000-000093060000}"/>
    <cellStyle name="_Oficio037-Planilha07 v18-04-07c_Pleito_IRT_ESE_2010_Envio_ANEEL_Final_atualizado_05_04" xfId="3852" xr:uid="{00000000-0005-0000-0000-000094060000}"/>
    <cellStyle name="_Oficio037-Planilha07 v18-04-07c_Sheet1" xfId="3853" xr:uid="{00000000-0005-0000-0000-000095060000}"/>
    <cellStyle name="_passivo PIS_COFINS" xfId="3854" xr:uid="{00000000-0005-0000-0000-000096060000}"/>
    <cellStyle name="_passivo PIS_COFINS_IF - Autoprodutores 2" xfId="3855" xr:uid="{00000000-0005-0000-0000-000097060000}"/>
    <cellStyle name="_passivo PIS_COFINS_IF_Consumidores livres e geradoras_2010" xfId="3856" xr:uid="{00000000-0005-0000-0000-000098060000}"/>
    <cellStyle name="_passivo PIS_COFINS_IRT-cálculo" xfId="3857" xr:uid="{00000000-0005-0000-0000-000099060000}"/>
    <cellStyle name="_passivo PIS_COFINS_Sheet1" xfId="3858" xr:uid="{00000000-0005-0000-0000-00009A060000}"/>
    <cellStyle name="_Pasta1" xfId="288" xr:uid="{00000000-0005-0000-0000-00009B060000}"/>
    <cellStyle name="_Pasta1 2" xfId="1288" xr:uid="{00000000-0005-0000-0000-00009C060000}"/>
    <cellStyle name="_Pasta1 2 2" xfId="3859" xr:uid="{00000000-0005-0000-0000-00009D060000}"/>
    <cellStyle name="_Pasta1 3" xfId="3860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1" xr:uid="{00000000-0005-0000-0000-0000A1060000}"/>
    <cellStyle name="_Pasta1_Energia Comprada" xfId="3862" xr:uid="{00000000-0005-0000-0000-0000A2060000}"/>
    <cellStyle name="_Pasta1_Energia Comprada_IRT-cálculo" xfId="3863" xr:uid="{00000000-0005-0000-0000-0000A3060000}"/>
    <cellStyle name="_Pasta1_Energia Comprada_IRT-cálculo CAPA NEUTRALIDADE" xfId="3864" xr:uid="{00000000-0005-0000-0000-0000A4060000}"/>
    <cellStyle name="_Pasta1_Fator X" xfId="1586" xr:uid="{00000000-0005-0000-0000-0000A5060000}"/>
    <cellStyle name="_Pasta1_Fator X 2" xfId="3865" xr:uid="{00000000-0005-0000-0000-0000A6060000}"/>
    <cellStyle name="_Pasta1_Fator X_IRT-cálculo" xfId="3866" xr:uid="{00000000-0005-0000-0000-0000A7060000}"/>
    <cellStyle name="_Pasta1_Fator X_IRT-cálculo CAPA NEUTRALIDADE" xfId="3867" xr:uid="{00000000-0005-0000-0000-0000A8060000}"/>
    <cellStyle name="_Pasta1_Fator X_SOBRECONTRATAÇÃO E CVA" xfId="3868" xr:uid="{00000000-0005-0000-0000-0000A9060000}"/>
    <cellStyle name="_Pasta1_IRT (2)" xfId="1587" xr:uid="{00000000-0005-0000-0000-0000AA060000}"/>
    <cellStyle name="_Pasta1_IRT EEB 2010" xfId="3869" xr:uid="{00000000-0005-0000-0000-0000AB060000}"/>
    <cellStyle name="_Pasta1_IRT_1" xfId="1588" xr:uid="{00000000-0005-0000-0000-0000AC060000}"/>
    <cellStyle name="_Pasta1_IRT_1 2" xfId="3870" xr:uid="{00000000-0005-0000-0000-0000AD060000}"/>
    <cellStyle name="_Pasta1_IRT_1_IRT-cálculo" xfId="3871" xr:uid="{00000000-0005-0000-0000-0000AE060000}"/>
    <cellStyle name="_Pasta1_IRT_1_IRT-cálculo CAPA NEUTRALIDADE" xfId="3872" xr:uid="{00000000-0005-0000-0000-0000AF060000}"/>
    <cellStyle name="_Pasta1_IRT_1_SOBRECONTRATAÇÃO E CVA" xfId="3873" xr:uid="{00000000-0005-0000-0000-0000B0060000}"/>
    <cellStyle name="_Pasta1_IRT_Planilha Básica_DIRETORIA" xfId="3874" xr:uid="{00000000-0005-0000-0000-0000B1060000}"/>
    <cellStyle name="_Pasta1_IRT_Revisão A-1" xfId="3875" xr:uid="{00000000-0005-0000-0000-0000B2060000}"/>
    <cellStyle name="_Pasta1_IRT-cálculo" xfId="3876" xr:uid="{00000000-0005-0000-0000-0000B3060000}"/>
    <cellStyle name="_Pasta1_IRT-cálculo CAPA NEUTRALIDADE" xfId="3877" xr:uid="{00000000-0005-0000-0000-0000B4060000}"/>
    <cellStyle name="_Pasta1_NOVA PLANILHA REVISÃO 1" xfId="3878" xr:uid="{00000000-0005-0000-0000-0000B5060000}"/>
    <cellStyle name="_Pasta1_Pasta1" xfId="1589" xr:uid="{00000000-0005-0000-0000-0000B6060000}"/>
    <cellStyle name="_Pasta1_Pasta1 2" xfId="3879" xr:uid="{00000000-0005-0000-0000-0000B7060000}"/>
    <cellStyle name="_Pasta1_Pasta1_IRT-cálculo" xfId="3880" xr:uid="{00000000-0005-0000-0000-0000B8060000}"/>
    <cellStyle name="_Pasta1_Pasta1_IRT-cálculo CAPA NEUTRALIDADE" xfId="3881" xr:uid="{00000000-0005-0000-0000-0000B9060000}"/>
    <cellStyle name="_Pasta1_Pasta1_SOBRECONTRATAÇÃO E CVA" xfId="3882" xr:uid="{00000000-0005-0000-0000-0000BA060000}"/>
    <cellStyle name="_Pasta1_SOBRECONTRATAÇÃO E CVA" xfId="3883" xr:uid="{00000000-0005-0000-0000-0000BB060000}"/>
    <cellStyle name="_Pasta11" xfId="1590" xr:uid="{00000000-0005-0000-0000-0000BC060000}"/>
    <cellStyle name="_Pasta11 2" xfId="3884" xr:uid="{00000000-0005-0000-0000-0000BD060000}"/>
    <cellStyle name="_Pasta11_Energia Comprada" xfId="3885" xr:uid="{00000000-0005-0000-0000-0000BE060000}"/>
    <cellStyle name="_Pasta11_Energia Comprada_IRT-cálculo" xfId="3886" xr:uid="{00000000-0005-0000-0000-0000BF060000}"/>
    <cellStyle name="_Pasta11_Energia Comprada_IRT-cálculo CAPA NEUTRALIDADE" xfId="3887" xr:uid="{00000000-0005-0000-0000-0000C0060000}"/>
    <cellStyle name="_Pasta11_Fator X" xfId="1591" xr:uid="{00000000-0005-0000-0000-0000C1060000}"/>
    <cellStyle name="_Pasta11_Fator X 2" xfId="3888" xr:uid="{00000000-0005-0000-0000-0000C2060000}"/>
    <cellStyle name="_Pasta11_Fator X_IRT-cálculo" xfId="3889" xr:uid="{00000000-0005-0000-0000-0000C3060000}"/>
    <cellStyle name="_Pasta11_Fator X_IRT-cálculo CAPA NEUTRALIDADE" xfId="3890" xr:uid="{00000000-0005-0000-0000-0000C4060000}"/>
    <cellStyle name="_Pasta11_Fator X_SOBRECONTRATAÇÃO E CVA" xfId="3891" xr:uid="{00000000-0005-0000-0000-0000C5060000}"/>
    <cellStyle name="_Pasta11_IRT (2)" xfId="1592" xr:uid="{00000000-0005-0000-0000-0000C6060000}"/>
    <cellStyle name="_Pasta11_IRT_1" xfId="1593" xr:uid="{00000000-0005-0000-0000-0000C7060000}"/>
    <cellStyle name="_Pasta11_IRT_1 2" xfId="3892" xr:uid="{00000000-0005-0000-0000-0000C8060000}"/>
    <cellStyle name="_Pasta11_IRT_1_IRT-cálculo" xfId="3893" xr:uid="{00000000-0005-0000-0000-0000C9060000}"/>
    <cellStyle name="_Pasta11_IRT_1_IRT-cálculo CAPA NEUTRALIDADE" xfId="3894" xr:uid="{00000000-0005-0000-0000-0000CA060000}"/>
    <cellStyle name="_Pasta11_IRT_1_SOBRECONTRATAÇÃO E CVA" xfId="3895" xr:uid="{00000000-0005-0000-0000-0000CB060000}"/>
    <cellStyle name="_Pasta11_IRT-cálculo" xfId="3896" xr:uid="{00000000-0005-0000-0000-0000CC060000}"/>
    <cellStyle name="_Pasta11_IRT-cálculo CAPA NEUTRALIDADE" xfId="3897" xr:uid="{00000000-0005-0000-0000-0000CD060000}"/>
    <cellStyle name="_Pasta11_Pasta1" xfId="1594" xr:uid="{00000000-0005-0000-0000-0000CE060000}"/>
    <cellStyle name="_Pasta11_Pasta1 2" xfId="3898" xr:uid="{00000000-0005-0000-0000-0000CF060000}"/>
    <cellStyle name="_Pasta11_Pasta1_IRT-cálculo" xfId="3899" xr:uid="{00000000-0005-0000-0000-0000D0060000}"/>
    <cellStyle name="_Pasta11_Pasta1_IRT-cálculo CAPA NEUTRALIDADE" xfId="3900" xr:uid="{00000000-0005-0000-0000-0000D1060000}"/>
    <cellStyle name="_Pasta11_Pasta1_SOBRECONTRATAÇÃO E CVA" xfId="3901" xr:uid="{00000000-0005-0000-0000-0000D2060000}"/>
    <cellStyle name="_Pasta11_SOBRECONTRATAÇÃO E CVA" xfId="3902" xr:uid="{00000000-0005-0000-0000-0000D3060000}"/>
    <cellStyle name="_Pasta12" xfId="1595" xr:uid="{00000000-0005-0000-0000-0000D4060000}"/>
    <cellStyle name="_Pasta12 2" xfId="3903" xr:uid="{00000000-0005-0000-0000-0000D5060000}"/>
    <cellStyle name="_Pasta12_Energia Comprada" xfId="3904" xr:uid="{00000000-0005-0000-0000-0000D6060000}"/>
    <cellStyle name="_Pasta12_Energia Comprada_IRT-cálculo" xfId="3905" xr:uid="{00000000-0005-0000-0000-0000D7060000}"/>
    <cellStyle name="_Pasta12_Energia Comprada_IRT-cálculo CAPA NEUTRALIDADE" xfId="3906" xr:uid="{00000000-0005-0000-0000-0000D8060000}"/>
    <cellStyle name="_Pasta12_Fator X" xfId="1596" xr:uid="{00000000-0005-0000-0000-0000D9060000}"/>
    <cellStyle name="_Pasta12_Fator X 2" xfId="3907" xr:uid="{00000000-0005-0000-0000-0000DA060000}"/>
    <cellStyle name="_Pasta12_Fator X_IRT-cálculo" xfId="3908" xr:uid="{00000000-0005-0000-0000-0000DB060000}"/>
    <cellStyle name="_Pasta12_Fator X_IRT-cálculo CAPA NEUTRALIDADE" xfId="3909" xr:uid="{00000000-0005-0000-0000-0000DC060000}"/>
    <cellStyle name="_Pasta12_Fator X_SOBRECONTRATAÇÃO E CVA" xfId="3910" xr:uid="{00000000-0005-0000-0000-0000DD060000}"/>
    <cellStyle name="_Pasta12_IRT (2)" xfId="1597" xr:uid="{00000000-0005-0000-0000-0000DE060000}"/>
    <cellStyle name="_Pasta12_IRT_1" xfId="1598" xr:uid="{00000000-0005-0000-0000-0000DF060000}"/>
    <cellStyle name="_Pasta12_IRT_1 2" xfId="3911" xr:uid="{00000000-0005-0000-0000-0000E0060000}"/>
    <cellStyle name="_Pasta12_IRT_1_IRT-cálculo" xfId="3912" xr:uid="{00000000-0005-0000-0000-0000E1060000}"/>
    <cellStyle name="_Pasta12_IRT_1_IRT-cálculo CAPA NEUTRALIDADE" xfId="3913" xr:uid="{00000000-0005-0000-0000-0000E2060000}"/>
    <cellStyle name="_Pasta12_IRT_1_SOBRECONTRATAÇÃO E CVA" xfId="3914" xr:uid="{00000000-0005-0000-0000-0000E3060000}"/>
    <cellStyle name="_Pasta12_IRT-cálculo" xfId="3915" xr:uid="{00000000-0005-0000-0000-0000E4060000}"/>
    <cellStyle name="_Pasta12_IRT-cálculo CAPA NEUTRALIDADE" xfId="3916" xr:uid="{00000000-0005-0000-0000-0000E5060000}"/>
    <cellStyle name="_Pasta12_Pasta1" xfId="1599" xr:uid="{00000000-0005-0000-0000-0000E6060000}"/>
    <cellStyle name="_Pasta12_Pasta1 2" xfId="3917" xr:uid="{00000000-0005-0000-0000-0000E7060000}"/>
    <cellStyle name="_Pasta12_Pasta1_IRT-cálculo" xfId="3918" xr:uid="{00000000-0005-0000-0000-0000E8060000}"/>
    <cellStyle name="_Pasta12_Pasta1_IRT-cálculo CAPA NEUTRALIDADE" xfId="3919" xr:uid="{00000000-0005-0000-0000-0000E9060000}"/>
    <cellStyle name="_Pasta12_Pasta1_SOBRECONTRATAÇÃO E CVA" xfId="3920" xr:uid="{00000000-0005-0000-0000-0000EA060000}"/>
    <cellStyle name="_Pasta12_SOBRECONTRATAÇÃO E CVA" xfId="3921" xr:uid="{00000000-0005-0000-0000-0000EB060000}"/>
    <cellStyle name="_Pasta2" xfId="291" xr:uid="{00000000-0005-0000-0000-0000EC060000}"/>
    <cellStyle name="_Pasta2 2" xfId="3922" xr:uid="{00000000-0005-0000-0000-0000ED060000}"/>
    <cellStyle name="_Pasta2 3" xfId="3923" xr:uid="{00000000-0005-0000-0000-0000EE060000}"/>
    <cellStyle name="_Pasta2_IF - Autoprodutores 2" xfId="3924" xr:uid="{00000000-0005-0000-0000-0000EF060000}"/>
    <cellStyle name="_Pasta2_IF_Consumidores livres e geradoras_2010" xfId="3925" xr:uid="{00000000-0005-0000-0000-0000F0060000}"/>
    <cellStyle name="_Pasta2_IRT Piratininga 2009" xfId="292" xr:uid="{00000000-0005-0000-0000-0000F1060000}"/>
    <cellStyle name="_Pasta2_IRT Piratininga 2009 2" xfId="1289" xr:uid="{00000000-0005-0000-0000-0000F2060000}"/>
    <cellStyle name="_Pasta2_IRT_Planilha Básica_ CETRIL" xfId="293" xr:uid="{00000000-0005-0000-0000-0000F3060000}"/>
    <cellStyle name="_Pasta2_IRT_Planilha Básica_ CETRIL 2" xfId="1290" xr:uid="{00000000-0005-0000-0000-0000F4060000}"/>
    <cellStyle name="_Pasta2_IRT_Planilha Básica_mar2010b" xfId="3926" xr:uid="{00000000-0005-0000-0000-0000F5060000}"/>
    <cellStyle name="_Pasta2_IRT-cálculo" xfId="3927" xr:uid="{00000000-0005-0000-0000-0000F6060000}"/>
    <cellStyle name="_Pasta2_Sheet1" xfId="3928" xr:uid="{00000000-0005-0000-0000-0000F7060000}"/>
    <cellStyle name="_PERSONAL" xfId="3929" xr:uid="{00000000-0005-0000-0000-0000F8060000}"/>
    <cellStyle name="_PERSONAL_PERSONAL" xfId="3930" xr:uid="{00000000-0005-0000-0000-0000F9060000}"/>
    <cellStyle name="_PERSONAL_PERSONAL_1" xfId="3931" xr:uid="{00000000-0005-0000-0000-0000FA060000}"/>
    <cellStyle name="_PERSONAL_PERSONAL_2" xfId="3932" xr:uid="{00000000-0005-0000-0000-0000FB060000}"/>
    <cellStyle name="_PERSONAL_PERSONAL_3" xfId="3933" xr:uid="{00000000-0005-0000-0000-0000FC060000}"/>
    <cellStyle name="_Plan1" xfId="3934" xr:uid="{00000000-0005-0000-0000-0000FD060000}"/>
    <cellStyle name="_Plan2" xfId="1600" xr:uid="{00000000-0005-0000-0000-0000FE060000}"/>
    <cellStyle name="_Plan2 2" xfId="3935" xr:uid="{00000000-0005-0000-0000-0000FF060000}"/>
    <cellStyle name="_Plan2_COELCE - RTO 2011 - PLPT_PLANILHA_CÁLCULO_DÉFICIT" xfId="3936" xr:uid="{00000000-0005-0000-0000-000000070000}"/>
    <cellStyle name="_Planilha 14.Gastos O&amp;M 29062007  Vfinal M 3" xfId="3937" xr:uid="{00000000-0005-0000-0000-000001070000}"/>
    <cellStyle name="_Planilha 15 Consumidores 28062007 final M 3" xfId="3938" xr:uid="{00000000-0005-0000-0000-000002070000}"/>
    <cellStyle name="_Planilha 17 Dados Físicos 28062007 vfinal M 3 " xfId="3939" xr:uid="{00000000-0005-0000-0000-000003070000}"/>
    <cellStyle name="_Planilha 18 Veículos 28062007 vfinal M 3" xfId="3940" xr:uid="{00000000-0005-0000-0000-000004070000}"/>
    <cellStyle name="_Planilha 19 Informática e Telecom vfinal M 3" xfId="3941" xr:uid="{00000000-0005-0000-0000-000005070000}"/>
    <cellStyle name="_Planilha 20 Edificações  28062007 vfinal M 3" xfId="3942" xr:uid="{00000000-0005-0000-0000-000006070000}"/>
    <cellStyle name="_Planilha16 CO RP 29062007 v final M 3" xfId="3943" xr:uid="{00000000-0005-0000-0000-000007070000}"/>
    <cellStyle name="_Planilhas_Desc_Tusd_-Validadas SFF" xfId="1601" xr:uid="{00000000-0005-0000-0000-000008070000}"/>
    <cellStyle name="_Planilhas_Desc_Tusd_-Validadas SFF 2" xfId="3944" xr:uid="{00000000-0005-0000-0000-000009070000}"/>
    <cellStyle name="_Planilhas_Desc_Tusd_-Validadas SFF_Energia Comprada" xfId="3945" xr:uid="{00000000-0005-0000-0000-00000A070000}"/>
    <cellStyle name="_Planilhas_Desc_Tusd_-Validadas SFF_Energia Comprada_IRT-cálculo" xfId="3946" xr:uid="{00000000-0005-0000-0000-00000B070000}"/>
    <cellStyle name="_Planilhas_Desc_Tusd_-Validadas SFF_Energia Comprada_IRT-cálculo CAPA NEUTRALIDADE" xfId="3947" xr:uid="{00000000-0005-0000-0000-00000C070000}"/>
    <cellStyle name="_Planilhas_Desc_Tusd_-Validadas SFF_Fator X" xfId="1602" xr:uid="{00000000-0005-0000-0000-00000D070000}"/>
    <cellStyle name="_Planilhas_Desc_Tusd_-Validadas SFF_Fator X 2" xfId="3948" xr:uid="{00000000-0005-0000-0000-00000E070000}"/>
    <cellStyle name="_Planilhas_Desc_Tusd_-Validadas SFF_Fator X_IRT-cálculo" xfId="3949" xr:uid="{00000000-0005-0000-0000-00000F070000}"/>
    <cellStyle name="_Planilhas_Desc_Tusd_-Validadas SFF_Fator X_IRT-cálculo CAPA NEUTRALIDADE" xfId="3950" xr:uid="{00000000-0005-0000-0000-000010070000}"/>
    <cellStyle name="_Planilhas_Desc_Tusd_-Validadas SFF_Fator X_SOBRECONTRATAÇÃO E CVA" xfId="3951" xr:uid="{00000000-0005-0000-0000-000011070000}"/>
    <cellStyle name="_Planilhas_Desc_Tusd_-Validadas SFF_IRT (2)" xfId="1603" xr:uid="{00000000-0005-0000-0000-000012070000}"/>
    <cellStyle name="_Planilhas_Desc_Tusd_-Validadas SFF_IRT_1" xfId="1604" xr:uid="{00000000-0005-0000-0000-000013070000}"/>
    <cellStyle name="_Planilhas_Desc_Tusd_-Validadas SFF_IRT_1 2" xfId="3952" xr:uid="{00000000-0005-0000-0000-000014070000}"/>
    <cellStyle name="_Planilhas_Desc_Tusd_-Validadas SFF_IRT_1_IRT-cálculo" xfId="3953" xr:uid="{00000000-0005-0000-0000-000015070000}"/>
    <cellStyle name="_Planilhas_Desc_Tusd_-Validadas SFF_IRT_1_IRT-cálculo CAPA NEUTRALIDADE" xfId="3954" xr:uid="{00000000-0005-0000-0000-000016070000}"/>
    <cellStyle name="_Planilhas_Desc_Tusd_-Validadas SFF_IRT_1_SOBRECONTRATAÇÃO E CVA" xfId="3955" xr:uid="{00000000-0005-0000-0000-000017070000}"/>
    <cellStyle name="_Planilhas_Desc_Tusd_-Validadas SFF_IRT-cálculo" xfId="3956" xr:uid="{00000000-0005-0000-0000-000018070000}"/>
    <cellStyle name="_Planilhas_Desc_Tusd_-Validadas SFF_IRT-cálculo CAPA NEUTRALIDADE" xfId="3957" xr:uid="{00000000-0005-0000-0000-000019070000}"/>
    <cellStyle name="_Planilhas_Desc_Tusd_-Validadas SFF_Pasta1" xfId="1605" xr:uid="{00000000-0005-0000-0000-00001A070000}"/>
    <cellStyle name="_Planilhas_Desc_Tusd_-Validadas SFF_Pasta1 2" xfId="3958" xr:uid="{00000000-0005-0000-0000-00001B070000}"/>
    <cellStyle name="_Planilhas_Desc_Tusd_-Validadas SFF_Pasta1_IRT-cálculo" xfId="3959" xr:uid="{00000000-0005-0000-0000-00001C070000}"/>
    <cellStyle name="_Planilhas_Desc_Tusd_-Validadas SFF_Pasta1_IRT-cálculo CAPA NEUTRALIDADE" xfId="3960" xr:uid="{00000000-0005-0000-0000-00001D070000}"/>
    <cellStyle name="_Planilhas_Desc_Tusd_-Validadas SFF_Pasta1_SOBRECONTRATAÇÃO E CVA" xfId="3961" xr:uid="{00000000-0005-0000-0000-00001E070000}"/>
    <cellStyle name="_Planilhas_Desc_Tusd_-Validadas SFF_SOBRECONTRATAÇÃO E CVA" xfId="3962" xr:uid="{00000000-0005-0000-0000-00001F070000}"/>
    <cellStyle name="_Pleito PLT EMG" xfId="3963" xr:uid="{00000000-0005-0000-0000-000020070000}"/>
    <cellStyle name="_Pleito PLT EPB" xfId="3964" xr:uid="{00000000-0005-0000-0000-000021070000}"/>
    <cellStyle name="_Pleito PLT EPB_CVA Borborema 2010 - Fiscalizada Final" xfId="3965" xr:uid="{00000000-0005-0000-0000-000022070000}"/>
    <cellStyle name="_Pleito PLT ESE" xfId="3966" xr:uid="{00000000-0005-0000-0000-000023070000}"/>
    <cellStyle name="_Pleito_IRT_EBO_2010_FINAL_ENVIO_ANEEL" xfId="3967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1" xr:uid="{00000000-0005-0000-0000-000026070000}"/>
    <cellStyle name="_PLPT CEMIG 2009_PLANILHA_CÁLCULO_DÉFICIT_RESOLUÇÃO_294_2007_V3_Ajustes REAJUSTE 2008 ELETROPAULO" xfId="3968" xr:uid="{00000000-0005-0000-0000-000027070000}"/>
    <cellStyle name="_PLPT CEMIG 2009_PLANILHA_CÁLCULO_DÉFICIT_RESOLUÇÃO_294_2007_V3_Ajustes REAJUSTE 2008 ELETROPAULO_IRT-cálculo" xfId="3969" xr:uid="{00000000-0005-0000-0000-000028070000}"/>
    <cellStyle name="_PLPT CEMIG 2009_PLANILHA_CÁLCULO_DÉFICIT_RESOLUÇÃO_294_2007_V3_Ajustes REAJUSTE 2008 ELETROPAULO_IRT-cálculo CAPA NEUTRALIDADE" xfId="3970" xr:uid="{00000000-0005-0000-0000-000029070000}"/>
    <cellStyle name="_PLPT CEMIG 2009_PLANILHA_CÁLCULO_DÉFICIT_RESOLUÇÃO_294_2007_V3_Ajustes REVISÃO 2007 ELETROPAULO" xfId="3971" xr:uid="{00000000-0005-0000-0000-00002A070000}"/>
    <cellStyle name="_PLPT CEMIG 2009_PLANILHA_CÁLCULO_DÉFICIT_RESOLUÇÃO_294_2007_V3_Ajustes REVISÃO 2007 ELETROPAULO_IRT-cálculo" xfId="3972" xr:uid="{00000000-0005-0000-0000-00002B070000}"/>
    <cellStyle name="_PLPT CEMIG 2009_PLANILHA_CÁLCULO_DÉFICIT_RESOLUÇÃO_294_2007_V3_Ajustes REVISÃO 2007 ELETROPAULO_IRT-cálculo CAPA NEUTRALIDADE" xfId="3973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2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3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4" xr:uid="{00000000-0005-0000-0000-000034070000}"/>
    <cellStyle name="_PLPT CEMIG 2009_PLANILHA_CÁLCULO_DÉFICIT_RESOLUÇÃO_294_2007_V3_IRT EEB 2010" xfId="3975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4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6" xr:uid="{00000000-0005-0000-0000-00003A070000}"/>
    <cellStyle name="_PLPT CEMIG 2009_PLANILHA_CÁLCULO_DÉFICIT_RESOLUÇÃO_294_2007_V3_IRT_Bragantina_maio_2009" xfId="3977" xr:uid="{00000000-0005-0000-0000-00003B070000}"/>
    <cellStyle name="_PLPT CEMIG 2009_PLANILHA_CÁLCULO_DÉFICIT_RESOLUÇÃO_294_2007_V3_IRT_CEMAT_2009" xfId="3978" xr:uid="{00000000-0005-0000-0000-00003C070000}"/>
    <cellStyle name="_PLPT CEMIG 2009_PLANILHA_CÁLCULO_DÉFICIT_RESOLUÇÃO_294_2007_V3_IRT_EBB_mai2010d" xfId="3979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5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0" xr:uid="{00000000-0005-0000-0000-000042070000}"/>
    <cellStyle name="_PLPT CEMIG 2009_PLANILHA_CÁLCULO_DÉFICIT_RESOLUÇÃO_294_2007_V3_IRT_Planilha Básica_DIRETORIA" xfId="3981" xr:uid="{00000000-0005-0000-0000-000043070000}"/>
    <cellStyle name="_PLPT CEMIG 2009_PLANILHA_CÁLCULO_DÉFICIT_RESOLUÇÃO_294_2007_V3_IRT_Planilha Básica_mar2010b" xfId="3982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6" xr:uid="{00000000-0005-0000-0000-000046070000}"/>
    <cellStyle name="_PLPT CEMIG 2009_PLANILHA_CÁLCULO_DÉFICIT_RESOLUÇÃO_294_2007_V3_IRT-cálculo" xfId="3983" xr:uid="{00000000-0005-0000-0000-000047070000}"/>
    <cellStyle name="_PLPT CEMIG 2009_PLANILHA_CÁLCULO_DÉFICIT_RESOLUÇÃO_294_2007_V3_IRT-cálculo CAPA NEUTRALIDADE" xfId="3984" xr:uid="{00000000-0005-0000-0000-000048070000}"/>
    <cellStyle name="_PLPT CEMIG 2009_PLANILHA_CÁLCULO_DÉFICIT_RESOLUÇÃO_294_2007_V3_Resultados_DEA_RND_QUAL_PERDAS" xfId="3985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7" xr:uid="{00000000-0005-0000-0000-00004B070000}"/>
    <cellStyle name="_PLPT CEMIG 2009_PLANILHA_CÁLCULO_DÉFICIT_RESOLUÇÃO_294_2007_V3_Subsídios para análise da SRE_02 IRT Bandeirante 2009" xfId="3986" xr:uid="{00000000-0005-0000-0000-00004C070000}"/>
    <cellStyle name="_PLPT CEMIG 2009_PLANILHA_CÁLCULO_DÉFICIT_RESOLUÇÃO_294_2007_V3_Subsídios para análise da SRE_1" xfId="3987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8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299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88" xr:uid="{00000000-0005-0000-0000-000055070000}"/>
    <cellStyle name="_PLPT CEMIG 2009_PLANILHA_CÁLCULO_DÉFICIT_RESOLUÇÃO_294_2007_V3_Subsídios para análise da SRE_IRT EEB 2010" xfId="3989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0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0" xr:uid="{00000000-0005-0000-0000-00005B070000}"/>
    <cellStyle name="_PLPT CEMIG 2009_PLANILHA_CÁLCULO_DÉFICIT_RESOLUÇÃO_294_2007_V3_Subsídios para análise da SRE_IRT_EBB_mai2010d" xfId="3991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1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2" xr:uid="{00000000-0005-0000-0000-000061070000}"/>
    <cellStyle name="_PLPT CEMIG 2009_PLANILHA_CÁLCULO_DÉFICIT_RESOLUÇÃO_294_2007_V3_Subsídios para análise da SRE_IRT_Planilha Básica_DIRETORIA" xfId="3993" xr:uid="{00000000-0005-0000-0000-000062070000}"/>
    <cellStyle name="_PLPT CEMIG 2009_PLANILHA_CÁLCULO_DÉFICIT_RESOLUÇÃO_294_2007_V3_Subsídios para análise da SRE_IRT_Planilha Básica_fev2010" xfId="3994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2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3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4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5" xr:uid="{00000000-0005-0000-0000-00006D070000}"/>
    <cellStyle name="_PLPT CEMIG 2009_PLANILHA_CÁLCULO_DÉFICIT_RESOLUÇÃO_294_2007_V3_Subsídios para análise da SRE_IRT_Planilha Básica_fev2010a_IRT EEB 2010" xfId="3996" xr:uid="{00000000-0005-0000-0000-00006E070000}"/>
    <cellStyle name="_PLPT CEMIG 2009_PLANILHA_CÁLCULO_DÉFICIT_RESOLUÇÃO_294_2007_V3_Subsídios para análise da SRE_IRT_Planilha Básica_jan2010" xfId="3997" xr:uid="{00000000-0005-0000-0000-00006F070000}"/>
    <cellStyle name="_PLPT CEMIG 2009_PLANILHA_CÁLCULO_DÉFICIT_RESOLUÇÃO_294_2007_V3_Subsídios para análise da SRE_IRT_Planilha Básica_mar2010b" xfId="3998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5" xr:uid="{00000000-0005-0000-0000-000072070000}"/>
    <cellStyle name="_PLPT CEMIG 2009_PLANILHA_CÁLCULO_DÉFICIT_RESOLUÇÃO_294_2007_V3_Subsídios para análise da SRE_IRT_Planilha Básica_NOVA METODOLOGIA" xfId="3999" xr:uid="{00000000-0005-0000-0000-000073070000}"/>
    <cellStyle name="_PLPT CEMIG 2009_PLANILHA_CÁLCULO_DÉFICIT_RESOLUÇÃO_294_2007_V3_Subsídios para análise da SRE_IRT_Santa 2010" xfId="4000" xr:uid="{00000000-0005-0000-0000-000074070000}"/>
    <cellStyle name="_PLPT CEMIG 2009_PLANILHA_CÁLCULO_DÉFICIT_RESOLUÇÃO_294_2007_V3_Subsídios para análise da SRE_IRT-cálculo" xfId="4001" xr:uid="{00000000-0005-0000-0000-000075070000}"/>
    <cellStyle name="_PLPT CEMIG 2009_PLANILHA_CÁLCULO_DÉFICIT_RESOLUÇÃO_294_2007_V3_Subsídios para análise da SRE_IRT-cálculo CAPA NEUTRALIDADE" xfId="4002" xr:uid="{00000000-0005-0000-0000-000076070000}"/>
    <cellStyle name="_PLPT CEMIG 2009_PLANILHA_CÁLCULO_DÉFICIT_RESOLUÇÃO_294_2007_V3_Subsídios para análise da SRE_Resultados_DEA_RND_QUAL_PERDAS" xfId="4003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6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7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8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4" xr:uid="{00000000-0005-0000-0000-000081070000}"/>
    <cellStyle name="_PLPT CEMIG 2009_PLANILHA_CÁLCULO_DÉFICIT_RESOLUÇÃO_294_2007_V3_Subsídios para análise da SRE_teste ampla_IRT EEB 2010" xfId="4005" xr:uid="{00000000-0005-0000-0000-000082070000}"/>
    <cellStyle name="_PLPT CEMIG 2009_PLANILHA_CÁLCULO_DÉFICIT_RESOLUÇÃO_294_2007_V3_SubsídiosAnáliseSRE_COSERN_IRT-2010" xfId="1606" xr:uid="{00000000-0005-0000-0000-000083070000}"/>
    <cellStyle name="_PLPT EMG 2010" xfId="4006" xr:uid="{00000000-0005-0000-0000-000084070000}"/>
    <cellStyle name="_PLPT EMG 2010_ANEEL" xfId="4007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09" xr:uid="{00000000-0005-0000-0000-000087070000}"/>
    <cellStyle name="_PLPT MOCOCA-2009_PLANILHA_CÁLCULO_DÉFICIT_RESOLUÇÃO_294_2007_V3_02 IRT COSERN 2009" xfId="1607" xr:uid="{00000000-0005-0000-0000-000088070000}"/>
    <cellStyle name="_PLPT MOCOCA-2009_PLANILHA_CÁLCULO_DÉFICIT_RESOLUÇÃO_294_2007_V3_Ajustes REAJUSTE 2008 ELETROPAULO" xfId="4008" xr:uid="{00000000-0005-0000-0000-000089070000}"/>
    <cellStyle name="_PLPT MOCOCA-2009_PLANILHA_CÁLCULO_DÉFICIT_RESOLUÇÃO_294_2007_V3_Ajustes REAJUSTE 2008 ELETROPAULO_IRT-cálculo" xfId="4009" xr:uid="{00000000-0005-0000-0000-00008A070000}"/>
    <cellStyle name="_PLPT MOCOCA-2009_PLANILHA_CÁLCULO_DÉFICIT_RESOLUÇÃO_294_2007_V3_Ajustes REAJUSTE 2008 ELETROPAULO_IRT-cálculo CAPA NEUTRALIDADE" xfId="4010" xr:uid="{00000000-0005-0000-0000-00008B070000}"/>
    <cellStyle name="_PLPT MOCOCA-2009_PLANILHA_CÁLCULO_DÉFICIT_RESOLUÇÃO_294_2007_V3_Ajustes REVISÃO 2007 ELETROPAULO" xfId="4011" xr:uid="{00000000-0005-0000-0000-00008C070000}"/>
    <cellStyle name="_PLPT MOCOCA-2009_PLANILHA_CÁLCULO_DÉFICIT_RESOLUÇÃO_294_2007_V3_Ajustes REVISÃO 2007 ELETROPAULO_IRT-cálculo" xfId="4012" xr:uid="{00000000-0005-0000-0000-00008D070000}"/>
    <cellStyle name="_PLPT MOCOCA-2009_PLANILHA_CÁLCULO_DÉFICIT_RESOLUÇÃO_294_2007_V3_Ajustes REVISÃO 2007 ELETROPAULO_IRT-cálculo CAPA NEUTRALIDADE" xfId="4013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0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1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4" xr:uid="{00000000-0005-0000-0000-000096070000}"/>
    <cellStyle name="_PLPT MOCOCA-2009_PLANILHA_CÁLCULO_DÉFICIT_RESOLUÇÃO_294_2007_V3_IRT" xfId="4015" xr:uid="{00000000-0005-0000-0000-000097070000}"/>
    <cellStyle name="_PLPT MOCOCA-2009_PLANILHA_CÁLCULO_DÉFICIT_RESOLUÇÃO_294_2007_V3_IRT EEB 2010" xfId="4016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2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7" xr:uid="{00000000-0005-0000-0000-00009D070000}"/>
    <cellStyle name="_PLPT MOCOCA-2009_PLANILHA_CÁLCULO_DÉFICIT_RESOLUÇÃO_294_2007_V3_IRT_Bragantina_maio_2009" xfId="4018" xr:uid="{00000000-0005-0000-0000-00009E070000}"/>
    <cellStyle name="_PLPT MOCOCA-2009_PLANILHA_CÁLCULO_DÉFICIT_RESOLUÇÃO_294_2007_V3_IRT_CEMAT_2009" xfId="4019" xr:uid="{00000000-0005-0000-0000-00009F070000}"/>
    <cellStyle name="_PLPT MOCOCA-2009_PLANILHA_CÁLCULO_DÉFICIT_RESOLUÇÃO_294_2007_V3_IRT_EBB_mai2010d" xfId="4020" xr:uid="{00000000-0005-0000-0000-0000A0070000}"/>
    <cellStyle name="_PLPT MOCOCA-2009_PLANILHA_CÁLCULO_DÉFICIT_RESOLUÇÃO_294_2007_V3_IRT_ENF" xfId="4021" xr:uid="{00000000-0005-0000-0000-0000A1070000}"/>
    <cellStyle name="_PLPT MOCOCA-2009_PLANILHA_CÁLCULO_DÉFICIT_RESOLUÇÃO_294_2007_V3_IRT_Escelsa" xfId="4022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3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3" xr:uid="{00000000-0005-0000-0000-0000A7070000}"/>
    <cellStyle name="_PLPT MOCOCA-2009_PLANILHA_CÁLCULO_DÉFICIT_RESOLUÇÃO_294_2007_V3_IRT_Planilha Básica_30jun2009" xfId="4024" xr:uid="{00000000-0005-0000-0000-0000A8070000}"/>
    <cellStyle name="_PLPT MOCOCA-2009_PLANILHA_CÁLCULO_DÉFICIT_RESOLUÇÃO_294_2007_V3_IRT_Planilha Básica_DIRETORIA" xfId="4025" xr:uid="{00000000-0005-0000-0000-0000A9070000}"/>
    <cellStyle name="_PLPT MOCOCA-2009_PLANILHA_CÁLCULO_DÉFICIT_RESOLUÇÃO_294_2007_V3_IRT_Planilha Básica_jun2009" xfId="4026" xr:uid="{00000000-0005-0000-0000-0000AA070000}"/>
    <cellStyle name="_PLPT MOCOCA-2009_PLANILHA_CÁLCULO_DÉFICIT_RESOLUÇÃO_294_2007_V3_IRT_Planilha Básica_mar2010b" xfId="4027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4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5" xr:uid="{00000000-0005-0000-0000-0000AF070000}"/>
    <cellStyle name="_PLPT MOCOCA-2009_PLANILHA_CÁLCULO_DÉFICIT_RESOLUÇÃO_294_2007_V3_IRT_Planilha Básica_março2009_02 IRT Bandeirante 2009" xfId="4028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6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7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29" xr:uid="{00000000-0005-0000-0000-0000B8070000}"/>
    <cellStyle name="_PLPT MOCOCA-2009_PLANILHA_CÁLCULO_DÉFICIT_RESOLUÇÃO_294_2007_V3_IRT_Planilha Básica_março2009_COELCE  ICMS Não Compensado RTO 2012 281211" xfId="4030" xr:uid="{00000000-0005-0000-0000-0000B9070000}"/>
    <cellStyle name="_PLPT MOCOCA-2009_PLANILHA_CÁLCULO_DÉFICIT_RESOLUÇÃO_294_2007_V3_IRT_Planilha Básica_março2009_COELCE - RTO 2011 - PLPT_PLANILHA_CÁLCULO_DÉFICIT" xfId="4031" xr:uid="{00000000-0005-0000-0000-0000BA070000}"/>
    <cellStyle name="_PLPT MOCOCA-2009_PLANILHA_CÁLCULO_DÉFICIT_RESOLUÇÃO_294_2007_V3_IRT_Planilha Básica_março2009_IRT EEB 2010" xfId="4032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8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3" xr:uid="{00000000-0005-0000-0000-0000C0070000}"/>
    <cellStyle name="_PLPT MOCOCA-2009_PLANILHA_CÁLCULO_DÉFICIT_RESOLUÇÃO_294_2007_V3_IRT_Planilha Básica_março2009_IRT_EBB_mai2010d" xfId="4034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19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5" xr:uid="{00000000-0005-0000-0000-0000C6070000}"/>
    <cellStyle name="_PLPT MOCOCA-2009_PLANILHA_CÁLCULO_DÉFICIT_RESOLUÇÃO_294_2007_V3_IRT_Planilha Básica_março2009_IRT_Planilha Básica_DIRETORIA" xfId="4036" xr:uid="{00000000-0005-0000-0000-0000C7070000}"/>
    <cellStyle name="_PLPT MOCOCA-2009_PLANILHA_CÁLCULO_DÉFICIT_RESOLUÇÃO_294_2007_V3_IRT_Planilha Básica_março2009_IRT_Planilha Básica_fev2010" xfId="4037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0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1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2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38" xr:uid="{00000000-0005-0000-0000-0000D2070000}"/>
    <cellStyle name="_PLPT MOCOCA-2009_PLANILHA_CÁLCULO_DÉFICIT_RESOLUÇÃO_294_2007_V3_IRT_Planilha Básica_março2009_IRT_Planilha Básica_fev2010a_IRT EEB 2010" xfId="4039" xr:uid="{00000000-0005-0000-0000-0000D3070000}"/>
    <cellStyle name="_PLPT MOCOCA-2009_PLANILHA_CÁLCULO_DÉFICIT_RESOLUÇÃO_294_2007_V3_IRT_Planilha Básica_março2009_IRT_Planilha Básica_jan2010" xfId="4040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3" xr:uid="{00000000-0005-0000-0000-0000D6070000}"/>
    <cellStyle name="_PLPT MOCOCA-2009_PLANILHA_CÁLCULO_DÉFICIT_RESOLUÇÃO_294_2007_V3_IRT_Planilha Básica_março2009_IRT_Planilha Básica_NOVA METODOLOGIA" xfId="4041" xr:uid="{00000000-0005-0000-0000-0000D7070000}"/>
    <cellStyle name="_PLPT MOCOCA-2009_PLANILHA_CÁLCULO_DÉFICIT_RESOLUÇÃO_294_2007_V3_IRT_Planilha Básica_março2009_IRT_Santa 2010" xfId="4042" xr:uid="{00000000-0005-0000-0000-0000D8070000}"/>
    <cellStyle name="_PLPT MOCOCA-2009_PLANILHA_CÁLCULO_DÉFICIT_RESOLUÇÃO_294_2007_V3_IRT_Planilha Básica_março2009_Resultados_DEA_RND_QUAL_PERDAS" xfId="4043" xr:uid="{00000000-0005-0000-0000-0000D9070000}"/>
    <cellStyle name="_PLPT MOCOCA-2009_PLANILHA_CÁLCULO_DÉFICIT_RESOLUÇÃO_294_2007_V3_IRT_Planilha Básica_março2009_Simulação congelamento COELCE 2011 - Propostas 3ª Fase AP040 (20.12.2011)" xfId="4044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4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5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6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5" xr:uid="{00000000-0005-0000-0000-0000E4070000}"/>
    <cellStyle name="_PLPT MOCOCA-2009_PLANILHA_CÁLCULO_DÉFICIT_RESOLUÇÃO_294_2007_V3_IRT_Planilha Básica_março2009_teste ampla_IRT EEB 2010" xfId="4046" xr:uid="{00000000-0005-0000-0000-0000E5070000}"/>
    <cellStyle name="_PLPT MOCOCA-2009_PLANILHA_CÁLCULO_DÉFICIT_RESOLUÇÃO_294_2007_V3_IRT-cálculo" xfId="4047" xr:uid="{00000000-0005-0000-0000-0000E6070000}"/>
    <cellStyle name="_PLPT MOCOCA-2009_PLANILHA_CÁLCULO_DÉFICIT_RESOLUÇÃO_294_2007_V3_IRT-cálculo CAPA NEUTRALIDADE" xfId="4048" xr:uid="{00000000-0005-0000-0000-0000E7070000}"/>
    <cellStyle name="_PLPT MOCOCA-2009_PLANILHA_CÁLCULO_DÉFICIT_RESOLUÇÃO_294_2007_V3_Resultados_DEA_RND_QUAL_PERDAS" xfId="4049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7" xr:uid="{00000000-0005-0000-0000-0000EA070000}"/>
    <cellStyle name="_PLPT MOCOCA-2009_PLANILHA_CÁLCULO_DÉFICIT_RESOLUÇÃO_294_2007_V3_Subsídios para análise da SRE_02 IRT Bandeirante 2009" xfId="4050" xr:uid="{00000000-0005-0000-0000-0000EB070000}"/>
    <cellStyle name="_PLPT MOCOCA-2009_PLANILHA_CÁLCULO_DÉFICIT_RESOLUÇÃO_294_2007_V3_Subsídios para análise da SRE_1" xfId="4051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8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29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2" xr:uid="{00000000-0005-0000-0000-0000F4070000}"/>
    <cellStyle name="_PLPT MOCOCA-2009_PLANILHA_CÁLCULO_DÉFICIT_RESOLUÇÃO_294_2007_V3_Subsídios para análise da SRE_IRT EEB 2010" xfId="4053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0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4" xr:uid="{00000000-0005-0000-0000-0000FA070000}"/>
    <cellStyle name="_PLPT MOCOCA-2009_PLANILHA_CÁLCULO_DÉFICIT_RESOLUÇÃO_294_2007_V3_Subsídios para análise da SRE_IRT_EBB_mai2010d" xfId="4055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1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6" xr:uid="{00000000-0005-0000-0000-000000080000}"/>
    <cellStyle name="_PLPT MOCOCA-2009_PLANILHA_CÁLCULO_DÉFICIT_RESOLUÇÃO_294_2007_V3_Subsídios para análise da SRE_IRT_Planilha Básica_DIRETORIA" xfId="4057" xr:uid="{00000000-0005-0000-0000-000001080000}"/>
    <cellStyle name="_PLPT MOCOCA-2009_PLANILHA_CÁLCULO_DÉFICIT_RESOLUÇÃO_294_2007_V3_Subsídios para análise da SRE_IRT_Planilha Básica_fev2010" xfId="4058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2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3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4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59" xr:uid="{00000000-0005-0000-0000-00000C080000}"/>
    <cellStyle name="_PLPT MOCOCA-2009_PLANILHA_CÁLCULO_DÉFICIT_RESOLUÇÃO_294_2007_V3_Subsídios para análise da SRE_IRT_Planilha Básica_fev2010a_IRT EEB 2010" xfId="4060" xr:uid="{00000000-0005-0000-0000-00000D080000}"/>
    <cellStyle name="_PLPT MOCOCA-2009_PLANILHA_CÁLCULO_DÉFICIT_RESOLUÇÃO_294_2007_V3_Subsídios para análise da SRE_IRT_Planilha Básica_jan2010" xfId="4061" xr:uid="{00000000-0005-0000-0000-00000E080000}"/>
    <cellStyle name="_PLPT MOCOCA-2009_PLANILHA_CÁLCULO_DÉFICIT_RESOLUÇÃO_294_2007_V3_Subsídios para análise da SRE_IRT_Planilha Básica_mar2010b" xfId="4062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5" xr:uid="{00000000-0005-0000-0000-000011080000}"/>
    <cellStyle name="_PLPT MOCOCA-2009_PLANILHA_CÁLCULO_DÉFICIT_RESOLUÇÃO_294_2007_V3_Subsídios para análise da SRE_IRT_Planilha Básica_NOVA METODOLOGIA" xfId="4063" xr:uid="{00000000-0005-0000-0000-000012080000}"/>
    <cellStyle name="_PLPT MOCOCA-2009_PLANILHA_CÁLCULO_DÉFICIT_RESOLUÇÃO_294_2007_V3_Subsídios para análise da SRE_IRT_Santa 2010" xfId="4064" xr:uid="{00000000-0005-0000-0000-000013080000}"/>
    <cellStyle name="_PLPT MOCOCA-2009_PLANILHA_CÁLCULO_DÉFICIT_RESOLUÇÃO_294_2007_V3_Subsídios para análise da SRE_IRT-cálculo" xfId="4065" xr:uid="{00000000-0005-0000-0000-000014080000}"/>
    <cellStyle name="_PLPT MOCOCA-2009_PLANILHA_CÁLCULO_DÉFICIT_RESOLUÇÃO_294_2007_V3_Subsídios para análise da SRE_IRT-cálculo CAPA NEUTRALIDADE" xfId="4066" xr:uid="{00000000-0005-0000-0000-000015080000}"/>
    <cellStyle name="_PLPT MOCOCA-2009_PLANILHA_CÁLCULO_DÉFICIT_RESOLUÇÃO_294_2007_V3_Subsídios para análise da SRE_Resultados_DEA_RND_QUAL_PERDAS" xfId="4067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6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7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8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68" xr:uid="{00000000-0005-0000-0000-000020080000}"/>
    <cellStyle name="_PLPT MOCOCA-2009_PLANILHA_CÁLCULO_DÉFICIT_RESOLUÇÃO_294_2007_V3_Subsídios para análise da SRE_teste ampla_IRT EEB 2010" xfId="4069" xr:uid="{00000000-0005-0000-0000-000021080000}"/>
    <cellStyle name="_PLPT MOCOCA-2009_PLANILHA_CÁLCULO_DÉFICIT_RESOLUÇÃO_294_2007_V3_SubsídiosAnáliseSRE_COSERN_IRT-2010" xfId="1608" xr:uid="{00000000-0005-0000-0000-000022080000}"/>
    <cellStyle name="_PLPT_EPB_2010 " xfId="4070" xr:uid="{00000000-0005-0000-0000-000023080000}"/>
    <cellStyle name="_PLPT_PLANILHA_ANEEL" xfId="4071" xr:uid="{00000000-0005-0000-0000-000024080000}"/>
    <cellStyle name="_PLPT_PLANILHA_ANEEL_FINAL_12_07" xfId="4072" xr:uid="{00000000-0005-0000-0000-000025080000}"/>
    <cellStyle name="_PLPT_PLANILHA_ANEEL_mbl" xfId="4073" xr:uid="{00000000-0005-0000-0000-000026080000}"/>
    <cellStyle name="_PLPT_PLANILHA_CÁLCULO_DÉFICIT até revisão2007" xfId="4074" xr:uid="{00000000-0005-0000-0000-000027080000}"/>
    <cellStyle name="_PLPT_PLANILHA_CÁLCULO_DÉFICIT_RESOLUÇÃO_294_2007" xfId="4075" xr:uid="{00000000-0005-0000-0000-000028080000}"/>
    <cellStyle name="_PLPT_PLANILHA_CÁLCULO_DÉFICIT_RESOLUÇÃO_294_2007_antes Da Revisão" xfId="4076" xr:uid="{00000000-0005-0000-0000-000029080000}"/>
    <cellStyle name="_PLPT_PLANILHA_CÁLCULO_DÉFICIT_RESOLUÇÃO_294_2007_CELG 2008" xfId="4077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39" xr:uid="{00000000-0005-0000-0000-00002C080000}"/>
    <cellStyle name="_PLPT_PLANILHA_CÁLCULO_DÉFICIT_RESOLUÇÃO_294_2007_COELCE_Sem_Gov_Estado_pos_Rev2007 3" xfId="4078" xr:uid="{00000000-0005-0000-0000-00002D080000}"/>
    <cellStyle name="_PLPT_PLANILHA_CÁLCULO_DÉFICIT_RESOLUÇÃO_294_2007_COELCE_Sem_Gov_Estado_pos_Rev2007_02 IRT COSERN 2009" xfId="1609" xr:uid="{00000000-0005-0000-0000-00002E080000}"/>
    <cellStyle name="_PLPT_PLANILHA_CÁLCULO_DÉFICIT_RESOLUÇÃO_294_2007_COELCE_Sem_Gov_Estado_pos_Rev2007_2008.08.07 CELPA IRT2008 Homologado" xfId="4079" xr:uid="{00000000-0005-0000-0000-00002F080000}"/>
    <cellStyle name="_PLPT_PLANILHA_CÁLCULO_DÉFICIT_RESOLUÇÃO_294_2007_COELCE_Sem_Gov_Estado_pos_Rev2007_Ajustes REAJUSTE 2008 ELETROPAULO" xfId="4080" xr:uid="{00000000-0005-0000-0000-000030080000}"/>
    <cellStyle name="_PLPT_PLANILHA_CÁLCULO_DÉFICIT_RESOLUÇÃO_294_2007_COELCE_Sem_Gov_Estado_pos_Rev2007_Ajustes REAJUSTE 2008 ELETROPAULO_IRT-cálculo" xfId="4081" xr:uid="{00000000-0005-0000-0000-000031080000}"/>
    <cellStyle name="_PLPT_PLANILHA_CÁLCULO_DÉFICIT_RESOLUÇÃO_294_2007_COELCE_Sem_Gov_Estado_pos_Rev2007_Ajustes REAJUSTE 2008 ELETROPAULO_IRT-cálculo CAPA NEUTRALIDADE" xfId="4082" xr:uid="{00000000-0005-0000-0000-000032080000}"/>
    <cellStyle name="_PLPT_PLANILHA_CÁLCULO_DÉFICIT_RESOLUÇÃO_294_2007_COELCE_Sem_Gov_Estado_pos_Rev2007_Ajustes REVISÃO 2007 ELETROPAULO" xfId="4083" xr:uid="{00000000-0005-0000-0000-000033080000}"/>
    <cellStyle name="_PLPT_PLANILHA_CÁLCULO_DÉFICIT_RESOLUÇÃO_294_2007_COELCE_Sem_Gov_Estado_pos_Rev2007_Ajustes REVISÃO 2007 ELETROPAULO_IRT-cálculo" xfId="4084" xr:uid="{00000000-0005-0000-0000-000034080000}"/>
    <cellStyle name="_PLPT_PLANILHA_CÁLCULO_DÉFICIT_RESOLUÇÃO_294_2007_COELCE_Sem_Gov_Estado_pos_Rev2007_Ajustes REVISÃO 2007 ELETROPAULO_IRT-cálculo CAPA NEUTRALIDADE" xfId="4085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0" xr:uid="{00000000-0005-0000-0000-000037080000}"/>
    <cellStyle name="_PLPT_PLANILHA_CÁLCULO_DÉFICIT_RESOLUÇÃO_294_2007_COELCE_Sem_Gov_Estado_pos_Rev2007_Calculo_Subsidio_ELFSM_26_06_08_Modelo_ANEEL" xfId="4086" xr:uid="{00000000-0005-0000-0000-000038080000}"/>
    <cellStyle name="_PLPT_PLANILHA_CÁLCULO_DÉFICIT_RESOLUÇÃO_294_2007_COELCE_Sem_Gov_Estado_pos_Rev2007_Calculo_Subsidio_ELFSM_26_06_08_Modelo_ANEEL_IRT-cálculo" xfId="4087" xr:uid="{00000000-0005-0000-0000-000039080000}"/>
    <cellStyle name="_PLPT_PLANILHA_CÁLCULO_DÉFICIT_RESOLUÇÃO_294_2007_COELCE_Sem_Gov_Estado_pos_Rev2007_Calculo_Subsidio_ELFSM_26_06_08_Modelo_ANEEL_IRT-cálculo CAPA NEUTRALIDADE" xfId="4088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1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89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2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3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4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0" xr:uid="{00000000-0005-0000-0000-00004A080000}"/>
    <cellStyle name="_PLPT_PLANILHA_CÁLCULO_DÉFICIT_RESOLUÇÃO_294_2007_COELCE_Sem_Gov_Estado_pos_Rev2007_Cópia de IRT_CPFL_LESTE_PAULISTA(CPEE)_fev2009-COM_PREVISÃO_BR_da_Diretoria_pos_IGPM_IRT EEB 2010" xfId="4091" xr:uid="{00000000-0005-0000-0000-00004B080000}"/>
    <cellStyle name="_PLPT_PLANILHA_CÁLCULO_DÉFICIT_RESOLUÇÃO_294_2007_COELCE_Sem_Gov_Estado_pos_Rev2007_Exposição" xfId="4092" xr:uid="{00000000-0005-0000-0000-00004C080000}"/>
    <cellStyle name="_PLPT_PLANILHA_CÁLCULO_DÉFICIT_RESOLUÇÃO_294_2007_COELCE_Sem_Gov_Estado_pos_Rev2007_Exposição 2008" xfId="4093" xr:uid="{00000000-0005-0000-0000-00004D080000}"/>
    <cellStyle name="_PLPT_PLANILHA_CÁLCULO_DÉFICIT_RESOLUÇÃO_294_2007_COELCE_Sem_Gov_Estado_pos_Rev2007_Exposição_Agosto 1" xfId="4094" xr:uid="{00000000-0005-0000-0000-00004E080000}"/>
    <cellStyle name="_PLPT_PLANILHA_CÁLCULO_DÉFICIT_RESOLUÇÃO_294_2007_COELCE_Sem_Gov_Estado_pos_Rev2007_IRT" xfId="4095" xr:uid="{00000000-0005-0000-0000-00004F080000}"/>
    <cellStyle name="_PLPT_PLANILHA_CÁLCULO_DÉFICIT_RESOLUÇÃO_294_2007_COELCE_Sem_Gov_Estado_pos_Rev2007_IRT EEB 2010" xfId="4096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5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7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6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7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8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098" xr:uid="{00000000-0005-0000-0000-00005F080000}"/>
    <cellStyle name="_PLPT_PLANILHA_CÁLCULO_DÉFICIT_RESOLUÇÃO_294_2007_COELCE_Sem_Gov_Estado_pos_Rev2007_IRT Reloaded_IRT EEB 2010" xfId="4099" xr:uid="{00000000-0005-0000-0000-000060080000}"/>
    <cellStyle name="_PLPT_PLANILHA_CÁLCULO_DÉFICIT_RESOLUÇÃO_294_2007_COELCE_Sem_Gov_Estado_pos_Rev2007_IRT_1" xfId="1610" xr:uid="{00000000-0005-0000-0000-000061080000}"/>
    <cellStyle name="_PLPT_PLANILHA_CÁLCULO_DÉFICIT_RESOLUÇÃO_294_2007_COELCE_Sem_Gov_Estado_pos_Rev2007_IRT_1 2" xfId="4100" xr:uid="{00000000-0005-0000-0000-000062080000}"/>
    <cellStyle name="_PLPT_PLANILHA_CÁLCULO_DÉFICIT_RESOLUÇÃO_294_2007_COELCE_Sem_Gov_Estado_pos_Rev2007_IRT_1_IRT-cálculo" xfId="4101" xr:uid="{00000000-0005-0000-0000-000063080000}"/>
    <cellStyle name="_PLPT_PLANILHA_CÁLCULO_DÉFICIT_RESOLUÇÃO_294_2007_COELCE_Sem_Gov_Estado_pos_Rev2007_IRT_1_IRT-cálculo CAPA NEUTRALIDADE" xfId="4102" xr:uid="{00000000-0005-0000-0000-000064080000}"/>
    <cellStyle name="_PLPT_PLANILHA_CÁLCULO_DÉFICIT_RESOLUÇÃO_294_2007_COELCE_Sem_Gov_Estado_pos_Rev2007_IRT_1_SOBRECONTRATAÇÃO E CVA" xfId="4103" xr:uid="{00000000-0005-0000-0000-000065080000}"/>
    <cellStyle name="_PLPT_PLANILHA_CÁLCULO_DÉFICIT_RESOLUÇÃO_294_2007_COELCE_Sem_Gov_Estado_pos_Rev2007_IRT_Bragantina_maio_2009" xfId="4104" xr:uid="{00000000-0005-0000-0000-000066080000}"/>
    <cellStyle name="_PLPT_PLANILHA_CÁLCULO_DÉFICIT_RESOLUÇÃO_294_2007_COELCE_Sem_Gov_Estado_pos_Rev2007_IRT_CEMAT_2009" xfId="4105" xr:uid="{00000000-0005-0000-0000-000067080000}"/>
    <cellStyle name="_PLPT_PLANILHA_CÁLCULO_DÉFICIT_RESOLUÇÃO_294_2007_COELCE_Sem_Gov_Estado_pos_Rev2007_IRT_COELCE_abr2008" xfId="1611" xr:uid="{00000000-0005-0000-0000-000068080000}"/>
    <cellStyle name="_PLPT_PLANILHA_CÁLCULO_DÉFICIT_RESOLUÇÃO_294_2007_COELCE_Sem_Gov_Estado_pos_Rev2007_IRT_COELCE_abr2008 2" xfId="4106" xr:uid="{00000000-0005-0000-0000-000069080000}"/>
    <cellStyle name="_PLPT_PLANILHA_CÁLCULO_DÉFICIT_RESOLUÇÃO_294_2007_COELCE_Sem_Gov_Estado_pos_Rev2007_IRT_COELCE_abr2008_COELCE - RTO 2011 - PLPT_PLANILHA_CÁLCULO_DÉFICIT" xfId="4107" xr:uid="{00000000-0005-0000-0000-00006A080000}"/>
    <cellStyle name="_PLPT_PLANILHA_CÁLCULO_DÉFICIT_RESOLUÇÃO_294_2007_COELCE_Sem_Gov_Estado_pos_Rev2007_IRT_EBB_mai2010d" xfId="4108" xr:uid="{00000000-0005-0000-0000-00006B080000}"/>
    <cellStyle name="_PLPT_PLANILHA_CÁLCULO_DÉFICIT_RESOLUÇÃO_294_2007_COELCE_Sem_Gov_Estado_pos_Rev2007_IRT_ENERGISA_SE_abr2009" xfId="4109" xr:uid="{00000000-0005-0000-0000-00006C080000}"/>
    <cellStyle name="_PLPT_PLANILHA_CÁLCULO_DÉFICIT_RESOLUÇÃO_294_2007_COELCE_Sem_Gov_Estado_pos_Rev2007_IRT_ENF" xfId="4110" xr:uid="{00000000-0005-0000-0000-00006D080000}"/>
    <cellStyle name="_PLPT_PLANILHA_CÁLCULO_DÉFICIT_RESOLUÇÃO_294_2007_COELCE_Sem_Gov_Estado_pos_Rev2007_IRT_Escelsa" xfId="4111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49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2" xr:uid="{00000000-0005-0000-0000-000073080000}"/>
    <cellStyle name="_PLPT_PLANILHA_CÁLCULO_DÉFICIT_RESOLUÇÃO_294_2007_COELCE_Sem_Gov_Estado_pos_Rev2007_IRT_Planilha Básica_30jun2009" xfId="4113" xr:uid="{00000000-0005-0000-0000-000074080000}"/>
    <cellStyle name="_PLPT_PLANILHA_CÁLCULO_DÉFICIT_RESOLUÇÃO_294_2007_COELCE_Sem_Gov_Estado_pos_Rev2007_IRT_Planilha Básica_DIRETORIA" xfId="4114" xr:uid="{00000000-0005-0000-0000-000075080000}"/>
    <cellStyle name="_PLPT_PLANILHA_CÁLCULO_DÉFICIT_RESOLUÇÃO_294_2007_COELCE_Sem_Gov_Estado_pos_Rev2007_IRT_Planilha Básica_fev2010" xfId="4115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0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1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2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6" xr:uid="{00000000-0005-0000-0000-000080080000}"/>
    <cellStyle name="_PLPT_PLANILHA_CÁLCULO_DÉFICIT_RESOLUÇÃO_294_2007_COELCE_Sem_Gov_Estado_pos_Rev2007_IRT_Planilha Básica_fev2010a_IRT EEB 2010" xfId="4117" xr:uid="{00000000-0005-0000-0000-000081080000}"/>
    <cellStyle name="_PLPT_PLANILHA_CÁLCULO_DÉFICIT_RESOLUÇÃO_294_2007_COELCE_Sem_Gov_Estado_pos_Rev2007_IRT_Planilha Básica_jun2009" xfId="4118" xr:uid="{00000000-0005-0000-0000-000082080000}"/>
    <cellStyle name="_PLPT_PLANILHA_CÁLCULO_DÉFICIT_RESOLUÇÃO_294_2007_COELCE_Sem_Gov_Estado_pos_Rev2007_IRT_Planilha Básica_mar2010b" xfId="4119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3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4" xr:uid="{00000000-0005-0000-0000-000087080000}"/>
    <cellStyle name="_PLPT_PLANILHA_CÁLCULO_DÉFICIT_RESOLUÇÃO_294_2007_COELCE_Sem_Gov_Estado_pos_Rev2007_IRT_Planilha Básica_março2009_02 IRT Bandeirante 2009" xfId="4120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5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6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1" xr:uid="{00000000-0005-0000-0000-000090080000}"/>
    <cellStyle name="_PLPT_PLANILHA_CÁLCULO_DÉFICIT_RESOLUÇÃO_294_2007_COELCE_Sem_Gov_Estado_pos_Rev2007_IRT_Planilha Básica_março2009_COELCE  ICMS Não Compensado RTO 2012 281211" xfId="4122" xr:uid="{00000000-0005-0000-0000-000091080000}"/>
    <cellStyle name="_PLPT_PLANILHA_CÁLCULO_DÉFICIT_RESOLUÇÃO_294_2007_COELCE_Sem_Gov_Estado_pos_Rev2007_IRT_Planilha Básica_março2009_COELCE - RTO 2011 - PLPT_PLANILHA_CÁLCULO_DÉFICIT" xfId="4123" xr:uid="{00000000-0005-0000-0000-000092080000}"/>
    <cellStyle name="_PLPT_PLANILHA_CÁLCULO_DÉFICIT_RESOLUÇÃO_294_2007_COELCE_Sem_Gov_Estado_pos_Rev2007_IRT_Planilha Básica_março2009_IRT EEB 2010" xfId="4124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7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5" xr:uid="{00000000-0005-0000-0000-000098080000}"/>
    <cellStyle name="_PLPT_PLANILHA_CÁLCULO_DÉFICIT_RESOLUÇÃO_294_2007_COELCE_Sem_Gov_Estado_pos_Rev2007_IRT_Planilha Básica_março2009_IRT_EBB_mai2010d" xfId="4126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8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7" xr:uid="{00000000-0005-0000-0000-00009E080000}"/>
    <cellStyle name="_PLPT_PLANILHA_CÁLCULO_DÉFICIT_RESOLUÇÃO_294_2007_COELCE_Sem_Gov_Estado_pos_Rev2007_IRT_Planilha Básica_março2009_IRT_Planilha Básica_DIRETORIA" xfId="4128" xr:uid="{00000000-0005-0000-0000-00009F080000}"/>
    <cellStyle name="_PLPT_PLANILHA_CÁLCULO_DÉFICIT_RESOLUÇÃO_294_2007_COELCE_Sem_Gov_Estado_pos_Rev2007_IRT_Planilha Básica_março2009_IRT_Planilha Básica_fev2010" xfId="4129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59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0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1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0" xr:uid="{00000000-0005-0000-0000-0000AA080000}"/>
    <cellStyle name="_PLPT_PLANILHA_CÁLCULO_DÉFICIT_RESOLUÇÃO_294_2007_COELCE_Sem_Gov_Estado_pos_Rev2007_IRT_Planilha Básica_março2009_IRT_Planilha Básica_fev2010a_IRT EEB 2010" xfId="4131" xr:uid="{00000000-0005-0000-0000-0000AB080000}"/>
    <cellStyle name="_PLPT_PLANILHA_CÁLCULO_DÉFICIT_RESOLUÇÃO_294_2007_COELCE_Sem_Gov_Estado_pos_Rev2007_IRT_Planilha Básica_março2009_IRT_Planilha Básica_jan2010" xfId="4132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2" xr:uid="{00000000-0005-0000-0000-0000AE080000}"/>
    <cellStyle name="_PLPT_PLANILHA_CÁLCULO_DÉFICIT_RESOLUÇÃO_294_2007_COELCE_Sem_Gov_Estado_pos_Rev2007_IRT_Planilha Básica_março2009_IRT_Planilha Básica_NOVA METODOLOGIA" xfId="4133" xr:uid="{00000000-0005-0000-0000-0000AF080000}"/>
    <cellStyle name="_PLPT_PLANILHA_CÁLCULO_DÉFICIT_RESOLUÇÃO_294_2007_COELCE_Sem_Gov_Estado_pos_Rev2007_IRT_Planilha Básica_março2009_IRT_Santa 2010" xfId="4134" xr:uid="{00000000-0005-0000-0000-0000B0080000}"/>
    <cellStyle name="_PLPT_PLANILHA_CÁLCULO_DÉFICIT_RESOLUÇÃO_294_2007_COELCE_Sem_Gov_Estado_pos_Rev2007_IRT_Planilha Básica_março2009_Resultados_DEA_RND_QUAL_PERDAS" xfId="4135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6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3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4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5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7" xr:uid="{00000000-0005-0000-0000-0000BC080000}"/>
    <cellStyle name="_PLPT_PLANILHA_CÁLCULO_DÉFICIT_RESOLUÇÃO_294_2007_COELCE_Sem_Gov_Estado_pos_Rev2007_IRT_Planilha Básica_março2009_teste ampla_IRT EEB 2010" xfId="4138" xr:uid="{00000000-0005-0000-0000-0000BD080000}"/>
    <cellStyle name="_PLPT_PLANILHA_CÁLCULO_DÉFICIT_RESOLUÇÃO_294_2007_COELCE_Sem_Gov_Estado_pos_Rev2007_IRT_Planilha Básica_NOVA METODOLOGIA" xfId="4139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6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7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8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0" xr:uid="{00000000-0005-0000-0000-0000C8080000}"/>
    <cellStyle name="_PLPT_PLANILHA_CÁLCULO_DÉFICIT_RESOLUÇÃO_294_2007_COELCE_Sem_Gov_Estado_pos_Rev2007_IRT_Planilha Básica_out2009_IRT EEB 2010" xfId="4141" xr:uid="{00000000-0005-0000-0000-0000C9080000}"/>
    <cellStyle name="_PLPT_PLANILHA_CÁLCULO_DÉFICIT_RESOLUÇÃO_294_2007_COELCE_Sem_Gov_Estado_pos_Rev2007_IRT_Pleito" xfId="4142" xr:uid="{00000000-0005-0000-0000-0000CA080000}"/>
    <cellStyle name="_PLPT_PLANILHA_CÁLCULO_DÉFICIT_RESOLUÇÃO_294_2007_COELCE_Sem_Gov_Estado_pos_Rev2007_IRT_Pleito_IRT-cálculo" xfId="4143" xr:uid="{00000000-0005-0000-0000-0000CB080000}"/>
    <cellStyle name="_PLPT_PLANILHA_CÁLCULO_DÉFICIT_RESOLUÇÃO_294_2007_COELCE_Sem_Gov_Estado_pos_Rev2007_IRT_Pleito_IRT-cálculo CAPA NEUTRALIDADE" xfId="4144" xr:uid="{00000000-0005-0000-0000-0000CC080000}"/>
    <cellStyle name="_PLPT_PLANILHA_CÁLCULO_DÉFICIT_RESOLUÇÃO_294_2007_COELCE_Sem_Gov_Estado_pos_Rev2007_IRT_Revisão A-1" xfId="4145" xr:uid="{00000000-0005-0000-0000-0000CD080000}"/>
    <cellStyle name="_PLPT_PLANILHA_CÁLCULO_DÉFICIT_RESOLUÇÃO_294_2007_COELCE_Sem_Gov_Estado_pos_Rev2007_IRT_Revisão A-1_IRT-cálculo" xfId="4146" xr:uid="{00000000-0005-0000-0000-0000CE080000}"/>
    <cellStyle name="_PLPT_PLANILHA_CÁLCULO_DÉFICIT_RESOLUÇÃO_294_2007_COELCE_Sem_Gov_Estado_pos_Rev2007_IRT_Revisão A-1_IRT-cálculo CAPA NEUTRALIDADE" xfId="4147" xr:uid="{00000000-0005-0000-0000-0000CF080000}"/>
    <cellStyle name="_PLPT_PLANILHA_CÁLCULO_DÉFICIT_RESOLUÇÃO_294_2007_COELCE_Sem_Gov_Estado_pos_Rev2007_IRT_SantaCruzpós IGPM" xfId="4148" xr:uid="{00000000-0005-0000-0000-0000D0080000}"/>
    <cellStyle name="_PLPT_PLANILHA_CÁLCULO_DÉFICIT_RESOLUÇÃO_294_2007_COELCE_Sem_Gov_Estado_pos_Rev2007_IRT1" xfId="4149" xr:uid="{00000000-0005-0000-0000-0000D1080000}"/>
    <cellStyle name="_PLPT_PLANILHA_CÁLCULO_DÉFICIT_RESOLUÇÃO_294_2007_COELCE_Sem_Gov_Estado_pos_Rev2007_IRT1_IRT-cálculo" xfId="4150" xr:uid="{00000000-0005-0000-0000-0000D2080000}"/>
    <cellStyle name="_PLPT_PLANILHA_CÁLCULO_DÉFICIT_RESOLUÇÃO_294_2007_COELCE_Sem_Gov_Estado_pos_Rev2007_IRT1_IRT-cálculo CAPA NEUTRALIDADE" xfId="4151" xr:uid="{00000000-0005-0000-0000-0000D3080000}"/>
    <cellStyle name="_PLPT_PLANILHA_CÁLCULO_DÉFICIT_RESOLUÇÃO_294_2007_COELCE_Sem_Gov_Estado_pos_Rev2007_IRT-2010_COPEL_SOBRECONTRATAÇÃOeCVAenergia" xfId="1612" xr:uid="{00000000-0005-0000-0000-0000D4080000}"/>
    <cellStyle name="_PLPT_PLANILHA_CÁLCULO_DÉFICIT_RESOLUÇÃO_294_2007_COELCE_Sem_Gov_Estado_pos_Rev2007_IRT-cálculo" xfId="4152" xr:uid="{00000000-0005-0000-0000-0000D5080000}"/>
    <cellStyle name="_PLPT_PLANILHA_CÁLCULO_DÉFICIT_RESOLUÇÃO_294_2007_COELCE_Sem_Gov_Estado_pos_Rev2007_IRT-cálculo CAPA NEUTRALIDADE" xfId="4153" xr:uid="{00000000-0005-0000-0000-0000D6080000}"/>
    <cellStyle name="_PLPT_PLANILHA_CÁLCULO_DÉFICIT_RESOLUÇÃO_294_2007_COELCE_Sem_Gov_Estado_pos_Rev2007_Pasta1" xfId="1613" xr:uid="{00000000-0005-0000-0000-0000D7080000}"/>
    <cellStyle name="_PLPT_PLANILHA_CÁLCULO_DÉFICIT_RESOLUÇÃO_294_2007_COELCE_Sem_Gov_Estado_pos_Rev2007_Pasta1 2" xfId="4154" xr:uid="{00000000-0005-0000-0000-0000D8080000}"/>
    <cellStyle name="_PLPT_PLANILHA_CÁLCULO_DÉFICIT_RESOLUÇÃO_294_2007_COELCE_Sem_Gov_Estado_pos_Rev2007_Pasta1_IRT-cálculo" xfId="4155" xr:uid="{00000000-0005-0000-0000-0000D9080000}"/>
    <cellStyle name="_PLPT_PLANILHA_CÁLCULO_DÉFICIT_RESOLUÇÃO_294_2007_COELCE_Sem_Gov_Estado_pos_Rev2007_Pasta1_IRT-cálculo CAPA NEUTRALIDADE" xfId="4156" xr:uid="{00000000-0005-0000-0000-0000DA080000}"/>
    <cellStyle name="_PLPT_PLANILHA_CÁLCULO_DÉFICIT_RESOLUÇÃO_294_2007_COELCE_Sem_Gov_Estado_pos_Rev2007_Pasta1_SOBRECONTRATAÇÃO E CVA" xfId="4157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69" xr:uid="{00000000-0005-0000-0000-0000DD080000}"/>
    <cellStyle name="_PLPT_PLANILHA_CÁLCULO_DÉFICIT_RESOLUÇÃO_294_2007_COELCE_Sem_Gov_Estado_pos_Rev2007_Pasta2_02 IRT Bandeirante 2009" xfId="4158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0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1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59" xr:uid="{00000000-0005-0000-0000-0000E6080000}"/>
    <cellStyle name="_PLPT_PLANILHA_CÁLCULO_DÉFICIT_RESOLUÇÃO_294_2007_COELCE_Sem_Gov_Estado_pos_Rev2007_Pasta2_IRT EEB 2010" xfId="4160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2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1" xr:uid="{00000000-0005-0000-0000-0000EC080000}"/>
    <cellStyle name="_PLPT_PLANILHA_CÁLCULO_DÉFICIT_RESOLUÇÃO_294_2007_COELCE_Sem_Gov_Estado_pos_Rev2007_Pasta2_IRT_EBB_mai2010d" xfId="4162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3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3" xr:uid="{00000000-0005-0000-0000-0000F2080000}"/>
    <cellStyle name="_PLPT_PLANILHA_CÁLCULO_DÉFICIT_RESOLUÇÃO_294_2007_COELCE_Sem_Gov_Estado_pos_Rev2007_Pasta2_IRT_Planilha Básica_DIRETORIA" xfId="4164" xr:uid="{00000000-0005-0000-0000-0000F3080000}"/>
    <cellStyle name="_PLPT_PLANILHA_CÁLCULO_DÉFICIT_RESOLUÇÃO_294_2007_COELCE_Sem_Gov_Estado_pos_Rev2007_Pasta2_IRT_Planilha Básica_fev2010" xfId="4165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4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5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6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6" xr:uid="{00000000-0005-0000-0000-0000FE080000}"/>
    <cellStyle name="_PLPT_PLANILHA_CÁLCULO_DÉFICIT_RESOLUÇÃO_294_2007_COELCE_Sem_Gov_Estado_pos_Rev2007_Pasta2_IRT_Planilha Básica_fev2010a_IRT EEB 2010" xfId="4167" xr:uid="{00000000-0005-0000-0000-0000FF080000}"/>
    <cellStyle name="_PLPT_PLANILHA_CÁLCULO_DÉFICIT_RESOLUÇÃO_294_2007_COELCE_Sem_Gov_Estado_pos_Rev2007_Pasta2_IRT_Planilha Básica_jan2010" xfId="4168" xr:uid="{00000000-0005-0000-0000-000000090000}"/>
    <cellStyle name="_PLPT_PLANILHA_CÁLCULO_DÉFICIT_RESOLUÇÃO_294_2007_COELCE_Sem_Gov_Estado_pos_Rev2007_Pasta2_IRT_Planilha Básica_mar2010b" xfId="4169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7" xr:uid="{00000000-0005-0000-0000-000003090000}"/>
    <cellStyle name="_PLPT_PLANILHA_CÁLCULO_DÉFICIT_RESOLUÇÃO_294_2007_COELCE_Sem_Gov_Estado_pos_Rev2007_Pasta2_IRT_Planilha Básica_NOVA METODOLOGIA" xfId="4170" xr:uid="{00000000-0005-0000-0000-000004090000}"/>
    <cellStyle name="_PLPT_PLANILHA_CÁLCULO_DÉFICIT_RESOLUÇÃO_294_2007_COELCE_Sem_Gov_Estado_pos_Rev2007_Pasta2_IRT_Santa 2010" xfId="4171" xr:uid="{00000000-0005-0000-0000-000005090000}"/>
    <cellStyle name="_PLPT_PLANILHA_CÁLCULO_DÉFICIT_RESOLUÇÃO_294_2007_COELCE_Sem_Gov_Estado_pos_Rev2007_Pasta2_IRT-cálculo" xfId="4172" xr:uid="{00000000-0005-0000-0000-000006090000}"/>
    <cellStyle name="_PLPT_PLANILHA_CÁLCULO_DÉFICIT_RESOLUÇÃO_294_2007_COELCE_Sem_Gov_Estado_pos_Rev2007_Pasta2_IRT-cálculo CAPA NEUTRALIDADE" xfId="4173" xr:uid="{00000000-0005-0000-0000-000007090000}"/>
    <cellStyle name="_PLPT_PLANILHA_CÁLCULO_DÉFICIT_RESOLUÇÃO_294_2007_COELCE_Sem_Gov_Estado_pos_Rev2007_Pasta2_Resultados_DEA_RND_QUAL_PERDAS" xfId="4174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8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79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0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5" xr:uid="{00000000-0005-0000-0000-000012090000}"/>
    <cellStyle name="_PLPT_PLANILHA_CÁLCULO_DÉFICIT_RESOLUÇÃO_294_2007_COELCE_Sem_Gov_Estado_pos_Rev2007_Pasta2_teste ampla_IRT EEB 2010" xfId="4176" xr:uid="{00000000-0005-0000-0000-000013090000}"/>
    <cellStyle name="_PLPT_PLANILHA_CÁLCULO_DÉFICIT_RESOLUÇÃO_294_2007_COELCE_Sem_Gov_Estado_pos_Rev2007_Pleito_IRT_ESE_2010_Envio_ANEEL_Final_atualizado_05_04" xfId="4177" xr:uid="{00000000-0005-0000-0000-000014090000}"/>
    <cellStyle name="_PLPT_PLANILHA_CÁLCULO_DÉFICIT_RESOLUÇÃO_294_2007_COELCE_Sem_Gov_Estado_pos_Rev2007_Resultados_DEA_RND_QUAL_PERDAS" xfId="4178" xr:uid="{00000000-0005-0000-0000-000015090000}"/>
    <cellStyle name="_PLPT_PLANILHA_CÁLCULO_DÉFICIT_RESOLUÇÃO_294_2007_COELCE_Sem_Gov_Estado_pos_Rev2007_SOBRECONTRATAÇÃO E CVA Energisa Paraíba" xfId="4179" xr:uid="{00000000-0005-0000-0000-000016090000}"/>
    <cellStyle name="_PLPT_PLANILHA_CÁLCULO_DÉFICIT_RESOLUÇÃO_294_2007_COELCE_Sem_Gov_Estado_pos_Rev2007_SOBRECONTRATAÇÃO EPB 2010" xfId="4180" xr:uid="{00000000-0005-0000-0000-000017090000}"/>
    <cellStyle name="_PLPT_PLANILHA_CÁLCULO_DÉFICIT_RESOLUÇÃO_294_2007_COELCE_Sem_Gov_Estado_pos_Rev2007_Sobrecontratação_e_CVA_Energia" xfId="4181" xr:uid="{00000000-0005-0000-0000-000018090000}"/>
    <cellStyle name="_PLPT_PLANILHA_CÁLCULO_DÉFICIT_RESOLUÇÃO_294_2007_COELCE_Sem_Gov_Estado_pos_Rev2007_Sobrecontratação-CVAenergia_COSERN_IRT-2010_nova" xfId="1614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1" xr:uid="{00000000-0005-0000-0000-00001B090000}"/>
    <cellStyle name="_PLPT_PLANILHA_CÁLCULO_DÉFICIT_RESOLUÇÃO_294_2007_COELCE_Sem_Gov_Estado_pos_Rev2007_Subsídios para análise da SRE_02 IRT Bandeirante 2009" xfId="4182" xr:uid="{00000000-0005-0000-0000-00001C090000}"/>
    <cellStyle name="_PLPT_PLANILHA_CÁLCULO_DÉFICIT_RESOLUÇÃO_294_2007_COELCE_Sem_Gov_Estado_pos_Rev2007_Subsídios para análise da SRE_1" xfId="4183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2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3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4" xr:uid="{00000000-0005-0000-0000-000025090000}"/>
    <cellStyle name="_PLPT_PLANILHA_CÁLCULO_DÉFICIT_RESOLUÇÃO_294_2007_COELCE_Sem_Gov_Estado_pos_Rev2007_Subsídios para análise da SRE_IRT EEB 2010" xfId="4185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4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6" xr:uid="{00000000-0005-0000-0000-00002B090000}"/>
    <cellStyle name="_PLPT_PLANILHA_CÁLCULO_DÉFICIT_RESOLUÇÃO_294_2007_COELCE_Sem_Gov_Estado_pos_Rev2007_Subsídios para análise da SRE_IRT_EBB_mai2010d" xfId="4187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5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88" xr:uid="{00000000-0005-0000-0000-000031090000}"/>
    <cellStyle name="_PLPT_PLANILHA_CÁLCULO_DÉFICIT_RESOLUÇÃO_294_2007_COELCE_Sem_Gov_Estado_pos_Rev2007_Subsídios para análise da SRE_IRT_Planilha Básica_DIRETORIA" xfId="4189" xr:uid="{00000000-0005-0000-0000-000032090000}"/>
    <cellStyle name="_PLPT_PLANILHA_CÁLCULO_DÉFICIT_RESOLUÇÃO_294_2007_COELCE_Sem_Gov_Estado_pos_Rev2007_Subsídios para análise da SRE_IRT_Planilha Básica_fev2010" xfId="4190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6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7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8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1" xr:uid="{00000000-0005-0000-0000-00003D090000}"/>
    <cellStyle name="_PLPT_PLANILHA_CÁLCULO_DÉFICIT_RESOLUÇÃO_294_2007_COELCE_Sem_Gov_Estado_pos_Rev2007_Subsídios para análise da SRE_IRT_Planilha Básica_fev2010a_IRT EEB 2010" xfId="4192" xr:uid="{00000000-0005-0000-0000-00003E090000}"/>
    <cellStyle name="_PLPT_PLANILHA_CÁLCULO_DÉFICIT_RESOLUÇÃO_294_2007_COELCE_Sem_Gov_Estado_pos_Rev2007_Subsídios para análise da SRE_IRT_Planilha Básica_jan2010" xfId="4193" xr:uid="{00000000-0005-0000-0000-00003F090000}"/>
    <cellStyle name="_PLPT_PLANILHA_CÁLCULO_DÉFICIT_RESOLUÇÃO_294_2007_COELCE_Sem_Gov_Estado_pos_Rev2007_Subsídios para análise da SRE_IRT_Planilha Básica_mar2010b" xfId="4194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89" xr:uid="{00000000-0005-0000-0000-000042090000}"/>
    <cellStyle name="_PLPT_PLANILHA_CÁLCULO_DÉFICIT_RESOLUÇÃO_294_2007_COELCE_Sem_Gov_Estado_pos_Rev2007_Subsídios para análise da SRE_IRT_Planilha Básica_NOVA METODOLOGIA" xfId="4195" xr:uid="{00000000-0005-0000-0000-000043090000}"/>
    <cellStyle name="_PLPT_PLANILHA_CÁLCULO_DÉFICIT_RESOLUÇÃO_294_2007_COELCE_Sem_Gov_Estado_pos_Rev2007_Subsídios para análise da SRE_IRT_Santa 2010" xfId="4196" xr:uid="{00000000-0005-0000-0000-000044090000}"/>
    <cellStyle name="_PLPT_PLANILHA_CÁLCULO_DÉFICIT_RESOLUÇÃO_294_2007_COELCE_Sem_Gov_Estado_pos_Rev2007_Subsídios para análise da SRE_IRT-cálculo" xfId="4197" xr:uid="{00000000-0005-0000-0000-000045090000}"/>
    <cellStyle name="_PLPT_PLANILHA_CÁLCULO_DÉFICIT_RESOLUÇÃO_294_2007_COELCE_Sem_Gov_Estado_pos_Rev2007_Subsídios para análise da SRE_IRT-cálculo CAPA NEUTRALIDADE" xfId="4198" xr:uid="{00000000-0005-0000-0000-000046090000}"/>
    <cellStyle name="_PLPT_PLANILHA_CÁLCULO_DÉFICIT_RESOLUÇÃO_294_2007_COELCE_Sem_Gov_Estado_pos_Rev2007_Subsídios para análise da SRE_Resultados_DEA_RND_QUAL_PERDAS" xfId="4199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0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1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2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0" xr:uid="{00000000-0005-0000-0000-000051090000}"/>
    <cellStyle name="_PLPT_PLANILHA_CÁLCULO_DÉFICIT_RESOLUÇÃO_294_2007_COELCE_Sem_Gov_Estado_pos_Rev2007_Subsídios para análise da SRE_teste ampla_IRT EEB 2010" xfId="4201" xr:uid="{00000000-0005-0000-0000-000052090000}"/>
    <cellStyle name="_PLPT_PLANILHA_CÁLCULO_DÉFICIT_RESOLUÇÃO_294_2007_COELCE_Sem_Gov_Estado_pos_Rev2007_SubsídiosAnáliseSRE_COSERN_IRT-2010" xfId="1615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3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4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5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2" xr:uid="{00000000-0005-0000-0000-00005D090000}"/>
    <cellStyle name="_PLPT_PLANILHA_CÁLCULO_DÉFICIT_RESOLUÇÃO_294_2007_COELCE_Sem_Gov_Estado_pos_Rev2007_teste ampla_IRT EEB 2010" xfId="4203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6" xr:uid="{00000000-0005-0000-0000-000060090000}"/>
    <cellStyle name="_PLPT_PLANILHA_CÁLCULO_DÉFICIT_RESOLUÇÃO_294_2007_COELCE_Sem_Gov_Estado-Ate_Rev2007 3" xfId="4204" xr:uid="{00000000-0005-0000-0000-000061090000}"/>
    <cellStyle name="_PLPT_PLANILHA_CÁLCULO_DÉFICIT_RESOLUÇÃO_294_2007_COELCE_Sem_Gov_Estado-Ate_Rev2007_02 IRT COSERN 2009" xfId="1616" xr:uid="{00000000-0005-0000-0000-000062090000}"/>
    <cellStyle name="_PLPT_PLANILHA_CÁLCULO_DÉFICIT_RESOLUÇÃO_294_2007_COELCE_Sem_Gov_Estado-Ate_Rev2007_2008.08.07 CELPA IRT2008 Homologado" xfId="4205" xr:uid="{00000000-0005-0000-0000-000063090000}"/>
    <cellStyle name="_PLPT_PLANILHA_CÁLCULO_DÉFICIT_RESOLUÇÃO_294_2007_COELCE_Sem_Gov_Estado-Ate_Rev2007_Ajustes REAJUSTE 2008 ELETROPAULO" xfId="4206" xr:uid="{00000000-0005-0000-0000-000064090000}"/>
    <cellStyle name="_PLPT_PLANILHA_CÁLCULO_DÉFICIT_RESOLUÇÃO_294_2007_COELCE_Sem_Gov_Estado-Ate_Rev2007_Ajustes REAJUSTE 2008 ELETROPAULO_IRT-cálculo" xfId="4207" xr:uid="{00000000-0005-0000-0000-000065090000}"/>
    <cellStyle name="_PLPT_PLANILHA_CÁLCULO_DÉFICIT_RESOLUÇÃO_294_2007_COELCE_Sem_Gov_Estado-Ate_Rev2007_Ajustes REAJUSTE 2008 ELETROPAULO_IRT-cálculo CAPA NEUTRALIDADE" xfId="4208" xr:uid="{00000000-0005-0000-0000-000066090000}"/>
    <cellStyle name="_PLPT_PLANILHA_CÁLCULO_DÉFICIT_RESOLUÇÃO_294_2007_COELCE_Sem_Gov_Estado-Ate_Rev2007_Ajustes REVISÃO 2007 ELETROPAULO" xfId="4209" xr:uid="{00000000-0005-0000-0000-000067090000}"/>
    <cellStyle name="_PLPT_PLANILHA_CÁLCULO_DÉFICIT_RESOLUÇÃO_294_2007_COELCE_Sem_Gov_Estado-Ate_Rev2007_Ajustes REVISÃO 2007 ELETROPAULO_IRT-cálculo" xfId="4210" xr:uid="{00000000-0005-0000-0000-000068090000}"/>
    <cellStyle name="_PLPT_PLANILHA_CÁLCULO_DÉFICIT_RESOLUÇÃO_294_2007_COELCE_Sem_Gov_Estado-Ate_Rev2007_Ajustes REVISÃO 2007 ELETROPAULO_IRT-cálculo CAPA NEUTRALIDADE" xfId="4211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7" xr:uid="{00000000-0005-0000-0000-00006B090000}"/>
    <cellStyle name="_PLPT_PLANILHA_CÁLCULO_DÉFICIT_RESOLUÇÃO_294_2007_COELCE_Sem_Gov_Estado-Ate_Rev2007_Calculo_Subsidio_ELFSM_26_06_08_Modelo_ANEEL" xfId="4212" xr:uid="{00000000-0005-0000-0000-00006C090000}"/>
    <cellStyle name="_PLPT_PLANILHA_CÁLCULO_DÉFICIT_RESOLUÇÃO_294_2007_COELCE_Sem_Gov_Estado-Ate_Rev2007_Calculo_Subsidio_ELFSM_26_06_08_Modelo_ANEEL_IRT-cálculo" xfId="4213" xr:uid="{00000000-0005-0000-0000-00006D090000}"/>
    <cellStyle name="_PLPT_PLANILHA_CÁLCULO_DÉFICIT_RESOLUÇÃO_294_2007_COELCE_Sem_Gov_Estado-Ate_Rev2007_Calculo_Subsidio_ELFSM_26_06_08_Modelo_ANEEL_IRT-cálculo CAPA NEUTRALIDADE" xfId="4214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8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5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399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0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1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6" xr:uid="{00000000-0005-0000-0000-00007E090000}"/>
    <cellStyle name="_PLPT_PLANILHA_CÁLCULO_DÉFICIT_RESOLUÇÃO_294_2007_COELCE_Sem_Gov_Estado-Ate_Rev2007_Cópia de IRT_CPFL_LESTE_PAULISTA(CPEE)_fev2009-COM_PREVISÃO_BR_da_Diretoria_pos_IGPM_IRT EEB 2010" xfId="4217" xr:uid="{00000000-0005-0000-0000-00007F090000}"/>
    <cellStyle name="_PLPT_PLANILHA_CÁLCULO_DÉFICIT_RESOLUÇÃO_294_2007_COELCE_Sem_Gov_Estado-Ate_Rev2007_Exposição" xfId="4218" xr:uid="{00000000-0005-0000-0000-000080090000}"/>
    <cellStyle name="_PLPT_PLANILHA_CÁLCULO_DÉFICIT_RESOLUÇÃO_294_2007_COELCE_Sem_Gov_Estado-Ate_Rev2007_Exposição 2008" xfId="4219" xr:uid="{00000000-0005-0000-0000-000081090000}"/>
    <cellStyle name="_PLPT_PLANILHA_CÁLCULO_DÉFICIT_RESOLUÇÃO_294_2007_COELCE_Sem_Gov_Estado-Ate_Rev2007_Exposição_Agosto 1" xfId="4220" xr:uid="{00000000-0005-0000-0000-000082090000}"/>
    <cellStyle name="_PLPT_PLANILHA_CÁLCULO_DÉFICIT_RESOLUÇÃO_294_2007_COELCE_Sem_Gov_Estado-Ate_Rev2007_IRT" xfId="4221" xr:uid="{00000000-0005-0000-0000-000083090000}"/>
    <cellStyle name="_PLPT_PLANILHA_CÁLCULO_DÉFICIT_RESOLUÇÃO_294_2007_COELCE_Sem_Gov_Estado-Ate_Rev2007_IRT EEB 2010" xfId="4222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2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3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3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4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5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4" xr:uid="{00000000-0005-0000-0000-000093090000}"/>
    <cellStyle name="_PLPT_PLANILHA_CÁLCULO_DÉFICIT_RESOLUÇÃO_294_2007_COELCE_Sem_Gov_Estado-Ate_Rev2007_IRT Reloaded_IRT EEB 2010" xfId="4225" xr:uid="{00000000-0005-0000-0000-000094090000}"/>
    <cellStyle name="_PLPT_PLANILHA_CÁLCULO_DÉFICIT_RESOLUÇÃO_294_2007_COELCE_Sem_Gov_Estado-Ate_Rev2007_IRT_1" xfId="1617" xr:uid="{00000000-0005-0000-0000-000095090000}"/>
    <cellStyle name="_PLPT_PLANILHA_CÁLCULO_DÉFICIT_RESOLUÇÃO_294_2007_COELCE_Sem_Gov_Estado-Ate_Rev2007_IRT_1 2" xfId="4226" xr:uid="{00000000-0005-0000-0000-000096090000}"/>
    <cellStyle name="_PLPT_PLANILHA_CÁLCULO_DÉFICIT_RESOLUÇÃO_294_2007_COELCE_Sem_Gov_Estado-Ate_Rev2007_IRT_1_IRT-cálculo" xfId="4227" xr:uid="{00000000-0005-0000-0000-000097090000}"/>
    <cellStyle name="_PLPT_PLANILHA_CÁLCULO_DÉFICIT_RESOLUÇÃO_294_2007_COELCE_Sem_Gov_Estado-Ate_Rev2007_IRT_1_IRT-cálculo CAPA NEUTRALIDADE" xfId="4228" xr:uid="{00000000-0005-0000-0000-000098090000}"/>
    <cellStyle name="_PLPT_PLANILHA_CÁLCULO_DÉFICIT_RESOLUÇÃO_294_2007_COELCE_Sem_Gov_Estado-Ate_Rev2007_IRT_1_SOBRECONTRATAÇÃO E CVA" xfId="4229" xr:uid="{00000000-0005-0000-0000-000099090000}"/>
    <cellStyle name="_PLPT_PLANILHA_CÁLCULO_DÉFICIT_RESOLUÇÃO_294_2007_COELCE_Sem_Gov_Estado-Ate_Rev2007_IRT_Bragantina_maio_2009" xfId="4230" xr:uid="{00000000-0005-0000-0000-00009A090000}"/>
    <cellStyle name="_PLPT_PLANILHA_CÁLCULO_DÉFICIT_RESOLUÇÃO_294_2007_COELCE_Sem_Gov_Estado-Ate_Rev2007_IRT_CEMAT_2009" xfId="4231" xr:uid="{00000000-0005-0000-0000-00009B090000}"/>
    <cellStyle name="_PLPT_PLANILHA_CÁLCULO_DÉFICIT_RESOLUÇÃO_294_2007_COELCE_Sem_Gov_Estado-Ate_Rev2007_IRT_COELCE_abr2008" xfId="1618" xr:uid="{00000000-0005-0000-0000-00009C090000}"/>
    <cellStyle name="_PLPT_PLANILHA_CÁLCULO_DÉFICIT_RESOLUÇÃO_294_2007_COELCE_Sem_Gov_Estado-Ate_Rev2007_IRT_COELCE_abr2008 2" xfId="4232" xr:uid="{00000000-0005-0000-0000-00009D090000}"/>
    <cellStyle name="_PLPT_PLANILHA_CÁLCULO_DÉFICIT_RESOLUÇÃO_294_2007_COELCE_Sem_Gov_Estado-Ate_Rev2007_IRT_COELCE_abr2008_COELCE - RTO 2011 - PLPT_PLANILHA_CÁLCULO_DÉFICIT" xfId="4233" xr:uid="{00000000-0005-0000-0000-00009E090000}"/>
    <cellStyle name="_PLPT_PLANILHA_CÁLCULO_DÉFICIT_RESOLUÇÃO_294_2007_COELCE_Sem_Gov_Estado-Ate_Rev2007_IRT_EBB_mai2010d" xfId="4234" xr:uid="{00000000-0005-0000-0000-00009F090000}"/>
    <cellStyle name="_PLPT_PLANILHA_CÁLCULO_DÉFICIT_RESOLUÇÃO_294_2007_COELCE_Sem_Gov_Estado-Ate_Rev2007_IRT_ENERGISA_SE_abr2009" xfId="4235" xr:uid="{00000000-0005-0000-0000-0000A0090000}"/>
    <cellStyle name="_PLPT_PLANILHA_CÁLCULO_DÉFICIT_RESOLUÇÃO_294_2007_COELCE_Sem_Gov_Estado-Ate_Rev2007_IRT_ENF" xfId="4236" xr:uid="{00000000-0005-0000-0000-0000A1090000}"/>
    <cellStyle name="_PLPT_PLANILHA_CÁLCULO_DÉFICIT_RESOLUÇÃO_294_2007_COELCE_Sem_Gov_Estado-Ate_Rev2007_IRT_Escelsa" xfId="4237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6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38" xr:uid="{00000000-0005-0000-0000-0000A7090000}"/>
    <cellStyle name="_PLPT_PLANILHA_CÁLCULO_DÉFICIT_RESOLUÇÃO_294_2007_COELCE_Sem_Gov_Estado-Ate_Rev2007_IRT_Planilha Básica_30jun2009" xfId="4239" xr:uid="{00000000-0005-0000-0000-0000A8090000}"/>
    <cellStyle name="_PLPT_PLANILHA_CÁLCULO_DÉFICIT_RESOLUÇÃO_294_2007_COELCE_Sem_Gov_Estado-Ate_Rev2007_IRT_Planilha Básica_DIRETORIA" xfId="4240" xr:uid="{00000000-0005-0000-0000-0000A9090000}"/>
    <cellStyle name="_PLPT_PLANILHA_CÁLCULO_DÉFICIT_RESOLUÇÃO_294_2007_COELCE_Sem_Gov_Estado-Ate_Rev2007_IRT_Planilha Básica_fev2010" xfId="4241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7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8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09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2" xr:uid="{00000000-0005-0000-0000-0000B4090000}"/>
    <cellStyle name="_PLPT_PLANILHA_CÁLCULO_DÉFICIT_RESOLUÇÃO_294_2007_COELCE_Sem_Gov_Estado-Ate_Rev2007_IRT_Planilha Básica_fev2010a_IRT EEB 2010" xfId="4243" xr:uid="{00000000-0005-0000-0000-0000B5090000}"/>
    <cellStyle name="_PLPT_PLANILHA_CÁLCULO_DÉFICIT_RESOLUÇÃO_294_2007_COELCE_Sem_Gov_Estado-Ate_Rev2007_IRT_Planilha Básica_jun2009" xfId="4244" xr:uid="{00000000-0005-0000-0000-0000B6090000}"/>
    <cellStyle name="_PLPT_PLANILHA_CÁLCULO_DÉFICIT_RESOLUÇÃO_294_2007_COELCE_Sem_Gov_Estado-Ate_Rev2007_IRT_Planilha Básica_mar2010b" xfId="4245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0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1" xr:uid="{00000000-0005-0000-0000-0000BB090000}"/>
    <cellStyle name="_PLPT_PLANILHA_CÁLCULO_DÉFICIT_RESOLUÇÃO_294_2007_COELCE_Sem_Gov_Estado-Ate_Rev2007_IRT_Planilha Básica_março2009_02 IRT Bandeirante 2009" xfId="4246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2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3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7" xr:uid="{00000000-0005-0000-0000-0000C4090000}"/>
    <cellStyle name="_PLPT_PLANILHA_CÁLCULO_DÉFICIT_RESOLUÇÃO_294_2007_COELCE_Sem_Gov_Estado-Ate_Rev2007_IRT_Planilha Básica_março2009_COELCE  ICMS Não Compensado RTO 2012 281211" xfId="4248" xr:uid="{00000000-0005-0000-0000-0000C5090000}"/>
    <cellStyle name="_PLPT_PLANILHA_CÁLCULO_DÉFICIT_RESOLUÇÃO_294_2007_COELCE_Sem_Gov_Estado-Ate_Rev2007_IRT_Planilha Básica_março2009_COELCE - RTO 2011 - PLPT_PLANILHA_CÁLCULO_DÉFICIT" xfId="4249" xr:uid="{00000000-0005-0000-0000-0000C6090000}"/>
    <cellStyle name="_PLPT_PLANILHA_CÁLCULO_DÉFICIT_RESOLUÇÃO_294_2007_COELCE_Sem_Gov_Estado-Ate_Rev2007_IRT_Planilha Básica_março2009_IRT EEB 2010" xfId="4250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4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1" xr:uid="{00000000-0005-0000-0000-0000CC090000}"/>
    <cellStyle name="_PLPT_PLANILHA_CÁLCULO_DÉFICIT_RESOLUÇÃO_294_2007_COELCE_Sem_Gov_Estado-Ate_Rev2007_IRT_Planilha Básica_março2009_IRT_EBB_mai2010d" xfId="4252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5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3" xr:uid="{00000000-0005-0000-0000-0000D2090000}"/>
    <cellStyle name="_PLPT_PLANILHA_CÁLCULO_DÉFICIT_RESOLUÇÃO_294_2007_COELCE_Sem_Gov_Estado-Ate_Rev2007_IRT_Planilha Básica_março2009_IRT_Planilha Básica_DIRETORIA" xfId="4254" xr:uid="{00000000-0005-0000-0000-0000D3090000}"/>
    <cellStyle name="_PLPT_PLANILHA_CÁLCULO_DÉFICIT_RESOLUÇÃO_294_2007_COELCE_Sem_Gov_Estado-Ate_Rev2007_IRT_Planilha Básica_março2009_IRT_Planilha Básica_fev2010" xfId="4255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6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7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8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6" xr:uid="{00000000-0005-0000-0000-0000DE090000}"/>
    <cellStyle name="_PLPT_PLANILHA_CÁLCULO_DÉFICIT_RESOLUÇÃO_294_2007_COELCE_Sem_Gov_Estado-Ate_Rev2007_IRT_Planilha Básica_março2009_IRT_Planilha Básica_fev2010a_IRT EEB 2010" xfId="4257" xr:uid="{00000000-0005-0000-0000-0000DF090000}"/>
    <cellStyle name="_PLPT_PLANILHA_CÁLCULO_DÉFICIT_RESOLUÇÃO_294_2007_COELCE_Sem_Gov_Estado-Ate_Rev2007_IRT_Planilha Básica_março2009_IRT_Planilha Básica_jan2010" xfId="4258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19" xr:uid="{00000000-0005-0000-0000-0000E2090000}"/>
    <cellStyle name="_PLPT_PLANILHA_CÁLCULO_DÉFICIT_RESOLUÇÃO_294_2007_COELCE_Sem_Gov_Estado-Ate_Rev2007_IRT_Planilha Básica_março2009_IRT_Planilha Básica_NOVA METODOLOGIA" xfId="4259" xr:uid="{00000000-0005-0000-0000-0000E3090000}"/>
    <cellStyle name="_PLPT_PLANILHA_CÁLCULO_DÉFICIT_RESOLUÇÃO_294_2007_COELCE_Sem_Gov_Estado-Ate_Rev2007_IRT_Planilha Básica_março2009_IRT_Santa 2010" xfId="4260" xr:uid="{00000000-0005-0000-0000-0000E4090000}"/>
    <cellStyle name="_PLPT_PLANILHA_CÁLCULO_DÉFICIT_RESOLUÇÃO_294_2007_COELCE_Sem_Gov_Estado-Ate_Rev2007_IRT_Planilha Básica_março2009_Resultados_DEA_RND_QUAL_PERDAS" xfId="4261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2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0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1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2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3" xr:uid="{00000000-0005-0000-0000-0000F0090000}"/>
    <cellStyle name="_PLPT_PLANILHA_CÁLCULO_DÉFICIT_RESOLUÇÃO_294_2007_COELCE_Sem_Gov_Estado-Ate_Rev2007_IRT_Planilha Básica_março2009_teste ampla_IRT EEB 2010" xfId="4264" xr:uid="{00000000-0005-0000-0000-0000F1090000}"/>
    <cellStyle name="_PLPT_PLANILHA_CÁLCULO_DÉFICIT_RESOLUÇÃO_294_2007_COELCE_Sem_Gov_Estado-Ate_Rev2007_IRT_Planilha Básica_NOVA METODOLOGIA" xfId="4265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3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4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5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6" xr:uid="{00000000-0005-0000-0000-0000FC090000}"/>
    <cellStyle name="_PLPT_PLANILHA_CÁLCULO_DÉFICIT_RESOLUÇÃO_294_2007_COELCE_Sem_Gov_Estado-Ate_Rev2007_IRT_Planilha Básica_out2009_IRT EEB 2010" xfId="4267" xr:uid="{00000000-0005-0000-0000-0000FD090000}"/>
    <cellStyle name="_PLPT_PLANILHA_CÁLCULO_DÉFICIT_RESOLUÇÃO_294_2007_COELCE_Sem_Gov_Estado-Ate_Rev2007_IRT_Pleito" xfId="4268" xr:uid="{00000000-0005-0000-0000-0000FE090000}"/>
    <cellStyle name="_PLPT_PLANILHA_CÁLCULO_DÉFICIT_RESOLUÇÃO_294_2007_COELCE_Sem_Gov_Estado-Ate_Rev2007_IRT_Pleito_IRT-cálculo" xfId="4269" xr:uid="{00000000-0005-0000-0000-0000FF090000}"/>
    <cellStyle name="_PLPT_PLANILHA_CÁLCULO_DÉFICIT_RESOLUÇÃO_294_2007_COELCE_Sem_Gov_Estado-Ate_Rev2007_IRT_Pleito_IRT-cálculo CAPA NEUTRALIDADE" xfId="4270" xr:uid="{00000000-0005-0000-0000-0000000A0000}"/>
    <cellStyle name="_PLPT_PLANILHA_CÁLCULO_DÉFICIT_RESOLUÇÃO_294_2007_COELCE_Sem_Gov_Estado-Ate_Rev2007_IRT_Revisão A-1" xfId="4271" xr:uid="{00000000-0005-0000-0000-0000010A0000}"/>
    <cellStyle name="_PLPT_PLANILHA_CÁLCULO_DÉFICIT_RESOLUÇÃO_294_2007_COELCE_Sem_Gov_Estado-Ate_Rev2007_IRT_Revisão A-1_IRT-cálculo" xfId="4272" xr:uid="{00000000-0005-0000-0000-0000020A0000}"/>
    <cellStyle name="_PLPT_PLANILHA_CÁLCULO_DÉFICIT_RESOLUÇÃO_294_2007_COELCE_Sem_Gov_Estado-Ate_Rev2007_IRT_Revisão A-1_IRT-cálculo CAPA NEUTRALIDADE" xfId="4273" xr:uid="{00000000-0005-0000-0000-0000030A0000}"/>
    <cellStyle name="_PLPT_PLANILHA_CÁLCULO_DÉFICIT_RESOLUÇÃO_294_2007_COELCE_Sem_Gov_Estado-Ate_Rev2007_IRT_SantaCruzpós IGPM" xfId="4274" xr:uid="{00000000-0005-0000-0000-0000040A0000}"/>
    <cellStyle name="_PLPT_PLANILHA_CÁLCULO_DÉFICIT_RESOLUÇÃO_294_2007_COELCE_Sem_Gov_Estado-Ate_Rev2007_IRT1" xfId="4275" xr:uid="{00000000-0005-0000-0000-0000050A0000}"/>
    <cellStyle name="_PLPT_PLANILHA_CÁLCULO_DÉFICIT_RESOLUÇÃO_294_2007_COELCE_Sem_Gov_Estado-Ate_Rev2007_IRT1_IRT-cálculo" xfId="4276" xr:uid="{00000000-0005-0000-0000-0000060A0000}"/>
    <cellStyle name="_PLPT_PLANILHA_CÁLCULO_DÉFICIT_RESOLUÇÃO_294_2007_COELCE_Sem_Gov_Estado-Ate_Rev2007_IRT1_IRT-cálculo CAPA NEUTRALIDADE" xfId="4277" xr:uid="{00000000-0005-0000-0000-0000070A0000}"/>
    <cellStyle name="_PLPT_PLANILHA_CÁLCULO_DÉFICIT_RESOLUÇÃO_294_2007_COELCE_Sem_Gov_Estado-Ate_Rev2007_IRT-2010_COPEL_SOBRECONTRATAÇÃOeCVAenergia" xfId="1619" xr:uid="{00000000-0005-0000-0000-0000080A0000}"/>
    <cellStyle name="_PLPT_PLANILHA_CÁLCULO_DÉFICIT_RESOLUÇÃO_294_2007_COELCE_Sem_Gov_Estado-Ate_Rev2007_IRT-cálculo" xfId="4278" xr:uid="{00000000-0005-0000-0000-0000090A0000}"/>
    <cellStyle name="_PLPT_PLANILHA_CÁLCULO_DÉFICIT_RESOLUÇÃO_294_2007_COELCE_Sem_Gov_Estado-Ate_Rev2007_IRT-cálculo CAPA NEUTRALIDADE" xfId="4279" xr:uid="{00000000-0005-0000-0000-00000A0A0000}"/>
    <cellStyle name="_PLPT_PLANILHA_CÁLCULO_DÉFICIT_RESOLUÇÃO_294_2007_COELCE_Sem_Gov_Estado-Ate_Rev2007_Pasta1" xfId="1620" xr:uid="{00000000-0005-0000-0000-00000B0A0000}"/>
    <cellStyle name="_PLPT_PLANILHA_CÁLCULO_DÉFICIT_RESOLUÇÃO_294_2007_COELCE_Sem_Gov_Estado-Ate_Rev2007_Pasta1 2" xfId="4280" xr:uid="{00000000-0005-0000-0000-00000C0A0000}"/>
    <cellStyle name="_PLPT_PLANILHA_CÁLCULO_DÉFICIT_RESOLUÇÃO_294_2007_COELCE_Sem_Gov_Estado-Ate_Rev2007_Pasta1_IRT-cálculo" xfId="4281" xr:uid="{00000000-0005-0000-0000-00000D0A0000}"/>
    <cellStyle name="_PLPT_PLANILHA_CÁLCULO_DÉFICIT_RESOLUÇÃO_294_2007_COELCE_Sem_Gov_Estado-Ate_Rev2007_Pasta1_IRT-cálculo CAPA NEUTRALIDADE" xfId="4282" xr:uid="{00000000-0005-0000-0000-00000E0A0000}"/>
    <cellStyle name="_PLPT_PLANILHA_CÁLCULO_DÉFICIT_RESOLUÇÃO_294_2007_COELCE_Sem_Gov_Estado-Ate_Rev2007_Pasta1_SOBRECONTRATAÇÃO E CVA" xfId="4283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6" xr:uid="{00000000-0005-0000-0000-0000110A0000}"/>
    <cellStyle name="_PLPT_PLANILHA_CÁLCULO_DÉFICIT_RESOLUÇÃO_294_2007_COELCE_Sem_Gov_Estado-Ate_Rev2007_Pasta2_02 IRT Bandeirante 2009" xfId="4284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7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8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5" xr:uid="{00000000-0005-0000-0000-00001A0A0000}"/>
    <cellStyle name="_PLPT_PLANILHA_CÁLCULO_DÉFICIT_RESOLUÇÃO_294_2007_COELCE_Sem_Gov_Estado-Ate_Rev2007_Pasta2_IRT EEB 2010" xfId="4286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29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7" xr:uid="{00000000-0005-0000-0000-0000200A0000}"/>
    <cellStyle name="_PLPT_PLANILHA_CÁLCULO_DÉFICIT_RESOLUÇÃO_294_2007_COELCE_Sem_Gov_Estado-Ate_Rev2007_Pasta2_IRT_EBB_mai2010d" xfId="4288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0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89" xr:uid="{00000000-0005-0000-0000-0000260A0000}"/>
    <cellStyle name="_PLPT_PLANILHA_CÁLCULO_DÉFICIT_RESOLUÇÃO_294_2007_COELCE_Sem_Gov_Estado-Ate_Rev2007_Pasta2_IRT_Planilha Básica_DIRETORIA" xfId="4290" xr:uid="{00000000-0005-0000-0000-0000270A0000}"/>
    <cellStyle name="_PLPT_PLANILHA_CÁLCULO_DÉFICIT_RESOLUÇÃO_294_2007_COELCE_Sem_Gov_Estado-Ate_Rev2007_Pasta2_IRT_Planilha Básica_fev2010" xfId="4291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1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2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3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2" xr:uid="{00000000-0005-0000-0000-0000320A0000}"/>
    <cellStyle name="_PLPT_PLANILHA_CÁLCULO_DÉFICIT_RESOLUÇÃO_294_2007_COELCE_Sem_Gov_Estado-Ate_Rev2007_Pasta2_IRT_Planilha Básica_fev2010a_IRT EEB 2010" xfId="4293" xr:uid="{00000000-0005-0000-0000-0000330A0000}"/>
    <cellStyle name="_PLPT_PLANILHA_CÁLCULO_DÉFICIT_RESOLUÇÃO_294_2007_COELCE_Sem_Gov_Estado-Ate_Rev2007_Pasta2_IRT_Planilha Básica_jan2010" xfId="4294" xr:uid="{00000000-0005-0000-0000-0000340A0000}"/>
    <cellStyle name="_PLPT_PLANILHA_CÁLCULO_DÉFICIT_RESOLUÇÃO_294_2007_COELCE_Sem_Gov_Estado-Ate_Rev2007_Pasta2_IRT_Planilha Básica_mar2010b" xfId="4295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4" xr:uid="{00000000-0005-0000-0000-0000370A0000}"/>
    <cellStyle name="_PLPT_PLANILHA_CÁLCULO_DÉFICIT_RESOLUÇÃO_294_2007_COELCE_Sem_Gov_Estado-Ate_Rev2007_Pasta2_IRT_Planilha Básica_NOVA METODOLOGIA" xfId="4296" xr:uid="{00000000-0005-0000-0000-0000380A0000}"/>
    <cellStyle name="_PLPT_PLANILHA_CÁLCULO_DÉFICIT_RESOLUÇÃO_294_2007_COELCE_Sem_Gov_Estado-Ate_Rev2007_Pasta2_IRT_Santa 2010" xfId="4297" xr:uid="{00000000-0005-0000-0000-0000390A0000}"/>
    <cellStyle name="_PLPT_PLANILHA_CÁLCULO_DÉFICIT_RESOLUÇÃO_294_2007_COELCE_Sem_Gov_Estado-Ate_Rev2007_Pasta2_IRT-cálculo" xfId="4298" xr:uid="{00000000-0005-0000-0000-00003A0A0000}"/>
    <cellStyle name="_PLPT_PLANILHA_CÁLCULO_DÉFICIT_RESOLUÇÃO_294_2007_COELCE_Sem_Gov_Estado-Ate_Rev2007_Pasta2_IRT-cálculo CAPA NEUTRALIDADE" xfId="4299" xr:uid="{00000000-0005-0000-0000-00003B0A0000}"/>
    <cellStyle name="_PLPT_PLANILHA_CÁLCULO_DÉFICIT_RESOLUÇÃO_294_2007_COELCE_Sem_Gov_Estado-Ate_Rev2007_Pasta2_Resultados_DEA_RND_QUAL_PERDAS" xfId="4300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5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6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7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1" xr:uid="{00000000-0005-0000-0000-0000460A0000}"/>
    <cellStyle name="_PLPT_PLANILHA_CÁLCULO_DÉFICIT_RESOLUÇÃO_294_2007_COELCE_Sem_Gov_Estado-Ate_Rev2007_Pasta2_teste ampla_IRT EEB 2010" xfId="4302" xr:uid="{00000000-0005-0000-0000-0000470A0000}"/>
    <cellStyle name="_PLPT_PLANILHA_CÁLCULO_DÉFICIT_RESOLUÇÃO_294_2007_COELCE_Sem_Gov_Estado-Ate_Rev2007_Pleito_IRT_ESE_2010_Envio_ANEEL_Final_atualizado_05_04" xfId="4303" xr:uid="{00000000-0005-0000-0000-0000480A0000}"/>
    <cellStyle name="_PLPT_PLANILHA_CÁLCULO_DÉFICIT_RESOLUÇÃO_294_2007_COELCE_Sem_Gov_Estado-Ate_Rev2007_Resultados_DEA_RND_QUAL_PERDAS" xfId="4304" xr:uid="{00000000-0005-0000-0000-0000490A0000}"/>
    <cellStyle name="_PLPT_PLANILHA_CÁLCULO_DÉFICIT_RESOLUÇÃO_294_2007_COELCE_Sem_Gov_Estado-Ate_Rev2007_SOBRECONTRATAÇÃO E CVA Energisa Paraíba" xfId="4305" xr:uid="{00000000-0005-0000-0000-00004A0A0000}"/>
    <cellStyle name="_PLPT_PLANILHA_CÁLCULO_DÉFICIT_RESOLUÇÃO_294_2007_COELCE_Sem_Gov_Estado-Ate_Rev2007_SOBRECONTRATAÇÃO EPB 2010" xfId="4306" xr:uid="{00000000-0005-0000-0000-00004B0A0000}"/>
    <cellStyle name="_PLPT_PLANILHA_CÁLCULO_DÉFICIT_RESOLUÇÃO_294_2007_COELCE_Sem_Gov_Estado-Ate_Rev2007_Sobrecontratação_e_CVA_Energia" xfId="4307" xr:uid="{00000000-0005-0000-0000-00004C0A0000}"/>
    <cellStyle name="_PLPT_PLANILHA_CÁLCULO_DÉFICIT_RESOLUÇÃO_294_2007_COELCE_Sem_Gov_Estado-Ate_Rev2007_Sobrecontratação-CVAenergia_COSERN_IRT-2010_nova" xfId="1621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8" xr:uid="{00000000-0005-0000-0000-00004F0A0000}"/>
    <cellStyle name="_PLPT_PLANILHA_CÁLCULO_DÉFICIT_RESOLUÇÃO_294_2007_COELCE_Sem_Gov_Estado-Ate_Rev2007_Subsídios para análise da SRE_02 IRT Bandeirante 2009" xfId="4308" xr:uid="{00000000-0005-0000-0000-0000500A0000}"/>
    <cellStyle name="_PLPT_PLANILHA_CÁLCULO_DÉFICIT_RESOLUÇÃO_294_2007_COELCE_Sem_Gov_Estado-Ate_Rev2007_Subsídios para análise da SRE_1" xfId="4309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39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0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0" xr:uid="{00000000-0005-0000-0000-0000590A0000}"/>
    <cellStyle name="_PLPT_PLANILHA_CÁLCULO_DÉFICIT_RESOLUÇÃO_294_2007_COELCE_Sem_Gov_Estado-Ate_Rev2007_Subsídios para análise da SRE_IRT EEB 2010" xfId="4311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1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2" xr:uid="{00000000-0005-0000-0000-00005F0A0000}"/>
    <cellStyle name="_PLPT_PLANILHA_CÁLCULO_DÉFICIT_RESOLUÇÃO_294_2007_COELCE_Sem_Gov_Estado-Ate_Rev2007_Subsídios para análise da SRE_IRT_EBB_mai2010d" xfId="4313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2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4" xr:uid="{00000000-0005-0000-0000-0000650A0000}"/>
    <cellStyle name="_PLPT_PLANILHA_CÁLCULO_DÉFICIT_RESOLUÇÃO_294_2007_COELCE_Sem_Gov_Estado-Ate_Rev2007_Subsídios para análise da SRE_IRT_Planilha Básica_DIRETORIA" xfId="4315" xr:uid="{00000000-0005-0000-0000-0000660A0000}"/>
    <cellStyle name="_PLPT_PLANILHA_CÁLCULO_DÉFICIT_RESOLUÇÃO_294_2007_COELCE_Sem_Gov_Estado-Ate_Rev2007_Subsídios para análise da SRE_IRT_Planilha Básica_fev2010" xfId="4316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3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4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5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7" xr:uid="{00000000-0005-0000-0000-0000710A0000}"/>
    <cellStyle name="_PLPT_PLANILHA_CÁLCULO_DÉFICIT_RESOLUÇÃO_294_2007_COELCE_Sem_Gov_Estado-Ate_Rev2007_Subsídios para análise da SRE_IRT_Planilha Básica_fev2010a_IRT EEB 2010" xfId="4318" xr:uid="{00000000-0005-0000-0000-0000720A0000}"/>
    <cellStyle name="_PLPT_PLANILHA_CÁLCULO_DÉFICIT_RESOLUÇÃO_294_2007_COELCE_Sem_Gov_Estado-Ate_Rev2007_Subsídios para análise da SRE_IRT_Planilha Básica_jan2010" xfId="4319" xr:uid="{00000000-0005-0000-0000-0000730A0000}"/>
    <cellStyle name="_PLPT_PLANILHA_CÁLCULO_DÉFICIT_RESOLUÇÃO_294_2007_COELCE_Sem_Gov_Estado-Ate_Rev2007_Subsídios para análise da SRE_IRT_Planilha Básica_mar2010b" xfId="4320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6" xr:uid="{00000000-0005-0000-0000-0000760A0000}"/>
    <cellStyle name="_PLPT_PLANILHA_CÁLCULO_DÉFICIT_RESOLUÇÃO_294_2007_COELCE_Sem_Gov_Estado-Ate_Rev2007_Subsídios para análise da SRE_IRT_Planilha Básica_NOVA METODOLOGIA" xfId="4321" xr:uid="{00000000-0005-0000-0000-0000770A0000}"/>
    <cellStyle name="_PLPT_PLANILHA_CÁLCULO_DÉFICIT_RESOLUÇÃO_294_2007_COELCE_Sem_Gov_Estado-Ate_Rev2007_Subsídios para análise da SRE_IRT_Santa 2010" xfId="4322" xr:uid="{00000000-0005-0000-0000-0000780A0000}"/>
    <cellStyle name="_PLPT_PLANILHA_CÁLCULO_DÉFICIT_RESOLUÇÃO_294_2007_COELCE_Sem_Gov_Estado-Ate_Rev2007_Subsídios para análise da SRE_IRT-cálculo" xfId="4323" xr:uid="{00000000-0005-0000-0000-0000790A0000}"/>
    <cellStyle name="_PLPT_PLANILHA_CÁLCULO_DÉFICIT_RESOLUÇÃO_294_2007_COELCE_Sem_Gov_Estado-Ate_Rev2007_Subsídios para análise da SRE_IRT-cálculo CAPA NEUTRALIDADE" xfId="4324" xr:uid="{00000000-0005-0000-0000-00007A0A0000}"/>
    <cellStyle name="_PLPT_PLANILHA_CÁLCULO_DÉFICIT_RESOLUÇÃO_294_2007_COELCE_Sem_Gov_Estado-Ate_Rev2007_Subsídios para análise da SRE_Resultados_DEA_RND_QUAL_PERDAS" xfId="4325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7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8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49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6" xr:uid="{00000000-0005-0000-0000-0000850A0000}"/>
    <cellStyle name="_PLPT_PLANILHA_CÁLCULO_DÉFICIT_RESOLUÇÃO_294_2007_COELCE_Sem_Gov_Estado-Ate_Rev2007_Subsídios para análise da SRE_teste ampla_IRT EEB 2010" xfId="4327" xr:uid="{00000000-0005-0000-0000-0000860A0000}"/>
    <cellStyle name="_PLPT_PLANILHA_CÁLCULO_DÉFICIT_RESOLUÇÃO_294_2007_COELCE_Sem_Gov_Estado-Ate_Rev2007_SubsídiosAnáliseSRE_COSERN_IRT-2010" xfId="1622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0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1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2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28" xr:uid="{00000000-0005-0000-0000-0000910A0000}"/>
    <cellStyle name="_PLPT_PLANILHA_CÁLCULO_DÉFICIT_RESOLUÇÃO_294_2007_COELCE_Sem_Gov_Estado-Ate_Rev2007_teste ampla_IRT EEB 2010" xfId="4329" xr:uid="{00000000-0005-0000-0000-0000920A0000}"/>
    <cellStyle name="_PLPT_PLANILHA_CÁLCULO_DÉFICIT_RESOLUÇÃO_294_2007_V2" xfId="4330" xr:uid="{00000000-0005-0000-0000-0000930A0000}"/>
    <cellStyle name="_PLPT_PLANILHA_CÁLCULO_DÉFICIT_RESOLUÇÃO_294_2007_V3" xfId="4331" xr:uid="{00000000-0005-0000-0000-0000940A0000}"/>
    <cellStyle name="_PLPT_PLANILHA_CÁLCULO_DÉFICIT_RESOLUÇÃO_294_2007_V3_IRT CEEE 2009" xfId="4332" xr:uid="{00000000-0005-0000-0000-0000950A0000}"/>
    <cellStyle name="_PLPT_Res294_v3_COSERN_IRT-2010" xfId="1623" xr:uid="{00000000-0005-0000-0000-0000960A0000}"/>
    <cellStyle name="_PLPT_RES294_V4_IRT2010_ELEKTRO" xfId="1624" xr:uid="{00000000-0005-0000-0000-0000970A0000}"/>
    <cellStyle name="_Projeção Refrescos Guararapes" xfId="4333" xr:uid="{00000000-0005-0000-0000-0000980A0000}"/>
    <cellStyle name="_PRTP_ EBO vFINAL" xfId="4334" xr:uid="{00000000-0005-0000-0000-0000990A0000}"/>
    <cellStyle name="_PRTP_Santa Cruz-AP2" xfId="4335" xr:uid="{00000000-0005-0000-0000-00009A0A0000}"/>
    <cellStyle name="_PRTP_Santa Cruz-Final" xfId="4336" xr:uid="{00000000-0005-0000-0000-00009B0A0000}"/>
    <cellStyle name="_PRTP_v5-COELCE-HOM" xfId="4337" xr:uid="{00000000-0005-0000-0000-00009C0A0000}"/>
    <cellStyle name="_PRTP_v5-COELCE-HOM_Abertura Tarifária CEB RTP 2008" xfId="4338" xr:uid="{00000000-0005-0000-0000-00009D0A0000}"/>
    <cellStyle name="_PRTP_v5-COELCE-HOM_Cópia de Cópia de SIMULAÇÃO ESTRUTURAv103 - REAJUSTE - teste ELETROPAULO 2008-C51" xfId="4339" xr:uid="{00000000-0005-0000-0000-00009E0A0000}"/>
    <cellStyle name="_PRTP_v5-COELCE-HOM_IRT-cálculo" xfId="4340" xr:uid="{00000000-0005-0000-0000-00009F0A0000}"/>
    <cellStyle name="_PRTP_v5-COELCE-HOM_IRT-cálculo CAPA NEUTRALIDADE" xfId="4341" xr:uid="{00000000-0005-0000-0000-0000A00A0000}"/>
    <cellStyle name="_PRTP_v5-COELCE-HOM_NOVA PLANIILHA - REAJUSTE-5" xfId="4342" xr:uid="{00000000-0005-0000-0000-0000A10A0000}"/>
    <cellStyle name="_PRTP_v5-COELCE-HOM_NOVA PLANIILHA - REVISÃO 3" xfId="4343" xr:uid="{00000000-0005-0000-0000-0000A20A0000}"/>
    <cellStyle name="_PRTP_v5-COELCE-HOM_NOVA PLANIILHA - REVISÃO 4" xfId="4344" xr:uid="{00000000-0005-0000-0000-0000A30A0000}"/>
    <cellStyle name="_PRTP_v5-COELCE-HOM_NOVA PLANILHA REVISÃO 1" xfId="4345" xr:uid="{00000000-0005-0000-0000-0000A40A0000}"/>
    <cellStyle name="_PRTP_v5-COELCE-HOM_SIMULAÇÃO ESTRUTURAv103 - REAJUSTE - teste ELETROPAULO 2008-C33" xfId="4346" xr:uid="{00000000-0005-0000-0000-0000A50A0000}"/>
    <cellStyle name="_PRTP_v6-xxxxx" xfId="4347" xr:uid="{00000000-0005-0000-0000-0000A60A0000}"/>
    <cellStyle name="_PRTP_vPUBLICAÇÃO_FINAL_-_CEMAT" xfId="4348" xr:uid="{00000000-0005-0000-0000-0000A70A0000}"/>
    <cellStyle name="_QUADRO I -Desconto irrigantes 2007" xfId="4349" xr:uid="{00000000-0005-0000-0000-0000A80A0000}"/>
    <cellStyle name="_QUADRO I -Desconto irrigantes 2007_IF - Autoprodutores 2" xfId="4350" xr:uid="{00000000-0005-0000-0000-0000A90A0000}"/>
    <cellStyle name="_QUADRO I -Desconto irrigantes 2007_IF_Consumidores livres e geradoras_2010" xfId="4351" xr:uid="{00000000-0005-0000-0000-0000AA0A0000}"/>
    <cellStyle name="_QUADRO I -Desconto irrigantes 2007_Sheet1" xfId="4352" xr:uid="{00000000-0005-0000-0000-0000AB0A0000}"/>
    <cellStyle name="_QUADRO II - CUSD's concatenação_elektro" xfId="4353" xr:uid="{00000000-0005-0000-0000-0000AC0A0000}"/>
    <cellStyle name="_QUADRO II - CUSD's concatenação_elektro_IF - Autoprodutores 2" xfId="4354" xr:uid="{00000000-0005-0000-0000-0000AD0A0000}"/>
    <cellStyle name="_QUADRO II - CUSD's concatenação_elektro_IF_Consumidores livres e geradoras_2010" xfId="4355" xr:uid="{00000000-0005-0000-0000-0000AE0A0000}"/>
    <cellStyle name="_QUADRO II - CUSD's concatenação_elektro_Sheet1" xfId="4356" xr:uid="{00000000-0005-0000-0000-0000AF0A0000}"/>
    <cellStyle name="_QUADRO X - Baixa Renda" xfId="4357" xr:uid="{00000000-0005-0000-0000-0000B00A0000}"/>
    <cellStyle name="_QUADRO X - Baixa Renda_IF - Autoprodutores 2" xfId="4358" xr:uid="{00000000-0005-0000-0000-0000B10A0000}"/>
    <cellStyle name="_QUADRO X - Baixa Renda_IF_Consumidores livres e geradoras_2010" xfId="4359" xr:uid="{00000000-0005-0000-0000-0000B20A0000}"/>
    <cellStyle name="_QUADRO X - Baixa Renda_Sheet1" xfId="4360" xr:uid="{00000000-0005-0000-0000-0000B30A0000}"/>
    <cellStyle name="_REDE BÁSICA" xfId="4361" xr:uid="{00000000-0005-0000-0000-0000B40A0000}"/>
    <cellStyle name="_Resultados_DEA_RND_QUAL_PERDAS" xfId="4362" xr:uid="{00000000-0005-0000-0000-0000B50A0000}"/>
    <cellStyle name="_RGE - Repasse sobrecontratação" xfId="631" xr:uid="{00000000-0005-0000-0000-0000B60A0000}"/>
    <cellStyle name="_RGE - Repasse sobrecontratação 2" xfId="1453" xr:uid="{00000000-0005-0000-0000-0000B70A0000}"/>
    <cellStyle name="_RGE - Repasse sobrecontratação 3" xfId="4363" xr:uid="{00000000-0005-0000-0000-0000B80A0000}"/>
    <cellStyle name="_RGE - Repasse sobrecontratação_Exposição_Agosto 2" xfId="4364" xr:uid="{00000000-0005-0000-0000-0000B90A0000}"/>
    <cellStyle name="_RGE - Repasse sobrecontratação_IRT_Revisão A-2" xfId="4365" xr:uid="{00000000-0005-0000-0000-0000BA0A0000}"/>
    <cellStyle name="_RTP_EMG" xfId="4366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7" xr:uid="{00000000-0005-0000-0000-0000BD0A0000}"/>
    <cellStyle name="_RTP_ESCELSA_Subsidio_077_fiscalizada_sff_Cálculo do Financeiro do Baixa Renda_IRT-cálculo" xfId="4368" xr:uid="{00000000-0005-0000-0000-0000BE0A0000}"/>
    <cellStyle name="_RTP_ESCELSA_Subsidio_077_fiscalizada_sff_Cálculo do Financeiro do Baixa Renda_IRT-cálculo CAPA NEUTRALIDADE" xfId="4369" xr:uid="{00000000-0005-0000-0000-0000BF0A0000}"/>
    <cellStyle name="_RTP_ESCELSA_Subsidio_077_fiscalizada_sff_Calculo_Subsidio_ELFSM_26_06_08_Modelo_ANEEL" xfId="4370" xr:uid="{00000000-0005-0000-0000-0000C00A0000}"/>
    <cellStyle name="_RTP_ESCELSA_Subsidio_077_fiscalizada_sff_Calculo_Subsidio_ELFSM_26_06_08_Modelo_ANEEL_IRT-cálculo" xfId="4371" xr:uid="{00000000-0005-0000-0000-0000C10A0000}"/>
    <cellStyle name="_RTP_ESCELSA_Subsidio_077_fiscalizada_sff_Calculo_Subsidio_ELFSM_26_06_08_Modelo_ANEEL_IRT-cálculo CAPA NEUTRALIDADE" xfId="4372" xr:uid="{00000000-0005-0000-0000-0000C20A0000}"/>
    <cellStyle name="_RTP_ESCELSA_Subsidio_077_fiscalizada_sff_Custo com Avaliação de Ativos para Base de Remuneração" xfId="4373" xr:uid="{00000000-0005-0000-0000-0000C30A0000}"/>
    <cellStyle name="_RTP_ESCELSA_Subsidio_077_fiscalizada_sff_Custo com Avaliação de Ativos para Base de Remuneração_IRT-cálculo" xfId="4374" xr:uid="{00000000-0005-0000-0000-0000C40A0000}"/>
    <cellStyle name="_RTP_ESCELSA_Subsidio_077_fiscalizada_sff_Custo com Avaliação de Ativos para Base de Remuneração_IRT-cálculo CAPA NEUTRALIDADE" xfId="4375" xr:uid="{00000000-0005-0000-0000-0000C50A0000}"/>
    <cellStyle name="_RTP_ESCELSA_Subsidio_077_fiscalizada_sff_Energia Comprada" xfId="4376" xr:uid="{00000000-0005-0000-0000-0000C60A0000}"/>
    <cellStyle name="_RTP_ESCELSA_Subsidio_077_fiscalizada_sff_Energia Comprada_IRT-cálculo" xfId="4377" xr:uid="{00000000-0005-0000-0000-0000C70A0000}"/>
    <cellStyle name="_RTP_ESCELSA_Subsidio_077_fiscalizada_sff_Energia Comprada_IRT-cálculo CAPA NEUTRALIDADE" xfId="4378" xr:uid="{00000000-0005-0000-0000-0000C80A0000}"/>
    <cellStyle name="_RTP_ESCELSA_Subsidio_077_fiscalizada_sff_Fator X" xfId="1625" xr:uid="{00000000-0005-0000-0000-0000C90A0000}"/>
    <cellStyle name="_RTP_ESCELSA_Subsidio_077_fiscalizada_sff_Fator X_IRT-cálculo" xfId="4379" xr:uid="{00000000-0005-0000-0000-0000CA0A0000}"/>
    <cellStyle name="_RTP_ESCELSA_Subsidio_077_fiscalizada_sff_Fator X_IRT-cálculo CAPA NEUTRALIDADE" xfId="4380" xr:uid="{00000000-0005-0000-0000-0000CB0A0000}"/>
    <cellStyle name="_RTP_ESCELSA_Subsidio_077_fiscalizada_sff_Fator X_SOBRECONTRATAÇÃO E CVA" xfId="4381" xr:uid="{00000000-0005-0000-0000-0000CC0A0000}"/>
    <cellStyle name="_RTP_ESCELSA_Subsidio_077_fiscalizada_sff_IF - Autoprodutores 2" xfId="4382" xr:uid="{00000000-0005-0000-0000-0000CD0A0000}"/>
    <cellStyle name="_RTP_ESCELSA_Subsidio_077_fiscalizada_sff_IF_Consumidores livres e geradoras_2010" xfId="4383" xr:uid="{00000000-0005-0000-0000-0000CE0A0000}"/>
    <cellStyle name="_RTP_ESCELSA_Subsidio_077_fiscalizada_sff_IRT (2)" xfId="1626" xr:uid="{00000000-0005-0000-0000-0000CF0A0000}"/>
    <cellStyle name="_RTP_ESCELSA_Subsidio_077_fiscalizada_sff_IRT (2) 2" xfId="4384" xr:uid="{00000000-0005-0000-0000-0000D00A0000}"/>
    <cellStyle name="_RTP_ESCELSA_Subsidio_077_fiscalizada_sff_IRT_1" xfId="1627" xr:uid="{00000000-0005-0000-0000-0000D10A0000}"/>
    <cellStyle name="_RTP_ESCELSA_Subsidio_077_fiscalizada_sff_IRT_1_IRT-cálculo" xfId="4385" xr:uid="{00000000-0005-0000-0000-0000D20A0000}"/>
    <cellStyle name="_RTP_ESCELSA_Subsidio_077_fiscalizada_sff_IRT_1_IRT-cálculo CAPA NEUTRALIDADE" xfId="4386" xr:uid="{00000000-0005-0000-0000-0000D30A0000}"/>
    <cellStyle name="_RTP_ESCELSA_Subsidio_077_fiscalizada_sff_IRT_1_SOBRECONTRATAÇÃO E CVA" xfId="4387" xr:uid="{00000000-0005-0000-0000-0000D40A0000}"/>
    <cellStyle name="_RTP_ESCELSA_Subsidio_077_fiscalizada_sff_IRT_Pleito" xfId="4388" xr:uid="{00000000-0005-0000-0000-0000D50A0000}"/>
    <cellStyle name="_RTP_ESCELSA_Subsidio_077_fiscalizada_sff_IRT_Pleito_IRT-cálculo" xfId="4389" xr:uid="{00000000-0005-0000-0000-0000D60A0000}"/>
    <cellStyle name="_RTP_ESCELSA_Subsidio_077_fiscalizada_sff_IRT_Pleito_IRT-cálculo CAPA NEUTRALIDADE" xfId="4390" xr:uid="{00000000-0005-0000-0000-0000D70A0000}"/>
    <cellStyle name="_RTP_ESCELSA_Subsidio_077_fiscalizada_sff_IRT_Revisão A-1" xfId="4391" xr:uid="{00000000-0005-0000-0000-0000D80A0000}"/>
    <cellStyle name="_RTP_ESCELSA_Subsidio_077_fiscalizada_sff_IRT-cálculo" xfId="4392" xr:uid="{00000000-0005-0000-0000-0000D90A0000}"/>
    <cellStyle name="_RTP_ESCELSA_Subsidio_077_fiscalizada_sff_IRT-cálculo CAPA NEUTRALIDADE" xfId="4393" xr:uid="{00000000-0005-0000-0000-0000DA0A0000}"/>
    <cellStyle name="_RTP_ESCELSA_Subsidio_077_fiscalizada_sff_Pasta1" xfId="1628" xr:uid="{00000000-0005-0000-0000-0000DB0A0000}"/>
    <cellStyle name="_RTP_ESCELSA_Subsidio_077_fiscalizada_sff_Pasta1_IRT-cálculo" xfId="4394" xr:uid="{00000000-0005-0000-0000-0000DC0A0000}"/>
    <cellStyle name="_RTP_ESCELSA_Subsidio_077_fiscalizada_sff_Pasta1_IRT-cálculo CAPA NEUTRALIDADE" xfId="4395" xr:uid="{00000000-0005-0000-0000-0000DD0A0000}"/>
    <cellStyle name="_RTP_ESCELSA_Subsidio_077_fiscalizada_sff_Pasta1_SOBRECONTRATAÇÃO E CVA" xfId="4396" xr:uid="{00000000-0005-0000-0000-0000DE0A0000}"/>
    <cellStyle name="_RTP_ESCELSA_Subsidio_077_fiscalizada_sff_Sheet1" xfId="4397" xr:uid="{00000000-0005-0000-0000-0000DF0A0000}"/>
    <cellStyle name="_RTP_ESCELSA_Subsidio_077_fiscalizada_sff_Sheet2" xfId="4398" xr:uid="{00000000-0005-0000-0000-0000E00A0000}"/>
    <cellStyle name="_RTP_ESCELSA_Subsidio_077_fiscalizada_sff_SOBRECONTRATAÇÃO E CVA" xfId="4399" xr:uid="{00000000-0005-0000-0000-0000E10A0000}"/>
    <cellStyle name="_Santa Cruz Cliente por área 27062007" xfId="4400" xr:uid="{00000000-0005-0000-0000-0000E20A0000}"/>
    <cellStyle name="_SANTA CRUZ_2_CICLO_DADOS_INICIAIS" xfId="4401" xr:uid="{00000000-0005-0000-0000-0000E30A0000}"/>
    <cellStyle name="_SANTA CRUZ_2_CICLO_DADOS_INICIAIS (v 26-06)" xfId="4402" xr:uid="{00000000-0005-0000-0000-0000E40A0000}"/>
    <cellStyle name="_SANTA CRUZ_2_CICLO_DADOS_INICIAIS (Vx)" xfId="4403" xr:uid="{00000000-0005-0000-0000-0000E50A0000}"/>
    <cellStyle name="_SANTA CRUZ_2_CICLO_DADOS_INICIAIS(v4)" xfId="4404" xr:uid="{00000000-0005-0000-0000-0000E60A0000}"/>
    <cellStyle name="_SANTA CRUZ_2_CICLO_DADOS_INICIAIS_E3" xfId="4405" xr:uid="{00000000-0005-0000-0000-0000E70A0000}"/>
    <cellStyle name="_SANTA CRUZ_2_CICLO_DADOS_INICIAIS-28jun - EV" xfId="4406" xr:uid="{00000000-0005-0000-0000-0000E80A0000}"/>
    <cellStyle name="_SANTA CRUZ_2_CICLO_DADOS_MERCADO_E1 (14jun)" xfId="4407" xr:uid="{00000000-0005-0000-0000-0000E90A0000}"/>
    <cellStyle name="_SANTA CRUZ_2_CICLO_DADOS_MERCADO_E1 (15jun)" xfId="4408" xr:uid="{00000000-0005-0000-0000-0000EA0A0000}"/>
    <cellStyle name="_Santa Maria - Cons por municipio" xfId="4409" xr:uid="{00000000-0005-0000-0000-0000EB0A0000}"/>
    <cellStyle name="_Simulação AES SUL 03_04_07" xfId="633" xr:uid="{00000000-0005-0000-0000-0000EC0A0000}"/>
    <cellStyle name="_Simulação AES SUL 03_04_07 2" xfId="1454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0" xr:uid="{00000000-0005-0000-0000-0000F00A0000}"/>
    <cellStyle name="_Simulação CAIUA - ANEEL" xfId="4411" xr:uid="{00000000-0005-0000-0000-0000F10A0000}"/>
    <cellStyle name="_Simulação CAIUA - ANEEL_2009.04.09 EEB IRT2009 Conexao CEMIG C Financeiro" xfId="4412" xr:uid="{00000000-0005-0000-0000-0000F20A0000}"/>
    <cellStyle name="_Simulação CAIUA - ANEEL_CVA Borborema 2010 - Fiscalizada Final" xfId="4413" xr:uid="{00000000-0005-0000-0000-0000F30A0000}"/>
    <cellStyle name="_Simulação CAIUA - ANEEL_IF - Autoprodutores 2" xfId="4414" xr:uid="{00000000-0005-0000-0000-0000F40A0000}"/>
    <cellStyle name="_Simulação CAIUA - ANEEL_IF_Consumidores livres e geradoras_2010" xfId="4415" xr:uid="{00000000-0005-0000-0000-0000F50A0000}"/>
    <cellStyle name="_Simulação CAIUA - ANEEL_Sheet1" xfId="4416" xr:uid="{00000000-0005-0000-0000-0000F60A0000}"/>
    <cellStyle name="_Simulação CENF - ANEEL sobrecontratação" xfId="4417" xr:uid="{00000000-0005-0000-0000-0000F70A0000}"/>
    <cellStyle name="_Simulação CENF - ANEEL sobrecontratação_CVA Borborema 2010 - Fiscalizada Final" xfId="4418" xr:uid="{00000000-0005-0000-0000-0000F80A0000}"/>
    <cellStyle name="_Simulação congelamento COELCE 2011 - Propostas 3ª Fase AP040 (20.12.2011)" xfId="4419" xr:uid="{00000000-0005-0000-0000-0000F90A0000}"/>
    <cellStyle name="_Simulação Nova Carga Coteminas RT EBO" xfId="4420" xr:uid="{00000000-0005-0000-0000-0000FA0A0000}"/>
    <cellStyle name="_Simulacao_4ª_RTP_ESCELSA_1" xfId="636" xr:uid="{00000000-0005-0000-0000-0000FB0A0000}"/>
    <cellStyle name="_Simulacao_4ª_RTP_ESCELSA_1_IF - Autoprodutores 2" xfId="4421" xr:uid="{00000000-0005-0000-0000-0000FC0A0000}"/>
    <cellStyle name="_Simulacao_4ª_RTP_ESCELSA_1_IF_Consumidores livres e geradoras_2010" xfId="4422" xr:uid="{00000000-0005-0000-0000-0000FD0A0000}"/>
    <cellStyle name="_Simulacao_4ª_RTP_ESCELSA_1_IRT-cálculo" xfId="4423" xr:uid="{00000000-0005-0000-0000-0000FE0A0000}"/>
    <cellStyle name="_Simulacao_4ª_RTP_ESCELSA_1_Sheet1" xfId="4424" xr:uid="{00000000-0005-0000-0000-0000FF0A0000}"/>
    <cellStyle name="_Simulador Ampla - Proposta Preliminar" xfId="4425" xr:uid="{00000000-0005-0000-0000-0000000B0000}"/>
    <cellStyle name="_Simulador Ampla_AP" xfId="4426" xr:uid="{00000000-0005-0000-0000-0000010B0000}"/>
    <cellStyle name="_Simulador COSERN-final" xfId="4427" xr:uid="{00000000-0005-0000-0000-0000020B0000}"/>
    <cellStyle name="_Simulador COSERN-final_IF - Autoprodutores 2" xfId="4428" xr:uid="{00000000-0005-0000-0000-0000030B0000}"/>
    <cellStyle name="_Simulador COSERN-final_IF_Consumidores livres e geradoras_2010" xfId="4429" xr:uid="{00000000-0005-0000-0000-0000040B0000}"/>
    <cellStyle name="_Simulador COSERN-final_Sheet1" xfId="4430" xr:uid="{00000000-0005-0000-0000-0000050B0000}"/>
    <cellStyle name="_Simulador modelo" xfId="4431" xr:uid="{00000000-0005-0000-0000-0000060B0000}"/>
    <cellStyle name="_Síntese Capex EBO encaminhado para Aneel" xfId="4432" xr:uid="{00000000-0005-0000-0000-0000070B0000}"/>
    <cellStyle name="_Síntese Executiva" xfId="4433" xr:uid="{00000000-0005-0000-0000-0000080B0000}"/>
    <cellStyle name="_Sobrecontr - Plan Cabral_CEAL" xfId="4434" xr:uid="{00000000-0005-0000-0000-0000090B0000}"/>
    <cellStyle name="_Sobrecontr - Plan Cabral_CEAL (!)" xfId="4435" xr:uid="{00000000-0005-0000-0000-00000A0B0000}"/>
    <cellStyle name="_Sobrecontr_CELPA - Plan.Cabral" xfId="4436" xr:uid="{00000000-0005-0000-0000-00000B0B0000}"/>
    <cellStyle name="_Sobrecontr_ELEKTRO - Plan Cabral_2007" xfId="4437" xr:uid="{00000000-0005-0000-0000-00000C0B0000}"/>
    <cellStyle name="_Sobrecontratação - Dados - Estimativa - Celpa CCEE" xfId="1629" xr:uid="{00000000-0005-0000-0000-00000D0B0000}"/>
    <cellStyle name="_Sobrecontratação - Dados - Estimativa - Celpa CCEE 2" xfId="4438" xr:uid="{00000000-0005-0000-0000-00000E0B0000}"/>
    <cellStyle name="_Sobrecontratação - Dados - Estimativa - Celpa CCEE_COELCE - RTO 2011 - PLPT_PLANILHA_CÁLCULO_DÉFICIT" xfId="4439" xr:uid="{00000000-0005-0000-0000-00000F0B0000}"/>
    <cellStyle name="_SOBRECONTRATAÇÃO - RES  255-2007 AES (2)" xfId="637" xr:uid="{00000000-0005-0000-0000-0000100B0000}"/>
    <cellStyle name="_SOBRECONTRATAÇÃO - RES  255-2007 AES (2) 2" xfId="1455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0" xr:uid="{00000000-0005-0000-0000-0000140B0000}"/>
    <cellStyle name="_SOBRECONTRATAÇÃO - RES  255-2007 AES (3)" xfId="640" xr:uid="{00000000-0005-0000-0000-0000150B0000}"/>
    <cellStyle name="_SOBRECONTRATAÇÃO - RES  255-2007 AES (3) 2" xfId="1456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1" xr:uid="{00000000-0005-0000-0000-0000190B0000}"/>
    <cellStyle name="_SOBRECONTRATAÇÃO - RES  255-2007-ELEKTRO-Rec.PROINFA" xfId="4442" xr:uid="{00000000-0005-0000-0000-00001A0B0000}"/>
    <cellStyle name="_SOBRECONTRATAÇÃO - RES. 255-2007, AES" xfId="643" xr:uid="{00000000-0005-0000-0000-00001B0B0000}"/>
    <cellStyle name="_SOBRECONTRATAÇÃO - RES. 255-2007, AES 2" xfId="1457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3" xr:uid="{00000000-0005-0000-0000-00001F0B0000}"/>
    <cellStyle name="_SOBRECONTRATAÇÃO - SAELPA 2007" xfId="4444" xr:uid="{00000000-0005-0000-0000-0000200B0000}"/>
    <cellStyle name="_Sobrecontratação AES (2)" xfId="646" xr:uid="{00000000-0005-0000-0000-0000210B0000}"/>
    <cellStyle name="_Sobrecontratação AES (2) 2" xfId="1458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5" xr:uid="{00000000-0005-0000-0000-0000250B0000}"/>
    <cellStyle name="_SOBRECONTRATAÇÃO ANO CIVIL 2005 - CVA - APROVADO" xfId="4446" xr:uid="{00000000-0005-0000-0000-0000260B0000}"/>
    <cellStyle name="_SOBRECONTRATAÇÃO E CVA" xfId="4447" xr:uid="{00000000-0005-0000-0000-0000270B0000}"/>
    <cellStyle name="_SOBRECONTRATAÇÃO E CVA A-1" xfId="4448" xr:uid="{00000000-0005-0000-0000-0000280B0000}"/>
    <cellStyle name="_SOBRECONTRATAÇÃO E CVA A-1_IRT-cálculo" xfId="4449" xr:uid="{00000000-0005-0000-0000-0000290B0000}"/>
    <cellStyle name="_SOBRECONTRATAÇÃO E CVA A-1_IRT-cálculo CAPA NEUTRALIDADE" xfId="4450" xr:uid="{00000000-0005-0000-0000-00002A0B0000}"/>
    <cellStyle name="_SOBRECONTRATAÇÃO E CVA Energisa Paraíba" xfId="4451" xr:uid="{00000000-0005-0000-0000-00002B0B0000}"/>
    <cellStyle name="_SOBRECONTRATAÇÃO E CVAlinhas_EMG_08" xfId="4452" xr:uid="{00000000-0005-0000-0000-00002C0B0000}"/>
    <cellStyle name="_Sobrecontratação e exposição_CCEE_SRE" xfId="1630" xr:uid="{00000000-0005-0000-0000-00002D0B0000}"/>
    <cellStyle name="_Sobrecontratação e exposição_CCEE_SRE 2" xfId="4453" xr:uid="{00000000-0005-0000-0000-00002E0B0000}"/>
    <cellStyle name="_Sobrecontratação e exposição_CCEE_SRE_Energia Comprada" xfId="4454" xr:uid="{00000000-0005-0000-0000-00002F0B0000}"/>
    <cellStyle name="_Sobrecontratação e exposição_CCEE_SRE_Energia Comprada_IRT-cálculo" xfId="4455" xr:uid="{00000000-0005-0000-0000-0000300B0000}"/>
    <cellStyle name="_Sobrecontratação e exposição_CCEE_SRE_Energia Comprada_IRT-cálculo CAPA NEUTRALIDADE" xfId="4456" xr:uid="{00000000-0005-0000-0000-0000310B0000}"/>
    <cellStyle name="_Sobrecontratação e exposição_CCEE_SRE_Fator X" xfId="1631" xr:uid="{00000000-0005-0000-0000-0000320B0000}"/>
    <cellStyle name="_Sobrecontratação e exposição_CCEE_SRE_Fator X 2" xfId="4457" xr:uid="{00000000-0005-0000-0000-0000330B0000}"/>
    <cellStyle name="_Sobrecontratação e exposição_CCEE_SRE_Fator X_IRT-cálculo" xfId="4458" xr:uid="{00000000-0005-0000-0000-0000340B0000}"/>
    <cellStyle name="_Sobrecontratação e exposição_CCEE_SRE_Fator X_IRT-cálculo CAPA NEUTRALIDADE" xfId="4459" xr:uid="{00000000-0005-0000-0000-0000350B0000}"/>
    <cellStyle name="_Sobrecontratação e exposição_CCEE_SRE_Fator X_SOBRECONTRATAÇÃO E CVA" xfId="4460" xr:uid="{00000000-0005-0000-0000-0000360B0000}"/>
    <cellStyle name="_Sobrecontratação e exposição_CCEE_SRE_IRT (2)" xfId="1632" xr:uid="{00000000-0005-0000-0000-0000370B0000}"/>
    <cellStyle name="_Sobrecontratação e exposição_CCEE_SRE_IRT_1" xfId="1633" xr:uid="{00000000-0005-0000-0000-0000380B0000}"/>
    <cellStyle name="_Sobrecontratação e exposição_CCEE_SRE_IRT_1 2" xfId="4461" xr:uid="{00000000-0005-0000-0000-0000390B0000}"/>
    <cellStyle name="_Sobrecontratação e exposição_CCEE_SRE_IRT_1_IRT-cálculo" xfId="4462" xr:uid="{00000000-0005-0000-0000-00003A0B0000}"/>
    <cellStyle name="_Sobrecontratação e exposição_CCEE_SRE_IRT_1_IRT-cálculo CAPA NEUTRALIDADE" xfId="4463" xr:uid="{00000000-0005-0000-0000-00003B0B0000}"/>
    <cellStyle name="_Sobrecontratação e exposição_CCEE_SRE_IRT_1_SOBRECONTRATAÇÃO E CVA" xfId="4464" xr:uid="{00000000-0005-0000-0000-00003C0B0000}"/>
    <cellStyle name="_Sobrecontratação e exposição_CCEE_SRE_IRT-cálculo" xfId="4465" xr:uid="{00000000-0005-0000-0000-00003D0B0000}"/>
    <cellStyle name="_Sobrecontratação e exposição_CCEE_SRE_IRT-cálculo CAPA NEUTRALIDADE" xfId="4466" xr:uid="{00000000-0005-0000-0000-00003E0B0000}"/>
    <cellStyle name="_Sobrecontratação e exposição_CCEE_SRE_Pasta1" xfId="1634" xr:uid="{00000000-0005-0000-0000-00003F0B0000}"/>
    <cellStyle name="_Sobrecontratação e exposição_CCEE_SRE_Pasta1 2" xfId="4467" xr:uid="{00000000-0005-0000-0000-0000400B0000}"/>
    <cellStyle name="_Sobrecontratação e exposição_CCEE_SRE_Pasta1_IRT-cálculo" xfId="4468" xr:uid="{00000000-0005-0000-0000-0000410B0000}"/>
    <cellStyle name="_Sobrecontratação e exposição_CCEE_SRE_Pasta1_IRT-cálculo CAPA NEUTRALIDADE" xfId="4469" xr:uid="{00000000-0005-0000-0000-0000420B0000}"/>
    <cellStyle name="_Sobrecontratação e exposição_CCEE_SRE_Pasta1_SOBRECONTRATAÇÃO E CVA" xfId="4470" xr:uid="{00000000-0005-0000-0000-0000430B0000}"/>
    <cellStyle name="_Sobrecontratação e exposição_CCEE_SRE_SOBRECONTRATAÇÃO E CVA" xfId="4471" xr:uid="{00000000-0005-0000-0000-0000440B0000}"/>
    <cellStyle name="_SOBRECONTRATAÇÃO EPB 2010" xfId="4472" xr:uid="{00000000-0005-0000-0000-0000450B0000}"/>
    <cellStyle name="_Sobrecontratação_e_CVA_Energia" xfId="4473" xr:uid="{00000000-0005-0000-0000-0000460B0000}"/>
    <cellStyle name="_Sobrecontratacao_ESE_IRT_2009" xfId="4474" xr:uid="{00000000-0005-0000-0000-0000470B0000}"/>
    <cellStyle name="_SOBRECONTRATAÇÃO-2008" xfId="4475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59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0" xr:uid="{00000000-0005-0000-0000-00004D0B0000}"/>
    <cellStyle name="_Subsídios para análise da SRE_IRT_Planilha Básica_mar2010b" xfId="4476" xr:uid="{00000000-0005-0000-0000-00004E0B0000}"/>
    <cellStyle name="_Subsídios para análise da SRE_IRT-cálculo" xfId="4477" xr:uid="{00000000-0005-0000-0000-00004F0B0000}"/>
    <cellStyle name="_SubsídiosAnáliseSRE_COSERN_IRT-2010" xfId="1635" xr:uid="{00000000-0005-0000-0000-0000500B0000}"/>
    <cellStyle name="_TARIFAS 2008 modelo" xfId="4478" xr:uid="{00000000-0005-0000-0000-0000510B0000}"/>
    <cellStyle name="_Tarifas de Suprimento_Final" xfId="652" xr:uid="{00000000-0005-0000-0000-0000520B0000}"/>
    <cellStyle name="_Tarifas de Suprimento_Final 2" xfId="1461" xr:uid="{00000000-0005-0000-0000-0000530B0000}"/>
    <cellStyle name="_Tarifas de Suprimento_Final 3" xfId="4479" xr:uid="{00000000-0005-0000-0000-0000540B0000}"/>
    <cellStyle name="_Tarifas de Suprimento_Final_COELCE  ICMS Não Compensado RTO 2012 281211" xfId="4480" xr:uid="{00000000-0005-0000-0000-0000550B0000}"/>
    <cellStyle name="_Tarifas de Suprimento_Final_COELCE - RTO 2011 - PLPT_PLANILHA_CÁLCULO_DÉFICIT" xfId="4481" xr:uid="{00000000-0005-0000-0000-0000560B0000}"/>
    <cellStyle name="_Tarifas de Suprimento_Final_Exposição_Agosto 2" xfId="4482" xr:uid="{00000000-0005-0000-0000-0000570B0000}"/>
    <cellStyle name="_Tarifas de Suprimento_Final_IRT_Revisão A-2" xfId="4483" xr:uid="{00000000-0005-0000-0000-0000580B0000}"/>
    <cellStyle name="_Tarifas de Suprimento_Final_IRT-cálculo" xfId="4484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2" xr:uid="{00000000-0005-0000-0000-00005B0B0000}"/>
    <cellStyle name="_Tarifas de Suprimento_Final_Simulação AES SUL 03_04_07 3" xfId="4485" xr:uid="{00000000-0005-0000-0000-00005C0B0000}"/>
    <cellStyle name="_Tarifas de Suprimento_Final_Simulação congelamento COELCE 2011 - Propostas 3ª Fase AP040 (20.12.2011)" xfId="4486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3" xr:uid="{00000000-0005-0000-0000-00005F0B0000}"/>
    <cellStyle name="_Tarifas de Suprimento_Final_Sobrecontratação AES (2) 3" xfId="4487" xr:uid="{00000000-0005-0000-0000-0000600B0000}"/>
    <cellStyle name="_Tarifas de Suprimento_Final_SOBRECONTRATAÇÃO E CVA" xfId="4488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4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5" xr:uid="{00000000-0005-0000-0000-0000660B0000}"/>
    <cellStyle name="_Tarifas suprimento_TUSD DMEPC_IRT_Planilha Básica_mar2010b" xfId="4489" xr:uid="{00000000-0005-0000-0000-0000670B0000}"/>
    <cellStyle name="_Tarifas suprimento_TUSD DMEPC_IRT-cálculo" xfId="4490" xr:uid="{00000000-0005-0000-0000-0000680B0000}"/>
    <cellStyle name="_teste ampla" xfId="658" xr:uid="{00000000-0005-0000-0000-0000690B0000}"/>
    <cellStyle name="_teste ampla 2" xfId="1466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1" xr:uid="{00000000-0005-0000-0000-00006D0B0000}"/>
    <cellStyle name="_Tracking Account Coteminas EBO - FINAL" xfId="4492" xr:uid="{00000000-0005-0000-0000-00006E0B0000}"/>
    <cellStyle name="_Tracking Account Coteminas EBO - FINAL 2010" xfId="4493" xr:uid="{00000000-0005-0000-0000-00006F0B0000}"/>
    <cellStyle name="_TUSD AP PIE - ESE 2010" xfId="4494" xr:uid="{00000000-0005-0000-0000-0000700B0000}"/>
    <cellStyle name="_TUSD FIO-B - ESE 2010" xfId="4495" xr:uid="{00000000-0005-0000-0000-0000710B0000}"/>
    <cellStyle name="_TUSD G - ESE 2010" xfId="4496" xr:uid="{00000000-0005-0000-0000-0000720B0000}"/>
    <cellStyle name="_VERSAO 800" xfId="4497" xr:uid="{00000000-0005-0000-0000-0000730B0000}"/>
    <cellStyle name="£ BP" xfId="4498" xr:uid="{00000000-0005-0000-0000-0000740B0000}"/>
    <cellStyle name="¥ JY" xfId="4499" xr:uid="{00000000-0005-0000-0000-0000750B0000}"/>
    <cellStyle name="=C:\WINDOWS\SYSTEM32\COMMAND.COM" xfId="4500" xr:uid="{00000000-0005-0000-0000-0000760B0000}"/>
    <cellStyle name="=C:\WINDOWS\SYSTEM32\COMMAND.COM 2" xfId="4501" xr:uid="{00000000-0005-0000-0000-0000770B0000}"/>
    <cellStyle name="=C:\WINDOWS\SYSTEM32\COMMAND.COM 3" xfId="4502" xr:uid="{00000000-0005-0000-0000-0000780B0000}"/>
    <cellStyle name="=C:\WINDOWS\SYSTEM32\COMMAND.COM_IF - Autoprodutores" xfId="4503" xr:uid="{00000000-0005-0000-0000-0000790B0000}"/>
    <cellStyle name="=C:\WINNT\SYSTEM32\COMMAND.COM" xfId="1798" xr:uid="{00000000-0005-0000-0000-00007A0B0000}"/>
    <cellStyle name="‡" xfId="4504" xr:uid="{00000000-0005-0000-0000-00007B0B0000}"/>
    <cellStyle name="‡_IRT-cálculo" xfId="4505" xr:uid="{00000000-0005-0000-0000-00007C0B0000}"/>
    <cellStyle name="‡_IRT-cálculo CAPA NEUTRALIDADE" xfId="4506" xr:uid="{00000000-0005-0000-0000-00007D0B0000}"/>
    <cellStyle name="•W_laroux" xfId="4507" xr:uid="{00000000-0005-0000-0000-00007E0B0000}"/>
    <cellStyle name="0%" xfId="1636" xr:uid="{00000000-0005-0000-0000-00007F0B0000}"/>
    <cellStyle name="0% 2" xfId="2478" xr:uid="{00000000-0005-0000-0000-0000800B0000}"/>
    <cellStyle name="0,0%" xfId="1637" xr:uid="{00000000-0005-0000-0000-0000810B0000}"/>
    <cellStyle name="0,0% 2" xfId="1861" xr:uid="{00000000-0005-0000-0000-0000820B0000}"/>
    <cellStyle name="0,0% 2 2" xfId="2111" xr:uid="{00000000-0005-0000-0000-0000830B0000}"/>
    <cellStyle name="0,0% 2 2 2" xfId="2626" xr:uid="{00000000-0005-0000-0000-0000840B0000}"/>
    <cellStyle name="0,0% 2 2 3" xfId="2300" xr:uid="{00000000-0005-0000-0000-0000850B0000}"/>
    <cellStyle name="0,0% 2 3" xfId="2613" xr:uid="{00000000-0005-0000-0000-0000860B0000}"/>
    <cellStyle name="0,0% 2 4" xfId="2288" xr:uid="{00000000-0005-0000-0000-0000870B0000}"/>
    <cellStyle name="0,0% 2 5" xfId="43204" xr:uid="{00000000-0005-0000-0000-0000880B0000}"/>
    <cellStyle name="0,0% 3" xfId="1969" xr:uid="{00000000-0005-0000-0000-0000890B0000}"/>
    <cellStyle name="0,0% 3 2" xfId="2408" xr:uid="{00000000-0005-0000-0000-00008A0B0000}"/>
    <cellStyle name="0,0% 3 3" xfId="2625" xr:uid="{00000000-0005-0000-0000-00008B0B0000}"/>
    <cellStyle name="0,0% 3 4" xfId="2226" xr:uid="{00000000-0005-0000-0000-00008C0B0000}"/>
    <cellStyle name="0,0% 4" xfId="2253" xr:uid="{00000000-0005-0000-0000-00008D0B0000}"/>
    <cellStyle name="0,0% 5" xfId="43203" xr:uid="{00000000-0005-0000-0000-00008E0B0000}"/>
    <cellStyle name="0.0%" xfId="1638" xr:uid="{00000000-0005-0000-0000-00008F0B0000}"/>
    <cellStyle name="0.00%" xfId="1639" xr:uid="{00000000-0005-0000-0000-0000900B0000}"/>
    <cellStyle name="0.00% 2" xfId="2479" xr:uid="{00000000-0005-0000-0000-0000910B0000}"/>
    <cellStyle name="0000" xfId="4508" xr:uid="{00000000-0005-0000-0000-0000920B0000}"/>
    <cellStyle name="0000 2" xfId="4509" xr:uid="{00000000-0005-0000-0000-0000930B0000}"/>
    <cellStyle name="0000 3" xfId="4510" xr:uid="{00000000-0005-0000-0000-0000940B0000}"/>
    <cellStyle name="0000_IF - Autoprodutores" xfId="4511" xr:uid="{00000000-0005-0000-0000-0000950B0000}"/>
    <cellStyle name="000000" xfId="4512" xr:uid="{00000000-0005-0000-0000-0000960B0000}"/>
    <cellStyle name="1o.nível" xfId="661" xr:uid="{00000000-0005-0000-0000-0000970B0000}"/>
    <cellStyle name="1o.nível 2" xfId="4513" xr:uid="{00000000-0005-0000-0000-0000980B0000}"/>
    <cellStyle name="1o.nível 3" xfId="4514" xr:uid="{00000000-0005-0000-0000-0000990B0000}"/>
    <cellStyle name="20% - Accent1" xfId="662" xr:uid="{00000000-0005-0000-0000-00009A0B0000}"/>
    <cellStyle name="20% - Accent1 2" xfId="4515" xr:uid="{00000000-0005-0000-0000-00009B0B0000}"/>
    <cellStyle name="20% - Accent2" xfId="663" xr:uid="{00000000-0005-0000-0000-00009C0B0000}"/>
    <cellStyle name="20% - Accent2 2" xfId="4516" xr:uid="{00000000-0005-0000-0000-00009D0B0000}"/>
    <cellStyle name="20% - Accent3" xfId="664" xr:uid="{00000000-0005-0000-0000-00009E0B0000}"/>
    <cellStyle name="20% - Accent3 2" xfId="4517" xr:uid="{00000000-0005-0000-0000-00009F0B0000}"/>
    <cellStyle name="20% - Accent4" xfId="665" xr:uid="{00000000-0005-0000-0000-0000A00B0000}"/>
    <cellStyle name="20% - Accent4 2" xfId="4518" xr:uid="{00000000-0005-0000-0000-0000A10B0000}"/>
    <cellStyle name="20% - Accent5" xfId="666" xr:uid="{00000000-0005-0000-0000-0000A20B0000}"/>
    <cellStyle name="20% - Accent5 2" xfId="4519" xr:uid="{00000000-0005-0000-0000-0000A30B0000}"/>
    <cellStyle name="20% - Accent6" xfId="667" xr:uid="{00000000-0005-0000-0000-0000A40B0000}"/>
    <cellStyle name="20% - Accent6 2" xfId="4520" xr:uid="{00000000-0005-0000-0000-0000A50B0000}"/>
    <cellStyle name="20% - Ênfase1" xfId="668" xr:uid="{00000000-0005-0000-0000-0000A60B0000}"/>
    <cellStyle name="20% - Ênfase1 10" xfId="4521" xr:uid="{00000000-0005-0000-0000-0000A70B0000}"/>
    <cellStyle name="20% - Ênfase1 2" xfId="913" xr:uid="{00000000-0005-0000-0000-0000A80B0000}"/>
    <cellStyle name="20% - Ênfase1 2 2" xfId="4522" xr:uid="{00000000-0005-0000-0000-0000A90B0000}"/>
    <cellStyle name="20% - Ênfase1 3" xfId="1720" xr:uid="{00000000-0005-0000-0000-0000AA0B0000}"/>
    <cellStyle name="20% - Ênfase1 3 2" xfId="4523" xr:uid="{00000000-0005-0000-0000-0000AB0B0000}"/>
    <cellStyle name="20% - Ênfase1 4" xfId="4524" xr:uid="{00000000-0005-0000-0000-0000AC0B0000}"/>
    <cellStyle name="20% - Ênfase1 4 2" xfId="4525" xr:uid="{00000000-0005-0000-0000-0000AD0B0000}"/>
    <cellStyle name="20% - Ênfase1 5" xfId="4526" xr:uid="{00000000-0005-0000-0000-0000AE0B0000}"/>
    <cellStyle name="20% - Ênfase1 6" xfId="4527" xr:uid="{00000000-0005-0000-0000-0000AF0B0000}"/>
    <cellStyle name="20% - Ênfase1 7" xfId="4528" xr:uid="{00000000-0005-0000-0000-0000B00B0000}"/>
    <cellStyle name="20% - Ênfase1 8" xfId="4529" xr:uid="{00000000-0005-0000-0000-0000B10B0000}"/>
    <cellStyle name="20% - Ênfase1 9" xfId="4530" xr:uid="{00000000-0005-0000-0000-0000B20B0000}"/>
    <cellStyle name="20% - Ênfase2" xfId="669" xr:uid="{00000000-0005-0000-0000-0000B30B0000}"/>
    <cellStyle name="20% - Ênfase2 10" xfId="4531" xr:uid="{00000000-0005-0000-0000-0000B40B0000}"/>
    <cellStyle name="20% - Ênfase2 2" xfId="914" xr:uid="{00000000-0005-0000-0000-0000B50B0000}"/>
    <cellStyle name="20% - Ênfase2 2 2" xfId="4532" xr:uid="{00000000-0005-0000-0000-0000B60B0000}"/>
    <cellStyle name="20% - Ênfase2 3" xfId="1721" xr:uid="{00000000-0005-0000-0000-0000B70B0000}"/>
    <cellStyle name="20% - Ênfase2 3 2" xfId="4533" xr:uid="{00000000-0005-0000-0000-0000B80B0000}"/>
    <cellStyle name="20% - Ênfase2 4" xfId="4534" xr:uid="{00000000-0005-0000-0000-0000B90B0000}"/>
    <cellStyle name="20% - Ênfase2 4 2" xfId="4535" xr:uid="{00000000-0005-0000-0000-0000BA0B0000}"/>
    <cellStyle name="20% - Ênfase2 5" xfId="4536" xr:uid="{00000000-0005-0000-0000-0000BB0B0000}"/>
    <cellStyle name="20% - Ênfase2 6" xfId="4537" xr:uid="{00000000-0005-0000-0000-0000BC0B0000}"/>
    <cellStyle name="20% - Ênfase2 7" xfId="4538" xr:uid="{00000000-0005-0000-0000-0000BD0B0000}"/>
    <cellStyle name="20% - Ênfase2 8" xfId="4539" xr:uid="{00000000-0005-0000-0000-0000BE0B0000}"/>
    <cellStyle name="20% - Ênfase2 9" xfId="4540" xr:uid="{00000000-0005-0000-0000-0000BF0B0000}"/>
    <cellStyle name="20% - Ênfase3" xfId="670" xr:uid="{00000000-0005-0000-0000-0000C00B0000}"/>
    <cellStyle name="20% - Ênfase3 10" xfId="4541" xr:uid="{00000000-0005-0000-0000-0000C10B0000}"/>
    <cellStyle name="20% - Ênfase3 2" xfId="915" xr:uid="{00000000-0005-0000-0000-0000C20B0000}"/>
    <cellStyle name="20% - Ênfase3 2 2" xfId="4542" xr:uid="{00000000-0005-0000-0000-0000C30B0000}"/>
    <cellStyle name="20% - Ênfase3 3" xfId="1722" xr:uid="{00000000-0005-0000-0000-0000C40B0000}"/>
    <cellStyle name="20% - Ênfase3 3 2" xfId="4543" xr:uid="{00000000-0005-0000-0000-0000C50B0000}"/>
    <cellStyle name="20% - Ênfase3 4" xfId="4544" xr:uid="{00000000-0005-0000-0000-0000C60B0000}"/>
    <cellStyle name="20% - Ênfase3 4 2" xfId="4545" xr:uid="{00000000-0005-0000-0000-0000C70B0000}"/>
    <cellStyle name="20% - Ênfase3 5" xfId="4546" xr:uid="{00000000-0005-0000-0000-0000C80B0000}"/>
    <cellStyle name="20% - Ênfase3 6" xfId="4547" xr:uid="{00000000-0005-0000-0000-0000C90B0000}"/>
    <cellStyle name="20% - Ênfase3 7" xfId="4548" xr:uid="{00000000-0005-0000-0000-0000CA0B0000}"/>
    <cellStyle name="20% - Ênfase3 8" xfId="4549" xr:uid="{00000000-0005-0000-0000-0000CB0B0000}"/>
    <cellStyle name="20% - Ênfase3 9" xfId="4550" xr:uid="{00000000-0005-0000-0000-0000CC0B0000}"/>
    <cellStyle name="20% - Ênfase4" xfId="671" xr:uid="{00000000-0005-0000-0000-0000CD0B0000}"/>
    <cellStyle name="20% - Ênfase4 10" xfId="4551" xr:uid="{00000000-0005-0000-0000-0000CE0B0000}"/>
    <cellStyle name="20% - Ênfase4 2" xfId="916" xr:uid="{00000000-0005-0000-0000-0000CF0B0000}"/>
    <cellStyle name="20% - Ênfase4 2 2" xfId="4552" xr:uid="{00000000-0005-0000-0000-0000D00B0000}"/>
    <cellStyle name="20% - Ênfase4 3" xfId="1723" xr:uid="{00000000-0005-0000-0000-0000D10B0000}"/>
    <cellStyle name="20% - Ênfase4 3 2" xfId="4553" xr:uid="{00000000-0005-0000-0000-0000D20B0000}"/>
    <cellStyle name="20% - Ênfase4 4" xfId="4554" xr:uid="{00000000-0005-0000-0000-0000D30B0000}"/>
    <cellStyle name="20% - Ênfase4 4 2" xfId="4555" xr:uid="{00000000-0005-0000-0000-0000D40B0000}"/>
    <cellStyle name="20% - Ênfase4 5" xfId="4556" xr:uid="{00000000-0005-0000-0000-0000D50B0000}"/>
    <cellStyle name="20% - Ênfase4 6" xfId="4557" xr:uid="{00000000-0005-0000-0000-0000D60B0000}"/>
    <cellStyle name="20% - Ênfase4 7" xfId="4558" xr:uid="{00000000-0005-0000-0000-0000D70B0000}"/>
    <cellStyle name="20% - Ênfase4 8" xfId="4559" xr:uid="{00000000-0005-0000-0000-0000D80B0000}"/>
    <cellStyle name="20% - Ênfase4 9" xfId="4560" xr:uid="{00000000-0005-0000-0000-0000D90B0000}"/>
    <cellStyle name="20% - Ênfase5" xfId="672" xr:uid="{00000000-0005-0000-0000-0000DA0B0000}"/>
    <cellStyle name="20% - Ênfase5 10" xfId="4561" xr:uid="{00000000-0005-0000-0000-0000DB0B0000}"/>
    <cellStyle name="20% - Ênfase5 2" xfId="917" xr:uid="{00000000-0005-0000-0000-0000DC0B0000}"/>
    <cellStyle name="20% - Ênfase5 2 2" xfId="4562" xr:uid="{00000000-0005-0000-0000-0000DD0B0000}"/>
    <cellStyle name="20% - Ênfase5 3" xfId="1724" xr:uid="{00000000-0005-0000-0000-0000DE0B0000}"/>
    <cellStyle name="20% - Ênfase5 3 2" xfId="4563" xr:uid="{00000000-0005-0000-0000-0000DF0B0000}"/>
    <cellStyle name="20% - Ênfase5 4" xfId="4564" xr:uid="{00000000-0005-0000-0000-0000E00B0000}"/>
    <cellStyle name="20% - Ênfase5 4 2" xfId="4565" xr:uid="{00000000-0005-0000-0000-0000E10B0000}"/>
    <cellStyle name="20% - Ênfase5 5" xfId="4566" xr:uid="{00000000-0005-0000-0000-0000E20B0000}"/>
    <cellStyle name="20% - Ênfase5 6" xfId="4567" xr:uid="{00000000-0005-0000-0000-0000E30B0000}"/>
    <cellStyle name="20% - Ênfase5 7" xfId="4568" xr:uid="{00000000-0005-0000-0000-0000E40B0000}"/>
    <cellStyle name="20% - Ênfase5 8" xfId="4569" xr:uid="{00000000-0005-0000-0000-0000E50B0000}"/>
    <cellStyle name="20% - Ênfase5 9" xfId="4570" xr:uid="{00000000-0005-0000-0000-0000E60B0000}"/>
    <cellStyle name="20% - Ênfase6" xfId="673" xr:uid="{00000000-0005-0000-0000-0000E70B0000}"/>
    <cellStyle name="20% - Ênfase6 10" xfId="4571" xr:uid="{00000000-0005-0000-0000-0000E80B0000}"/>
    <cellStyle name="20% - Ênfase6 2" xfId="918" xr:uid="{00000000-0005-0000-0000-0000E90B0000}"/>
    <cellStyle name="20% - Ênfase6 2 2" xfId="4572" xr:uid="{00000000-0005-0000-0000-0000EA0B0000}"/>
    <cellStyle name="20% - Ênfase6 3" xfId="1725" xr:uid="{00000000-0005-0000-0000-0000EB0B0000}"/>
    <cellStyle name="20% - Ênfase6 3 2" xfId="4573" xr:uid="{00000000-0005-0000-0000-0000EC0B0000}"/>
    <cellStyle name="20% - Ênfase6 4" xfId="4574" xr:uid="{00000000-0005-0000-0000-0000ED0B0000}"/>
    <cellStyle name="20% - Ênfase6 4 2" xfId="4575" xr:uid="{00000000-0005-0000-0000-0000EE0B0000}"/>
    <cellStyle name="20% - Ênfase6 5" xfId="4576" xr:uid="{00000000-0005-0000-0000-0000EF0B0000}"/>
    <cellStyle name="20% - Ênfase6 6" xfId="4577" xr:uid="{00000000-0005-0000-0000-0000F00B0000}"/>
    <cellStyle name="20% - Ênfase6 7" xfId="4578" xr:uid="{00000000-0005-0000-0000-0000F10B0000}"/>
    <cellStyle name="20% - Ênfase6 8" xfId="4579" xr:uid="{00000000-0005-0000-0000-0000F20B0000}"/>
    <cellStyle name="20% - Ênfase6 9" xfId="4580" xr:uid="{00000000-0005-0000-0000-0000F30B0000}"/>
    <cellStyle name="20% - Énfasis1" xfId="919" xr:uid="{00000000-0005-0000-0000-0000F40B0000}"/>
    <cellStyle name="20% - Énfasis1 10" xfId="4581" xr:uid="{00000000-0005-0000-0000-0000F50B0000}"/>
    <cellStyle name="20% - Énfasis1 11" xfId="4582" xr:uid="{00000000-0005-0000-0000-0000F60B0000}"/>
    <cellStyle name="20% - Énfasis1 12" xfId="4583" xr:uid="{00000000-0005-0000-0000-0000F70B0000}"/>
    <cellStyle name="20% - Énfasis1 13" xfId="4584" xr:uid="{00000000-0005-0000-0000-0000F80B0000}"/>
    <cellStyle name="20% - Énfasis1 14" xfId="4585" xr:uid="{00000000-0005-0000-0000-0000F90B0000}"/>
    <cellStyle name="20% - Énfasis1 15" xfId="4586" xr:uid="{00000000-0005-0000-0000-0000FA0B0000}"/>
    <cellStyle name="20% - Énfasis1 16" xfId="4587" xr:uid="{00000000-0005-0000-0000-0000FB0B0000}"/>
    <cellStyle name="20% - Énfasis1 17" xfId="4588" xr:uid="{00000000-0005-0000-0000-0000FC0B0000}"/>
    <cellStyle name="20% - Énfasis1 18" xfId="4589" xr:uid="{00000000-0005-0000-0000-0000FD0B0000}"/>
    <cellStyle name="20% - Énfasis1 19" xfId="4590" xr:uid="{00000000-0005-0000-0000-0000FE0B0000}"/>
    <cellStyle name="20% - Énfasis1 2" xfId="4591" xr:uid="{00000000-0005-0000-0000-0000FF0B0000}"/>
    <cellStyle name="20% - Énfasis1 2 2" xfId="4592" xr:uid="{00000000-0005-0000-0000-0000000C0000}"/>
    <cellStyle name="20% - Énfasis1 20" xfId="4593" xr:uid="{00000000-0005-0000-0000-0000010C0000}"/>
    <cellStyle name="20% - Énfasis1 21" xfId="4594" xr:uid="{00000000-0005-0000-0000-0000020C0000}"/>
    <cellStyle name="20% - Énfasis1 22" xfId="4595" xr:uid="{00000000-0005-0000-0000-0000030C0000}"/>
    <cellStyle name="20% - Énfasis1 23" xfId="4596" xr:uid="{00000000-0005-0000-0000-0000040C0000}"/>
    <cellStyle name="20% - Énfasis1 24" xfId="4597" xr:uid="{00000000-0005-0000-0000-0000050C0000}"/>
    <cellStyle name="20% - Énfasis1 25" xfId="4598" xr:uid="{00000000-0005-0000-0000-0000060C0000}"/>
    <cellStyle name="20% - Énfasis1 3" xfId="4599" xr:uid="{00000000-0005-0000-0000-0000070C0000}"/>
    <cellStyle name="20% - Énfasis1 3 2" xfId="4600" xr:uid="{00000000-0005-0000-0000-0000080C0000}"/>
    <cellStyle name="20% - Énfasis1 4" xfId="4601" xr:uid="{00000000-0005-0000-0000-0000090C0000}"/>
    <cellStyle name="20% - Énfasis1 5" xfId="4602" xr:uid="{00000000-0005-0000-0000-00000A0C0000}"/>
    <cellStyle name="20% - Énfasis1 6" xfId="4603" xr:uid="{00000000-0005-0000-0000-00000B0C0000}"/>
    <cellStyle name="20% - Énfasis1 7" xfId="4604" xr:uid="{00000000-0005-0000-0000-00000C0C0000}"/>
    <cellStyle name="20% - Énfasis1 8" xfId="4605" xr:uid="{00000000-0005-0000-0000-00000D0C0000}"/>
    <cellStyle name="20% - Énfasis1 9" xfId="4606" xr:uid="{00000000-0005-0000-0000-00000E0C0000}"/>
    <cellStyle name="20% - Énfasis2" xfId="920" xr:uid="{00000000-0005-0000-0000-00000F0C0000}"/>
    <cellStyle name="20% - Énfasis2 10" xfId="4607" xr:uid="{00000000-0005-0000-0000-0000100C0000}"/>
    <cellStyle name="20% - Énfasis2 11" xfId="4608" xr:uid="{00000000-0005-0000-0000-0000110C0000}"/>
    <cellStyle name="20% - Énfasis2 12" xfId="4609" xr:uid="{00000000-0005-0000-0000-0000120C0000}"/>
    <cellStyle name="20% - Énfasis2 13" xfId="4610" xr:uid="{00000000-0005-0000-0000-0000130C0000}"/>
    <cellStyle name="20% - Énfasis2 14" xfId="4611" xr:uid="{00000000-0005-0000-0000-0000140C0000}"/>
    <cellStyle name="20% - Énfasis2 15" xfId="4612" xr:uid="{00000000-0005-0000-0000-0000150C0000}"/>
    <cellStyle name="20% - Énfasis2 16" xfId="4613" xr:uid="{00000000-0005-0000-0000-0000160C0000}"/>
    <cellStyle name="20% - Énfasis2 17" xfId="4614" xr:uid="{00000000-0005-0000-0000-0000170C0000}"/>
    <cellStyle name="20% - Énfasis2 18" xfId="4615" xr:uid="{00000000-0005-0000-0000-0000180C0000}"/>
    <cellStyle name="20% - Énfasis2 19" xfId="4616" xr:uid="{00000000-0005-0000-0000-0000190C0000}"/>
    <cellStyle name="20% - Énfasis2 2" xfId="4617" xr:uid="{00000000-0005-0000-0000-00001A0C0000}"/>
    <cellStyle name="20% - Énfasis2 2 2" xfId="4618" xr:uid="{00000000-0005-0000-0000-00001B0C0000}"/>
    <cellStyle name="20% - Énfasis2 20" xfId="4619" xr:uid="{00000000-0005-0000-0000-00001C0C0000}"/>
    <cellStyle name="20% - Énfasis2 21" xfId="4620" xr:uid="{00000000-0005-0000-0000-00001D0C0000}"/>
    <cellStyle name="20% - Énfasis2 22" xfId="4621" xr:uid="{00000000-0005-0000-0000-00001E0C0000}"/>
    <cellStyle name="20% - Énfasis2 23" xfId="4622" xr:uid="{00000000-0005-0000-0000-00001F0C0000}"/>
    <cellStyle name="20% - Énfasis2 24" xfId="4623" xr:uid="{00000000-0005-0000-0000-0000200C0000}"/>
    <cellStyle name="20% - Énfasis2 25" xfId="4624" xr:uid="{00000000-0005-0000-0000-0000210C0000}"/>
    <cellStyle name="20% - Énfasis2 3" xfId="4625" xr:uid="{00000000-0005-0000-0000-0000220C0000}"/>
    <cellStyle name="20% - Énfasis2 3 2" xfId="4626" xr:uid="{00000000-0005-0000-0000-0000230C0000}"/>
    <cellStyle name="20% - Énfasis2 4" xfId="4627" xr:uid="{00000000-0005-0000-0000-0000240C0000}"/>
    <cellStyle name="20% - Énfasis2 5" xfId="4628" xr:uid="{00000000-0005-0000-0000-0000250C0000}"/>
    <cellStyle name="20% - Énfasis2 6" xfId="4629" xr:uid="{00000000-0005-0000-0000-0000260C0000}"/>
    <cellStyle name="20% - Énfasis2 7" xfId="4630" xr:uid="{00000000-0005-0000-0000-0000270C0000}"/>
    <cellStyle name="20% - Énfasis2 8" xfId="4631" xr:uid="{00000000-0005-0000-0000-0000280C0000}"/>
    <cellStyle name="20% - Énfasis2 9" xfId="4632" xr:uid="{00000000-0005-0000-0000-0000290C0000}"/>
    <cellStyle name="20% - Énfasis3" xfId="921" xr:uid="{00000000-0005-0000-0000-00002A0C0000}"/>
    <cellStyle name="20% - Énfasis3 10" xfId="4633" xr:uid="{00000000-0005-0000-0000-00002B0C0000}"/>
    <cellStyle name="20% - Énfasis3 11" xfId="4634" xr:uid="{00000000-0005-0000-0000-00002C0C0000}"/>
    <cellStyle name="20% - Énfasis3 12" xfId="4635" xr:uid="{00000000-0005-0000-0000-00002D0C0000}"/>
    <cellStyle name="20% - Énfasis3 13" xfId="4636" xr:uid="{00000000-0005-0000-0000-00002E0C0000}"/>
    <cellStyle name="20% - Énfasis3 14" xfId="4637" xr:uid="{00000000-0005-0000-0000-00002F0C0000}"/>
    <cellStyle name="20% - Énfasis3 15" xfId="4638" xr:uid="{00000000-0005-0000-0000-0000300C0000}"/>
    <cellStyle name="20% - Énfasis3 16" xfId="4639" xr:uid="{00000000-0005-0000-0000-0000310C0000}"/>
    <cellStyle name="20% - Énfasis3 17" xfId="4640" xr:uid="{00000000-0005-0000-0000-0000320C0000}"/>
    <cellStyle name="20% - Énfasis3 18" xfId="4641" xr:uid="{00000000-0005-0000-0000-0000330C0000}"/>
    <cellStyle name="20% - Énfasis3 19" xfId="4642" xr:uid="{00000000-0005-0000-0000-0000340C0000}"/>
    <cellStyle name="20% - Énfasis3 2" xfId="4643" xr:uid="{00000000-0005-0000-0000-0000350C0000}"/>
    <cellStyle name="20% - Énfasis3 2 2" xfId="4644" xr:uid="{00000000-0005-0000-0000-0000360C0000}"/>
    <cellStyle name="20% - Énfasis3 20" xfId="4645" xr:uid="{00000000-0005-0000-0000-0000370C0000}"/>
    <cellStyle name="20% - Énfasis3 21" xfId="4646" xr:uid="{00000000-0005-0000-0000-0000380C0000}"/>
    <cellStyle name="20% - Énfasis3 22" xfId="4647" xr:uid="{00000000-0005-0000-0000-0000390C0000}"/>
    <cellStyle name="20% - Énfasis3 23" xfId="4648" xr:uid="{00000000-0005-0000-0000-00003A0C0000}"/>
    <cellStyle name="20% - Énfasis3 24" xfId="4649" xr:uid="{00000000-0005-0000-0000-00003B0C0000}"/>
    <cellStyle name="20% - Énfasis3 25" xfId="4650" xr:uid="{00000000-0005-0000-0000-00003C0C0000}"/>
    <cellStyle name="20% - Énfasis3 3" xfId="4651" xr:uid="{00000000-0005-0000-0000-00003D0C0000}"/>
    <cellStyle name="20% - Énfasis3 3 2" xfId="4652" xr:uid="{00000000-0005-0000-0000-00003E0C0000}"/>
    <cellStyle name="20% - Énfasis3 4" xfId="4653" xr:uid="{00000000-0005-0000-0000-00003F0C0000}"/>
    <cellStyle name="20% - Énfasis3 5" xfId="4654" xr:uid="{00000000-0005-0000-0000-0000400C0000}"/>
    <cellStyle name="20% - Énfasis3 6" xfId="4655" xr:uid="{00000000-0005-0000-0000-0000410C0000}"/>
    <cellStyle name="20% - Énfasis3 7" xfId="4656" xr:uid="{00000000-0005-0000-0000-0000420C0000}"/>
    <cellStyle name="20% - Énfasis3 8" xfId="4657" xr:uid="{00000000-0005-0000-0000-0000430C0000}"/>
    <cellStyle name="20% - Énfasis3 9" xfId="4658" xr:uid="{00000000-0005-0000-0000-0000440C0000}"/>
    <cellStyle name="20% - Énfasis4" xfId="922" xr:uid="{00000000-0005-0000-0000-0000450C0000}"/>
    <cellStyle name="20% - Énfasis4 10" xfId="4659" xr:uid="{00000000-0005-0000-0000-0000460C0000}"/>
    <cellStyle name="20% - Énfasis4 11" xfId="4660" xr:uid="{00000000-0005-0000-0000-0000470C0000}"/>
    <cellStyle name="20% - Énfasis4 12" xfId="4661" xr:uid="{00000000-0005-0000-0000-0000480C0000}"/>
    <cellStyle name="20% - Énfasis4 13" xfId="4662" xr:uid="{00000000-0005-0000-0000-0000490C0000}"/>
    <cellStyle name="20% - Énfasis4 14" xfId="4663" xr:uid="{00000000-0005-0000-0000-00004A0C0000}"/>
    <cellStyle name="20% - Énfasis4 15" xfId="4664" xr:uid="{00000000-0005-0000-0000-00004B0C0000}"/>
    <cellStyle name="20% - Énfasis4 16" xfId="4665" xr:uid="{00000000-0005-0000-0000-00004C0C0000}"/>
    <cellStyle name="20% - Énfasis4 17" xfId="4666" xr:uid="{00000000-0005-0000-0000-00004D0C0000}"/>
    <cellStyle name="20% - Énfasis4 18" xfId="4667" xr:uid="{00000000-0005-0000-0000-00004E0C0000}"/>
    <cellStyle name="20% - Énfasis4 19" xfId="4668" xr:uid="{00000000-0005-0000-0000-00004F0C0000}"/>
    <cellStyle name="20% - Énfasis4 2" xfId="4669" xr:uid="{00000000-0005-0000-0000-0000500C0000}"/>
    <cellStyle name="20% - Énfasis4 2 2" xfId="4670" xr:uid="{00000000-0005-0000-0000-0000510C0000}"/>
    <cellStyle name="20% - Énfasis4 20" xfId="4671" xr:uid="{00000000-0005-0000-0000-0000520C0000}"/>
    <cellStyle name="20% - Énfasis4 21" xfId="4672" xr:uid="{00000000-0005-0000-0000-0000530C0000}"/>
    <cellStyle name="20% - Énfasis4 22" xfId="4673" xr:uid="{00000000-0005-0000-0000-0000540C0000}"/>
    <cellStyle name="20% - Énfasis4 23" xfId="4674" xr:uid="{00000000-0005-0000-0000-0000550C0000}"/>
    <cellStyle name="20% - Énfasis4 24" xfId="4675" xr:uid="{00000000-0005-0000-0000-0000560C0000}"/>
    <cellStyle name="20% - Énfasis4 25" xfId="4676" xr:uid="{00000000-0005-0000-0000-0000570C0000}"/>
    <cellStyle name="20% - Énfasis4 3" xfId="4677" xr:uid="{00000000-0005-0000-0000-0000580C0000}"/>
    <cellStyle name="20% - Énfasis4 3 2" xfId="4678" xr:uid="{00000000-0005-0000-0000-0000590C0000}"/>
    <cellStyle name="20% - Énfasis4 4" xfId="4679" xr:uid="{00000000-0005-0000-0000-00005A0C0000}"/>
    <cellStyle name="20% - Énfasis4 5" xfId="4680" xr:uid="{00000000-0005-0000-0000-00005B0C0000}"/>
    <cellStyle name="20% - Énfasis4 6" xfId="4681" xr:uid="{00000000-0005-0000-0000-00005C0C0000}"/>
    <cellStyle name="20% - Énfasis4 7" xfId="4682" xr:uid="{00000000-0005-0000-0000-00005D0C0000}"/>
    <cellStyle name="20% - Énfasis4 8" xfId="4683" xr:uid="{00000000-0005-0000-0000-00005E0C0000}"/>
    <cellStyle name="20% - Énfasis4 9" xfId="4684" xr:uid="{00000000-0005-0000-0000-00005F0C0000}"/>
    <cellStyle name="20% - Énfasis5" xfId="923" xr:uid="{00000000-0005-0000-0000-0000600C0000}"/>
    <cellStyle name="20% - Énfasis5 10" xfId="4685" xr:uid="{00000000-0005-0000-0000-0000610C0000}"/>
    <cellStyle name="20% - Énfasis5 11" xfId="4686" xr:uid="{00000000-0005-0000-0000-0000620C0000}"/>
    <cellStyle name="20% - Énfasis5 12" xfId="4687" xr:uid="{00000000-0005-0000-0000-0000630C0000}"/>
    <cellStyle name="20% - Énfasis5 13" xfId="4688" xr:uid="{00000000-0005-0000-0000-0000640C0000}"/>
    <cellStyle name="20% - Énfasis5 14" xfId="4689" xr:uid="{00000000-0005-0000-0000-0000650C0000}"/>
    <cellStyle name="20% - Énfasis5 15" xfId="4690" xr:uid="{00000000-0005-0000-0000-0000660C0000}"/>
    <cellStyle name="20% - Énfasis5 16" xfId="4691" xr:uid="{00000000-0005-0000-0000-0000670C0000}"/>
    <cellStyle name="20% - Énfasis5 17" xfId="4692" xr:uid="{00000000-0005-0000-0000-0000680C0000}"/>
    <cellStyle name="20% - Énfasis5 18" xfId="4693" xr:uid="{00000000-0005-0000-0000-0000690C0000}"/>
    <cellStyle name="20% - Énfasis5 19" xfId="4694" xr:uid="{00000000-0005-0000-0000-00006A0C0000}"/>
    <cellStyle name="20% - Énfasis5 2" xfId="4695" xr:uid="{00000000-0005-0000-0000-00006B0C0000}"/>
    <cellStyle name="20% - Énfasis5 2 2" xfId="4696" xr:uid="{00000000-0005-0000-0000-00006C0C0000}"/>
    <cellStyle name="20% - Énfasis5 20" xfId="4697" xr:uid="{00000000-0005-0000-0000-00006D0C0000}"/>
    <cellStyle name="20% - Énfasis5 21" xfId="4698" xr:uid="{00000000-0005-0000-0000-00006E0C0000}"/>
    <cellStyle name="20% - Énfasis5 22" xfId="4699" xr:uid="{00000000-0005-0000-0000-00006F0C0000}"/>
    <cellStyle name="20% - Énfasis5 23" xfId="4700" xr:uid="{00000000-0005-0000-0000-0000700C0000}"/>
    <cellStyle name="20% - Énfasis5 24" xfId="4701" xr:uid="{00000000-0005-0000-0000-0000710C0000}"/>
    <cellStyle name="20% - Énfasis5 25" xfId="4702" xr:uid="{00000000-0005-0000-0000-0000720C0000}"/>
    <cellStyle name="20% - Énfasis5 3" xfId="4703" xr:uid="{00000000-0005-0000-0000-0000730C0000}"/>
    <cellStyle name="20% - Énfasis5 3 2" xfId="4704" xr:uid="{00000000-0005-0000-0000-0000740C0000}"/>
    <cellStyle name="20% - Énfasis5 4" xfId="4705" xr:uid="{00000000-0005-0000-0000-0000750C0000}"/>
    <cellStyle name="20% - Énfasis5 5" xfId="4706" xr:uid="{00000000-0005-0000-0000-0000760C0000}"/>
    <cellStyle name="20% - Énfasis5 6" xfId="4707" xr:uid="{00000000-0005-0000-0000-0000770C0000}"/>
    <cellStyle name="20% - Énfasis5 7" xfId="4708" xr:uid="{00000000-0005-0000-0000-0000780C0000}"/>
    <cellStyle name="20% - Énfasis5 8" xfId="4709" xr:uid="{00000000-0005-0000-0000-0000790C0000}"/>
    <cellStyle name="20% - Énfasis5 9" xfId="4710" xr:uid="{00000000-0005-0000-0000-00007A0C0000}"/>
    <cellStyle name="20% - Énfasis6" xfId="924" xr:uid="{00000000-0005-0000-0000-00007B0C0000}"/>
    <cellStyle name="20% - Énfasis6 10" xfId="4711" xr:uid="{00000000-0005-0000-0000-00007C0C0000}"/>
    <cellStyle name="20% - Énfasis6 11" xfId="4712" xr:uid="{00000000-0005-0000-0000-00007D0C0000}"/>
    <cellStyle name="20% - Énfasis6 12" xfId="4713" xr:uid="{00000000-0005-0000-0000-00007E0C0000}"/>
    <cellStyle name="20% - Énfasis6 13" xfId="4714" xr:uid="{00000000-0005-0000-0000-00007F0C0000}"/>
    <cellStyle name="20% - Énfasis6 14" xfId="4715" xr:uid="{00000000-0005-0000-0000-0000800C0000}"/>
    <cellStyle name="20% - Énfasis6 15" xfId="4716" xr:uid="{00000000-0005-0000-0000-0000810C0000}"/>
    <cellStyle name="20% - Énfasis6 16" xfId="4717" xr:uid="{00000000-0005-0000-0000-0000820C0000}"/>
    <cellStyle name="20% - Énfasis6 17" xfId="4718" xr:uid="{00000000-0005-0000-0000-0000830C0000}"/>
    <cellStyle name="20% - Énfasis6 18" xfId="4719" xr:uid="{00000000-0005-0000-0000-0000840C0000}"/>
    <cellStyle name="20% - Énfasis6 19" xfId="4720" xr:uid="{00000000-0005-0000-0000-0000850C0000}"/>
    <cellStyle name="20% - Énfasis6 2" xfId="4721" xr:uid="{00000000-0005-0000-0000-0000860C0000}"/>
    <cellStyle name="20% - Énfasis6 2 2" xfId="4722" xr:uid="{00000000-0005-0000-0000-0000870C0000}"/>
    <cellStyle name="20% - Énfasis6 20" xfId="4723" xr:uid="{00000000-0005-0000-0000-0000880C0000}"/>
    <cellStyle name="20% - Énfasis6 21" xfId="4724" xr:uid="{00000000-0005-0000-0000-0000890C0000}"/>
    <cellStyle name="20% - Énfasis6 22" xfId="4725" xr:uid="{00000000-0005-0000-0000-00008A0C0000}"/>
    <cellStyle name="20% - Énfasis6 23" xfId="4726" xr:uid="{00000000-0005-0000-0000-00008B0C0000}"/>
    <cellStyle name="20% - Énfasis6 24" xfId="4727" xr:uid="{00000000-0005-0000-0000-00008C0C0000}"/>
    <cellStyle name="20% - Énfasis6 25" xfId="4728" xr:uid="{00000000-0005-0000-0000-00008D0C0000}"/>
    <cellStyle name="20% - Énfasis6 3" xfId="4729" xr:uid="{00000000-0005-0000-0000-00008E0C0000}"/>
    <cellStyle name="20% - Énfasis6 3 2" xfId="4730" xr:uid="{00000000-0005-0000-0000-00008F0C0000}"/>
    <cellStyle name="20% - Énfasis6 4" xfId="4731" xr:uid="{00000000-0005-0000-0000-0000900C0000}"/>
    <cellStyle name="20% - Énfasis6 5" xfId="4732" xr:uid="{00000000-0005-0000-0000-0000910C0000}"/>
    <cellStyle name="20% - Énfasis6 6" xfId="4733" xr:uid="{00000000-0005-0000-0000-0000920C0000}"/>
    <cellStyle name="20% - Énfasis6 7" xfId="4734" xr:uid="{00000000-0005-0000-0000-0000930C0000}"/>
    <cellStyle name="20% - Énfasis6 8" xfId="4735" xr:uid="{00000000-0005-0000-0000-0000940C0000}"/>
    <cellStyle name="20% - Énfasis6 9" xfId="4736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7" xr:uid="{00000000-0005-0000-0000-0000980C0000}"/>
    <cellStyle name="40% - Accent2" xfId="676" xr:uid="{00000000-0005-0000-0000-0000990C0000}"/>
    <cellStyle name="40% - Accent2 2" xfId="4738" xr:uid="{00000000-0005-0000-0000-00009A0C0000}"/>
    <cellStyle name="40% - Accent3" xfId="677" xr:uid="{00000000-0005-0000-0000-00009B0C0000}"/>
    <cellStyle name="40% - Accent3 2" xfId="4739" xr:uid="{00000000-0005-0000-0000-00009C0C0000}"/>
    <cellStyle name="40% - Accent4" xfId="678" xr:uid="{00000000-0005-0000-0000-00009D0C0000}"/>
    <cellStyle name="40% - Accent4 2" xfId="4740" xr:uid="{00000000-0005-0000-0000-00009E0C0000}"/>
    <cellStyle name="40% - Accent5" xfId="679" xr:uid="{00000000-0005-0000-0000-00009F0C0000}"/>
    <cellStyle name="40% - Accent5 2" xfId="4741" xr:uid="{00000000-0005-0000-0000-0000A00C0000}"/>
    <cellStyle name="40% - Accent6" xfId="680" xr:uid="{00000000-0005-0000-0000-0000A10C0000}"/>
    <cellStyle name="40% - Accent6 2" xfId="4742" xr:uid="{00000000-0005-0000-0000-0000A20C0000}"/>
    <cellStyle name="40% - Ênfase1" xfId="681" xr:uid="{00000000-0005-0000-0000-0000A30C0000}"/>
    <cellStyle name="40% - Ênfase1 10" xfId="4743" xr:uid="{00000000-0005-0000-0000-0000A40C0000}"/>
    <cellStyle name="40% - Ênfase1 2" xfId="925" xr:uid="{00000000-0005-0000-0000-0000A50C0000}"/>
    <cellStyle name="40% - Ênfase1 2 2" xfId="4744" xr:uid="{00000000-0005-0000-0000-0000A60C0000}"/>
    <cellStyle name="40% - Ênfase1 3" xfId="1726" xr:uid="{00000000-0005-0000-0000-0000A70C0000}"/>
    <cellStyle name="40% - Ênfase1 3 2" xfId="4745" xr:uid="{00000000-0005-0000-0000-0000A80C0000}"/>
    <cellStyle name="40% - Ênfase1 4" xfId="4746" xr:uid="{00000000-0005-0000-0000-0000A90C0000}"/>
    <cellStyle name="40% - Ênfase1 4 2" xfId="4747" xr:uid="{00000000-0005-0000-0000-0000AA0C0000}"/>
    <cellStyle name="40% - Ênfase1 5" xfId="4748" xr:uid="{00000000-0005-0000-0000-0000AB0C0000}"/>
    <cellStyle name="40% - Ênfase1 6" xfId="4749" xr:uid="{00000000-0005-0000-0000-0000AC0C0000}"/>
    <cellStyle name="40% - Ênfase1 7" xfId="4750" xr:uid="{00000000-0005-0000-0000-0000AD0C0000}"/>
    <cellStyle name="40% - Ênfase1 8" xfId="4751" xr:uid="{00000000-0005-0000-0000-0000AE0C0000}"/>
    <cellStyle name="40% - Ênfase1 9" xfId="4752" xr:uid="{00000000-0005-0000-0000-0000AF0C0000}"/>
    <cellStyle name="40% - Ênfase2" xfId="682" xr:uid="{00000000-0005-0000-0000-0000B00C0000}"/>
    <cellStyle name="40% - Ênfase2 10" xfId="4753" xr:uid="{00000000-0005-0000-0000-0000B10C0000}"/>
    <cellStyle name="40% - Ênfase2 2" xfId="926" xr:uid="{00000000-0005-0000-0000-0000B20C0000}"/>
    <cellStyle name="40% - Ênfase2 2 2" xfId="4754" xr:uid="{00000000-0005-0000-0000-0000B30C0000}"/>
    <cellStyle name="40% - Ênfase2 3" xfId="1727" xr:uid="{00000000-0005-0000-0000-0000B40C0000}"/>
    <cellStyle name="40% - Ênfase2 3 2" xfId="4755" xr:uid="{00000000-0005-0000-0000-0000B50C0000}"/>
    <cellStyle name="40% - Ênfase2 4" xfId="4756" xr:uid="{00000000-0005-0000-0000-0000B60C0000}"/>
    <cellStyle name="40% - Ênfase2 4 2" xfId="4757" xr:uid="{00000000-0005-0000-0000-0000B70C0000}"/>
    <cellStyle name="40% - Ênfase2 5" xfId="4758" xr:uid="{00000000-0005-0000-0000-0000B80C0000}"/>
    <cellStyle name="40% - Ênfase2 6" xfId="4759" xr:uid="{00000000-0005-0000-0000-0000B90C0000}"/>
    <cellStyle name="40% - Ênfase2 7" xfId="4760" xr:uid="{00000000-0005-0000-0000-0000BA0C0000}"/>
    <cellStyle name="40% - Ênfase2 8" xfId="4761" xr:uid="{00000000-0005-0000-0000-0000BB0C0000}"/>
    <cellStyle name="40% - Ênfase2 9" xfId="4762" xr:uid="{00000000-0005-0000-0000-0000BC0C0000}"/>
    <cellStyle name="40% - Ênfase3" xfId="683" xr:uid="{00000000-0005-0000-0000-0000BD0C0000}"/>
    <cellStyle name="40% - Ênfase3 10" xfId="4763" xr:uid="{00000000-0005-0000-0000-0000BE0C0000}"/>
    <cellStyle name="40% - Ênfase3 2" xfId="927" xr:uid="{00000000-0005-0000-0000-0000BF0C0000}"/>
    <cellStyle name="40% - Ênfase3 2 2" xfId="4764" xr:uid="{00000000-0005-0000-0000-0000C00C0000}"/>
    <cellStyle name="40% - Ênfase3 3" xfId="1728" xr:uid="{00000000-0005-0000-0000-0000C10C0000}"/>
    <cellStyle name="40% - Ênfase3 3 2" xfId="4765" xr:uid="{00000000-0005-0000-0000-0000C20C0000}"/>
    <cellStyle name="40% - Ênfase3 4" xfId="4766" xr:uid="{00000000-0005-0000-0000-0000C30C0000}"/>
    <cellStyle name="40% - Ênfase3 4 2" xfId="4767" xr:uid="{00000000-0005-0000-0000-0000C40C0000}"/>
    <cellStyle name="40% - Ênfase3 5" xfId="4768" xr:uid="{00000000-0005-0000-0000-0000C50C0000}"/>
    <cellStyle name="40% - Ênfase3 6" xfId="4769" xr:uid="{00000000-0005-0000-0000-0000C60C0000}"/>
    <cellStyle name="40% - Ênfase3 7" xfId="4770" xr:uid="{00000000-0005-0000-0000-0000C70C0000}"/>
    <cellStyle name="40% - Ênfase3 8" xfId="4771" xr:uid="{00000000-0005-0000-0000-0000C80C0000}"/>
    <cellStyle name="40% - Ênfase3 9" xfId="4772" xr:uid="{00000000-0005-0000-0000-0000C90C0000}"/>
    <cellStyle name="40% - Ênfase4" xfId="684" xr:uid="{00000000-0005-0000-0000-0000CA0C0000}"/>
    <cellStyle name="40% - Ênfase4 10" xfId="4773" xr:uid="{00000000-0005-0000-0000-0000CB0C0000}"/>
    <cellStyle name="40% - Ênfase4 2" xfId="928" xr:uid="{00000000-0005-0000-0000-0000CC0C0000}"/>
    <cellStyle name="40% - Ênfase4 2 2" xfId="4774" xr:uid="{00000000-0005-0000-0000-0000CD0C0000}"/>
    <cellStyle name="40% - Ênfase4 3" xfId="1729" xr:uid="{00000000-0005-0000-0000-0000CE0C0000}"/>
    <cellStyle name="40% - Ênfase4 3 2" xfId="4775" xr:uid="{00000000-0005-0000-0000-0000CF0C0000}"/>
    <cellStyle name="40% - Ênfase4 4" xfId="4776" xr:uid="{00000000-0005-0000-0000-0000D00C0000}"/>
    <cellStyle name="40% - Ênfase4 4 2" xfId="4777" xr:uid="{00000000-0005-0000-0000-0000D10C0000}"/>
    <cellStyle name="40% - Ênfase4 5" xfId="4778" xr:uid="{00000000-0005-0000-0000-0000D20C0000}"/>
    <cellStyle name="40% - Ênfase4 6" xfId="4779" xr:uid="{00000000-0005-0000-0000-0000D30C0000}"/>
    <cellStyle name="40% - Ênfase4 7" xfId="4780" xr:uid="{00000000-0005-0000-0000-0000D40C0000}"/>
    <cellStyle name="40% - Ênfase4 8" xfId="4781" xr:uid="{00000000-0005-0000-0000-0000D50C0000}"/>
    <cellStyle name="40% - Ênfase4 9" xfId="4782" xr:uid="{00000000-0005-0000-0000-0000D60C0000}"/>
    <cellStyle name="40% - Ênfase5" xfId="685" xr:uid="{00000000-0005-0000-0000-0000D70C0000}"/>
    <cellStyle name="40% - Ênfase5 10" xfId="4783" xr:uid="{00000000-0005-0000-0000-0000D80C0000}"/>
    <cellStyle name="40% - Ênfase5 2" xfId="929" xr:uid="{00000000-0005-0000-0000-0000D90C0000}"/>
    <cellStyle name="40% - Ênfase5 2 2" xfId="4784" xr:uid="{00000000-0005-0000-0000-0000DA0C0000}"/>
    <cellStyle name="40% - Ênfase5 3" xfId="1730" xr:uid="{00000000-0005-0000-0000-0000DB0C0000}"/>
    <cellStyle name="40% - Ênfase5 3 2" xfId="4785" xr:uid="{00000000-0005-0000-0000-0000DC0C0000}"/>
    <cellStyle name="40% - Ênfase5 4" xfId="4786" xr:uid="{00000000-0005-0000-0000-0000DD0C0000}"/>
    <cellStyle name="40% - Ênfase5 4 2" xfId="4787" xr:uid="{00000000-0005-0000-0000-0000DE0C0000}"/>
    <cellStyle name="40% - Ênfase5 5" xfId="4788" xr:uid="{00000000-0005-0000-0000-0000DF0C0000}"/>
    <cellStyle name="40% - Ênfase5 6" xfId="4789" xr:uid="{00000000-0005-0000-0000-0000E00C0000}"/>
    <cellStyle name="40% - Ênfase5 7" xfId="4790" xr:uid="{00000000-0005-0000-0000-0000E10C0000}"/>
    <cellStyle name="40% - Ênfase5 8" xfId="4791" xr:uid="{00000000-0005-0000-0000-0000E20C0000}"/>
    <cellStyle name="40% - Ênfase5 9" xfId="4792" xr:uid="{00000000-0005-0000-0000-0000E30C0000}"/>
    <cellStyle name="40% - Ênfase6" xfId="686" xr:uid="{00000000-0005-0000-0000-0000E40C0000}"/>
    <cellStyle name="40% - Ênfase6 10" xfId="4793" xr:uid="{00000000-0005-0000-0000-0000E50C0000}"/>
    <cellStyle name="40% - Ênfase6 2" xfId="930" xr:uid="{00000000-0005-0000-0000-0000E60C0000}"/>
    <cellStyle name="40% - Ênfase6 2 2" xfId="4794" xr:uid="{00000000-0005-0000-0000-0000E70C0000}"/>
    <cellStyle name="40% - Ênfase6 3" xfId="1731" xr:uid="{00000000-0005-0000-0000-0000E80C0000}"/>
    <cellStyle name="40% - Ênfase6 3 2" xfId="4795" xr:uid="{00000000-0005-0000-0000-0000E90C0000}"/>
    <cellStyle name="40% - Ênfase6 4" xfId="4796" xr:uid="{00000000-0005-0000-0000-0000EA0C0000}"/>
    <cellStyle name="40% - Ênfase6 4 2" xfId="4797" xr:uid="{00000000-0005-0000-0000-0000EB0C0000}"/>
    <cellStyle name="40% - Ênfase6 5" xfId="4798" xr:uid="{00000000-0005-0000-0000-0000EC0C0000}"/>
    <cellStyle name="40% - Ênfase6 6" xfId="4799" xr:uid="{00000000-0005-0000-0000-0000ED0C0000}"/>
    <cellStyle name="40% - Ênfase6 7" xfId="4800" xr:uid="{00000000-0005-0000-0000-0000EE0C0000}"/>
    <cellStyle name="40% - Ênfase6 8" xfId="4801" xr:uid="{00000000-0005-0000-0000-0000EF0C0000}"/>
    <cellStyle name="40% - Ênfase6 9" xfId="4802" xr:uid="{00000000-0005-0000-0000-0000F00C0000}"/>
    <cellStyle name="40% - Énfasis1" xfId="931" xr:uid="{00000000-0005-0000-0000-0000F10C0000}"/>
    <cellStyle name="40% - Énfasis1 10" xfId="4803" xr:uid="{00000000-0005-0000-0000-0000F20C0000}"/>
    <cellStyle name="40% - Énfasis1 11" xfId="4804" xr:uid="{00000000-0005-0000-0000-0000F30C0000}"/>
    <cellStyle name="40% - Énfasis1 12" xfId="4805" xr:uid="{00000000-0005-0000-0000-0000F40C0000}"/>
    <cellStyle name="40% - Énfasis1 13" xfId="4806" xr:uid="{00000000-0005-0000-0000-0000F50C0000}"/>
    <cellStyle name="40% - Énfasis1 14" xfId="4807" xr:uid="{00000000-0005-0000-0000-0000F60C0000}"/>
    <cellStyle name="40% - Énfasis1 15" xfId="4808" xr:uid="{00000000-0005-0000-0000-0000F70C0000}"/>
    <cellStyle name="40% - Énfasis1 16" xfId="4809" xr:uid="{00000000-0005-0000-0000-0000F80C0000}"/>
    <cellStyle name="40% - Énfasis1 17" xfId="4810" xr:uid="{00000000-0005-0000-0000-0000F90C0000}"/>
    <cellStyle name="40% - Énfasis1 18" xfId="4811" xr:uid="{00000000-0005-0000-0000-0000FA0C0000}"/>
    <cellStyle name="40% - Énfasis1 19" xfId="4812" xr:uid="{00000000-0005-0000-0000-0000FB0C0000}"/>
    <cellStyle name="40% - Énfasis1 2" xfId="4813" xr:uid="{00000000-0005-0000-0000-0000FC0C0000}"/>
    <cellStyle name="40% - Énfasis1 2 2" xfId="4814" xr:uid="{00000000-0005-0000-0000-0000FD0C0000}"/>
    <cellStyle name="40% - Énfasis1 20" xfId="4815" xr:uid="{00000000-0005-0000-0000-0000FE0C0000}"/>
    <cellStyle name="40% - Énfasis1 21" xfId="4816" xr:uid="{00000000-0005-0000-0000-0000FF0C0000}"/>
    <cellStyle name="40% - Énfasis1 22" xfId="4817" xr:uid="{00000000-0005-0000-0000-0000000D0000}"/>
    <cellStyle name="40% - Énfasis1 23" xfId="4818" xr:uid="{00000000-0005-0000-0000-0000010D0000}"/>
    <cellStyle name="40% - Énfasis1 24" xfId="4819" xr:uid="{00000000-0005-0000-0000-0000020D0000}"/>
    <cellStyle name="40% - Énfasis1 25" xfId="4820" xr:uid="{00000000-0005-0000-0000-0000030D0000}"/>
    <cellStyle name="40% - Énfasis1 3" xfId="4821" xr:uid="{00000000-0005-0000-0000-0000040D0000}"/>
    <cellStyle name="40% - Énfasis1 3 2" xfId="4822" xr:uid="{00000000-0005-0000-0000-0000050D0000}"/>
    <cellStyle name="40% - Énfasis1 4" xfId="4823" xr:uid="{00000000-0005-0000-0000-0000060D0000}"/>
    <cellStyle name="40% - Énfasis1 5" xfId="4824" xr:uid="{00000000-0005-0000-0000-0000070D0000}"/>
    <cellStyle name="40% - Énfasis1 6" xfId="4825" xr:uid="{00000000-0005-0000-0000-0000080D0000}"/>
    <cellStyle name="40% - Énfasis1 7" xfId="4826" xr:uid="{00000000-0005-0000-0000-0000090D0000}"/>
    <cellStyle name="40% - Énfasis1 8" xfId="4827" xr:uid="{00000000-0005-0000-0000-00000A0D0000}"/>
    <cellStyle name="40% - Énfasis1 9" xfId="4828" xr:uid="{00000000-0005-0000-0000-00000B0D0000}"/>
    <cellStyle name="40% - Énfasis2" xfId="932" xr:uid="{00000000-0005-0000-0000-00000C0D0000}"/>
    <cellStyle name="40% - Énfasis2 10" xfId="4829" xr:uid="{00000000-0005-0000-0000-00000D0D0000}"/>
    <cellStyle name="40% - Énfasis2 11" xfId="4830" xr:uid="{00000000-0005-0000-0000-00000E0D0000}"/>
    <cellStyle name="40% - Énfasis2 12" xfId="4831" xr:uid="{00000000-0005-0000-0000-00000F0D0000}"/>
    <cellStyle name="40% - Énfasis2 13" xfId="4832" xr:uid="{00000000-0005-0000-0000-0000100D0000}"/>
    <cellStyle name="40% - Énfasis2 14" xfId="4833" xr:uid="{00000000-0005-0000-0000-0000110D0000}"/>
    <cellStyle name="40% - Énfasis2 15" xfId="4834" xr:uid="{00000000-0005-0000-0000-0000120D0000}"/>
    <cellStyle name="40% - Énfasis2 16" xfId="4835" xr:uid="{00000000-0005-0000-0000-0000130D0000}"/>
    <cellStyle name="40% - Énfasis2 17" xfId="4836" xr:uid="{00000000-0005-0000-0000-0000140D0000}"/>
    <cellStyle name="40% - Énfasis2 18" xfId="4837" xr:uid="{00000000-0005-0000-0000-0000150D0000}"/>
    <cellStyle name="40% - Énfasis2 19" xfId="4838" xr:uid="{00000000-0005-0000-0000-0000160D0000}"/>
    <cellStyle name="40% - Énfasis2 2" xfId="4839" xr:uid="{00000000-0005-0000-0000-0000170D0000}"/>
    <cellStyle name="40% - Énfasis2 2 2" xfId="4840" xr:uid="{00000000-0005-0000-0000-0000180D0000}"/>
    <cellStyle name="40% - Énfasis2 20" xfId="4841" xr:uid="{00000000-0005-0000-0000-0000190D0000}"/>
    <cellStyle name="40% - Énfasis2 21" xfId="4842" xr:uid="{00000000-0005-0000-0000-00001A0D0000}"/>
    <cellStyle name="40% - Énfasis2 22" xfId="4843" xr:uid="{00000000-0005-0000-0000-00001B0D0000}"/>
    <cellStyle name="40% - Énfasis2 23" xfId="4844" xr:uid="{00000000-0005-0000-0000-00001C0D0000}"/>
    <cellStyle name="40% - Énfasis2 24" xfId="4845" xr:uid="{00000000-0005-0000-0000-00001D0D0000}"/>
    <cellStyle name="40% - Énfasis2 25" xfId="4846" xr:uid="{00000000-0005-0000-0000-00001E0D0000}"/>
    <cellStyle name="40% - Énfasis2 3" xfId="4847" xr:uid="{00000000-0005-0000-0000-00001F0D0000}"/>
    <cellStyle name="40% - Énfasis2 3 2" xfId="4848" xr:uid="{00000000-0005-0000-0000-0000200D0000}"/>
    <cellStyle name="40% - Énfasis2 4" xfId="4849" xr:uid="{00000000-0005-0000-0000-0000210D0000}"/>
    <cellStyle name="40% - Énfasis2 5" xfId="4850" xr:uid="{00000000-0005-0000-0000-0000220D0000}"/>
    <cellStyle name="40% - Énfasis2 6" xfId="4851" xr:uid="{00000000-0005-0000-0000-0000230D0000}"/>
    <cellStyle name="40% - Énfasis2 7" xfId="4852" xr:uid="{00000000-0005-0000-0000-0000240D0000}"/>
    <cellStyle name="40% - Énfasis2 8" xfId="4853" xr:uid="{00000000-0005-0000-0000-0000250D0000}"/>
    <cellStyle name="40% - Énfasis2 9" xfId="4854" xr:uid="{00000000-0005-0000-0000-0000260D0000}"/>
    <cellStyle name="40% - Énfasis3" xfId="933" xr:uid="{00000000-0005-0000-0000-0000270D0000}"/>
    <cellStyle name="40% - Énfasis3 10" xfId="4855" xr:uid="{00000000-0005-0000-0000-0000280D0000}"/>
    <cellStyle name="40% - Énfasis3 11" xfId="4856" xr:uid="{00000000-0005-0000-0000-0000290D0000}"/>
    <cellStyle name="40% - Énfasis3 12" xfId="4857" xr:uid="{00000000-0005-0000-0000-00002A0D0000}"/>
    <cellStyle name="40% - Énfasis3 13" xfId="4858" xr:uid="{00000000-0005-0000-0000-00002B0D0000}"/>
    <cellStyle name="40% - Énfasis3 14" xfId="4859" xr:uid="{00000000-0005-0000-0000-00002C0D0000}"/>
    <cellStyle name="40% - Énfasis3 15" xfId="4860" xr:uid="{00000000-0005-0000-0000-00002D0D0000}"/>
    <cellStyle name="40% - Énfasis3 16" xfId="4861" xr:uid="{00000000-0005-0000-0000-00002E0D0000}"/>
    <cellStyle name="40% - Énfasis3 17" xfId="4862" xr:uid="{00000000-0005-0000-0000-00002F0D0000}"/>
    <cellStyle name="40% - Énfasis3 18" xfId="4863" xr:uid="{00000000-0005-0000-0000-0000300D0000}"/>
    <cellStyle name="40% - Énfasis3 19" xfId="4864" xr:uid="{00000000-0005-0000-0000-0000310D0000}"/>
    <cellStyle name="40% - Énfasis3 2" xfId="4865" xr:uid="{00000000-0005-0000-0000-0000320D0000}"/>
    <cellStyle name="40% - Énfasis3 2 2" xfId="4866" xr:uid="{00000000-0005-0000-0000-0000330D0000}"/>
    <cellStyle name="40% - Énfasis3 20" xfId="4867" xr:uid="{00000000-0005-0000-0000-0000340D0000}"/>
    <cellStyle name="40% - Énfasis3 21" xfId="4868" xr:uid="{00000000-0005-0000-0000-0000350D0000}"/>
    <cellStyle name="40% - Énfasis3 22" xfId="4869" xr:uid="{00000000-0005-0000-0000-0000360D0000}"/>
    <cellStyle name="40% - Énfasis3 23" xfId="4870" xr:uid="{00000000-0005-0000-0000-0000370D0000}"/>
    <cellStyle name="40% - Énfasis3 24" xfId="4871" xr:uid="{00000000-0005-0000-0000-0000380D0000}"/>
    <cellStyle name="40% - Énfasis3 25" xfId="4872" xr:uid="{00000000-0005-0000-0000-0000390D0000}"/>
    <cellStyle name="40% - Énfasis3 3" xfId="4873" xr:uid="{00000000-0005-0000-0000-00003A0D0000}"/>
    <cellStyle name="40% - Énfasis3 3 2" xfId="4874" xr:uid="{00000000-0005-0000-0000-00003B0D0000}"/>
    <cellStyle name="40% - Énfasis3 4" xfId="4875" xr:uid="{00000000-0005-0000-0000-00003C0D0000}"/>
    <cellStyle name="40% - Énfasis3 5" xfId="4876" xr:uid="{00000000-0005-0000-0000-00003D0D0000}"/>
    <cellStyle name="40% - Énfasis3 6" xfId="4877" xr:uid="{00000000-0005-0000-0000-00003E0D0000}"/>
    <cellStyle name="40% - Énfasis3 7" xfId="4878" xr:uid="{00000000-0005-0000-0000-00003F0D0000}"/>
    <cellStyle name="40% - Énfasis3 8" xfId="4879" xr:uid="{00000000-0005-0000-0000-0000400D0000}"/>
    <cellStyle name="40% - Énfasis3 9" xfId="4880" xr:uid="{00000000-0005-0000-0000-0000410D0000}"/>
    <cellStyle name="40% - Énfasis4" xfId="934" xr:uid="{00000000-0005-0000-0000-0000420D0000}"/>
    <cellStyle name="40% - Énfasis4 10" xfId="4881" xr:uid="{00000000-0005-0000-0000-0000430D0000}"/>
    <cellStyle name="40% - Énfasis4 11" xfId="4882" xr:uid="{00000000-0005-0000-0000-0000440D0000}"/>
    <cellStyle name="40% - Énfasis4 12" xfId="4883" xr:uid="{00000000-0005-0000-0000-0000450D0000}"/>
    <cellStyle name="40% - Énfasis4 13" xfId="4884" xr:uid="{00000000-0005-0000-0000-0000460D0000}"/>
    <cellStyle name="40% - Énfasis4 14" xfId="4885" xr:uid="{00000000-0005-0000-0000-0000470D0000}"/>
    <cellStyle name="40% - Énfasis4 15" xfId="4886" xr:uid="{00000000-0005-0000-0000-0000480D0000}"/>
    <cellStyle name="40% - Énfasis4 16" xfId="4887" xr:uid="{00000000-0005-0000-0000-0000490D0000}"/>
    <cellStyle name="40% - Énfasis4 17" xfId="4888" xr:uid="{00000000-0005-0000-0000-00004A0D0000}"/>
    <cellStyle name="40% - Énfasis4 18" xfId="4889" xr:uid="{00000000-0005-0000-0000-00004B0D0000}"/>
    <cellStyle name="40% - Énfasis4 19" xfId="4890" xr:uid="{00000000-0005-0000-0000-00004C0D0000}"/>
    <cellStyle name="40% - Énfasis4 2" xfId="4891" xr:uid="{00000000-0005-0000-0000-00004D0D0000}"/>
    <cellStyle name="40% - Énfasis4 2 2" xfId="4892" xr:uid="{00000000-0005-0000-0000-00004E0D0000}"/>
    <cellStyle name="40% - Énfasis4 20" xfId="4893" xr:uid="{00000000-0005-0000-0000-00004F0D0000}"/>
    <cellStyle name="40% - Énfasis4 21" xfId="4894" xr:uid="{00000000-0005-0000-0000-0000500D0000}"/>
    <cellStyle name="40% - Énfasis4 22" xfId="4895" xr:uid="{00000000-0005-0000-0000-0000510D0000}"/>
    <cellStyle name="40% - Énfasis4 23" xfId="4896" xr:uid="{00000000-0005-0000-0000-0000520D0000}"/>
    <cellStyle name="40% - Énfasis4 24" xfId="4897" xr:uid="{00000000-0005-0000-0000-0000530D0000}"/>
    <cellStyle name="40% - Énfasis4 25" xfId="4898" xr:uid="{00000000-0005-0000-0000-0000540D0000}"/>
    <cellStyle name="40% - Énfasis4 3" xfId="4899" xr:uid="{00000000-0005-0000-0000-0000550D0000}"/>
    <cellStyle name="40% - Énfasis4 3 2" xfId="4900" xr:uid="{00000000-0005-0000-0000-0000560D0000}"/>
    <cellStyle name="40% - Énfasis4 4" xfId="4901" xr:uid="{00000000-0005-0000-0000-0000570D0000}"/>
    <cellStyle name="40% - Énfasis4 5" xfId="4902" xr:uid="{00000000-0005-0000-0000-0000580D0000}"/>
    <cellStyle name="40% - Énfasis4 6" xfId="4903" xr:uid="{00000000-0005-0000-0000-0000590D0000}"/>
    <cellStyle name="40% - Énfasis4 7" xfId="4904" xr:uid="{00000000-0005-0000-0000-00005A0D0000}"/>
    <cellStyle name="40% - Énfasis4 8" xfId="4905" xr:uid="{00000000-0005-0000-0000-00005B0D0000}"/>
    <cellStyle name="40% - Énfasis4 9" xfId="4906" xr:uid="{00000000-0005-0000-0000-00005C0D0000}"/>
    <cellStyle name="40% - Énfasis5" xfId="935" xr:uid="{00000000-0005-0000-0000-00005D0D0000}"/>
    <cellStyle name="40% - Énfasis5 10" xfId="4907" xr:uid="{00000000-0005-0000-0000-00005E0D0000}"/>
    <cellStyle name="40% - Énfasis5 11" xfId="4908" xr:uid="{00000000-0005-0000-0000-00005F0D0000}"/>
    <cellStyle name="40% - Énfasis5 12" xfId="4909" xr:uid="{00000000-0005-0000-0000-0000600D0000}"/>
    <cellStyle name="40% - Énfasis5 13" xfId="4910" xr:uid="{00000000-0005-0000-0000-0000610D0000}"/>
    <cellStyle name="40% - Énfasis5 14" xfId="4911" xr:uid="{00000000-0005-0000-0000-0000620D0000}"/>
    <cellStyle name="40% - Énfasis5 15" xfId="4912" xr:uid="{00000000-0005-0000-0000-0000630D0000}"/>
    <cellStyle name="40% - Énfasis5 16" xfId="4913" xr:uid="{00000000-0005-0000-0000-0000640D0000}"/>
    <cellStyle name="40% - Énfasis5 17" xfId="4914" xr:uid="{00000000-0005-0000-0000-0000650D0000}"/>
    <cellStyle name="40% - Énfasis5 18" xfId="4915" xr:uid="{00000000-0005-0000-0000-0000660D0000}"/>
    <cellStyle name="40% - Énfasis5 19" xfId="4916" xr:uid="{00000000-0005-0000-0000-0000670D0000}"/>
    <cellStyle name="40% - Énfasis5 2" xfId="4917" xr:uid="{00000000-0005-0000-0000-0000680D0000}"/>
    <cellStyle name="40% - Énfasis5 2 2" xfId="4918" xr:uid="{00000000-0005-0000-0000-0000690D0000}"/>
    <cellStyle name="40% - Énfasis5 20" xfId="4919" xr:uid="{00000000-0005-0000-0000-00006A0D0000}"/>
    <cellStyle name="40% - Énfasis5 21" xfId="4920" xr:uid="{00000000-0005-0000-0000-00006B0D0000}"/>
    <cellStyle name="40% - Énfasis5 22" xfId="4921" xr:uid="{00000000-0005-0000-0000-00006C0D0000}"/>
    <cellStyle name="40% - Énfasis5 23" xfId="4922" xr:uid="{00000000-0005-0000-0000-00006D0D0000}"/>
    <cellStyle name="40% - Énfasis5 24" xfId="4923" xr:uid="{00000000-0005-0000-0000-00006E0D0000}"/>
    <cellStyle name="40% - Énfasis5 25" xfId="4924" xr:uid="{00000000-0005-0000-0000-00006F0D0000}"/>
    <cellStyle name="40% - Énfasis5 3" xfId="4925" xr:uid="{00000000-0005-0000-0000-0000700D0000}"/>
    <cellStyle name="40% - Énfasis5 3 2" xfId="4926" xr:uid="{00000000-0005-0000-0000-0000710D0000}"/>
    <cellStyle name="40% - Énfasis5 4" xfId="4927" xr:uid="{00000000-0005-0000-0000-0000720D0000}"/>
    <cellStyle name="40% - Énfasis5 5" xfId="4928" xr:uid="{00000000-0005-0000-0000-0000730D0000}"/>
    <cellStyle name="40% - Énfasis5 6" xfId="4929" xr:uid="{00000000-0005-0000-0000-0000740D0000}"/>
    <cellStyle name="40% - Énfasis5 7" xfId="4930" xr:uid="{00000000-0005-0000-0000-0000750D0000}"/>
    <cellStyle name="40% - Énfasis5 8" xfId="4931" xr:uid="{00000000-0005-0000-0000-0000760D0000}"/>
    <cellStyle name="40% - Énfasis5 9" xfId="4932" xr:uid="{00000000-0005-0000-0000-0000770D0000}"/>
    <cellStyle name="40% - Énfasis6" xfId="936" xr:uid="{00000000-0005-0000-0000-0000780D0000}"/>
    <cellStyle name="40% - Énfasis6 10" xfId="4933" xr:uid="{00000000-0005-0000-0000-0000790D0000}"/>
    <cellStyle name="40% - Énfasis6 11" xfId="4934" xr:uid="{00000000-0005-0000-0000-00007A0D0000}"/>
    <cellStyle name="40% - Énfasis6 12" xfId="4935" xr:uid="{00000000-0005-0000-0000-00007B0D0000}"/>
    <cellStyle name="40% - Énfasis6 13" xfId="4936" xr:uid="{00000000-0005-0000-0000-00007C0D0000}"/>
    <cellStyle name="40% - Énfasis6 14" xfId="4937" xr:uid="{00000000-0005-0000-0000-00007D0D0000}"/>
    <cellStyle name="40% - Énfasis6 15" xfId="4938" xr:uid="{00000000-0005-0000-0000-00007E0D0000}"/>
    <cellStyle name="40% - Énfasis6 16" xfId="4939" xr:uid="{00000000-0005-0000-0000-00007F0D0000}"/>
    <cellStyle name="40% - Énfasis6 17" xfId="4940" xr:uid="{00000000-0005-0000-0000-0000800D0000}"/>
    <cellStyle name="40% - Énfasis6 18" xfId="4941" xr:uid="{00000000-0005-0000-0000-0000810D0000}"/>
    <cellStyle name="40% - Énfasis6 19" xfId="4942" xr:uid="{00000000-0005-0000-0000-0000820D0000}"/>
    <cellStyle name="40% - Énfasis6 2" xfId="4943" xr:uid="{00000000-0005-0000-0000-0000830D0000}"/>
    <cellStyle name="40% - Énfasis6 2 2" xfId="4944" xr:uid="{00000000-0005-0000-0000-0000840D0000}"/>
    <cellStyle name="40% - Énfasis6 20" xfId="4945" xr:uid="{00000000-0005-0000-0000-0000850D0000}"/>
    <cellStyle name="40% - Énfasis6 21" xfId="4946" xr:uid="{00000000-0005-0000-0000-0000860D0000}"/>
    <cellStyle name="40% - Énfasis6 22" xfId="4947" xr:uid="{00000000-0005-0000-0000-0000870D0000}"/>
    <cellStyle name="40% - Énfasis6 23" xfId="4948" xr:uid="{00000000-0005-0000-0000-0000880D0000}"/>
    <cellStyle name="40% - Énfasis6 24" xfId="4949" xr:uid="{00000000-0005-0000-0000-0000890D0000}"/>
    <cellStyle name="40% - Énfasis6 25" xfId="4950" xr:uid="{00000000-0005-0000-0000-00008A0D0000}"/>
    <cellStyle name="40% - Énfasis6 3" xfId="4951" xr:uid="{00000000-0005-0000-0000-00008B0D0000}"/>
    <cellStyle name="40% - Énfasis6 3 2" xfId="4952" xr:uid="{00000000-0005-0000-0000-00008C0D0000}"/>
    <cellStyle name="40% - Énfasis6 4" xfId="4953" xr:uid="{00000000-0005-0000-0000-00008D0D0000}"/>
    <cellStyle name="40% - Énfasis6 5" xfId="4954" xr:uid="{00000000-0005-0000-0000-00008E0D0000}"/>
    <cellStyle name="40% - Énfasis6 6" xfId="4955" xr:uid="{00000000-0005-0000-0000-00008F0D0000}"/>
    <cellStyle name="40% - Énfasis6 7" xfId="4956" xr:uid="{00000000-0005-0000-0000-0000900D0000}"/>
    <cellStyle name="40% - Énfasis6 8" xfId="4957" xr:uid="{00000000-0005-0000-0000-0000910D0000}"/>
    <cellStyle name="40% - Énfasis6 9" xfId="4958" xr:uid="{00000000-0005-0000-0000-0000920D0000}"/>
    <cellStyle name="60% - Accent1" xfId="687" xr:uid="{00000000-0005-0000-0000-0000930D0000}"/>
    <cellStyle name="60% - Accent1 2" xfId="4959" xr:uid="{00000000-0005-0000-0000-0000940D0000}"/>
    <cellStyle name="60% - Accent2" xfId="688" xr:uid="{00000000-0005-0000-0000-0000950D0000}"/>
    <cellStyle name="60% - Accent2 2" xfId="4960" xr:uid="{00000000-0005-0000-0000-0000960D0000}"/>
    <cellStyle name="60% - Accent3" xfId="689" xr:uid="{00000000-0005-0000-0000-0000970D0000}"/>
    <cellStyle name="60% - Accent3 2" xfId="4961" xr:uid="{00000000-0005-0000-0000-0000980D0000}"/>
    <cellStyle name="60% - Accent4" xfId="690" xr:uid="{00000000-0005-0000-0000-0000990D0000}"/>
    <cellStyle name="60% - Accent4 2" xfId="4962" xr:uid="{00000000-0005-0000-0000-00009A0D0000}"/>
    <cellStyle name="60% - Accent5" xfId="691" xr:uid="{00000000-0005-0000-0000-00009B0D0000}"/>
    <cellStyle name="60% - Accent5 2" xfId="4963" xr:uid="{00000000-0005-0000-0000-00009C0D0000}"/>
    <cellStyle name="60% - Accent6" xfId="692" xr:uid="{00000000-0005-0000-0000-00009D0D0000}"/>
    <cellStyle name="60% - Accent6 2" xfId="4964" xr:uid="{00000000-0005-0000-0000-00009E0D0000}"/>
    <cellStyle name="60% - Ênfase1" xfId="693" xr:uid="{00000000-0005-0000-0000-00009F0D0000}"/>
    <cellStyle name="60% - Ênfase1 10" xfId="4965" xr:uid="{00000000-0005-0000-0000-0000A00D0000}"/>
    <cellStyle name="60% - Ênfase1 2" xfId="937" xr:uid="{00000000-0005-0000-0000-0000A10D0000}"/>
    <cellStyle name="60% - Ênfase1 2 2" xfId="4966" xr:uid="{00000000-0005-0000-0000-0000A20D0000}"/>
    <cellStyle name="60% - Ênfase1 3" xfId="1732" xr:uid="{00000000-0005-0000-0000-0000A30D0000}"/>
    <cellStyle name="60% - Ênfase1 3 2" xfId="4967" xr:uid="{00000000-0005-0000-0000-0000A40D0000}"/>
    <cellStyle name="60% - Ênfase1 4" xfId="4968" xr:uid="{00000000-0005-0000-0000-0000A50D0000}"/>
    <cellStyle name="60% - Ênfase1 4 2" xfId="4969" xr:uid="{00000000-0005-0000-0000-0000A60D0000}"/>
    <cellStyle name="60% - Ênfase1 5" xfId="4970" xr:uid="{00000000-0005-0000-0000-0000A70D0000}"/>
    <cellStyle name="60% - Ênfase1 6" xfId="4971" xr:uid="{00000000-0005-0000-0000-0000A80D0000}"/>
    <cellStyle name="60% - Ênfase1 7" xfId="4972" xr:uid="{00000000-0005-0000-0000-0000A90D0000}"/>
    <cellStyle name="60% - Ênfase1 8" xfId="4973" xr:uid="{00000000-0005-0000-0000-0000AA0D0000}"/>
    <cellStyle name="60% - Ênfase1 9" xfId="4974" xr:uid="{00000000-0005-0000-0000-0000AB0D0000}"/>
    <cellStyle name="60% - Ênfase2" xfId="694" xr:uid="{00000000-0005-0000-0000-0000AC0D0000}"/>
    <cellStyle name="60% - Ênfase2 10" xfId="4975" xr:uid="{00000000-0005-0000-0000-0000AD0D0000}"/>
    <cellStyle name="60% - Ênfase2 2" xfId="938" xr:uid="{00000000-0005-0000-0000-0000AE0D0000}"/>
    <cellStyle name="60% - Ênfase2 2 2" xfId="4976" xr:uid="{00000000-0005-0000-0000-0000AF0D0000}"/>
    <cellStyle name="60% - Ênfase2 3" xfId="1733" xr:uid="{00000000-0005-0000-0000-0000B00D0000}"/>
    <cellStyle name="60% - Ênfase2 3 2" xfId="4977" xr:uid="{00000000-0005-0000-0000-0000B10D0000}"/>
    <cellStyle name="60% - Ênfase2 4" xfId="4978" xr:uid="{00000000-0005-0000-0000-0000B20D0000}"/>
    <cellStyle name="60% - Ênfase2 4 2" xfId="4979" xr:uid="{00000000-0005-0000-0000-0000B30D0000}"/>
    <cellStyle name="60% - Ênfase2 5" xfId="4980" xr:uid="{00000000-0005-0000-0000-0000B40D0000}"/>
    <cellStyle name="60% - Ênfase2 6" xfId="4981" xr:uid="{00000000-0005-0000-0000-0000B50D0000}"/>
    <cellStyle name="60% - Ênfase2 7" xfId="4982" xr:uid="{00000000-0005-0000-0000-0000B60D0000}"/>
    <cellStyle name="60% - Ênfase2 8" xfId="4983" xr:uid="{00000000-0005-0000-0000-0000B70D0000}"/>
    <cellStyle name="60% - Ênfase2 9" xfId="4984" xr:uid="{00000000-0005-0000-0000-0000B80D0000}"/>
    <cellStyle name="60% - Ênfase3" xfId="695" xr:uid="{00000000-0005-0000-0000-0000B90D0000}"/>
    <cellStyle name="60% - Ênfase3 10" xfId="4985" xr:uid="{00000000-0005-0000-0000-0000BA0D0000}"/>
    <cellStyle name="60% - Ênfase3 2" xfId="939" xr:uid="{00000000-0005-0000-0000-0000BB0D0000}"/>
    <cellStyle name="60% - Ênfase3 2 2" xfId="4986" xr:uid="{00000000-0005-0000-0000-0000BC0D0000}"/>
    <cellStyle name="60% - Ênfase3 3" xfId="1734" xr:uid="{00000000-0005-0000-0000-0000BD0D0000}"/>
    <cellStyle name="60% - Ênfase3 3 2" xfId="4987" xr:uid="{00000000-0005-0000-0000-0000BE0D0000}"/>
    <cellStyle name="60% - Ênfase3 4" xfId="4988" xr:uid="{00000000-0005-0000-0000-0000BF0D0000}"/>
    <cellStyle name="60% - Ênfase3 4 2" xfId="4989" xr:uid="{00000000-0005-0000-0000-0000C00D0000}"/>
    <cellStyle name="60% - Ênfase3 5" xfId="4990" xr:uid="{00000000-0005-0000-0000-0000C10D0000}"/>
    <cellStyle name="60% - Ênfase3 6" xfId="4991" xr:uid="{00000000-0005-0000-0000-0000C20D0000}"/>
    <cellStyle name="60% - Ênfase3 7" xfId="4992" xr:uid="{00000000-0005-0000-0000-0000C30D0000}"/>
    <cellStyle name="60% - Ênfase3 8" xfId="4993" xr:uid="{00000000-0005-0000-0000-0000C40D0000}"/>
    <cellStyle name="60% - Ênfase3 9" xfId="4994" xr:uid="{00000000-0005-0000-0000-0000C50D0000}"/>
    <cellStyle name="60% - Ênfase4" xfId="696" xr:uid="{00000000-0005-0000-0000-0000C60D0000}"/>
    <cellStyle name="60% - Ênfase4 10" xfId="4995" xr:uid="{00000000-0005-0000-0000-0000C70D0000}"/>
    <cellStyle name="60% - Ênfase4 2" xfId="940" xr:uid="{00000000-0005-0000-0000-0000C80D0000}"/>
    <cellStyle name="60% - Ênfase4 2 2" xfId="4996" xr:uid="{00000000-0005-0000-0000-0000C90D0000}"/>
    <cellStyle name="60% - Ênfase4 3" xfId="1735" xr:uid="{00000000-0005-0000-0000-0000CA0D0000}"/>
    <cellStyle name="60% - Ênfase4 3 2" xfId="4997" xr:uid="{00000000-0005-0000-0000-0000CB0D0000}"/>
    <cellStyle name="60% - Ênfase4 4" xfId="4998" xr:uid="{00000000-0005-0000-0000-0000CC0D0000}"/>
    <cellStyle name="60% - Ênfase4 4 2" xfId="4999" xr:uid="{00000000-0005-0000-0000-0000CD0D0000}"/>
    <cellStyle name="60% - Ênfase4 5" xfId="5000" xr:uid="{00000000-0005-0000-0000-0000CE0D0000}"/>
    <cellStyle name="60% - Ênfase4 6" xfId="5001" xr:uid="{00000000-0005-0000-0000-0000CF0D0000}"/>
    <cellStyle name="60% - Ênfase4 7" xfId="5002" xr:uid="{00000000-0005-0000-0000-0000D00D0000}"/>
    <cellStyle name="60% - Ênfase4 8" xfId="5003" xr:uid="{00000000-0005-0000-0000-0000D10D0000}"/>
    <cellStyle name="60% - Ênfase4 9" xfId="5004" xr:uid="{00000000-0005-0000-0000-0000D20D0000}"/>
    <cellStyle name="60% - Ênfase5" xfId="697" xr:uid="{00000000-0005-0000-0000-0000D30D0000}"/>
    <cellStyle name="60% - Ênfase5 10" xfId="5005" xr:uid="{00000000-0005-0000-0000-0000D40D0000}"/>
    <cellStyle name="60% - Ênfase5 2" xfId="941" xr:uid="{00000000-0005-0000-0000-0000D50D0000}"/>
    <cellStyle name="60% - Ênfase5 2 2" xfId="5006" xr:uid="{00000000-0005-0000-0000-0000D60D0000}"/>
    <cellStyle name="60% - Ênfase5 3" xfId="1736" xr:uid="{00000000-0005-0000-0000-0000D70D0000}"/>
    <cellStyle name="60% - Ênfase5 3 2" xfId="5007" xr:uid="{00000000-0005-0000-0000-0000D80D0000}"/>
    <cellStyle name="60% - Ênfase5 4" xfId="5008" xr:uid="{00000000-0005-0000-0000-0000D90D0000}"/>
    <cellStyle name="60% - Ênfase5 4 2" xfId="5009" xr:uid="{00000000-0005-0000-0000-0000DA0D0000}"/>
    <cellStyle name="60% - Ênfase5 5" xfId="5010" xr:uid="{00000000-0005-0000-0000-0000DB0D0000}"/>
    <cellStyle name="60% - Ênfase5 6" xfId="5011" xr:uid="{00000000-0005-0000-0000-0000DC0D0000}"/>
    <cellStyle name="60% - Ênfase5 7" xfId="5012" xr:uid="{00000000-0005-0000-0000-0000DD0D0000}"/>
    <cellStyle name="60% - Ênfase5 8" xfId="5013" xr:uid="{00000000-0005-0000-0000-0000DE0D0000}"/>
    <cellStyle name="60% - Ênfase5 9" xfId="5014" xr:uid="{00000000-0005-0000-0000-0000DF0D0000}"/>
    <cellStyle name="60% - Ênfase6" xfId="698" xr:uid="{00000000-0005-0000-0000-0000E00D0000}"/>
    <cellStyle name="60% - Ênfase6 10" xfId="5015" xr:uid="{00000000-0005-0000-0000-0000E10D0000}"/>
    <cellStyle name="60% - Ênfase6 2" xfId="942" xr:uid="{00000000-0005-0000-0000-0000E20D0000}"/>
    <cellStyle name="60% - Ênfase6 2 2" xfId="5016" xr:uid="{00000000-0005-0000-0000-0000E30D0000}"/>
    <cellStyle name="60% - Ênfase6 3" xfId="1737" xr:uid="{00000000-0005-0000-0000-0000E40D0000}"/>
    <cellStyle name="60% - Ênfase6 3 2" xfId="5017" xr:uid="{00000000-0005-0000-0000-0000E50D0000}"/>
    <cellStyle name="60% - Ênfase6 4" xfId="5018" xr:uid="{00000000-0005-0000-0000-0000E60D0000}"/>
    <cellStyle name="60% - Ênfase6 4 2" xfId="5019" xr:uid="{00000000-0005-0000-0000-0000E70D0000}"/>
    <cellStyle name="60% - Ênfase6 5" xfId="5020" xr:uid="{00000000-0005-0000-0000-0000E80D0000}"/>
    <cellStyle name="60% - Ênfase6 6" xfId="5021" xr:uid="{00000000-0005-0000-0000-0000E90D0000}"/>
    <cellStyle name="60% - Ênfase6 7" xfId="5022" xr:uid="{00000000-0005-0000-0000-0000EA0D0000}"/>
    <cellStyle name="60% - Ênfase6 8" xfId="5023" xr:uid="{00000000-0005-0000-0000-0000EB0D0000}"/>
    <cellStyle name="60% - Ênfase6 9" xfId="5024" xr:uid="{00000000-0005-0000-0000-0000EC0D0000}"/>
    <cellStyle name="60% - Énfasis1" xfId="943" xr:uid="{00000000-0005-0000-0000-0000ED0D0000}"/>
    <cellStyle name="60% - Énfasis1 2" xfId="5025" xr:uid="{00000000-0005-0000-0000-0000EE0D0000}"/>
    <cellStyle name="60% - Énfasis2" xfId="944" xr:uid="{00000000-0005-0000-0000-0000EF0D0000}"/>
    <cellStyle name="60% - Énfasis2 2" xfId="5026" xr:uid="{00000000-0005-0000-0000-0000F00D0000}"/>
    <cellStyle name="60% - Énfasis3" xfId="945" xr:uid="{00000000-0005-0000-0000-0000F10D0000}"/>
    <cellStyle name="60% - Énfasis3 2" xfId="5027" xr:uid="{00000000-0005-0000-0000-0000F20D0000}"/>
    <cellStyle name="60% - Énfasis4" xfId="946" xr:uid="{00000000-0005-0000-0000-0000F30D0000}"/>
    <cellStyle name="60% - Énfasis4 2" xfId="5028" xr:uid="{00000000-0005-0000-0000-0000F40D0000}"/>
    <cellStyle name="60% - Énfasis5" xfId="947" xr:uid="{00000000-0005-0000-0000-0000F50D0000}"/>
    <cellStyle name="60% - Énfasis5 2" xfId="5029" xr:uid="{00000000-0005-0000-0000-0000F60D0000}"/>
    <cellStyle name="60% - Énfasis6" xfId="948" xr:uid="{00000000-0005-0000-0000-0000F70D0000}"/>
    <cellStyle name="60% - Énfasis6 2" xfId="5030" xr:uid="{00000000-0005-0000-0000-0000F80D0000}"/>
    <cellStyle name="8" xfId="699" xr:uid="{00000000-0005-0000-0000-0000F90D0000}"/>
    <cellStyle name="8_Cálculo do Financeiro do Baixa Renda" xfId="5031" xr:uid="{00000000-0005-0000-0000-0000FA0D0000}"/>
    <cellStyle name="8_Cálculo do Financeiro do Baixa Renda_IRT-cálculo" xfId="5032" xr:uid="{00000000-0005-0000-0000-0000FB0D0000}"/>
    <cellStyle name="8_Cálculo do Financeiro do Baixa Renda_IRT-cálculo CAPA NEUTRALIDADE" xfId="5033" xr:uid="{00000000-0005-0000-0000-0000FC0D0000}"/>
    <cellStyle name="8_Calculo_Subsidio_ELFSM_26_06_08_Modelo_ANEEL" xfId="5034" xr:uid="{00000000-0005-0000-0000-0000FD0D0000}"/>
    <cellStyle name="8_Calculo_Subsidio_ELFSM_26_06_08_Modelo_ANEEL_IRT-cálculo" xfId="5035" xr:uid="{00000000-0005-0000-0000-0000FE0D0000}"/>
    <cellStyle name="8_Calculo_Subsidio_ELFSM_26_06_08_Modelo_ANEEL_IRT-cálculo CAPA NEUTRALIDADE" xfId="5036" xr:uid="{00000000-0005-0000-0000-0000FF0D0000}"/>
    <cellStyle name="8_Cópia de COELBA_06_DIFERENÃAS_FINANCEIRAS_EM_CONSTITUIÃ+O_Jul08" xfId="5037" xr:uid="{00000000-0005-0000-0000-0000000E0000}"/>
    <cellStyle name="8_Custo com Avaliação de Ativos para Base de Remuneração" xfId="5038" xr:uid="{00000000-0005-0000-0000-0000010E0000}"/>
    <cellStyle name="8_Custo com Avaliação de Ativos para Base de Remuneração_IRT-cálculo" xfId="5039" xr:uid="{00000000-0005-0000-0000-0000020E0000}"/>
    <cellStyle name="8_Custo com Avaliação de Ativos para Base de Remuneração_IRT-cálculo CAPA NEUTRALIDADE" xfId="5040" xr:uid="{00000000-0005-0000-0000-0000030E0000}"/>
    <cellStyle name="8_CVA_Projetada até dez-2008_Setembro" xfId="5041" xr:uid="{00000000-0005-0000-0000-0000040E0000}"/>
    <cellStyle name="8_CVA_Projetada até dez-2008_Setembro_CVA Outros Componentes PROVISÃO" xfId="5042" xr:uid="{00000000-0005-0000-0000-0000050E0000}"/>
    <cellStyle name="8_CVA_Projetada até dez-2008_Setembro_PROVISÃO" xfId="5043" xr:uid="{00000000-0005-0000-0000-0000060E0000}"/>
    <cellStyle name="8_Energia Comprada" xfId="5044" xr:uid="{00000000-0005-0000-0000-0000070E0000}"/>
    <cellStyle name="8_Energia Comprada_IRT-cálculo" xfId="5045" xr:uid="{00000000-0005-0000-0000-0000080E0000}"/>
    <cellStyle name="8_Energia Comprada_IRT-cálculo CAPA NEUTRALIDADE" xfId="5046" xr:uid="{00000000-0005-0000-0000-0000090E0000}"/>
    <cellStyle name="8_Fator X" xfId="1640" xr:uid="{00000000-0005-0000-0000-00000A0E0000}"/>
    <cellStyle name="8_Fator X_IRT-cálculo" xfId="5047" xr:uid="{00000000-0005-0000-0000-00000B0E0000}"/>
    <cellStyle name="8_Fator X_IRT-cálculo CAPA NEUTRALIDADE" xfId="5048" xr:uid="{00000000-0005-0000-0000-00000C0E0000}"/>
    <cellStyle name="8_Fator X_SOBRECONTRATAÇÃO E CVA" xfId="5049" xr:uid="{00000000-0005-0000-0000-00000D0E0000}"/>
    <cellStyle name="8_IF - Autoprodutores 2" xfId="5050" xr:uid="{00000000-0005-0000-0000-00000E0E0000}"/>
    <cellStyle name="8_IF_Consumidores livres e geradoras_2010" xfId="5051" xr:uid="{00000000-0005-0000-0000-00000F0E0000}"/>
    <cellStyle name="8_IRT (2)" xfId="1641" xr:uid="{00000000-0005-0000-0000-0000100E0000}"/>
    <cellStyle name="8_IRT (2) 2" xfId="5052" xr:uid="{00000000-0005-0000-0000-0000110E0000}"/>
    <cellStyle name="8_IRT Piratininga 2009" xfId="700" xr:uid="{00000000-0005-0000-0000-0000120E0000}"/>
    <cellStyle name="8_IRT Piratininga 2009 2" xfId="1467" xr:uid="{00000000-0005-0000-0000-0000130E0000}"/>
    <cellStyle name="8_IRT_1" xfId="1642" xr:uid="{00000000-0005-0000-0000-0000140E0000}"/>
    <cellStyle name="8_IRT_1_IRT-cálculo" xfId="5053" xr:uid="{00000000-0005-0000-0000-0000150E0000}"/>
    <cellStyle name="8_IRT_1_IRT-cálculo CAPA NEUTRALIDADE" xfId="5054" xr:uid="{00000000-0005-0000-0000-0000160E0000}"/>
    <cellStyle name="8_IRT_1_SOBRECONTRATAÇÃO E CVA" xfId="5055" xr:uid="{00000000-0005-0000-0000-0000170E0000}"/>
    <cellStyle name="8_IRT_LIGHT_nov2007" xfId="1643" xr:uid="{00000000-0005-0000-0000-0000180E0000}"/>
    <cellStyle name="8_IRT_LIGHT_nov2007_IRT-cálculo" xfId="5056" xr:uid="{00000000-0005-0000-0000-0000190E0000}"/>
    <cellStyle name="8_IRT_LIGHT_nov2007_IRT-cálculo CAPA NEUTRALIDADE" xfId="5057" xr:uid="{00000000-0005-0000-0000-00001A0E0000}"/>
    <cellStyle name="8_IRT_LIGHT_nov2007_SOBRECONTRATAÇÃO E CVA" xfId="5058" xr:uid="{00000000-0005-0000-0000-00001B0E0000}"/>
    <cellStyle name="8_IRT_Planilha Básica_ CETRIL" xfId="701" xr:uid="{00000000-0005-0000-0000-00001C0E0000}"/>
    <cellStyle name="8_IRT_Planilha Básica_ CETRIL 2" xfId="1468" xr:uid="{00000000-0005-0000-0000-00001D0E0000}"/>
    <cellStyle name="8_IRT_Planilha Básica_mar2010b" xfId="5059" xr:uid="{00000000-0005-0000-0000-00001E0E0000}"/>
    <cellStyle name="8_IRT_Pleito" xfId="5060" xr:uid="{00000000-0005-0000-0000-00001F0E0000}"/>
    <cellStyle name="8_IRT_Pleito_IRT-cálculo" xfId="5061" xr:uid="{00000000-0005-0000-0000-0000200E0000}"/>
    <cellStyle name="8_IRT_Pleito_IRT-cálculo CAPA NEUTRALIDADE" xfId="5062" xr:uid="{00000000-0005-0000-0000-0000210E0000}"/>
    <cellStyle name="8_IRT1" xfId="5063" xr:uid="{00000000-0005-0000-0000-0000220E0000}"/>
    <cellStyle name="8_IRT1_IRT-cálculo" xfId="5064" xr:uid="{00000000-0005-0000-0000-0000230E0000}"/>
    <cellStyle name="8_IRT1_IRT-cálculo CAPA NEUTRALIDADE" xfId="5065" xr:uid="{00000000-0005-0000-0000-0000240E0000}"/>
    <cellStyle name="8_IRT-cálculo" xfId="5066" xr:uid="{00000000-0005-0000-0000-0000250E0000}"/>
    <cellStyle name="8_Pasta1" xfId="1644" xr:uid="{00000000-0005-0000-0000-0000260E0000}"/>
    <cellStyle name="8_Pasta1_IRT-cálculo" xfId="5067" xr:uid="{00000000-0005-0000-0000-0000270E0000}"/>
    <cellStyle name="8_Pasta1_IRT-cálculo CAPA NEUTRALIDADE" xfId="5068" xr:uid="{00000000-0005-0000-0000-0000280E0000}"/>
    <cellStyle name="8_Pasta1_SOBRECONTRATAÇÃO E CVA" xfId="5069" xr:uid="{00000000-0005-0000-0000-0000290E0000}"/>
    <cellStyle name="8_Receita de Venda Leilão Nova Térmico" xfId="5070" xr:uid="{00000000-0005-0000-0000-00002A0E0000}"/>
    <cellStyle name="8_Receita de Venda Leilão Nova Térmico_IRT-cálculo" xfId="5071" xr:uid="{00000000-0005-0000-0000-00002B0E0000}"/>
    <cellStyle name="8_Receita de Venda Leilão Nova Térmico_IRT-cálculo CAPA NEUTRALIDADE" xfId="5072" xr:uid="{00000000-0005-0000-0000-00002C0E0000}"/>
    <cellStyle name="8_Recurso Administrativo IRT 2006 - Erro Receita Verificada" xfId="5073" xr:uid="{00000000-0005-0000-0000-00002D0E0000}"/>
    <cellStyle name="8_Recurso Administrativo IRT 2006 - Erro Receita Verificada_IRT-cálculo" xfId="5074" xr:uid="{00000000-0005-0000-0000-00002E0E0000}"/>
    <cellStyle name="8_Recurso Administrativo IRT 2006 - Erro Receita Verificada_IRT-cálculo CAPA NEUTRALIDADE" xfId="5075" xr:uid="{00000000-0005-0000-0000-00002F0E0000}"/>
    <cellStyle name="8_Sheet1" xfId="5076" xr:uid="{00000000-0005-0000-0000-0000300E0000}"/>
    <cellStyle name="8_Sheet2" xfId="5077" xr:uid="{00000000-0005-0000-0000-0000310E0000}"/>
    <cellStyle name="8_Simulação CEPISA XX_08_07" xfId="1645" xr:uid="{00000000-0005-0000-0000-0000320E0000}"/>
    <cellStyle name="8_Simulação CEPISA XX_08_07 2" xfId="5078" xr:uid="{00000000-0005-0000-0000-0000330E0000}"/>
    <cellStyle name="8_SOBRECONTRATAÇÃO E CVA" xfId="5079" xr:uid="{00000000-0005-0000-0000-0000340E0000}"/>
    <cellStyle name="8_SOBRECONTRATAÇÃO E CVA A-1" xfId="5080" xr:uid="{00000000-0005-0000-0000-0000350E0000}"/>
    <cellStyle name="8_SOBRECONTRATAÇÃO E CVA A-1_IRT-cálculo" xfId="5081" xr:uid="{00000000-0005-0000-0000-0000360E0000}"/>
    <cellStyle name="8_SOBRECONTRATAÇÃO E CVA A-1_IRT-cálculo CAPA NEUTRALIDADE" xfId="5082" xr:uid="{00000000-0005-0000-0000-0000370E0000}"/>
    <cellStyle name="8_TUSD e TE 243_2006" xfId="5083" xr:uid="{00000000-0005-0000-0000-0000380E0000}"/>
    <cellStyle name="A3 297 x 420 mm" xfId="702" xr:uid="{00000000-0005-0000-0000-0000390E0000}"/>
    <cellStyle name="A3 297 x 420 mm 2" xfId="1796" xr:uid="{00000000-0005-0000-0000-00003A0E0000}"/>
    <cellStyle name="ac" xfId="703" xr:uid="{00000000-0005-0000-0000-00003B0E0000}"/>
    <cellStyle name="ac 2" xfId="949" xr:uid="{00000000-0005-0000-0000-00003C0E0000}"/>
    <cellStyle name="ac 2 2" xfId="1825" xr:uid="{00000000-0005-0000-0000-00003D0E0000}"/>
    <cellStyle name="ac 2 2 2" xfId="2480" xr:uid="{00000000-0005-0000-0000-00003E0E0000}"/>
    <cellStyle name="ac 2 2 2 2" xfId="43309" xr:uid="{00000000-0005-0000-0000-00003F0E0000}"/>
    <cellStyle name="ac 2 2 3" xfId="43207" xr:uid="{00000000-0005-0000-0000-0000400E0000}"/>
    <cellStyle name="ac 2 3" xfId="2481" xr:uid="{00000000-0005-0000-0000-0000410E0000}"/>
    <cellStyle name="ac 2 3 2" xfId="43310" xr:uid="{00000000-0005-0000-0000-0000420E0000}"/>
    <cellStyle name="ac 2 4" xfId="43206" xr:uid="{00000000-0005-0000-0000-0000430E0000}"/>
    <cellStyle name="ac 3" xfId="1813" xr:uid="{00000000-0005-0000-0000-0000440E0000}"/>
    <cellStyle name="ac 3 2" xfId="2482" xr:uid="{00000000-0005-0000-0000-0000450E0000}"/>
    <cellStyle name="ac 3 2 2" xfId="43311" xr:uid="{00000000-0005-0000-0000-0000460E0000}"/>
    <cellStyle name="ac 3 3" xfId="43208" xr:uid="{00000000-0005-0000-0000-0000470E0000}"/>
    <cellStyle name="ac 4" xfId="2483" xr:uid="{00000000-0005-0000-0000-0000480E0000}"/>
    <cellStyle name="ac 4 2" xfId="43312" xr:uid="{00000000-0005-0000-0000-0000490E0000}"/>
    <cellStyle name="ac 5" xfId="43205" xr:uid="{00000000-0005-0000-0000-00004A0E0000}"/>
    <cellStyle name="Accent1" xfId="704" xr:uid="{00000000-0005-0000-0000-00004B0E0000}"/>
    <cellStyle name="Accent1 - 20%" xfId="5084" xr:uid="{00000000-0005-0000-0000-00004C0E0000}"/>
    <cellStyle name="Accent1 - 40%" xfId="5085" xr:uid="{00000000-0005-0000-0000-00004D0E0000}"/>
    <cellStyle name="Accent1 - 60%" xfId="5086" xr:uid="{00000000-0005-0000-0000-00004E0E0000}"/>
    <cellStyle name="Accent1 2" xfId="5087" xr:uid="{00000000-0005-0000-0000-00004F0E0000}"/>
    <cellStyle name="Accent1_Escelsa_2008_Versao regulatorio_Dyogenes" xfId="5088" xr:uid="{00000000-0005-0000-0000-0000500E0000}"/>
    <cellStyle name="Accent2" xfId="705" xr:uid="{00000000-0005-0000-0000-0000510E0000}"/>
    <cellStyle name="Accent2 - 20%" xfId="5089" xr:uid="{00000000-0005-0000-0000-0000520E0000}"/>
    <cellStyle name="Accent2 - 40%" xfId="5090" xr:uid="{00000000-0005-0000-0000-0000530E0000}"/>
    <cellStyle name="Accent2 - 60%" xfId="5091" xr:uid="{00000000-0005-0000-0000-0000540E0000}"/>
    <cellStyle name="Accent2 2" xfId="5092" xr:uid="{00000000-0005-0000-0000-0000550E0000}"/>
    <cellStyle name="Accent2 3" xfId="5093" xr:uid="{00000000-0005-0000-0000-0000560E0000}"/>
    <cellStyle name="Accent2_Escelsa_2008_Versao regulatorio_Dyogenes" xfId="5094" xr:uid="{00000000-0005-0000-0000-0000570E0000}"/>
    <cellStyle name="Accent3" xfId="706" xr:uid="{00000000-0005-0000-0000-0000580E0000}"/>
    <cellStyle name="Accent3 - 20%" xfId="5095" xr:uid="{00000000-0005-0000-0000-0000590E0000}"/>
    <cellStyle name="Accent3 - 40%" xfId="5096" xr:uid="{00000000-0005-0000-0000-00005A0E0000}"/>
    <cellStyle name="Accent3 - 60%" xfId="5097" xr:uid="{00000000-0005-0000-0000-00005B0E0000}"/>
    <cellStyle name="Accent3 2" xfId="5098" xr:uid="{00000000-0005-0000-0000-00005C0E0000}"/>
    <cellStyle name="Accent3 3" xfId="5099" xr:uid="{00000000-0005-0000-0000-00005D0E0000}"/>
    <cellStyle name="Accent3_Escelsa_2008_Versao regulatorio_Dyogenes" xfId="5100" xr:uid="{00000000-0005-0000-0000-00005E0E0000}"/>
    <cellStyle name="Accent4" xfId="707" xr:uid="{00000000-0005-0000-0000-00005F0E0000}"/>
    <cellStyle name="Accent4 - 20%" xfId="5101" xr:uid="{00000000-0005-0000-0000-0000600E0000}"/>
    <cellStyle name="Accent4 - 40%" xfId="5102" xr:uid="{00000000-0005-0000-0000-0000610E0000}"/>
    <cellStyle name="Accent4 - 60%" xfId="5103" xr:uid="{00000000-0005-0000-0000-0000620E0000}"/>
    <cellStyle name="Accent4 2" xfId="5104" xr:uid="{00000000-0005-0000-0000-0000630E0000}"/>
    <cellStyle name="Accent4_Escelsa_2008_Versao regulatorio_Dyogenes" xfId="5105" xr:uid="{00000000-0005-0000-0000-0000640E0000}"/>
    <cellStyle name="Accent5" xfId="708" xr:uid="{00000000-0005-0000-0000-0000650E0000}"/>
    <cellStyle name="Accent5 - 20%" xfId="5106" xr:uid="{00000000-0005-0000-0000-0000660E0000}"/>
    <cellStyle name="Accent5 - 40%" xfId="5107" xr:uid="{00000000-0005-0000-0000-0000670E0000}"/>
    <cellStyle name="Accent5 - 60%" xfId="5108" xr:uid="{00000000-0005-0000-0000-0000680E0000}"/>
    <cellStyle name="Accent5 2" xfId="5109" xr:uid="{00000000-0005-0000-0000-0000690E0000}"/>
    <cellStyle name="Accent5_Escelsa_2008_Versao regulatorio_Dyogenes" xfId="5110" xr:uid="{00000000-0005-0000-0000-00006A0E0000}"/>
    <cellStyle name="Accent6" xfId="709" xr:uid="{00000000-0005-0000-0000-00006B0E0000}"/>
    <cellStyle name="Accent6 - 20%" xfId="5111" xr:uid="{00000000-0005-0000-0000-00006C0E0000}"/>
    <cellStyle name="Accent6 - 40%" xfId="5112" xr:uid="{00000000-0005-0000-0000-00006D0E0000}"/>
    <cellStyle name="Accent6 - 60%" xfId="5113" xr:uid="{00000000-0005-0000-0000-00006E0E0000}"/>
    <cellStyle name="Accent6 2" xfId="5114" xr:uid="{00000000-0005-0000-0000-00006F0E0000}"/>
    <cellStyle name="Accent6_Escelsa_2008_Versao regulatorio_Dyogenes" xfId="5115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6" xr:uid="{00000000-0005-0000-0000-0000760E0000}"/>
    <cellStyle name="AFE" xfId="711" xr:uid="{00000000-0005-0000-0000-0000770E0000}"/>
    <cellStyle name="AFE 2" xfId="905" xr:uid="{00000000-0005-0000-0000-0000780E0000}"/>
    <cellStyle name="AFE 2 2" xfId="5117" xr:uid="{00000000-0005-0000-0000-0000790E0000}"/>
    <cellStyle name="AFE 2 2 2" xfId="5118" xr:uid="{00000000-0005-0000-0000-00007A0E0000}"/>
    <cellStyle name="AFE 2 3" xfId="5119" xr:uid="{00000000-0005-0000-0000-00007B0E0000}"/>
    <cellStyle name="AFE 2 4" xfId="5120" xr:uid="{00000000-0005-0000-0000-00007C0E0000}"/>
    <cellStyle name="AFE 2 4 2" xfId="5121" xr:uid="{00000000-0005-0000-0000-00007D0E0000}"/>
    <cellStyle name="AFE 3" xfId="954" xr:uid="{00000000-0005-0000-0000-00007E0E0000}"/>
    <cellStyle name="AFE 3 2" xfId="5122" xr:uid="{00000000-0005-0000-0000-00007F0E0000}"/>
    <cellStyle name="AFE 4" xfId="1646" xr:uid="{00000000-0005-0000-0000-0000800E0000}"/>
    <cellStyle name="AFE 4 2" xfId="5123" xr:uid="{00000000-0005-0000-0000-0000810E0000}"/>
    <cellStyle name="AFE 5" xfId="5124" xr:uid="{00000000-0005-0000-0000-0000820E0000}"/>
    <cellStyle name="AFE 5 2" xfId="5125" xr:uid="{00000000-0005-0000-0000-0000830E0000}"/>
    <cellStyle name="AFE 8" xfId="5126" xr:uid="{00000000-0005-0000-0000-0000840E0000}"/>
    <cellStyle name="AFE 8 2" xfId="5127" xr:uid="{00000000-0005-0000-0000-0000850E0000}"/>
    <cellStyle name="AFE_Ajuste SALDO CVA ANO ANTERIOR PÓS-REVISÃOx" xfId="5128" xr:uid="{00000000-0005-0000-0000-0000860E0000}"/>
    <cellStyle name="AFE_IRT_Planilha Básica_ v2010_CERRP" xfId="43185" xr:uid="{00000000-0005-0000-0000-0000870E0000}"/>
    <cellStyle name="Amarelo%" xfId="712" xr:uid="{00000000-0005-0000-0000-0000880E0000}"/>
    <cellStyle name="Amarelo% 2" xfId="5129" xr:uid="{00000000-0005-0000-0000-0000890E0000}"/>
    <cellStyle name="Amarelo% 3" xfId="5130" xr:uid="{00000000-0005-0000-0000-00008A0E0000}"/>
    <cellStyle name="Amarelo% 3 2" xfId="5131" xr:uid="{00000000-0005-0000-0000-00008B0E0000}"/>
    <cellStyle name="Amarelocot" xfId="713" xr:uid="{00000000-0005-0000-0000-00008C0E0000}"/>
    <cellStyle name="Amarelocot 2" xfId="5132" xr:uid="{00000000-0005-0000-0000-00008D0E0000}"/>
    <cellStyle name="Amarelocot 3" xfId="5133" xr:uid="{00000000-0005-0000-0000-00008E0E0000}"/>
    <cellStyle name="Amarelocot 3 2" xfId="5134" xr:uid="{00000000-0005-0000-0000-00008F0E0000}"/>
    <cellStyle name="Amarelocot_IF - Autoprodutores 2" xfId="5135" xr:uid="{00000000-0005-0000-0000-0000900E0000}"/>
    <cellStyle name="apolo" xfId="5136" xr:uid="{00000000-0005-0000-0000-0000910E0000}"/>
    <cellStyle name="apolo 2" xfId="5137" xr:uid="{00000000-0005-0000-0000-0000920E0000}"/>
    <cellStyle name="apolo 3" xfId="5138" xr:uid="{00000000-0005-0000-0000-0000930E0000}"/>
    <cellStyle name="arial12" xfId="714" xr:uid="{00000000-0005-0000-0000-0000940E0000}"/>
    <cellStyle name="arial12 2" xfId="955" xr:uid="{00000000-0005-0000-0000-0000950E0000}"/>
    <cellStyle name="arial12 3" xfId="5139" xr:uid="{00000000-0005-0000-0000-0000960E0000}"/>
    <cellStyle name="arial12_IRT_Planilha Básica_ v2010_CERRP" xfId="1738" xr:uid="{00000000-0005-0000-0000-0000970E0000}"/>
    <cellStyle name="arial14" xfId="715" xr:uid="{00000000-0005-0000-0000-0000980E0000}"/>
    <cellStyle name="Array" xfId="5140" xr:uid="{00000000-0005-0000-0000-0000990E0000}"/>
    <cellStyle name="Array Enter" xfId="5141" xr:uid="{00000000-0005-0000-0000-00009A0E0000}"/>
    <cellStyle name="Array_IF - Autoprodutores" xfId="5142" xr:uid="{00000000-0005-0000-0000-00009B0E0000}"/>
    <cellStyle name="axlcolour" xfId="5143" xr:uid="{00000000-0005-0000-0000-00009C0E0000}"/>
    <cellStyle name="Bad" xfId="716" xr:uid="{00000000-0005-0000-0000-00009D0E0000}"/>
    <cellStyle name="Bad 2" xfId="5144" xr:uid="{00000000-0005-0000-0000-00009E0E0000}"/>
    <cellStyle name="blank" xfId="5145" xr:uid="{00000000-0005-0000-0000-00009F0E0000}"/>
    <cellStyle name="Body" xfId="717" xr:uid="{00000000-0005-0000-0000-0000A00E0000}"/>
    <cellStyle name="Bold 11" xfId="718" xr:uid="{00000000-0005-0000-0000-0000A10E0000}"/>
    <cellStyle name="Bold 11 2" xfId="5146" xr:uid="{00000000-0005-0000-0000-0000A20E0000}"/>
    <cellStyle name="Bold 11 3" xfId="5147" xr:uid="{00000000-0005-0000-0000-0000A30E0000}"/>
    <cellStyle name="Bold 11 3 2" xfId="5148" xr:uid="{00000000-0005-0000-0000-0000A40E0000}"/>
    <cellStyle name="Bold 11_IF - Autoprodutores 2" xfId="5149" xr:uid="{00000000-0005-0000-0000-0000A50E0000}"/>
    <cellStyle name="Bold/Border" xfId="5150" xr:uid="{00000000-0005-0000-0000-0000A60E0000}"/>
    <cellStyle name="Bol-Data" xfId="719" xr:uid="{00000000-0005-0000-0000-0000A70E0000}"/>
    <cellStyle name="bolet" xfId="720" xr:uid="{00000000-0005-0000-0000-0000A80E0000}"/>
    <cellStyle name="bolet 2" xfId="5151" xr:uid="{00000000-0005-0000-0000-0000A90E0000}"/>
    <cellStyle name="Bom" xfId="721" xr:uid="{00000000-0005-0000-0000-0000AA0E0000}"/>
    <cellStyle name="Bom 10" xfId="5152" xr:uid="{00000000-0005-0000-0000-0000AB0E0000}"/>
    <cellStyle name="Bom 2" xfId="956" xr:uid="{00000000-0005-0000-0000-0000AC0E0000}"/>
    <cellStyle name="Bom 2 2" xfId="5153" xr:uid="{00000000-0005-0000-0000-0000AD0E0000}"/>
    <cellStyle name="Bom 3" xfId="1739" xr:uid="{00000000-0005-0000-0000-0000AE0E0000}"/>
    <cellStyle name="Bom 3 2" xfId="5154" xr:uid="{00000000-0005-0000-0000-0000AF0E0000}"/>
    <cellStyle name="Bom 4" xfId="5155" xr:uid="{00000000-0005-0000-0000-0000B00E0000}"/>
    <cellStyle name="Bom 4 2" xfId="5156" xr:uid="{00000000-0005-0000-0000-0000B10E0000}"/>
    <cellStyle name="Bom 5" xfId="5157" xr:uid="{00000000-0005-0000-0000-0000B20E0000}"/>
    <cellStyle name="Bom 6" xfId="5158" xr:uid="{00000000-0005-0000-0000-0000B30E0000}"/>
    <cellStyle name="Bom 7" xfId="5159" xr:uid="{00000000-0005-0000-0000-0000B40E0000}"/>
    <cellStyle name="Bom 8" xfId="5160" xr:uid="{00000000-0005-0000-0000-0000B50E0000}"/>
    <cellStyle name="Bom 9" xfId="5161" xr:uid="{00000000-0005-0000-0000-0000B60E0000}"/>
    <cellStyle name="Border" xfId="5162" xr:uid="{00000000-0005-0000-0000-0000B70E0000}"/>
    <cellStyle name="Buena" xfId="957" xr:uid="{00000000-0005-0000-0000-0000B80E0000}"/>
    <cellStyle name="Buena 2" xfId="5163" xr:uid="{00000000-0005-0000-0000-0000B90E0000}"/>
    <cellStyle name="Bullet" xfId="5164" xr:uid="{00000000-0005-0000-0000-0000BA0E0000}"/>
    <cellStyle name="Cabe‡alho 1" xfId="722" xr:uid="{00000000-0005-0000-0000-0000BB0E0000}"/>
    <cellStyle name="Cabe‡alho 1 2" xfId="5165" xr:uid="{00000000-0005-0000-0000-0000BC0E0000}"/>
    <cellStyle name="Cabe‡alho 1 3" xfId="5166" xr:uid="{00000000-0005-0000-0000-0000BD0E0000}"/>
    <cellStyle name="Cabe‡alho 2" xfId="723" xr:uid="{00000000-0005-0000-0000-0000BE0E0000}"/>
    <cellStyle name="Cabe‡alho 2 2" xfId="5167" xr:uid="{00000000-0005-0000-0000-0000BF0E0000}"/>
    <cellStyle name="Cabe‡alho 2 3" xfId="5168" xr:uid="{00000000-0005-0000-0000-0000C00E0000}"/>
    <cellStyle name="CABEÇALHO" xfId="724" xr:uid="{00000000-0005-0000-0000-0000C10E0000}"/>
    <cellStyle name="Cabeçalho 1" xfId="5169" xr:uid="{00000000-0005-0000-0000-0000C20E0000}"/>
    <cellStyle name="Cabeçalho 2" xfId="5170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1" xr:uid="{00000000-0005-0000-0000-0000C70E0000}"/>
    <cellStyle name="Calc Currency (0)_IRT_Planilha Básica_ v2010_CERRP" xfId="1740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2" xr:uid="{00000000-0005-0000-0000-0000CD0E0000}"/>
    <cellStyle name="Calc Percent (1)_IRT_Planilha Básica_ v2010_CERRP" xfId="1741" xr:uid="{00000000-0005-0000-0000-0000CE0E0000}"/>
    <cellStyle name="Calc Percent (2)" xfId="730" xr:uid="{00000000-0005-0000-0000-0000CF0E0000}"/>
    <cellStyle name="Calc Percent (2) 2" xfId="5173" xr:uid="{00000000-0005-0000-0000-0000D00E0000}"/>
    <cellStyle name="Calc Percent (2) 3" xfId="5174" xr:uid="{00000000-0005-0000-0000-0000D10E0000}"/>
    <cellStyle name="Calc Percent (2) 3 2" xfId="5175" xr:uid="{00000000-0005-0000-0000-0000D20E0000}"/>
    <cellStyle name="Calc Percent (2)_IF - Autoprodutores 2" xfId="5176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7" xr:uid="{00000000-0005-0000-0000-0000D60E0000}"/>
    <cellStyle name="Calc Units (0)_IRT_Planilha Básica_ v2010_CERRP" xfId="1742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78" xr:uid="{00000000-0005-0000-0000-0000DA0E0000}"/>
    <cellStyle name="Calc Units (1)_IRT_Planilha Básica_ v2010_CERRP" xfId="1743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0" xr:uid="{00000000-0005-0000-0000-0000DE0E0000}"/>
    <cellStyle name="Calculation 2 2" xfId="1878" xr:uid="{00000000-0005-0000-0000-0000DF0E0000}"/>
    <cellStyle name="Calculation 2 2 2" xfId="2067" xr:uid="{00000000-0005-0000-0000-0000E00E0000}"/>
    <cellStyle name="Calculation 2 2 3" xfId="2120" xr:uid="{00000000-0005-0000-0000-0000E10E0000}"/>
    <cellStyle name="Calculation 2 2 4" xfId="2621" xr:uid="{00000000-0005-0000-0000-0000E20E0000}"/>
    <cellStyle name="Calculation 2 2 5" xfId="2225" xr:uid="{00000000-0005-0000-0000-0000E30E0000}"/>
    <cellStyle name="Calculation 2 3" xfId="2016" xr:uid="{00000000-0005-0000-0000-0000E40E0000}"/>
    <cellStyle name="Calculation 2 4" xfId="2343" xr:uid="{00000000-0005-0000-0000-0000E50E0000}"/>
    <cellStyle name="Calculation 3" xfId="1814" xr:uid="{00000000-0005-0000-0000-0000E60E0000}"/>
    <cellStyle name="Calculation 3 2" xfId="2025" xr:uid="{00000000-0005-0000-0000-0000E70E0000}"/>
    <cellStyle name="Calculation 3 3" xfId="2082" xr:uid="{00000000-0005-0000-0000-0000E80E0000}"/>
    <cellStyle name="Calculation 3 4" xfId="2320" xr:uid="{00000000-0005-0000-0000-0000E90E0000}"/>
    <cellStyle name="Calculation 3 5" xfId="2295" xr:uid="{00000000-0005-0000-0000-0000EA0E0000}"/>
    <cellStyle name="Calculation 4" xfId="1904" xr:uid="{00000000-0005-0000-0000-0000EB0E0000}"/>
    <cellStyle name="Calculation 5" xfId="2238" xr:uid="{00000000-0005-0000-0000-0000EC0E0000}"/>
    <cellStyle name="Cálculo" xfId="735" xr:uid="{00000000-0005-0000-0000-0000ED0E0000}"/>
    <cellStyle name="Cálculo 10" xfId="5179" xr:uid="{00000000-0005-0000-0000-0000EE0E0000}"/>
    <cellStyle name="Cálculo 11" xfId="43420" xr:uid="{00000000-0005-0000-0000-0000EF0E0000}"/>
    <cellStyle name="Cálculo 2" xfId="962" xr:uid="{00000000-0005-0000-0000-0000F00E0000}"/>
    <cellStyle name="Cálculo 2 2" xfId="1826" xr:uid="{00000000-0005-0000-0000-0000F10E0000}"/>
    <cellStyle name="Cálculo 2 2 2" xfId="2030" xr:uid="{00000000-0005-0000-0000-0000F20E0000}"/>
    <cellStyle name="Cálculo 2 2 3" xfId="2088" xr:uid="{00000000-0005-0000-0000-0000F30E0000}"/>
    <cellStyle name="Cálculo 2 2 4" xfId="2127" xr:uid="{00000000-0005-0000-0000-0000F40E0000}"/>
    <cellStyle name="Cálculo 2 2 5" xfId="2157" xr:uid="{00000000-0005-0000-0000-0000F50E0000}"/>
    <cellStyle name="Cálculo 2 3" xfId="1917" xr:uid="{00000000-0005-0000-0000-0000F60E0000}"/>
    <cellStyle name="Cálculo 2 4" xfId="2327" xr:uid="{00000000-0005-0000-0000-0000F70E0000}"/>
    <cellStyle name="Cálculo 3" xfId="1744" xr:uid="{00000000-0005-0000-0000-0000F80E0000}"/>
    <cellStyle name="Cálculo 3 2" xfId="2004" xr:uid="{00000000-0005-0000-0000-0000F90E0000}"/>
    <cellStyle name="Cálculo 3 3" xfId="2074" xr:uid="{00000000-0005-0000-0000-0000FA0E0000}"/>
    <cellStyle name="Cálculo 3 4" xfId="2321" xr:uid="{00000000-0005-0000-0000-0000FB0E0000}"/>
    <cellStyle name="Cálculo 3 5" xfId="2394" xr:uid="{00000000-0005-0000-0000-0000FC0E0000}"/>
    <cellStyle name="Cálculo 4" xfId="1905" xr:uid="{00000000-0005-0000-0000-0000FD0E0000}"/>
    <cellStyle name="Cálculo 4 2" xfId="5180" xr:uid="{00000000-0005-0000-0000-0000FE0E0000}"/>
    <cellStyle name="Cálculo 5" xfId="2344" xr:uid="{00000000-0005-0000-0000-0000FF0E0000}"/>
    <cellStyle name="Cálculo 6" xfId="5181" xr:uid="{00000000-0005-0000-0000-0000000F0000}"/>
    <cellStyle name="Cálculo 7" xfId="5182" xr:uid="{00000000-0005-0000-0000-0000010F0000}"/>
    <cellStyle name="Cálculo 8" xfId="5183" xr:uid="{00000000-0005-0000-0000-0000020F0000}"/>
    <cellStyle name="Cálculo 9" xfId="5184" xr:uid="{00000000-0005-0000-0000-0000030F0000}"/>
    <cellStyle name="CALDAS" xfId="736" xr:uid="{00000000-0005-0000-0000-0000040F0000}"/>
    <cellStyle name="CALDAS 2" xfId="1815" xr:uid="{00000000-0005-0000-0000-0000050F0000}"/>
    <cellStyle name="CALDAS 2 2" xfId="2083" xr:uid="{00000000-0005-0000-0000-0000060F0000}"/>
    <cellStyle name="CALDAS 2 2 2" xfId="2628" xr:uid="{00000000-0005-0000-0000-0000070F0000}"/>
    <cellStyle name="CALDAS 2 2 3" xfId="2271" xr:uid="{00000000-0005-0000-0000-0000080F0000}"/>
    <cellStyle name="CALDAS 2 3" xfId="2319" xr:uid="{00000000-0005-0000-0000-0000090F0000}"/>
    <cellStyle name="CALDAS 2 4" xfId="2390" xr:uid="{00000000-0005-0000-0000-00000A0F0000}"/>
    <cellStyle name="CALDAS 2 5" xfId="43210" xr:uid="{00000000-0005-0000-0000-00000B0F0000}"/>
    <cellStyle name="CALDAS 3" xfId="1906" xr:uid="{00000000-0005-0000-0000-00000C0F0000}"/>
    <cellStyle name="CALDAS 3 2" xfId="2409" xr:uid="{00000000-0005-0000-0000-00000D0F0000}"/>
    <cellStyle name="CALDAS 3 3" xfId="2627" xr:uid="{00000000-0005-0000-0000-00000E0F0000}"/>
    <cellStyle name="CALDAS 3 4" xfId="2227" xr:uid="{00000000-0005-0000-0000-00000F0F0000}"/>
    <cellStyle name="CALDAS 4" xfId="2200" xr:uid="{00000000-0005-0000-0000-0000100F0000}"/>
    <cellStyle name="CALDAS 5" xfId="43209" xr:uid="{00000000-0005-0000-0000-0000110F0000}"/>
    <cellStyle name="čárky [0]_Business Plan MCE" xfId="5185" xr:uid="{00000000-0005-0000-0000-0000120F0000}"/>
    <cellStyle name="čárky_Business Plan MCE" xfId="5186" xr:uid="{00000000-0005-0000-0000-0000130F0000}"/>
    <cellStyle name="Celda de comprobación" xfId="963" xr:uid="{00000000-0005-0000-0000-0000140F0000}"/>
    <cellStyle name="Celda de comprobación 2" xfId="1827" xr:uid="{00000000-0005-0000-0000-0000150F0000}"/>
    <cellStyle name="Celda de comprobación 2 2" xfId="2089" xr:uid="{00000000-0005-0000-0000-0000160F0000}"/>
    <cellStyle name="Celda de comprobación 2 3" xfId="2484" xr:uid="{00000000-0005-0000-0000-0000170F0000}"/>
    <cellStyle name="Celda de comprobación 3" xfId="2485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28" xr:uid="{00000000-0005-0000-0000-00001C0F0000}"/>
    <cellStyle name="Célula de Verificação 2 2 2" xfId="2090" xr:uid="{00000000-0005-0000-0000-00001D0F0000}"/>
    <cellStyle name="Célula de Verificação 2 2 3" xfId="2486" xr:uid="{00000000-0005-0000-0000-00001E0F0000}"/>
    <cellStyle name="Célula de Verificação 2 3" xfId="2487" xr:uid="{00000000-0005-0000-0000-00001F0F0000}"/>
    <cellStyle name="Célula de Verificação 2 4" xfId="2488" xr:uid="{00000000-0005-0000-0000-0000200F0000}"/>
    <cellStyle name="Célula de Verificação 3" xfId="1745" xr:uid="{00000000-0005-0000-0000-0000210F0000}"/>
    <cellStyle name="Célula de Verificação 3 2" xfId="1871" xr:uid="{00000000-0005-0000-0000-0000220F0000}"/>
    <cellStyle name="Célula de Verificação 3 2 2" xfId="2118" xr:uid="{00000000-0005-0000-0000-0000230F0000}"/>
    <cellStyle name="Célula de Verificação 3 2 3" xfId="2489" xr:uid="{00000000-0005-0000-0000-0000240F0000}"/>
    <cellStyle name="Célula de Verificação 3 3" xfId="2490" xr:uid="{00000000-0005-0000-0000-0000250F0000}"/>
    <cellStyle name="Célula de Verificação 3 4" xfId="2491" xr:uid="{00000000-0005-0000-0000-0000260F0000}"/>
    <cellStyle name="Célula de Verificação 4" xfId="5187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88" xr:uid="{00000000-0005-0000-0000-00002A0F0000}"/>
    <cellStyle name="Célula Vinculada 3" xfId="1746" xr:uid="{00000000-0005-0000-0000-00002B0F0000}"/>
    <cellStyle name="Célula Vinculada 4" xfId="5189" xr:uid="{00000000-0005-0000-0000-00002C0F0000}"/>
    <cellStyle name="Changed no." xfId="5190" xr:uid="{00000000-0005-0000-0000-00002D0F0000}"/>
    <cellStyle name="Check Cell" xfId="739" xr:uid="{00000000-0005-0000-0000-00002E0F0000}"/>
    <cellStyle name="Check Cell 2" xfId="1801" xr:uid="{00000000-0005-0000-0000-00002F0F0000}"/>
    <cellStyle name="Check Cell 2 2" xfId="1879" xr:uid="{00000000-0005-0000-0000-0000300F0000}"/>
    <cellStyle name="Check Cell 2 2 2" xfId="2121" xr:uid="{00000000-0005-0000-0000-0000310F0000}"/>
    <cellStyle name="Check Cell 2 2 3" xfId="2492" xr:uid="{00000000-0005-0000-0000-0000320F0000}"/>
    <cellStyle name="Check Cell 2 3" xfId="2493" xr:uid="{00000000-0005-0000-0000-0000330F0000}"/>
    <cellStyle name="Check Cell 3" xfId="2494" xr:uid="{00000000-0005-0000-0000-0000340F0000}"/>
    <cellStyle name="Check Cell_Escelsa_2008_Versao regulatorio_Dyogenes" xfId="5191" xr:uid="{00000000-0005-0000-0000-0000350F0000}"/>
    <cellStyle name="Code" xfId="740" xr:uid="{00000000-0005-0000-0000-0000360F0000}"/>
    <cellStyle name="Code 2" xfId="5192" xr:uid="{00000000-0005-0000-0000-0000370F0000}"/>
    <cellStyle name="Code Section" xfId="741" xr:uid="{00000000-0005-0000-0000-0000380F0000}"/>
    <cellStyle name="Code Section 2" xfId="5193" xr:uid="{00000000-0005-0000-0000-0000390F0000}"/>
    <cellStyle name="Code Section 3" xfId="5194" xr:uid="{00000000-0005-0000-0000-00003A0F0000}"/>
    <cellStyle name="Code Section_IF - Autoprodutores 2" xfId="5195" xr:uid="{00000000-0005-0000-0000-00003B0F0000}"/>
    <cellStyle name="Collegamento ipertestuale" xfId="5196" xr:uid="{00000000-0005-0000-0000-00003C0F0000}"/>
    <cellStyle name="Comma  - Style1" xfId="742" xr:uid="{00000000-0005-0000-0000-00003D0F0000}"/>
    <cellStyle name="Comma  - Style2" xfId="5197" xr:uid="{00000000-0005-0000-0000-00003E0F0000}"/>
    <cellStyle name="Comma  - Style3" xfId="5198" xr:uid="{00000000-0005-0000-0000-00003F0F0000}"/>
    <cellStyle name="Comma  - Style4" xfId="5199" xr:uid="{00000000-0005-0000-0000-0000400F0000}"/>
    <cellStyle name="Comma  - Style5" xfId="5200" xr:uid="{00000000-0005-0000-0000-0000410F0000}"/>
    <cellStyle name="Comma  - Style6" xfId="5201" xr:uid="{00000000-0005-0000-0000-0000420F0000}"/>
    <cellStyle name="Comma  - Style7" xfId="5202" xr:uid="{00000000-0005-0000-0000-0000430F0000}"/>
    <cellStyle name="Comma  - Style8" xfId="5203" xr:uid="{00000000-0005-0000-0000-0000440F0000}"/>
    <cellStyle name="Comma (0.0)" xfId="5204" xr:uid="{00000000-0005-0000-0000-0000450F0000}"/>
    <cellStyle name="Comma (0.00)" xfId="5205" xr:uid="{00000000-0005-0000-0000-0000460F0000}"/>
    <cellStyle name="Comma (hidden)" xfId="5206" xr:uid="{00000000-0005-0000-0000-0000470F0000}"/>
    <cellStyle name="Comma (index)" xfId="5207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08" xr:uid="{00000000-0005-0000-0000-00004C0F0000}"/>
    <cellStyle name="Comma 0" xfId="5209" xr:uid="{00000000-0005-0000-0000-00004D0F0000}"/>
    <cellStyle name="Comma 10" xfId="5210" xr:uid="{00000000-0005-0000-0000-00004E0F0000}"/>
    <cellStyle name="Comma 13" xfId="1647" xr:uid="{00000000-0005-0000-0000-00004F0F0000}"/>
    <cellStyle name="Comma 13 2" xfId="43211" xr:uid="{00000000-0005-0000-0000-0000500F0000}"/>
    <cellStyle name="Comma 2" xfId="745" xr:uid="{00000000-0005-0000-0000-0000510F0000}"/>
    <cellStyle name="Comma 2 2" xfId="968" xr:uid="{00000000-0005-0000-0000-0000520F0000}"/>
    <cellStyle name="Comma 2 2 2" xfId="5211" xr:uid="{00000000-0005-0000-0000-0000530F0000}"/>
    <cellStyle name="Comma 2 2 3" xfId="5212" xr:uid="{00000000-0005-0000-0000-0000540F0000}"/>
    <cellStyle name="Comma 2 2 4" xfId="5213" xr:uid="{00000000-0005-0000-0000-0000550F0000}"/>
    <cellStyle name="Comma 2 2 5" xfId="5214" xr:uid="{00000000-0005-0000-0000-0000560F0000}"/>
    <cellStyle name="Comma 2 2 6" xfId="43213" xr:uid="{00000000-0005-0000-0000-0000570F0000}"/>
    <cellStyle name="Comma 2 3" xfId="969" xr:uid="{00000000-0005-0000-0000-0000580F0000}"/>
    <cellStyle name="Comma 2 3 2" xfId="43214" xr:uid="{00000000-0005-0000-0000-0000590F0000}"/>
    <cellStyle name="Comma 2 4" xfId="5215" xr:uid="{00000000-0005-0000-0000-00005A0F0000}"/>
    <cellStyle name="Comma 2 5" xfId="43212" xr:uid="{00000000-0005-0000-0000-00005B0F0000}"/>
    <cellStyle name="Comma 2 5 2" xfId="43437" xr:uid="{CA59F4CD-3945-4FFC-BF05-4AA680FD5C6A}"/>
    <cellStyle name="Comma 3" xfId="970" xr:uid="{00000000-0005-0000-0000-00005C0F0000}"/>
    <cellStyle name="Comma 3 2" xfId="5216" xr:uid="{00000000-0005-0000-0000-00005D0F0000}"/>
    <cellStyle name="Comma 3 3" xfId="43215" xr:uid="{00000000-0005-0000-0000-00005E0F0000}"/>
    <cellStyle name="Comma 4" xfId="971" xr:uid="{00000000-0005-0000-0000-00005F0F0000}"/>
    <cellStyle name="Comma 4 2" xfId="5217" xr:uid="{00000000-0005-0000-0000-0000600F0000}"/>
    <cellStyle name="Comma 4 3" xfId="43216" xr:uid="{00000000-0005-0000-0000-0000610F0000}"/>
    <cellStyle name="Comma 5" xfId="5218" xr:uid="{00000000-0005-0000-0000-0000620F0000}"/>
    <cellStyle name="Comma 6" xfId="5219" xr:uid="{00000000-0005-0000-0000-0000630F0000}"/>
    <cellStyle name="Comma 6 2" xfId="5220" xr:uid="{00000000-0005-0000-0000-0000640F0000}"/>
    <cellStyle name="Comma 63" xfId="5221" xr:uid="{00000000-0005-0000-0000-0000650F0000}"/>
    <cellStyle name="Comma 7" xfId="5222" xr:uid="{00000000-0005-0000-0000-0000660F0000}"/>
    <cellStyle name="Comma Black [0]" xfId="5223" xr:uid="{00000000-0005-0000-0000-0000670F0000}"/>
    <cellStyle name="Comma Black [1]" xfId="5224" xr:uid="{00000000-0005-0000-0000-0000680F0000}"/>
    <cellStyle name="Comma Black [2]" xfId="5225" xr:uid="{00000000-0005-0000-0000-0000690F0000}"/>
    <cellStyle name="Comma Blue [0]" xfId="5226" xr:uid="{00000000-0005-0000-0000-00006A0F0000}"/>
    <cellStyle name="Comma Blue [1]" xfId="5227" xr:uid="{00000000-0005-0000-0000-00006B0F0000}"/>
    <cellStyle name="Comma Blue [2]" xfId="5228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29" xr:uid="{00000000-0005-0000-0000-00006F0F0000}"/>
    <cellStyle name="Comma0 - Estilo3" xfId="5230" xr:uid="{00000000-0005-0000-0000-0000700F0000}"/>
    <cellStyle name="Comma0 - Modelo1" xfId="5231" xr:uid="{00000000-0005-0000-0000-0000710F0000}"/>
    <cellStyle name="Comma0 - Style1" xfId="5232" xr:uid="{00000000-0005-0000-0000-0000720F0000}"/>
    <cellStyle name="Comma0 2" xfId="5233" xr:uid="{00000000-0005-0000-0000-0000730F0000}"/>
    <cellStyle name="Comma0 3" xfId="5234" xr:uid="{00000000-0005-0000-0000-0000740F0000}"/>
    <cellStyle name="Comma1 - Estilo1" xfId="5235" xr:uid="{00000000-0005-0000-0000-0000750F0000}"/>
    <cellStyle name="Comma1 - Modelo2" xfId="5236" xr:uid="{00000000-0005-0000-0000-0000760F0000}"/>
    <cellStyle name="Comma1 - Style2" xfId="5237" xr:uid="{00000000-0005-0000-0000-0000770F0000}"/>
    <cellStyle name="Conferência" xfId="748" xr:uid="{00000000-0005-0000-0000-0000780F0000}"/>
    <cellStyle name="Conferência 2" xfId="5238" xr:uid="{00000000-0005-0000-0000-0000790F0000}"/>
    <cellStyle name="Conferência 3" xfId="5239" xr:uid="{00000000-0005-0000-0000-00007A0F0000}"/>
    <cellStyle name="Conferência 3 2" xfId="5240" xr:uid="{00000000-0005-0000-0000-00007B0F0000}"/>
    <cellStyle name="Conferência 4" xfId="43217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1" xr:uid="{00000000-0005-0000-0000-00007F0F0000}"/>
    <cellStyle name="Currency (2)" xfId="751" xr:uid="{00000000-0005-0000-0000-0000800F0000}"/>
    <cellStyle name="Currency (2) 2" xfId="5242" xr:uid="{00000000-0005-0000-0000-0000810F0000}"/>
    <cellStyle name="Currency (hidden)" xfId="5243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4" xr:uid="{00000000-0005-0000-0000-0000850F0000}"/>
    <cellStyle name="Currency 2" xfId="5245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6" xr:uid="{00000000-0005-0000-0000-0000890F0000}"/>
    <cellStyle name="Currency0 3" xfId="5247" xr:uid="{00000000-0005-0000-0000-00008A0F0000}"/>
    <cellStyle name="Dash" xfId="5248" xr:uid="{00000000-0005-0000-0000-00008B0F0000}"/>
    <cellStyle name="Data" xfId="756" xr:uid="{00000000-0005-0000-0000-00008C0F0000}"/>
    <cellStyle name="Data 2" xfId="5249" xr:uid="{00000000-0005-0000-0000-00008D0F0000}"/>
    <cellStyle name="Data 3" xfId="5250" xr:uid="{00000000-0005-0000-0000-00008E0F0000}"/>
    <cellStyle name="Date" xfId="757" xr:uid="{00000000-0005-0000-0000-00008F0F0000}"/>
    <cellStyle name="Date [mmm-yy]" xfId="1648" xr:uid="{00000000-0005-0000-0000-0000900F0000}"/>
    <cellStyle name="Date Aligned" xfId="5251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2" xr:uid="{00000000-0005-0000-0000-0000940F0000}"/>
    <cellStyle name="Date Short_IRT_Planilha Básica_ v2010_CERRP" xfId="1747" xr:uid="{00000000-0005-0000-0000-0000950F0000}"/>
    <cellStyle name="Date_02 IRT COSERN 2009" xfId="1649" xr:uid="{00000000-0005-0000-0000-0000960F0000}"/>
    <cellStyle name="Date-Time" xfId="759" xr:uid="{00000000-0005-0000-0000-0000970F0000}"/>
    <cellStyle name="Date-Time 2" xfId="5253" xr:uid="{00000000-0005-0000-0000-0000980F0000}"/>
    <cellStyle name="Date-Time 3" xfId="5254" xr:uid="{00000000-0005-0000-0000-0000990F0000}"/>
    <cellStyle name="Date-Time 3 2" xfId="5255" xr:uid="{00000000-0005-0000-0000-00009A0F0000}"/>
    <cellStyle name="Dato" xfId="1650" xr:uid="{00000000-0005-0000-0000-00009B0F0000}"/>
    <cellStyle name="Decimal 1" xfId="760" xr:uid="{00000000-0005-0000-0000-00009C0F0000}"/>
    <cellStyle name="Decimal 1 2" xfId="5256" xr:uid="{00000000-0005-0000-0000-00009D0F0000}"/>
    <cellStyle name="Decimal 1 3" xfId="5257" xr:uid="{00000000-0005-0000-0000-00009E0F0000}"/>
    <cellStyle name="Decimal 1 3 2" xfId="5258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59" xr:uid="{00000000-0005-0000-0000-0000A20F0000}"/>
    <cellStyle name="DELTA" xfId="763" xr:uid="{00000000-0005-0000-0000-0000A30F0000}"/>
    <cellStyle name="DELTA 2" xfId="973" xr:uid="{00000000-0005-0000-0000-0000A40F0000}"/>
    <cellStyle name="DELTA 3" xfId="5260" xr:uid="{00000000-0005-0000-0000-0000A50F0000}"/>
    <cellStyle name="DELTA_IRT_Planilha Básica_ v2010_CERRP" xfId="1748" xr:uid="{00000000-0005-0000-0000-0000A60F0000}"/>
    <cellStyle name="DESCRIÇÃO" xfId="5261" xr:uid="{00000000-0005-0000-0000-0000A70F0000}"/>
    <cellStyle name="Design" xfId="5262" xr:uid="{00000000-0005-0000-0000-0000A80F0000}"/>
    <cellStyle name="Design 2" xfId="5263" xr:uid="{00000000-0005-0000-0000-0000A90F0000}"/>
    <cellStyle name="Design 3" xfId="5264" xr:uid="{00000000-0005-0000-0000-0000AA0F0000}"/>
    <cellStyle name="Design_IF - Autoprodutores" xfId="5265" xr:uid="{00000000-0005-0000-0000-0000AB0F0000}"/>
    <cellStyle name="Dia" xfId="5266" xr:uid="{00000000-0005-0000-0000-0000AC0F0000}"/>
    <cellStyle name="Dotted Line" xfId="5267" xr:uid="{00000000-0005-0000-0000-0000AD0F0000}"/>
    <cellStyle name="E&amp;Y House" xfId="5268" xr:uid="{00000000-0005-0000-0000-0000AE0F0000}"/>
    <cellStyle name="Emphasis 1" xfId="5269" xr:uid="{00000000-0005-0000-0000-0000AF0F0000}"/>
    <cellStyle name="Emphasis 2" xfId="5270" xr:uid="{00000000-0005-0000-0000-0000B00F0000}"/>
    <cellStyle name="Emphasis 3" xfId="5271" xr:uid="{00000000-0005-0000-0000-0000B10F0000}"/>
    <cellStyle name="Encabez1" xfId="5272" xr:uid="{00000000-0005-0000-0000-0000B20F0000}"/>
    <cellStyle name="Encabez2" xfId="5273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4" xr:uid="{00000000-0005-0000-0000-0000B60F0000}"/>
    <cellStyle name="Ênfase1 2" xfId="975" xr:uid="{00000000-0005-0000-0000-0000B70F0000}"/>
    <cellStyle name="Ênfase1 2 2" xfId="5275" xr:uid="{00000000-0005-0000-0000-0000B80F0000}"/>
    <cellStyle name="Ênfase1 3" xfId="1749" xr:uid="{00000000-0005-0000-0000-0000B90F0000}"/>
    <cellStyle name="Ênfase1 3 2" xfId="5276" xr:uid="{00000000-0005-0000-0000-0000BA0F0000}"/>
    <cellStyle name="Ênfase1 4" xfId="5277" xr:uid="{00000000-0005-0000-0000-0000BB0F0000}"/>
    <cellStyle name="Ênfase1 4 2" xfId="5278" xr:uid="{00000000-0005-0000-0000-0000BC0F0000}"/>
    <cellStyle name="Ênfase1 5" xfId="5279" xr:uid="{00000000-0005-0000-0000-0000BD0F0000}"/>
    <cellStyle name="Ênfase1 6" xfId="5280" xr:uid="{00000000-0005-0000-0000-0000BE0F0000}"/>
    <cellStyle name="Ênfase1 7" xfId="5281" xr:uid="{00000000-0005-0000-0000-0000BF0F0000}"/>
    <cellStyle name="Ênfase1 8" xfId="5282" xr:uid="{00000000-0005-0000-0000-0000C00F0000}"/>
    <cellStyle name="Ênfase1 9" xfId="5283" xr:uid="{00000000-0005-0000-0000-0000C10F0000}"/>
    <cellStyle name="Ênfase2" xfId="765" xr:uid="{00000000-0005-0000-0000-0000C20F0000}"/>
    <cellStyle name="Ênfase2 10" xfId="5284" xr:uid="{00000000-0005-0000-0000-0000C30F0000}"/>
    <cellStyle name="Ênfase2 2" xfId="976" xr:uid="{00000000-0005-0000-0000-0000C40F0000}"/>
    <cellStyle name="Ênfase2 2 2" xfId="5285" xr:uid="{00000000-0005-0000-0000-0000C50F0000}"/>
    <cellStyle name="Ênfase2 3" xfId="1750" xr:uid="{00000000-0005-0000-0000-0000C60F0000}"/>
    <cellStyle name="Ênfase2 3 2" xfId="5286" xr:uid="{00000000-0005-0000-0000-0000C70F0000}"/>
    <cellStyle name="Ênfase2 4" xfId="5287" xr:uid="{00000000-0005-0000-0000-0000C80F0000}"/>
    <cellStyle name="Ênfase2 4 2" xfId="5288" xr:uid="{00000000-0005-0000-0000-0000C90F0000}"/>
    <cellStyle name="Ênfase2 5" xfId="5289" xr:uid="{00000000-0005-0000-0000-0000CA0F0000}"/>
    <cellStyle name="Ênfase2 6" xfId="5290" xr:uid="{00000000-0005-0000-0000-0000CB0F0000}"/>
    <cellStyle name="Ênfase2 7" xfId="5291" xr:uid="{00000000-0005-0000-0000-0000CC0F0000}"/>
    <cellStyle name="Ênfase2 8" xfId="5292" xr:uid="{00000000-0005-0000-0000-0000CD0F0000}"/>
    <cellStyle name="Ênfase2 9" xfId="5293" xr:uid="{00000000-0005-0000-0000-0000CE0F0000}"/>
    <cellStyle name="Ênfase3" xfId="766" xr:uid="{00000000-0005-0000-0000-0000CF0F0000}"/>
    <cellStyle name="Ênfase3 10" xfId="5294" xr:uid="{00000000-0005-0000-0000-0000D00F0000}"/>
    <cellStyle name="Ênfase3 2" xfId="977" xr:uid="{00000000-0005-0000-0000-0000D10F0000}"/>
    <cellStyle name="Ênfase3 2 2" xfId="5295" xr:uid="{00000000-0005-0000-0000-0000D20F0000}"/>
    <cellStyle name="Ênfase3 3" xfId="1751" xr:uid="{00000000-0005-0000-0000-0000D30F0000}"/>
    <cellStyle name="Ênfase3 3 2" xfId="5296" xr:uid="{00000000-0005-0000-0000-0000D40F0000}"/>
    <cellStyle name="Ênfase3 4" xfId="5297" xr:uid="{00000000-0005-0000-0000-0000D50F0000}"/>
    <cellStyle name="Ênfase3 4 2" xfId="5298" xr:uid="{00000000-0005-0000-0000-0000D60F0000}"/>
    <cellStyle name="Ênfase3 5" xfId="5299" xr:uid="{00000000-0005-0000-0000-0000D70F0000}"/>
    <cellStyle name="Ênfase3 6" xfId="5300" xr:uid="{00000000-0005-0000-0000-0000D80F0000}"/>
    <cellStyle name="Ênfase3 7" xfId="5301" xr:uid="{00000000-0005-0000-0000-0000D90F0000}"/>
    <cellStyle name="Ênfase3 8" xfId="5302" xr:uid="{00000000-0005-0000-0000-0000DA0F0000}"/>
    <cellStyle name="Ênfase3 9" xfId="5303" xr:uid="{00000000-0005-0000-0000-0000DB0F0000}"/>
    <cellStyle name="Ênfase4" xfId="767" xr:uid="{00000000-0005-0000-0000-0000DC0F0000}"/>
    <cellStyle name="Ênfase4 10" xfId="5304" xr:uid="{00000000-0005-0000-0000-0000DD0F0000}"/>
    <cellStyle name="Ênfase4 2" xfId="978" xr:uid="{00000000-0005-0000-0000-0000DE0F0000}"/>
    <cellStyle name="Ênfase4 2 2" xfId="5305" xr:uid="{00000000-0005-0000-0000-0000DF0F0000}"/>
    <cellStyle name="Ênfase4 3" xfId="1752" xr:uid="{00000000-0005-0000-0000-0000E00F0000}"/>
    <cellStyle name="Ênfase4 3 2" xfId="5306" xr:uid="{00000000-0005-0000-0000-0000E10F0000}"/>
    <cellStyle name="Ênfase4 4" xfId="5307" xr:uid="{00000000-0005-0000-0000-0000E20F0000}"/>
    <cellStyle name="Ênfase4 4 2" xfId="5308" xr:uid="{00000000-0005-0000-0000-0000E30F0000}"/>
    <cellStyle name="Ênfase4 5" xfId="5309" xr:uid="{00000000-0005-0000-0000-0000E40F0000}"/>
    <cellStyle name="Ênfase4 6" xfId="5310" xr:uid="{00000000-0005-0000-0000-0000E50F0000}"/>
    <cellStyle name="Ênfase4 7" xfId="5311" xr:uid="{00000000-0005-0000-0000-0000E60F0000}"/>
    <cellStyle name="Ênfase4 8" xfId="5312" xr:uid="{00000000-0005-0000-0000-0000E70F0000}"/>
    <cellStyle name="Ênfase4 9" xfId="5313" xr:uid="{00000000-0005-0000-0000-0000E80F0000}"/>
    <cellStyle name="Ênfase5" xfId="768" xr:uid="{00000000-0005-0000-0000-0000E90F0000}"/>
    <cellStyle name="Ênfase5 10" xfId="5314" xr:uid="{00000000-0005-0000-0000-0000EA0F0000}"/>
    <cellStyle name="Ênfase5 2" xfId="979" xr:uid="{00000000-0005-0000-0000-0000EB0F0000}"/>
    <cellStyle name="Ênfase5 2 2" xfId="5315" xr:uid="{00000000-0005-0000-0000-0000EC0F0000}"/>
    <cellStyle name="Ênfase5 3" xfId="1753" xr:uid="{00000000-0005-0000-0000-0000ED0F0000}"/>
    <cellStyle name="Ênfase5 3 2" xfId="5316" xr:uid="{00000000-0005-0000-0000-0000EE0F0000}"/>
    <cellStyle name="Ênfase5 4" xfId="5317" xr:uid="{00000000-0005-0000-0000-0000EF0F0000}"/>
    <cellStyle name="Ênfase5 4 2" xfId="5318" xr:uid="{00000000-0005-0000-0000-0000F00F0000}"/>
    <cellStyle name="Ênfase5 5" xfId="5319" xr:uid="{00000000-0005-0000-0000-0000F10F0000}"/>
    <cellStyle name="Ênfase5 6" xfId="5320" xr:uid="{00000000-0005-0000-0000-0000F20F0000}"/>
    <cellStyle name="Ênfase5 7" xfId="5321" xr:uid="{00000000-0005-0000-0000-0000F30F0000}"/>
    <cellStyle name="Ênfase5 8" xfId="5322" xr:uid="{00000000-0005-0000-0000-0000F40F0000}"/>
    <cellStyle name="Ênfase5 9" xfId="5323" xr:uid="{00000000-0005-0000-0000-0000F50F0000}"/>
    <cellStyle name="Ênfase6" xfId="769" xr:uid="{00000000-0005-0000-0000-0000F60F0000}"/>
    <cellStyle name="Ênfase6 10" xfId="5324" xr:uid="{00000000-0005-0000-0000-0000F70F0000}"/>
    <cellStyle name="Ênfase6 2" xfId="980" xr:uid="{00000000-0005-0000-0000-0000F80F0000}"/>
    <cellStyle name="Ênfase6 2 2" xfId="5325" xr:uid="{00000000-0005-0000-0000-0000F90F0000}"/>
    <cellStyle name="Ênfase6 3" xfId="1754" xr:uid="{00000000-0005-0000-0000-0000FA0F0000}"/>
    <cellStyle name="Ênfase6 3 2" xfId="5326" xr:uid="{00000000-0005-0000-0000-0000FB0F0000}"/>
    <cellStyle name="Ênfase6 4" xfId="5327" xr:uid="{00000000-0005-0000-0000-0000FC0F0000}"/>
    <cellStyle name="Ênfase6 4 2" xfId="5328" xr:uid="{00000000-0005-0000-0000-0000FD0F0000}"/>
    <cellStyle name="Ênfase6 5" xfId="5329" xr:uid="{00000000-0005-0000-0000-0000FE0F0000}"/>
    <cellStyle name="Ênfase6 6" xfId="5330" xr:uid="{00000000-0005-0000-0000-0000FF0F0000}"/>
    <cellStyle name="Ênfase6 7" xfId="5331" xr:uid="{00000000-0005-0000-0000-000000100000}"/>
    <cellStyle name="Ênfase6 8" xfId="5332" xr:uid="{00000000-0005-0000-0000-000001100000}"/>
    <cellStyle name="Ênfase6 9" xfId="5333" xr:uid="{00000000-0005-0000-0000-000002100000}"/>
    <cellStyle name="Énfasis1" xfId="981" xr:uid="{00000000-0005-0000-0000-000003100000}"/>
    <cellStyle name="Énfasis1 2" xfId="5334" xr:uid="{00000000-0005-0000-0000-000004100000}"/>
    <cellStyle name="Énfasis2" xfId="982" xr:uid="{00000000-0005-0000-0000-000005100000}"/>
    <cellStyle name="Énfasis2 2" xfId="5335" xr:uid="{00000000-0005-0000-0000-000006100000}"/>
    <cellStyle name="Énfasis3" xfId="983" xr:uid="{00000000-0005-0000-0000-000007100000}"/>
    <cellStyle name="Énfasis3 2" xfId="5336" xr:uid="{00000000-0005-0000-0000-000008100000}"/>
    <cellStyle name="Énfasis4" xfId="984" xr:uid="{00000000-0005-0000-0000-000009100000}"/>
    <cellStyle name="Énfasis4 2" xfId="5337" xr:uid="{00000000-0005-0000-0000-00000A100000}"/>
    <cellStyle name="Énfasis5" xfId="985" xr:uid="{00000000-0005-0000-0000-00000B100000}"/>
    <cellStyle name="Énfasis5 2" xfId="5338" xr:uid="{00000000-0005-0000-0000-00000C100000}"/>
    <cellStyle name="Énfasis6" xfId="986" xr:uid="{00000000-0005-0000-0000-00000D100000}"/>
    <cellStyle name="Énfasis6 2" xfId="5339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0" xr:uid="{00000000-0005-0000-0000-000011100000}"/>
    <cellStyle name="Enter Currency (0)_IRT_Planilha Básica_ v2010_CERRP" xfId="1755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1" xr:uid="{00000000-0005-0000-0000-000016100000}"/>
    <cellStyle name="Enter Units (0)_IRT_Planilha Básica_ v2010_CERRP" xfId="1756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2" xr:uid="{00000000-0005-0000-0000-00001A100000}"/>
    <cellStyle name="Enter Units (1)_IRT_Planilha Básica_ v2010_CERRP" xfId="1757" xr:uid="{00000000-0005-0000-0000-00001B100000}"/>
    <cellStyle name="Enter Units (2)" xfId="774" xr:uid="{00000000-0005-0000-0000-00001C100000}"/>
    <cellStyle name="En-tête 1" xfId="5343" xr:uid="{00000000-0005-0000-0000-00001D100000}"/>
    <cellStyle name="En-tête 2" xfId="5344" xr:uid="{00000000-0005-0000-0000-00001E100000}"/>
    <cellStyle name="Entrada" xfId="775" xr:uid="{00000000-0005-0000-0000-00001F100000}"/>
    <cellStyle name="Entrada 10" xfId="5345" xr:uid="{00000000-0005-0000-0000-000020100000}"/>
    <cellStyle name="Entrada 2" xfId="990" xr:uid="{00000000-0005-0000-0000-000021100000}"/>
    <cellStyle name="Entrada 2 2" xfId="1829" xr:uid="{00000000-0005-0000-0000-000022100000}"/>
    <cellStyle name="Entrada 2 2 2" xfId="2031" xr:uid="{00000000-0005-0000-0000-000023100000}"/>
    <cellStyle name="Entrada 2 2 3" xfId="2091" xr:uid="{00000000-0005-0000-0000-000024100000}"/>
    <cellStyle name="Entrada 2 2 4" xfId="2318" xr:uid="{00000000-0005-0000-0000-000025100000}"/>
    <cellStyle name="Entrada 2 2 5" xfId="2297" xr:uid="{00000000-0005-0000-0000-000026100000}"/>
    <cellStyle name="Entrada 2 3" xfId="1918" xr:uid="{00000000-0005-0000-0000-000027100000}"/>
    <cellStyle name="Entrada 2 4" xfId="2201" xr:uid="{00000000-0005-0000-0000-000028100000}"/>
    <cellStyle name="Entrada 3" xfId="1758" xr:uid="{00000000-0005-0000-0000-000029100000}"/>
    <cellStyle name="Entrada 3 2" xfId="2005" xr:uid="{00000000-0005-0000-0000-00002A100000}"/>
    <cellStyle name="Entrada 3 3" xfId="2075" xr:uid="{00000000-0005-0000-0000-00002B100000}"/>
    <cellStyle name="Entrada 3 4" xfId="2279" xr:uid="{00000000-0005-0000-0000-00002C100000}"/>
    <cellStyle name="Entrada 3 5" xfId="2337" xr:uid="{00000000-0005-0000-0000-00002D100000}"/>
    <cellStyle name="Entrada 4" xfId="1759" xr:uid="{00000000-0005-0000-0000-00002E100000}"/>
    <cellStyle name="Entrada 4 2" xfId="2006" xr:uid="{00000000-0005-0000-0000-00002F100000}"/>
    <cellStyle name="Entrada 4 3" xfId="2076" xr:uid="{00000000-0005-0000-0000-000030100000}"/>
    <cellStyle name="Entrada 4 4" xfId="2136" xr:uid="{00000000-0005-0000-0000-000031100000}"/>
    <cellStyle name="Entrada 4 5" xfId="2175" xr:uid="{00000000-0005-0000-0000-000032100000}"/>
    <cellStyle name="Entrada 5" xfId="1907" xr:uid="{00000000-0005-0000-0000-000033100000}"/>
    <cellStyle name="Entrada 6" xfId="2195" xr:uid="{00000000-0005-0000-0000-000034100000}"/>
    <cellStyle name="Entrada 7" xfId="5346" xr:uid="{00000000-0005-0000-0000-000035100000}"/>
    <cellStyle name="Entrada 8" xfId="5347" xr:uid="{00000000-0005-0000-0000-000036100000}"/>
    <cellStyle name="Entrada 9" xfId="5348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8" xr:uid="{00000000-0005-0000-0000-00003A100000}"/>
    <cellStyle name="Estilo 1 2 2 2" xfId="5349" xr:uid="{00000000-0005-0000-0000-00003B100000}"/>
    <cellStyle name="Estilo 1 2 3" xfId="5350" xr:uid="{00000000-0005-0000-0000-00003C100000}"/>
    <cellStyle name="Estilo 1 3" xfId="1651" xr:uid="{00000000-0005-0000-0000-00003D100000}"/>
    <cellStyle name="Estilo 1 3 2" xfId="5351" xr:uid="{00000000-0005-0000-0000-00003E100000}"/>
    <cellStyle name="Estilo 1 4" xfId="1652" xr:uid="{00000000-0005-0000-0000-00003F100000}"/>
    <cellStyle name="Estilo 1 4 2" xfId="5352" xr:uid="{00000000-0005-0000-0000-000040100000}"/>
    <cellStyle name="Estilo 1 5" xfId="1653" xr:uid="{00000000-0005-0000-0000-000041100000}"/>
    <cellStyle name="Estilo 1 5 2" xfId="5353" xr:uid="{00000000-0005-0000-0000-000042100000}"/>
    <cellStyle name="Estilo 1 6" xfId="5354" xr:uid="{00000000-0005-0000-0000-000043100000}"/>
    <cellStyle name="Estilo 1_2008.08.07 CELPA IRT2008 Homologado" xfId="5355" xr:uid="{00000000-0005-0000-0000-000044100000}"/>
    <cellStyle name="Euro" xfId="777" xr:uid="{00000000-0005-0000-0000-000045100000}"/>
    <cellStyle name="Euro 2" xfId="1802" xr:uid="{00000000-0005-0000-0000-000046100000}"/>
    <cellStyle name="Euro 2 2" xfId="5356" xr:uid="{00000000-0005-0000-0000-000047100000}"/>
    <cellStyle name="Euro 3" xfId="5357" xr:uid="{00000000-0005-0000-0000-000048100000}"/>
    <cellStyle name="Euro 4" xfId="5358" xr:uid="{00000000-0005-0000-0000-000049100000}"/>
    <cellStyle name="Euro 4 2" xfId="5359" xr:uid="{00000000-0005-0000-0000-00004A100000}"/>
    <cellStyle name="Ex_MISTO" xfId="778" xr:uid="{00000000-0005-0000-0000-00004B100000}"/>
    <cellStyle name="Excel_BuiltIn_Comma 1" xfId="5360" xr:uid="{00000000-0005-0000-0000-00004C100000}"/>
    <cellStyle name="Explanatory Text" xfId="779" xr:uid="{00000000-0005-0000-0000-00004D100000}"/>
    <cellStyle name="Explanatory Text 2" xfId="5361" xr:uid="{00000000-0005-0000-0000-00004E100000}"/>
    <cellStyle name="EY House" xfId="5362" xr:uid="{00000000-0005-0000-0000-00004F100000}"/>
    <cellStyle name="EY House 2" xfId="5363" xr:uid="{00000000-0005-0000-0000-000050100000}"/>
    <cellStyle name="EY House 3" xfId="5364" xr:uid="{00000000-0005-0000-0000-000051100000}"/>
    <cellStyle name="F2" xfId="5365" xr:uid="{00000000-0005-0000-0000-000052100000}"/>
    <cellStyle name="F3" xfId="5366" xr:uid="{00000000-0005-0000-0000-000053100000}"/>
    <cellStyle name="F4" xfId="5367" xr:uid="{00000000-0005-0000-0000-000054100000}"/>
    <cellStyle name="F5" xfId="5368" xr:uid="{00000000-0005-0000-0000-000055100000}"/>
    <cellStyle name="F6" xfId="5369" xr:uid="{00000000-0005-0000-0000-000056100000}"/>
    <cellStyle name="F7" xfId="5370" xr:uid="{00000000-0005-0000-0000-000057100000}"/>
    <cellStyle name="F8" xfId="5371" xr:uid="{00000000-0005-0000-0000-000058100000}"/>
    <cellStyle name="Feature" xfId="5372" xr:uid="{00000000-0005-0000-0000-000059100000}"/>
    <cellStyle name="Feature 2" xfId="5373" xr:uid="{00000000-0005-0000-0000-00005A100000}"/>
    <cellStyle name="Feature 3" xfId="5374" xr:uid="{00000000-0005-0000-0000-00005B100000}"/>
    <cellStyle name="FIELD" xfId="780" xr:uid="{00000000-0005-0000-0000-00005C100000}"/>
    <cellStyle name="FIELD 2" xfId="5375" xr:uid="{00000000-0005-0000-0000-00005D100000}"/>
    <cellStyle name="FIELD 3" xfId="5376" xr:uid="{00000000-0005-0000-0000-00005E100000}"/>
    <cellStyle name="Fijo" xfId="5377" xr:uid="{00000000-0005-0000-0000-00005F100000}"/>
    <cellStyle name="Financier0" xfId="5378" xr:uid="{00000000-0005-0000-0000-000060100000}"/>
    <cellStyle name="Financiero" xfId="5379" xr:uid="{00000000-0005-0000-0000-000061100000}"/>
    <cellStyle name="Fixed" xfId="781" xr:uid="{00000000-0005-0000-0000-000062100000}"/>
    <cellStyle name="Fixed 2" xfId="991" xr:uid="{00000000-0005-0000-0000-000063100000}"/>
    <cellStyle name="Fixed 2 2" xfId="5380" xr:uid="{00000000-0005-0000-0000-000064100000}"/>
    <cellStyle name="Fixed 3" xfId="992" xr:uid="{00000000-0005-0000-0000-000065100000}"/>
    <cellStyle name="Fixed 4" xfId="993" xr:uid="{00000000-0005-0000-0000-000066100000}"/>
    <cellStyle name="Fixed 4 2" xfId="5381" xr:uid="{00000000-0005-0000-0000-000067100000}"/>
    <cellStyle name="Fixed_IF - Autoprodutores 2" xfId="5382" xr:uid="{00000000-0005-0000-0000-000068100000}"/>
    <cellStyle name="Fixo" xfId="782" xr:uid="{00000000-0005-0000-0000-000069100000}"/>
    <cellStyle name="Fixo 2" xfId="5383" xr:uid="{00000000-0005-0000-0000-00006A100000}"/>
    <cellStyle name="Fixo 3" xfId="5384" xr:uid="{00000000-0005-0000-0000-00006B100000}"/>
    <cellStyle name="Followed Hyperlink" xfId="783" xr:uid="{00000000-0005-0000-0000-00006C100000}"/>
    <cellStyle name="Footnote" xfId="5385" xr:uid="{00000000-0005-0000-0000-00006D100000}"/>
    <cellStyle name="forms" xfId="5386" xr:uid="{00000000-0005-0000-0000-00006E100000}"/>
    <cellStyle name="FORMULAS" xfId="5387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88" xr:uid="{00000000-0005-0000-0000-000074100000}"/>
    <cellStyle name="fundodeentrada 2" xfId="994" xr:uid="{00000000-0005-0000-0000-000075100000}"/>
    <cellStyle name="fundodeentrada 2 2" xfId="1919" xr:uid="{00000000-0005-0000-0000-000076100000}"/>
    <cellStyle name="fundodeentrada 2 3" xfId="2345" xr:uid="{00000000-0005-0000-0000-000077100000}"/>
    <cellStyle name="fundodeentrada 2 4" xfId="5389" xr:uid="{00000000-0005-0000-0000-000078100000}"/>
    <cellStyle name="fundodeentrada 3" xfId="1908" xr:uid="{00000000-0005-0000-0000-000079100000}"/>
    <cellStyle name="fundodeentrada 4" xfId="2332" xr:uid="{00000000-0005-0000-0000-00007A100000}"/>
    <cellStyle name="fundodeentrada 5" xfId="5390" xr:uid="{00000000-0005-0000-0000-00007B100000}"/>
    <cellStyle name="fundodeentrada 6" xfId="5391" xr:uid="{00000000-0005-0000-0000-00007C100000}"/>
    <cellStyle name="fundodeentrada 7" xfId="5392" xr:uid="{00000000-0005-0000-0000-00007D100000}"/>
    <cellStyle name="fundodeentrada 8" xfId="5393" xr:uid="{00000000-0005-0000-0000-00007E100000}"/>
    <cellStyle name="fundodeentrada 9" xfId="5394" xr:uid="{00000000-0005-0000-0000-00007F100000}"/>
    <cellStyle name="fundoentrada" xfId="788" xr:uid="{00000000-0005-0000-0000-000080100000}"/>
    <cellStyle name="fundoentrada 2" xfId="5395" xr:uid="{00000000-0005-0000-0000-000081100000}"/>
    <cellStyle name="fundoentrada 3" xfId="5396" xr:uid="{00000000-0005-0000-0000-000082100000}"/>
    <cellStyle name="fundoentrada 3 2" xfId="5397" xr:uid="{00000000-0005-0000-0000-000083100000}"/>
    <cellStyle name="Geral" xfId="5398" xr:uid="{00000000-0005-0000-0000-000084100000}"/>
    <cellStyle name="Geral 2" xfId="5399" xr:uid="{00000000-0005-0000-0000-000085100000}"/>
    <cellStyle name="Geral 3" xfId="5400" xr:uid="{00000000-0005-0000-0000-000086100000}"/>
    <cellStyle name="Geral_IF - Autoprodutores" xfId="5401" xr:uid="{00000000-0005-0000-0000-000087100000}"/>
    <cellStyle name="Good" xfId="789" xr:uid="{00000000-0005-0000-0000-000088100000}"/>
    <cellStyle name="Good 2" xfId="5402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3" xr:uid="{00000000-0005-0000-0000-00008F100000}"/>
    <cellStyle name="Grey 7" xfId="5404" xr:uid="{00000000-0005-0000-0000-000090100000}"/>
    <cellStyle name="Grey 8" xfId="5405" xr:uid="{00000000-0005-0000-0000-000091100000}"/>
    <cellStyle name="Grey 9" xfId="5406" xr:uid="{00000000-0005-0000-0000-000092100000}"/>
    <cellStyle name="Grey_COELCE CVA SRE (4)" xfId="5407" xr:uid="{00000000-0005-0000-0000-000093100000}"/>
    <cellStyle name="Hard Percent" xfId="5408" xr:uid="{00000000-0005-0000-0000-000094100000}"/>
    <cellStyle name="HEADER" xfId="791" xr:uid="{00000000-0005-0000-0000-000095100000}"/>
    <cellStyle name="Header1" xfId="792" xr:uid="{00000000-0005-0000-0000-000096100000}"/>
    <cellStyle name="Header1 2" xfId="5409" xr:uid="{00000000-0005-0000-0000-000097100000}"/>
    <cellStyle name="Header1 3" xfId="5410" xr:uid="{00000000-0005-0000-0000-000098100000}"/>
    <cellStyle name="Header1 4" xfId="5411" xr:uid="{00000000-0005-0000-0000-000099100000}"/>
    <cellStyle name="Header1 5" xfId="5412" xr:uid="{00000000-0005-0000-0000-00009A100000}"/>
    <cellStyle name="Header1 6" xfId="5413" xr:uid="{00000000-0005-0000-0000-00009B100000}"/>
    <cellStyle name="Header2" xfId="793" xr:uid="{00000000-0005-0000-0000-00009C100000}"/>
    <cellStyle name="Header2 2" xfId="1816" xr:uid="{00000000-0005-0000-0000-00009D100000}"/>
    <cellStyle name="Header2 2 2" xfId="2026" xr:uid="{00000000-0005-0000-0000-00009E100000}"/>
    <cellStyle name="Header2 2 2 2" xfId="2412" xr:uid="{00000000-0005-0000-0000-00009F100000}"/>
    <cellStyle name="Header2 2 2 3" xfId="2630" xr:uid="{00000000-0005-0000-0000-0000A0100000}"/>
    <cellStyle name="Header2 2 2 4" xfId="2187" xr:uid="{00000000-0005-0000-0000-0000A1100000}"/>
    <cellStyle name="Header2 2 3" xfId="2084" xr:uid="{00000000-0005-0000-0000-0000A2100000}"/>
    <cellStyle name="Header2 2 4" xfId="2130" xr:uid="{00000000-0005-0000-0000-0000A3100000}"/>
    <cellStyle name="Header2 2 5" xfId="2339" xr:uid="{00000000-0005-0000-0000-0000A4100000}"/>
    <cellStyle name="Header2 2 6" xfId="43219" xr:uid="{00000000-0005-0000-0000-0000A5100000}"/>
    <cellStyle name="Header2 3" xfId="1909" xr:uid="{00000000-0005-0000-0000-0000A6100000}"/>
    <cellStyle name="Header2 3 2" xfId="2411" xr:uid="{00000000-0005-0000-0000-0000A7100000}"/>
    <cellStyle name="Header2 3 3" xfId="2629" xr:uid="{00000000-0005-0000-0000-0000A8100000}"/>
    <cellStyle name="Header2 3 4" xfId="2362" xr:uid="{00000000-0005-0000-0000-0000A9100000}"/>
    <cellStyle name="Header2 4" xfId="2196" xr:uid="{00000000-0005-0000-0000-0000AA100000}"/>
    <cellStyle name="Header2 5" xfId="43218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4" xr:uid="{00000000-0005-0000-0000-0000AE100000}"/>
    <cellStyle name="Heading 1_SOBRECONTRATAÇÃO E CVA" xfId="5415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6" xr:uid="{00000000-0005-0000-0000-0000B2100000}"/>
    <cellStyle name="Heading 2_SOBRECONTRATAÇÃO E CVA" xfId="5417" xr:uid="{00000000-0005-0000-0000-0000B3100000}"/>
    <cellStyle name="Heading 3" xfId="796" xr:uid="{00000000-0005-0000-0000-0000B4100000}"/>
    <cellStyle name="Heading 3 2" xfId="5418" xr:uid="{00000000-0005-0000-0000-0000B5100000}"/>
    <cellStyle name="Heading 4" xfId="797" xr:uid="{00000000-0005-0000-0000-0000B6100000}"/>
    <cellStyle name="Heading 4 2" xfId="5419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0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1" xr:uid="{00000000-0005-0000-0000-0000BD100000}"/>
    <cellStyle name="Heading1 5" xfId="1004" xr:uid="{00000000-0005-0000-0000-0000BE100000}"/>
    <cellStyle name="Heading1_IF - Autoprodutores 2" xfId="5422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3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4" xr:uid="{00000000-0005-0000-0000-0000C5100000}"/>
    <cellStyle name="Heading2 5" xfId="1008" xr:uid="{00000000-0005-0000-0000-0000C6100000}"/>
    <cellStyle name="Heading2_IF - Autoprodutores 2" xfId="5425" xr:uid="{00000000-0005-0000-0000-0000C7100000}"/>
    <cellStyle name="Hidden" xfId="5426" xr:uid="{00000000-0005-0000-0000-0000C8100000}"/>
    <cellStyle name="HIGHLIGHT" xfId="800" xr:uid="{00000000-0005-0000-0000-0000C9100000}"/>
    <cellStyle name="HIGHLIGHT 2" xfId="5427" xr:uid="{00000000-0005-0000-0000-0000CA100000}"/>
    <cellStyle name="HIGHLIGHT_COELCE CVA SRE (4)" xfId="5428" xr:uid="{00000000-0005-0000-0000-0000CB100000}"/>
    <cellStyle name="Hiperlink" xfId="801" builtinId="8"/>
    <cellStyle name="Hiperlink 2" xfId="43426" xr:uid="{185FB498-45B1-4BE1-A4EE-0A93A19473E3}"/>
    <cellStyle name="Hipervínculo visitado_ESSAL" xfId="1654" xr:uid="{00000000-0005-0000-0000-0000CD100000}"/>
    <cellStyle name="Hipervínculo_ESSAL" xfId="1655" xr:uid="{00000000-0005-0000-0000-0000CE100000}"/>
    <cellStyle name="Hyperlink 2" xfId="5429" xr:uid="{00000000-0005-0000-0000-0000CF100000}"/>
    <cellStyle name="Hyperlink 3" xfId="5430" xr:uid="{00000000-0005-0000-0000-0000D0100000}"/>
    <cellStyle name="Hyperlink 4" xfId="1803" xr:uid="{00000000-0005-0000-0000-0000D1100000}"/>
    <cellStyle name="Hyperlink_casulo 5" xfId="5431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2" xr:uid="{00000000-0005-0000-0000-0000D6100000}"/>
    <cellStyle name="Incorreto 3" xfId="1760" xr:uid="{00000000-0005-0000-0000-0000D7100000}"/>
    <cellStyle name="Incorreto 4" xfId="5433" xr:uid="{00000000-0005-0000-0000-0000D8100000}"/>
    <cellStyle name="Indefinido" xfId="803" xr:uid="{00000000-0005-0000-0000-0000D9100000}"/>
    <cellStyle name="Indefinido 2" xfId="5434" xr:uid="{00000000-0005-0000-0000-0000DA100000}"/>
    <cellStyle name="Info Cell" xfId="5435" xr:uid="{00000000-0005-0000-0000-0000DB100000}"/>
    <cellStyle name="Information" xfId="5436" xr:uid="{00000000-0005-0000-0000-0000DC100000}"/>
    <cellStyle name="Input" xfId="804" xr:uid="{00000000-0005-0000-0000-0000DD100000}"/>
    <cellStyle name="Input %" xfId="805" xr:uid="{00000000-0005-0000-0000-0000DE100000}"/>
    <cellStyle name="Input % 2" xfId="5437" xr:uid="{00000000-0005-0000-0000-0000DF100000}"/>
    <cellStyle name="Input % 3" xfId="5438" xr:uid="{00000000-0005-0000-0000-0000E0100000}"/>
    <cellStyle name="Input % 4" xfId="5439" xr:uid="{00000000-0005-0000-0000-0000E1100000}"/>
    <cellStyle name="Input (%)" xfId="5440" xr:uid="{00000000-0005-0000-0000-0000E2100000}"/>
    <cellStyle name="Input (%) 2" xfId="5441" xr:uid="{00000000-0005-0000-0000-0000E3100000}"/>
    <cellStyle name="Input (%) 3" xfId="5442" xr:uid="{00000000-0005-0000-0000-0000E4100000}"/>
    <cellStyle name="Input (£m)" xfId="5443" xr:uid="{00000000-0005-0000-0000-0000E5100000}"/>
    <cellStyle name="Input (£m) 2" xfId="5444" xr:uid="{00000000-0005-0000-0000-0000E6100000}"/>
    <cellStyle name="Input (£m) 3" xfId="5445" xr:uid="{00000000-0005-0000-0000-0000E7100000}"/>
    <cellStyle name="Input (No)" xfId="5446" xr:uid="{00000000-0005-0000-0000-0000E8100000}"/>
    <cellStyle name="Input (No) 2" xfId="5447" xr:uid="{00000000-0005-0000-0000-0000E9100000}"/>
    <cellStyle name="Input (No) 3" xfId="5448" xr:uid="{00000000-0005-0000-0000-0000EA100000}"/>
    <cellStyle name="Input [yellow]" xfId="806" xr:uid="{00000000-0005-0000-0000-0000EB100000}"/>
    <cellStyle name="Input [yellow] 10" xfId="43220" xr:uid="{00000000-0005-0000-0000-0000EC100000}"/>
    <cellStyle name="Input [yellow] 2" xfId="1011" xr:uid="{00000000-0005-0000-0000-0000ED100000}"/>
    <cellStyle name="Input [yellow] 2 2" xfId="1830" xr:uid="{00000000-0005-0000-0000-0000EE100000}"/>
    <cellStyle name="Input [yellow] 2 2 2" xfId="2092" xr:uid="{00000000-0005-0000-0000-0000EF100000}"/>
    <cellStyle name="Input [yellow] 2 2 2 2" xfId="2633" xr:uid="{00000000-0005-0000-0000-0000F0100000}"/>
    <cellStyle name="Input [yellow] 2 2 2 3" xfId="2272" xr:uid="{00000000-0005-0000-0000-0000F1100000}"/>
    <cellStyle name="Input [yellow] 2 2 3" xfId="2317" xr:uid="{00000000-0005-0000-0000-0000F2100000}"/>
    <cellStyle name="Input [yellow] 2 2 4" xfId="2356" xr:uid="{00000000-0005-0000-0000-0000F3100000}"/>
    <cellStyle name="Input [yellow] 2 2 5" xfId="43222" xr:uid="{00000000-0005-0000-0000-0000F4100000}"/>
    <cellStyle name="Input [yellow] 2 3" xfId="1920" xr:uid="{00000000-0005-0000-0000-0000F5100000}"/>
    <cellStyle name="Input [yellow] 2 3 2" xfId="2414" xr:uid="{00000000-0005-0000-0000-0000F6100000}"/>
    <cellStyle name="Input [yellow] 2 3 3" xfId="2632" xr:uid="{00000000-0005-0000-0000-0000F7100000}"/>
    <cellStyle name="Input [yellow] 2 3 4" xfId="2228" xr:uid="{00000000-0005-0000-0000-0000F8100000}"/>
    <cellStyle name="Input [yellow] 2 4" xfId="2166" xr:uid="{00000000-0005-0000-0000-0000F9100000}"/>
    <cellStyle name="Input [yellow] 2 5" xfId="43221" xr:uid="{00000000-0005-0000-0000-0000FA100000}"/>
    <cellStyle name="Input [yellow] 3" xfId="1012" xr:uid="{00000000-0005-0000-0000-0000FB100000}"/>
    <cellStyle name="Input [yellow] 3 2" xfId="1831" xr:uid="{00000000-0005-0000-0000-0000FC100000}"/>
    <cellStyle name="Input [yellow] 3 2 2" xfId="2093" xr:uid="{00000000-0005-0000-0000-0000FD100000}"/>
    <cellStyle name="Input [yellow] 3 2 2 2" xfId="2635" xr:uid="{00000000-0005-0000-0000-0000FE100000}"/>
    <cellStyle name="Input [yellow] 3 2 2 3" xfId="2364" xr:uid="{00000000-0005-0000-0000-0000FF100000}"/>
    <cellStyle name="Input [yellow] 3 2 3" xfId="2316" xr:uid="{00000000-0005-0000-0000-000000110000}"/>
    <cellStyle name="Input [yellow] 3 2 4" xfId="2220" xr:uid="{00000000-0005-0000-0000-000001110000}"/>
    <cellStyle name="Input [yellow] 3 2 5" xfId="43224" xr:uid="{00000000-0005-0000-0000-000002110000}"/>
    <cellStyle name="Input [yellow] 3 3" xfId="1921" xr:uid="{00000000-0005-0000-0000-000003110000}"/>
    <cellStyle name="Input [yellow] 3 3 2" xfId="2415" xr:uid="{00000000-0005-0000-0000-000004110000}"/>
    <cellStyle name="Input [yellow] 3 3 3" xfId="2634" xr:uid="{00000000-0005-0000-0000-000005110000}"/>
    <cellStyle name="Input [yellow] 3 3 4" xfId="2188" xr:uid="{00000000-0005-0000-0000-000006110000}"/>
    <cellStyle name="Input [yellow] 3 4" xfId="2402" xr:uid="{00000000-0005-0000-0000-000007110000}"/>
    <cellStyle name="Input [yellow] 3 5" xfId="43223" xr:uid="{00000000-0005-0000-0000-000008110000}"/>
    <cellStyle name="Input [yellow] 4" xfId="1013" xr:uid="{00000000-0005-0000-0000-000009110000}"/>
    <cellStyle name="Input [yellow] 4 2" xfId="1832" xr:uid="{00000000-0005-0000-0000-00000A110000}"/>
    <cellStyle name="Input [yellow] 4 2 2" xfId="2094" xr:uid="{00000000-0005-0000-0000-00000B110000}"/>
    <cellStyle name="Input [yellow] 4 2 2 2" xfId="2637" xr:uid="{00000000-0005-0000-0000-00000C110000}"/>
    <cellStyle name="Input [yellow] 4 2 2 3" xfId="2229" xr:uid="{00000000-0005-0000-0000-00000D110000}"/>
    <cellStyle name="Input [yellow] 4 2 3" xfId="2315" xr:uid="{00000000-0005-0000-0000-00000E110000}"/>
    <cellStyle name="Input [yellow] 4 2 4" xfId="2183" xr:uid="{00000000-0005-0000-0000-00000F110000}"/>
    <cellStyle name="Input [yellow] 4 2 5" xfId="43226" xr:uid="{00000000-0005-0000-0000-000010110000}"/>
    <cellStyle name="Input [yellow] 4 3" xfId="1922" xr:uid="{00000000-0005-0000-0000-000011110000}"/>
    <cellStyle name="Input [yellow] 4 3 2" xfId="2416" xr:uid="{00000000-0005-0000-0000-000012110000}"/>
    <cellStyle name="Input [yellow] 4 3 3" xfId="2636" xr:uid="{00000000-0005-0000-0000-000013110000}"/>
    <cellStyle name="Input [yellow] 4 3 4" xfId="2365" xr:uid="{00000000-0005-0000-0000-000014110000}"/>
    <cellStyle name="Input [yellow] 4 4" xfId="2374" xr:uid="{00000000-0005-0000-0000-000015110000}"/>
    <cellStyle name="Input [yellow] 4 5" xfId="43225" xr:uid="{00000000-0005-0000-0000-000016110000}"/>
    <cellStyle name="Input [yellow] 5" xfId="1014" xr:uid="{00000000-0005-0000-0000-000017110000}"/>
    <cellStyle name="Input [yellow] 5 2" xfId="1833" xr:uid="{00000000-0005-0000-0000-000018110000}"/>
    <cellStyle name="Input [yellow] 5 2 2" xfId="2095" xr:uid="{00000000-0005-0000-0000-000019110000}"/>
    <cellStyle name="Input [yellow] 5 2 2 2" xfId="2639" xr:uid="{00000000-0005-0000-0000-00001A110000}"/>
    <cellStyle name="Input [yellow] 5 2 2 3" xfId="2273" xr:uid="{00000000-0005-0000-0000-00001B110000}"/>
    <cellStyle name="Input [yellow] 5 2 3" xfId="2314" xr:uid="{00000000-0005-0000-0000-00001C110000}"/>
    <cellStyle name="Input [yellow] 5 2 4" xfId="2267" xr:uid="{00000000-0005-0000-0000-00001D110000}"/>
    <cellStyle name="Input [yellow] 5 2 5" xfId="43228" xr:uid="{00000000-0005-0000-0000-00001E110000}"/>
    <cellStyle name="Input [yellow] 5 3" xfId="1923" xr:uid="{00000000-0005-0000-0000-00001F110000}"/>
    <cellStyle name="Input [yellow] 5 3 2" xfId="2417" xr:uid="{00000000-0005-0000-0000-000020110000}"/>
    <cellStyle name="Input [yellow] 5 3 3" xfId="2638" xr:uid="{00000000-0005-0000-0000-000021110000}"/>
    <cellStyle name="Input [yellow] 5 3 4" xfId="2189" xr:uid="{00000000-0005-0000-0000-000022110000}"/>
    <cellStyle name="Input [yellow] 5 4" xfId="2291" xr:uid="{00000000-0005-0000-0000-000023110000}"/>
    <cellStyle name="Input [yellow] 5 5" xfId="43227" xr:uid="{00000000-0005-0000-0000-000024110000}"/>
    <cellStyle name="Input [yellow] 6" xfId="1817" xr:uid="{00000000-0005-0000-0000-000025110000}"/>
    <cellStyle name="Input [yellow] 6 2" xfId="2085" xr:uid="{00000000-0005-0000-0000-000026110000}"/>
    <cellStyle name="Input [yellow] 6 2 2" xfId="2640" xr:uid="{00000000-0005-0000-0000-000027110000}"/>
    <cellStyle name="Input [yellow] 6 2 3" xfId="2366" xr:uid="{00000000-0005-0000-0000-000028110000}"/>
    <cellStyle name="Input [yellow] 6 3" xfId="2129" xr:uid="{00000000-0005-0000-0000-000029110000}"/>
    <cellStyle name="Input [yellow] 6 4" xfId="2181" xr:uid="{00000000-0005-0000-0000-00002A110000}"/>
    <cellStyle name="Input [yellow] 6 5" xfId="43229" xr:uid="{00000000-0005-0000-0000-00002B110000}"/>
    <cellStyle name="Input [yellow] 7" xfId="1910" xr:uid="{00000000-0005-0000-0000-00002C110000}"/>
    <cellStyle name="Input [yellow] 7 2" xfId="2413" xr:uid="{00000000-0005-0000-0000-00002D110000}"/>
    <cellStyle name="Input [yellow] 7 3" xfId="2631" xr:uid="{00000000-0005-0000-0000-00002E110000}"/>
    <cellStyle name="Input [yellow] 7 4" xfId="2363" xr:uid="{00000000-0005-0000-0000-00002F110000}"/>
    <cellStyle name="Input [yellow] 8" xfId="2197" xr:uid="{00000000-0005-0000-0000-000030110000}"/>
    <cellStyle name="Input [yellow] 9" xfId="5449" xr:uid="{00000000-0005-0000-0000-000031110000}"/>
    <cellStyle name="Input [yellow]_COELCE CVA SRE (4)" xfId="5450" xr:uid="{00000000-0005-0000-0000-000032110000}"/>
    <cellStyle name="Input 1" xfId="807" xr:uid="{00000000-0005-0000-0000-000033110000}"/>
    <cellStyle name="Input 1 2" xfId="5451" xr:uid="{00000000-0005-0000-0000-000034110000}"/>
    <cellStyle name="Input 1 3" xfId="5452" xr:uid="{00000000-0005-0000-0000-000035110000}"/>
    <cellStyle name="Input 1 3 2" xfId="5453" xr:uid="{00000000-0005-0000-0000-000036110000}"/>
    <cellStyle name="Input 1_IF - Autoprodutores 2" xfId="5454" xr:uid="{00000000-0005-0000-0000-000037110000}"/>
    <cellStyle name="Input 10" xfId="1015" xr:uid="{00000000-0005-0000-0000-000038110000}"/>
    <cellStyle name="Input 10 2" xfId="1834" xr:uid="{00000000-0005-0000-0000-000039110000}"/>
    <cellStyle name="Input 10 2 2" xfId="2032" xr:uid="{00000000-0005-0000-0000-00003A110000}"/>
    <cellStyle name="Input 10 2 3" xfId="2096" xr:uid="{00000000-0005-0000-0000-00003B110000}"/>
    <cellStyle name="Input 10 2 4" xfId="2313" xr:uid="{00000000-0005-0000-0000-00003C110000}"/>
    <cellStyle name="Input 10 2 5" xfId="2184" xr:uid="{00000000-0005-0000-0000-00003D110000}"/>
    <cellStyle name="Input 10 3" xfId="1924" xr:uid="{00000000-0005-0000-0000-00003E110000}"/>
    <cellStyle name="Input 10 4" xfId="2202" xr:uid="{00000000-0005-0000-0000-00003F110000}"/>
    <cellStyle name="Input 11" xfId="1016" xr:uid="{00000000-0005-0000-0000-000040110000}"/>
    <cellStyle name="Input 11 2" xfId="1835" xr:uid="{00000000-0005-0000-0000-000041110000}"/>
    <cellStyle name="Input 11 2 2" xfId="2033" xr:uid="{00000000-0005-0000-0000-000042110000}"/>
    <cellStyle name="Input 11 2 3" xfId="2097" xr:uid="{00000000-0005-0000-0000-000043110000}"/>
    <cellStyle name="Input 11 2 4" xfId="2312" xr:uid="{00000000-0005-0000-0000-000044110000}"/>
    <cellStyle name="Input 11 2 5" xfId="2357" xr:uid="{00000000-0005-0000-0000-000045110000}"/>
    <cellStyle name="Input 11 3" xfId="1925" xr:uid="{00000000-0005-0000-0000-000046110000}"/>
    <cellStyle name="Input 11 4" xfId="2328" xr:uid="{00000000-0005-0000-0000-000047110000}"/>
    <cellStyle name="Input 12" xfId="1017" xr:uid="{00000000-0005-0000-0000-000048110000}"/>
    <cellStyle name="Input 12 2" xfId="1836" xr:uid="{00000000-0005-0000-0000-000049110000}"/>
    <cellStyle name="Input 12 2 2" xfId="2034" xr:uid="{00000000-0005-0000-0000-00004A110000}"/>
    <cellStyle name="Input 12 2 3" xfId="2098" xr:uid="{00000000-0005-0000-0000-00004B110000}"/>
    <cellStyle name="Input 12 2 4" xfId="2311" xr:uid="{00000000-0005-0000-0000-00004C110000}"/>
    <cellStyle name="Input 12 2 5" xfId="2221" xr:uid="{00000000-0005-0000-0000-00004D110000}"/>
    <cellStyle name="Input 12 3" xfId="1926" xr:uid="{00000000-0005-0000-0000-00004E110000}"/>
    <cellStyle name="Input 12 4" xfId="2240" xr:uid="{00000000-0005-0000-0000-00004F110000}"/>
    <cellStyle name="Input 13" xfId="1018" xr:uid="{00000000-0005-0000-0000-000050110000}"/>
    <cellStyle name="Input 13 2" xfId="1837" xr:uid="{00000000-0005-0000-0000-000051110000}"/>
    <cellStyle name="Input 13 2 2" xfId="2035" xr:uid="{00000000-0005-0000-0000-000052110000}"/>
    <cellStyle name="Input 13 2 3" xfId="2099" xr:uid="{00000000-0005-0000-0000-000053110000}"/>
    <cellStyle name="Input 13 2 4" xfId="2310" xr:uid="{00000000-0005-0000-0000-000054110000}"/>
    <cellStyle name="Input 13 2 5" xfId="2268" xr:uid="{00000000-0005-0000-0000-000055110000}"/>
    <cellStyle name="Input 13 3" xfId="1927" xr:uid="{00000000-0005-0000-0000-000056110000}"/>
    <cellStyle name="Input 13 4" xfId="2379" xr:uid="{00000000-0005-0000-0000-000057110000}"/>
    <cellStyle name="Input 14" xfId="1804" xr:uid="{00000000-0005-0000-0000-000058110000}"/>
    <cellStyle name="Input 14 2" xfId="1880" xr:uid="{00000000-0005-0000-0000-000059110000}"/>
    <cellStyle name="Input 14 2 2" xfId="2068" xr:uid="{00000000-0005-0000-0000-00005A110000}"/>
    <cellStyle name="Input 14 2 3" xfId="2122" xr:uid="{00000000-0005-0000-0000-00005B110000}"/>
    <cellStyle name="Input 14 2 4" xfId="2622" xr:uid="{00000000-0005-0000-0000-00005C110000}"/>
    <cellStyle name="Input 14 2 5" xfId="2270" xr:uid="{00000000-0005-0000-0000-00005D110000}"/>
    <cellStyle name="Input 14 3" xfId="2017" xr:uid="{00000000-0005-0000-0000-00005E110000}"/>
    <cellStyle name="Input 14 4" xfId="2265" xr:uid="{00000000-0005-0000-0000-00005F110000}"/>
    <cellStyle name="Input 15" xfId="1809" xr:uid="{00000000-0005-0000-0000-000060110000}"/>
    <cellStyle name="Input 15 2" xfId="1883" xr:uid="{00000000-0005-0000-0000-000061110000}"/>
    <cellStyle name="Input 15 2 2" xfId="2071" xr:uid="{00000000-0005-0000-0000-000062110000}"/>
    <cellStyle name="Input 15 2 3" xfId="2124" xr:uid="{00000000-0005-0000-0000-000063110000}"/>
    <cellStyle name="Input 15 2 4" xfId="2624" xr:uid="{00000000-0005-0000-0000-000064110000}"/>
    <cellStyle name="Input 15 2 5" xfId="2186" xr:uid="{00000000-0005-0000-0000-000065110000}"/>
    <cellStyle name="Input 15 3" xfId="2022" xr:uid="{00000000-0005-0000-0000-000066110000}"/>
    <cellStyle name="Input 15 4" xfId="2338" xr:uid="{00000000-0005-0000-0000-000067110000}"/>
    <cellStyle name="Input 16" xfId="1799" xr:uid="{00000000-0005-0000-0000-000068110000}"/>
    <cellStyle name="Input 16 2" xfId="1877" xr:uid="{00000000-0005-0000-0000-000069110000}"/>
    <cellStyle name="Input 16 2 2" xfId="2066" xr:uid="{00000000-0005-0000-0000-00006A110000}"/>
    <cellStyle name="Input 16 2 3" xfId="2119" xr:uid="{00000000-0005-0000-0000-00006B110000}"/>
    <cellStyle name="Input 16 2 4" xfId="2620" xr:uid="{00000000-0005-0000-0000-00006C110000}"/>
    <cellStyle name="Input 16 2 5" xfId="2360" xr:uid="{00000000-0005-0000-0000-00006D110000}"/>
    <cellStyle name="Input 16 3" xfId="2015" xr:uid="{00000000-0005-0000-0000-00006E110000}"/>
    <cellStyle name="Input 16 4" xfId="2178" xr:uid="{00000000-0005-0000-0000-00006F110000}"/>
    <cellStyle name="Input 17" xfId="1808" xr:uid="{00000000-0005-0000-0000-000070110000}"/>
    <cellStyle name="Input 17 2" xfId="1882" xr:uid="{00000000-0005-0000-0000-000071110000}"/>
    <cellStyle name="Input 17 2 2" xfId="2070" xr:uid="{00000000-0005-0000-0000-000072110000}"/>
    <cellStyle name="Input 17 2 3" xfId="2123" xr:uid="{00000000-0005-0000-0000-000073110000}"/>
    <cellStyle name="Input 17 2 4" xfId="2623" xr:uid="{00000000-0005-0000-0000-000074110000}"/>
    <cellStyle name="Input 17 2 5" xfId="2361" xr:uid="{00000000-0005-0000-0000-000075110000}"/>
    <cellStyle name="Input 17 3" xfId="2021" xr:uid="{00000000-0005-0000-0000-000076110000}"/>
    <cellStyle name="Input 17 4" xfId="2180" xr:uid="{00000000-0005-0000-0000-000077110000}"/>
    <cellStyle name="Input 2" xfId="1019" xr:uid="{00000000-0005-0000-0000-000078110000}"/>
    <cellStyle name="Input 2 2" xfId="1838" xr:uid="{00000000-0005-0000-0000-000079110000}"/>
    <cellStyle name="Input 2 2 2" xfId="2036" xr:uid="{00000000-0005-0000-0000-00007A110000}"/>
    <cellStyle name="Input 2 2 3" xfId="2100" xr:uid="{00000000-0005-0000-0000-00007B110000}"/>
    <cellStyle name="Input 2 2 4" xfId="2126" xr:uid="{00000000-0005-0000-0000-00007C110000}"/>
    <cellStyle name="Input 2 2 5" xfId="2298" xr:uid="{00000000-0005-0000-0000-00007D110000}"/>
    <cellStyle name="Input 2 3" xfId="1928" xr:uid="{00000000-0005-0000-0000-00007E110000}"/>
    <cellStyle name="Input 2 4" xfId="2346" xr:uid="{00000000-0005-0000-0000-00007F110000}"/>
    <cellStyle name="Input 3" xfId="808" xr:uid="{00000000-0005-0000-0000-000080110000}"/>
    <cellStyle name="Input 3 2" xfId="5455" xr:uid="{00000000-0005-0000-0000-000081110000}"/>
    <cellStyle name="Input 4" xfId="1020" xr:uid="{00000000-0005-0000-0000-000082110000}"/>
    <cellStyle name="Input 4 2" xfId="1839" xr:uid="{00000000-0005-0000-0000-000083110000}"/>
    <cellStyle name="Input 4 2 2" xfId="2037" xr:uid="{00000000-0005-0000-0000-000084110000}"/>
    <cellStyle name="Input 4 2 3" xfId="2101" xr:uid="{00000000-0005-0000-0000-000085110000}"/>
    <cellStyle name="Input 4 2 4" xfId="2309" xr:uid="{00000000-0005-0000-0000-000086110000}"/>
    <cellStyle name="Input 4 2 5" xfId="2358" xr:uid="{00000000-0005-0000-0000-000087110000}"/>
    <cellStyle name="Input 4 3" xfId="1929" xr:uid="{00000000-0005-0000-0000-000088110000}"/>
    <cellStyle name="Input 4 4" xfId="2167" xr:uid="{00000000-0005-0000-0000-000089110000}"/>
    <cellStyle name="Input 5" xfId="1021" xr:uid="{00000000-0005-0000-0000-00008A110000}"/>
    <cellStyle name="Input 5 2" xfId="1840" xr:uid="{00000000-0005-0000-0000-00008B110000}"/>
    <cellStyle name="Input 5 2 2" xfId="2038" xr:uid="{00000000-0005-0000-0000-00008C110000}"/>
    <cellStyle name="Input 5 2 3" xfId="2102" xr:uid="{00000000-0005-0000-0000-00008D110000}"/>
    <cellStyle name="Input 5 2 4" xfId="2308" xr:uid="{00000000-0005-0000-0000-00008E110000}"/>
    <cellStyle name="Input 5 2 5" xfId="2158" xr:uid="{00000000-0005-0000-0000-00008F110000}"/>
    <cellStyle name="Input 5 3" xfId="1930" xr:uid="{00000000-0005-0000-0000-000090110000}"/>
    <cellStyle name="Input 5 4" xfId="2203" xr:uid="{00000000-0005-0000-0000-000091110000}"/>
    <cellStyle name="Input 6" xfId="1022" xr:uid="{00000000-0005-0000-0000-000092110000}"/>
    <cellStyle name="Input 6 2" xfId="1841" xr:uid="{00000000-0005-0000-0000-000093110000}"/>
    <cellStyle name="Input 6 2 2" xfId="2039" xr:uid="{00000000-0005-0000-0000-000094110000}"/>
    <cellStyle name="Input 6 2 3" xfId="2103" xr:uid="{00000000-0005-0000-0000-000095110000}"/>
    <cellStyle name="Input 6 2 4" xfId="2307" xr:uid="{00000000-0005-0000-0000-000096110000}"/>
    <cellStyle name="Input 6 2 5" xfId="2237" xr:uid="{00000000-0005-0000-0000-000097110000}"/>
    <cellStyle name="Input 6 3" xfId="1931" xr:uid="{00000000-0005-0000-0000-000098110000}"/>
    <cellStyle name="Input 6 4" xfId="2375" xr:uid="{00000000-0005-0000-0000-000099110000}"/>
    <cellStyle name="Input 7" xfId="1023" xr:uid="{00000000-0005-0000-0000-00009A110000}"/>
    <cellStyle name="Input 7 2" xfId="1842" xr:uid="{00000000-0005-0000-0000-00009B110000}"/>
    <cellStyle name="Input 7 2 2" xfId="2040" xr:uid="{00000000-0005-0000-0000-00009C110000}"/>
    <cellStyle name="Input 7 2 3" xfId="2104" xr:uid="{00000000-0005-0000-0000-00009D110000}"/>
    <cellStyle name="Input 7 2 4" xfId="2306" xr:uid="{00000000-0005-0000-0000-00009E110000}"/>
    <cellStyle name="Input 7 2 5" xfId="2222" xr:uid="{00000000-0005-0000-0000-00009F110000}"/>
    <cellStyle name="Input 7 3" xfId="1932" xr:uid="{00000000-0005-0000-0000-0000A0110000}"/>
    <cellStyle name="Input 7 4" xfId="2292" xr:uid="{00000000-0005-0000-0000-0000A1110000}"/>
    <cellStyle name="Input 8" xfId="1024" xr:uid="{00000000-0005-0000-0000-0000A2110000}"/>
    <cellStyle name="Input 8 2" xfId="1843" xr:uid="{00000000-0005-0000-0000-0000A3110000}"/>
    <cellStyle name="Input 8 2 2" xfId="2041" xr:uid="{00000000-0005-0000-0000-0000A4110000}"/>
    <cellStyle name="Input 8 2 3" xfId="2105" xr:uid="{00000000-0005-0000-0000-0000A5110000}"/>
    <cellStyle name="Input 8 2 4" xfId="2305" xr:uid="{00000000-0005-0000-0000-0000A6110000}"/>
    <cellStyle name="Input 8 2 5" xfId="2223" xr:uid="{00000000-0005-0000-0000-0000A7110000}"/>
    <cellStyle name="Input 8 3" xfId="1933" xr:uid="{00000000-0005-0000-0000-0000A8110000}"/>
    <cellStyle name="Input 8 4" xfId="2410" xr:uid="{00000000-0005-0000-0000-0000A9110000}"/>
    <cellStyle name="Input 9" xfId="1025" xr:uid="{00000000-0005-0000-0000-0000AA110000}"/>
    <cellStyle name="Input 9 2" xfId="1844" xr:uid="{00000000-0005-0000-0000-0000AB110000}"/>
    <cellStyle name="Input 9 2 2" xfId="2042" xr:uid="{00000000-0005-0000-0000-0000AC110000}"/>
    <cellStyle name="Input 9 2 3" xfId="2106" xr:uid="{00000000-0005-0000-0000-0000AD110000}"/>
    <cellStyle name="Input 9 2 4" xfId="2304" xr:uid="{00000000-0005-0000-0000-0000AE110000}"/>
    <cellStyle name="Input 9 2 5" xfId="2185" xr:uid="{00000000-0005-0000-0000-0000AF110000}"/>
    <cellStyle name="Input 9 3" xfId="1934" xr:uid="{00000000-0005-0000-0000-0000B0110000}"/>
    <cellStyle name="Input 9 4" xfId="2168" xr:uid="{00000000-0005-0000-0000-0000B1110000}"/>
    <cellStyle name="input override" xfId="5456" xr:uid="{00000000-0005-0000-0000-0000B2110000}"/>
    <cellStyle name="Input_Análise CO" xfId="5457" xr:uid="{00000000-0005-0000-0000-0000B3110000}"/>
    <cellStyle name="Kristopher's model" xfId="5458" xr:uid="{00000000-0005-0000-0000-0000B4110000}"/>
    <cellStyle name="Lien hypertexte" xfId="5459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0" xr:uid="{00000000-0005-0000-0000-0000B8110000}"/>
    <cellStyle name="Link Currency (0)_IRT_Planilha Básica_ v2010_CERRP" xfId="1761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1" xr:uid="{00000000-0005-0000-0000-0000BD110000}"/>
    <cellStyle name="Link Units (0)_IRT_Planilha Básica_ v2010_CERRP" xfId="1762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2" xr:uid="{00000000-0005-0000-0000-0000C1110000}"/>
    <cellStyle name="Link Units (1)_IRT_Planilha Básica_ v2010_CERRP" xfId="1763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3" xr:uid="{00000000-0005-0000-0000-0000C5110000}"/>
    <cellStyle name="MacroCode" xfId="5464" xr:uid="{00000000-0005-0000-0000-0000C6110000}"/>
    <cellStyle name="měny_Business Plan MCE" xfId="5465" xr:uid="{00000000-0005-0000-0000-0000C7110000}"/>
    <cellStyle name="Migliaia (0)_00_REV" xfId="5466" xr:uid="{00000000-0005-0000-0000-0000C8110000}"/>
    <cellStyle name="Migliaia_1320 NX" xfId="5467" xr:uid="{00000000-0005-0000-0000-0000C9110000}"/>
    <cellStyle name="Mike" xfId="5468" xr:uid="{00000000-0005-0000-0000-0000CA110000}"/>
    <cellStyle name="Millares [0]_10 AVERIAS MASIVAS + ANT" xfId="5469" xr:uid="{00000000-0005-0000-0000-0000CB110000}"/>
    <cellStyle name="Millares 2" xfId="1029" xr:uid="{00000000-0005-0000-0000-0000CC110000}"/>
    <cellStyle name="Millares 2 10" xfId="5470" xr:uid="{00000000-0005-0000-0000-0000CD110000}"/>
    <cellStyle name="Millares 2 11" xfId="5471" xr:uid="{00000000-0005-0000-0000-0000CE110000}"/>
    <cellStyle name="Millares 2 12" xfId="5472" xr:uid="{00000000-0005-0000-0000-0000CF110000}"/>
    <cellStyle name="Millares 2 13" xfId="5473" xr:uid="{00000000-0005-0000-0000-0000D0110000}"/>
    <cellStyle name="Millares 2 14" xfId="5474" xr:uid="{00000000-0005-0000-0000-0000D1110000}"/>
    <cellStyle name="Millares 2 15" xfId="5475" xr:uid="{00000000-0005-0000-0000-0000D2110000}"/>
    <cellStyle name="Millares 2 16" xfId="5476" xr:uid="{00000000-0005-0000-0000-0000D3110000}"/>
    <cellStyle name="Millares 2 17" xfId="5477" xr:uid="{00000000-0005-0000-0000-0000D4110000}"/>
    <cellStyle name="Millares 2 18" xfId="5478" xr:uid="{00000000-0005-0000-0000-0000D5110000}"/>
    <cellStyle name="Millares 2 19" xfId="5479" xr:uid="{00000000-0005-0000-0000-0000D6110000}"/>
    <cellStyle name="Millares 2 2" xfId="5480" xr:uid="{00000000-0005-0000-0000-0000D7110000}"/>
    <cellStyle name="Millares 2 20" xfId="5481" xr:uid="{00000000-0005-0000-0000-0000D8110000}"/>
    <cellStyle name="Millares 2 21" xfId="5482" xr:uid="{00000000-0005-0000-0000-0000D9110000}"/>
    <cellStyle name="Millares 2 22" xfId="5483" xr:uid="{00000000-0005-0000-0000-0000DA110000}"/>
    <cellStyle name="Millares 2 23" xfId="5484" xr:uid="{00000000-0005-0000-0000-0000DB110000}"/>
    <cellStyle name="Millares 2 24" xfId="5485" xr:uid="{00000000-0005-0000-0000-0000DC110000}"/>
    <cellStyle name="Millares 2 25" xfId="5486" xr:uid="{00000000-0005-0000-0000-0000DD110000}"/>
    <cellStyle name="Millares 2 26" xfId="43230" xr:uid="{00000000-0005-0000-0000-0000DE110000}"/>
    <cellStyle name="Millares 2 3" xfId="5487" xr:uid="{00000000-0005-0000-0000-0000DF110000}"/>
    <cellStyle name="Millares 2 4" xfId="5488" xr:uid="{00000000-0005-0000-0000-0000E0110000}"/>
    <cellStyle name="Millares 2 5" xfId="5489" xr:uid="{00000000-0005-0000-0000-0000E1110000}"/>
    <cellStyle name="Millares 2 6" xfId="5490" xr:uid="{00000000-0005-0000-0000-0000E2110000}"/>
    <cellStyle name="Millares 2 7" xfId="5491" xr:uid="{00000000-0005-0000-0000-0000E3110000}"/>
    <cellStyle name="Millares 2 8" xfId="5492" xr:uid="{00000000-0005-0000-0000-0000E4110000}"/>
    <cellStyle name="Millares 2 9" xfId="5493" xr:uid="{00000000-0005-0000-0000-0000E5110000}"/>
    <cellStyle name="Millares 3" xfId="1030" xr:uid="{00000000-0005-0000-0000-0000E6110000}"/>
    <cellStyle name="Millares 3 10" xfId="5494" xr:uid="{00000000-0005-0000-0000-0000E7110000}"/>
    <cellStyle name="Millares 3 11" xfId="5495" xr:uid="{00000000-0005-0000-0000-0000E8110000}"/>
    <cellStyle name="Millares 3 12" xfId="5496" xr:uid="{00000000-0005-0000-0000-0000E9110000}"/>
    <cellStyle name="Millares 3 13" xfId="5497" xr:uid="{00000000-0005-0000-0000-0000EA110000}"/>
    <cellStyle name="Millares 3 14" xfId="5498" xr:uid="{00000000-0005-0000-0000-0000EB110000}"/>
    <cellStyle name="Millares 3 15" xfId="5499" xr:uid="{00000000-0005-0000-0000-0000EC110000}"/>
    <cellStyle name="Millares 3 16" xfId="5500" xr:uid="{00000000-0005-0000-0000-0000ED110000}"/>
    <cellStyle name="Millares 3 17" xfId="5501" xr:uid="{00000000-0005-0000-0000-0000EE110000}"/>
    <cellStyle name="Millares 3 18" xfId="5502" xr:uid="{00000000-0005-0000-0000-0000EF110000}"/>
    <cellStyle name="Millares 3 19" xfId="5503" xr:uid="{00000000-0005-0000-0000-0000F0110000}"/>
    <cellStyle name="Millares 3 2" xfId="5504" xr:uid="{00000000-0005-0000-0000-0000F1110000}"/>
    <cellStyle name="Millares 3 20" xfId="5505" xr:uid="{00000000-0005-0000-0000-0000F2110000}"/>
    <cellStyle name="Millares 3 21" xfId="5506" xr:uid="{00000000-0005-0000-0000-0000F3110000}"/>
    <cellStyle name="Millares 3 22" xfId="5507" xr:uid="{00000000-0005-0000-0000-0000F4110000}"/>
    <cellStyle name="Millares 3 23" xfId="5508" xr:uid="{00000000-0005-0000-0000-0000F5110000}"/>
    <cellStyle name="Millares 3 24" xfId="5509" xr:uid="{00000000-0005-0000-0000-0000F6110000}"/>
    <cellStyle name="Millares 3 25" xfId="5510" xr:uid="{00000000-0005-0000-0000-0000F7110000}"/>
    <cellStyle name="Millares 3 3" xfId="5511" xr:uid="{00000000-0005-0000-0000-0000F8110000}"/>
    <cellStyle name="Millares 3 4" xfId="5512" xr:uid="{00000000-0005-0000-0000-0000F9110000}"/>
    <cellStyle name="Millares 3 5" xfId="5513" xr:uid="{00000000-0005-0000-0000-0000FA110000}"/>
    <cellStyle name="Millares 3 6" xfId="5514" xr:uid="{00000000-0005-0000-0000-0000FB110000}"/>
    <cellStyle name="Millares 3 7" xfId="5515" xr:uid="{00000000-0005-0000-0000-0000FC110000}"/>
    <cellStyle name="Millares 3 8" xfId="5516" xr:uid="{00000000-0005-0000-0000-0000FD110000}"/>
    <cellStyle name="Millares 3 9" xfId="5517" xr:uid="{00000000-0005-0000-0000-0000FE110000}"/>
    <cellStyle name="Millares 4" xfId="1031" xr:uid="{00000000-0005-0000-0000-0000FF110000}"/>
    <cellStyle name="Millares 4 10" xfId="5518" xr:uid="{00000000-0005-0000-0000-000000120000}"/>
    <cellStyle name="Millares 4 11" xfId="5519" xr:uid="{00000000-0005-0000-0000-000001120000}"/>
    <cellStyle name="Millares 4 12" xfId="5520" xr:uid="{00000000-0005-0000-0000-000002120000}"/>
    <cellStyle name="Millares 4 13" xfId="5521" xr:uid="{00000000-0005-0000-0000-000003120000}"/>
    <cellStyle name="Millares 4 14" xfId="5522" xr:uid="{00000000-0005-0000-0000-000004120000}"/>
    <cellStyle name="Millares 4 15" xfId="5523" xr:uid="{00000000-0005-0000-0000-000005120000}"/>
    <cellStyle name="Millares 4 16" xfId="5524" xr:uid="{00000000-0005-0000-0000-000006120000}"/>
    <cellStyle name="Millares 4 17" xfId="5525" xr:uid="{00000000-0005-0000-0000-000007120000}"/>
    <cellStyle name="Millares 4 18" xfId="5526" xr:uid="{00000000-0005-0000-0000-000008120000}"/>
    <cellStyle name="Millares 4 19" xfId="5527" xr:uid="{00000000-0005-0000-0000-000009120000}"/>
    <cellStyle name="Millares 4 2" xfId="5528" xr:uid="{00000000-0005-0000-0000-00000A120000}"/>
    <cellStyle name="Millares 4 20" xfId="5529" xr:uid="{00000000-0005-0000-0000-00000B120000}"/>
    <cellStyle name="Millares 4 21" xfId="5530" xr:uid="{00000000-0005-0000-0000-00000C120000}"/>
    <cellStyle name="Millares 4 22" xfId="5531" xr:uid="{00000000-0005-0000-0000-00000D120000}"/>
    <cellStyle name="Millares 4 23" xfId="5532" xr:uid="{00000000-0005-0000-0000-00000E120000}"/>
    <cellStyle name="Millares 4 24" xfId="5533" xr:uid="{00000000-0005-0000-0000-00000F120000}"/>
    <cellStyle name="Millares 4 25" xfId="5534" xr:uid="{00000000-0005-0000-0000-000010120000}"/>
    <cellStyle name="Millares 4 3" xfId="5535" xr:uid="{00000000-0005-0000-0000-000011120000}"/>
    <cellStyle name="Millares 4 4" xfId="5536" xr:uid="{00000000-0005-0000-0000-000012120000}"/>
    <cellStyle name="Millares 4 5" xfId="5537" xr:uid="{00000000-0005-0000-0000-000013120000}"/>
    <cellStyle name="Millares 4 6" xfId="5538" xr:uid="{00000000-0005-0000-0000-000014120000}"/>
    <cellStyle name="Millares 4 7" xfId="5539" xr:uid="{00000000-0005-0000-0000-000015120000}"/>
    <cellStyle name="Millares 4 8" xfId="5540" xr:uid="{00000000-0005-0000-0000-000016120000}"/>
    <cellStyle name="Millares 4 9" xfId="5541" xr:uid="{00000000-0005-0000-0000-000017120000}"/>
    <cellStyle name="Millares 5" xfId="1032" xr:uid="{00000000-0005-0000-0000-000018120000}"/>
    <cellStyle name="Millares 5 10" xfId="5542" xr:uid="{00000000-0005-0000-0000-000019120000}"/>
    <cellStyle name="Millares 5 11" xfId="5543" xr:uid="{00000000-0005-0000-0000-00001A120000}"/>
    <cellStyle name="Millares 5 12" xfId="5544" xr:uid="{00000000-0005-0000-0000-00001B120000}"/>
    <cellStyle name="Millares 5 13" xfId="5545" xr:uid="{00000000-0005-0000-0000-00001C120000}"/>
    <cellStyle name="Millares 5 14" xfId="5546" xr:uid="{00000000-0005-0000-0000-00001D120000}"/>
    <cellStyle name="Millares 5 15" xfId="5547" xr:uid="{00000000-0005-0000-0000-00001E120000}"/>
    <cellStyle name="Millares 5 16" xfId="5548" xr:uid="{00000000-0005-0000-0000-00001F120000}"/>
    <cellStyle name="Millares 5 17" xfId="5549" xr:uid="{00000000-0005-0000-0000-000020120000}"/>
    <cellStyle name="Millares 5 18" xfId="5550" xr:uid="{00000000-0005-0000-0000-000021120000}"/>
    <cellStyle name="Millares 5 19" xfId="5551" xr:uid="{00000000-0005-0000-0000-000022120000}"/>
    <cellStyle name="Millares 5 2" xfId="5552" xr:uid="{00000000-0005-0000-0000-000023120000}"/>
    <cellStyle name="Millares 5 20" xfId="5553" xr:uid="{00000000-0005-0000-0000-000024120000}"/>
    <cellStyle name="Millares 5 21" xfId="5554" xr:uid="{00000000-0005-0000-0000-000025120000}"/>
    <cellStyle name="Millares 5 22" xfId="5555" xr:uid="{00000000-0005-0000-0000-000026120000}"/>
    <cellStyle name="Millares 5 23" xfId="5556" xr:uid="{00000000-0005-0000-0000-000027120000}"/>
    <cellStyle name="Millares 5 24" xfId="5557" xr:uid="{00000000-0005-0000-0000-000028120000}"/>
    <cellStyle name="Millares 5 25" xfId="5558" xr:uid="{00000000-0005-0000-0000-000029120000}"/>
    <cellStyle name="Millares 5 3" xfId="5559" xr:uid="{00000000-0005-0000-0000-00002A120000}"/>
    <cellStyle name="Millares 5 4" xfId="5560" xr:uid="{00000000-0005-0000-0000-00002B120000}"/>
    <cellStyle name="Millares 5 5" xfId="5561" xr:uid="{00000000-0005-0000-0000-00002C120000}"/>
    <cellStyle name="Millares 5 6" xfId="5562" xr:uid="{00000000-0005-0000-0000-00002D120000}"/>
    <cellStyle name="Millares 5 7" xfId="5563" xr:uid="{00000000-0005-0000-0000-00002E120000}"/>
    <cellStyle name="Millares 5 8" xfId="5564" xr:uid="{00000000-0005-0000-0000-00002F120000}"/>
    <cellStyle name="Millares 5 9" xfId="5565" xr:uid="{00000000-0005-0000-0000-000030120000}"/>
    <cellStyle name="Millares_10 AVERIAS MASIVAS + ANT" xfId="5566" xr:uid="{00000000-0005-0000-0000-000031120000}"/>
    <cellStyle name="Milliers [0]_~S9STD" xfId="5567" xr:uid="{00000000-0005-0000-0000-000032120000}"/>
    <cellStyle name="Milliers_~S9STD" xfId="5568" xr:uid="{00000000-0005-0000-0000-000033120000}"/>
    <cellStyle name="Misto" xfId="1656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69" xr:uid="{00000000-0005-0000-0000-000038120000}"/>
    <cellStyle name="Moeda 2 2 3" xfId="5570" xr:uid="{00000000-0005-0000-0000-000039120000}"/>
    <cellStyle name="Moeda 2 2 4" xfId="5571" xr:uid="{00000000-0005-0000-0000-00003A120000}"/>
    <cellStyle name="Moeda 2 2 5" xfId="5572" xr:uid="{00000000-0005-0000-0000-00003B120000}"/>
    <cellStyle name="Moeda 2 2 6" xfId="43790" xr:uid="{115EFCE2-9841-4088-ABD8-1EA16623F3AC}"/>
    <cellStyle name="Moeda 2 3" xfId="1716" xr:uid="{00000000-0005-0000-0000-00003C120000}"/>
    <cellStyle name="Moeda 2 3 2" xfId="5573" xr:uid="{00000000-0005-0000-0000-00003D120000}"/>
    <cellStyle name="Moeda 2 3 3" xfId="5574" xr:uid="{00000000-0005-0000-0000-00003E120000}"/>
    <cellStyle name="Moeda 2 3 4" xfId="5575" xr:uid="{00000000-0005-0000-0000-00003F120000}"/>
    <cellStyle name="Moeda 2 4" xfId="1795" xr:uid="{00000000-0005-0000-0000-000040120000}"/>
    <cellStyle name="Moeda 2 4 2" xfId="5576" xr:uid="{00000000-0005-0000-0000-000041120000}"/>
    <cellStyle name="Moeda 2 4 3" xfId="5577" xr:uid="{00000000-0005-0000-0000-000042120000}"/>
    <cellStyle name="Moeda 2 4 4" xfId="5578" xr:uid="{00000000-0005-0000-0000-000043120000}"/>
    <cellStyle name="Moeda 2 5" xfId="5579" xr:uid="{00000000-0005-0000-0000-000044120000}"/>
    <cellStyle name="Moeda 2 5 2" xfId="5580" xr:uid="{00000000-0005-0000-0000-000045120000}"/>
    <cellStyle name="Moeda 2 5 3" xfId="5581" xr:uid="{00000000-0005-0000-0000-000046120000}"/>
    <cellStyle name="Moeda 2 5 4" xfId="5582" xr:uid="{00000000-0005-0000-0000-000047120000}"/>
    <cellStyle name="Moeda 2 6" xfId="5583" xr:uid="{00000000-0005-0000-0000-000048120000}"/>
    <cellStyle name="Moeda 2 6 2" xfId="5584" xr:uid="{00000000-0005-0000-0000-000049120000}"/>
    <cellStyle name="Moeda 2 6 3" xfId="5585" xr:uid="{00000000-0005-0000-0000-00004A120000}"/>
    <cellStyle name="Moeda 2 6 4" xfId="5586" xr:uid="{00000000-0005-0000-0000-00004B120000}"/>
    <cellStyle name="Moeda 2 7" xfId="5587" xr:uid="{00000000-0005-0000-0000-00004C120000}"/>
    <cellStyle name="Moeda 2 8" xfId="5588" xr:uid="{00000000-0005-0000-0000-00004D120000}"/>
    <cellStyle name="Moeda 2 9" xfId="43608" xr:uid="{0499D92E-9794-4CEA-800B-15AC4A90F0D3}"/>
    <cellStyle name="Moeda 3" xfId="1034" xr:uid="{00000000-0005-0000-0000-00004E120000}"/>
    <cellStyle name="Moeda 3 2" xfId="2495" xr:uid="{00000000-0005-0000-0000-00004F120000}"/>
    <cellStyle name="Moeda 3 3" xfId="43823" xr:uid="{FDC85FCE-CF56-4CEC-99A2-C88DC78503ED}"/>
    <cellStyle name="Moeda 4" xfId="1657" xr:uid="{00000000-0005-0000-0000-000050120000}"/>
    <cellStyle name="Moeda 4 2" xfId="1862" xr:uid="{00000000-0005-0000-0000-000051120000}"/>
    <cellStyle name="Moeda 4 2 2" xfId="2057" xr:uid="{00000000-0005-0000-0000-000052120000}"/>
    <cellStyle name="Moeda 4 2 2 2" xfId="2496" xr:uid="{00000000-0005-0000-0000-000053120000}"/>
    <cellStyle name="Moeda 4 2 2 3" xfId="43313" xr:uid="{00000000-0005-0000-0000-000054120000}"/>
    <cellStyle name="Moeda 4 2 3" xfId="2497" xr:uid="{00000000-0005-0000-0000-000055120000}"/>
    <cellStyle name="Moeda 4 2 3 2" xfId="43314" xr:uid="{00000000-0005-0000-0000-000056120000}"/>
    <cellStyle name="Moeda 4 2 4" xfId="2419" xr:uid="{00000000-0005-0000-0000-000057120000}"/>
    <cellStyle name="Moeda 4 2 5" xfId="2392" xr:uid="{00000000-0005-0000-0000-000058120000}"/>
    <cellStyle name="Moeda 4 2 6" xfId="43232" xr:uid="{00000000-0005-0000-0000-000059120000}"/>
    <cellStyle name="Moeda 4 3" xfId="1970" xr:uid="{00000000-0005-0000-0000-00005A120000}"/>
    <cellStyle name="Moeda 4 3 2" xfId="2498" xr:uid="{00000000-0005-0000-0000-00005B120000}"/>
    <cellStyle name="Moeda 4 3 3" xfId="43315" xr:uid="{00000000-0005-0000-0000-00005C120000}"/>
    <cellStyle name="Moeda 4 4" xfId="2499" xr:uid="{00000000-0005-0000-0000-00005D120000}"/>
    <cellStyle name="Moeda 4 4 2" xfId="43316" xr:uid="{00000000-0005-0000-0000-00005E120000}"/>
    <cellStyle name="Moeda 4 5" xfId="2418" xr:uid="{00000000-0005-0000-0000-00005F120000}"/>
    <cellStyle name="Moeda 4 6" xfId="2334" xr:uid="{00000000-0005-0000-0000-000060120000}"/>
    <cellStyle name="Moeda 4 7" xfId="43231" xr:uid="{00000000-0005-0000-0000-000061120000}"/>
    <cellStyle name="Moeda 5" xfId="1473" xr:uid="{00000000-0005-0000-0000-000062120000}"/>
    <cellStyle name="Moeda 5 2" xfId="5589" xr:uid="{00000000-0005-0000-0000-000063120000}"/>
    <cellStyle name="Moeda 6" xfId="1764" xr:uid="{00000000-0005-0000-0000-000064120000}"/>
    <cellStyle name="Moeda 6 2" xfId="1872" xr:uid="{00000000-0005-0000-0000-000065120000}"/>
    <cellStyle name="Moeda 6 2 2" xfId="2061" xr:uid="{00000000-0005-0000-0000-000066120000}"/>
    <cellStyle name="Moeda 6 2 2 2" xfId="2500" xr:uid="{00000000-0005-0000-0000-000067120000}"/>
    <cellStyle name="Moeda 6 2 2 3" xfId="43317" xr:uid="{00000000-0005-0000-0000-000068120000}"/>
    <cellStyle name="Moeda 6 2 3" xfId="2501" xr:uid="{00000000-0005-0000-0000-000069120000}"/>
    <cellStyle name="Moeda 6 2 3 2" xfId="43318" xr:uid="{00000000-0005-0000-0000-00006A120000}"/>
    <cellStyle name="Moeda 6 2 4" xfId="2421" xr:uid="{00000000-0005-0000-0000-00006B120000}"/>
    <cellStyle name="Moeda 6 2 5" xfId="2397" xr:uid="{00000000-0005-0000-0000-00006C120000}"/>
    <cellStyle name="Moeda 6 2 6" xfId="43234" xr:uid="{00000000-0005-0000-0000-00006D120000}"/>
    <cellStyle name="Moeda 6 3" xfId="2007" xr:uid="{00000000-0005-0000-0000-00006E120000}"/>
    <cellStyle name="Moeda 6 3 2" xfId="2502" xr:uid="{00000000-0005-0000-0000-00006F120000}"/>
    <cellStyle name="Moeda 6 3 3" xfId="43319" xr:uid="{00000000-0005-0000-0000-000070120000}"/>
    <cellStyle name="Moeda 6 4" xfId="2503" xr:uid="{00000000-0005-0000-0000-000071120000}"/>
    <cellStyle name="Moeda 6 4 2" xfId="43320" xr:uid="{00000000-0005-0000-0000-000072120000}"/>
    <cellStyle name="Moeda 6 5" xfId="2504" xr:uid="{00000000-0005-0000-0000-000073120000}"/>
    <cellStyle name="Moeda 6 5 2" xfId="43321" xr:uid="{00000000-0005-0000-0000-000074120000}"/>
    <cellStyle name="Moeda 6 6" xfId="2420" xr:uid="{00000000-0005-0000-0000-000075120000}"/>
    <cellStyle name="Moeda 6 7" xfId="2350" xr:uid="{00000000-0005-0000-0000-000076120000}"/>
    <cellStyle name="Moeda 6 8" xfId="43233" xr:uid="{00000000-0005-0000-0000-000077120000}"/>
    <cellStyle name="Moeda 7" xfId="5590" xr:uid="{00000000-0005-0000-0000-000078120000}"/>
    <cellStyle name="Moeda 8" xfId="43182" xr:uid="{00000000-0005-0000-0000-000079120000}"/>
    <cellStyle name="Moeda 9" xfId="44004" xr:uid="{BF6616DC-CE51-4224-8BB6-C11CDB68211A}"/>
    <cellStyle name="Moeda0" xfId="816" xr:uid="{00000000-0005-0000-0000-00007A120000}"/>
    <cellStyle name="Moeda0 2" xfId="5591" xr:uid="{00000000-0005-0000-0000-00007B120000}"/>
    <cellStyle name="Moeda0 3" xfId="5592" xr:uid="{00000000-0005-0000-0000-00007C120000}"/>
    <cellStyle name="Moneda [0]_0499EJEG" xfId="5593" xr:uid="{00000000-0005-0000-0000-00007D120000}"/>
    <cellStyle name="Moneda_0499EJEG" xfId="5594" xr:uid="{00000000-0005-0000-0000-00007E120000}"/>
    <cellStyle name="Monétaire [0]_~S9STD" xfId="5595" xr:uid="{00000000-0005-0000-0000-00007F120000}"/>
    <cellStyle name="Monétaire_~S9STD" xfId="5596" xr:uid="{00000000-0005-0000-0000-000080120000}"/>
    <cellStyle name="Monétaire0" xfId="5597" xr:uid="{00000000-0005-0000-0000-000081120000}"/>
    <cellStyle name="Monetario" xfId="5598" xr:uid="{00000000-0005-0000-0000-000082120000}"/>
    <cellStyle name="Month" xfId="817" xr:uid="{00000000-0005-0000-0000-000083120000}"/>
    <cellStyle name="Month 2" xfId="5599" xr:uid="{00000000-0005-0000-0000-000084120000}"/>
    <cellStyle name="Month 3" xfId="5600" xr:uid="{00000000-0005-0000-0000-000085120000}"/>
    <cellStyle name="Month 3 2" xfId="5601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5" xr:uid="{00000000-0005-0000-0000-000089120000}"/>
    <cellStyle name="movimentação 2 2 2" xfId="2505" xr:uid="{00000000-0005-0000-0000-00008A120000}"/>
    <cellStyle name="movimentação 2 2 2 2" xfId="43322" xr:uid="{00000000-0005-0000-0000-00008B120000}"/>
    <cellStyle name="movimentação 2 2 3" xfId="43237" xr:uid="{00000000-0005-0000-0000-00008C120000}"/>
    <cellStyle name="movimentação 2 3" xfId="2506" xr:uid="{00000000-0005-0000-0000-00008D120000}"/>
    <cellStyle name="movimentação 2 3 2" xfId="43323" xr:uid="{00000000-0005-0000-0000-00008E120000}"/>
    <cellStyle name="movimentação 2 4" xfId="43236" xr:uid="{00000000-0005-0000-0000-00008F120000}"/>
    <cellStyle name="movimentação 3" xfId="1818" xr:uid="{00000000-0005-0000-0000-000090120000}"/>
    <cellStyle name="movimentação 3 2" xfId="2507" xr:uid="{00000000-0005-0000-0000-000091120000}"/>
    <cellStyle name="movimentação 3 2 2" xfId="43324" xr:uid="{00000000-0005-0000-0000-000092120000}"/>
    <cellStyle name="movimentação 3 3" xfId="43238" xr:uid="{00000000-0005-0000-0000-000093120000}"/>
    <cellStyle name="movimentação 4" xfId="2508" xr:uid="{00000000-0005-0000-0000-000094120000}"/>
    <cellStyle name="movimentação 4 2" xfId="43325" xr:uid="{00000000-0005-0000-0000-000095120000}"/>
    <cellStyle name="movimentação 5" xfId="43235" xr:uid="{00000000-0005-0000-0000-000096120000}"/>
    <cellStyle name="Multiple" xfId="5602" xr:uid="{00000000-0005-0000-0000-000097120000}"/>
    <cellStyle name="Multiple Black [0]" xfId="5603" xr:uid="{00000000-0005-0000-0000-000098120000}"/>
    <cellStyle name="Multiple Black [1]" xfId="5604" xr:uid="{00000000-0005-0000-0000-000099120000}"/>
    <cellStyle name="Multiple Black [2]" xfId="5605" xr:uid="{00000000-0005-0000-0000-00009A120000}"/>
    <cellStyle name="Multiple Blue [0]" xfId="5606" xr:uid="{00000000-0005-0000-0000-00009B120000}"/>
    <cellStyle name="Multiple Blue [1]" xfId="5607" xr:uid="{00000000-0005-0000-0000-00009C120000}"/>
    <cellStyle name="Multiple Blue [2]" xfId="5608" xr:uid="{00000000-0005-0000-0000-00009D120000}"/>
    <cellStyle name="Neutra" xfId="819" xr:uid="{00000000-0005-0000-0000-00009E120000}"/>
    <cellStyle name="Neutra 10" xfId="5609" xr:uid="{00000000-0005-0000-0000-00009F120000}"/>
    <cellStyle name="Neutra 2" xfId="1036" xr:uid="{00000000-0005-0000-0000-0000A0120000}"/>
    <cellStyle name="Neutra 2 2" xfId="5610" xr:uid="{00000000-0005-0000-0000-0000A1120000}"/>
    <cellStyle name="Neutra 3" xfId="1765" xr:uid="{00000000-0005-0000-0000-0000A2120000}"/>
    <cellStyle name="Neutra 3 2" xfId="5611" xr:uid="{00000000-0005-0000-0000-0000A3120000}"/>
    <cellStyle name="Neutra 4" xfId="5612" xr:uid="{00000000-0005-0000-0000-0000A4120000}"/>
    <cellStyle name="Neutra 4 2" xfId="5613" xr:uid="{00000000-0005-0000-0000-0000A5120000}"/>
    <cellStyle name="Neutra 5" xfId="5614" xr:uid="{00000000-0005-0000-0000-0000A6120000}"/>
    <cellStyle name="Neutra 6" xfId="5615" xr:uid="{00000000-0005-0000-0000-0000A7120000}"/>
    <cellStyle name="Neutra 7" xfId="5616" xr:uid="{00000000-0005-0000-0000-0000A8120000}"/>
    <cellStyle name="Neutra 8" xfId="5617" xr:uid="{00000000-0005-0000-0000-0000A9120000}"/>
    <cellStyle name="Neutra 9" xfId="5618" xr:uid="{00000000-0005-0000-0000-0000AA120000}"/>
    <cellStyle name="Neutral" xfId="820" xr:uid="{00000000-0005-0000-0000-0000AB120000}"/>
    <cellStyle name="Neutral 2" xfId="5619" xr:uid="{00000000-0005-0000-0000-0000AC120000}"/>
    <cellStyle name="NívelLinha_2_1998" xfId="5620" xr:uid="{00000000-0005-0000-0000-0000AD120000}"/>
    <cellStyle name="no dec" xfId="821" xr:uid="{00000000-0005-0000-0000-0000AE120000}"/>
    <cellStyle name="no dec 2" xfId="5621" xr:uid="{00000000-0005-0000-0000-0000AF120000}"/>
    <cellStyle name="no dec 3" xfId="5622" xr:uid="{00000000-0005-0000-0000-0000B0120000}"/>
    <cellStyle name="No-definido" xfId="1658" xr:uid="{00000000-0005-0000-0000-0000B1120000}"/>
    <cellStyle name="Non_definito" xfId="5623" xr:uid="{00000000-0005-0000-0000-0000B2120000}"/>
    <cellStyle name="Normal" xfId="0" builtinId="0"/>
    <cellStyle name="Normal - Estilo1" xfId="5624" xr:uid="{00000000-0005-0000-0000-0000B4120000}"/>
    <cellStyle name="Normal - Estilo2" xfId="5625" xr:uid="{00000000-0005-0000-0000-0000B5120000}"/>
    <cellStyle name="Normal - Estilo3" xfId="5626" xr:uid="{00000000-0005-0000-0000-0000B6120000}"/>
    <cellStyle name="Normal - Estilo4" xfId="5627" xr:uid="{00000000-0005-0000-0000-0000B7120000}"/>
    <cellStyle name="Normal - Estilo5" xfId="5628" xr:uid="{00000000-0005-0000-0000-0000B8120000}"/>
    <cellStyle name="Normal - Estilo6" xfId="5629" xr:uid="{00000000-0005-0000-0000-0000B9120000}"/>
    <cellStyle name="Normal - Estilo7" xfId="5630" xr:uid="{00000000-0005-0000-0000-0000BA120000}"/>
    <cellStyle name="Normal - Estilo8" xfId="5631" xr:uid="{00000000-0005-0000-0000-0000BB120000}"/>
    <cellStyle name="Normal - Style1" xfId="822" xr:uid="{00000000-0005-0000-0000-0000BC120000}"/>
    <cellStyle name="Normal - Style1 10" xfId="5632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3" xr:uid="{00000000-0005-0000-0000-0000C2120000}"/>
    <cellStyle name="Normal - Style1 7" xfId="5634" xr:uid="{00000000-0005-0000-0000-0000C3120000}"/>
    <cellStyle name="Normal - Style1 8" xfId="5635" xr:uid="{00000000-0005-0000-0000-0000C4120000}"/>
    <cellStyle name="Normal - Style1 9" xfId="5636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6" xr:uid="{00000000-0005-0000-0000-0000C8120000}"/>
    <cellStyle name="Normal (%) 4" xfId="1767" xr:uid="{00000000-0005-0000-0000-0000C9120000}"/>
    <cellStyle name="Normal (£m)" xfId="5637" xr:uid="{00000000-0005-0000-0000-0000CA120000}"/>
    <cellStyle name="Normal (£m) 2" xfId="5638" xr:uid="{00000000-0005-0000-0000-0000CB120000}"/>
    <cellStyle name="Normal (£m) 3" xfId="5639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8" xr:uid="{00000000-0005-0000-0000-0000CF120000}"/>
    <cellStyle name="Normal (No) 4" xfId="1769" xr:uid="{00000000-0005-0000-0000-0000D0120000}"/>
    <cellStyle name="Normal (x)" xfId="5640" xr:uid="{00000000-0005-0000-0000-0000D1120000}"/>
    <cellStyle name="Normal (x) 2" xfId="5641" xr:uid="{00000000-0005-0000-0000-0000D2120000}"/>
    <cellStyle name="Normal (x) 3" xfId="5642" xr:uid="{00000000-0005-0000-0000-0000D3120000}"/>
    <cellStyle name="Normal 10" xfId="1043" xr:uid="{00000000-0005-0000-0000-0000D4120000}"/>
    <cellStyle name="Normal 10 10" xfId="5643" xr:uid="{00000000-0005-0000-0000-0000D5120000}"/>
    <cellStyle name="Normal 10 10 10" xfId="5644" xr:uid="{00000000-0005-0000-0000-0000D6120000}"/>
    <cellStyle name="Normal 10 10 11" xfId="5645" xr:uid="{00000000-0005-0000-0000-0000D7120000}"/>
    <cellStyle name="Normal 10 10 12" xfId="5646" xr:uid="{00000000-0005-0000-0000-0000D8120000}"/>
    <cellStyle name="Normal 10 10 13" xfId="5647" xr:uid="{00000000-0005-0000-0000-0000D9120000}"/>
    <cellStyle name="Normal 10 10 2" xfId="5648" xr:uid="{00000000-0005-0000-0000-0000DA120000}"/>
    <cellStyle name="Normal 10 10 2 2" xfId="5649" xr:uid="{00000000-0005-0000-0000-0000DB120000}"/>
    <cellStyle name="Normal 10 10 2 3" xfId="5650" xr:uid="{00000000-0005-0000-0000-0000DC120000}"/>
    <cellStyle name="Normal 10 10 2 4" xfId="5651" xr:uid="{00000000-0005-0000-0000-0000DD120000}"/>
    <cellStyle name="Normal 10 10 2 5" xfId="5652" xr:uid="{00000000-0005-0000-0000-0000DE120000}"/>
    <cellStyle name="Normal 10 10 2 6" xfId="5653" xr:uid="{00000000-0005-0000-0000-0000DF120000}"/>
    <cellStyle name="Normal 10 10 3" xfId="5654" xr:uid="{00000000-0005-0000-0000-0000E0120000}"/>
    <cellStyle name="Normal 10 10 3 2" xfId="5655" xr:uid="{00000000-0005-0000-0000-0000E1120000}"/>
    <cellStyle name="Normal 10 10 3 3" xfId="5656" xr:uid="{00000000-0005-0000-0000-0000E2120000}"/>
    <cellStyle name="Normal 10 10 3 4" xfId="5657" xr:uid="{00000000-0005-0000-0000-0000E3120000}"/>
    <cellStyle name="Normal 10 10 3 5" xfId="5658" xr:uid="{00000000-0005-0000-0000-0000E4120000}"/>
    <cellStyle name="Normal 10 10 3 6" xfId="5659" xr:uid="{00000000-0005-0000-0000-0000E5120000}"/>
    <cellStyle name="Normal 10 10 4" xfId="5660" xr:uid="{00000000-0005-0000-0000-0000E6120000}"/>
    <cellStyle name="Normal 10 10 4 2" xfId="5661" xr:uid="{00000000-0005-0000-0000-0000E7120000}"/>
    <cellStyle name="Normal 10 10 4 3" xfId="5662" xr:uid="{00000000-0005-0000-0000-0000E8120000}"/>
    <cellStyle name="Normal 10 10 4 4" xfId="5663" xr:uid="{00000000-0005-0000-0000-0000E9120000}"/>
    <cellStyle name="Normal 10 10 4 5" xfId="5664" xr:uid="{00000000-0005-0000-0000-0000EA120000}"/>
    <cellStyle name="Normal 10 10 4 6" xfId="5665" xr:uid="{00000000-0005-0000-0000-0000EB120000}"/>
    <cellStyle name="Normal 10 10 5" xfId="5666" xr:uid="{00000000-0005-0000-0000-0000EC120000}"/>
    <cellStyle name="Normal 10 10 5 2" xfId="5667" xr:uid="{00000000-0005-0000-0000-0000ED120000}"/>
    <cellStyle name="Normal 10 10 5 3" xfId="5668" xr:uid="{00000000-0005-0000-0000-0000EE120000}"/>
    <cellStyle name="Normal 10 10 5 4" xfId="5669" xr:uid="{00000000-0005-0000-0000-0000EF120000}"/>
    <cellStyle name="Normal 10 10 5 5" xfId="5670" xr:uid="{00000000-0005-0000-0000-0000F0120000}"/>
    <cellStyle name="Normal 10 10 5 6" xfId="5671" xr:uid="{00000000-0005-0000-0000-0000F1120000}"/>
    <cellStyle name="Normal 10 10 6" xfId="5672" xr:uid="{00000000-0005-0000-0000-0000F2120000}"/>
    <cellStyle name="Normal 10 10 6 2" xfId="5673" xr:uid="{00000000-0005-0000-0000-0000F3120000}"/>
    <cellStyle name="Normal 10 10 6 3" xfId="5674" xr:uid="{00000000-0005-0000-0000-0000F4120000}"/>
    <cellStyle name="Normal 10 10 6 4" xfId="5675" xr:uid="{00000000-0005-0000-0000-0000F5120000}"/>
    <cellStyle name="Normal 10 10 6 5" xfId="5676" xr:uid="{00000000-0005-0000-0000-0000F6120000}"/>
    <cellStyle name="Normal 10 10 6 6" xfId="5677" xr:uid="{00000000-0005-0000-0000-0000F7120000}"/>
    <cellStyle name="Normal 10 10 7" xfId="5678" xr:uid="{00000000-0005-0000-0000-0000F8120000}"/>
    <cellStyle name="Normal 10 10 7 2" xfId="5679" xr:uid="{00000000-0005-0000-0000-0000F9120000}"/>
    <cellStyle name="Normal 10 10 7 3" xfId="5680" xr:uid="{00000000-0005-0000-0000-0000FA120000}"/>
    <cellStyle name="Normal 10 10 7 4" xfId="5681" xr:uid="{00000000-0005-0000-0000-0000FB120000}"/>
    <cellStyle name="Normal 10 10 7 5" xfId="5682" xr:uid="{00000000-0005-0000-0000-0000FC120000}"/>
    <cellStyle name="Normal 10 10 7 6" xfId="5683" xr:uid="{00000000-0005-0000-0000-0000FD120000}"/>
    <cellStyle name="Normal 10 10 8" xfId="5684" xr:uid="{00000000-0005-0000-0000-0000FE120000}"/>
    <cellStyle name="Normal 10 10 8 2" xfId="5685" xr:uid="{00000000-0005-0000-0000-0000FF120000}"/>
    <cellStyle name="Normal 10 10 8 3" xfId="5686" xr:uid="{00000000-0005-0000-0000-000000130000}"/>
    <cellStyle name="Normal 10 10 8 4" xfId="5687" xr:uid="{00000000-0005-0000-0000-000001130000}"/>
    <cellStyle name="Normal 10 10 8 5" xfId="5688" xr:uid="{00000000-0005-0000-0000-000002130000}"/>
    <cellStyle name="Normal 10 10 8 6" xfId="5689" xr:uid="{00000000-0005-0000-0000-000003130000}"/>
    <cellStyle name="Normal 10 10 9" xfId="5690" xr:uid="{00000000-0005-0000-0000-000004130000}"/>
    <cellStyle name="Normal 10 11" xfId="5691" xr:uid="{00000000-0005-0000-0000-000005130000}"/>
    <cellStyle name="Normal 10 11 10" xfId="5692" xr:uid="{00000000-0005-0000-0000-000006130000}"/>
    <cellStyle name="Normal 10 11 11" xfId="5693" xr:uid="{00000000-0005-0000-0000-000007130000}"/>
    <cellStyle name="Normal 10 11 12" xfId="5694" xr:uid="{00000000-0005-0000-0000-000008130000}"/>
    <cellStyle name="Normal 10 11 13" xfId="5695" xr:uid="{00000000-0005-0000-0000-000009130000}"/>
    <cellStyle name="Normal 10 11 2" xfId="5696" xr:uid="{00000000-0005-0000-0000-00000A130000}"/>
    <cellStyle name="Normal 10 11 2 2" xfId="5697" xr:uid="{00000000-0005-0000-0000-00000B130000}"/>
    <cellStyle name="Normal 10 11 2 3" xfId="5698" xr:uid="{00000000-0005-0000-0000-00000C130000}"/>
    <cellStyle name="Normal 10 11 2 4" xfId="5699" xr:uid="{00000000-0005-0000-0000-00000D130000}"/>
    <cellStyle name="Normal 10 11 2 5" xfId="5700" xr:uid="{00000000-0005-0000-0000-00000E130000}"/>
    <cellStyle name="Normal 10 11 2 6" xfId="5701" xr:uid="{00000000-0005-0000-0000-00000F130000}"/>
    <cellStyle name="Normal 10 11 3" xfId="5702" xr:uid="{00000000-0005-0000-0000-000010130000}"/>
    <cellStyle name="Normal 10 11 3 2" xfId="5703" xr:uid="{00000000-0005-0000-0000-000011130000}"/>
    <cellStyle name="Normal 10 11 3 3" xfId="5704" xr:uid="{00000000-0005-0000-0000-000012130000}"/>
    <cellStyle name="Normal 10 11 3 4" xfId="5705" xr:uid="{00000000-0005-0000-0000-000013130000}"/>
    <cellStyle name="Normal 10 11 3 5" xfId="5706" xr:uid="{00000000-0005-0000-0000-000014130000}"/>
    <cellStyle name="Normal 10 11 3 6" xfId="5707" xr:uid="{00000000-0005-0000-0000-000015130000}"/>
    <cellStyle name="Normal 10 11 4" xfId="5708" xr:uid="{00000000-0005-0000-0000-000016130000}"/>
    <cellStyle name="Normal 10 11 4 2" xfId="5709" xr:uid="{00000000-0005-0000-0000-000017130000}"/>
    <cellStyle name="Normal 10 11 4 3" xfId="5710" xr:uid="{00000000-0005-0000-0000-000018130000}"/>
    <cellStyle name="Normal 10 11 4 4" xfId="5711" xr:uid="{00000000-0005-0000-0000-000019130000}"/>
    <cellStyle name="Normal 10 11 4 5" xfId="5712" xr:uid="{00000000-0005-0000-0000-00001A130000}"/>
    <cellStyle name="Normal 10 11 4 6" xfId="5713" xr:uid="{00000000-0005-0000-0000-00001B130000}"/>
    <cellStyle name="Normal 10 11 5" xfId="5714" xr:uid="{00000000-0005-0000-0000-00001C130000}"/>
    <cellStyle name="Normal 10 11 5 2" xfId="5715" xr:uid="{00000000-0005-0000-0000-00001D130000}"/>
    <cellStyle name="Normal 10 11 5 3" xfId="5716" xr:uid="{00000000-0005-0000-0000-00001E130000}"/>
    <cellStyle name="Normal 10 11 5 4" xfId="5717" xr:uid="{00000000-0005-0000-0000-00001F130000}"/>
    <cellStyle name="Normal 10 11 5 5" xfId="5718" xr:uid="{00000000-0005-0000-0000-000020130000}"/>
    <cellStyle name="Normal 10 11 5 6" xfId="5719" xr:uid="{00000000-0005-0000-0000-000021130000}"/>
    <cellStyle name="Normal 10 11 6" xfId="5720" xr:uid="{00000000-0005-0000-0000-000022130000}"/>
    <cellStyle name="Normal 10 11 6 2" xfId="5721" xr:uid="{00000000-0005-0000-0000-000023130000}"/>
    <cellStyle name="Normal 10 11 6 3" xfId="5722" xr:uid="{00000000-0005-0000-0000-000024130000}"/>
    <cellStyle name="Normal 10 11 6 4" xfId="5723" xr:uid="{00000000-0005-0000-0000-000025130000}"/>
    <cellStyle name="Normal 10 11 6 5" xfId="5724" xr:uid="{00000000-0005-0000-0000-000026130000}"/>
    <cellStyle name="Normal 10 11 6 6" xfId="5725" xr:uid="{00000000-0005-0000-0000-000027130000}"/>
    <cellStyle name="Normal 10 11 7" xfId="5726" xr:uid="{00000000-0005-0000-0000-000028130000}"/>
    <cellStyle name="Normal 10 11 7 2" xfId="5727" xr:uid="{00000000-0005-0000-0000-000029130000}"/>
    <cellStyle name="Normal 10 11 7 3" xfId="5728" xr:uid="{00000000-0005-0000-0000-00002A130000}"/>
    <cellStyle name="Normal 10 11 7 4" xfId="5729" xr:uid="{00000000-0005-0000-0000-00002B130000}"/>
    <cellStyle name="Normal 10 11 7 5" xfId="5730" xr:uid="{00000000-0005-0000-0000-00002C130000}"/>
    <cellStyle name="Normal 10 11 7 6" xfId="5731" xr:uid="{00000000-0005-0000-0000-00002D130000}"/>
    <cellStyle name="Normal 10 11 8" xfId="5732" xr:uid="{00000000-0005-0000-0000-00002E130000}"/>
    <cellStyle name="Normal 10 11 8 2" xfId="5733" xr:uid="{00000000-0005-0000-0000-00002F130000}"/>
    <cellStyle name="Normal 10 11 8 3" xfId="5734" xr:uid="{00000000-0005-0000-0000-000030130000}"/>
    <cellStyle name="Normal 10 11 8 4" xfId="5735" xr:uid="{00000000-0005-0000-0000-000031130000}"/>
    <cellStyle name="Normal 10 11 8 5" xfId="5736" xr:uid="{00000000-0005-0000-0000-000032130000}"/>
    <cellStyle name="Normal 10 11 8 6" xfId="5737" xr:uid="{00000000-0005-0000-0000-000033130000}"/>
    <cellStyle name="Normal 10 11 9" xfId="5738" xr:uid="{00000000-0005-0000-0000-000034130000}"/>
    <cellStyle name="Normal 10 12" xfId="5739" xr:uid="{00000000-0005-0000-0000-000035130000}"/>
    <cellStyle name="Normal 10 12 10" xfId="5740" xr:uid="{00000000-0005-0000-0000-000036130000}"/>
    <cellStyle name="Normal 10 12 11" xfId="5741" xr:uid="{00000000-0005-0000-0000-000037130000}"/>
    <cellStyle name="Normal 10 12 12" xfId="5742" xr:uid="{00000000-0005-0000-0000-000038130000}"/>
    <cellStyle name="Normal 10 12 13" xfId="5743" xr:uid="{00000000-0005-0000-0000-000039130000}"/>
    <cellStyle name="Normal 10 12 2" xfId="5744" xr:uid="{00000000-0005-0000-0000-00003A130000}"/>
    <cellStyle name="Normal 10 12 2 2" xfId="5745" xr:uid="{00000000-0005-0000-0000-00003B130000}"/>
    <cellStyle name="Normal 10 12 2 3" xfId="5746" xr:uid="{00000000-0005-0000-0000-00003C130000}"/>
    <cellStyle name="Normal 10 12 2 4" xfId="5747" xr:uid="{00000000-0005-0000-0000-00003D130000}"/>
    <cellStyle name="Normal 10 12 2 5" xfId="5748" xr:uid="{00000000-0005-0000-0000-00003E130000}"/>
    <cellStyle name="Normal 10 12 2 6" xfId="5749" xr:uid="{00000000-0005-0000-0000-00003F130000}"/>
    <cellStyle name="Normal 10 12 3" xfId="5750" xr:uid="{00000000-0005-0000-0000-000040130000}"/>
    <cellStyle name="Normal 10 12 3 2" xfId="5751" xr:uid="{00000000-0005-0000-0000-000041130000}"/>
    <cellStyle name="Normal 10 12 3 3" xfId="5752" xr:uid="{00000000-0005-0000-0000-000042130000}"/>
    <cellStyle name="Normal 10 12 3 4" xfId="5753" xr:uid="{00000000-0005-0000-0000-000043130000}"/>
    <cellStyle name="Normal 10 12 3 5" xfId="5754" xr:uid="{00000000-0005-0000-0000-000044130000}"/>
    <cellStyle name="Normal 10 12 3 6" xfId="5755" xr:uid="{00000000-0005-0000-0000-000045130000}"/>
    <cellStyle name="Normal 10 12 4" xfId="5756" xr:uid="{00000000-0005-0000-0000-000046130000}"/>
    <cellStyle name="Normal 10 12 4 2" xfId="5757" xr:uid="{00000000-0005-0000-0000-000047130000}"/>
    <cellStyle name="Normal 10 12 4 3" xfId="5758" xr:uid="{00000000-0005-0000-0000-000048130000}"/>
    <cellStyle name="Normal 10 12 4 4" xfId="5759" xr:uid="{00000000-0005-0000-0000-000049130000}"/>
    <cellStyle name="Normal 10 12 4 5" xfId="5760" xr:uid="{00000000-0005-0000-0000-00004A130000}"/>
    <cellStyle name="Normal 10 12 4 6" xfId="5761" xr:uid="{00000000-0005-0000-0000-00004B130000}"/>
    <cellStyle name="Normal 10 12 5" xfId="5762" xr:uid="{00000000-0005-0000-0000-00004C130000}"/>
    <cellStyle name="Normal 10 12 5 2" xfId="5763" xr:uid="{00000000-0005-0000-0000-00004D130000}"/>
    <cellStyle name="Normal 10 12 5 3" xfId="5764" xr:uid="{00000000-0005-0000-0000-00004E130000}"/>
    <cellStyle name="Normal 10 12 5 4" xfId="5765" xr:uid="{00000000-0005-0000-0000-00004F130000}"/>
    <cellStyle name="Normal 10 12 5 5" xfId="5766" xr:uid="{00000000-0005-0000-0000-000050130000}"/>
    <cellStyle name="Normal 10 12 5 6" xfId="5767" xr:uid="{00000000-0005-0000-0000-000051130000}"/>
    <cellStyle name="Normal 10 12 6" xfId="5768" xr:uid="{00000000-0005-0000-0000-000052130000}"/>
    <cellStyle name="Normal 10 12 6 2" xfId="5769" xr:uid="{00000000-0005-0000-0000-000053130000}"/>
    <cellStyle name="Normal 10 12 6 3" xfId="5770" xr:uid="{00000000-0005-0000-0000-000054130000}"/>
    <cellStyle name="Normal 10 12 6 4" xfId="5771" xr:uid="{00000000-0005-0000-0000-000055130000}"/>
    <cellStyle name="Normal 10 12 6 5" xfId="5772" xr:uid="{00000000-0005-0000-0000-000056130000}"/>
    <cellStyle name="Normal 10 12 6 6" xfId="5773" xr:uid="{00000000-0005-0000-0000-000057130000}"/>
    <cellStyle name="Normal 10 12 7" xfId="5774" xr:uid="{00000000-0005-0000-0000-000058130000}"/>
    <cellStyle name="Normal 10 12 7 2" xfId="5775" xr:uid="{00000000-0005-0000-0000-000059130000}"/>
    <cellStyle name="Normal 10 12 7 3" xfId="5776" xr:uid="{00000000-0005-0000-0000-00005A130000}"/>
    <cellStyle name="Normal 10 12 7 4" xfId="5777" xr:uid="{00000000-0005-0000-0000-00005B130000}"/>
    <cellStyle name="Normal 10 12 7 5" xfId="5778" xr:uid="{00000000-0005-0000-0000-00005C130000}"/>
    <cellStyle name="Normal 10 12 7 6" xfId="5779" xr:uid="{00000000-0005-0000-0000-00005D130000}"/>
    <cellStyle name="Normal 10 12 8" xfId="5780" xr:uid="{00000000-0005-0000-0000-00005E130000}"/>
    <cellStyle name="Normal 10 12 8 2" xfId="5781" xr:uid="{00000000-0005-0000-0000-00005F130000}"/>
    <cellStyle name="Normal 10 12 8 3" xfId="5782" xr:uid="{00000000-0005-0000-0000-000060130000}"/>
    <cellStyle name="Normal 10 12 8 4" xfId="5783" xr:uid="{00000000-0005-0000-0000-000061130000}"/>
    <cellStyle name="Normal 10 12 8 5" xfId="5784" xr:uid="{00000000-0005-0000-0000-000062130000}"/>
    <cellStyle name="Normal 10 12 8 6" xfId="5785" xr:uid="{00000000-0005-0000-0000-000063130000}"/>
    <cellStyle name="Normal 10 12 9" xfId="5786" xr:uid="{00000000-0005-0000-0000-000064130000}"/>
    <cellStyle name="Normal 10 13" xfId="5787" xr:uid="{00000000-0005-0000-0000-000065130000}"/>
    <cellStyle name="Normal 10 13 10" xfId="5788" xr:uid="{00000000-0005-0000-0000-000066130000}"/>
    <cellStyle name="Normal 10 13 11" xfId="5789" xr:uid="{00000000-0005-0000-0000-000067130000}"/>
    <cellStyle name="Normal 10 13 12" xfId="5790" xr:uid="{00000000-0005-0000-0000-000068130000}"/>
    <cellStyle name="Normal 10 13 13" xfId="5791" xr:uid="{00000000-0005-0000-0000-000069130000}"/>
    <cellStyle name="Normal 10 13 2" xfId="5792" xr:uid="{00000000-0005-0000-0000-00006A130000}"/>
    <cellStyle name="Normal 10 13 2 2" xfId="5793" xr:uid="{00000000-0005-0000-0000-00006B130000}"/>
    <cellStyle name="Normal 10 13 2 3" xfId="5794" xr:uid="{00000000-0005-0000-0000-00006C130000}"/>
    <cellStyle name="Normal 10 13 2 4" xfId="5795" xr:uid="{00000000-0005-0000-0000-00006D130000}"/>
    <cellStyle name="Normal 10 13 2 5" xfId="5796" xr:uid="{00000000-0005-0000-0000-00006E130000}"/>
    <cellStyle name="Normal 10 13 2 6" xfId="5797" xr:uid="{00000000-0005-0000-0000-00006F130000}"/>
    <cellStyle name="Normal 10 13 3" xfId="5798" xr:uid="{00000000-0005-0000-0000-000070130000}"/>
    <cellStyle name="Normal 10 13 3 2" xfId="5799" xr:uid="{00000000-0005-0000-0000-000071130000}"/>
    <cellStyle name="Normal 10 13 3 3" xfId="5800" xr:uid="{00000000-0005-0000-0000-000072130000}"/>
    <cellStyle name="Normal 10 13 3 4" xfId="5801" xr:uid="{00000000-0005-0000-0000-000073130000}"/>
    <cellStyle name="Normal 10 13 3 5" xfId="5802" xr:uid="{00000000-0005-0000-0000-000074130000}"/>
    <cellStyle name="Normal 10 13 3 6" xfId="5803" xr:uid="{00000000-0005-0000-0000-000075130000}"/>
    <cellStyle name="Normal 10 13 4" xfId="5804" xr:uid="{00000000-0005-0000-0000-000076130000}"/>
    <cellStyle name="Normal 10 13 4 2" xfId="5805" xr:uid="{00000000-0005-0000-0000-000077130000}"/>
    <cellStyle name="Normal 10 13 4 3" xfId="5806" xr:uid="{00000000-0005-0000-0000-000078130000}"/>
    <cellStyle name="Normal 10 13 4 4" xfId="5807" xr:uid="{00000000-0005-0000-0000-000079130000}"/>
    <cellStyle name="Normal 10 13 4 5" xfId="5808" xr:uid="{00000000-0005-0000-0000-00007A130000}"/>
    <cellStyle name="Normal 10 13 4 6" xfId="5809" xr:uid="{00000000-0005-0000-0000-00007B130000}"/>
    <cellStyle name="Normal 10 13 5" xfId="5810" xr:uid="{00000000-0005-0000-0000-00007C130000}"/>
    <cellStyle name="Normal 10 13 5 2" xfId="5811" xr:uid="{00000000-0005-0000-0000-00007D130000}"/>
    <cellStyle name="Normal 10 13 5 3" xfId="5812" xr:uid="{00000000-0005-0000-0000-00007E130000}"/>
    <cellStyle name="Normal 10 13 5 4" xfId="5813" xr:uid="{00000000-0005-0000-0000-00007F130000}"/>
    <cellStyle name="Normal 10 13 5 5" xfId="5814" xr:uid="{00000000-0005-0000-0000-000080130000}"/>
    <cellStyle name="Normal 10 13 5 6" xfId="5815" xr:uid="{00000000-0005-0000-0000-000081130000}"/>
    <cellStyle name="Normal 10 13 6" xfId="5816" xr:uid="{00000000-0005-0000-0000-000082130000}"/>
    <cellStyle name="Normal 10 13 6 2" xfId="5817" xr:uid="{00000000-0005-0000-0000-000083130000}"/>
    <cellStyle name="Normal 10 13 6 3" xfId="5818" xr:uid="{00000000-0005-0000-0000-000084130000}"/>
    <cellStyle name="Normal 10 13 6 4" xfId="5819" xr:uid="{00000000-0005-0000-0000-000085130000}"/>
    <cellStyle name="Normal 10 13 6 5" xfId="5820" xr:uid="{00000000-0005-0000-0000-000086130000}"/>
    <cellStyle name="Normal 10 13 6 6" xfId="5821" xr:uid="{00000000-0005-0000-0000-000087130000}"/>
    <cellStyle name="Normal 10 13 7" xfId="5822" xr:uid="{00000000-0005-0000-0000-000088130000}"/>
    <cellStyle name="Normal 10 13 7 2" xfId="5823" xr:uid="{00000000-0005-0000-0000-000089130000}"/>
    <cellStyle name="Normal 10 13 7 3" xfId="5824" xr:uid="{00000000-0005-0000-0000-00008A130000}"/>
    <cellStyle name="Normal 10 13 7 4" xfId="5825" xr:uid="{00000000-0005-0000-0000-00008B130000}"/>
    <cellStyle name="Normal 10 13 7 5" xfId="5826" xr:uid="{00000000-0005-0000-0000-00008C130000}"/>
    <cellStyle name="Normal 10 13 7 6" xfId="5827" xr:uid="{00000000-0005-0000-0000-00008D130000}"/>
    <cellStyle name="Normal 10 13 8" xfId="5828" xr:uid="{00000000-0005-0000-0000-00008E130000}"/>
    <cellStyle name="Normal 10 13 8 2" xfId="5829" xr:uid="{00000000-0005-0000-0000-00008F130000}"/>
    <cellStyle name="Normal 10 13 8 3" xfId="5830" xr:uid="{00000000-0005-0000-0000-000090130000}"/>
    <cellStyle name="Normal 10 13 8 4" xfId="5831" xr:uid="{00000000-0005-0000-0000-000091130000}"/>
    <cellStyle name="Normal 10 13 8 5" xfId="5832" xr:uid="{00000000-0005-0000-0000-000092130000}"/>
    <cellStyle name="Normal 10 13 8 6" xfId="5833" xr:uid="{00000000-0005-0000-0000-000093130000}"/>
    <cellStyle name="Normal 10 13 9" xfId="5834" xr:uid="{00000000-0005-0000-0000-000094130000}"/>
    <cellStyle name="Normal 10 14" xfId="5835" xr:uid="{00000000-0005-0000-0000-000095130000}"/>
    <cellStyle name="Normal 10 14 10" xfId="5836" xr:uid="{00000000-0005-0000-0000-000096130000}"/>
    <cellStyle name="Normal 10 14 11" xfId="5837" xr:uid="{00000000-0005-0000-0000-000097130000}"/>
    <cellStyle name="Normal 10 14 12" xfId="5838" xr:uid="{00000000-0005-0000-0000-000098130000}"/>
    <cellStyle name="Normal 10 14 13" xfId="5839" xr:uid="{00000000-0005-0000-0000-000099130000}"/>
    <cellStyle name="Normal 10 14 2" xfId="5840" xr:uid="{00000000-0005-0000-0000-00009A130000}"/>
    <cellStyle name="Normal 10 14 2 2" xfId="5841" xr:uid="{00000000-0005-0000-0000-00009B130000}"/>
    <cellStyle name="Normal 10 14 2 3" xfId="5842" xr:uid="{00000000-0005-0000-0000-00009C130000}"/>
    <cellStyle name="Normal 10 14 2 4" xfId="5843" xr:uid="{00000000-0005-0000-0000-00009D130000}"/>
    <cellStyle name="Normal 10 14 2 5" xfId="5844" xr:uid="{00000000-0005-0000-0000-00009E130000}"/>
    <cellStyle name="Normal 10 14 2 6" xfId="5845" xr:uid="{00000000-0005-0000-0000-00009F130000}"/>
    <cellStyle name="Normal 10 14 3" xfId="5846" xr:uid="{00000000-0005-0000-0000-0000A0130000}"/>
    <cellStyle name="Normal 10 14 3 2" xfId="5847" xr:uid="{00000000-0005-0000-0000-0000A1130000}"/>
    <cellStyle name="Normal 10 14 3 3" xfId="5848" xr:uid="{00000000-0005-0000-0000-0000A2130000}"/>
    <cellStyle name="Normal 10 14 3 4" xfId="5849" xr:uid="{00000000-0005-0000-0000-0000A3130000}"/>
    <cellStyle name="Normal 10 14 3 5" xfId="5850" xr:uid="{00000000-0005-0000-0000-0000A4130000}"/>
    <cellStyle name="Normal 10 14 3 6" xfId="5851" xr:uid="{00000000-0005-0000-0000-0000A5130000}"/>
    <cellStyle name="Normal 10 14 4" xfId="5852" xr:uid="{00000000-0005-0000-0000-0000A6130000}"/>
    <cellStyle name="Normal 10 14 4 2" xfId="5853" xr:uid="{00000000-0005-0000-0000-0000A7130000}"/>
    <cellStyle name="Normal 10 14 4 3" xfId="5854" xr:uid="{00000000-0005-0000-0000-0000A8130000}"/>
    <cellStyle name="Normal 10 14 4 4" xfId="5855" xr:uid="{00000000-0005-0000-0000-0000A9130000}"/>
    <cellStyle name="Normal 10 14 4 5" xfId="5856" xr:uid="{00000000-0005-0000-0000-0000AA130000}"/>
    <cellStyle name="Normal 10 14 4 6" xfId="5857" xr:uid="{00000000-0005-0000-0000-0000AB130000}"/>
    <cellStyle name="Normal 10 14 5" xfId="5858" xr:uid="{00000000-0005-0000-0000-0000AC130000}"/>
    <cellStyle name="Normal 10 14 5 2" xfId="5859" xr:uid="{00000000-0005-0000-0000-0000AD130000}"/>
    <cellStyle name="Normal 10 14 5 3" xfId="5860" xr:uid="{00000000-0005-0000-0000-0000AE130000}"/>
    <cellStyle name="Normal 10 14 5 4" xfId="5861" xr:uid="{00000000-0005-0000-0000-0000AF130000}"/>
    <cellStyle name="Normal 10 14 5 5" xfId="5862" xr:uid="{00000000-0005-0000-0000-0000B0130000}"/>
    <cellStyle name="Normal 10 14 5 6" xfId="5863" xr:uid="{00000000-0005-0000-0000-0000B1130000}"/>
    <cellStyle name="Normal 10 14 6" xfId="5864" xr:uid="{00000000-0005-0000-0000-0000B2130000}"/>
    <cellStyle name="Normal 10 14 6 2" xfId="5865" xr:uid="{00000000-0005-0000-0000-0000B3130000}"/>
    <cellStyle name="Normal 10 14 6 3" xfId="5866" xr:uid="{00000000-0005-0000-0000-0000B4130000}"/>
    <cellStyle name="Normal 10 14 6 4" xfId="5867" xr:uid="{00000000-0005-0000-0000-0000B5130000}"/>
    <cellStyle name="Normal 10 14 6 5" xfId="5868" xr:uid="{00000000-0005-0000-0000-0000B6130000}"/>
    <cellStyle name="Normal 10 14 6 6" xfId="5869" xr:uid="{00000000-0005-0000-0000-0000B7130000}"/>
    <cellStyle name="Normal 10 14 7" xfId="5870" xr:uid="{00000000-0005-0000-0000-0000B8130000}"/>
    <cellStyle name="Normal 10 14 7 2" xfId="5871" xr:uid="{00000000-0005-0000-0000-0000B9130000}"/>
    <cellStyle name="Normal 10 14 7 3" xfId="5872" xr:uid="{00000000-0005-0000-0000-0000BA130000}"/>
    <cellStyle name="Normal 10 14 7 4" xfId="5873" xr:uid="{00000000-0005-0000-0000-0000BB130000}"/>
    <cellStyle name="Normal 10 14 7 5" xfId="5874" xr:uid="{00000000-0005-0000-0000-0000BC130000}"/>
    <cellStyle name="Normal 10 14 7 6" xfId="5875" xr:uid="{00000000-0005-0000-0000-0000BD130000}"/>
    <cellStyle name="Normal 10 14 8" xfId="5876" xr:uid="{00000000-0005-0000-0000-0000BE130000}"/>
    <cellStyle name="Normal 10 14 8 2" xfId="5877" xr:uid="{00000000-0005-0000-0000-0000BF130000}"/>
    <cellStyle name="Normal 10 14 8 3" xfId="5878" xr:uid="{00000000-0005-0000-0000-0000C0130000}"/>
    <cellStyle name="Normal 10 14 8 4" xfId="5879" xr:uid="{00000000-0005-0000-0000-0000C1130000}"/>
    <cellStyle name="Normal 10 14 8 5" xfId="5880" xr:uid="{00000000-0005-0000-0000-0000C2130000}"/>
    <cellStyle name="Normal 10 14 8 6" xfId="5881" xr:uid="{00000000-0005-0000-0000-0000C3130000}"/>
    <cellStyle name="Normal 10 14 9" xfId="5882" xr:uid="{00000000-0005-0000-0000-0000C4130000}"/>
    <cellStyle name="Normal 10 15" xfId="5883" xr:uid="{00000000-0005-0000-0000-0000C5130000}"/>
    <cellStyle name="Normal 10 15 10" xfId="5884" xr:uid="{00000000-0005-0000-0000-0000C6130000}"/>
    <cellStyle name="Normal 10 15 11" xfId="5885" xr:uid="{00000000-0005-0000-0000-0000C7130000}"/>
    <cellStyle name="Normal 10 15 12" xfId="5886" xr:uid="{00000000-0005-0000-0000-0000C8130000}"/>
    <cellStyle name="Normal 10 15 13" xfId="5887" xr:uid="{00000000-0005-0000-0000-0000C9130000}"/>
    <cellStyle name="Normal 10 15 2" xfId="5888" xr:uid="{00000000-0005-0000-0000-0000CA130000}"/>
    <cellStyle name="Normal 10 15 2 2" xfId="5889" xr:uid="{00000000-0005-0000-0000-0000CB130000}"/>
    <cellStyle name="Normal 10 15 2 3" xfId="5890" xr:uid="{00000000-0005-0000-0000-0000CC130000}"/>
    <cellStyle name="Normal 10 15 2 4" xfId="5891" xr:uid="{00000000-0005-0000-0000-0000CD130000}"/>
    <cellStyle name="Normal 10 15 2 5" xfId="5892" xr:uid="{00000000-0005-0000-0000-0000CE130000}"/>
    <cellStyle name="Normal 10 15 2 6" xfId="5893" xr:uid="{00000000-0005-0000-0000-0000CF130000}"/>
    <cellStyle name="Normal 10 15 3" xfId="5894" xr:uid="{00000000-0005-0000-0000-0000D0130000}"/>
    <cellStyle name="Normal 10 15 3 2" xfId="5895" xr:uid="{00000000-0005-0000-0000-0000D1130000}"/>
    <cellStyle name="Normal 10 15 3 3" xfId="5896" xr:uid="{00000000-0005-0000-0000-0000D2130000}"/>
    <cellStyle name="Normal 10 15 3 4" xfId="5897" xr:uid="{00000000-0005-0000-0000-0000D3130000}"/>
    <cellStyle name="Normal 10 15 3 5" xfId="5898" xr:uid="{00000000-0005-0000-0000-0000D4130000}"/>
    <cellStyle name="Normal 10 15 3 6" xfId="5899" xr:uid="{00000000-0005-0000-0000-0000D5130000}"/>
    <cellStyle name="Normal 10 15 4" xfId="5900" xr:uid="{00000000-0005-0000-0000-0000D6130000}"/>
    <cellStyle name="Normal 10 15 4 2" xfId="5901" xr:uid="{00000000-0005-0000-0000-0000D7130000}"/>
    <cellStyle name="Normal 10 15 4 3" xfId="5902" xr:uid="{00000000-0005-0000-0000-0000D8130000}"/>
    <cellStyle name="Normal 10 15 4 4" xfId="5903" xr:uid="{00000000-0005-0000-0000-0000D9130000}"/>
    <cellStyle name="Normal 10 15 4 5" xfId="5904" xr:uid="{00000000-0005-0000-0000-0000DA130000}"/>
    <cellStyle name="Normal 10 15 4 6" xfId="5905" xr:uid="{00000000-0005-0000-0000-0000DB130000}"/>
    <cellStyle name="Normal 10 15 5" xfId="5906" xr:uid="{00000000-0005-0000-0000-0000DC130000}"/>
    <cellStyle name="Normal 10 15 5 2" xfId="5907" xr:uid="{00000000-0005-0000-0000-0000DD130000}"/>
    <cellStyle name="Normal 10 15 5 3" xfId="5908" xr:uid="{00000000-0005-0000-0000-0000DE130000}"/>
    <cellStyle name="Normal 10 15 5 4" xfId="5909" xr:uid="{00000000-0005-0000-0000-0000DF130000}"/>
    <cellStyle name="Normal 10 15 5 5" xfId="5910" xr:uid="{00000000-0005-0000-0000-0000E0130000}"/>
    <cellStyle name="Normal 10 15 5 6" xfId="5911" xr:uid="{00000000-0005-0000-0000-0000E1130000}"/>
    <cellStyle name="Normal 10 15 6" xfId="5912" xr:uid="{00000000-0005-0000-0000-0000E2130000}"/>
    <cellStyle name="Normal 10 15 6 2" xfId="5913" xr:uid="{00000000-0005-0000-0000-0000E3130000}"/>
    <cellStyle name="Normal 10 15 6 3" xfId="5914" xr:uid="{00000000-0005-0000-0000-0000E4130000}"/>
    <cellStyle name="Normal 10 15 6 4" xfId="5915" xr:uid="{00000000-0005-0000-0000-0000E5130000}"/>
    <cellStyle name="Normal 10 15 6 5" xfId="5916" xr:uid="{00000000-0005-0000-0000-0000E6130000}"/>
    <cellStyle name="Normal 10 15 6 6" xfId="5917" xr:uid="{00000000-0005-0000-0000-0000E7130000}"/>
    <cellStyle name="Normal 10 15 7" xfId="5918" xr:uid="{00000000-0005-0000-0000-0000E8130000}"/>
    <cellStyle name="Normal 10 15 7 2" xfId="5919" xr:uid="{00000000-0005-0000-0000-0000E9130000}"/>
    <cellStyle name="Normal 10 15 7 3" xfId="5920" xr:uid="{00000000-0005-0000-0000-0000EA130000}"/>
    <cellStyle name="Normal 10 15 7 4" xfId="5921" xr:uid="{00000000-0005-0000-0000-0000EB130000}"/>
    <cellStyle name="Normal 10 15 7 5" xfId="5922" xr:uid="{00000000-0005-0000-0000-0000EC130000}"/>
    <cellStyle name="Normal 10 15 7 6" xfId="5923" xr:uid="{00000000-0005-0000-0000-0000ED130000}"/>
    <cellStyle name="Normal 10 15 8" xfId="5924" xr:uid="{00000000-0005-0000-0000-0000EE130000}"/>
    <cellStyle name="Normal 10 15 8 2" xfId="5925" xr:uid="{00000000-0005-0000-0000-0000EF130000}"/>
    <cellStyle name="Normal 10 15 8 3" xfId="5926" xr:uid="{00000000-0005-0000-0000-0000F0130000}"/>
    <cellStyle name="Normal 10 15 8 4" xfId="5927" xr:uid="{00000000-0005-0000-0000-0000F1130000}"/>
    <cellStyle name="Normal 10 15 8 5" xfId="5928" xr:uid="{00000000-0005-0000-0000-0000F2130000}"/>
    <cellStyle name="Normal 10 15 8 6" xfId="5929" xr:uid="{00000000-0005-0000-0000-0000F3130000}"/>
    <cellStyle name="Normal 10 15 9" xfId="5930" xr:uid="{00000000-0005-0000-0000-0000F4130000}"/>
    <cellStyle name="Normal 10 16" xfId="5931" xr:uid="{00000000-0005-0000-0000-0000F5130000}"/>
    <cellStyle name="Normal 10 16 10" xfId="5932" xr:uid="{00000000-0005-0000-0000-0000F6130000}"/>
    <cellStyle name="Normal 10 16 11" xfId="5933" xr:uid="{00000000-0005-0000-0000-0000F7130000}"/>
    <cellStyle name="Normal 10 16 12" xfId="5934" xr:uid="{00000000-0005-0000-0000-0000F8130000}"/>
    <cellStyle name="Normal 10 16 13" xfId="5935" xr:uid="{00000000-0005-0000-0000-0000F9130000}"/>
    <cellStyle name="Normal 10 16 2" xfId="5936" xr:uid="{00000000-0005-0000-0000-0000FA130000}"/>
    <cellStyle name="Normal 10 16 2 2" xfId="5937" xr:uid="{00000000-0005-0000-0000-0000FB130000}"/>
    <cellStyle name="Normal 10 16 2 3" xfId="5938" xr:uid="{00000000-0005-0000-0000-0000FC130000}"/>
    <cellStyle name="Normal 10 16 2 4" xfId="5939" xr:uid="{00000000-0005-0000-0000-0000FD130000}"/>
    <cellStyle name="Normal 10 16 2 5" xfId="5940" xr:uid="{00000000-0005-0000-0000-0000FE130000}"/>
    <cellStyle name="Normal 10 16 2 6" xfId="5941" xr:uid="{00000000-0005-0000-0000-0000FF130000}"/>
    <cellStyle name="Normal 10 16 3" xfId="5942" xr:uid="{00000000-0005-0000-0000-000000140000}"/>
    <cellStyle name="Normal 10 16 3 2" xfId="5943" xr:uid="{00000000-0005-0000-0000-000001140000}"/>
    <cellStyle name="Normal 10 16 3 3" xfId="5944" xr:uid="{00000000-0005-0000-0000-000002140000}"/>
    <cellStyle name="Normal 10 16 3 4" xfId="5945" xr:uid="{00000000-0005-0000-0000-000003140000}"/>
    <cellStyle name="Normal 10 16 3 5" xfId="5946" xr:uid="{00000000-0005-0000-0000-000004140000}"/>
    <cellStyle name="Normal 10 16 3 6" xfId="5947" xr:uid="{00000000-0005-0000-0000-000005140000}"/>
    <cellStyle name="Normal 10 16 4" xfId="5948" xr:uid="{00000000-0005-0000-0000-000006140000}"/>
    <cellStyle name="Normal 10 16 4 2" xfId="5949" xr:uid="{00000000-0005-0000-0000-000007140000}"/>
    <cellStyle name="Normal 10 16 4 3" xfId="5950" xr:uid="{00000000-0005-0000-0000-000008140000}"/>
    <cellStyle name="Normal 10 16 4 4" xfId="5951" xr:uid="{00000000-0005-0000-0000-000009140000}"/>
    <cellStyle name="Normal 10 16 4 5" xfId="5952" xr:uid="{00000000-0005-0000-0000-00000A140000}"/>
    <cellStyle name="Normal 10 16 4 6" xfId="5953" xr:uid="{00000000-0005-0000-0000-00000B140000}"/>
    <cellStyle name="Normal 10 16 5" xfId="5954" xr:uid="{00000000-0005-0000-0000-00000C140000}"/>
    <cellStyle name="Normal 10 16 5 2" xfId="5955" xr:uid="{00000000-0005-0000-0000-00000D140000}"/>
    <cellStyle name="Normal 10 16 5 3" xfId="5956" xr:uid="{00000000-0005-0000-0000-00000E140000}"/>
    <cellStyle name="Normal 10 16 5 4" xfId="5957" xr:uid="{00000000-0005-0000-0000-00000F140000}"/>
    <cellStyle name="Normal 10 16 5 5" xfId="5958" xr:uid="{00000000-0005-0000-0000-000010140000}"/>
    <cellStyle name="Normal 10 16 5 6" xfId="5959" xr:uid="{00000000-0005-0000-0000-000011140000}"/>
    <cellStyle name="Normal 10 16 6" xfId="5960" xr:uid="{00000000-0005-0000-0000-000012140000}"/>
    <cellStyle name="Normal 10 16 6 2" xfId="5961" xr:uid="{00000000-0005-0000-0000-000013140000}"/>
    <cellStyle name="Normal 10 16 6 3" xfId="5962" xr:uid="{00000000-0005-0000-0000-000014140000}"/>
    <cellStyle name="Normal 10 16 6 4" xfId="5963" xr:uid="{00000000-0005-0000-0000-000015140000}"/>
    <cellStyle name="Normal 10 16 6 5" xfId="5964" xr:uid="{00000000-0005-0000-0000-000016140000}"/>
    <cellStyle name="Normal 10 16 6 6" xfId="5965" xr:uid="{00000000-0005-0000-0000-000017140000}"/>
    <cellStyle name="Normal 10 16 7" xfId="5966" xr:uid="{00000000-0005-0000-0000-000018140000}"/>
    <cellStyle name="Normal 10 16 7 2" xfId="5967" xr:uid="{00000000-0005-0000-0000-000019140000}"/>
    <cellStyle name="Normal 10 16 7 3" xfId="5968" xr:uid="{00000000-0005-0000-0000-00001A140000}"/>
    <cellStyle name="Normal 10 16 7 4" xfId="5969" xr:uid="{00000000-0005-0000-0000-00001B140000}"/>
    <cellStyle name="Normal 10 16 7 5" xfId="5970" xr:uid="{00000000-0005-0000-0000-00001C140000}"/>
    <cellStyle name="Normal 10 16 7 6" xfId="5971" xr:uid="{00000000-0005-0000-0000-00001D140000}"/>
    <cellStyle name="Normal 10 16 8" xfId="5972" xr:uid="{00000000-0005-0000-0000-00001E140000}"/>
    <cellStyle name="Normal 10 16 8 2" xfId="5973" xr:uid="{00000000-0005-0000-0000-00001F140000}"/>
    <cellStyle name="Normal 10 16 8 3" xfId="5974" xr:uid="{00000000-0005-0000-0000-000020140000}"/>
    <cellStyle name="Normal 10 16 8 4" xfId="5975" xr:uid="{00000000-0005-0000-0000-000021140000}"/>
    <cellStyle name="Normal 10 16 8 5" xfId="5976" xr:uid="{00000000-0005-0000-0000-000022140000}"/>
    <cellStyle name="Normal 10 16 8 6" xfId="5977" xr:uid="{00000000-0005-0000-0000-000023140000}"/>
    <cellStyle name="Normal 10 16 9" xfId="5978" xr:uid="{00000000-0005-0000-0000-000024140000}"/>
    <cellStyle name="Normal 10 17" xfId="5979" xr:uid="{00000000-0005-0000-0000-000025140000}"/>
    <cellStyle name="Normal 10 17 10" xfId="5980" xr:uid="{00000000-0005-0000-0000-000026140000}"/>
    <cellStyle name="Normal 10 17 11" xfId="5981" xr:uid="{00000000-0005-0000-0000-000027140000}"/>
    <cellStyle name="Normal 10 17 12" xfId="5982" xr:uid="{00000000-0005-0000-0000-000028140000}"/>
    <cellStyle name="Normal 10 17 13" xfId="5983" xr:uid="{00000000-0005-0000-0000-000029140000}"/>
    <cellStyle name="Normal 10 17 2" xfId="5984" xr:uid="{00000000-0005-0000-0000-00002A140000}"/>
    <cellStyle name="Normal 10 17 2 2" xfId="5985" xr:uid="{00000000-0005-0000-0000-00002B140000}"/>
    <cellStyle name="Normal 10 17 2 3" xfId="5986" xr:uid="{00000000-0005-0000-0000-00002C140000}"/>
    <cellStyle name="Normal 10 17 2 4" xfId="5987" xr:uid="{00000000-0005-0000-0000-00002D140000}"/>
    <cellStyle name="Normal 10 17 2 5" xfId="5988" xr:uid="{00000000-0005-0000-0000-00002E140000}"/>
    <cellStyle name="Normal 10 17 2 6" xfId="5989" xr:uid="{00000000-0005-0000-0000-00002F140000}"/>
    <cellStyle name="Normal 10 17 3" xfId="5990" xr:uid="{00000000-0005-0000-0000-000030140000}"/>
    <cellStyle name="Normal 10 17 3 2" xfId="5991" xr:uid="{00000000-0005-0000-0000-000031140000}"/>
    <cellStyle name="Normal 10 17 3 3" xfId="5992" xr:uid="{00000000-0005-0000-0000-000032140000}"/>
    <cellStyle name="Normal 10 17 3 4" xfId="5993" xr:uid="{00000000-0005-0000-0000-000033140000}"/>
    <cellStyle name="Normal 10 17 3 5" xfId="5994" xr:uid="{00000000-0005-0000-0000-000034140000}"/>
    <cellStyle name="Normal 10 17 3 6" xfId="5995" xr:uid="{00000000-0005-0000-0000-000035140000}"/>
    <cellStyle name="Normal 10 17 4" xfId="5996" xr:uid="{00000000-0005-0000-0000-000036140000}"/>
    <cellStyle name="Normal 10 17 4 2" xfId="5997" xr:uid="{00000000-0005-0000-0000-000037140000}"/>
    <cellStyle name="Normal 10 17 4 3" xfId="5998" xr:uid="{00000000-0005-0000-0000-000038140000}"/>
    <cellStyle name="Normal 10 17 4 4" xfId="5999" xr:uid="{00000000-0005-0000-0000-000039140000}"/>
    <cellStyle name="Normal 10 17 4 5" xfId="6000" xr:uid="{00000000-0005-0000-0000-00003A140000}"/>
    <cellStyle name="Normal 10 17 4 6" xfId="6001" xr:uid="{00000000-0005-0000-0000-00003B140000}"/>
    <cellStyle name="Normal 10 17 5" xfId="6002" xr:uid="{00000000-0005-0000-0000-00003C140000}"/>
    <cellStyle name="Normal 10 17 5 2" xfId="6003" xr:uid="{00000000-0005-0000-0000-00003D140000}"/>
    <cellStyle name="Normal 10 17 5 3" xfId="6004" xr:uid="{00000000-0005-0000-0000-00003E140000}"/>
    <cellStyle name="Normal 10 17 5 4" xfId="6005" xr:uid="{00000000-0005-0000-0000-00003F140000}"/>
    <cellStyle name="Normal 10 17 5 5" xfId="6006" xr:uid="{00000000-0005-0000-0000-000040140000}"/>
    <cellStyle name="Normal 10 17 5 6" xfId="6007" xr:uid="{00000000-0005-0000-0000-000041140000}"/>
    <cellStyle name="Normal 10 17 6" xfId="6008" xr:uid="{00000000-0005-0000-0000-000042140000}"/>
    <cellStyle name="Normal 10 17 6 2" xfId="6009" xr:uid="{00000000-0005-0000-0000-000043140000}"/>
    <cellStyle name="Normal 10 17 6 3" xfId="6010" xr:uid="{00000000-0005-0000-0000-000044140000}"/>
    <cellStyle name="Normal 10 17 6 4" xfId="6011" xr:uid="{00000000-0005-0000-0000-000045140000}"/>
    <cellStyle name="Normal 10 17 6 5" xfId="6012" xr:uid="{00000000-0005-0000-0000-000046140000}"/>
    <cellStyle name="Normal 10 17 6 6" xfId="6013" xr:uid="{00000000-0005-0000-0000-000047140000}"/>
    <cellStyle name="Normal 10 17 7" xfId="6014" xr:uid="{00000000-0005-0000-0000-000048140000}"/>
    <cellStyle name="Normal 10 17 7 2" xfId="6015" xr:uid="{00000000-0005-0000-0000-000049140000}"/>
    <cellStyle name="Normal 10 17 7 3" xfId="6016" xr:uid="{00000000-0005-0000-0000-00004A140000}"/>
    <cellStyle name="Normal 10 17 7 4" xfId="6017" xr:uid="{00000000-0005-0000-0000-00004B140000}"/>
    <cellStyle name="Normal 10 17 7 5" xfId="6018" xr:uid="{00000000-0005-0000-0000-00004C140000}"/>
    <cellStyle name="Normal 10 17 7 6" xfId="6019" xr:uid="{00000000-0005-0000-0000-00004D140000}"/>
    <cellStyle name="Normal 10 17 8" xfId="6020" xr:uid="{00000000-0005-0000-0000-00004E140000}"/>
    <cellStyle name="Normal 10 17 8 2" xfId="6021" xr:uid="{00000000-0005-0000-0000-00004F140000}"/>
    <cellStyle name="Normal 10 17 8 3" xfId="6022" xr:uid="{00000000-0005-0000-0000-000050140000}"/>
    <cellStyle name="Normal 10 17 8 4" xfId="6023" xr:uid="{00000000-0005-0000-0000-000051140000}"/>
    <cellStyle name="Normal 10 17 8 5" xfId="6024" xr:uid="{00000000-0005-0000-0000-000052140000}"/>
    <cellStyle name="Normal 10 17 8 6" xfId="6025" xr:uid="{00000000-0005-0000-0000-000053140000}"/>
    <cellStyle name="Normal 10 17 9" xfId="6026" xr:uid="{00000000-0005-0000-0000-000054140000}"/>
    <cellStyle name="Normal 10 18" xfId="6027" xr:uid="{00000000-0005-0000-0000-000055140000}"/>
    <cellStyle name="Normal 10 18 10" xfId="6028" xr:uid="{00000000-0005-0000-0000-000056140000}"/>
    <cellStyle name="Normal 10 18 11" xfId="6029" xr:uid="{00000000-0005-0000-0000-000057140000}"/>
    <cellStyle name="Normal 10 18 12" xfId="6030" xr:uid="{00000000-0005-0000-0000-000058140000}"/>
    <cellStyle name="Normal 10 18 13" xfId="6031" xr:uid="{00000000-0005-0000-0000-000059140000}"/>
    <cellStyle name="Normal 10 18 2" xfId="6032" xr:uid="{00000000-0005-0000-0000-00005A140000}"/>
    <cellStyle name="Normal 10 18 2 2" xfId="6033" xr:uid="{00000000-0005-0000-0000-00005B140000}"/>
    <cellStyle name="Normal 10 18 2 3" xfId="6034" xr:uid="{00000000-0005-0000-0000-00005C140000}"/>
    <cellStyle name="Normal 10 18 2 4" xfId="6035" xr:uid="{00000000-0005-0000-0000-00005D140000}"/>
    <cellStyle name="Normal 10 18 2 5" xfId="6036" xr:uid="{00000000-0005-0000-0000-00005E140000}"/>
    <cellStyle name="Normal 10 18 2 6" xfId="6037" xr:uid="{00000000-0005-0000-0000-00005F140000}"/>
    <cellStyle name="Normal 10 18 3" xfId="6038" xr:uid="{00000000-0005-0000-0000-000060140000}"/>
    <cellStyle name="Normal 10 18 3 2" xfId="6039" xr:uid="{00000000-0005-0000-0000-000061140000}"/>
    <cellStyle name="Normal 10 18 3 3" xfId="6040" xr:uid="{00000000-0005-0000-0000-000062140000}"/>
    <cellStyle name="Normal 10 18 3 4" xfId="6041" xr:uid="{00000000-0005-0000-0000-000063140000}"/>
    <cellStyle name="Normal 10 18 3 5" xfId="6042" xr:uid="{00000000-0005-0000-0000-000064140000}"/>
    <cellStyle name="Normal 10 18 3 6" xfId="6043" xr:uid="{00000000-0005-0000-0000-000065140000}"/>
    <cellStyle name="Normal 10 18 4" xfId="6044" xr:uid="{00000000-0005-0000-0000-000066140000}"/>
    <cellStyle name="Normal 10 18 4 2" xfId="6045" xr:uid="{00000000-0005-0000-0000-000067140000}"/>
    <cellStyle name="Normal 10 18 4 3" xfId="6046" xr:uid="{00000000-0005-0000-0000-000068140000}"/>
    <cellStyle name="Normal 10 18 4 4" xfId="6047" xr:uid="{00000000-0005-0000-0000-000069140000}"/>
    <cellStyle name="Normal 10 18 4 5" xfId="6048" xr:uid="{00000000-0005-0000-0000-00006A140000}"/>
    <cellStyle name="Normal 10 18 4 6" xfId="6049" xr:uid="{00000000-0005-0000-0000-00006B140000}"/>
    <cellStyle name="Normal 10 18 5" xfId="6050" xr:uid="{00000000-0005-0000-0000-00006C140000}"/>
    <cellStyle name="Normal 10 18 5 2" xfId="6051" xr:uid="{00000000-0005-0000-0000-00006D140000}"/>
    <cellStyle name="Normal 10 18 5 3" xfId="6052" xr:uid="{00000000-0005-0000-0000-00006E140000}"/>
    <cellStyle name="Normal 10 18 5 4" xfId="6053" xr:uid="{00000000-0005-0000-0000-00006F140000}"/>
    <cellStyle name="Normal 10 18 5 5" xfId="6054" xr:uid="{00000000-0005-0000-0000-000070140000}"/>
    <cellStyle name="Normal 10 18 5 6" xfId="6055" xr:uid="{00000000-0005-0000-0000-000071140000}"/>
    <cellStyle name="Normal 10 18 6" xfId="6056" xr:uid="{00000000-0005-0000-0000-000072140000}"/>
    <cellStyle name="Normal 10 18 6 2" xfId="6057" xr:uid="{00000000-0005-0000-0000-000073140000}"/>
    <cellStyle name="Normal 10 18 6 3" xfId="6058" xr:uid="{00000000-0005-0000-0000-000074140000}"/>
    <cellStyle name="Normal 10 18 6 4" xfId="6059" xr:uid="{00000000-0005-0000-0000-000075140000}"/>
    <cellStyle name="Normal 10 18 6 5" xfId="6060" xr:uid="{00000000-0005-0000-0000-000076140000}"/>
    <cellStyle name="Normal 10 18 6 6" xfId="6061" xr:uid="{00000000-0005-0000-0000-000077140000}"/>
    <cellStyle name="Normal 10 18 7" xfId="6062" xr:uid="{00000000-0005-0000-0000-000078140000}"/>
    <cellStyle name="Normal 10 18 7 2" xfId="6063" xr:uid="{00000000-0005-0000-0000-000079140000}"/>
    <cellStyle name="Normal 10 18 7 3" xfId="6064" xr:uid="{00000000-0005-0000-0000-00007A140000}"/>
    <cellStyle name="Normal 10 18 7 4" xfId="6065" xr:uid="{00000000-0005-0000-0000-00007B140000}"/>
    <cellStyle name="Normal 10 18 7 5" xfId="6066" xr:uid="{00000000-0005-0000-0000-00007C140000}"/>
    <cellStyle name="Normal 10 18 7 6" xfId="6067" xr:uid="{00000000-0005-0000-0000-00007D140000}"/>
    <cellStyle name="Normal 10 18 8" xfId="6068" xr:uid="{00000000-0005-0000-0000-00007E140000}"/>
    <cellStyle name="Normal 10 18 8 2" xfId="6069" xr:uid="{00000000-0005-0000-0000-00007F140000}"/>
    <cellStyle name="Normal 10 18 8 3" xfId="6070" xr:uid="{00000000-0005-0000-0000-000080140000}"/>
    <cellStyle name="Normal 10 18 8 4" xfId="6071" xr:uid="{00000000-0005-0000-0000-000081140000}"/>
    <cellStyle name="Normal 10 18 8 5" xfId="6072" xr:uid="{00000000-0005-0000-0000-000082140000}"/>
    <cellStyle name="Normal 10 18 8 6" xfId="6073" xr:uid="{00000000-0005-0000-0000-000083140000}"/>
    <cellStyle name="Normal 10 18 9" xfId="6074" xr:uid="{00000000-0005-0000-0000-000084140000}"/>
    <cellStyle name="Normal 10 19" xfId="6075" xr:uid="{00000000-0005-0000-0000-000085140000}"/>
    <cellStyle name="Normal 10 19 10" xfId="6076" xr:uid="{00000000-0005-0000-0000-000086140000}"/>
    <cellStyle name="Normal 10 19 11" xfId="6077" xr:uid="{00000000-0005-0000-0000-000087140000}"/>
    <cellStyle name="Normal 10 19 12" xfId="6078" xr:uid="{00000000-0005-0000-0000-000088140000}"/>
    <cellStyle name="Normal 10 19 13" xfId="6079" xr:uid="{00000000-0005-0000-0000-000089140000}"/>
    <cellStyle name="Normal 10 19 2" xfId="6080" xr:uid="{00000000-0005-0000-0000-00008A140000}"/>
    <cellStyle name="Normal 10 19 2 2" xfId="6081" xr:uid="{00000000-0005-0000-0000-00008B140000}"/>
    <cellStyle name="Normal 10 19 2 3" xfId="6082" xr:uid="{00000000-0005-0000-0000-00008C140000}"/>
    <cellStyle name="Normal 10 19 2 4" xfId="6083" xr:uid="{00000000-0005-0000-0000-00008D140000}"/>
    <cellStyle name="Normal 10 19 2 5" xfId="6084" xr:uid="{00000000-0005-0000-0000-00008E140000}"/>
    <cellStyle name="Normal 10 19 2 6" xfId="6085" xr:uid="{00000000-0005-0000-0000-00008F140000}"/>
    <cellStyle name="Normal 10 19 3" xfId="6086" xr:uid="{00000000-0005-0000-0000-000090140000}"/>
    <cellStyle name="Normal 10 19 3 2" xfId="6087" xr:uid="{00000000-0005-0000-0000-000091140000}"/>
    <cellStyle name="Normal 10 19 3 3" xfId="6088" xr:uid="{00000000-0005-0000-0000-000092140000}"/>
    <cellStyle name="Normal 10 19 3 4" xfId="6089" xr:uid="{00000000-0005-0000-0000-000093140000}"/>
    <cellStyle name="Normal 10 19 3 5" xfId="6090" xr:uid="{00000000-0005-0000-0000-000094140000}"/>
    <cellStyle name="Normal 10 19 3 6" xfId="6091" xr:uid="{00000000-0005-0000-0000-000095140000}"/>
    <cellStyle name="Normal 10 19 4" xfId="6092" xr:uid="{00000000-0005-0000-0000-000096140000}"/>
    <cellStyle name="Normal 10 19 4 2" xfId="6093" xr:uid="{00000000-0005-0000-0000-000097140000}"/>
    <cellStyle name="Normal 10 19 4 3" xfId="6094" xr:uid="{00000000-0005-0000-0000-000098140000}"/>
    <cellStyle name="Normal 10 19 4 4" xfId="6095" xr:uid="{00000000-0005-0000-0000-000099140000}"/>
    <cellStyle name="Normal 10 19 4 5" xfId="6096" xr:uid="{00000000-0005-0000-0000-00009A140000}"/>
    <cellStyle name="Normal 10 19 4 6" xfId="6097" xr:uid="{00000000-0005-0000-0000-00009B140000}"/>
    <cellStyle name="Normal 10 19 5" xfId="6098" xr:uid="{00000000-0005-0000-0000-00009C140000}"/>
    <cellStyle name="Normal 10 19 5 2" xfId="6099" xr:uid="{00000000-0005-0000-0000-00009D140000}"/>
    <cellStyle name="Normal 10 19 5 3" xfId="6100" xr:uid="{00000000-0005-0000-0000-00009E140000}"/>
    <cellStyle name="Normal 10 19 5 4" xfId="6101" xr:uid="{00000000-0005-0000-0000-00009F140000}"/>
    <cellStyle name="Normal 10 19 5 5" xfId="6102" xr:uid="{00000000-0005-0000-0000-0000A0140000}"/>
    <cellStyle name="Normal 10 19 5 6" xfId="6103" xr:uid="{00000000-0005-0000-0000-0000A1140000}"/>
    <cellStyle name="Normal 10 19 6" xfId="6104" xr:uid="{00000000-0005-0000-0000-0000A2140000}"/>
    <cellStyle name="Normal 10 19 6 2" xfId="6105" xr:uid="{00000000-0005-0000-0000-0000A3140000}"/>
    <cellStyle name="Normal 10 19 6 3" xfId="6106" xr:uid="{00000000-0005-0000-0000-0000A4140000}"/>
    <cellStyle name="Normal 10 19 6 4" xfId="6107" xr:uid="{00000000-0005-0000-0000-0000A5140000}"/>
    <cellStyle name="Normal 10 19 6 5" xfId="6108" xr:uid="{00000000-0005-0000-0000-0000A6140000}"/>
    <cellStyle name="Normal 10 19 6 6" xfId="6109" xr:uid="{00000000-0005-0000-0000-0000A7140000}"/>
    <cellStyle name="Normal 10 19 7" xfId="6110" xr:uid="{00000000-0005-0000-0000-0000A8140000}"/>
    <cellStyle name="Normal 10 19 7 2" xfId="6111" xr:uid="{00000000-0005-0000-0000-0000A9140000}"/>
    <cellStyle name="Normal 10 19 7 3" xfId="6112" xr:uid="{00000000-0005-0000-0000-0000AA140000}"/>
    <cellStyle name="Normal 10 19 7 4" xfId="6113" xr:uid="{00000000-0005-0000-0000-0000AB140000}"/>
    <cellStyle name="Normal 10 19 7 5" xfId="6114" xr:uid="{00000000-0005-0000-0000-0000AC140000}"/>
    <cellStyle name="Normal 10 19 7 6" xfId="6115" xr:uid="{00000000-0005-0000-0000-0000AD140000}"/>
    <cellStyle name="Normal 10 19 8" xfId="6116" xr:uid="{00000000-0005-0000-0000-0000AE140000}"/>
    <cellStyle name="Normal 10 19 8 2" xfId="6117" xr:uid="{00000000-0005-0000-0000-0000AF140000}"/>
    <cellStyle name="Normal 10 19 8 3" xfId="6118" xr:uid="{00000000-0005-0000-0000-0000B0140000}"/>
    <cellStyle name="Normal 10 19 8 4" xfId="6119" xr:uid="{00000000-0005-0000-0000-0000B1140000}"/>
    <cellStyle name="Normal 10 19 8 5" xfId="6120" xr:uid="{00000000-0005-0000-0000-0000B2140000}"/>
    <cellStyle name="Normal 10 19 8 6" xfId="6121" xr:uid="{00000000-0005-0000-0000-0000B3140000}"/>
    <cellStyle name="Normal 10 19 9" xfId="6122" xr:uid="{00000000-0005-0000-0000-0000B4140000}"/>
    <cellStyle name="Normal 10 2" xfId="2695" xr:uid="{00000000-0005-0000-0000-0000B5140000}"/>
    <cellStyle name="Normal 10 2 10" xfId="6123" xr:uid="{00000000-0005-0000-0000-0000B6140000}"/>
    <cellStyle name="Normal 10 2 10 2" xfId="6124" xr:uid="{00000000-0005-0000-0000-0000B7140000}"/>
    <cellStyle name="Normal 10 2 10 2 2" xfId="6125" xr:uid="{00000000-0005-0000-0000-0000B8140000}"/>
    <cellStyle name="Normal 10 2 10 2 3" xfId="6126" xr:uid="{00000000-0005-0000-0000-0000B9140000}"/>
    <cellStyle name="Normal 10 2 10 2 4" xfId="6127" xr:uid="{00000000-0005-0000-0000-0000BA140000}"/>
    <cellStyle name="Normal 10 2 10 3" xfId="6128" xr:uid="{00000000-0005-0000-0000-0000BB140000}"/>
    <cellStyle name="Normal 10 2 10 3 2" xfId="6129" xr:uid="{00000000-0005-0000-0000-0000BC140000}"/>
    <cellStyle name="Normal 10 2 10 3 3" xfId="6130" xr:uid="{00000000-0005-0000-0000-0000BD140000}"/>
    <cellStyle name="Normal 10 2 10 3 4" xfId="6131" xr:uid="{00000000-0005-0000-0000-0000BE140000}"/>
    <cellStyle name="Normal 10 2 10 4" xfId="6132" xr:uid="{00000000-0005-0000-0000-0000BF140000}"/>
    <cellStyle name="Normal 10 2 10 5" xfId="6133" xr:uid="{00000000-0005-0000-0000-0000C0140000}"/>
    <cellStyle name="Normal 10 2 10 6" xfId="6134" xr:uid="{00000000-0005-0000-0000-0000C1140000}"/>
    <cellStyle name="Normal 10 2 11" xfId="6135" xr:uid="{00000000-0005-0000-0000-0000C2140000}"/>
    <cellStyle name="Normal 10 2 11 2" xfId="6136" xr:uid="{00000000-0005-0000-0000-0000C3140000}"/>
    <cellStyle name="Normal 10 2 11 2 2" xfId="6137" xr:uid="{00000000-0005-0000-0000-0000C4140000}"/>
    <cellStyle name="Normal 10 2 11 2 3" xfId="6138" xr:uid="{00000000-0005-0000-0000-0000C5140000}"/>
    <cellStyle name="Normal 10 2 11 2 4" xfId="6139" xr:uid="{00000000-0005-0000-0000-0000C6140000}"/>
    <cellStyle name="Normal 10 2 11 3" xfId="6140" xr:uid="{00000000-0005-0000-0000-0000C7140000}"/>
    <cellStyle name="Normal 10 2 11 3 2" xfId="6141" xr:uid="{00000000-0005-0000-0000-0000C8140000}"/>
    <cellStyle name="Normal 10 2 11 3 3" xfId="6142" xr:uid="{00000000-0005-0000-0000-0000C9140000}"/>
    <cellStyle name="Normal 10 2 11 3 4" xfId="6143" xr:uid="{00000000-0005-0000-0000-0000CA140000}"/>
    <cellStyle name="Normal 10 2 11 4" xfId="6144" xr:uid="{00000000-0005-0000-0000-0000CB140000}"/>
    <cellStyle name="Normal 10 2 11 5" xfId="6145" xr:uid="{00000000-0005-0000-0000-0000CC140000}"/>
    <cellStyle name="Normal 10 2 11 6" xfId="6146" xr:uid="{00000000-0005-0000-0000-0000CD140000}"/>
    <cellStyle name="Normal 10 2 12" xfId="6147" xr:uid="{00000000-0005-0000-0000-0000CE140000}"/>
    <cellStyle name="Normal 10 2 12 2" xfId="6148" xr:uid="{00000000-0005-0000-0000-0000CF140000}"/>
    <cellStyle name="Normal 10 2 12 2 2" xfId="6149" xr:uid="{00000000-0005-0000-0000-0000D0140000}"/>
    <cellStyle name="Normal 10 2 12 2 3" xfId="6150" xr:uid="{00000000-0005-0000-0000-0000D1140000}"/>
    <cellStyle name="Normal 10 2 12 2 4" xfId="6151" xr:uid="{00000000-0005-0000-0000-0000D2140000}"/>
    <cellStyle name="Normal 10 2 12 3" xfId="6152" xr:uid="{00000000-0005-0000-0000-0000D3140000}"/>
    <cellStyle name="Normal 10 2 12 3 2" xfId="6153" xr:uid="{00000000-0005-0000-0000-0000D4140000}"/>
    <cellStyle name="Normal 10 2 12 3 3" xfId="6154" xr:uid="{00000000-0005-0000-0000-0000D5140000}"/>
    <cellStyle name="Normal 10 2 12 3 4" xfId="6155" xr:uid="{00000000-0005-0000-0000-0000D6140000}"/>
    <cellStyle name="Normal 10 2 12 4" xfId="6156" xr:uid="{00000000-0005-0000-0000-0000D7140000}"/>
    <cellStyle name="Normal 10 2 12 5" xfId="6157" xr:uid="{00000000-0005-0000-0000-0000D8140000}"/>
    <cellStyle name="Normal 10 2 12 6" xfId="6158" xr:uid="{00000000-0005-0000-0000-0000D9140000}"/>
    <cellStyle name="Normal 10 2 13" xfId="6159" xr:uid="{00000000-0005-0000-0000-0000DA140000}"/>
    <cellStyle name="Normal 10 2 13 2" xfId="6160" xr:uid="{00000000-0005-0000-0000-0000DB140000}"/>
    <cellStyle name="Normal 10 2 13 2 2" xfId="6161" xr:uid="{00000000-0005-0000-0000-0000DC140000}"/>
    <cellStyle name="Normal 10 2 13 2 3" xfId="6162" xr:uid="{00000000-0005-0000-0000-0000DD140000}"/>
    <cellStyle name="Normal 10 2 13 2 4" xfId="6163" xr:uid="{00000000-0005-0000-0000-0000DE140000}"/>
    <cellStyle name="Normal 10 2 13 3" xfId="6164" xr:uid="{00000000-0005-0000-0000-0000DF140000}"/>
    <cellStyle name="Normal 10 2 13 3 2" xfId="6165" xr:uid="{00000000-0005-0000-0000-0000E0140000}"/>
    <cellStyle name="Normal 10 2 13 3 3" xfId="6166" xr:uid="{00000000-0005-0000-0000-0000E1140000}"/>
    <cellStyle name="Normal 10 2 13 3 4" xfId="6167" xr:uid="{00000000-0005-0000-0000-0000E2140000}"/>
    <cellStyle name="Normal 10 2 13 4" xfId="6168" xr:uid="{00000000-0005-0000-0000-0000E3140000}"/>
    <cellStyle name="Normal 10 2 13 5" xfId="6169" xr:uid="{00000000-0005-0000-0000-0000E4140000}"/>
    <cellStyle name="Normal 10 2 13 6" xfId="6170" xr:uid="{00000000-0005-0000-0000-0000E5140000}"/>
    <cellStyle name="Normal 10 2 14" xfId="6171" xr:uid="{00000000-0005-0000-0000-0000E6140000}"/>
    <cellStyle name="Normal 10 2 14 2" xfId="6172" xr:uid="{00000000-0005-0000-0000-0000E7140000}"/>
    <cellStyle name="Normal 10 2 14 2 2" xfId="6173" xr:uid="{00000000-0005-0000-0000-0000E8140000}"/>
    <cellStyle name="Normal 10 2 14 2 3" xfId="6174" xr:uid="{00000000-0005-0000-0000-0000E9140000}"/>
    <cellStyle name="Normal 10 2 14 2 4" xfId="6175" xr:uid="{00000000-0005-0000-0000-0000EA140000}"/>
    <cellStyle name="Normal 10 2 14 3" xfId="6176" xr:uid="{00000000-0005-0000-0000-0000EB140000}"/>
    <cellStyle name="Normal 10 2 14 3 2" xfId="6177" xr:uid="{00000000-0005-0000-0000-0000EC140000}"/>
    <cellStyle name="Normal 10 2 14 3 3" xfId="6178" xr:uid="{00000000-0005-0000-0000-0000ED140000}"/>
    <cellStyle name="Normal 10 2 14 3 4" xfId="6179" xr:uid="{00000000-0005-0000-0000-0000EE140000}"/>
    <cellStyle name="Normal 10 2 14 4" xfId="6180" xr:uid="{00000000-0005-0000-0000-0000EF140000}"/>
    <cellStyle name="Normal 10 2 14 5" xfId="6181" xr:uid="{00000000-0005-0000-0000-0000F0140000}"/>
    <cellStyle name="Normal 10 2 14 6" xfId="6182" xr:uid="{00000000-0005-0000-0000-0000F1140000}"/>
    <cellStyle name="Normal 10 2 15" xfId="6183" xr:uid="{00000000-0005-0000-0000-0000F2140000}"/>
    <cellStyle name="Normal 10 2 15 2" xfId="6184" xr:uid="{00000000-0005-0000-0000-0000F3140000}"/>
    <cellStyle name="Normal 10 2 15 2 2" xfId="6185" xr:uid="{00000000-0005-0000-0000-0000F4140000}"/>
    <cellStyle name="Normal 10 2 15 2 3" xfId="6186" xr:uid="{00000000-0005-0000-0000-0000F5140000}"/>
    <cellStyle name="Normal 10 2 15 2 4" xfId="6187" xr:uid="{00000000-0005-0000-0000-0000F6140000}"/>
    <cellStyle name="Normal 10 2 15 3" xfId="6188" xr:uid="{00000000-0005-0000-0000-0000F7140000}"/>
    <cellStyle name="Normal 10 2 15 3 2" xfId="6189" xr:uid="{00000000-0005-0000-0000-0000F8140000}"/>
    <cellStyle name="Normal 10 2 15 3 3" xfId="6190" xr:uid="{00000000-0005-0000-0000-0000F9140000}"/>
    <cellStyle name="Normal 10 2 15 3 4" xfId="6191" xr:uid="{00000000-0005-0000-0000-0000FA140000}"/>
    <cellStyle name="Normal 10 2 15 4" xfId="6192" xr:uid="{00000000-0005-0000-0000-0000FB140000}"/>
    <cellStyle name="Normal 10 2 15 5" xfId="6193" xr:uid="{00000000-0005-0000-0000-0000FC140000}"/>
    <cellStyle name="Normal 10 2 15 6" xfId="6194" xr:uid="{00000000-0005-0000-0000-0000FD140000}"/>
    <cellStyle name="Normal 10 2 16" xfId="6195" xr:uid="{00000000-0005-0000-0000-0000FE140000}"/>
    <cellStyle name="Normal 10 2 16 2" xfId="6196" xr:uid="{00000000-0005-0000-0000-0000FF140000}"/>
    <cellStyle name="Normal 10 2 16 2 2" xfId="6197" xr:uid="{00000000-0005-0000-0000-000000150000}"/>
    <cellStyle name="Normal 10 2 16 2 3" xfId="6198" xr:uid="{00000000-0005-0000-0000-000001150000}"/>
    <cellStyle name="Normal 10 2 16 2 4" xfId="6199" xr:uid="{00000000-0005-0000-0000-000002150000}"/>
    <cellStyle name="Normal 10 2 16 3" xfId="6200" xr:uid="{00000000-0005-0000-0000-000003150000}"/>
    <cellStyle name="Normal 10 2 16 3 2" xfId="6201" xr:uid="{00000000-0005-0000-0000-000004150000}"/>
    <cellStyle name="Normal 10 2 16 3 3" xfId="6202" xr:uid="{00000000-0005-0000-0000-000005150000}"/>
    <cellStyle name="Normal 10 2 16 3 4" xfId="6203" xr:uid="{00000000-0005-0000-0000-000006150000}"/>
    <cellStyle name="Normal 10 2 16 4" xfId="6204" xr:uid="{00000000-0005-0000-0000-000007150000}"/>
    <cellStyle name="Normal 10 2 16 5" xfId="6205" xr:uid="{00000000-0005-0000-0000-000008150000}"/>
    <cellStyle name="Normal 10 2 16 6" xfId="6206" xr:uid="{00000000-0005-0000-0000-000009150000}"/>
    <cellStyle name="Normal 10 2 17" xfId="6207" xr:uid="{00000000-0005-0000-0000-00000A150000}"/>
    <cellStyle name="Normal 10 2 17 2" xfId="6208" xr:uid="{00000000-0005-0000-0000-00000B150000}"/>
    <cellStyle name="Normal 10 2 17 2 2" xfId="6209" xr:uid="{00000000-0005-0000-0000-00000C150000}"/>
    <cellStyle name="Normal 10 2 17 2 3" xfId="6210" xr:uid="{00000000-0005-0000-0000-00000D150000}"/>
    <cellStyle name="Normal 10 2 17 2 4" xfId="6211" xr:uid="{00000000-0005-0000-0000-00000E150000}"/>
    <cellStyle name="Normal 10 2 17 3" xfId="6212" xr:uid="{00000000-0005-0000-0000-00000F150000}"/>
    <cellStyle name="Normal 10 2 17 3 2" xfId="6213" xr:uid="{00000000-0005-0000-0000-000010150000}"/>
    <cellStyle name="Normal 10 2 17 3 3" xfId="6214" xr:uid="{00000000-0005-0000-0000-000011150000}"/>
    <cellStyle name="Normal 10 2 17 3 4" xfId="6215" xr:uid="{00000000-0005-0000-0000-000012150000}"/>
    <cellStyle name="Normal 10 2 17 4" xfId="6216" xr:uid="{00000000-0005-0000-0000-000013150000}"/>
    <cellStyle name="Normal 10 2 17 5" xfId="6217" xr:uid="{00000000-0005-0000-0000-000014150000}"/>
    <cellStyle name="Normal 10 2 17 6" xfId="6218" xr:uid="{00000000-0005-0000-0000-000015150000}"/>
    <cellStyle name="Normal 10 2 18" xfId="6219" xr:uid="{00000000-0005-0000-0000-000016150000}"/>
    <cellStyle name="Normal 10 2 18 2" xfId="6220" xr:uid="{00000000-0005-0000-0000-000017150000}"/>
    <cellStyle name="Normal 10 2 18 3" xfId="6221" xr:uid="{00000000-0005-0000-0000-000018150000}"/>
    <cellStyle name="Normal 10 2 18 4" xfId="6222" xr:uid="{00000000-0005-0000-0000-000019150000}"/>
    <cellStyle name="Normal 10 2 19" xfId="6223" xr:uid="{00000000-0005-0000-0000-00001A150000}"/>
    <cellStyle name="Normal 10 2 19 2" xfId="6224" xr:uid="{00000000-0005-0000-0000-00001B150000}"/>
    <cellStyle name="Normal 10 2 19 3" xfId="6225" xr:uid="{00000000-0005-0000-0000-00001C150000}"/>
    <cellStyle name="Normal 10 2 19 4" xfId="6226" xr:uid="{00000000-0005-0000-0000-00001D150000}"/>
    <cellStyle name="Normal 10 2 2" xfId="6227" xr:uid="{00000000-0005-0000-0000-00001E150000}"/>
    <cellStyle name="Normal 10 2 2 2" xfId="6228" xr:uid="{00000000-0005-0000-0000-00001F150000}"/>
    <cellStyle name="Normal 10 2 2 2 2" xfId="6229" xr:uid="{00000000-0005-0000-0000-000020150000}"/>
    <cellStyle name="Normal 10 2 2 2 2 2" xfId="43744" xr:uid="{92AA2427-4BCF-4F66-ACD3-00E108BAFFB6}"/>
    <cellStyle name="Normal 10 2 2 2 3" xfId="6230" xr:uid="{00000000-0005-0000-0000-000021150000}"/>
    <cellStyle name="Normal 10 2 2 2 3 2" xfId="43927" xr:uid="{67EFDC5A-A0B1-43FB-BA3E-798326A73A0B}"/>
    <cellStyle name="Normal 10 2 2 2 4" xfId="6231" xr:uid="{00000000-0005-0000-0000-000022150000}"/>
    <cellStyle name="Normal 10 2 2 2 5" xfId="43561" xr:uid="{DE696CF9-2625-4DFA-B06D-0505055584DD}"/>
    <cellStyle name="Normal 10 2 2 3" xfId="6232" xr:uid="{00000000-0005-0000-0000-000023150000}"/>
    <cellStyle name="Normal 10 2 2 3 2" xfId="6233" xr:uid="{00000000-0005-0000-0000-000024150000}"/>
    <cellStyle name="Normal 10 2 2 3 3" xfId="6234" xr:uid="{00000000-0005-0000-0000-000025150000}"/>
    <cellStyle name="Normal 10 2 2 3 4" xfId="6235" xr:uid="{00000000-0005-0000-0000-000026150000}"/>
    <cellStyle name="Normal 10 2 2 3 5" xfId="43677" xr:uid="{AC9DA0C8-7EA5-4A96-902D-E1D30CD253B2}"/>
    <cellStyle name="Normal 10 2 2 4" xfId="6236" xr:uid="{00000000-0005-0000-0000-000027150000}"/>
    <cellStyle name="Normal 10 2 2 4 2" xfId="43860" xr:uid="{CD694DC0-119E-4EBC-9780-55D32A488E3B}"/>
    <cellStyle name="Normal 10 2 2 5" xfId="6237" xr:uid="{00000000-0005-0000-0000-000028150000}"/>
    <cellStyle name="Normal 10 2 2 6" xfId="6238" xr:uid="{00000000-0005-0000-0000-000029150000}"/>
    <cellStyle name="Normal 10 2 2 7" xfId="43494" xr:uid="{A6671367-F043-4A2A-A50C-8C1825ACABCA}"/>
    <cellStyle name="Normal 10 2 20" xfId="6239" xr:uid="{00000000-0005-0000-0000-00002A150000}"/>
    <cellStyle name="Normal 10 2 20 2" xfId="6240" xr:uid="{00000000-0005-0000-0000-00002B150000}"/>
    <cellStyle name="Normal 10 2 20 3" xfId="6241" xr:uid="{00000000-0005-0000-0000-00002C150000}"/>
    <cellStyle name="Normal 10 2 20 4" xfId="6242" xr:uid="{00000000-0005-0000-0000-00002D150000}"/>
    <cellStyle name="Normal 10 2 21" xfId="6243" xr:uid="{00000000-0005-0000-0000-00002E150000}"/>
    <cellStyle name="Normal 10 2 22" xfId="6244" xr:uid="{00000000-0005-0000-0000-00002F150000}"/>
    <cellStyle name="Normal 10 2 23" xfId="6245" xr:uid="{00000000-0005-0000-0000-000030150000}"/>
    <cellStyle name="Normal 10 2 24" xfId="6246" xr:uid="{00000000-0005-0000-0000-000031150000}"/>
    <cellStyle name="Normal 10 2 25" xfId="43465" xr:uid="{5A6FD810-D464-4BE9-98A5-612604E4BD4E}"/>
    <cellStyle name="Normal 10 2 3" xfId="6247" xr:uid="{00000000-0005-0000-0000-000032150000}"/>
    <cellStyle name="Normal 10 2 3 2" xfId="6248" xr:uid="{00000000-0005-0000-0000-000033150000}"/>
    <cellStyle name="Normal 10 2 3 2 2" xfId="6249" xr:uid="{00000000-0005-0000-0000-000034150000}"/>
    <cellStyle name="Normal 10 2 3 2 3" xfId="6250" xr:uid="{00000000-0005-0000-0000-000035150000}"/>
    <cellStyle name="Normal 10 2 3 2 4" xfId="6251" xr:uid="{00000000-0005-0000-0000-000036150000}"/>
    <cellStyle name="Normal 10 2 3 2 5" xfId="43716" xr:uid="{CD99914E-947A-494D-B33C-5224A616AB4E}"/>
    <cellStyle name="Normal 10 2 3 3" xfId="6252" xr:uid="{00000000-0005-0000-0000-000037150000}"/>
    <cellStyle name="Normal 10 2 3 3 2" xfId="6253" xr:uid="{00000000-0005-0000-0000-000038150000}"/>
    <cellStyle name="Normal 10 2 3 3 3" xfId="6254" xr:uid="{00000000-0005-0000-0000-000039150000}"/>
    <cellStyle name="Normal 10 2 3 3 4" xfId="6255" xr:uid="{00000000-0005-0000-0000-00003A150000}"/>
    <cellStyle name="Normal 10 2 3 3 5" xfId="43899" xr:uid="{B59F3ECF-5B6B-4216-BC2B-C66326B8D1AB}"/>
    <cellStyle name="Normal 10 2 3 4" xfId="6256" xr:uid="{00000000-0005-0000-0000-00003B150000}"/>
    <cellStyle name="Normal 10 2 3 5" xfId="6257" xr:uid="{00000000-0005-0000-0000-00003C150000}"/>
    <cellStyle name="Normal 10 2 3 6" xfId="6258" xr:uid="{00000000-0005-0000-0000-00003D150000}"/>
    <cellStyle name="Normal 10 2 3 7" xfId="43533" xr:uid="{910A72A4-636D-43F7-A9E0-0DDFCA9E5133}"/>
    <cellStyle name="Normal 10 2 4" xfId="6259" xr:uid="{00000000-0005-0000-0000-00003E150000}"/>
    <cellStyle name="Normal 10 2 4 2" xfId="6260" xr:uid="{00000000-0005-0000-0000-00003F150000}"/>
    <cellStyle name="Normal 10 2 4 2 2" xfId="6261" xr:uid="{00000000-0005-0000-0000-000040150000}"/>
    <cellStyle name="Normal 10 2 4 2 3" xfId="6262" xr:uid="{00000000-0005-0000-0000-000041150000}"/>
    <cellStyle name="Normal 10 2 4 2 4" xfId="6263" xr:uid="{00000000-0005-0000-0000-000042150000}"/>
    <cellStyle name="Normal 10 2 4 2 5" xfId="43778" xr:uid="{4D438998-ED34-42AF-B891-97DC55D33E23}"/>
    <cellStyle name="Normal 10 2 4 3" xfId="6264" xr:uid="{00000000-0005-0000-0000-000043150000}"/>
    <cellStyle name="Normal 10 2 4 3 2" xfId="6265" xr:uid="{00000000-0005-0000-0000-000044150000}"/>
    <cellStyle name="Normal 10 2 4 3 3" xfId="6266" xr:uid="{00000000-0005-0000-0000-000045150000}"/>
    <cellStyle name="Normal 10 2 4 3 4" xfId="6267" xr:uid="{00000000-0005-0000-0000-000046150000}"/>
    <cellStyle name="Normal 10 2 4 3 5" xfId="43961" xr:uid="{55C24827-C0E5-42CE-B819-CE5A48D7F8C2}"/>
    <cellStyle name="Normal 10 2 4 4" xfId="6268" xr:uid="{00000000-0005-0000-0000-000047150000}"/>
    <cellStyle name="Normal 10 2 4 5" xfId="6269" xr:uid="{00000000-0005-0000-0000-000048150000}"/>
    <cellStyle name="Normal 10 2 4 6" xfId="6270" xr:uid="{00000000-0005-0000-0000-000049150000}"/>
    <cellStyle name="Normal 10 2 4 7" xfId="43595" xr:uid="{62E9DA7D-46C8-49F5-9DBF-E8FFEA6B0C13}"/>
    <cellStyle name="Normal 10 2 5" xfId="6271" xr:uid="{00000000-0005-0000-0000-00004A150000}"/>
    <cellStyle name="Normal 10 2 5 2" xfId="6272" xr:uid="{00000000-0005-0000-0000-00004B150000}"/>
    <cellStyle name="Normal 10 2 5 2 2" xfId="6273" xr:uid="{00000000-0005-0000-0000-00004C150000}"/>
    <cellStyle name="Normal 10 2 5 2 3" xfId="6274" xr:uid="{00000000-0005-0000-0000-00004D150000}"/>
    <cellStyle name="Normal 10 2 5 2 4" xfId="6275" xr:uid="{00000000-0005-0000-0000-00004E150000}"/>
    <cellStyle name="Normal 10 2 5 3" xfId="6276" xr:uid="{00000000-0005-0000-0000-00004F150000}"/>
    <cellStyle name="Normal 10 2 5 3 2" xfId="6277" xr:uid="{00000000-0005-0000-0000-000050150000}"/>
    <cellStyle name="Normal 10 2 5 3 3" xfId="6278" xr:uid="{00000000-0005-0000-0000-000051150000}"/>
    <cellStyle name="Normal 10 2 5 3 4" xfId="6279" xr:uid="{00000000-0005-0000-0000-000052150000}"/>
    <cellStyle name="Normal 10 2 5 4" xfId="6280" xr:uid="{00000000-0005-0000-0000-000053150000}"/>
    <cellStyle name="Normal 10 2 5 5" xfId="6281" xr:uid="{00000000-0005-0000-0000-000054150000}"/>
    <cellStyle name="Normal 10 2 5 6" xfId="6282" xr:uid="{00000000-0005-0000-0000-000055150000}"/>
    <cellStyle name="Normal 10 2 5 7" xfId="43654" xr:uid="{64327A60-E706-40A7-955D-D424E104E595}"/>
    <cellStyle name="Normal 10 2 6" xfId="6283" xr:uid="{00000000-0005-0000-0000-000056150000}"/>
    <cellStyle name="Normal 10 2 6 2" xfId="6284" xr:uid="{00000000-0005-0000-0000-000057150000}"/>
    <cellStyle name="Normal 10 2 6 2 2" xfId="6285" xr:uid="{00000000-0005-0000-0000-000058150000}"/>
    <cellStyle name="Normal 10 2 6 2 3" xfId="6286" xr:uid="{00000000-0005-0000-0000-000059150000}"/>
    <cellStyle name="Normal 10 2 6 2 4" xfId="6287" xr:uid="{00000000-0005-0000-0000-00005A150000}"/>
    <cellStyle name="Normal 10 2 6 3" xfId="6288" xr:uid="{00000000-0005-0000-0000-00005B150000}"/>
    <cellStyle name="Normal 10 2 6 3 2" xfId="6289" xr:uid="{00000000-0005-0000-0000-00005C150000}"/>
    <cellStyle name="Normal 10 2 6 3 3" xfId="6290" xr:uid="{00000000-0005-0000-0000-00005D150000}"/>
    <cellStyle name="Normal 10 2 6 3 4" xfId="6291" xr:uid="{00000000-0005-0000-0000-00005E150000}"/>
    <cellStyle name="Normal 10 2 6 4" xfId="6292" xr:uid="{00000000-0005-0000-0000-00005F150000}"/>
    <cellStyle name="Normal 10 2 6 5" xfId="6293" xr:uid="{00000000-0005-0000-0000-000060150000}"/>
    <cellStyle name="Normal 10 2 6 6" xfId="6294" xr:uid="{00000000-0005-0000-0000-000061150000}"/>
    <cellStyle name="Normal 10 2 6 7" xfId="43837" xr:uid="{512D7A8C-79BE-47AE-B30D-C5AF9A212C40}"/>
    <cellStyle name="Normal 10 2 7" xfId="6295" xr:uid="{00000000-0005-0000-0000-000062150000}"/>
    <cellStyle name="Normal 10 2 7 2" xfId="6296" xr:uid="{00000000-0005-0000-0000-000063150000}"/>
    <cellStyle name="Normal 10 2 7 2 2" xfId="6297" xr:uid="{00000000-0005-0000-0000-000064150000}"/>
    <cellStyle name="Normal 10 2 7 2 3" xfId="6298" xr:uid="{00000000-0005-0000-0000-000065150000}"/>
    <cellStyle name="Normal 10 2 7 2 4" xfId="6299" xr:uid="{00000000-0005-0000-0000-000066150000}"/>
    <cellStyle name="Normal 10 2 7 3" xfId="6300" xr:uid="{00000000-0005-0000-0000-000067150000}"/>
    <cellStyle name="Normal 10 2 7 3 2" xfId="6301" xr:uid="{00000000-0005-0000-0000-000068150000}"/>
    <cellStyle name="Normal 10 2 7 3 3" xfId="6302" xr:uid="{00000000-0005-0000-0000-000069150000}"/>
    <cellStyle name="Normal 10 2 7 3 4" xfId="6303" xr:uid="{00000000-0005-0000-0000-00006A150000}"/>
    <cellStyle name="Normal 10 2 7 4" xfId="6304" xr:uid="{00000000-0005-0000-0000-00006B150000}"/>
    <cellStyle name="Normal 10 2 7 5" xfId="6305" xr:uid="{00000000-0005-0000-0000-00006C150000}"/>
    <cellStyle name="Normal 10 2 7 6" xfId="6306" xr:uid="{00000000-0005-0000-0000-00006D150000}"/>
    <cellStyle name="Normal 10 2 8" xfId="6307" xr:uid="{00000000-0005-0000-0000-00006E150000}"/>
    <cellStyle name="Normal 10 2 8 2" xfId="6308" xr:uid="{00000000-0005-0000-0000-00006F150000}"/>
    <cellStyle name="Normal 10 2 8 2 2" xfId="6309" xr:uid="{00000000-0005-0000-0000-000070150000}"/>
    <cellStyle name="Normal 10 2 8 2 3" xfId="6310" xr:uid="{00000000-0005-0000-0000-000071150000}"/>
    <cellStyle name="Normal 10 2 8 2 4" xfId="6311" xr:uid="{00000000-0005-0000-0000-000072150000}"/>
    <cellStyle name="Normal 10 2 8 3" xfId="6312" xr:uid="{00000000-0005-0000-0000-000073150000}"/>
    <cellStyle name="Normal 10 2 8 3 2" xfId="6313" xr:uid="{00000000-0005-0000-0000-000074150000}"/>
    <cellStyle name="Normal 10 2 8 3 3" xfId="6314" xr:uid="{00000000-0005-0000-0000-000075150000}"/>
    <cellStyle name="Normal 10 2 8 3 4" xfId="6315" xr:uid="{00000000-0005-0000-0000-000076150000}"/>
    <cellStyle name="Normal 10 2 8 4" xfId="6316" xr:uid="{00000000-0005-0000-0000-000077150000}"/>
    <cellStyle name="Normal 10 2 8 5" xfId="6317" xr:uid="{00000000-0005-0000-0000-000078150000}"/>
    <cellStyle name="Normal 10 2 8 6" xfId="6318" xr:uid="{00000000-0005-0000-0000-000079150000}"/>
    <cellStyle name="Normal 10 2 9" xfId="6319" xr:uid="{00000000-0005-0000-0000-00007A150000}"/>
    <cellStyle name="Normal 10 2 9 2" xfId="6320" xr:uid="{00000000-0005-0000-0000-00007B150000}"/>
    <cellStyle name="Normal 10 2 9 2 2" xfId="6321" xr:uid="{00000000-0005-0000-0000-00007C150000}"/>
    <cellStyle name="Normal 10 2 9 2 3" xfId="6322" xr:uid="{00000000-0005-0000-0000-00007D150000}"/>
    <cellStyle name="Normal 10 2 9 2 4" xfId="6323" xr:uid="{00000000-0005-0000-0000-00007E150000}"/>
    <cellStyle name="Normal 10 2 9 3" xfId="6324" xr:uid="{00000000-0005-0000-0000-00007F150000}"/>
    <cellStyle name="Normal 10 2 9 3 2" xfId="6325" xr:uid="{00000000-0005-0000-0000-000080150000}"/>
    <cellStyle name="Normal 10 2 9 3 3" xfId="6326" xr:uid="{00000000-0005-0000-0000-000081150000}"/>
    <cellStyle name="Normal 10 2 9 3 4" xfId="6327" xr:uid="{00000000-0005-0000-0000-000082150000}"/>
    <cellStyle name="Normal 10 2 9 4" xfId="6328" xr:uid="{00000000-0005-0000-0000-000083150000}"/>
    <cellStyle name="Normal 10 2 9 5" xfId="6329" xr:uid="{00000000-0005-0000-0000-000084150000}"/>
    <cellStyle name="Normal 10 2 9 6" xfId="6330" xr:uid="{00000000-0005-0000-0000-000085150000}"/>
    <cellStyle name="Normal 10 20" xfId="6331" xr:uid="{00000000-0005-0000-0000-000086150000}"/>
    <cellStyle name="Normal 10 20 10" xfId="6332" xr:uid="{00000000-0005-0000-0000-000087150000}"/>
    <cellStyle name="Normal 10 20 11" xfId="6333" xr:uid="{00000000-0005-0000-0000-000088150000}"/>
    <cellStyle name="Normal 10 20 12" xfId="6334" xr:uid="{00000000-0005-0000-0000-000089150000}"/>
    <cellStyle name="Normal 10 20 13" xfId="6335" xr:uid="{00000000-0005-0000-0000-00008A150000}"/>
    <cellStyle name="Normal 10 20 2" xfId="6336" xr:uid="{00000000-0005-0000-0000-00008B150000}"/>
    <cellStyle name="Normal 10 20 2 2" xfId="6337" xr:uid="{00000000-0005-0000-0000-00008C150000}"/>
    <cellStyle name="Normal 10 20 2 3" xfId="6338" xr:uid="{00000000-0005-0000-0000-00008D150000}"/>
    <cellStyle name="Normal 10 20 2 4" xfId="6339" xr:uid="{00000000-0005-0000-0000-00008E150000}"/>
    <cellStyle name="Normal 10 20 2 5" xfId="6340" xr:uid="{00000000-0005-0000-0000-00008F150000}"/>
    <cellStyle name="Normal 10 20 2 6" xfId="6341" xr:uid="{00000000-0005-0000-0000-000090150000}"/>
    <cellStyle name="Normal 10 20 3" xfId="6342" xr:uid="{00000000-0005-0000-0000-000091150000}"/>
    <cellStyle name="Normal 10 20 3 2" xfId="6343" xr:uid="{00000000-0005-0000-0000-000092150000}"/>
    <cellStyle name="Normal 10 20 3 3" xfId="6344" xr:uid="{00000000-0005-0000-0000-000093150000}"/>
    <cellStyle name="Normal 10 20 3 4" xfId="6345" xr:uid="{00000000-0005-0000-0000-000094150000}"/>
    <cellStyle name="Normal 10 20 3 5" xfId="6346" xr:uid="{00000000-0005-0000-0000-000095150000}"/>
    <cellStyle name="Normal 10 20 3 6" xfId="6347" xr:uid="{00000000-0005-0000-0000-000096150000}"/>
    <cellStyle name="Normal 10 20 4" xfId="6348" xr:uid="{00000000-0005-0000-0000-000097150000}"/>
    <cellStyle name="Normal 10 20 4 2" xfId="6349" xr:uid="{00000000-0005-0000-0000-000098150000}"/>
    <cellStyle name="Normal 10 20 4 3" xfId="6350" xr:uid="{00000000-0005-0000-0000-000099150000}"/>
    <cellStyle name="Normal 10 20 4 4" xfId="6351" xr:uid="{00000000-0005-0000-0000-00009A150000}"/>
    <cellStyle name="Normal 10 20 4 5" xfId="6352" xr:uid="{00000000-0005-0000-0000-00009B150000}"/>
    <cellStyle name="Normal 10 20 4 6" xfId="6353" xr:uid="{00000000-0005-0000-0000-00009C150000}"/>
    <cellStyle name="Normal 10 20 5" xfId="6354" xr:uid="{00000000-0005-0000-0000-00009D150000}"/>
    <cellStyle name="Normal 10 20 5 2" xfId="6355" xr:uid="{00000000-0005-0000-0000-00009E150000}"/>
    <cellStyle name="Normal 10 20 5 3" xfId="6356" xr:uid="{00000000-0005-0000-0000-00009F150000}"/>
    <cellStyle name="Normal 10 20 5 4" xfId="6357" xr:uid="{00000000-0005-0000-0000-0000A0150000}"/>
    <cellStyle name="Normal 10 20 5 5" xfId="6358" xr:uid="{00000000-0005-0000-0000-0000A1150000}"/>
    <cellStyle name="Normal 10 20 5 6" xfId="6359" xr:uid="{00000000-0005-0000-0000-0000A2150000}"/>
    <cellStyle name="Normal 10 20 6" xfId="6360" xr:uid="{00000000-0005-0000-0000-0000A3150000}"/>
    <cellStyle name="Normal 10 20 6 2" xfId="6361" xr:uid="{00000000-0005-0000-0000-0000A4150000}"/>
    <cellStyle name="Normal 10 20 6 3" xfId="6362" xr:uid="{00000000-0005-0000-0000-0000A5150000}"/>
    <cellStyle name="Normal 10 20 6 4" xfId="6363" xr:uid="{00000000-0005-0000-0000-0000A6150000}"/>
    <cellStyle name="Normal 10 20 6 5" xfId="6364" xr:uid="{00000000-0005-0000-0000-0000A7150000}"/>
    <cellStyle name="Normal 10 20 6 6" xfId="6365" xr:uid="{00000000-0005-0000-0000-0000A8150000}"/>
    <cellStyle name="Normal 10 20 7" xfId="6366" xr:uid="{00000000-0005-0000-0000-0000A9150000}"/>
    <cellStyle name="Normal 10 20 7 2" xfId="6367" xr:uid="{00000000-0005-0000-0000-0000AA150000}"/>
    <cellStyle name="Normal 10 20 7 3" xfId="6368" xr:uid="{00000000-0005-0000-0000-0000AB150000}"/>
    <cellStyle name="Normal 10 20 7 4" xfId="6369" xr:uid="{00000000-0005-0000-0000-0000AC150000}"/>
    <cellStyle name="Normal 10 20 7 5" xfId="6370" xr:uid="{00000000-0005-0000-0000-0000AD150000}"/>
    <cellStyle name="Normal 10 20 7 6" xfId="6371" xr:uid="{00000000-0005-0000-0000-0000AE150000}"/>
    <cellStyle name="Normal 10 20 8" xfId="6372" xr:uid="{00000000-0005-0000-0000-0000AF150000}"/>
    <cellStyle name="Normal 10 20 8 2" xfId="6373" xr:uid="{00000000-0005-0000-0000-0000B0150000}"/>
    <cellStyle name="Normal 10 20 8 3" xfId="6374" xr:uid="{00000000-0005-0000-0000-0000B1150000}"/>
    <cellStyle name="Normal 10 20 8 4" xfId="6375" xr:uid="{00000000-0005-0000-0000-0000B2150000}"/>
    <cellStyle name="Normal 10 20 8 5" xfId="6376" xr:uid="{00000000-0005-0000-0000-0000B3150000}"/>
    <cellStyle name="Normal 10 20 8 6" xfId="6377" xr:uid="{00000000-0005-0000-0000-0000B4150000}"/>
    <cellStyle name="Normal 10 20 9" xfId="6378" xr:uid="{00000000-0005-0000-0000-0000B5150000}"/>
    <cellStyle name="Normal 10 21" xfId="6379" xr:uid="{00000000-0005-0000-0000-0000B6150000}"/>
    <cellStyle name="Normal 10 21 10" xfId="6380" xr:uid="{00000000-0005-0000-0000-0000B7150000}"/>
    <cellStyle name="Normal 10 21 11" xfId="6381" xr:uid="{00000000-0005-0000-0000-0000B8150000}"/>
    <cellStyle name="Normal 10 21 12" xfId="6382" xr:uid="{00000000-0005-0000-0000-0000B9150000}"/>
    <cellStyle name="Normal 10 21 13" xfId="6383" xr:uid="{00000000-0005-0000-0000-0000BA150000}"/>
    <cellStyle name="Normal 10 21 2" xfId="6384" xr:uid="{00000000-0005-0000-0000-0000BB150000}"/>
    <cellStyle name="Normal 10 21 2 2" xfId="6385" xr:uid="{00000000-0005-0000-0000-0000BC150000}"/>
    <cellStyle name="Normal 10 21 2 3" xfId="6386" xr:uid="{00000000-0005-0000-0000-0000BD150000}"/>
    <cellStyle name="Normal 10 21 2 4" xfId="6387" xr:uid="{00000000-0005-0000-0000-0000BE150000}"/>
    <cellStyle name="Normal 10 21 2 5" xfId="6388" xr:uid="{00000000-0005-0000-0000-0000BF150000}"/>
    <cellStyle name="Normal 10 21 2 6" xfId="6389" xr:uid="{00000000-0005-0000-0000-0000C0150000}"/>
    <cellStyle name="Normal 10 21 3" xfId="6390" xr:uid="{00000000-0005-0000-0000-0000C1150000}"/>
    <cellStyle name="Normal 10 21 3 2" xfId="6391" xr:uid="{00000000-0005-0000-0000-0000C2150000}"/>
    <cellStyle name="Normal 10 21 3 3" xfId="6392" xr:uid="{00000000-0005-0000-0000-0000C3150000}"/>
    <cellStyle name="Normal 10 21 3 4" xfId="6393" xr:uid="{00000000-0005-0000-0000-0000C4150000}"/>
    <cellStyle name="Normal 10 21 3 5" xfId="6394" xr:uid="{00000000-0005-0000-0000-0000C5150000}"/>
    <cellStyle name="Normal 10 21 3 6" xfId="6395" xr:uid="{00000000-0005-0000-0000-0000C6150000}"/>
    <cellStyle name="Normal 10 21 4" xfId="6396" xr:uid="{00000000-0005-0000-0000-0000C7150000}"/>
    <cellStyle name="Normal 10 21 4 2" xfId="6397" xr:uid="{00000000-0005-0000-0000-0000C8150000}"/>
    <cellStyle name="Normal 10 21 4 3" xfId="6398" xr:uid="{00000000-0005-0000-0000-0000C9150000}"/>
    <cellStyle name="Normal 10 21 4 4" xfId="6399" xr:uid="{00000000-0005-0000-0000-0000CA150000}"/>
    <cellStyle name="Normal 10 21 4 5" xfId="6400" xr:uid="{00000000-0005-0000-0000-0000CB150000}"/>
    <cellStyle name="Normal 10 21 4 6" xfId="6401" xr:uid="{00000000-0005-0000-0000-0000CC150000}"/>
    <cellStyle name="Normal 10 21 5" xfId="6402" xr:uid="{00000000-0005-0000-0000-0000CD150000}"/>
    <cellStyle name="Normal 10 21 5 2" xfId="6403" xr:uid="{00000000-0005-0000-0000-0000CE150000}"/>
    <cellStyle name="Normal 10 21 5 3" xfId="6404" xr:uid="{00000000-0005-0000-0000-0000CF150000}"/>
    <cellStyle name="Normal 10 21 5 4" xfId="6405" xr:uid="{00000000-0005-0000-0000-0000D0150000}"/>
    <cellStyle name="Normal 10 21 5 5" xfId="6406" xr:uid="{00000000-0005-0000-0000-0000D1150000}"/>
    <cellStyle name="Normal 10 21 5 6" xfId="6407" xr:uid="{00000000-0005-0000-0000-0000D2150000}"/>
    <cellStyle name="Normal 10 21 6" xfId="6408" xr:uid="{00000000-0005-0000-0000-0000D3150000}"/>
    <cellStyle name="Normal 10 21 6 2" xfId="6409" xr:uid="{00000000-0005-0000-0000-0000D4150000}"/>
    <cellStyle name="Normal 10 21 6 3" xfId="6410" xr:uid="{00000000-0005-0000-0000-0000D5150000}"/>
    <cellStyle name="Normal 10 21 6 4" xfId="6411" xr:uid="{00000000-0005-0000-0000-0000D6150000}"/>
    <cellStyle name="Normal 10 21 6 5" xfId="6412" xr:uid="{00000000-0005-0000-0000-0000D7150000}"/>
    <cellStyle name="Normal 10 21 6 6" xfId="6413" xr:uid="{00000000-0005-0000-0000-0000D8150000}"/>
    <cellStyle name="Normal 10 21 7" xfId="6414" xr:uid="{00000000-0005-0000-0000-0000D9150000}"/>
    <cellStyle name="Normal 10 21 7 2" xfId="6415" xr:uid="{00000000-0005-0000-0000-0000DA150000}"/>
    <cellStyle name="Normal 10 21 7 3" xfId="6416" xr:uid="{00000000-0005-0000-0000-0000DB150000}"/>
    <cellStyle name="Normal 10 21 7 4" xfId="6417" xr:uid="{00000000-0005-0000-0000-0000DC150000}"/>
    <cellStyle name="Normal 10 21 7 5" xfId="6418" xr:uid="{00000000-0005-0000-0000-0000DD150000}"/>
    <cellStyle name="Normal 10 21 7 6" xfId="6419" xr:uid="{00000000-0005-0000-0000-0000DE150000}"/>
    <cellStyle name="Normal 10 21 8" xfId="6420" xr:uid="{00000000-0005-0000-0000-0000DF150000}"/>
    <cellStyle name="Normal 10 21 8 2" xfId="6421" xr:uid="{00000000-0005-0000-0000-0000E0150000}"/>
    <cellStyle name="Normal 10 21 8 3" xfId="6422" xr:uid="{00000000-0005-0000-0000-0000E1150000}"/>
    <cellStyle name="Normal 10 21 8 4" xfId="6423" xr:uid="{00000000-0005-0000-0000-0000E2150000}"/>
    <cellStyle name="Normal 10 21 8 5" xfId="6424" xr:uid="{00000000-0005-0000-0000-0000E3150000}"/>
    <cellStyle name="Normal 10 21 8 6" xfId="6425" xr:uid="{00000000-0005-0000-0000-0000E4150000}"/>
    <cellStyle name="Normal 10 21 9" xfId="6426" xr:uid="{00000000-0005-0000-0000-0000E5150000}"/>
    <cellStyle name="Normal 10 22" xfId="6427" xr:uid="{00000000-0005-0000-0000-0000E6150000}"/>
    <cellStyle name="Normal 10 22 10" xfId="6428" xr:uid="{00000000-0005-0000-0000-0000E7150000}"/>
    <cellStyle name="Normal 10 22 11" xfId="6429" xr:uid="{00000000-0005-0000-0000-0000E8150000}"/>
    <cellStyle name="Normal 10 22 12" xfId="6430" xr:uid="{00000000-0005-0000-0000-0000E9150000}"/>
    <cellStyle name="Normal 10 22 13" xfId="6431" xr:uid="{00000000-0005-0000-0000-0000EA150000}"/>
    <cellStyle name="Normal 10 22 2" xfId="6432" xr:uid="{00000000-0005-0000-0000-0000EB150000}"/>
    <cellStyle name="Normal 10 22 2 2" xfId="6433" xr:uid="{00000000-0005-0000-0000-0000EC150000}"/>
    <cellStyle name="Normal 10 22 2 3" xfId="6434" xr:uid="{00000000-0005-0000-0000-0000ED150000}"/>
    <cellStyle name="Normal 10 22 2 4" xfId="6435" xr:uid="{00000000-0005-0000-0000-0000EE150000}"/>
    <cellStyle name="Normal 10 22 2 5" xfId="6436" xr:uid="{00000000-0005-0000-0000-0000EF150000}"/>
    <cellStyle name="Normal 10 22 2 6" xfId="6437" xr:uid="{00000000-0005-0000-0000-0000F0150000}"/>
    <cellStyle name="Normal 10 22 3" xfId="6438" xr:uid="{00000000-0005-0000-0000-0000F1150000}"/>
    <cellStyle name="Normal 10 22 3 2" xfId="6439" xr:uid="{00000000-0005-0000-0000-0000F2150000}"/>
    <cellStyle name="Normal 10 22 3 3" xfId="6440" xr:uid="{00000000-0005-0000-0000-0000F3150000}"/>
    <cellStyle name="Normal 10 22 3 4" xfId="6441" xr:uid="{00000000-0005-0000-0000-0000F4150000}"/>
    <cellStyle name="Normal 10 22 3 5" xfId="6442" xr:uid="{00000000-0005-0000-0000-0000F5150000}"/>
    <cellStyle name="Normal 10 22 3 6" xfId="6443" xr:uid="{00000000-0005-0000-0000-0000F6150000}"/>
    <cellStyle name="Normal 10 22 4" xfId="6444" xr:uid="{00000000-0005-0000-0000-0000F7150000}"/>
    <cellStyle name="Normal 10 22 4 2" xfId="6445" xr:uid="{00000000-0005-0000-0000-0000F8150000}"/>
    <cellStyle name="Normal 10 22 4 3" xfId="6446" xr:uid="{00000000-0005-0000-0000-0000F9150000}"/>
    <cellStyle name="Normal 10 22 4 4" xfId="6447" xr:uid="{00000000-0005-0000-0000-0000FA150000}"/>
    <cellStyle name="Normal 10 22 4 5" xfId="6448" xr:uid="{00000000-0005-0000-0000-0000FB150000}"/>
    <cellStyle name="Normal 10 22 4 6" xfId="6449" xr:uid="{00000000-0005-0000-0000-0000FC150000}"/>
    <cellStyle name="Normal 10 22 5" xfId="6450" xr:uid="{00000000-0005-0000-0000-0000FD150000}"/>
    <cellStyle name="Normal 10 22 5 2" xfId="6451" xr:uid="{00000000-0005-0000-0000-0000FE150000}"/>
    <cellStyle name="Normal 10 22 5 3" xfId="6452" xr:uid="{00000000-0005-0000-0000-0000FF150000}"/>
    <cellStyle name="Normal 10 22 5 4" xfId="6453" xr:uid="{00000000-0005-0000-0000-000000160000}"/>
    <cellStyle name="Normal 10 22 5 5" xfId="6454" xr:uid="{00000000-0005-0000-0000-000001160000}"/>
    <cellStyle name="Normal 10 22 5 6" xfId="6455" xr:uid="{00000000-0005-0000-0000-000002160000}"/>
    <cellStyle name="Normal 10 22 6" xfId="6456" xr:uid="{00000000-0005-0000-0000-000003160000}"/>
    <cellStyle name="Normal 10 22 6 2" xfId="6457" xr:uid="{00000000-0005-0000-0000-000004160000}"/>
    <cellStyle name="Normal 10 22 6 3" xfId="6458" xr:uid="{00000000-0005-0000-0000-000005160000}"/>
    <cellStyle name="Normal 10 22 6 4" xfId="6459" xr:uid="{00000000-0005-0000-0000-000006160000}"/>
    <cellStyle name="Normal 10 22 6 5" xfId="6460" xr:uid="{00000000-0005-0000-0000-000007160000}"/>
    <cellStyle name="Normal 10 22 6 6" xfId="6461" xr:uid="{00000000-0005-0000-0000-000008160000}"/>
    <cellStyle name="Normal 10 22 7" xfId="6462" xr:uid="{00000000-0005-0000-0000-000009160000}"/>
    <cellStyle name="Normal 10 22 7 2" xfId="6463" xr:uid="{00000000-0005-0000-0000-00000A160000}"/>
    <cellStyle name="Normal 10 22 7 3" xfId="6464" xr:uid="{00000000-0005-0000-0000-00000B160000}"/>
    <cellStyle name="Normal 10 22 7 4" xfId="6465" xr:uid="{00000000-0005-0000-0000-00000C160000}"/>
    <cellStyle name="Normal 10 22 7 5" xfId="6466" xr:uid="{00000000-0005-0000-0000-00000D160000}"/>
    <cellStyle name="Normal 10 22 7 6" xfId="6467" xr:uid="{00000000-0005-0000-0000-00000E160000}"/>
    <cellStyle name="Normal 10 22 8" xfId="6468" xr:uid="{00000000-0005-0000-0000-00000F160000}"/>
    <cellStyle name="Normal 10 22 8 2" xfId="6469" xr:uid="{00000000-0005-0000-0000-000010160000}"/>
    <cellStyle name="Normal 10 22 8 3" xfId="6470" xr:uid="{00000000-0005-0000-0000-000011160000}"/>
    <cellStyle name="Normal 10 22 8 4" xfId="6471" xr:uid="{00000000-0005-0000-0000-000012160000}"/>
    <cellStyle name="Normal 10 22 8 5" xfId="6472" xr:uid="{00000000-0005-0000-0000-000013160000}"/>
    <cellStyle name="Normal 10 22 8 6" xfId="6473" xr:uid="{00000000-0005-0000-0000-000014160000}"/>
    <cellStyle name="Normal 10 22 9" xfId="6474" xr:uid="{00000000-0005-0000-0000-000015160000}"/>
    <cellStyle name="Normal 10 23" xfId="6475" xr:uid="{00000000-0005-0000-0000-000016160000}"/>
    <cellStyle name="Normal 10 23 10" xfId="6476" xr:uid="{00000000-0005-0000-0000-000017160000}"/>
    <cellStyle name="Normal 10 23 11" xfId="6477" xr:uid="{00000000-0005-0000-0000-000018160000}"/>
    <cellStyle name="Normal 10 23 12" xfId="6478" xr:uid="{00000000-0005-0000-0000-000019160000}"/>
    <cellStyle name="Normal 10 23 13" xfId="6479" xr:uid="{00000000-0005-0000-0000-00001A160000}"/>
    <cellStyle name="Normal 10 23 2" xfId="6480" xr:uid="{00000000-0005-0000-0000-00001B160000}"/>
    <cellStyle name="Normal 10 23 2 2" xfId="6481" xr:uid="{00000000-0005-0000-0000-00001C160000}"/>
    <cellStyle name="Normal 10 23 2 3" xfId="6482" xr:uid="{00000000-0005-0000-0000-00001D160000}"/>
    <cellStyle name="Normal 10 23 2 4" xfId="6483" xr:uid="{00000000-0005-0000-0000-00001E160000}"/>
    <cellStyle name="Normal 10 23 2 5" xfId="6484" xr:uid="{00000000-0005-0000-0000-00001F160000}"/>
    <cellStyle name="Normal 10 23 2 6" xfId="6485" xr:uid="{00000000-0005-0000-0000-000020160000}"/>
    <cellStyle name="Normal 10 23 3" xfId="6486" xr:uid="{00000000-0005-0000-0000-000021160000}"/>
    <cellStyle name="Normal 10 23 3 2" xfId="6487" xr:uid="{00000000-0005-0000-0000-000022160000}"/>
    <cellStyle name="Normal 10 23 3 3" xfId="6488" xr:uid="{00000000-0005-0000-0000-000023160000}"/>
    <cellStyle name="Normal 10 23 3 4" xfId="6489" xr:uid="{00000000-0005-0000-0000-000024160000}"/>
    <cellStyle name="Normal 10 23 3 5" xfId="6490" xr:uid="{00000000-0005-0000-0000-000025160000}"/>
    <cellStyle name="Normal 10 23 3 6" xfId="6491" xr:uid="{00000000-0005-0000-0000-000026160000}"/>
    <cellStyle name="Normal 10 23 4" xfId="6492" xr:uid="{00000000-0005-0000-0000-000027160000}"/>
    <cellStyle name="Normal 10 23 4 2" xfId="6493" xr:uid="{00000000-0005-0000-0000-000028160000}"/>
    <cellStyle name="Normal 10 23 4 3" xfId="6494" xr:uid="{00000000-0005-0000-0000-000029160000}"/>
    <cellStyle name="Normal 10 23 4 4" xfId="6495" xr:uid="{00000000-0005-0000-0000-00002A160000}"/>
    <cellStyle name="Normal 10 23 4 5" xfId="6496" xr:uid="{00000000-0005-0000-0000-00002B160000}"/>
    <cellStyle name="Normal 10 23 4 6" xfId="6497" xr:uid="{00000000-0005-0000-0000-00002C160000}"/>
    <cellStyle name="Normal 10 23 5" xfId="6498" xr:uid="{00000000-0005-0000-0000-00002D160000}"/>
    <cellStyle name="Normal 10 23 5 2" xfId="6499" xr:uid="{00000000-0005-0000-0000-00002E160000}"/>
    <cellStyle name="Normal 10 23 5 3" xfId="6500" xr:uid="{00000000-0005-0000-0000-00002F160000}"/>
    <cellStyle name="Normal 10 23 5 4" xfId="6501" xr:uid="{00000000-0005-0000-0000-000030160000}"/>
    <cellStyle name="Normal 10 23 5 5" xfId="6502" xr:uid="{00000000-0005-0000-0000-000031160000}"/>
    <cellStyle name="Normal 10 23 5 6" xfId="6503" xr:uid="{00000000-0005-0000-0000-000032160000}"/>
    <cellStyle name="Normal 10 23 6" xfId="6504" xr:uid="{00000000-0005-0000-0000-000033160000}"/>
    <cellStyle name="Normal 10 23 6 2" xfId="6505" xr:uid="{00000000-0005-0000-0000-000034160000}"/>
    <cellStyle name="Normal 10 23 6 3" xfId="6506" xr:uid="{00000000-0005-0000-0000-000035160000}"/>
    <cellStyle name="Normal 10 23 6 4" xfId="6507" xr:uid="{00000000-0005-0000-0000-000036160000}"/>
    <cellStyle name="Normal 10 23 6 5" xfId="6508" xr:uid="{00000000-0005-0000-0000-000037160000}"/>
    <cellStyle name="Normal 10 23 6 6" xfId="6509" xr:uid="{00000000-0005-0000-0000-000038160000}"/>
    <cellStyle name="Normal 10 23 7" xfId="6510" xr:uid="{00000000-0005-0000-0000-000039160000}"/>
    <cellStyle name="Normal 10 23 7 2" xfId="6511" xr:uid="{00000000-0005-0000-0000-00003A160000}"/>
    <cellStyle name="Normal 10 23 7 3" xfId="6512" xr:uid="{00000000-0005-0000-0000-00003B160000}"/>
    <cellStyle name="Normal 10 23 7 4" xfId="6513" xr:uid="{00000000-0005-0000-0000-00003C160000}"/>
    <cellStyle name="Normal 10 23 7 5" xfId="6514" xr:uid="{00000000-0005-0000-0000-00003D160000}"/>
    <cellStyle name="Normal 10 23 7 6" xfId="6515" xr:uid="{00000000-0005-0000-0000-00003E160000}"/>
    <cellStyle name="Normal 10 23 8" xfId="6516" xr:uid="{00000000-0005-0000-0000-00003F160000}"/>
    <cellStyle name="Normal 10 23 8 2" xfId="6517" xr:uid="{00000000-0005-0000-0000-000040160000}"/>
    <cellStyle name="Normal 10 23 8 3" xfId="6518" xr:uid="{00000000-0005-0000-0000-000041160000}"/>
    <cellStyle name="Normal 10 23 8 4" xfId="6519" xr:uid="{00000000-0005-0000-0000-000042160000}"/>
    <cellStyle name="Normal 10 23 8 5" xfId="6520" xr:uid="{00000000-0005-0000-0000-000043160000}"/>
    <cellStyle name="Normal 10 23 8 6" xfId="6521" xr:uid="{00000000-0005-0000-0000-000044160000}"/>
    <cellStyle name="Normal 10 23 9" xfId="6522" xr:uid="{00000000-0005-0000-0000-000045160000}"/>
    <cellStyle name="Normal 10 24" xfId="6523" xr:uid="{00000000-0005-0000-0000-000046160000}"/>
    <cellStyle name="Normal 10 24 10" xfId="6524" xr:uid="{00000000-0005-0000-0000-000047160000}"/>
    <cellStyle name="Normal 10 24 11" xfId="6525" xr:uid="{00000000-0005-0000-0000-000048160000}"/>
    <cellStyle name="Normal 10 24 12" xfId="6526" xr:uid="{00000000-0005-0000-0000-000049160000}"/>
    <cellStyle name="Normal 10 24 13" xfId="6527" xr:uid="{00000000-0005-0000-0000-00004A160000}"/>
    <cellStyle name="Normal 10 24 2" xfId="6528" xr:uid="{00000000-0005-0000-0000-00004B160000}"/>
    <cellStyle name="Normal 10 24 2 2" xfId="6529" xr:uid="{00000000-0005-0000-0000-00004C160000}"/>
    <cellStyle name="Normal 10 24 2 3" xfId="6530" xr:uid="{00000000-0005-0000-0000-00004D160000}"/>
    <cellStyle name="Normal 10 24 2 4" xfId="6531" xr:uid="{00000000-0005-0000-0000-00004E160000}"/>
    <cellStyle name="Normal 10 24 2 5" xfId="6532" xr:uid="{00000000-0005-0000-0000-00004F160000}"/>
    <cellStyle name="Normal 10 24 2 6" xfId="6533" xr:uid="{00000000-0005-0000-0000-000050160000}"/>
    <cellStyle name="Normal 10 24 3" xfId="6534" xr:uid="{00000000-0005-0000-0000-000051160000}"/>
    <cellStyle name="Normal 10 24 3 2" xfId="6535" xr:uid="{00000000-0005-0000-0000-000052160000}"/>
    <cellStyle name="Normal 10 24 3 3" xfId="6536" xr:uid="{00000000-0005-0000-0000-000053160000}"/>
    <cellStyle name="Normal 10 24 3 4" xfId="6537" xr:uid="{00000000-0005-0000-0000-000054160000}"/>
    <cellStyle name="Normal 10 24 3 5" xfId="6538" xr:uid="{00000000-0005-0000-0000-000055160000}"/>
    <cellStyle name="Normal 10 24 3 6" xfId="6539" xr:uid="{00000000-0005-0000-0000-000056160000}"/>
    <cellStyle name="Normal 10 24 4" xfId="6540" xr:uid="{00000000-0005-0000-0000-000057160000}"/>
    <cellStyle name="Normal 10 24 4 2" xfId="6541" xr:uid="{00000000-0005-0000-0000-000058160000}"/>
    <cellStyle name="Normal 10 24 4 3" xfId="6542" xr:uid="{00000000-0005-0000-0000-000059160000}"/>
    <cellStyle name="Normal 10 24 4 4" xfId="6543" xr:uid="{00000000-0005-0000-0000-00005A160000}"/>
    <cellStyle name="Normal 10 24 4 5" xfId="6544" xr:uid="{00000000-0005-0000-0000-00005B160000}"/>
    <cellStyle name="Normal 10 24 4 6" xfId="6545" xr:uid="{00000000-0005-0000-0000-00005C160000}"/>
    <cellStyle name="Normal 10 24 5" xfId="6546" xr:uid="{00000000-0005-0000-0000-00005D160000}"/>
    <cellStyle name="Normal 10 24 5 2" xfId="6547" xr:uid="{00000000-0005-0000-0000-00005E160000}"/>
    <cellStyle name="Normal 10 24 5 3" xfId="6548" xr:uid="{00000000-0005-0000-0000-00005F160000}"/>
    <cellStyle name="Normal 10 24 5 4" xfId="6549" xr:uid="{00000000-0005-0000-0000-000060160000}"/>
    <cellStyle name="Normal 10 24 5 5" xfId="6550" xr:uid="{00000000-0005-0000-0000-000061160000}"/>
    <cellStyle name="Normal 10 24 5 6" xfId="6551" xr:uid="{00000000-0005-0000-0000-000062160000}"/>
    <cellStyle name="Normal 10 24 6" xfId="6552" xr:uid="{00000000-0005-0000-0000-000063160000}"/>
    <cellStyle name="Normal 10 24 6 2" xfId="6553" xr:uid="{00000000-0005-0000-0000-000064160000}"/>
    <cellStyle name="Normal 10 24 6 3" xfId="6554" xr:uid="{00000000-0005-0000-0000-000065160000}"/>
    <cellStyle name="Normal 10 24 6 4" xfId="6555" xr:uid="{00000000-0005-0000-0000-000066160000}"/>
    <cellStyle name="Normal 10 24 6 5" xfId="6556" xr:uid="{00000000-0005-0000-0000-000067160000}"/>
    <cellStyle name="Normal 10 24 6 6" xfId="6557" xr:uid="{00000000-0005-0000-0000-000068160000}"/>
    <cellStyle name="Normal 10 24 7" xfId="6558" xr:uid="{00000000-0005-0000-0000-000069160000}"/>
    <cellStyle name="Normal 10 24 7 2" xfId="6559" xr:uid="{00000000-0005-0000-0000-00006A160000}"/>
    <cellStyle name="Normal 10 24 7 3" xfId="6560" xr:uid="{00000000-0005-0000-0000-00006B160000}"/>
    <cellStyle name="Normal 10 24 7 4" xfId="6561" xr:uid="{00000000-0005-0000-0000-00006C160000}"/>
    <cellStyle name="Normal 10 24 7 5" xfId="6562" xr:uid="{00000000-0005-0000-0000-00006D160000}"/>
    <cellStyle name="Normal 10 24 7 6" xfId="6563" xr:uid="{00000000-0005-0000-0000-00006E160000}"/>
    <cellStyle name="Normal 10 24 8" xfId="6564" xr:uid="{00000000-0005-0000-0000-00006F160000}"/>
    <cellStyle name="Normal 10 24 8 2" xfId="6565" xr:uid="{00000000-0005-0000-0000-000070160000}"/>
    <cellStyle name="Normal 10 24 8 3" xfId="6566" xr:uid="{00000000-0005-0000-0000-000071160000}"/>
    <cellStyle name="Normal 10 24 8 4" xfId="6567" xr:uid="{00000000-0005-0000-0000-000072160000}"/>
    <cellStyle name="Normal 10 24 8 5" xfId="6568" xr:uid="{00000000-0005-0000-0000-000073160000}"/>
    <cellStyle name="Normal 10 24 8 6" xfId="6569" xr:uid="{00000000-0005-0000-0000-000074160000}"/>
    <cellStyle name="Normal 10 24 9" xfId="6570" xr:uid="{00000000-0005-0000-0000-000075160000}"/>
    <cellStyle name="Normal 10 25" xfId="6571" xr:uid="{00000000-0005-0000-0000-000076160000}"/>
    <cellStyle name="Normal 10 25 10" xfId="6572" xr:uid="{00000000-0005-0000-0000-000077160000}"/>
    <cellStyle name="Normal 10 25 11" xfId="6573" xr:uid="{00000000-0005-0000-0000-000078160000}"/>
    <cellStyle name="Normal 10 25 12" xfId="6574" xr:uid="{00000000-0005-0000-0000-000079160000}"/>
    <cellStyle name="Normal 10 25 13" xfId="6575" xr:uid="{00000000-0005-0000-0000-00007A160000}"/>
    <cellStyle name="Normal 10 25 2" xfId="6576" xr:uid="{00000000-0005-0000-0000-00007B160000}"/>
    <cellStyle name="Normal 10 25 2 2" xfId="6577" xr:uid="{00000000-0005-0000-0000-00007C160000}"/>
    <cellStyle name="Normal 10 25 2 3" xfId="6578" xr:uid="{00000000-0005-0000-0000-00007D160000}"/>
    <cellStyle name="Normal 10 25 2 4" xfId="6579" xr:uid="{00000000-0005-0000-0000-00007E160000}"/>
    <cellStyle name="Normal 10 25 2 5" xfId="6580" xr:uid="{00000000-0005-0000-0000-00007F160000}"/>
    <cellStyle name="Normal 10 25 2 6" xfId="6581" xr:uid="{00000000-0005-0000-0000-000080160000}"/>
    <cellStyle name="Normal 10 25 3" xfId="6582" xr:uid="{00000000-0005-0000-0000-000081160000}"/>
    <cellStyle name="Normal 10 25 3 2" xfId="6583" xr:uid="{00000000-0005-0000-0000-000082160000}"/>
    <cellStyle name="Normal 10 25 3 3" xfId="6584" xr:uid="{00000000-0005-0000-0000-000083160000}"/>
    <cellStyle name="Normal 10 25 3 4" xfId="6585" xr:uid="{00000000-0005-0000-0000-000084160000}"/>
    <cellStyle name="Normal 10 25 3 5" xfId="6586" xr:uid="{00000000-0005-0000-0000-000085160000}"/>
    <cellStyle name="Normal 10 25 3 6" xfId="6587" xr:uid="{00000000-0005-0000-0000-000086160000}"/>
    <cellStyle name="Normal 10 25 4" xfId="6588" xr:uid="{00000000-0005-0000-0000-000087160000}"/>
    <cellStyle name="Normal 10 25 4 2" xfId="6589" xr:uid="{00000000-0005-0000-0000-000088160000}"/>
    <cellStyle name="Normal 10 25 4 3" xfId="6590" xr:uid="{00000000-0005-0000-0000-000089160000}"/>
    <cellStyle name="Normal 10 25 4 4" xfId="6591" xr:uid="{00000000-0005-0000-0000-00008A160000}"/>
    <cellStyle name="Normal 10 25 4 5" xfId="6592" xr:uid="{00000000-0005-0000-0000-00008B160000}"/>
    <cellStyle name="Normal 10 25 4 6" xfId="6593" xr:uid="{00000000-0005-0000-0000-00008C160000}"/>
    <cellStyle name="Normal 10 25 5" xfId="6594" xr:uid="{00000000-0005-0000-0000-00008D160000}"/>
    <cellStyle name="Normal 10 25 5 2" xfId="6595" xr:uid="{00000000-0005-0000-0000-00008E160000}"/>
    <cellStyle name="Normal 10 25 5 3" xfId="6596" xr:uid="{00000000-0005-0000-0000-00008F160000}"/>
    <cellStyle name="Normal 10 25 5 4" xfId="6597" xr:uid="{00000000-0005-0000-0000-000090160000}"/>
    <cellStyle name="Normal 10 25 5 5" xfId="6598" xr:uid="{00000000-0005-0000-0000-000091160000}"/>
    <cellStyle name="Normal 10 25 5 6" xfId="6599" xr:uid="{00000000-0005-0000-0000-000092160000}"/>
    <cellStyle name="Normal 10 25 6" xfId="6600" xr:uid="{00000000-0005-0000-0000-000093160000}"/>
    <cellStyle name="Normal 10 25 6 2" xfId="6601" xr:uid="{00000000-0005-0000-0000-000094160000}"/>
    <cellStyle name="Normal 10 25 6 3" xfId="6602" xr:uid="{00000000-0005-0000-0000-000095160000}"/>
    <cellStyle name="Normal 10 25 6 4" xfId="6603" xr:uid="{00000000-0005-0000-0000-000096160000}"/>
    <cellStyle name="Normal 10 25 6 5" xfId="6604" xr:uid="{00000000-0005-0000-0000-000097160000}"/>
    <cellStyle name="Normal 10 25 6 6" xfId="6605" xr:uid="{00000000-0005-0000-0000-000098160000}"/>
    <cellStyle name="Normal 10 25 7" xfId="6606" xr:uid="{00000000-0005-0000-0000-000099160000}"/>
    <cellStyle name="Normal 10 25 7 2" xfId="6607" xr:uid="{00000000-0005-0000-0000-00009A160000}"/>
    <cellStyle name="Normal 10 25 7 3" xfId="6608" xr:uid="{00000000-0005-0000-0000-00009B160000}"/>
    <cellStyle name="Normal 10 25 7 4" xfId="6609" xr:uid="{00000000-0005-0000-0000-00009C160000}"/>
    <cellStyle name="Normal 10 25 7 5" xfId="6610" xr:uid="{00000000-0005-0000-0000-00009D160000}"/>
    <cellStyle name="Normal 10 25 7 6" xfId="6611" xr:uid="{00000000-0005-0000-0000-00009E160000}"/>
    <cellStyle name="Normal 10 25 8" xfId="6612" xr:uid="{00000000-0005-0000-0000-00009F160000}"/>
    <cellStyle name="Normal 10 25 8 2" xfId="6613" xr:uid="{00000000-0005-0000-0000-0000A0160000}"/>
    <cellStyle name="Normal 10 25 8 3" xfId="6614" xr:uid="{00000000-0005-0000-0000-0000A1160000}"/>
    <cellStyle name="Normal 10 25 8 4" xfId="6615" xr:uid="{00000000-0005-0000-0000-0000A2160000}"/>
    <cellStyle name="Normal 10 25 8 5" xfId="6616" xr:uid="{00000000-0005-0000-0000-0000A3160000}"/>
    <cellStyle name="Normal 10 25 8 6" xfId="6617" xr:uid="{00000000-0005-0000-0000-0000A4160000}"/>
    <cellStyle name="Normal 10 25 9" xfId="6618" xr:uid="{00000000-0005-0000-0000-0000A5160000}"/>
    <cellStyle name="Normal 10 26" xfId="6619" xr:uid="{00000000-0005-0000-0000-0000A6160000}"/>
    <cellStyle name="Normal 10 26 10" xfId="6620" xr:uid="{00000000-0005-0000-0000-0000A7160000}"/>
    <cellStyle name="Normal 10 26 11" xfId="6621" xr:uid="{00000000-0005-0000-0000-0000A8160000}"/>
    <cellStyle name="Normal 10 26 12" xfId="6622" xr:uid="{00000000-0005-0000-0000-0000A9160000}"/>
    <cellStyle name="Normal 10 26 13" xfId="6623" xr:uid="{00000000-0005-0000-0000-0000AA160000}"/>
    <cellStyle name="Normal 10 26 2" xfId="6624" xr:uid="{00000000-0005-0000-0000-0000AB160000}"/>
    <cellStyle name="Normal 10 26 2 2" xfId="6625" xr:uid="{00000000-0005-0000-0000-0000AC160000}"/>
    <cellStyle name="Normal 10 26 2 3" xfId="6626" xr:uid="{00000000-0005-0000-0000-0000AD160000}"/>
    <cellStyle name="Normal 10 26 2 4" xfId="6627" xr:uid="{00000000-0005-0000-0000-0000AE160000}"/>
    <cellStyle name="Normal 10 26 2 5" xfId="6628" xr:uid="{00000000-0005-0000-0000-0000AF160000}"/>
    <cellStyle name="Normal 10 26 2 6" xfId="6629" xr:uid="{00000000-0005-0000-0000-0000B0160000}"/>
    <cellStyle name="Normal 10 26 3" xfId="6630" xr:uid="{00000000-0005-0000-0000-0000B1160000}"/>
    <cellStyle name="Normal 10 26 3 2" xfId="6631" xr:uid="{00000000-0005-0000-0000-0000B2160000}"/>
    <cellStyle name="Normal 10 26 3 3" xfId="6632" xr:uid="{00000000-0005-0000-0000-0000B3160000}"/>
    <cellStyle name="Normal 10 26 3 4" xfId="6633" xr:uid="{00000000-0005-0000-0000-0000B4160000}"/>
    <cellStyle name="Normal 10 26 3 5" xfId="6634" xr:uid="{00000000-0005-0000-0000-0000B5160000}"/>
    <cellStyle name="Normal 10 26 3 6" xfId="6635" xr:uid="{00000000-0005-0000-0000-0000B6160000}"/>
    <cellStyle name="Normal 10 26 4" xfId="6636" xr:uid="{00000000-0005-0000-0000-0000B7160000}"/>
    <cellStyle name="Normal 10 26 4 2" xfId="6637" xr:uid="{00000000-0005-0000-0000-0000B8160000}"/>
    <cellStyle name="Normal 10 26 4 3" xfId="6638" xr:uid="{00000000-0005-0000-0000-0000B9160000}"/>
    <cellStyle name="Normal 10 26 4 4" xfId="6639" xr:uid="{00000000-0005-0000-0000-0000BA160000}"/>
    <cellStyle name="Normal 10 26 4 5" xfId="6640" xr:uid="{00000000-0005-0000-0000-0000BB160000}"/>
    <cellStyle name="Normal 10 26 4 6" xfId="6641" xr:uid="{00000000-0005-0000-0000-0000BC160000}"/>
    <cellStyle name="Normal 10 26 5" xfId="6642" xr:uid="{00000000-0005-0000-0000-0000BD160000}"/>
    <cellStyle name="Normal 10 26 5 2" xfId="6643" xr:uid="{00000000-0005-0000-0000-0000BE160000}"/>
    <cellStyle name="Normal 10 26 5 3" xfId="6644" xr:uid="{00000000-0005-0000-0000-0000BF160000}"/>
    <cellStyle name="Normal 10 26 5 4" xfId="6645" xr:uid="{00000000-0005-0000-0000-0000C0160000}"/>
    <cellStyle name="Normal 10 26 5 5" xfId="6646" xr:uid="{00000000-0005-0000-0000-0000C1160000}"/>
    <cellStyle name="Normal 10 26 5 6" xfId="6647" xr:uid="{00000000-0005-0000-0000-0000C2160000}"/>
    <cellStyle name="Normal 10 26 6" xfId="6648" xr:uid="{00000000-0005-0000-0000-0000C3160000}"/>
    <cellStyle name="Normal 10 26 6 2" xfId="6649" xr:uid="{00000000-0005-0000-0000-0000C4160000}"/>
    <cellStyle name="Normal 10 26 6 3" xfId="6650" xr:uid="{00000000-0005-0000-0000-0000C5160000}"/>
    <cellStyle name="Normal 10 26 6 4" xfId="6651" xr:uid="{00000000-0005-0000-0000-0000C6160000}"/>
    <cellStyle name="Normal 10 26 6 5" xfId="6652" xr:uid="{00000000-0005-0000-0000-0000C7160000}"/>
    <cellStyle name="Normal 10 26 6 6" xfId="6653" xr:uid="{00000000-0005-0000-0000-0000C8160000}"/>
    <cellStyle name="Normal 10 26 7" xfId="6654" xr:uid="{00000000-0005-0000-0000-0000C9160000}"/>
    <cellStyle name="Normal 10 26 7 2" xfId="6655" xr:uid="{00000000-0005-0000-0000-0000CA160000}"/>
    <cellStyle name="Normal 10 26 7 3" xfId="6656" xr:uid="{00000000-0005-0000-0000-0000CB160000}"/>
    <cellStyle name="Normal 10 26 7 4" xfId="6657" xr:uid="{00000000-0005-0000-0000-0000CC160000}"/>
    <cellStyle name="Normal 10 26 7 5" xfId="6658" xr:uid="{00000000-0005-0000-0000-0000CD160000}"/>
    <cellStyle name="Normal 10 26 7 6" xfId="6659" xr:uid="{00000000-0005-0000-0000-0000CE160000}"/>
    <cellStyle name="Normal 10 26 8" xfId="6660" xr:uid="{00000000-0005-0000-0000-0000CF160000}"/>
    <cellStyle name="Normal 10 26 8 2" xfId="6661" xr:uid="{00000000-0005-0000-0000-0000D0160000}"/>
    <cellStyle name="Normal 10 26 8 3" xfId="6662" xr:uid="{00000000-0005-0000-0000-0000D1160000}"/>
    <cellStyle name="Normal 10 26 8 4" xfId="6663" xr:uid="{00000000-0005-0000-0000-0000D2160000}"/>
    <cellStyle name="Normal 10 26 8 5" xfId="6664" xr:uid="{00000000-0005-0000-0000-0000D3160000}"/>
    <cellStyle name="Normal 10 26 8 6" xfId="6665" xr:uid="{00000000-0005-0000-0000-0000D4160000}"/>
    <cellStyle name="Normal 10 26 9" xfId="6666" xr:uid="{00000000-0005-0000-0000-0000D5160000}"/>
    <cellStyle name="Normal 10 27" xfId="6667" xr:uid="{00000000-0005-0000-0000-0000D6160000}"/>
    <cellStyle name="Normal 10 27 10" xfId="6668" xr:uid="{00000000-0005-0000-0000-0000D7160000}"/>
    <cellStyle name="Normal 10 27 11" xfId="6669" xr:uid="{00000000-0005-0000-0000-0000D8160000}"/>
    <cellStyle name="Normal 10 27 12" xfId="6670" xr:uid="{00000000-0005-0000-0000-0000D9160000}"/>
    <cellStyle name="Normal 10 27 13" xfId="6671" xr:uid="{00000000-0005-0000-0000-0000DA160000}"/>
    <cellStyle name="Normal 10 27 2" xfId="6672" xr:uid="{00000000-0005-0000-0000-0000DB160000}"/>
    <cellStyle name="Normal 10 27 2 2" xfId="6673" xr:uid="{00000000-0005-0000-0000-0000DC160000}"/>
    <cellStyle name="Normal 10 27 2 3" xfId="6674" xr:uid="{00000000-0005-0000-0000-0000DD160000}"/>
    <cellStyle name="Normal 10 27 2 4" xfId="6675" xr:uid="{00000000-0005-0000-0000-0000DE160000}"/>
    <cellStyle name="Normal 10 27 2 5" xfId="6676" xr:uid="{00000000-0005-0000-0000-0000DF160000}"/>
    <cellStyle name="Normal 10 27 2 6" xfId="6677" xr:uid="{00000000-0005-0000-0000-0000E0160000}"/>
    <cellStyle name="Normal 10 27 3" xfId="6678" xr:uid="{00000000-0005-0000-0000-0000E1160000}"/>
    <cellStyle name="Normal 10 27 3 2" xfId="6679" xr:uid="{00000000-0005-0000-0000-0000E2160000}"/>
    <cellStyle name="Normal 10 27 3 3" xfId="6680" xr:uid="{00000000-0005-0000-0000-0000E3160000}"/>
    <cellStyle name="Normal 10 27 3 4" xfId="6681" xr:uid="{00000000-0005-0000-0000-0000E4160000}"/>
    <cellStyle name="Normal 10 27 3 5" xfId="6682" xr:uid="{00000000-0005-0000-0000-0000E5160000}"/>
    <cellStyle name="Normal 10 27 3 6" xfId="6683" xr:uid="{00000000-0005-0000-0000-0000E6160000}"/>
    <cellStyle name="Normal 10 27 4" xfId="6684" xr:uid="{00000000-0005-0000-0000-0000E7160000}"/>
    <cellStyle name="Normal 10 27 4 2" xfId="6685" xr:uid="{00000000-0005-0000-0000-0000E8160000}"/>
    <cellStyle name="Normal 10 27 4 3" xfId="6686" xr:uid="{00000000-0005-0000-0000-0000E9160000}"/>
    <cellStyle name="Normal 10 27 4 4" xfId="6687" xr:uid="{00000000-0005-0000-0000-0000EA160000}"/>
    <cellStyle name="Normal 10 27 4 5" xfId="6688" xr:uid="{00000000-0005-0000-0000-0000EB160000}"/>
    <cellStyle name="Normal 10 27 4 6" xfId="6689" xr:uid="{00000000-0005-0000-0000-0000EC160000}"/>
    <cellStyle name="Normal 10 27 5" xfId="6690" xr:uid="{00000000-0005-0000-0000-0000ED160000}"/>
    <cellStyle name="Normal 10 27 5 2" xfId="6691" xr:uid="{00000000-0005-0000-0000-0000EE160000}"/>
    <cellStyle name="Normal 10 27 5 3" xfId="6692" xr:uid="{00000000-0005-0000-0000-0000EF160000}"/>
    <cellStyle name="Normal 10 27 5 4" xfId="6693" xr:uid="{00000000-0005-0000-0000-0000F0160000}"/>
    <cellStyle name="Normal 10 27 5 5" xfId="6694" xr:uid="{00000000-0005-0000-0000-0000F1160000}"/>
    <cellStyle name="Normal 10 27 5 6" xfId="6695" xr:uid="{00000000-0005-0000-0000-0000F2160000}"/>
    <cellStyle name="Normal 10 27 6" xfId="6696" xr:uid="{00000000-0005-0000-0000-0000F3160000}"/>
    <cellStyle name="Normal 10 27 6 2" xfId="6697" xr:uid="{00000000-0005-0000-0000-0000F4160000}"/>
    <cellStyle name="Normal 10 27 6 3" xfId="6698" xr:uid="{00000000-0005-0000-0000-0000F5160000}"/>
    <cellStyle name="Normal 10 27 6 4" xfId="6699" xr:uid="{00000000-0005-0000-0000-0000F6160000}"/>
    <cellStyle name="Normal 10 27 6 5" xfId="6700" xr:uid="{00000000-0005-0000-0000-0000F7160000}"/>
    <cellStyle name="Normal 10 27 6 6" xfId="6701" xr:uid="{00000000-0005-0000-0000-0000F8160000}"/>
    <cellStyle name="Normal 10 27 7" xfId="6702" xr:uid="{00000000-0005-0000-0000-0000F9160000}"/>
    <cellStyle name="Normal 10 27 7 2" xfId="6703" xr:uid="{00000000-0005-0000-0000-0000FA160000}"/>
    <cellStyle name="Normal 10 27 7 3" xfId="6704" xr:uid="{00000000-0005-0000-0000-0000FB160000}"/>
    <cellStyle name="Normal 10 27 7 4" xfId="6705" xr:uid="{00000000-0005-0000-0000-0000FC160000}"/>
    <cellStyle name="Normal 10 27 7 5" xfId="6706" xr:uid="{00000000-0005-0000-0000-0000FD160000}"/>
    <cellStyle name="Normal 10 27 7 6" xfId="6707" xr:uid="{00000000-0005-0000-0000-0000FE160000}"/>
    <cellStyle name="Normal 10 27 8" xfId="6708" xr:uid="{00000000-0005-0000-0000-0000FF160000}"/>
    <cellStyle name="Normal 10 27 8 2" xfId="6709" xr:uid="{00000000-0005-0000-0000-000000170000}"/>
    <cellStyle name="Normal 10 27 8 3" xfId="6710" xr:uid="{00000000-0005-0000-0000-000001170000}"/>
    <cellStyle name="Normal 10 27 8 4" xfId="6711" xr:uid="{00000000-0005-0000-0000-000002170000}"/>
    <cellStyle name="Normal 10 27 8 5" xfId="6712" xr:uid="{00000000-0005-0000-0000-000003170000}"/>
    <cellStyle name="Normal 10 27 8 6" xfId="6713" xr:uid="{00000000-0005-0000-0000-000004170000}"/>
    <cellStyle name="Normal 10 27 9" xfId="6714" xr:uid="{00000000-0005-0000-0000-000005170000}"/>
    <cellStyle name="Normal 10 28" xfId="6715" xr:uid="{00000000-0005-0000-0000-000006170000}"/>
    <cellStyle name="Normal 10 28 10" xfId="6716" xr:uid="{00000000-0005-0000-0000-000007170000}"/>
    <cellStyle name="Normal 10 28 11" xfId="6717" xr:uid="{00000000-0005-0000-0000-000008170000}"/>
    <cellStyle name="Normal 10 28 12" xfId="6718" xr:uid="{00000000-0005-0000-0000-000009170000}"/>
    <cellStyle name="Normal 10 28 13" xfId="6719" xr:uid="{00000000-0005-0000-0000-00000A170000}"/>
    <cellStyle name="Normal 10 28 2" xfId="6720" xr:uid="{00000000-0005-0000-0000-00000B170000}"/>
    <cellStyle name="Normal 10 28 2 2" xfId="6721" xr:uid="{00000000-0005-0000-0000-00000C170000}"/>
    <cellStyle name="Normal 10 28 2 3" xfId="6722" xr:uid="{00000000-0005-0000-0000-00000D170000}"/>
    <cellStyle name="Normal 10 28 2 4" xfId="6723" xr:uid="{00000000-0005-0000-0000-00000E170000}"/>
    <cellStyle name="Normal 10 28 2 5" xfId="6724" xr:uid="{00000000-0005-0000-0000-00000F170000}"/>
    <cellStyle name="Normal 10 28 2 6" xfId="6725" xr:uid="{00000000-0005-0000-0000-000010170000}"/>
    <cellStyle name="Normal 10 28 3" xfId="6726" xr:uid="{00000000-0005-0000-0000-000011170000}"/>
    <cellStyle name="Normal 10 28 3 2" xfId="6727" xr:uid="{00000000-0005-0000-0000-000012170000}"/>
    <cellStyle name="Normal 10 28 3 3" xfId="6728" xr:uid="{00000000-0005-0000-0000-000013170000}"/>
    <cellStyle name="Normal 10 28 3 4" xfId="6729" xr:uid="{00000000-0005-0000-0000-000014170000}"/>
    <cellStyle name="Normal 10 28 3 5" xfId="6730" xr:uid="{00000000-0005-0000-0000-000015170000}"/>
    <cellStyle name="Normal 10 28 3 6" xfId="6731" xr:uid="{00000000-0005-0000-0000-000016170000}"/>
    <cellStyle name="Normal 10 28 4" xfId="6732" xr:uid="{00000000-0005-0000-0000-000017170000}"/>
    <cellStyle name="Normal 10 28 4 2" xfId="6733" xr:uid="{00000000-0005-0000-0000-000018170000}"/>
    <cellStyle name="Normal 10 28 4 3" xfId="6734" xr:uid="{00000000-0005-0000-0000-000019170000}"/>
    <cellStyle name="Normal 10 28 4 4" xfId="6735" xr:uid="{00000000-0005-0000-0000-00001A170000}"/>
    <cellStyle name="Normal 10 28 4 5" xfId="6736" xr:uid="{00000000-0005-0000-0000-00001B170000}"/>
    <cellStyle name="Normal 10 28 4 6" xfId="6737" xr:uid="{00000000-0005-0000-0000-00001C170000}"/>
    <cellStyle name="Normal 10 28 5" xfId="6738" xr:uid="{00000000-0005-0000-0000-00001D170000}"/>
    <cellStyle name="Normal 10 28 5 2" xfId="6739" xr:uid="{00000000-0005-0000-0000-00001E170000}"/>
    <cellStyle name="Normal 10 28 5 3" xfId="6740" xr:uid="{00000000-0005-0000-0000-00001F170000}"/>
    <cellStyle name="Normal 10 28 5 4" xfId="6741" xr:uid="{00000000-0005-0000-0000-000020170000}"/>
    <cellStyle name="Normal 10 28 5 5" xfId="6742" xr:uid="{00000000-0005-0000-0000-000021170000}"/>
    <cellStyle name="Normal 10 28 5 6" xfId="6743" xr:uid="{00000000-0005-0000-0000-000022170000}"/>
    <cellStyle name="Normal 10 28 6" xfId="6744" xr:uid="{00000000-0005-0000-0000-000023170000}"/>
    <cellStyle name="Normal 10 28 6 2" xfId="6745" xr:uid="{00000000-0005-0000-0000-000024170000}"/>
    <cellStyle name="Normal 10 28 6 3" xfId="6746" xr:uid="{00000000-0005-0000-0000-000025170000}"/>
    <cellStyle name="Normal 10 28 6 4" xfId="6747" xr:uid="{00000000-0005-0000-0000-000026170000}"/>
    <cellStyle name="Normal 10 28 6 5" xfId="6748" xr:uid="{00000000-0005-0000-0000-000027170000}"/>
    <cellStyle name="Normal 10 28 6 6" xfId="6749" xr:uid="{00000000-0005-0000-0000-000028170000}"/>
    <cellStyle name="Normal 10 28 7" xfId="6750" xr:uid="{00000000-0005-0000-0000-000029170000}"/>
    <cellStyle name="Normal 10 28 7 2" xfId="6751" xr:uid="{00000000-0005-0000-0000-00002A170000}"/>
    <cellStyle name="Normal 10 28 7 3" xfId="6752" xr:uid="{00000000-0005-0000-0000-00002B170000}"/>
    <cellStyle name="Normal 10 28 7 4" xfId="6753" xr:uid="{00000000-0005-0000-0000-00002C170000}"/>
    <cellStyle name="Normal 10 28 7 5" xfId="6754" xr:uid="{00000000-0005-0000-0000-00002D170000}"/>
    <cellStyle name="Normal 10 28 7 6" xfId="6755" xr:uid="{00000000-0005-0000-0000-00002E170000}"/>
    <cellStyle name="Normal 10 28 8" xfId="6756" xr:uid="{00000000-0005-0000-0000-00002F170000}"/>
    <cellStyle name="Normal 10 28 8 2" xfId="6757" xr:uid="{00000000-0005-0000-0000-000030170000}"/>
    <cellStyle name="Normal 10 28 8 3" xfId="6758" xr:uid="{00000000-0005-0000-0000-000031170000}"/>
    <cellStyle name="Normal 10 28 8 4" xfId="6759" xr:uid="{00000000-0005-0000-0000-000032170000}"/>
    <cellStyle name="Normal 10 28 8 5" xfId="6760" xr:uid="{00000000-0005-0000-0000-000033170000}"/>
    <cellStyle name="Normal 10 28 8 6" xfId="6761" xr:uid="{00000000-0005-0000-0000-000034170000}"/>
    <cellStyle name="Normal 10 28 9" xfId="6762" xr:uid="{00000000-0005-0000-0000-000035170000}"/>
    <cellStyle name="Normal 10 29" xfId="6763" xr:uid="{00000000-0005-0000-0000-000036170000}"/>
    <cellStyle name="Normal 10 29 10" xfId="6764" xr:uid="{00000000-0005-0000-0000-000037170000}"/>
    <cellStyle name="Normal 10 29 11" xfId="6765" xr:uid="{00000000-0005-0000-0000-000038170000}"/>
    <cellStyle name="Normal 10 29 12" xfId="6766" xr:uid="{00000000-0005-0000-0000-000039170000}"/>
    <cellStyle name="Normal 10 29 13" xfId="6767" xr:uid="{00000000-0005-0000-0000-00003A170000}"/>
    <cellStyle name="Normal 10 29 2" xfId="6768" xr:uid="{00000000-0005-0000-0000-00003B170000}"/>
    <cellStyle name="Normal 10 29 2 2" xfId="6769" xr:uid="{00000000-0005-0000-0000-00003C170000}"/>
    <cellStyle name="Normal 10 29 2 3" xfId="6770" xr:uid="{00000000-0005-0000-0000-00003D170000}"/>
    <cellStyle name="Normal 10 29 2 4" xfId="6771" xr:uid="{00000000-0005-0000-0000-00003E170000}"/>
    <cellStyle name="Normal 10 29 2 5" xfId="6772" xr:uid="{00000000-0005-0000-0000-00003F170000}"/>
    <cellStyle name="Normal 10 29 2 6" xfId="6773" xr:uid="{00000000-0005-0000-0000-000040170000}"/>
    <cellStyle name="Normal 10 29 3" xfId="6774" xr:uid="{00000000-0005-0000-0000-000041170000}"/>
    <cellStyle name="Normal 10 29 3 2" xfId="6775" xr:uid="{00000000-0005-0000-0000-000042170000}"/>
    <cellStyle name="Normal 10 29 3 3" xfId="6776" xr:uid="{00000000-0005-0000-0000-000043170000}"/>
    <cellStyle name="Normal 10 29 3 4" xfId="6777" xr:uid="{00000000-0005-0000-0000-000044170000}"/>
    <cellStyle name="Normal 10 29 3 5" xfId="6778" xr:uid="{00000000-0005-0000-0000-000045170000}"/>
    <cellStyle name="Normal 10 29 3 6" xfId="6779" xr:uid="{00000000-0005-0000-0000-000046170000}"/>
    <cellStyle name="Normal 10 29 4" xfId="6780" xr:uid="{00000000-0005-0000-0000-000047170000}"/>
    <cellStyle name="Normal 10 29 4 2" xfId="6781" xr:uid="{00000000-0005-0000-0000-000048170000}"/>
    <cellStyle name="Normal 10 29 4 3" xfId="6782" xr:uid="{00000000-0005-0000-0000-000049170000}"/>
    <cellStyle name="Normal 10 29 4 4" xfId="6783" xr:uid="{00000000-0005-0000-0000-00004A170000}"/>
    <cellStyle name="Normal 10 29 4 5" xfId="6784" xr:uid="{00000000-0005-0000-0000-00004B170000}"/>
    <cellStyle name="Normal 10 29 4 6" xfId="6785" xr:uid="{00000000-0005-0000-0000-00004C170000}"/>
    <cellStyle name="Normal 10 29 5" xfId="6786" xr:uid="{00000000-0005-0000-0000-00004D170000}"/>
    <cellStyle name="Normal 10 29 5 2" xfId="6787" xr:uid="{00000000-0005-0000-0000-00004E170000}"/>
    <cellStyle name="Normal 10 29 5 3" xfId="6788" xr:uid="{00000000-0005-0000-0000-00004F170000}"/>
    <cellStyle name="Normal 10 29 5 4" xfId="6789" xr:uid="{00000000-0005-0000-0000-000050170000}"/>
    <cellStyle name="Normal 10 29 5 5" xfId="6790" xr:uid="{00000000-0005-0000-0000-000051170000}"/>
    <cellStyle name="Normal 10 29 5 6" xfId="6791" xr:uid="{00000000-0005-0000-0000-000052170000}"/>
    <cellStyle name="Normal 10 29 6" xfId="6792" xr:uid="{00000000-0005-0000-0000-000053170000}"/>
    <cellStyle name="Normal 10 29 6 2" xfId="6793" xr:uid="{00000000-0005-0000-0000-000054170000}"/>
    <cellStyle name="Normal 10 29 6 3" xfId="6794" xr:uid="{00000000-0005-0000-0000-000055170000}"/>
    <cellStyle name="Normal 10 29 6 4" xfId="6795" xr:uid="{00000000-0005-0000-0000-000056170000}"/>
    <cellStyle name="Normal 10 29 6 5" xfId="6796" xr:uid="{00000000-0005-0000-0000-000057170000}"/>
    <cellStyle name="Normal 10 29 6 6" xfId="6797" xr:uid="{00000000-0005-0000-0000-000058170000}"/>
    <cellStyle name="Normal 10 29 7" xfId="6798" xr:uid="{00000000-0005-0000-0000-000059170000}"/>
    <cellStyle name="Normal 10 29 7 2" xfId="6799" xr:uid="{00000000-0005-0000-0000-00005A170000}"/>
    <cellStyle name="Normal 10 29 7 3" xfId="6800" xr:uid="{00000000-0005-0000-0000-00005B170000}"/>
    <cellStyle name="Normal 10 29 7 4" xfId="6801" xr:uid="{00000000-0005-0000-0000-00005C170000}"/>
    <cellStyle name="Normal 10 29 7 5" xfId="6802" xr:uid="{00000000-0005-0000-0000-00005D170000}"/>
    <cellStyle name="Normal 10 29 7 6" xfId="6803" xr:uid="{00000000-0005-0000-0000-00005E170000}"/>
    <cellStyle name="Normal 10 29 8" xfId="6804" xr:uid="{00000000-0005-0000-0000-00005F170000}"/>
    <cellStyle name="Normal 10 29 8 2" xfId="6805" xr:uid="{00000000-0005-0000-0000-000060170000}"/>
    <cellStyle name="Normal 10 29 8 3" xfId="6806" xr:uid="{00000000-0005-0000-0000-000061170000}"/>
    <cellStyle name="Normal 10 29 8 4" xfId="6807" xr:uid="{00000000-0005-0000-0000-000062170000}"/>
    <cellStyle name="Normal 10 29 8 5" xfId="6808" xr:uid="{00000000-0005-0000-0000-000063170000}"/>
    <cellStyle name="Normal 10 29 8 6" xfId="6809" xr:uid="{00000000-0005-0000-0000-000064170000}"/>
    <cellStyle name="Normal 10 29 9" xfId="6810" xr:uid="{00000000-0005-0000-0000-000065170000}"/>
    <cellStyle name="Normal 10 3" xfId="6811" xr:uid="{00000000-0005-0000-0000-000066170000}"/>
    <cellStyle name="Normal 10 3 10" xfId="6812" xr:uid="{00000000-0005-0000-0000-000067170000}"/>
    <cellStyle name="Normal 10 3 10 2" xfId="6813" xr:uid="{00000000-0005-0000-0000-000068170000}"/>
    <cellStyle name="Normal 10 3 10 2 2" xfId="6814" xr:uid="{00000000-0005-0000-0000-000069170000}"/>
    <cellStyle name="Normal 10 3 10 2 3" xfId="6815" xr:uid="{00000000-0005-0000-0000-00006A170000}"/>
    <cellStyle name="Normal 10 3 10 2 4" xfId="6816" xr:uid="{00000000-0005-0000-0000-00006B170000}"/>
    <cellStyle name="Normal 10 3 10 3" xfId="6817" xr:uid="{00000000-0005-0000-0000-00006C170000}"/>
    <cellStyle name="Normal 10 3 10 3 2" xfId="6818" xr:uid="{00000000-0005-0000-0000-00006D170000}"/>
    <cellStyle name="Normal 10 3 10 3 3" xfId="6819" xr:uid="{00000000-0005-0000-0000-00006E170000}"/>
    <cellStyle name="Normal 10 3 10 3 4" xfId="6820" xr:uid="{00000000-0005-0000-0000-00006F170000}"/>
    <cellStyle name="Normal 10 3 10 4" xfId="6821" xr:uid="{00000000-0005-0000-0000-000070170000}"/>
    <cellStyle name="Normal 10 3 10 5" xfId="6822" xr:uid="{00000000-0005-0000-0000-000071170000}"/>
    <cellStyle name="Normal 10 3 10 6" xfId="6823" xr:uid="{00000000-0005-0000-0000-000072170000}"/>
    <cellStyle name="Normal 10 3 11" xfId="6824" xr:uid="{00000000-0005-0000-0000-000073170000}"/>
    <cellStyle name="Normal 10 3 11 2" xfId="6825" xr:uid="{00000000-0005-0000-0000-000074170000}"/>
    <cellStyle name="Normal 10 3 11 2 2" xfId="6826" xr:uid="{00000000-0005-0000-0000-000075170000}"/>
    <cellStyle name="Normal 10 3 11 2 3" xfId="6827" xr:uid="{00000000-0005-0000-0000-000076170000}"/>
    <cellStyle name="Normal 10 3 11 2 4" xfId="6828" xr:uid="{00000000-0005-0000-0000-000077170000}"/>
    <cellStyle name="Normal 10 3 11 3" xfId="6829" xr:uid="{00000000-0005-0000-0000-000078170000}"/>
    <cellStyle name="Normal 10 3 11 3 2" xfId="6830" xr:uid="{00000000-0005-0000-0000-000079170000}"/>
    <cellStyle name="Normal 10 3 11 3 3" xfId="6831" xr:uid="{00000000-0005-0000-0000-00007A170000}"/>
    <cellStyle name="Normal 10 3 11 3 4" xfId="6832" xr:uid="{00000000-0005-0000-0000-00007B170000}"/>
    <cellStyle name="Normal 10 3 11 4" xfId="6833" xr:uid="{00000000-0005-0000-0000-00007C170000}"/>
    <cellStyle name="Normal 10 3 11 5" xfId="6834" xr:uid="{00000000-0005-0000-0000-00007D170000}"/>
    <cellStyle name="Normal 10 3 11 6" xfId="6835" xr:uid="{00000000-0005-0000-0000-00007E170000}"/>
    <cellStyle name="Normal 10 3 12" xfId="6836" xr:uid="{00000000-0005-0000-0000-00007F170000}"/>
    <cellStyle name="Normal 10 3 12 2" xfId="6837" xr:uid="{00000000-0005-0000-0000-000080170000}"/>
    <cellStyle name="Normal 10 3 12 2 2" xfId="6838" xr:uid="{00000000-0005-0000-0000-000081170000}"/>
    <cellStyle name="Normal 10 3 12 2 3" xfId="6839" xr:uid="{00000000-0005-0000-0000-000082170000}"/>
    <cellStyle name="Normal 10 3 12 2 4" xfId="6840" xr:uid="{00000000-0005-0000-0000-000083170000}"/>
    <cellStyle name="Normal 10 3 12 3" xfId="6841" xr:uid="{00000000-0005-0000-0000-000084170000}"/>
    <cellStyle name="Normal 10 3 12 3 2" xfId="6842" xr:uid="{00000000-0005-0000-0000-000085170000}"/>
    <cellStyle name="Normal 10 3 12 3 3" xfId="6843" xr:uid="{00000000-0005-0000-0000-000086170000}"/>
    <cellStyle name="Normal 10 3 12 3 4" xfId="6844" xr:uid="{00000000-0005-0000-0000-000087170000}"/>
    <cellStyle name="Normal 10 3 12 4" xfId="6845" xr:uid="{00000000-0005-0000-0000-000088170000}"/>
    <cellStyle name="Normal 10 3 12 5" xfId="6846" xr:uid="{00000000-0005-0000-0000-000089170000}"/>
    <cellStyle name="Normal 10 3 12 6" xfId="6847" xr:uid="{00000000-0005-0000-0000-00008A170000}"/>
    <cellStyle name="Normal 10 3 13" xfId="6848" xr:uid="{00000000-0005-0000-0000-00008B170000}"/>
    <cellStyle name="Normal 10 3 13 2" xfId="6849" xr:uid="{00000000-0005-0000-0000-00008C170000}"/>
    <cellStyle name="Normal 10 3 13 2 2" xfId="6850" xr:uid="{00000000-0005-0000-0000-00008D170000}"/>
    <cellStyle name="Normal 10 3 13 2 3" xfId="6851" xr:uid="{00000000-0005-0000-0000-00008E170000}"/>
    <cellStyle name="Normal 10 3 13 2 4" xfId="6852" xr:uid="{00000000-0005-0000-0000-00008F170000}"/>
    <cellStyle name="Normal 10 3 13 3" xfId="6853" xr:uid="{00000000-0005-0000-0000-000090170000}"/>
    <cellStyle name="Normal 10 3 13 3 2" xfId="6854" xr:uid="{00000000-0005-0000-0000-000091170000}"/>
    <cellStyle name="Normal 10 3 13 3 3" xfId="6855" xr:uid="{00000000-0005-0000-0000-000092170000}"/>
    <cellStyle name="Normal 10 3 13 3 4" xfId="6856" xr:uid="{00000000-0005-0000-0000-000093170000}"/>
    <cellStyle name="Normal 10 3 13 4" xfId="6857" xr:uid="{00000000-0005-0000-0000-000094170000}"/>
    <cellStyle name="Normal 10 3 13 5" xfId="6858" xr:uid="{00000000-0005-0000-0000-000095170000}"/>
    <cellStyle name="Normal 10 3 13 6" xfId="6859" xr:uid="{00000000-0005-0000-0000-000096170000}"/>
    <cellStyle name="Normal 10 3 14" xfId="6860" xr:uid="{00000000-0005-0000-0000-000097170000}"/>
    <cellStyle name="Normal 10 3 14 2" xfId="6861" xr:uid="{00000000-0005-0000-0000-000098170000}"/>
    <cellStyle name="Normal 10 3 14 2 2" xfId="6862" xr:uid="{00000000-0005-0000-0000-000099170000}"/>
    <cellStyle name="Normal 10 3 14 2 3" xfId="6863" xr:uid="{00000000-0005-0000-0000-00009A170000}"/>
    <cellStyle name="Normal 10 3 14 2 4" xfId="6864" xr:uid="{00000000-0005-0000-0000-00009B170000}"/>
    <cellStyle name="Normal 10 3 14 3" xfId="6865" xr:uid="{00000000-0005-0000-0000-00009C170000}"/>
    <cellStyle name="Normal 10 3 14 3 2" xfId="6866" xr:uid="{00000000-0005-0000-0000-00009D170000}"/>
    <cellStyle name="Normal 10 3 14 3 3" xfId="6867" xr:uid="{00000000-0005-0000-0000-00009E170000}"/>
    <cellStyle name="Normal 10 3 14 3 4" xfId="6868" xr:uid="{00000000-0005-0000-0000-00009F170000}"/>
    <cellStyle name="Normal 10 3 14 4" xfId="6869" xr:uid="{00000000-0005-0000-0000-0000A0170000}"/>
    <cellStyle name="Normal 10 3 14 5" xfId="6870" xr:uid="{00000000-0005-0000-0000-0000A1170000}"/>
    <cellStyle name="Normal 10 3 14 6" xfId="6871" xr:uid="{00000000-0005-0000-0000-0000A2170000}"/>
    <cellStyle name="Normal 10 3 15" xfId="6872" xr:uid="{00000000-0005-0000-0000-0000A3170000}"/>
    <cellStyle name="Normal 10 3 15 2" xfId="6873" xr:uid="{00000000-0005-0000-0000-0000A4170000}"/>
    <cellStyle name="Normal 10 3 15 2 2" xfId="6874" xr:uid="{00000000-0005-0000-0000-0000A5170000}"/>
    <cellStyle name="Normal 10 3 15 2 3" xfId="6875" xr:uid="{00000000-0005-0000-0000-0000A6170000}"/>
    <cellStyle name="Normal 10 3 15 2 4" xfId="6876" xr:uid="{00000000-0005-0000-0000-0000A7170000}"/>
    <cellStyle name="Normal 10 3 15 3" xfId="6877" xr:uid="{00000000-0005-0000-0000-0000A8170000}"/>
    <cellStyle name="Normal 10 3 15 3 2" xfId="6878" xr:uid="{00000000-0005-0000-0000-0000A9170000}"/>
    <cellStyle name="Normal 10 3 15 3 3" xfId="6879" xr:uid="{00000000-0005-0000-0000-0000AA170000}"/>
    <cellStyle name="Normal 10 3 15 3 4" xfId="6880" xr:uid="{00000000-0005-0000-0000-0000AB170000}"/>
    <cellStyle name="Normal 10 3 15 4" xfId="6881" xr:uid="{00000000-0005-0000-0000-0000AC170000}"/>
    <cellStyle name="Normal 10 3 15 5" xfId="6882" xr:uid="{00000000-0005-0000-0000-0000AD170000}"/>
    <cellStyle name="Normal 10 3 15 6" xfId="6883" xr:uid="{00000000-0005-0000-0000-0000AE170000}"/>
    <cellStyle name="Normal 10 3 16" xfId="6884" xr:uid="{00000000-0005-0000-0000-0000AF170000}"/>
    <cellStyle name="Normal 10 3 16 2" xfId="6885" xr:uid="{00000000-0005-0000-0000-0000B0170000}"/>
    <cellStyle name="Normal 10 3 16 2 2" xfId="6886" xr:uid="{00000000-0005-0000-0000-0000B1170000}"/>
    <cellStyle name="Normal 10 3 16 2 3" xfId="6887" xr:uid="{00000000-0005-0000-0000-0000B2170000}"/>
    <cellStyle name="Normal 10 3 16 2 4" xfId="6888" xr:uid="{00000000-0005-0000-0000-0000B3170000}"/>
    <cellStyle name="Normal 10 3 16 3" xfId="6889" xr:uid="{00000000-0005-0000-0000-0000B4170000}"/>
    <cellStyle name="Normal 10 3 16 3 2" xfId="6890" xr:uid="{00000000-0005-0000-0000-0000B5170000}"/>
    <cellStyle name="Normal 10 3 16 3 3" xfId="6891" xr:uid="{00000000-0005-0000-0000-0000B6170000}"/>
    <cellStyle name="Normal 10 3 16 3 4" xfId="6892" xr:uid="{00000000-0005-0000-0000-0000B7170000}"/>
    <cellStyle name="Normal 10 3 16 4" xfId="6893" xr:uid="{00000000-0005-0000-0000-0000B8170000}"/>
    <cellStyle name="Normal 10 3 16 5" xfId="6894" xr:uid="{00000000-0005-0000-0000-0000B9170000}"/>
    <cellStyle name="Normal 10 3 16 6" xfId="6895" xr:uid="{00000000-0005-0000-0000-0000BA170000}"/>
    <cellStyle name="Normal 10 3 17" xfId="6896" xr:uid="{00000000-0005-0000-0000-0000BB170000}"/>
    <cellStyle name="Normal 10 3 17 2" xfId="6897" xr:uid="{00000000-0005-0000-0000-0000BC170000}"/>
    <cellStyle name="Normal 10 3 17 2 2" xfId="6898" xr:uid="{00000000-0005-0000-0000-0000BD170000}"/>
    <cellStyle name="Normal 10 3 17 2 3" xfId="6899" xr:uid="{00000000-0005-0000-0000-0000BE170000}"/>
    <cellStyle name="Normal 10 3 17 2 4" xfId="6900" xr:uid="{00000000-0005-0000-0000-0000BF170000}"/>
    <cellStyle name="Normal 10 3 17 3" xfId="6901" xr:uid="{00000000-0005-0000-0000-0000C0170000}"/>
    <cellStyle name="Normal 10 3 17 3 2" xfId="6902" xr:uid="{00000000-0005-0000-0000-0000C1170000}"/>
    <cellStyle name="Normal 10 3 17 3 3" xfId="6903" xr:uid="{00000000-0005-0000-0000-0000C2170000}"/>
    <cellStyle name="Normal 10 3 17 3 4" xfId="6904" xr:uid="{00000000-0005-0000-0000-0000C3170000}"/>
    <cellStyle name="Normal 10 3 17 4" xfId="6905" xr:uid="{00000000-0005-0000-0000-0000C4170000}"/>
    <cellStyle name="Normal 10 3 17 5" xfId="6906" xr:uid="{00000000-0005-0000-0000-0000C5170000}"/>
    <cellStyle name="Normal 10 3 17 6" xfId="6907" xr:uid="{00000000-0005-0000-0000-0000C6170000}"/>
    <cellStyle name="Normal 10 3 18" xfId="6908" xr:uid="{00000000-0005-0000-0000-0000C7170000}"/>
    <cellStyle name="Normal 10 3 18 2" xfId="6909" xr:uid="{00000000-0005-0000-0000-0000C8170000}"/>
    <cellStyle name="Normal 10 3 18 3" xfId="6910" xr:uid="{00000000-0005-0000-0000-0000C9170000}"/>
    <cellStyle name="Normal 10 3 18 4" xfId="6911" xr:uid="{00000000-0005-0000-0000-0000CA170000}"/>
    <cellStyle name="Normal 10 3 19" xfId="6912" xr:uid="{00000000-0005-0000-0000-0000CB170000}"/>
    <cellStyle name="Normal 10 3 19 2" xfId="6913" xr:uid="{00000000-0005-0000-0000-0000CC170000}"/>
    <cellStyle name="Normal 10 3 19 3" xfId="6914" xr:uid="{00000000-0005-0000-0000-0000CD170000}"/>
    <cellStyle name="Normal 10 3 19 4" xfId="6915" xr:uid="{00000000-0005-0000-0000-0000CE170000}"/>
    <cellStyle name="Normal 10 3 2" xfId="6916" xr:uid="{00000000-0005-0000-0000-0000CF170000}"/>
    <cellStyle name="Normal 10 3 2 2" xfId="6917" xr:uid="{00000000-0005-0000-0000-0000D0170000}"/>
    <cellStyle name="Normal 10 3 2 2 2" xfId="6918" xr:uid="{00000000-0005-0000-0000-0000D1170000}"/>
    <cellStyle name="Normal 10 3 2 2 3" xfId="6919" xr:uid="{00000000-0005-0000-0000-0000D2170000}"/>
    <cellStyle name="Normal 10 3 2 2 4" xfId="6920" xr:uid="{00000000-0005-0000-0000-0000D3170000}"/>
    <cellStyle name="Normal 10 3 2 2 5" xfId="43733" xr:uid="{A33FFF1B-4F04-4524-8428-31CB34816906}"/>
    <cellStyle name="Normal 10 3 2 3" xfId="6921" xr:uid="{00000000-0005-0000-0000-0000D4170000}"/>
    <cellStyle name="Normal 10 3 2 3 2" xfId="6922" xr:uid="{00000000-0005-0000-0000-0000D5170000}"/>
    <cellStyle name="Normal 10 3 2 3 3" xfId="6923" xr:uid="{00000000-0005-0000-0000-0000D6170000}"/>
    <cellStyle name="Normal 10 3 2 3 4" xfId="6924" xr:uid="{00000000-0005-0000-0000-0000D7170000}"/>
    <cellStyle name="Normal 10 3 2 3 5" xfId="43916" xr:uid="{5D1080AE-726B-496D-9B33-DC64DB7ED5A8}"/>
    <cellStyle name="Normal 10 3 2 4" xfId="6925" xr:uid="{00000000-0005-0000-0000-0000D8170000}"/>
    <cellStyle name="Normal 10 3 2 5" xfId="6926" xr:uid="{00000000-0005-0000-0000-0000D9170000}"/>
    <cellStyle name="Normal 10 3 2 6" xfId="6927" xr:uid="{00000000-0005-0000-0000-0000DA170000}"/>
    <cellStyle name="Normal 10 3 2 7" xfId="43550" xr:uid="{3BD9828E-17E7-4231-86A2-72B62EB36637}"/>
    <cellStyle name="Normal 10 3 20" xfId="6928" xr:uid="{00000000-0005-0000-0000-0000DB170000}"/>
    <cellStyle name="Normal 10 3 20 2" xfId="6929" xr:uid="{00000000-0005-0000-0000-0000DC170000}"/>
    <cellStyle name="Normal 10 3 20 3" xfId="6930" xr:uid="{00000000-0005-0000-0000-0000DD170000}"/>
    <cellStyle name="Normal 10 3 20 4" xfId="6931" xr:uid="{00000000-0005-0000-0000-0000DE170000}"/>
    <cellStyle name="Normal 10 3 21" xfId="6932" xr:uid="{00000000-0005-0000-0000-0000DF170000}"/>
    <cellStyle name="Normal 10 3 22" xfId="6933" xr:uid="{00000000-0005-0000-0000-0000E0170000}"/>
    <cellStyle name="Normal 10 3 23" xfId="6934" xr:uid="{00000000-0005-0000-0000-0000E1170000}"/>
    <cellStyle name="Normal 10 3 24" xfId="43483" xr:uid="{21EFF145-68D8-4BF2-91B8-FB5C0A553DA4}"/>
    <cellStyle name="Normal 10 3 3" xfId="6935" xr:uid="{00000000-0005-0000-0000-0000E2170000}"/>
    <cellStyle name="Normal 10 3 3 2" xfId="6936" xr:uid="{00000000-0005-0000-0000-0000E3170000}"/>
    <cellStyle name="Normal 10 3 3 2 2" xfId="6937" xr:uid="{00000000-0005-0000-0000-0000E4170000}"/>
    <cellStyle name="Normal 10 3 3 2 3" xfId="6938" xr:uid="{00000000-0005-0000-0000-0000E5170000}"/>
    <cellStyle name="Normal 10 3 3 2 4" xfId="6939" xr:uid="{00000000-0005-0000-0000-0000E6170000}"/>
    <cellStyle name="Normal 10 3 3 3" xfId="6940" xr:uid="{00000000-0005-0000-0000-0000E7170000}"/>
    <cellStyle name="Normal 10 3 3 3 2" xfId="6941" xr:uid="{00000000-0005-0000-0000-0000E8170000}"/>
    <cellStyle name="Normal 10 3 3 3 3" xfId="6942" xr:uid="{00000000-0005-0000-0000-0000E9170000}"/>
    <cellStyle name="Normal 10 3 3 3 4" xfId="6943" xr:uid="{00000000-0005-0000-0000-0000EA170000}"/>
    <cellStyle name="Normal 10 3 3 4" xfId="6944" xr:uid="{00000000-0005-0000-0000-0000EB170000}"/>
    <cellStyle name="Normal 10 3 3 5" xfId="6945" xr:uid="{00000000-0005-0000-0000-0000EC170000}"/>
    <cellStyle name="Normal 10 3 3 6" xfId="6946" xr:uid="{00000000-0005-0000-0000-0000ED170000}"/>
    <cellStyle name="Normal 10 3 3 7" xfId="43666" xr:uid="{8DC20989-CDF6-4503-8BD4-F0D154C85477}"/>
    <cellStyle name="Normal 10 3 4" xfId="6947" xr:uid="{00000000-0005-0000-0000-0000EE170000}"/>
    <cellStyle name="Normal 10 3 4 2" xfId="6948" xr:uid="{00000000-0005-0000-0000-0000EF170000}"/>
    <cellStyle name="Normal 10 3 4 2 2" xfId="6949" xr:uid="{00000000-0005-0000-0000-0000F0170000}"/>
    <cellStyle name="Normal 10 3 4 2 3" xfId="6950" xr:uid="{00000000-0005-0000-0000-0000F1170000}"/>
    <cellStyle name="Normal 10 3 4 2 4" xfId="6951" xr:uid="{00000000-0005-0000-0000-0000F2170000}"/>
    <cellStyle name="Normal 10 3 4 3" xfId="6952" xr:uid="{00000000-0005-0000-0000-0000F3170000}"/>
    <cellStyle name="Normal 10 3 4 3 2" xfId="6953" xr:uid="{00000000-0005-0000-0000-0000F4170000}"/>
    <cellStyle name="Normal 10 3 4 3 3" xfId="6954" xr:uid="{00000000-0005-0000-0000-0000F5170000}"/>
    <cellStyle name="Normal 10 3 4 3 4" xfId="6955" xr:uid="{00000000-0005-0000-0000-0000F6170000}"/>
    <cellStyle name="Normal 10 3 4 4" xfId="6956" xr:uid="{00000000-0005-0000-0000-0000F7170000}"/>
    <cellStyle name="Normal 10 3 4 5" xfId="6957" xr:uid="{00000000-0005-0000-0000-0000F8170000}"/>
    <cellStyle name="Normal 10 3 4 6" xfId="6958" xr:uid="{00000000-0005-0000-0000-0000F9170000}"/>
    <cellStyle name="Normal 10 3 4 7" xfId="43849" xr:uid="{ABF41DEE-F3B0-463B-A755-B4FC0DD9E00B}"/>
    <cellStyle name="Normal 10 3 5" xfId="6959" xr:uid="{00000000-0005-0000-0000-0000FA170000}"/>
    <cellStyle name="Normal 10 3 5 2" xfId="6960" xr:uid="{00000000-0005-0000-0000-0000FB170000}"/>
    <cellStyle name="Normal 10 3 5 2 2" xfId="6961" xr:uid="{00000000-0005-0000-0000-0000FC170000}"/>
    <cellStyle name="Normal 10 3 5 2 3" xfId="6962" xr:uid="{00000000-0005-0000-0000-0000FD170000}"/>
    <cellStyle name="Normal 10 3 5 2 4" xfId="6963" xr:uid="{00000000-0005-0000-0000-0000FE170000}"/>
    <cellStyle name="Normal 10 3 5 3" xfId="6964" xr:uid="{00000000-0005-0000-0000-0000FF170000}"/>
    <cellStyle name="Normal 10 3 5 3 2" xfId="6965" xr:uid="{00000000-0005-0000-0000-000000180000}"/>
    <cellStyle name="Normal 10 3 5 3 3" xfId="6966" xr:uid="{00000000-0005-0000-0000-000001180000}"/>
    <cellStyle name="Normal 10 3 5 3 4" xfId="6967" xr:uid="{00000000-0005-0000-0000-000002180000}"/>
    <cellStyle name="Normal 10 3 5 4" xfId="6968" xr:uid="{00000000-0005-0000-0000-000003180000}"/>
    <cellStyle name="Normal 10 3 5 5" xfId="6969" xr:uid="{00000000-0005-0000-0000-000004180000}"/>
    <cellStyle name="Normal 10 3 5 6" xfId="6970" xr:uid="{00000000-0005-0000-0000-000005180000}"/>
    <cellStyle name="Normal 10 3 6" xfId="6971" xr:uid="{00000000-0005-0000-0000-000006180000}"/>
    <cellStyle name="Normal 10 3 6 2" xfId="6972" xr:uid="{00000000-0005-0000-0000-000007180000}"/>
    <cellStyle name="Normal 10 3 6 2 2" xfId="6973" xr:uid="{00000000-0005-0000-0000-000008180000}"/>
    <cellStyle name="Normal 10 3 6 2 3" xfId="6974" xr:uid="{00000000-0005-0000-0000-000009180000}"/>
    <cellStyle name="Normal 10 3 6 2 4" xfId="6975" xr:uid="{00000000-0005-0000-0000-00000A180000}"/>
    <cellStyle name="Normal 10 3 6 3" xfId="6976" xr:uid="{00000000-0005-0000-0000-00000B180000}"/>
    <cellStyle name="Normal 10 3 6 3 2" xfId="6977" xr:uid="{00000000-0005-0000-0000-00000C180000}"/>
    <cellStyle name="Normal 10 3 6 3 3" xfId="6978" xr:uid="{00000000-0005-0000-0000-00000D180000}"/>
    <cellStyle name="Normal 10 3 6 3 4" xfId="6979" xr:uid="{00000000-0005-0000-0000-00000E180000}"/>
    <cellStyle name="Normal 10 3 6 4" xfId="6980" xr:uid="{00000000-0005-0000-0000-00000F180000}"/>
    <cellStyle name="Normal 10 3 6 5" xfId="6981" xr:uid="{00000000-0005-0000-0000-000010180000}"/>
    <cellStyle name="Normal 10 3 6 6" xfId="6982" xr:uid="{00000000-0005-0000-0000-000011180000}"/>
    <cellStyle name="Normal 10 3 7" xfId="6983" xr:uid="{00000000-0005-0000-0000-000012180000}"/>
    <cellStyle name="Normal 10 3 7 2" xfId="6984" xr:uid="{00000000-0005-0000-0000-000013180000}"/>
    <cellStyle name="Normal 10 3 7 2 2" xfId="6985" xr:uid="{00000000-0005-0000-0000-000014180000}"/>
    <cellStyle name="Normal 10 3 7 2 3" xfId="6986" xr:uid="{00000000-0005-0000-0000-000015180000}"/>
    <cellStyle name="Normal 10 3 7 2 4" xfId="6987" xr:uid="{00000000-0005-0000-0000-000016180000}"/>
    <cellStyle name="Normal 10 3 7 3" xfId="6988" xr:uid="{00000000-0005-0000-0000-000017180000}"/>
    <cellStyle name="Normal 10 3 7 3 2" xfId="6989" xr:uid="{00000000-0005-0000-0000-000018180000}"/>
    <cellStyle name="Normal 10 3 7 3 3" xfId="6990" xr:uid="{00000000-0005-0000-0000-000019180000}"/>
    <cellStyle name="Normal 10 3 7 3 4" xfId="6991" xr:uid="{00000000-0005-0000-0000-00001A180000}"/>
    <cellStyle name="Normal 10 3 7 4" xfId="6992" xr:uid="{00000000-0005-0000-0000-00001B180000}"/>
    <cellStyle name="Normal 10 3 7 5" xfId="6993" xr:uid="{00000000-0005-0000-0000-00001C180000}"/>
    <cellStyle name="Normal 10 3 7 6" xfId="6994" xr:uid="{00000000-0005-0000-0000-00001D180000}"/>
    <cellStyle name="Normal 10 3 8" xfId="6995" xr:uid="{00000000-0005-0000-0000-00001E180000}"/>
    <cellStyle name="Normal 10 3 8 2" xfId="6996" xr:uid="{00000000-0005-0000-0000-00001F180000}"/>
    <cellStyle name="Normal 10 3 8 2 2" xfId="6997" xr:uid="{00000000-0005-0000-0000-000020180000}"/>
    <cellStyle name="Normal 10 3 8 2 3" xfId="6998" xr:uid="{00000000-0005-0000-0000-000021180000}"/>
    <cellStyle name="Normal 10 3 8 2 4" xfId="6999" xr:uid="{00000000-0005-0000-0000-000022180000}"/>
    <cellStyle name="Normal 10 3 8 3" xfId="7000" xr:uid="{00000000-0005-0000-0000-000023180000}"/>
    <cellStyle name="Normal 10 3 8 3 2" xfId="7001" xr:uid="{00000000-0005-0000-0000-000024180000}"/>
    <cellStyle name="Normal 10 3 8 3 3" xfId="7002" xr:uid="{00000000-0005-0000-0000-000025180000}"/>
    <cellStyle name="Normal 10 3 8 3 4" xfId="7003" xr:uid="{00000000-0005-0000-0000-000026180000}"/>
    <cellStyle name="Normal 10 3 8 4" xfId="7004" xr:uid="{00000000-0005-0000-0000-000027180000}"/>
    <cellStyle name="Normal 10 3 8 5" xfId="7005" xr:uid="{00000000-0005-0000-0000-000028180000}"/>
    <cellStyle name="Normal 10 3 8 6" xfId="7006" xr:uid="{00000000-0005-0000-0000-000029180000}"/>
    <cellStyle name="Normal 10 3 9" xfId="7007" xr:uid="{00000000-0005-0000-0000-00002A180000}"/>
    <cellStyle name="Normal 10 3 9 2" xfId="7008" xr:uid="{00000000-0005-0000-0000-00002B180000}"/>
    <cellStyle name="Normal 10 3 9 2 2" xfId="7009" xr:uid="{00000000-0005-0000-0000-00002C180000}"/>
    <cellStyle name="Normal 10 3 9 2 3" xfId="7010" xr:uid="{00000000-0005-0000-0000-00002D180000}"/>
    <cellStyle name="Normal 10 3 9 2 4" xfId="7011" xr:uid="{00000000-0005-0000-0000-00002E180000}"/>
    <cellStyle name="Normal 10 3 9 3" xfId="7012" xr:uid="{00000000-0005-0000-0000-00002F180000}"/>
    <cellStyle name="Normal 10 3 9 3 2" xfId="7013" xr:uid="{00000000-0005-0000-0000-000030180000}"/>
    <cellStyle name="Normal 10 3 9 3 3" xfId="7014" xr:uid="{00000000-0005-0000-0000-000031180000}"/>
    <cellStyle name="Normal 10 3 9 3 4" xfId="7015" xr:uid="{00000000-0005-0000-0000-000032180000}"/>
    <cellStyle name="Normal 10 3 9 4" xfId="7016" xr:uid="{00000000-0005-0000-0000-000033180000}"/>
    <cellStyle name="Normal 10 3 9 5" xfId="7017" xr:uid="{00000000-0005-0000-0000-000034180000}"/>
    <cellStyle name="Normal 10 3 9 6" xfId="7018" xr:uid="{00000000-0005-0000-0000-000035180000}"/>
    <cellStyle name="Normal 10 30" xfId="7019" xr:uid="{00000000-0005-0000-0000-000036180000}"/>
    <cellStyle name="Normal 10 30 10" xfId="7020" xr:uid="{00000000-0005-0000-0000-000037180000}"/>
    <cellStyle name="Normal 10 30 11" xfId="7021" xr:uid="{00000000-0005-0000-0000-000038180000}"/>
    <cellStyle name="Normal 10 30 12" xfId="7022" xr:uid="{00000000-0005-0000-0000-000039180000}"/>
    <cellStyle name="Normal 10 30 13" xfId="7023" xr:uid="{00000000-0005-0000-0000-00003A180000}"/>
    <cellStyle name="Normal 10 30 2" xfId="7024" xr:uid="{00000000-0005-0000-0000-00003B180000}"/>
    <cellStyle name="Normal 10 30 2 2" xfId="7025" xr:uid="{00000000-0005-0000-0000-00003C180000}"/>
    <cellStyle name="Normal 10 30 2 3" xfId="7026" xr:uid="{00000000-0005-0000-0000-00003D180000}"/>
    <cellStyle name="Normal 10 30 2 4" xfId="7027" xr:uid="{00000000-0005-0000-0000-00003E180000}"/>
    <cellStyle name="Normal 10 30 2 5" xfId="7028" xr:uid="{00000000-0005-0000-0000-00003F180000}"/>
    <cellStyle name="Normal 10 30 2 6" xfId="7029" xr:uid="{00000000-0005-0000-0000-000040180000}"/>
    <cellStyle name="Normal 10 30 3" xfId="7030" xr:uid="{00000000-0005-0000-0000-000041180000}"/>
    <cellStyle name="Normal 10 30 3 2" xfId="7031" xr:uid="{00000000-0005-0000-0000-000042180000}"/>
    <cellStyle name="Normal 10 30 3 3" xfId="7032" xr:uid="{00000000-0005-0000-0000-000043180000}"/>
    <cellStyle name="Normal 10 30 3 4" xfId="7033" xr:uid="{00000000-0005-0000-0000-000044180000}"/>
    <cellStyle name="Normal 10 30 3 5" xfId="7034" xr:uid="{00000000-0005-0000-0000-000045180000}"/>
    <cellStyle name="Normal 10 30 3 6" xfId="7035" xr:uid="{00000000-0005-0000-0000-000046180000}"/>
    <cellStyle name="Normal 10 30 4" xfId="7036" xr:uid="{00000000-0005-0000-0000-000047180000}"/>
    <cellStyle name="Normal 10 30 4 2" xfId="7037" xr:uid="{00000000-0005-0000-0000-000048180000}"/>
    <cellStyle name="Normal 10 30 4 3" xfId="7038" xr:uid="{00000000-0005-0000-0000-000049180000}"/>
    <cellStyle name="Normal 10 30 4 4" xfId="7039" xr:uid="{00000000-0005-0000-0000-00004A180000}"/>
    <cellStyle name="Normal 10 30 4 5" xfId="7040" xr:uid="{00000000-0005-0000-0000-00004B180000}"/>
    <cellStyle name="Normal 10 30 4 6" xfId="7041" xr:uid="{00000000-0005-0000-0000-00004C180000}"/>
    <cellStyle name="Normal 10 30 5" xfId="7042" xr:uid="{00000000-0005-0000-0000-00004D180000}"/>
    <cellStyle name="Normal 10 30 5 2" xfId="7043" xr:uid="{00000000-0005-0000-0000-00004E180000}"/>
    <cellStyle name="Normal 10 30 5 3" xfId="7044" xr:uid="{00000000-0005-0000-0000-00004F180000}"/>
    <cellStyle name="Normal 10 30 5 4" xfId="7045" xr:uid="{00000000-0005-0000-0000-000050180000}"/>
    <cellStyle name="Normal 10 30 5 5" xfId="7046" xr:uid="{00000000-0005-0000-0000-000051180000}"/>
    <cellStyle name="Normal 10 30 5 6" xfId="7047" xr:uid="{00000000-0005-0000-0000-000052180000}"/>
    <cellStyle name="Normal 10 30 6" xfId="7048" xr:uid="{00000000-0005-0000-0000-000053180000}"/>
    <cellStyle name="Normal 10 30 6 2" xfId="7049" xr:uid="{00000000-0005-0000-0000-000054180000}"/>
    <cellStyle name="Normal 10 30 6 3" xfId="7050" xr:uid="{00000000-0005-0000-0000-000055180000}"/>
    <cellStyle name="Normal 10 30 6 4" xfId="7051" xr:uid="{00000000-0005-0000-0000-000056180000}"/>
    <cellStyle name="Normal 10 30 6 5" xfId="7052" xr:uid="{00000000-0005-0000-0000-000057180000}"/>
    <cellStyle name="Normal 10 30 6 6" xfId="7053" xr:uid="{00000000-0005-0000-0000-000058180000}"/>
    <cellStyle name="Normal 10 30 7" xfId="7054" xr:uid="{00000000-0005-0000-0000-000059180000}"/>
    <cellStyle name="Normal 10 30 7 2" xfId="7055" xr:uid="{00000000-0005-0000-0000-00005A180000}"/>
    <cellStyle name="Normal 10 30 7 3" xfId="7056" xr:uid="{00000000-0005-0000-0000-00005B180000}"/>
    <cellStyle name="Normal 10 30 7 4" xfId="7057" xr:uid="{00000000-0005-0000-0000-00005C180000}"/>
    <cellStyle name="Normal 10 30 7 5" xfId="7058" xr:uid="{00000000-0005-0000-0000-00005D180000}"/>
    <cellStyle name="Normal 10 30 7 6" xfId="7059" xr:uid="{00000000-0005-0000-0000-00005E180000}"/>
    <cellStyle name="Normal 10 30 8" xfId="7060" xr:uid="{00000000-0005-0000-0000-00005F180000}"/>
    <cellStyle name="Normal 10 30 8 2" xfId="7061" xr:uid="{00000000-0005-0000-0000-000060180000}"/>
    <cellStyle name="Normal 10 30 8 3" xfId="7062" xr:uid="{00000000-0005-0000-0000-000061180000}"/>
    <cellStyle name="Normal 10 30 8 4" xfId="7063" xr:uid="{00000000-0005-0000-0000-000062180000}"/>
    <cellStyle name="Normal 10 30 8 5" xfId="7064" xr:uid="{00000000-0005-0000-0000-000063180000}"/>
    <cellStyle name="Normal 10 30 8 6" xfId="7065" xr:uid="{00000000-0005-0000-0000-000064180000}"/>
    <cellStyle name="Normal 10 30 9" xfId="7066" xr:uid="{00000000-0005-0000-0000-000065180000}"/>
    <cellStyle name="Normal 10 31" xfId="7067" xr:uid="{00000000-0005-0000-0000-000066180000}"/>
    <cellStyle name="Normal 10 31 10" xfId="7068" xr:uid="{00000000-0005-0000-0000-000067180000}"/>
    <cellStyle name="Normal 10 31 11" xfId="7069" xr:uid="{00000000-0005-0000-0000-000068180000}"/>
    <cellStyle name="Normal 10 31 12" xfId="7070" xr:uid="{00000000-0005-0000-0000-000069180000}"/>
    <cellStyle name="Normal 10 31 13" xfId="7071" xr:uid="{00000000-0005-0000-0000-00006A180000}"/>
    <cellStyle name="Normal 10 31 2" xfId="7072" xr:uid="{00000000-0005-0000-0000-00006B180000}"/>
    <cellStyle name="Normal 10 31 2 2" xfId="7073" xr:uid="{00000000-0005-0000-0000-00006C180000}"/>
    <cellStyle name="Normal 10 31 2 3" xfId="7074" xr:uid="{00000000-0005-0000-0000-00006D180000}"/>
    <cellStyle name="Normal 10 31 2 4" xfId="7075" xr:uid="{00000000-0005-0000-0000-00006E180000}"/>
    <cellStyle name="Normal 10 31 2 5" xfId="7076" xr:uid="{00000000-0005-0000-0000-00006F180000}"/>
    <cellStyle name="Normal 10 31 2 6" xfId="7077" xr:uid="{00000000-0005-0000-0000-000070180000}"/>
    <cellStyle name="Normal 10 31 3" xfId="7078" xr:uid="{00000000-0005-0000-0000-000071180000}"/>
    <cellStyle name="Normal 10 31 3 2" xfId="7079" xr:uid="{00000000-0005-0000-0000-000072180000}"/>
    <cellStyle name="Normal 10 31 3 3" xfId="7080" xr:uid="{00000000-0005-0000-0000-000073180000}"/>
    <cellStyle name="Normal 10 31 3 4" xfId="7081" xr:uid="{00000000-0005-0000-0000-000074180000}"/>
    <cellStyle name="Normal 10 31 3 5" xfId="7082" xr:uid="{00000000-0005-0000-0000-000075180000}"/>
    <cellStyle name="Normal 10 31 3 6" xfId="7083" xr:uid="{00000000-0005-0000-0000-000076180000}"/>
    <cellStyle name="Normal 10 31 4" xfId="7084" xr:uid="{00000000-0005-0000-0000-000077180000}"/>
    <cellStyle name="Normal 10 31 4 2" xfId="7085" xr:uid="{00000000-0005-0000-0000-000078180000}"/>
    <cellStyle name="Normal 10 31 4 3" xfId="7086" xr:uid="{00000000-0005-0000-0000-000079180000}"/>
    <cellStyle name="Normal 10 31 4 4" xfId="7087" xr:uid="{00000000-0005-0000-0000-00007A180000}"/>
    <cellStyle name="Normal 10 31 4 5" xfId="7088" xr:uid="{00000000-0005-0000-0000-00007B180000}"/>
    <cellStyle name="Normal 10 31 4 6" xfId="7089" xr:uid="{00000000-0005-0000-0000-00007C180000}"/>
    <cellStyle name="Normal 10 31 5" xfId="7090" xr:uid="{00000000-0005-0000-0000-00007D180000}"/>
    <cellStyle name="Normal 10 31 5 2" xfId="7091" xr:uid="{00000000-0005-0000-0000-00007E180000}"/>
    <cellStyle name="Normal 10 31 5 3" xfId="7092" xr:uid="{00000000-0005-0000-0000-00007F180000}"/>
    <cellStyle name="Normal 10 31 5 4" xfId="7093" xr:uid="{00000000-0005-0000-0000-000080180000}"/>
    <cellStyle name="Normal 10 31 5 5" xfId="7094" xr:uid="{00000000-0005-0000-0000-000081180000}"/>
    <cellStyle name="Normal 10 31 5 6" xfId="7095" xr:uid="{00000000-0005-0000-0000-000082180000}"/>
    <cellStyle name="Normal 10 31 6" xfId="7096" xr:uid="{00000000-0005-0000-0000-000083180000}"/>
    <cellStyle name="Normal 10 31 6 2" xfId="7097" xr:uid="{00000000-0005-0000-0000-000084180000}"/>
    <cellStyle name="Normal 10 31 6 3" xfId="7098" xr:uid="{00000000-0005-0000-0000-000085180000}"/>
    <cellStyle name="Normal 10 31 6 4" xfId="7099" xr:uid="{00000000-0005-0000-0000-000086180000}"/>
    <cellStyle name="Normal 10 31 6 5" xfId="7100" xr:uid="{00000000-0005-0000-0000-000087180000}"/>
    <cellStyle name="Normal 10 31 6 6" xfId="7101" xr:uid="{00000000-0005-0000-0000-000088180000}"/>
    <cellStyle name="Normal 10 31 7" xfId="7102" xr:uid="{00000000-0005-0000-0000-000089180000}"/>
    <cellStyle name="Normal 10 31 7 2" xfId="7103" xr:uid="{00000000-0005-0000-0000-00008A180000}"/>
    <cellStyle name="Normal 10 31 7 3" xfId="7104" xr:uid="{00000000-0005-0000-0000-00008B180000}"/>
    <cellStyle name="Normal 10 31 7 4" xfId="7105" xr:uid="{00000000-0005-0000-0000-00008C180000}"/>
    <cellStyle name="Normal 10 31 7 5" xfId="7106" xr:uid="{00000000-0005-0000-0000-00008D180000}"/>
    <cellStyle name="Normal 10 31 7 6" xfId="7107" xr:uid="{00000000-0005-0000-0000-00008E180000}"/>
    <cellStyle name="Normal 10 31 8" xfId="7108" xr:uid="{00000000-0005-0000-0000-00008F180000}"/>
    <cellStyle name="Normal 10 31 8 2" xfId="7109" xr:uid="{00000000-0005-0000-0000-000090180000}"/>
    <cellStyle name="Normal 10 31 8 3" xfId="7110" xr:uid="{00000000-0005-0000-0000-000091180000}"/>
    <cellStyle name="Normal 10 31 8 4" xfId="7111" xr:uid="{00000000-0005-0000-0000-000092180000}"/>
    <cellStyle name="Normal 10 31 8 5" xfId="7112" xr:uid="{00000000-0005-0000-0000-000093180000}"/>
    <cellStyle name="Normal 10 31 8 6" xfId="7113" xr:uid="{00000000-0005-0000-0000-000094180000}"/>
    <cellStyle name="Normal 10 31 9" xfId="7114" xr:uid="{00000000-0005-0000-0000-000095180000}"/>
    <cellStyle name="Normal 10 32" xfId="7115" xr:uid="{00000000-0005-0000-0000-000096180000}"/>
    <cellStyle name="Normal 10 32 10" xfId="7116" xr:uid="{00000000-0005-0000-0000-000097180000}"/>
    <cellStyle name="Normal 10 32 11" xfId="7117" xr:uid="{00000000-0005-0000-0000-000098180000}"/>
    <cellStyle name="Normal 10 32 12" xfId="7118" xr:uid="{00000000-0005-0000-0000-000099180000}"/>
    <cellStyle name="Normal 10 32 13" xfId="7119" xr:uid="{00000000-0005-0000-0000-00009A180000}"/>
    <cellStyle name="Normal 10 32 2" xfId="7120" xr:uid="{00000000-0005-0000-0000-00009B180000}"/>
    <cellStyle name="Normal 10 32 2 2" xfId="7121" xr:uid="{00000000-0005-0000-0000-00009C180000}"/>
    <cellStyle name="Normal 10 32 2 3" xfId="7122" xr:uid="{00000000-0005-0000-0000-00009D180000}"/>
    <cellStyle name="Normal 10 32 2 4" xfId="7123" xr:uid="{00000000-0005-0000-0000-00009E180000}"/>
    <cellStyle name="Normal 10 32 2 5" xfId="7124" xr:uid="{00000000-0005-0000-0000-00009F180000}"/>
    <cellStyle name="Normal 10 32 2 6" xfId="7125" xr:uid="{00000000-0005-0000-0000-0000A0180000}"/>
    <cellStyle name="Normal 10 32 3" xfId="7126" xr:uid="{00000000-0005-0000-0000-0000A1180000}"/>
    <cellStyle name="Normal 10 32 3 2" xfId="7127" xr:uid="{00000000-0005-0000-0000-0000A2180000}"/>
    <cellStyle name="Normal 10 32 3 3" xfId="7128" xr:uid="{00000000-0005-0000-0000-0000A3180000}"/>
    <cellStyle name="Normal 10 32 3 4" xfId="7129" xr:uid="{00000000-0005-0000-0000-0000A4180000}"/>
    <cellStyle name="Normal 10 32 3 5" xfId="7130" xr:uid="{00000000-0005-0000-0000-0000A5180000}"/>
    <cellStyle name="Normal 10 32 3 6" xfId="7131" xr:uid="{00000000-0005-0000-0000-0000A6180000}"/>
    <cellStyle name="Normal 10 32 4" xfId="7132" xr:uid="{00000000-0005-0000-0000-0000A7180000}"/>
    <cellStyle name="Normal 10 32 4 2" xfId="7133" xr:uid="{00000000-0005-0000-0000-0000A8180000}"/>
    <cellStyle name="Normal 10 32 4 3" xfId="7134" xr:uid="{00000000-0005-0000-0000-0000A9180000}"/>
    <cellStyle name="Normal 10 32 4 4" xfId="7135" xr:uid="{00000000-0005-0000-0000-0000AA180000}"/>
    <cellStyle name="Normal 10 32 4 5" xfId="7136" xr:uid="{00000000-0005-0000-0000-0000AB180000}"/>
    <cellStyle name="Normal 10 32 4 6" xfId="7137" xr:uid="{00000000-0005-0000-0000-0000AC180000}"/>
    <cellStyle name="Normal 10 32 5" xfId="7138" xr:uid="{00000000-0005-0000-0000-0000AD180000}"/>
    <cellStyle name="Normal 10 32 5 2" xfId="7139" xr:uid="{00000000-0005-0000-0000-0000AE180000}"/>
    <cellStyle name="Normal 10 32 5 3" xfId="7140" xr:uid="{00000000-0005-0000-0000-0000AF180000}"/>
    <cellStyle name="Normal 10 32 5 4" xfId="7141" xr:uid="{00000000-0005-0000-0000-0000B0180000}"/>
    <cellStyle name="Normal 10 32 5 5" xfId="7142" xr:uid="{00000000-0005-0000-0000-0000B1180000}"/>
    <cellStyle name="Normal 10 32 5 6" xfId="7143" xr:uid="{00000000-0005-0000-0000-0000B2180000}"/>
    <cellStyle name="Normal 10 32 6" xfId="7144" xr:uid="{00000000-0005-0000-0000-0000B3180000}"/>
    <cellStyle name="Normal 10 32 6 2" xfId="7145" xr:uid="{00000000-0005-0000-0000-0000B4180000}"/>
    <cellStyle name="Normal 10 32 6 3" xfId="7146" xr:uid="{00000000-0005-0000-0000-0000B5180000}"/>
    <cellStyle name="Normal 10 32 6 4" xfId="7147" xr:uid="{00000000-0005-0000-0000-0000B6180000}"/>
    <cellStyle name="Normal 10 32 6 5" xfId="7148" xr:uid="{00000000-0005-0000-0000-0000B7180000}"/>
    <cellStyle name="Normal 10 32 6 6" xfId="7149" xr:uid="{00000000-0005-0000-0000-0000B8180000}"/>
    <cellStyle name="Normal 10 32 7" xfId="7150" xr:uid="{00000000-0005-0000-0000-0000B9180000}"/>
    <cellStyle name="Normal 10 32 7 2" xfId="7151" xr:uid="{00000000-0005-0000-0000-0000BA180000}"/>
    <cellStyle name="Normal 10 32 7 3" xfId="7152" xr:uid="{00000000-0005-0000-0000-0000BB180000}"/>
    <cellStyle name="Normal 10 32 7 4" xfId="7153" xr:uid="{00000000-0005-0000-0000-0000BC180000}"/>
    <cellStyle name="Normal 10 32 7 5" xfId="7154" xr:uid="{00000000-0005-0000-0000-0000BD180000}"/>
    <cellStyle name="Normal 10 32 7 6" xfId="7155" xr:uid="{00000000-0005-0000-0000-0000BE180000}"/>
    <cellStyle name="Normal 10 32 8" xfId="7156" xr:uid="{00000000-0005-0000-0000-0000BF180000}"/>
    <cellStyle name="Normal 10 32 8 2" xfId="7157" xr:uid="{00000000-0005-0000-0000-0000C0180000}"/>
    <cellStyle name="Normal 10 32 8 3" xfId="7158" xr:uid="{00000000-0005-0000-0000-0000C1180000}"/>
    <cellStyle name="Normal 10 32 8 4" xfId="7159" xr:uid="{00000000-0005-0000-0000-0000C2180000}"/>
    <cellStyle name="Normal 10 32 8 5" xfId="7160" xr:uid="{00000000-0005-0000-0000-0000C3180000}"/>
    <cellStyle name="Normal 10 32 8 6" xfId="7161" xr:uid="{00000000-0005-0000-0000-0000C4180000}"/>
    <cellStyle name="Normal 10 32 9" xfId="7162" xr:uid="{00000000-0005-0000-0000-0000C5180000}"/>
    <cellStyle name="Normal 10 33" xfId="7163" xr:uid="{00000000-0005-0000-0000-0000C6180000}"/>
    <cellStyle name="Normal 10 33 10" xfId="7164" xr:uid="{00000000-0005-0000-0000-0000C7180000}"/>
    <cellStyle name="Normal 10 33 11" xfId="7165" xr:uid="{00000000-0005-0000-0000-0000C8180000}"/>
    <cellStyle name="Normal 10 33 12" xfId="7166" xr:uid="{00000000-0005-0000-0000-0000C9180000}"/>
    <cellStyle name="Normal 10 33 13" xfId="7167" xr:uid="{00000000-0005-0000-0000-0000CA180000}"/>
    <cellStyle name="Normal 10 33 2" xfId="7168" xr:uid="{00000000-0005-0000-0000-0000CB180000}"/>
    <cellStyle name="Normal 10 33 2 2" xfId="7169" xr:uid="{00000000-0005-0000-0000-0000CC180000}"/>
    <cellStyle name="Normal 10 33 2 3" xfId="7170" xr:uid="{00000000-0005-0000-0000-0000CD180000}"/>
    <cellStyle name="Normal 10 33 2 4" xfId="7171" xr:uid="{00000000-0005-0000-0000-0000CE180000}"/>
    <cellStyle name="Normal 10 33 2 5" xfId="7172" xr:uid="{00000000-0005-0000-0000-0000CF180000}"/>
    <cellStyle name="Normal 10 33 2 6" xfId="7173" xr:uid="{00000000-0005-0000-0000-0000D0180000}"/>
    <cellStyle name="Normal 10 33 3" xfId="7174" xr:uid="{00000000-0005-0000-0000-0000D1180000}"/>
    <cellStyle name="Normal 10 33 3 2" xfId="7175" xr:uid="{00000000-0005-0000-0000-0000D2180000}"/>
    <cellStyle name="Normal 10 33 3 3" xfId="7176" xr:uid="{00000000-0005-0000-0000-0000D3180000}"/>
    <cellStyle name="Normal 10 33 3 4" xfId="7177" xr:uid="{00000000-0005-0000-0000-0000D4180000}"/>
    <cellStyle name="Normal 10 33 3 5" xfId="7178" xr:uid="{00000000-0005-0000-0000-0000D5180000}"/>
    <cellStyle name="Normal 10 33 3 6" xfId="7179" xr:uid="{00000000-0005-0000-0000-0000D6180000}"/>
    <cellStyle name="Normal 10 33 4" xfId="7180" xr:uid="{00000000-0005-0000-0000-0000D7180000}"/>
    <cellStyle name="Normal 10 33 4 2" xfId="7181" xr:uid="{00000000-0005-0000-0000-0000D8180000}"/>
    <cellStyle name="Normal 10 33 4 3" xfId="7182" xr:uid="{00000000-0005-0000-0000-0000D9180000}"/>
    <cellStyle name="Normal 10 33 4 4" xfId="7183" xr:uid="{00000000-0005-0000-0000-0000DA180000}"/>
    <cellStyle name="Normal 10 33 4 5" xfId="7184" xr:uid="{00000000-0005-0000-0000-0000DB180000}"/>
    <cellStyle name="Normal 10 33 4 6" xfId="7185" xr:uid="{00000000-0005-0000-0000-0000DC180000}"/>
    <cellStyle name="Normal 10 33 5" xfId="7186" xr:uid="{00000000-0005-0000-0000-0000DD180000}"/>
    <cellStyle name="Normal 10 33 5 2" xfId="7187" xr:uid="{00000000-0005-0000-0000-0000DE180000}"/>
    <cellStyle name="Normal 10 33 5 3" xfId="7188" xr:uid="{00000000-0005-0000-0000-0000DF180000}"/>
    <cellStyle name="Normal 10 33 5 4" xfId="7189" xr:uid="{00000000-0005-0000-0000-0000E0180000}"/>
    <cellStyle name="Normal 10 33 5 5" xfId="7190" xr:uid="{00000000-0005-0000-0000-0000E1180000}"/>
    <cellStyle name="Normal 10 33 5 6" xfId="7191" xr:uid="{00000000-0005-0000-0000-0000E2180000}"/>
    <cellStyle name="Normal 10 33 6" xfId="7192" xr:uid="{00000000-0005-0000-0000-0000E3180000}"/>
    <cellStyle name="Normal 10 33 6 2" xfId="7193" xr:uid="{00000000-0005-0000-0000-0000E4180000}"/>
    <cellStyle name="Normal 10 33 6 3" xfId="7194" xr:uid="{00000000-0005-0000-0000-0000E5180000}"/>
    <cellStyle name="Normal 10 33 6 4" xfId="7195" xr:uid="{00000000-0005-0000-0000-0000E6180000}"/>
    <cellStyle name="Normal 10 33 6 5" xfId="7196" xr:uid="{00000000-0005-0000-0000-0000E7180000}"/>
    <cellStyle name="Normal 10 33 6 6" xfId="7197" xr:uid="{00000000-0005-0000-0000-0000E8180000}"/>
    <cellStyle name="Normal 10 33 7" xfId="7198" xr:uid="{00000000-0005-0000-0000-0000E9180000}"/>
    <cellStyle name="Normal 10 33 7 2" xfId="7199" xr:uid="{00000000-0005-0000-0000-0000EA180000}"/>
    <cellStyle name="Normal 10 33 7 3" xfId="7200" xr:uid="{00000000-0005-0000-0000-0000EB180000}"/>
    <cellStyle name="Normal 10 33 7 4" xfId="7201" xr:uid="{00000000-0005-0000-0000-0000EC180000}"/>
    <cellStyle name="Normal 10 33 7 5" xfId="7202" xr:uid="{00000000-0005-0000-0000-0000ED180000}"/>
    <cellStyle name="Normal 10 33 7 6" xfId="7203" xr:uid="{00000000-0005-0000-0000-0000EE180000}"/>
    <cellStyle name="Normal 10 33 8" xfId="7204" xr:uid="{00000000-0005-0000-0000-0000EF180000}"/>
    <cellStyle name="Normal 10 33 8 2" xfId="7205" xr:uid="{00000000-0005-0000-0000-0000F0180000}"/>
    <cellStyle name="Normal 10 33 8 3" xfId="7206" xr:uid="{00000000-0005-0000-0000-0000F1180000}"/>
    <cellStyle name="Normal 10 33 8 4" xfId="7207" xr:uid="{00000000-0005-0000-0000-0000F2180000}"/>
    <cellStyle name="Normal 10 33 8 5" xfId="7208" xr:uid="{00000000-0005-0000-0000-0000F3180000}"/>
    <cellStyle name="Normal 10 33 8 6" xfId="7209" xr:uid="{00000000-0005-0000-0000-0000F4180000}"/>
    <cellStyle name="Normal 10 33 9" xfId="7210" xr:uid="{00000000-0005-0000-0000-0000F5180000}"/>
    <cellStyle name="Normal 10 34" xfId="7211" xr:uid="{00000000-0005-0000-0000-0000F6180000}"/>
    <cellStyle name="Normal 10 34 2" xfId="7212" xr:uid="{00000000-0005-0000-0000-0000F7180000}"/>
    <cellStyle name="Normal 10 34 3" xfId="7213" xr:uid="{00000000-0005-0000-0000-0000F8180000}"/>
    <cellStyle name="Normal 10 34 4" xfId="7214" xr:uid="{00000000-0005-0000-0000-0000F9180000}"/>
    <cellStyle name="Normal 10 34 5" xfId="7215" xr:uid="{00000000-0005-0000-0000-0000FA180000}"/>
    <cellStyle name="Normal 10 34 6" xfId="7216" xr:uid="{00000000-0005-0000-0000-0000FB180000}"/>
    <cellStyle name="Normal 10 35" xfId="7217" xr:uid="{00000000-0005-0000-0000-0000FC180000}"/>
    <cellStyle name="Normal 10 35 2" xfId="7218" xr:uid="{00000000-0005-0000-0000-0000FD180000}"/>
    <cellStyle name="Normal 10 35 3" xfId="7219" xr:uid="{00000000-0005-0000-0000-0000FE180000}"/>
    <cellStyle name="Normal 10 35 4" xfId="7220" xr:uid="{00000000-0005-0000-0000-0000FF180000}"/>
    <cellStyle name="Normal 10 35 5" xfId="7221" xr:uid="{00000000-0005-0000-0000-000000190000}"/>
    <cellStyle name="Normal 10 35 6" xfId="7222" xr:uid="{00000000-0005-0000-0000-000001190000}"/>
    <cellStyle name="Normal 10 36" xfId="7223" xr:uid="{00000000-0005-0000-0000-000002190000}"/>
    <cellStyle name="Normal 10 36 2" xfId="7224" xr:uid="{00000000-0005-0000-0000-000003190000}"/>
    <cellStyle name="Normal 10 36 3" xfId="7225" xr:uid="{00000000-0005-0000-0000-000004190000}"/>
    <cellStyle name="Normal 10 36 4" xfId="7226" xr:uid="{00000000-0005-0000-0000-000005190000}"/>
    <cellStyle name="Normal 10 36 5" xfId="7227" xr:uid="{00000000-0005-0000-0000-000006190000}"/>
    <cellStyle name="Normal 10 36 6" xfId="7228" xr:uid="{00000000-0005-0000-0000-000007190000}"/>
    <cellStyle name="Normal 10 37" xfId="7229" xr:uid="{00000000-0005-0000-0000-000008190000}"/>
    <cellStyle name="Normal 10 37 2" xfId="7230" xr:uid="{00000000-0005-0000-0000-000009190000}"/>
    <cellStyle name="Normal 10 37 3" xfId="7231" xr:uid="{00000000-0005-0000-0000-00000A190000}"/>
    <cellStyle name="Normal 10 37 4" xfId="7232" xr:uid="{00000000-0005-0000-0000-00000B190000}"/>
    <cellStyle name="Normal 10 37 5" xfId="7233" xr:uid="{00000000-0005-0000-0000-00000C190000}"/>
    <cellStyle name="Normal 10 37 6" xfId="7234" xr:uid="{00000000-0005-0000-0000-00000D190000}"/>
    <cellStyle name="Normal 10 38" xfId="7235" xr:uid="{00000000-0005-0000-0000-00000E190000}"/>
    <cellStyle name="Normal 10 38 2" xfId="7236" xr:uid="{00000000-0005-0000-0000-00000F190000}"/>
    <cellStyle name="Normal 10 38 3" xfId="7237" xr:uid="{00000000-0005-0000-0000-000010190000}"/>
    <cellStyle name="Normal 10 38 4" xfId="7238" xr:uid="{00000000-0005-0000-0000-000011190000}"/>
    <cellStyle name="Normal 10 38 5" xfId="7239" xr:uid="{00000000-0005-0000-0000-000012190000}"/>
    <cellStyle name="Normal 10 38 6" xfId="7240" xr:uid="{00000000-0005-0000-0000-000013190000}"/>
    <cellStyle name="Normal 10 39" xfId="7241" xr:uid="{00000000-0005-0000-0000-000014190000}"/>
    <cellStyle name="Normal 10 39 2" xfId="7242" xr:uid="{00000000-0005-0000-0000-000015190000}"/>
    <cellStyle name="Normal 10 39 3" xfId="7243" xr:uid="{00000000-0005-0000-0000-000016190000}"/>
    <cellStyle name="Normal 10 39 4" xfId="7244" xr:uid="{00000000-0005-0000-0000-000017190000}"/>
    <cellStyle name="Normal 10 39 5" xfId="7245" xr:uid="{00000000-0005-0000-0000-000018190000}"/>
    <cellStyle name="Normal 10 39 6" xfId="7246" xr:uid="{00000000-0005-0000-0000-000019190000}"/>
    <cellStyle name="Normal 10 4" xfId="7247" xr:uid="{00000000-0005-0000-0000-00001A190000}"/>
    <cellStyle name="Normal 10 4 10" xfId="7248" xr:uid="{00000000-0005-0000-0000-00001B190000}"/>
    <cellStyle name="Normal 10 4 11" xfId="7249" xr:uid="{00000000-0005-0000-0000-00001C190000}"/>
    <cellStyle name="Normal 10 4 12" xfId="7250" xr:uid="{00000000-0005-0000-0000-00001D190000}"/>
    <cellStyle name="Normal 10 4 13" xfId="7251" xr:uid="{00000000-0005-0000-0000-00001E190000}"/>
    <cellStyle name="Normal 10 4 14" xfId="43505" xr:uid="{956AE1CE-17DE-48FC-B374-8BA1B02147FA}"/>
    <cellStyle name="Normal 10 4 2" xfId="7252" xr:uid="{00000000-0005-0000-0000-00001F190000}"/>
    <cellStyle name="Normal 10 4 2 2" xfId="7253" xr:uid="{00000000-0005-0000-0000-000020190000}"/>
    <cellStyle name="Normal 10 4 2 2 2" xfId="43755" xr:uid="{F9C03E9B-A82C-4326-9C1D-2EFF072FF2D7}"/>
    <cellStyle name="Normal 10 4 2 3" xfId="7254" xr:uid="{00000000-0005-0000-0000-000021190000}"/>
    <cellStyle name="Normal 10 4 2 3 2" xfId="43938" xr:uid="{D549224B-0610-46D6-B944-D590E8CD9562}"/>
    <cellStyle name="Normal 10 4 2 4" xfId="7255" xr:uid="{00000000-0005-0000-0000-000022190000}"/>
    <cellStyle name="Normal 10 4 2 5" xfId="7256" xr:uid="{00000000-0005-0000-0000-000023190000}"/>
    <cellStyle name="Normal 10 4 2 6" xfId="7257" xr:uid="{00000000-0005-0000-0000-000024190000}"/>
    <cellStyle name="Normal 10 4 2 7" xfId="43572" xr:uid="{109C7F6F-9774-4E11-9207-37FF0B105B8F}"/>
    <cellStyle name="Normal 10 4 3" xfId="7258" xr:uid="{00000000-0005-0000-0000-000025190000}"/>
    <cellStyle name="Normal 10 4 3 2" xfId="7259" xr:uid="{00000000-0005-0000-0000-000026190000}"/>
    <cellStyle name="Normal 10 4 3 3" xfId="7260" xr:uid="{00000000-0005-0000-0000-000027190000}"/>
    <cellStyle name="Normal 10 4 3 4" xfId="7261" xr:uid="{00000000-0005-0000-0000-000028190000}"/>
    <cellStyle name="Normal 10 4 3 5" xfId="7262" xr:uid="{00000000-0005-0000-0000-000029190000}"/>
    <cellStyle name="Normal 10 4 3 6" xfId="7263" xr:uid="{00000000-0005-0000-0000-00002A190000}"/>
    <cellStyle name="Normal 10 4 3 7" xfId="43688" xr:uid="{DBB193A1-D77E-42BC-B7EC-17B8ADA678C3}"/>
    <cellStyle name="Normal 10 4 4" xfId="7264" xr:uid="{00000000-0005-0000-0000-00002B190000}"/>
    <cellStyle name="Normal 10 4 4 2" xfId="7265" xr:uid="{00000000-0005-0000-0000-00002C190000}"/>
    <cellStyle name="Normal 10 4 4 3" xfId="7266" xr:uid="{00000000-0005-0000-0000-00002D190000}"/>
    <cellStyle name="Normal 10 4 4 4" xfId="7267" xr:uid="{00000000-0005-0000-0000-00002E190000}"/>
    <cellStyle name="Normal 10 4 4 5" xfId="7268" xr:uid="{00000000-0005-0000-0000-00002F190000}"/>
    <cellStyle name="Normal 10 4 4 6" xfId="7269" xr:uid="{00000000-0005-0000-0000-000030190000}"/>
    <cellStyle name="Normal 10 4 4 7" xfId="43871" xr:uid="{99DCA95A-939C-4FCD-9A5D-EA9FADE51E58}"/>
    <cellStyle name="Normal 10 4 5" xfId="7270" xr:uid="{00000000-0005-0000-0000-000031190000}"/>
    <cellStyle name="Normal 10 4 5 2" xfId="7271" xr:uid="{00000000-0005-0000-0000-000032190000}"/>
    <cellStyle name="Normal 10 4 5 3" xfId="7272" xr:uid="{00000000-0005-0000-0000-000033190000}"/>
    <cellStyle name="Normal 10 4 5 4" xfId="7273" xr:uid="{00000000-0005-0000-0000-000034190000}"/>
    <cellStyle name="Normal 10 4 5 5" xfId="7274" xr:uid="{00000000-0005-0000-0000-000035190000}"/>
    <cellStyle name="Normal 10 4 5 6" xfId="7275" xr:uid="{00000000-0005-0000-0000-000036190000}"/>
    <cellStyle name="Normal 10 4 6" xfId="7276" xr:uid="{00000000-0005-0000-0000-000037190000}"/>
    <cellStyle name="Normal 10 4 6 2" xfId="7277" xr:uid="{00000000-0005-0000-0000-000038190000}"/>
    <cellStyle name="Normal 10 4 6 3" xfId="7278" xr:uid="{00000000-0005-0000-0000-000039190000}"/>
    <cellStyle name="Normal 10 4 6 4" xfId="7279" xr:uid="{00000000-0005-0000-0000-00003A190000}"/>
    <cellStyle name="Normal 10 4 6 5" xfId="7280" xr:uid="{00000000-0005-0000-0000-00003B190000}"/>
    <cellStyle name="Normal 10 4 6 6" xfId="7281" xr:uid="{00000000-0005-0000-0000-00003C190000}"/>
    <cellStyle name="Normal 10 4 7" xfId="7282" xr:uid="{00000000-0005-0000-0000-00003D190000}"/>
    <cellStyle name="Normal 10 4 7 2" xfId="7283" xr:uid="{00000000-0005-0000-0000-00003E190000}"/>
    <cellStyle name="Normal 10 4 7 3" xfId="7284" xr:uid="{00000000-0005-0000-0000-00003F190000}"/>
    <cellStyle name="Normal 10 4 7 4" xfId="7285" xr:uid="{00000000-0005-0000-0000-000040190000}"/>
    <cellStyle name="Normal 10 4 7 5" xfId="7286" xr:uid="{00000000-0005-0000-0000-000041190000}"/>
    <cellStyle name="Normal 10 4 7 6" xfId="7287" xr:uid="{00000000-0005-0000-0000-000042190000}"/>
    <cellStyle name="Normal 10 4 8" xfId="7288" xr:uid="{00000000-0005-0000-0000-000043190000}"/>
    <cellStyle name="Normal 10 4 8 2" xfId="7289" xr:uid="{00000000-0005-0000-0000-000044190000}"/>
    <cellStyle name="Normal 10 4 8 3" xfId="7290" xr:uid="{00000000-0005-0000-0000-000045190000}"/>
    <cellStyle name="Normal 10 4 8 4" xfId="7291" xr:uid="{00000000-0005-0000-0000-000046190000}"/>
    <cellStyle name="Normal 10 4 8 5" xfId="7292" xr:uid="{00000000-0005-0000-0000-000047190000}"/>
    <cellStyle name="Normal 10 4 8 6" xfId="7293" xr:uid="{00000000-0005-0000-0000-000048190000}"/>
    <cellStyle name="Normal 10 4 9" xfId="7294" xr:uid="{00000000-0005-0000-0000-000049190000}"/>
    <cellStyle name="Normal 10 40" xfId="7295" xr:uid="{00000000-0005-0000-0000-00004A190000}"/>
    <cellStyle name="Normal 10 40 2" xfId="7296" xr:uid="{00000000-0005-0000-0000-00004B190000}"/>
    <cellStyle name="Normal 10 40 3" xfId="7297" xr:uid="{00000000-0005-0000-0000-00004C190000}"/>
    <cellStyle name="Normal 10 40 4" xfId="7298" xr:uid="{00000000-0005-0000-0000-00004D190000}"/>
    <cellStyle name="Normal 10 40 5" xfId="7299" xr:uid="{00000000-0005-0000-0000-00004E190000}"/>
    <cellStyle name="Normal 10 40 6" xfId="7300" xr:uid="{00000000-0005-0000-0000-00004F190000}"/>
    <cellStyle name="Normal 10 41" xfId="7301" xr:uid="{00000000-0005-0000-0000-000050190000}"/>
    <cellStyle name="Normal 10 42" xfId="7302" xr:uid="{00000000-0005-0000-0000-000051190000}"/>
    <cellStyle name="Normal 10 43" xfId="7303" xr:uid="{00000000-0005-0000-0000-000052190000}"/>
    <cellStyle name="Normal 10 44" xfId="7304" xr:uid="{00000000-0005-0000-0000-000053190000}"/>
    <cellStyle name="Normal 10 45" xfId="7305" xr:uid="{00000000-0005-0000-0000-000054190000}"/>
    <cellStyle name="Normal 10 46" xfId="7306" xr:uid="{00000000-0005-0000-0000-000055190000}"/>
    <cellStyle name="Normal 10 47" xfId="43443" xr:uid="{DA197D92-BD83-43DD-9250-D5B74CD48371}"/>
    <cellStyle name="Normal 10 5" xfId="7307" xr:uid="{00000000-0005-0000-0000-000056190000}"/>
    <cellStyle name="Normal 10 5 10" xfId="7308" xr:uid="{00000000-0005-0000-0000-000057190000}"/>
    <cellStyle name="Normal 10 5 11" xfId="7309" xr:uid="{00000000-0005-0000-0000-000058190000}"/>
    <cellStyle name="Normal 10 5 12" xfId="7310" xr:uid="{00000000-0005-0000-0000-000059190000}"/>
    <cellStyle name="Normal 10 5 13" xfId="7311" xr:uid="{00000000-0005-0000-0000-00005A190000}"/>
    <cellStyle name="Normal 10 5 14" xfId="43515" xr:uid="{58EDE69B-EBB2-45D4-9F36-4BB2A9A122E9}"/>
    <cellStyle name="Normal 10 5 2" xfId="7312" xr:uid="{00000000-0005-0000-0000-00005B190000}"/>
    <cellStyle name="Normal 10 5 2 2" xfId="7313" xr:uid="{00000000-0005-0000-0000-00005C190000}"/>
    <cellStyle name="Normal 10 5 2 3" xfId="7314" xr:uid="{00000000-0005-0000-0000-00005D190000}"/>
    <cellStyle name="Normal 10 5 2 4" xfId="7315" xr:uid="{00000000-0005-0000-0000-00005E190000}"/>
    <cellStyle name="Normal 10 5 2 5" xfId="7316" xr:uid="{00000000-0005-0000-0000-00005F190000}"/>
    <cellStyle name="Normal 10 5 2 6" xfId="7317" xr:uid="{00000000-0005-0000-0000-000060190000}"/>
    <cellStyle name="Normal 10 5 2 7" xfId="43698" xr:uid="{323148D1-65E9-4F0F-8FF2-26FBE439C216}"/>
    <cellStyle name="Normal 10 5 3" xfId="7318" xr:uid="{00000000-0005-0000-0000-000061190000}"/>
    <cellStyle name="Normal 10 5 3 2" xfId="7319" xr:uid="{00000000-0005-0000-0000-000062190000}"/>
    <cellStyle name="Normal 10 5 3 3" xfId="7320" xr:uid="{00000000-0005-0000-0000-000063190000}"/>
    <cellStyle name="Normal 10 5 3 4" xfId="7321" xr:uid="{00000000-0005-0000-0000-000064190000}"/>
    <cellStyle name="Normal 10 5 3 5" xfId="7322" xr:uid="{00000000-0005-0000-0000-000065190000}"/>
    <cellStyle name="Normal 10 5 3 6" xfId="7323" xr:uid="{00000000-0005-0000-0000-000066190000}"/>
    <cellStyle name="Normal 10 5 3 7" xfId="43881" xr:uid="{BF761DA6-ADEC-422C-BAE2-B2F53EC131B9}"/>
    <cellStyle name="Normal 10 5 4" xfId="7324" xr:uid="{00000000-0005-0000-0000-000067190000}"/>
    <cellStyle name="Normal 10 5 4 2" xfId="7325" xr:uid="{00000000-0005-0000-0000-000068190000}"/>
    <cellStyle name="Normal 10 5 4 3" xfId="7326" xr:uid="{00000000-0005-0000-0000-000069190000}"/>
    <cellStyle name="Normal 10 5 4 4" xfId="7327" xr:uid="{00000000-0005-0000-0000-00006A190000}"/>
    <cellStyle name="Normal 10 5 4 5" xfId="7328" xr:uid="{00000000-0005-0000-0000-00006B190000}"/>
    <cellStyle name="Normal 10 5 4 6" xfId="7329" xr:uid="{00000000-0005-0000-0000-00006C190000}"/>
    <cellStyle name="Normal 10 5 5" xfId="7330" xr:uid="{00000000-0005-0000-0000-00006D190000}"/>
    <cellStyle name="Normal 10 5 5 2" xfId="7331" xr:uid="{00000000-0005-0000-0000-00006E190000}"/>
    <cellStyle name="Normal 10 5 5 3" xfId="7332" xr:uid="{00000000-0005-0000-0000-00006F190000}"/>
    <cellStyle name="Normal 10 5 5 4" xfId="7333" xr:uid="{00000000-0005-0000-0000-000070190000}"/>
    <cellStyle name="Normal 10 5 5 5" xfId="7334" xr:uid="{00000000-0005-0000-0000-000071190000}"/>
    <cellStyle name="Normal 10 5 5 6" xfId="7335" xr:uid="{00000000-0005-0000-0000-000072190000}"/>
    <cellStyle name="Normal 10 5 6" xfId="7336" xr:uid="{00000000-0005-0000-0000-000073190000}"/>
    <cellStyle name="Normal 10 5 6 2" xfId="7337" xr:uid="{00000000-0005-0000-0000-000074190000}"/>
    <cellStyle name="Normal 10 5 6 3" xfId="7338" xr:uid="{00000000-0005-0000-0000-000075190000}"/>
    <cellStyle name="Normal 10 5 6 4" xfId="7339" xr:uid="{00000000-0005-0000-0000-000076190000}"/>
    <cellStyle name="Normal 10 5 6 5" xfId="7340" xr:uid="{00000000-0005-0000-0000-000077190000}"/>
    <cellStyle name="Normal 10 5 6 6" xfId="7341" xr:uid="{00000000-0005-0000-0000-000078190000}"/>
    <cellStyle name="Normal 10 5 7" xfId="7342" xr:uid="{00000000-0005-0000-0000-000079190000}"/>
    <cellStyle name="Normal 10 5 7 2" xfId="7343" xr:uid="{00000000-0005-0000-0000-00007A190000}"/>
    <cellStyle name="Normal 10 5 7 3" xfId="7344" xr:uid="{00000000-0005-0000-0000-00007B190000}"/>
    <cellStyle name="Normal 10 5 7 4" xfId="7345" xr:uid="{00000000-0005-0000-0000-00007C190000}"/>
    <cellStyle name="Normal 10 5 7 5" xfId="7346" xr:uid="{00000000-0005-0000-0000-00007D190000}"/>
    <cellStyle name="Normal 10 5 7 6" xfId="7347" xr:uid="{00000000-0005-0000-0000-00007E190000}"/>
    <cellStyle name="Normal 10 5 8" xfId="7348" xr:uid="{00000000-0005-0000-0000-00007F190000}"/>
    <cellStyle name="Normal 10 5 8 2" xfId="7349" xr:uid="{00000000-0005-0000-0000-000080190000}"/>
    <cellStyle name="Normal 10 5 8 3" xfId="7350" xr:uid="{00000000-0005-0000-0000-000081190000}"/>
    <cellStyle name="Normal 10 5 8 4" xfId="7351" xr:uid="{00000000-0005-0000-0000-000082190000}"/>
    <cellStyle name="Normal 10 5 8 5" xfId="7352" xr:uid="{00000000-0005-0000-0000-000083190000}"/>
    <cellStyle name="Normal 10 5 8 6" xfId="7353" xr:uid="{00000000-0005-0000-0000-000084190000}"/>
    <cellStyle name="Normal 10 5 9" xfId="7354" xr:uid="{00000000-0005-0000-0000-000085190000}"/>
    <cellStyle name="Normal 10 6" xfId="7355" xr:uid="{00000000-0005-0000-0000-000086190000}"/>
    <cellStyle name="Normal 10 6 10" xfId="7356" xr:uid="{00000000-0005-0000-0000-000087190000}"/>
    <cellStyle name="Normal 10 6 11" xfId="7357" xr:uid="{00000000-0005-0000-0000-000088190000}"/>
    <cellStyle name="Normal 10 6 12" xfId="7358" xr:uid="{00000000-0005-0000-0000-000089190000}"/>
    <cellStyle name="Normal 10 6 13" xfId="7359" xr:uid="{00000000-0005-0000-0000-00008A190000}"/>
    <cellStyle name="Normal 10 6 14" xfId="43582" xr:uid="{FBC52B76-F0E2-47A1-8E15-0ACA05D45C18}"/>
    <cellStyle name="Normal 10 6 2" xfId="7360" xr:uid="{00000000-0005-0000-0000-00008B190000}"/>
    <cellStyle name="Normal 10 6 2 2" xfId="7361" xr:uid="{00000000-0005-0000-0000-00008C190000}"/>
    <cellStyle name="Normal 10 6 2 3" xfId="7362" xr:uid="{00000000-0005-0000-0000-00008D190000}"/>
    <cellStyle name="Normal 10 6 2 4" xfId="7363" xr:uid="{00000000-0005-0000-0000-00008E190000}"/>
    <cellStyle name="Normal 10 6 2 5" xfId="7364" xr:uid="{00000000-0005-0000-0000-00008F190000}"/>
    <cellStyle name="Normal 10 6 2 6" xfId="7365" xr:uid="{00000000-0005-0000-0000-000090190000}"/>
    <cellStyle name="Normal 10 6 2 7" xfId="43765" xr:uid="{D3569E1C-2D46-4C6C-9EDD-2966A4535702}"/>
    <cellStyle name="Normal 10 6 3" xfId="7366" xr:uid="{00000000-0005-0000-0000-000091190000}"/>
    <cellStyle name="Normal 10 6 3 2" xfId="7367" xr:uid="{00000000-0005-0000-0000-000092190000}"/>
    <cellStyle name="Normal 10 6 3 3" xfId="7368" xr:uid="{00000000-0005-0000-0000-000093190000}"/>
    <cellStyle name="Normal 10 6 3 4" xfId="7369" xr:uid="{00000000-0005-0000-0000-000094190000}"/>
    <cellStyle name="Normal 10 6 3 5" xfId="7370" xr:uid="{00000000-0005-0000-0000-000095190000}"/>
    <cellStyle name="Normal 10 6 3 6" xfId="7371" xr:uid="{00000000-0005-0000-0000-000096190000}"/>
    <cellStyle name="Normal 10 6 3 7" xfId="43948" xr:uid="{BDB2B474-F77F-4FD5-9961-D2DB55603E92}"/>
    <cellStyle name="Normal 10 6 4" xfId="7372" xr:uid="{00000000-0005-0000-0000-000097190000}"/>
    <cellStyle name="Normal 10 6 4 2" xfId="7373" xr:uid="{00000000-0005-0000-0000-000098190000}"/>
    <cellStyle name="Normal 10 6 4 3" xfId="7374" xr:uid="{00000000-0005-0000-0000-000099190000}"/>
    <cellStyle name="Normal 10 6 4 4" xfId="7375" xr:uid="{00000000-0005-0000-0000-00009A190000}"/>
    <cellStyle name="Normal 10 6 4 5" xfId="7376" xr:uid="{00000000-0005-0000-0000-00009B190000}"/>
    <cellStyle name="Normal 10 6 4 6" xfId="7377" xr:uid="{00000000-0005-0000-0000-00009C190000}"/>
    <cellStyle name="Normal 10 6 5" xfId="7378" xr:uid="{00000000-0005-0000-0000-00009D190000}"/>
    <cellStyle name="Normal 10 6 5 2" xfId="7379" xr:uid="{00000000-0005-0000-0000-00009E190000}"/>
    <cellStyle name="Normal 10 6 5 3" xfId="7380" xr:uid="{00000000-0005-0000-0000-00009F190000}"/>
    <cellStyle name="Normal 10 6 5 4" xfId="7381" xr:uid="{00000000-0005-0000-0000-0000A0190000}"/>
    <cellStyle name="Normal 10 6 5 5" xfId="7382" xr:uid="{00000000-0005-0000-0000-0000A1190000}"/>
    <cellStyle name="Normal 10 6 5 6" xfId="7383" xr:uid="{00000000-0005-0000-0000-0000A2190000}"/>
    <cellStyle name="Normal 10 6 6" xfId="7384" xr:uid="{00000000-0005-0000-0000-0000A3190000}"/>
    <cellStyle name="Normal 10 6 6 2" xfId="7385" xr:uid="{00000000-0005-0000-0000-0000A4190000}"/>
    <cellStyle name="Normal 10 6 6 3" xfId="7386" xr:uid="{00000000-0005-0000-0000-0000A5190000}"/>
    <cellStyle name="Normal 10 6 6 4" xfId="7387" xr:uid="{00000000-0005-0000-0000-0000A6190000}"/>
    <cellStyle name="Normal 10 6 6 5" xfId="7388" xr:uid="{00000000-0005-0000-0000-0000A7190000}"/>
    <cellStyle name="Normal 10 6 6 6" xfId="7389" xr:uid="{00000000-0005-0000-0000-0000A8190000}"/>
    <cellStyle name="Normal 10 6 7" xfId="7390" xr:uid="{00000000-0005-0000-0000-0000A9190000}"/>
    <cellStyle name="Normal 10 6 7 2" xfId="7391" xr:uid="{00000000-0005-0000-0000-0000AA190000}"/>
    <cellStyle name="Normal 10 6 7 3" xfId="7392" xr:uid="{00000000-0005-0000-0000-0000AB190000}"/>
    <cellStyle name="Normal 10 6 7 4" xfId="7393" xr:uid="{00000000-0005-0000-0000-0000AC190000}"/>
    <cellStyle name="Normal 10 6 7 5" xfId="7394" xr:uid="{00000000-0005-0000-0000-0000AD190000}"/>
    <cellStyle name="Normal 10 6 7 6" xfId="7395" xr:uid="{00000000-0005-0000-0000-0000AE190000}"/>
    <cellStyle name="Normal 10 6 8" xfId="7396" xr:uid="{00000000-0005-0000-0000-0000AF190000}"/>
    <cellStyle name="Normal 10 6 8 2" xfId="7397" xr:uid="{00000000-0005-0000-0000-0000B0190000}"/>
    <cellStyle name="Normal 10 6 8 3" xfId="7398" xr:uid="{00000000-0005-0000-0000-0000B1190000}"/>
    <cellStyle name="Normal 10 6 8 4" xfId="7399" xr:uid="{00000000-0005-0000-0000-0000B2190000}"/>
    <cellStyle name="Normal 10 6 8 5" xfId="7400" xr:uid="{00000000-0005-0000-0000-0000B3190000}"/>
    <cellStyle name="Normal 10 6 8 6" xfId="7401" xr:uid="{00000000-0005-0000-0000-0000B4190000}"/>
    <cellStyle name="Normal 10 6 9" xfId="7402" xr:uid="{00000000-0005-0000-0000-0000B5190000}"/>
    <cellStyle name="Normal 10 7" xfId="7403" xr:uid="{00000000-0005-0000-0000-0000B6190000}"/>
    <cellStyle name="Normal 10 7 10" xfId="7404" xr:uid="{00000000-0005-0000-0000-0000B7190000}"/>
    <cellStyle name="Normal 10 7 11" xfId="7405" xr:uid="{00000000-0005-0000-0000-0000B8190000}"/>
    <cellStyle name="Normal 10 7 12" xfId="7406" xr:uid="{00000000-0005-0000-0000-0000B9190000}"/>
    <cellStyle name="Normal 10 7 13" xfId="7407" xr:uid="{00000000-0005-0000-0000-0000BA190000}"/>
    <cellStyle name="Normal 10 7 14" xfId="43641" xr:uid="{516BBDDF-6AA9-412B-9E20-E6210CC20FFC}"/>
    <cellStyle name="Normal 10 7 2" xfId="7408" xr:uid="{00000000-0005-0000-0000-0000BB190000}"/>
    <cellStyle name="Normal 10 7 2 2" xfId="7409" xr:uid="{00000000-0005-0000-0000-0000BC190000}"/>
    <cellStyle name="Normal 10 7 2 3" xfId="7410" xr:uid="{00000000-0005-0000-0000-0000BD190000}"/>
    <cellStyle name="Normal 10 7 2 4" xfId="7411" xr:uid="{00000000-0005-0000-0000-0000BE190000}"/>
    <cellStyle name="Normal 10 7 2 5" xfId="7412" xr:uid="{00000000-0005-0000-0000-0000BF190000}"/>
    <cellStyle name="Normal 10 7 2 6" xfId="7413" xr:uid="{00000000-0005-0000-0000-0000C0190000}"/>
    <cellStyle name="Normal 10 7 3" xfId="7414" xr:uid="{00000000-0005-0000-0000-0000C1190000}"/>
    <cellStyle name="Normal 10 7 3 2" xfId="7415" xr:uid="{00000000-0005-0000-0000-0000C2190000}"/>
    <cellStyle name="Normal 10 7 3 3" xfId="7416" xr:uid="{00000000-0005-0000-0000-0000C3190000}"/>
    <cellStyle name="Normal 10 7 3 4" xfId="7417" xr:uid="{00000000-0005-0000-0000-0000C4190000}"/>
    <cellStyle name="Normal 10 7 3 5" xfId="7418" xr:uid="{00000000-0005-0000-0000-0000C5190000}"/>
    <cellStyle name="Normal 10 7 3 6" xfId="7419" xr:uid="{00000000-0005-0000-0000-0000C6190000}"/>
    <cellStyle name="Normal 10 7 4" xfId="7420" xr:uid="{00000000-0005-0000-0000-0000C7190000}"/>
    <cellStyle name="Normal 10 7 4 2" xfId="7421" xr:uid="{00000000-0005-0000-0000-0000C8190000}"/>
    <cellStyle name="Normal 10 7 4 3" xfId="7422" xr:uid="{00000000-0005-0000-0000-0000C9190000}"/>
    <cellStyle name="Normal 10 7 4 4" xfId="7423" xr:uid="{00000000-0005-0000-0000-0000CA190000}"/>
    <cellStyle name="Normal 10 7 4 5" xfId="7424" xr:uid="{00000000-0005-0000-0000-0000CB190000}"/>
    <cellStyle name="Normal 10 7 4 6" xfId="7425" xr:uid="{00000000-0005-0000-0000-0000CC190000}"/>
    <cellStyle name="Normal 10 7 5" xfId="7426" xr:uid="{00000000-0005-0000-0000-0000CD190000}"/>
    <cellStyle name="Normal 10 7 5 2" xfId="7427" xr:uid="{00000000-0005-0000-0000-0000CE190000}"/>
    <cellStyle name="Normal 10 7 5 3" xfId="7428" xr:uid="{00000000-0005-0000-0000-0000CF190000}"/>
    <cellStyle name="Normal 10 7 5 4" xfId="7429" xr:uid="{00000000-0005-0000-0000-0000D0190000}"/>
    <cellStyle name="Normal 10 7 5 5" xfId="7430" xr:uid="{00000000-0005-0000-0000-0000D1190000}"/>
    <cellStyle name="Normal 10 7 5 6" xfId="7431" xr:uid="{00000000-0005-0000-0000-0000D2190000}"/>
    <cellStyle name="Normal 10 7 6" xfId="7432" xr:uid="{00000000-0005-0000-0000-0000D3190000}"/>
    <cellStyle name="Normal 10 7 6 2" xfId="7433" xr:uid="{00000000-0005-0000-0000-0000D4190000}"/>
    <cellStyle name="Normal 10 7 6 3" xfId="7434" xr:uid="{00000000-0005-0000-0000-0000D5190000}"/>
    <cellStyle name="Normal 10 7 6 4" xfId="7435" xr:uid="{00000000-0005-0000-0000-0000D6190000}"/>
    <cellStyle name="Normal 10 7 6 5" xfId="7436" xr:uid="{00000000-0005-0000-0000-0000D7190000}"/>
    <cellStyle name="Normal 10 7 6 6" xfId="7437" xr:uid="{00000000-0005-0000-0000-0000D8190000}"/>
    <cellStyle name="Normal 10 7 7" xfId="7438" xr:uid="{00000000-0005-0000-0000-0000D9190000}"/>
    <cellStyle name="Normal 10 7 7 2" xfId="7439" xr:uid="{00000000-0005-0000-0000-0000DA190000}"/>
    <cellStyle name="Normal 10 7 7 3" xfId="7440" xr:uid="{00000000-0005-0000-0000-0000DB190000}"/>
    <cellStyle name="Normal 10 7 7 4" xfId="7441" xr:uid="{00000000-0005-0000-0000-0000DC190000}"/>
    <cellStyle name="Normal 10 7 7 5" xfId="7442" xr:uid="{00000000-0005-0000-0000-0000DD190000}"/>
    <cellStyle name="Normal 10 7 7 6" xfId="7443" xr:uid="{00000000-0005-0000-0000-0000DE190000}"/>
    <cellStyle name="Normal 10 7 8" xfId="7444" xr:uid="{00000000-0005-0000-0000-0000DF190000}"/>
    <cellStyle name="Normal 10 7 8 2" xfId="7445" xr:uid="{00000000-0005-0000-0000-0000E0190000}"/>
    <cellStyle name="Normal 10 7 8 3" xfId="7446" xr:uid="{00000000-0005-0000-0000-0000E1190000}"/>
    <cellStyle name="Normal 10 7 8 4" xfId="7447" xr:uid="{00000000-0005-0000-0000-0000E2190000}"/>
    <cellStyle name="Normal 10 7 8 5" xfId="7448" xr:uid="{00000000-0005-0000-0000-0000E3190000}"/>
    <cellStyle name="Normal 10 7 8 6" xfId="7449" xr:uid="{00000000-0005-0000-0000-0000E4190000}"/>
    <cellStyle name="Normal 10 7 9" xfId="7450" xr:uid="{00000000-0005-0000-0000-0000E5190000}"/>
    <cellStyle name="Normal 10 8" xfId="7451" xr:uid="{00000000-0005-0000-0000-0000E6190000}"/>
    <cellStyle name="Normal 10 8 10" xfId="7452" xr:uid="{00000000-0005-0000-0000-0000E7190000}"/>
    <cellStyle name="Normal 10 8 11" xfId="7453" xr:uid="{00000000-0005-0000-0000-0000E8190000}"/>
    <cellStyle name="Normal 10 8 12" xfId="7454" xr:uid="{00000000-0005-0000-0000-0000E9190000}"/>
    <cellStyle name="Normal 10 8 13" xfId="7455" xr:uid="{00000000-0005-0000-0000-0000EA190000}"/>
    <cellStyle name="Normal 10 8 14" xfId="43824" xr:uid="{860B42A5-3E46-4DD2-A884-7D49C0087BE5}"/>
    <cellStyle name="Normal 10 8 2" xfId="7456" xr:uid="{00000000-0005-0000-0000-0000EB190000}"/>
    <cellStyle name="Normal 10 8 2 2" xfId="7457" xr:uid="{00000000-0005-0000-0000-0000EC190000}"/>
    <cellStyle name="Normal 10 8 2 3" xfId="7458" xr:uid="{00000000-0005-0000-0000-0000ED190000}"/>
    <cellStyle name="Normal 10 8 2 4" xfId="7459" xr:uid="{00000000-0005-0000-0000-0000EE190000}"/>
    <cellStyle name="Normal 10 8 2 5" xfId="7460" xr:uid="{00000000-0005-0000-0000-0000EF190000}"/>
    <cellStyle name="Normal 10 8 2 6" xfId="7461" xr:uid="{00000000-0005-0000-0000-0000F0190000}"/>
    <cellStyle name="Normal 10 8 3" xfId="7462" xr:uid="{00000000-0005-0000-0000-0000F1190000}"/>
    <cellStyle name="Normal 10 8 3 2" xfId="7463" xr:uid="{00000000-0005-0000-0000-0000F2190000}"/>
    <cellStyle name="Normal 10 8 3 3" xfId="7464" xr:uid="{00000000-0005-0000-0000-0000F3190000}"/>
    <cellStyle name="Normal 10 8 3 4" xfId="7465" xr:uid="{00000000-0005-0000-0000-0000F4190000}"/>
    <cellStyle name="Normal 10 8 3 5" xfId="7466" xr:uid="{00000000-0005-0000-0000-0000F5190000}"/>
    <cellStyle name="Normal 10 8 3 6" xfId="7467" xr:uid="{00000000-0005-0000-0000-0000F6190000}"/>
    <cellStyle name="Normal 10 8 4" xfId="7468" xr:uid="{00000000-0005-0000-0000-0000F7190000}"/>
    <cellStyle name="Normal 10 8 4 2" xfId="7469" xr:uid="{00000000-0005-0000-0000-0000F8190000}"/>
    <cellStyle name="Normal 10 8 4 3" xfId="7470" xr:uid="{00000000-0005-0000-0000-0000F9190000}"/>
    <cellStyle name="Normal 10 8 4 4" xfId="7471" xr:uid="{00000000-0005-0000-0000-0000FA190000}"/>
    <cellStyle name="Normal 10 8 4 5" xfId="7472" xr:uid="{00000000-0005-0000-0000-0000FB190000}"/>
    <cellStyle name="Normal 10 8 4 6" xfId="7473" xr:uid="{00000000-0005-0000-0000-0000FC190000}"/>
    <cellStyle name="Normal 10 8 5" xfId="7474" xr:uid="{00000000-0005-0000-0000-0000FD190000}"/>
    <cellStyle name="Normal 10 8 5 2" xfId="7475" xr:uid="{00000000-0005-0000-0000-0000FE190000}"/>
    <cellStyle name="Normal 10 8 5 3" xfId="7476" xr:uid="{00000000-0005-0000-0000-0000FF190000}"/>
    <cellStyle name="Normal 10 8 5 4" xfId="7477" xr:uid="{00000000-0005-0000-0000-0000001A0000}"/>
    <cellStyle name="Normal 10 8 5 5" xfId="7478" xr:uid="{00000000-0005-0000-0000-0000011A0000}"/>
    <cellStyle name="Normal 10 8 5 6" xfId="7479" xr:uid="{00000000-0005-0000-0000-0000021A0000}"/>
    <cellStyle name="Normal 10 8 6" xfId="7480" xr:uid="{00000000-0005-0000-0000-0000031A0000}"/>
    <cellStyle name="Normal 10 8 6 2" xfId="7481" xr:uid="{00000000-0005-0000-0000-0000041A0000}"/>
    <cellStyle name="Normal 10 8 6 3" xfId="7482" xr:uid="{00000000-0005-0000-0000-0000051A0000}"/>
    <cellStyle name="Normal 10 8 6 4" xfId="7483" xr:uid="{00000000-0005-0000-0000-0000061A0000}"/>
    <cellStyle name="Normal 10 8 6 5" xfId="7484" xr:uid="{00000000-0005-0000-0000-0000071A0000}"/>
    <cellStyle name="Normal 10 8 6 6" xfId="7485" xr:uid="{00000000-0005-0000-0000-0000081A0000}"/>
    <cellStyle name="Normal 10 8 7" xfId="7486" xr:uid="{00000000-0005-0000-0000-0000091A0000}"/>
    <cellStyle name="Normal 10 8 7 2" xfId="7487" xr:uid="{00000000-0005-0000-0000-00000A1A0000}"/>
    <cellStyle name="Normal 10 8 7 3" xfId="7488" xr:uid="{00000000-0005-0000-0000-00000B1A0000}"/>
    <cellStyle name="Normal 10 8 7 4" xfId="7489" xr:uid="{00000000-0005-0000-0000-00000C1A0000}"/>
    <cellStyle name="Normal 10 8 7 5" xfId="7490" xr:uid="{00000000-0005-0000-0000-00000D1A0000}"/>
    <cellStyle name="Normal 10 8 7 6" xfId="7491" xr:uid="{00000000-0005-0000-0000-00000E1A0000}"/>
    <cellStyle name="Normal 10 8 8" xfId="7492" xr:uid="{00000000-0005-0000-0000-00000F1A0000}"/>
    <cellStyle name="Normal 10 8 8 2" xfId="7493" xr:uid="{00000000-0005-0000-0000-0000101A0000}"/>
    <cellStyle name="Normal 10 8 8 3" xfId="7494" xr:uid="{00000000-0005-0000-0000-0000111A0000}"/>
    <cellStyle name="Normal 10 8 8 4" xfId="7495" xr:uid="{00000000-0005-0000-0000-0000121A0000}"/>
    <cellStyle name="Normal 10 8 8 5" xfId="7496" xr:uid="{00000000-0005-0000-0000-0000131A0000}"/>
    <cellStyle name="Normal 10 8 8 6" xfId="7497" xr:uid="{00000000-0005-0000-0000-0000141A0000}"/>
    <cellStyle name="Normal 10 8 9" xfId="7498" xr:uid="{00000000-0005-0000-0000-0000151A0000}"/>
    <cellStyle name="Normal 10 9" xfId="7499" xr:uid="{00000000-0005-0000-0000-0000161A0000}"/>
    <cellStyle name="Normal 10 9 10" xfId="7500" xr:uid="{00000000-0005-0000-0000-0000171A0000}"/>
    <cellStyle name="Normal 10 9 11" xfId="7501" xr:uid="{00000000-0005-0000-0000-0000181A0000}"/>
    <cellStyle name="Normal 10 9 12" xfId="7502" xr:uid="{00000000-0005-0000-0000-0000191A0000}"/>
    <cellStyle name="Normal 10 9 13" xfId="7503" xr:uid="{00000000-0005-0000-0000-00001A1A0000}"/>
    <cellStyle name="Normal 10 9 2" xfId="7504" xr:uid="{00000000-0005-0000-0000-00001B1A0000}"/>
    <cellStyle name="Normal 10 9 2 2" xfId="7505" xr:uid="{00000000-0005-0000-0000-00001C1A0000}"/>
    <cellStyle name="Normal 10 9 2 3" xfId="7506" xr:uid="{00000000-0005-0000-0000-00001D1A0000}"/>
    <cellStyle name="Normal 10 9 2 4" xfId="7507" xr:uid="{00000000-0005-0000-0000-00001E1A0000}"/>
    <cellStyle name="Normal 10 9 2 5" xfId="7508" xr:uid="{00000000-0005-0000-0000-00001F1A0000}"/>
    <cellStyle name="Normal 10 9 2 6" xfId="7509" xr:uid="{00000000-0005-0000-0000-0000201A0000}"/>
    <cellStyle name="Normal 10 9 3" xfId="7510" xr:uid="{00000000-0005-0000-0000-0000211A0000}"/>
    <cellStyle name="Normal 10 9 3 2" xfId="7511" xr:uid="{00000000-0005-0000-0000-0000221A0000}"/>
    <cellStyle name="Normal 10 9 3 3" xfId="7512" xr:uid="{00000000-0005-0000-0000-0000231A0000}"/>
    <cellStyle name="Normal 10 9 3 4" xfId="7513" xr:uid="{00000000-0005-0000-0000-0000241A0000}"/>
    <cellStyle name="Normal 10 9 3 5" xfId="7514" xr:uid="{00000000-0005-0000-0000-0000251A0000}"/>
    <cellStyle name="Normal 10 9 3 6" xfId="7515" xr:uid="{00000000-0005-0000-0000-0000261A0000}"/>
    <cellStyle name="Normal 10 9 4" xfId="7516" xr:uid="{00000000-0005-0000-0000-0000271A0000}"/>
    <cellStyle name="Normal 10 9 4 2" xfId="7517" xr:uid="{00000000-0005-0000-0000-0000281A0000}"/>
    <cellStyle name="Normal 10 9 4 3" xfId="7518" xr:uid="{00000000-0005-0000-0000-0000291A0000}"/>
    <cellStyle name="Normal 10 9 4 4" xfId="7519" xr:uid="{00000000-0005-0000-0000-00002A1A0000}"/>
    <cellStyle name="Normal 10 9 4 5" xfId="7520" xr:uid="{00000000-0005-0000-0000-00002B1A0000}"/>
    <cellStyle name="Normal 10 9 4 6" xfId="7521" xr:uid="{00000000-0005-0000-0000-00002C1A0000}"/>
    <cellStyle name="Normal 10 9 5" xfId="7522" xr:uid="{00000000-0005-0000-0000-00002D1A0000}"/>
    <cellStyle name="Normal 10 9 5 2" xfId="7523" xr:uid="{00000000-0005-0000-0000-00002E1A0000}"/>
    <cellStyle name="Normal 10 9 5 3" xfId="7524" xr:uid="{00000000-0005-0000-0000-00002F1A0000}"/>
    <cellStyle name="Normal 10 9 5 4" xfId="7525" xr:uid="{00000000-0005-0000-0000-0000301A0000}"/>
    <cellStyle name="Normal 10 9 5 5" xfId="7526" xr:uid="{00000000-0005-0000-0000-0000311A0000}"/>
    <cellStyle name="Normal 10 9 5 6" xfId="7527" xr:uid="{00000000-0005-0000-0000-0000321A0000}"/>
    <cellStyle name="Normal 10 9 6" xfId="7528" xr:uid="{00000000-0005-0000-0000-0000331A0000}"/>
    <cellStyle name="Normal 10 9 6 2" xfId="7529" xr:uid="{00000000-0005-0000-0000-0000341A0000}"/>
    <cellStyle name="Normal 10 9 6 3" xfId="7530" xr:uid="{00000000-0005-0000-0000-0000351A0000}"/>
    <cellStyle name="Normal 10 9 6 4" xfId="7531" xr:uid="{00000000-0005-0000-0000-0000361A0000}"/>
    <cellStyle name="Normal 10 9 6 5" xfId="7532" xr:uid="{00000000-0005-0000-0000-0000371A0000}"/>
    <cellStyle name="Normal 10 9 6 6" xfId="7533" xr:uid="{00000000-0005-0000-0000-0000381A0000}"/>
    <cellStyle name="Normal 10 9 7" xfId="7534" xr:uid="{00000000-0005-0000-0000-0000391A0000}"/>
    <cellStyle name="Normal 10 9 7 2" xfId="7535" xr:uid="{00000000-0005-0000-0000-00003A1A0000}"/>
    <cellStyle name="Normal 10 9 7 3" xfId="7536" xr:uid="{00000000-0005-0000-0000-00003B1A0000}"/>
    <cellStyle name="Normal 10 9 7 4" xfId="7537" xr:uid="{00000000-0005-0000-0000-00003C1A0000}"/>
    <cellStyle name="Normal 10 9 7 5" xfId="7538" xr:uid="{00000000-0005-0000-0000-00003D1A0000}"/>
    <cellStyle name="Normal 10 9 7 6" xfId="7539" xr:uid="{00000000-0005-0000-0000-00003E1A0000}"/>
    <cellStyle name="Normal 10 9 8" xfId="7540" xr:uid="{00000000-0005-0000-0000-00003F1A0000}"/>
    <cellStyle name="Normal 10 9 8 2" xfId="7541" xr:uid="{00000000-0005-0000-0000-0000401A0000}"/>
    <cellStyle name="Normal 10 9 8 3" xfId="7542" xr:uid="{00000000-0005-0000-0000-0000411A0000}"/>
    <cellStyle name="Normal 10 9 8 4" xfId="7543" xr:uid="{00000000-0005-0000-0000-0000421A0000}"/>
    <cellStyle name="Normal 10 9 8 5" xfId="7544" xr:uid="{00000000-0005-0000-0000-0000431A0000}"/>
    <cellStyle name="Normal 10 9 8 6" xfId="7545" xr:uid="{00000000-0005-0000-0000-0000441A0000}"/>
    <cellStyle name="Normal 10 9 9" xfId="7546" xr:uid="{00000000-0005-0000-0000-0000451A0000}"/>
    <cellStyle name="Normal 100" xfId="7547" xr:uid="{00000000-0005-0000-0000-0000461A0000}"/>
    <cellStyle name="Normal 101" xfId="7548" xr:uid="{00000000-0005-0000-0000-0000471A0000}"/>
    <cellStyle name="Normal 102" xfId="7549" xr:uid="{00000000-0005-0000-0000-0000481A0000}"/>
    <cellStyle name="Normal 103" xfId="7550" xr:uid="{00000000-0005-0000-0000-0000491A0000}"/>
    <cellStyle name="Normal 104" xfId="7551" xr:uid="{00000000-0005-0000-0000-00004A1A0000}"/>
    <cellStyle name="Normal 105" xfId="7552" xr:uid="{00000000-0005-0000-0000-00004B1A0000}"/>
    <cellStyle name="Normal 106" xfId="7553" xr:uid="{00000000-0005-0000-0000-00004C1A0000}"/>
    <cellStyle name="Normal 107" xfId="7554" xr:uid="{00000000-0005-0000-0000-00004D1A0000}"/>
    <cellStyle name="Normal 108" xfId="7555" xr:uid="{00000000-0005-0000-0000-00004E1A0000}"/>
    <cellStyle name="Normal 109" xfId="7556" xr:uid="{00000000-0005-0000-0000-00004F1A0000}"/>
    <cellStyle name="Normal 11" xfId="825" xr:uid="{00000000-0005-0000-0000-0000501A0000}"/>
    <cellStyle name="Normal 11 10" xfId="7557" xr:uid="{00000000-0005-0000-0000-0000511A0000}"/>
    <cellStyle name="Normal 11 10 10" xfId="7558" xr:uid="{00000000-0005-0000-0000-0000521A0000}"/>
    <cellStyle name="Normal 11 10 11" xfId="7559" xr:uid="{00000000-0005-0000-0000-0000531A0000}"/>
    <cellStyle name="Normal 11 10 12" xfId="7560" xr:uid="{00000000-0005-0000-0000-0000541A0000}"/>
    <cellStyle name="Normal 11 10 13" xfId="7561" xr:uid="{00000000-0005-0000-0000-0000551A0000}"/>
    <cellStyle name="Normal 11 10 14" xfId="7562" xr:uid="{00000000-0005-0000-0000-0000561A0000}"/>
    <cellStyle name="Normal 11 10 15" xfId="7563" xr:uid="{00000000-0005-0000-0000-0000571A0000}"/>
    <cellStyle name="Normal 11 10 16" xfId="7564" xr:uid="{00000000-0005-0000-0000-0000581A0000}"/>
    <cellStyle name="Normal 11 10 17" xfId="7565" xr:uid="{00000000-0005-0000-0000-0000591A0000}"/>
    <cellStyle name="Normal 11 10 18" xfId="7566" xr:uid="{00000000-0005-0000-0000-00005A1A0000}"/>
    <cellStyle name="Normal 11 10 19" xfId="7567" xr:uid="{00000000-0005-0000-0000-00005B1A0000}"/>
    <cellStyle name="Normal 11 10 2" xfId="7568" xr:uid="{00000000-0005-0000-0000-00005C1A0000}"/>
    <cellStyle name="Normal 11 10 2 2" xfId="7569" xr:uid="{00000000-0005-0000-0000-00005D1A0000}"/>
    <cellStyle name="Normal 11 10 2 3" xfId="7570" xr:uid="{00000000-0005-0000-0000-00005E1A0000}"/>
    <cellStyle name="Normal 11 10 2 4" xfId="7571" xr:uid="{00000000-0005-0000-0000-00005F1A0000}"/>
    <cellStyle name="Normal 11 10 20" xfId="7572" xr:uid="{00000000-0005-0000-0000-0000601A0000}"/>
    <cellStyle name="Normal 11 10 21" xfId="7573" xr:uid="{00000000-0005-0000-0000-0000611A0000}"/>
    <cellStyle name="Normal 11 10 22" xfId="7574" xr:uid="{00000000-0005-0000-0000-0000621A0000}"/>
    <cellStyle name="Normal 11 10 23" xfId="7575" xr:uid="{00000000-0005-0000-0000-0000631A0000}"/>
    <cellStyle name="Normal 11 10 24" xfId="7576" xr:uid="{00000000-0005-0000-0000-0000641A0000}"/>
    <cellStyle name="Normal 11 10 25" xfId="7577" xr:uid="{00000000-0005-0000-0000-0000651A0000}"/>
    <cellStyle name="Normal 11 10 26" xfId="7578" xr:uid="{00000000-0005-0000-0000-0000661A0000}"/>
    <cellStyle name="Normal 11 10 27" xfId="7579" xr:uid="{00000000-0005-0000-0000-0000671A0000}"/>
    <cellStyle name="Normal 11 10 28" xfId="7580" xr:uid="{00000000-0005-0000-0000-0000681A0000}"/>
    <cellStyle name="Normal 11 10 29" xfId="7581" xr:uid="{00000000-0005-0000-0000-0000691A0000}"/>
    <cellStyle name="Normal 11 10 3" xfId="7582" xr:uid="{00000000-0005-0000-0000-00006A1A0000}"/>
    <cellStyle name="Normal 11 10 3 2" xfId="7583" xr:uid="{00000000-0005-0000-0000-00006B1A0000}"/>
    <cellStyle name="Normal 11 10 3 3" xfId="7584" xr:uid="{00000000-0005-0000-0000-00006C1A0000}"/>
    <cellStyle name="Normal 11 10 3 4" xfId="7585" xr:uid="{00000000-0005-0000-0000-00006D1A0000}"/>
    <cellStyle name="Normal 11 10 30" xfId="7586" xr:uid="{00000000-0005-0000-0000-00006E1A0000}"/>
    <cellStyle name="Normal 11 10 31" xfId="7587" xr:uid="{00000000-0005-0000-0000-00006F1A0000}"/>
    <cellStyle name="Normal 11 10 32" xfId="7588" xr:uid="{00000000-0005-0000-0000-0000701A0000}"/>
    <cellStyle name="Normal 11 10 33" xfId="7589" xr:uid="{00000000-0005-0000-0000-0000711A0000}"/>
    <cellStyle name="Normal 11 10 34" xfId="7590" xr:uid="{00000000-0005-0000-0000-0000721A0000}"/>
    <cellStyle name="Normal 11 10 35" xfId="7591" xr:uid="{00000000-0005-0000-0000-0000731A0000}"/>
    <cellStyle name="Normal 11 10 36" xfId="7592" xr:uid="{00000000-0005-0000-0000-0000741A0000}"/>
    <cellStyle name="Normal 11 10 37" xfId="7593" xr:uid="{00000000-0005-0000-0000-0000751A0000}"/>
    <cellStyle name="Normal 11 10 38" xfId="7594" xr:uid="{00000000-0005-0000-0000-0000761A0000}"/>
    <cellStyle name="Normal 11 10 39" xfId="7595" xr:uid="{00000000-0005-0000-0000-0000771A0000}"/>
    <cellStyle name="Normal 11 10 4" xfId="7596" xr:uid="{00000000-0005-0000-0000-0000781A0000}"/>
    <cellStyle name="Normal 11 10 40" xfId="7597" xr:uid="{00000000-0005-0000-0000-0000791A0000}"/>
    <cellStyle name="Normal 11 10 41" xfId="7598" xr:uid="{00000000-0005-0000-0000-00007A1A0000}"/>
    <cellStyle name="Normal 11 10 42" xfId="7599" xr:uid="{00000000-0005-0000-0000-00007B1A0000}"/>
    <cellStyle name="Normal 11 10 43" xfId="7600" xr:uid="{00000000-0005-0000-0000-00007C1A0000}"/>
    <cellStyle name="Normal 11 10 44" xfId="7601" xr:uid="{00000000-0005-0000-0000-00007D1A0000}"/>
    <cellStyle name="Normal 11 10 45" xfId="7602" xr:uid="{00000000-0005-0000-0000-00007E1A0000}"/>
    <cellStyle name="Normal 11 10 46" xfId="7603" xr:uid="{00000000-0005-0000-0000-00007F1A0000}"/>
    <cellStyle name="Normal 11 10 47" xfId="7604" xr:uid="{00000000-0005-0000-0000-0000801A0000}"/>
    <cellStyle name="Normal 11 10 48" xfId="7605" xr:uid="{00000000-0005-0000-0000-0000811A0000}"/>
    <cellStyle name="Normal 11 10 49" xfId="7606" xr:uid="{00000000-0005-0000-0000-0000821A0000}"/>
    <cellStyle name="Normal 11 10 5" xfId="7607" xr:uid="{00000000-0005-0000-0000-0000831A0000}"/>
    <cellStyle name="Normal 11 10 50" xfId="7608" xr:uid="{00000000-0005-0000-0000-0000841A0000}"/>
    <cellStyle name="Normal 11 10 51" xfId="7609" xr:uid="{00000000-0005-0000-0000-0000851A0000}"/>
    <cellStyle name="Normal 11 10 52" xfId="7610" xr:uid="{00000000-0005-0000-0000-0000861A0000}"/>
    <cellStyle name="Normal 11 10 6" xfId="7611" xr:uid="{00000000-0005-0000-0000-0000871A0000}"/>
    <cellStyle name="Normal 11 10 7" xfId="7612" xr:uid="{00000000-0005-0000-0000-0000881A0000}"/>
    <cellStyle name="Normal 11 10 8" xfId="7613" xr:uid="{00000000-0005-0000-0000-0000891A0000}"/>
    <cellStyle name="Normal 11 10 9" xfId="7614" xr:uid="{00000000-0005-0000-0000-00008A1A0000}"/>
    <cellStyle name="Normal 11 11" xfId="7615" xr:uid="{00000000-0005-0000-0000-00008B1A0000}"/>
    <cellStyle name="Normal 11 11 10" xfId="7616" xr:uid="{00000000-0005-0000-0000-00008C1A0000}"/>
    <cellStyle name="Normal 11 11 11" xfId="7617" xr:uid="{00000000-0005-0000-0000-00008D1A0000}"/>
    <cellStyle name="Normal 11 11 12" xfId="7618" xr:uid="{00000000-0005-0000-0000-00008E1A0000}"/>
    <cellStyle name="Normal 11 11 13" xfId="7619" xr:uid="{00000000-0005-0000-0000-00008F1A0000}"/>
    <cellStyle name="Normal 11 11 14" xfId="7620" xr:uid="{00000000-0005-0000-0000-0000901A0000}"/>
    <cellStyle name="Normal 11 11 15" xfId="7621" xr:uid="{00000000-0005-0000-0000-0000911A0000}"/>
    <cellStyle name="Normal 11 11 16" xfId="7622" xr:uid="{00000000-0005-0000-0000-0000921A0000}"/>
    <cellStyle name="Normal 11 11 17" xfId="7623" xr:uid="{00000000-0005-0000-0000-0000931A0000}"/>
    <cellStyle name="Normal 11 11 18" xfId="7624" xr:uid="{00000000-0005-0000-0000-0000941A0000}"/>
    <cellStyle name="Normal 11 11 19" xfId="7625" xr:uid="{00000000-0005-0000-0000-0000951A0000}"/>
    <cellStyle name="Normal 11 11 2" xfId="7626" xr:uid="{00000000-0005-0000-0000-0000961A0000}"/>
    <cellStyle name="Normal 11 11 2 2" xfId="7627" xr:uid="{00000000-0005-0000-0000-0000971A0000}"/>
    <cellStyle name="Normal 11 11 2 3" xfId="7628" xr:uid="{00000000-0005-0000-0000-0000981A0000}"/>
    <cellStyle name="Normal 11 11 2 4" xfId="7629" xr:uid="{00000000-0005-0000-0000-0000991A0000}"/>
    <cellStyle name="Normal 11 11 20" xfId="7630" xr:uid="{00000000-0005-0000-0000-00009A1A0000}"/>
    <cellStyle name="Normal 11 11 21" xfId="7631" xr:uid="{00000000-0005-0000-0000-00009B1A0000}"/>
    <cellStyle name="Normal 11 11 22" xfId="7632" xr:uid="{00000000-0005-0000-0000-00009C1A0000}"/>
    <cellStyle name="Normal 11 11 23" xfId="7633" xr:uid="{00000000-0005-0000-0000-00009D1A0000}"/>
    <cellStyle name="Normal 11 11 24" xfId="7634" xr:uid="{00000000-0005-0000-0000-00009E1A0000}"/>
    <cellStyle name="Normal 11 11 25" xfId="7635" xr:uid="{00000000-0005-0000-0000-00009F1A0000}"/>
    <cellStyle name="Normal 11 11 26" xfId="7636" xr:uid="{00000000-0005-0000-0000-0000A01A0000}"/>
    <cellStyle name="Normal 11 11 27" xfId="7637" xr:uid="{00000000-0005-0000-0000-0000A11A0000}"/>
    <cellStyle name="Normal 11 11 28" xfId="7638" xr:uid="{00000000-0005-0000-0000-0000A21A0000}"/>
    <cellStyle name="Normal 11 11 29" xfId="7639" xr:uid="{00000000-0005-0000-0000-0000A31A0000}"/>
    <cellStyle name="Normal 11 11 3" xfId="7640" xr:uid="{00000000-0005-0000-0000-0000A41A0000}"/>
    <cellStyle name="Normal 11 11 3 2" xfId="7641" xr:uid="{00000000-0005-0000-0000-0000A51A0000}"/>
    <cellStyle name="Normal 11 11 3 3" xfId="7642" xr:uid="{00000000-0005-0000-0000-0000A61A0000}"/>
    <cellStyle name="Normal 11 11 3 4" xfId="7643" xr:uid="{00000000-0005-0000-0000-0000A71A0000}"/>
    <cellStyle name="Normal 11 11 30" xfId="7644" xr:uid="{00000000-0005-0000-0000-0000A81A0000}"/>
    <cellStyle name="Normal 11 11 31" xfId="7645" xr:uid="{00000000-0005-0000-0000-0000A91A0000}"/>
    <cellStyle name="Normal 11 11 32" xfId="7646" xr:uid="{00000000-0005-0000-0000-0000AA1A0000}"/>
    <cellStyle name="Normal 11 11 33" xfId="7647" xr:uid="{00000000-0005-0000-0000-0000AB1A0000}"/>
    <cellStyle name="Normal 11 11 34" xfId="7648" xr:uid="{00000000-0005-0000-0000-0000AC1A0000}"/>
    <cellStyle name="Normal 11 11 35" xfId="7649" xr:uid="{00000000-0005-0000-0000-0000AD1A0000}"/>
    <cellStyle name="Normal 11 11 36" xfId="7650" xr:uid="{00000000-0005-0000-0000-0000AE1A0000}"/>
    <cellStyle name="Normal 11 11 37" xfId="7651" xr:uid="{00000000-0005-0000-0000-0000AF1A0000}"/>
    <cellStyle name="Normal 11 11 38" xfId="7652" xr:uid="{00000000-0005-0000-0000-0000B01A0000}"/>
    <cellStyle name="Normal 11 11 39" xfId="7653" xr:uid="{00000000-0005-0000-0000-0000B11A0000}"/>
    <cellStyle name="Normal 11 11 4" xfId="7654" xr:uid="{00000000-0005-0000-0000-0000B21A0000}"/>
    <cellStyle name="Normal 11 11 40" xfId="7655" xr:uid="{00000000-0005-0000-0000-0000B31A0000}"/>
    <cellStyle name="Normal 11 11 41" xfId="7656" xr:uid="{00000000-0005-0000-0000-0000B41A0000}"/>
    <cellStyle name="Normal 11 11 42" xfId="7657" xr:uid="{00000000-0005-0000-0000-0000B51A0000}"/>
    <cellStyle name="Normal 11 11 43" xfId="7658" xr:uid="{00000000-0005-0000-0000-0000B61A0000}"/>
    <cellStyle name="Normal 11 11 44" xfId="7659" xr:uid="{00000000-0005-0000-0000-0000B71A0000}"/>
    <cellStyle name="Normal 11 11 45" xfId="7660" xr:uid="{00000000-0005-0000-0000-0000B81A0000}"/>
    <cellStyle name="Normal 11 11 5" xfId="7661" xr:uid="{00000000-0005-0000-0000-0000B91A0000}"/>
    <cellStyle name="Normal 11 11 6" xfId="7662" xr:uid="{00000000-0005-0000-0000-0000BA1A0000}"/>
    <cellStyle name="Normal 11 11 7" xfId="7663" xr:uid="{00000000-0005-0000-0000-0000BB1A0000}"/>
    <cellStyle name="Normal 11 11 8" xfId="7664" xr:uid="{00000000-0005-0000-0000-0000BC1A0000}"/>
    <cellStyle name="Normal 11 11 9" xfId="7665" xr:uid="{00000000-0005-0000-0000-0000BD1A0000}"/>
    <cellStyle name="Normal 11 12" xfId="7666" xr:uid="{00000000-0005-0000-0000-0000BE1A0000}"/>
    <cellStyle name="Normal 11 12 10" xfId="7667" xr:uid="{00000000-0005-0000-0000-0000BF1A0000}"/>
    <cellStyle name="Normal 11 12 11" xfId="7668" xr:uid="{00000000-0005-0000-0000-0000C01A0000}"/>
    <cellStyle name="Normal 11 12 12" xfId="7669" xr:uid="{00000000-0005-0000-0000-0000C11A0000}"/>
    <cellStyle name="Normal 11 12 13" xfId="7670" xr:uid="{00000000-0005-0000-0000-0000C21A0000}"/>
    <cellStyle name="Normal 11 12 14" xfId="7671" xr:uid="{00000000-0005-0000-0000-0000C31A0000}"/>
    <cellStyle name="Normal 11 12 15" xfId="7672" xr:uid="{00000000-0005-0000-0000-0000C41A0000}"/>
    <cellStyle name="Normal 11 12 16" xfId="7673" xr:uid="{00000000-0005-0000-0000-0000C51A0000}"/>
    <cellStyle name="Normal 11 12 17" xfId="7674" xr:uid="{00000000-0005-0000-0000-0000C61A0000}"/>
    <cellStyle name="Normal 11 12 18" xfId="7675" xr:uid="{00000000-0005-0000-0000-0000C71A0000}"/>
    <cellStyle name="Normal 11 12 19" xfId="7676" xr:uid="{00000000-0005-0000-0000-0000C81A0000}"/>
    <cellStyle name="Normal 11 12 2" xfId="7677" xr:uid="{00000000-0005-0000-0000-0000C91A0000}"/>
    <cellStyle name="Normal 11 12 2 2" xfId="7678" xr:uid="{00000000-0005-0000-0000-0000CA1A0000}"/>
    <cellStyle name="Normal 11 12 2 3" xfId="7679" xr:uid="{00000000-0005-0000-0000-0000CB1A0000}"/>
    <cellStyle name="Normal 11 12 2 4" xfId="7680" xr:uid="{00000000-0005-0000-0000-0000CC1A0000}"/>
    <cellStyle name="Normal 11 12 20" xfId="7681" xr:uid="{00000000-0005-0000-0000-0000CD1A0000}"/>
    <cellStyle name="Normal 11 12 21" xfId="7682" xr:uid="{00000000-0005-0000-0000-0000CE1A0000}"/>
    <cellStyle name="Normal 11 12 22" xfId="7683" xr:uid="{00000000-0005-0000-0000-0000CF1A0000}"/>
    <cellStyle name="Normal 11 12 23" xfId="7684" xr:uid="{00000000-0005-0000-0000-0000D01A0000}"/>
    <cellStyle name="Normal 11 12 24" xfId="7685" xr:uid="{00000000-0005-0000-0000-0000D11A0000}"/>
    <cellStyle name="Normal 11 12 25" xfId="7686" xr:uid="{00000000-0005-0000-0000-0000D21A0000}"/>
    <cellStyle name="Normal 11 12 26" xfId="7687" xr:uid="{00000000-0005-0000-0000-0000D31A0000}"/>
    <cellStyle name="Normal 11 12 27" xfId="7688" xr:uid="{00000000-0005-0000-0000-0000D41A0000}"/>
    <cellStyle name="Normal 11 12 28" xfId="7689" xr:uid="{00000000-0005-0000-0000-0000D51A0000}"/>
    <cellStyle name="Normal 11 12 29" xfId="7690" xr:uid="{00000000-0005-0000-0000-0000D61A0000}"/>
    <cellStyle name="Normal 11 12 3" xfId="7691" xr:uid="{00000000-0005-0000-0000-0000D71A0000}"/>
    <cellStyle name="Normal 11 12 3 2" xfId="7692" xr:uid="{00000000-0005-0000-0000-0000D81A0000}"/>
    <cellStyle name="Normal 11 12 3 3" xfId="7693" xr:uid="{00000000-0005-0000-0000-0000D91A0000}"/>
    <cellStyle name="Normal 11 12 3 4" xfId="7694" xr:uid="{00000000-0005-0000-0000-0000DA1A0000}"/>
    <cellStyle name="Normal 11 12 30" xfId="7695" xr:uid="{00000000-0005-0000-0000-0000DB1A0000}"/>
    <cellStyle name="Normal 11 12 31" xfId="7696" xr:uid="{00000000-0005-0000-0000-0000DC1A0000}"/>
    <cellStyle name="Normal 11 12 32" xfId="7697" xr:uid="{00000000-0005-0000-0000-0000DD1A0000}"/>
    <cellStyle name="Normal 11 12 33" xfId="7698" xr:uid="{00000000-0005-0000-0000-0000DE1A0000}"/>
    <cellStyle name="Normal 11 12 34" xfId="7699" xr:uid="{00000000-0005-0000-0000-0000DF1A0000}"/>
    <cellStyle name="Normal 11 12 35" xfId="7700" xr:uid="{00000000-0005-0000-0000-0000E01A0000}"/>
    <cellStyle name="Normal 11 12 36" xfId="7701" xr:uid="{00000000-0005-0000-0000-0000E11A0000}"/>
    <cellStyle name="Normal 11 12 37" xfId="7702" xr:uid="{00000000-0005-0000-0000-0000E21A0000}"/>
    <cellStyle name="Normal 11 12 38" xfId="7703" xr:uid="{00000000-0005-0000-0000-0000E31A0000}"/>
    <cellStyle name="Normal 11 12 39" xfId="7704" xr:uid="{00000000-0005-0000-0000-0000E41A0000}"/>
    <cellStyle name="Normal 11 12 4" xfId="7705" xr:uid="{00000000-0005-0000-0000-0000E51A0000}"/>
    <cellStyle name="Normal 11 12 40" xfId="7706" xr:uid="{00000000-0005-0000-0000-0000E61A0000}"/>
    <cellStyle name="Normal 11 12 41" xfId="7707" xr:uid="{00000000-0005-0000-0000-0000E71A0000}"/>
    <cellStyle name="Normal 11 12 42" xfId="7708" xr:uid="{00000000-0005-0000-0000-0000E81A0000}"/>
    <cellStyle name="Normal 11 12 43" xfId="7709" xr:uid="{00000000-0005-0000-0000-0000E91A0000}"/>
    <cellStyle name="Normal 11 12 44" xfId="7710" xr:uid="{00000000-0005-0000-0000-0000EA1A0000}"/>
    <cellStyle name="Normal 11 12 45" xfId="7711" xr:uid="{00000000-0005-0000-0000-0000EB1A0000}"/>
    <cellStyle name="Normal 11 12 5" xfId="7712" xr:uid="{00000000-0005-0000-0000-0000EC1A0000}"/>
    <cellStyle name="Normal 11 12 6" xfId="7713" xr:uid="{00000000-0005-0000-0000-0000ED1A0000}"/>
    <cellStyle name="Normal 11 12 7" xfId="7714" xr:uid="{00000000-0005-0000-0000-0000EE1A0000}"/>
    <cellStyle name="Normal 11 12 8" xfId="7715" xr:uid="{00000000-0005-0000-0000-0000EF1A0000}"/>
    <cellStyle name="Normal 11 12 9" xfId="7716" xr:uid="{00000000-0005-0000-0000-0000F01A0000}"/>
    <cellStyle name="Normal 11 13" xfId="7717" xr:uid="{00000000-0005-0000-0000-0000F11A0000}"/>
    <cellStyle name="Normal 11 13 10" xfId="7718" xr:uid="{00000000-0005-0000-0000-0000F21A0000}"/>
    <cellStyle name="Normal 11 13 11" xfId="7719" xr:uid="{00000000-0005-0000-0000-0000F31A0000}"/>
    <cellStyle name="Normal 11 13 12" xfId="7720" xr:uid="{00000000-0005-0000-0000-0000F41A0000}"/>
    <cellStyle name="Normal 11 13 13" xfId="7721" xr:uid="{00000000-0005-0000-0000-0000F51A0000}"/>
    <cellStyle name="Normal 11 13 14" xfId="7722" xr:uid="{00000000-0005-0000-0000-0000F61A0000}"/>
    <cellStyle name="Normal 11 13 15" xfId="7723" xr:uid="{00000000-0005-0000-0000-0000F71A0000}"/>
    <cellStyle name="Normal 11 13 16" xfId="7724" xr:uid="{00000000-0005-0000-0000-0000F81A0000}"/>
    <cellStyle name="Normal 11 13 17" xfId="7725" xr:uid="{00000000-0005-0000-0000-0000F91A0000}"/>
    <cellStyle name="Normal 11 13 18" xfId="7726" xr:uid="{00000000-0005-0000-0000-0000FA1A0000}"/>
    <cellStyle name="Normal 11 13 19" xfId="7727" xr:uid="{00000000-0005-0000-0000-0000FB1A0000}"/>
    <cellStyle name="Normal 11 13 2" xfId="7728" xr:uid="{00000000-0005-0000-0000-0000FC1A0000}"/>
    <cellStyle name="Normal 11 13 2 2" xfId="7729" xr:uid="{00000000-0005-0000-0000-0000FD1A0000}"/>
    <cellStyle name="Normal 11 13 2 3" xfId="7730" xr:uid="{00000000-0005-0000-0000-0000FE1A0000}"/>
    <cellStyle name="Normal 11 13 2 4" xfId="7731" xr:uid="{00000000-0005-0000-0000-0000FF1A0000}"/>
    <cellStyle name="Normal 11 13 20" xfId="7732" xr:uid="{00000000-0005-0000-0000-0000001B0000}"/>
    <cellStyle name="Normal 11 13 21" xfId="7733" xr:uid="{00000000-0005-0000-0000-0000011B0000}"/>
    <cellStyle name="Normal 11 13 22" xfId="7734" xr:uid="{00000000-0005-0000-0000-0000021B0000}"/>
    <cellStyle name="Normal 11 13 23" xfId="7735" xr:uid="{00000000-0005-0000-0000-0000031B0000}"/>
    <cellStyle name="Normal 11 13 24" xfId="7736" xr:uid="{00000000-0005-0000-0000-0000041B0000}"/>
    <cellStyle name="Normal 11 13 25" xfId="7737" xr:uid="{00000000-0005-0000-0000-0000051B0000}"/>
    <cellStyle name="Normal 11 13 26" xfId="7738" xr:uid="{00000000-0005-0000-0000-0000061B0000}"/>
    <cellStyle name="Normal 11 13 27" xfId="7739" xr:uid="{00000000-0005-0000-0000-0000071B0000}"/>
    <cellStyle name="Normal 11 13 28" xfId="7740" xr:uid="{00000000-0005-0000-0000-0000081B0000}"/>
    <cellStyle name="Normal 11 13 29" xfId="7741" xr:uid="{00000000-0005-0000-0000-0000091B0000}"/>
    <cellStyle name="Normal 11 13 3" xfId="7742" xr:uid="{00000000-0005-0000-0000-00000A1B0000}"/>
    <cellStyle name="Normal 11 13 3 2" xfId="7743" xr:uid="{00000000-0005-0000-0000-00000B1B0000}"/>
    <cellStyle name="Normal 11 13 3 3" xfId="7744" xr:uid="{00000000-0005-0000-0000-00000C1B0000}"/>
    <cellStyle name="Normal 11 13 3 4" xfId="7745" xr:uid="{00000000-0005-0000-0000-00000D1B0000}"/>
    <cellStyle name="Normal 11 13 30" xfId="7746" xr:uid="{00000000-0005-0000-0000-00000E1B0000}"/>
    <cellStyle name="Normal 11 13 31" xfId="7747" xr:uid="{00000000-0005-0000-0000-00000F1B0000}"/>
    <cellStyle name="Normal 11 13 32" xfId="7748" xr:uid="{00000000-0005-0000-0000-0000101B0000}"/>
    <cellStyle name="Normal 11 13 33" xfId="7749" xr:uid="{00000000-0005-0000-0000-0000111B0000}"/>
    <cellStyle name="Normal 11 13 34" xfId="7750" xr:uid="{00000000-0005-0000-0000-0000121B0000}"/>
    <cellStyle name="Normal 11 13 35" xfId="7751" xr:uid="{00000000-0005-0000-0000-0000131B0000}"/>
    <cellStyle name="Normal 11 13 36" xfId="7752" xr:uid="{00000000-0005-0000-0000-0000141B0000}"/>
    <cellStyle name="Normal 11 13 37" xfId="7753" xr:uid="{00000000-0005-0000-0000-0000151B0000}"/>
    <cellStyle name="Normal 11 13 38" xfId="7754" xr:uid="{00000000-0005-0000-0000-0000161B0000}"/>
    <cellStyle name="Normal 11 13 39" xfId="7755" xr:uid="{00000000-0005-0000-0000-0000171B0000}"/>
    <cellStyle name="Normal 11 13 4" xfId="7756" xr:uid="{00000000-0005-0000-0000-0000181B0000}"/>
    <cellStyle name="Normal 11 13 40" xfId="7757" xr:uid="{00000000-0005-0000-0000-0000191B0000}"/>
    <cellStyle name="Normal 11 13 41" xfId="7758" xr:uid="{00000000-0005-0000-0000-00001A1B0000}"/>
    <cellStyle name="Normal 11 13 42" xfId="7759" xr:uid="{00000000-0005-0000-0000-00001B1B0000}"/>
    <cellStyle name="Normal 11 13 43" xfId="7760" xr:uid="{00000000-0005-0000-0000-00001C1B0000}"/>
    <cellStyle name="Normal 11 13 44" xfId="7761" xr:uid="{00000000-0005-0000-0000-00001D1B0000}"/>
    <cellStyle name="Normal 11 13 45" xfId="7762" xr:uid="{00000000-0005-0000-0000-00001E1B0000}"/>
    <cellStyle name="Normal 11 13 5" xfId="7763" xr:uid="{00000000-0005-0000-0000-00001F1B0000}"/>
    <cellStyle name="Normal 11 13 6" xfId="7764" xr:uid="{00000000-0005-0000-0000-0000201B0000}"/>
    <cellStyle name="Normal 11 13 7" xfId="7765" xr:uid="{00000000-0005-0000-0000-0000211B0000}"/>
    <cellStyle name="Normal 11 13 8" xfId="7766" xr:uid="{00000000-0005-0000-0000-0000221B0000}"/>
    <cellStyle name="Normal 11 13 9" xfId="7767" xr:uid="{00000000-0005-0000-0000-0000231B0000}"/>
    <cellStyle name="Normal 11 14" xfId="7768" xr:uid="{00000000-0005-0000-0000-0000241B0000}"/>
    <cellStyle name="Normal 11 14 10" xfId="7769" xr:uid="{00000000-0005-0000-0000-0000251B0000}"/>
    <cellStyle name="Normal 11 14 11" xfId="7770" xr:uid="{00000000-0005-0000-0000-0000261B0000}"/>
    <cellStyle name="Normal 11 14 12" xfId="7771" xr:uid="{00000000-0005-0000-0000-0000271B0000}"/>
    <cellStyle name="Normal 11 14 13" xfId="7772" xr:uid="{00000000-0005-0000-0000-0000281B0000}"/>
    <cellStyle name="Normal 11 14 14" xfId="7773" xr:uid="{00000000-0005-0000-0000-0000291B0000}"/>
    <cellStyle name="Normal 11 14 15" xfId="7774" xr:uid="{00000000-0005-0000-0000-00002A1B0000}"/>
    <cellStyle name="Normal 11 14 16" xfId="7775" xr:uid="{00000000-0005-0000-0000-00002B1B0000}"/>
    <cellStyle name="Normal 11 14 17" xfId="7776" xr:uid="{00000000-0005-0000-0000-00002C1B0000}"/>
    <cellStyle name="Normal 11 14 18" xfId="7777" xr:uid="{00000000-0005-0000-0000-00002D1B0000}"/>
    <cellStyle name="Normal 11 14 19" xfId="7778" xr:uid="{00000000-0005-0000-0000-00002E1B0000}"/>
    <cellStyle name="Normal 11 14 2" xfId="7779" xr:uid="{00000000-0005-0000-0000-00002F1B0000}"/>
    <cellStyle name="Normal 11 14 2 2" xfId="7780" xr:uid="{00000000-0005-0000-0000-0000301B0000}"/>
    <cellStyle name="Normal 11 14 2 3" xfId="7781" xr:uid="{00000000-0005-0000-0000-0000311B0000}"/>
    <cellStyle name="Normal 11 14 2 4" xfId="7782" xr:uid="{00000000-0005-0000-0000-0000321B0000}"/>
    <cellStyle name="Normal 11 14 20" xfId="7783" xr:uid="{00000000-0005-0000-0000-0000331B0000}"/>
    <cellStyle name="Normal 11 14 21" xfId="7784" xr:uid="{00000000-0005-0000-0000-0000341B0000}"/>
    <cellStyle name="Normal 11 14 22" xfId="7785" xr:uid="{00000000-0005-0000-0000-0000351B0000}"/>
    <cellStyle name="Normal 11 14 23" xfId="7786" xr:uid="{00000000-0005-0000-0000-0000361B0000}"/>
    <cellStyle name="Normal 11 14 24" xfId="7787" xr:uid="{00000000-0005-0000-0000-0000371B0000}"/>
    <cellStyle name="Normal 11 14 25" xfId="7788" xr:uid="{00000000-0005-0000-0000-0000381B0000}"/>
    <cellStyle name="Normal 11 14 26" xfId="7789" xr:uid="{00000000-0005-0000-0000-0000391B0000}"/>
    <cellStyle name="Normal 11 14 27" xfId="7790" xr:uid="{00000000-0005-0000-0000-00003A1B0000}"/>
    <cellStyle name="Normal 11 14 28" xfId="7791" xr:uid="{00000000-0005-0000-0000-00003B1B0000}"/>
    <cellStyle name="Normal 11 14 29" xfId="7792" xr:uid="{00000000-0005-0000-0000-00003C1B0000}"/>
    <cellStyle name="Normal 11 14 3" xfId="7793" xr:uid="{00000000-0005-0000-0000-00003D1B0000}"/>
    <cellStyle name="Normal 11 14 3 2" xfId="7794" xr:uid="{00000000-0005-0000-0000-00003E1B0000}"/>
    <cellStyle name="Normal 11 14 3 3" xfId="7795" xr:uid="{00000000-0005-0000-0000-00003F1B0000}"/>
    <cellStyle name="Normal 11 14 3 4" xfId="7796" xr:uid="{00000000-0005-0000-0000-0000401B0000}"/>
    <cellStyle name="Normal 11 14 30" xfId="7797" xr:uid="{00000000-0005-0000-0000-0000411B0000}"/>
    <cellStyle name="Normal 11 14 31" xfId="7798" xr:uid="{00000000-0005-0000-0000-0000421B0000}"/>
    <cellStyle name="Normal 11 14 32" xfId="7799" xr:uid="{00000000-0005-0000-0000-0000431B0000}"/>
    <cellStyle name="Normal 11 14 33" xfId="7800" xr:uid="{00000000-0005-0000-0000-0000441B0000}"/>
    <cellStyle name="Normal 11 14 34" xfId="7801" xr:uid="{00000000-0005-0000-0000-0000451B0000}"/>
    <cellStyle name="Normal 11 14 35" xfId="7802" xr:uid="{00000000-0005-0000-0000-0000461B0000}"/>
    <cellStyle name="Normal 11 14 36" xfId="7803" xr:uid="{00000000-0005-0000-0000-0000471B0000}"/>
    <cellStyle name="Normal 11 14 37" xfId="7804" xr:uid="{00000000-0005-0000-0000-0000481B0000}"/>
    <cellStyle name="Normal 11 14 38" xfId="7805" xr:uid="{00000000-0005-0000-0000-0000491B0000}"/>
    <cellStyle name="Normal 11 14 39" xfId="7806" xr:uid="{00000000-0005-0000-0000-00004A1B0000}"/>
    <cellStyle name="Normal 11 14 4" xfId="7807" xr:uid="{00000000-0005-0000-0000-00004B1B0000}"/>
    <cellStyle name="Normal 11 14 40" xfId="7808" xr:uid="{00000000-0005-0000-0000-00004C1B0000}"/>
    <cellStyle name="Normal 11 14 41" xfId="7809" xr:uid="{00000000-0005-0000-0000-00004D1B0000}"/>
    <cellStyle name="Normal 11 14 42" xfId="7810" xr:uid="{00000000-0005-0000-0000-00004E1B0000}"/>
    <cellStyle name="Normal 11 14 43" xfId="7811" xr:uid="{00000000-0005-0000-0000-00004F1B0000}"/>
    <cellStyle name="Normal 11 14 44" xfId="7812" xr:uid="{00000000-0005-0000-0000-0000501B0000}"/>
    <cellStyle name="Normal 11 14 45" xfId="7813" xr:uid="{00000000-0005-0000-0000-0000511B0000}"/>
    <cellStyle name="Normal 11 14 5" xfId="7814" xr:uid="{00000000-0005-0000-0000-0000521B0000}"/>
    <cellStyle name="Normal 11 14 6" xfId="7815" xr:uid="{00000000-0005-0000-0000-0000531B0000}"/>
    <cellStyle name="Normal 11 14 7" xfId="7816" xr:uid="{00000000-0005-0000-0000-0000541B0000}"/>
    <cellStyle name="Normal 11 14 8" xfId="7817" xr:uid="{00000000-0005-0000-0000-0000551B0000}"/>
    <cellStyle name="Normal 11 14 9" xfId="7818" xr:uid="{00000000-0005-0000-0000-0000561B0000}"/>
    <cellStyle name="Normal 11 15" xfId="7819" xr:uid="{00000000-0005-0000-0000-0000571B0000}"/>
    <cellStyle name="Normal 11 15 10" xfId="7820" xr:uid="{00000000-0005-0000-0000-0000581B0000}"/>
    <cellStyle name="Normal 11 15 11" xfId="7821" xr:uid="{00000000-0005-0000-0000-0000591B0000}"/>
    <cellStyle name="Normal 11 15 12" xfId="7822" xr:uid="{00000000-0005-0000-0000-00005A1B0000}"/>
    <cellStyle name="Normal 11 15 13" xfId="7823" xr:uid="{00000000-0005-0000-0000-00005B1B0000}"/>
    <cellStyle name="Normal 11 15 14" xfId="7824" xr:uid="{00000000-0005-0000-0000-00005C1B0000}"/>
    <cellStyle name="Normal 11 15 15" xfId="7825" xr:uid="{00000000-0005-0000-0000-00005D1B0000}"/>
    <cellStyle name="Normal 11 15 16" xfId="7826" xr:uid="{00000000-0005-0000-0000-00005E1B0000}"/>
    <cellStyle name="Normal 11 15 17" xfId="7827" xr:uid="{00000000-0005-0000-0000-00005F1B0000}"/>
    <cellStyle name="Normal 11 15 18" xfId="7828" xr:uid="{00000000-0005-0000-0000-0000601B0000}"/>
    <cellStyle name="Normal 11 15 19" xfId="7829" xr:uid="{00000000-0005-0000-0000-0000611B0000}"/>
    <cellStyle name="Normal 11 15 2" xfId="7830" xr:uid="{00000000-0005-0000-0000-0000621B0000}"/>
    <cellStyle name="Normal 11 15 2 2" xfId="7831" xr:uid="{00000000-0005-0000-0000-0000631B0000}"/>
    <cellStyle name="Normal 11 15 2 3" xfId="7832" xr:uid="{00000000-0005-0000-0000-0000641B0000}"/>
    <cellStyle name="Normal 11 15 2 4" xfId="7833" xr:uid="{00000000-0005-0000-0000-0000651B0000}"/>
    <cellStyle name="Normal 11 15 20" xfId="7834" xr:uid="{00000000-0005-0000-0000-0000661B0000}"/>
    <cellStyle name="Normal 11 15 21" xfId="7835" xr:uid="{00000000-0005-0000-0000-0000671B0000}"/>
    <cellStyle name="Normal 11 15 22" xfId="7836" xr:uid="{00000000-0005-0000-0000-0000681B0000}"/>
    <cellStyle name="Normal 11 15 23" xfId="7837" xr:uid="{00000000-0005-0000-0000-0000691B0000}"/>
    <cellStyle name="Normal 11 15 24" xfId="7838" xr:uid="{00000000-0005-0000-0000-00006A1B0000}"/>
    <cellStyle name="Normal 11 15 25" xfId="7839" xr:uid="{00000000-0005-0000-0000-00006B1B0000}"/>
    <cellStyle name="Normal 11 15 26" xfId="7840" xr:uid="{00000000-0005-0000-0000-00006C1B0000}"/>
    <cellStyle name="Normal 11 15 27" xfId="7841" xr:uid="{00000000-0005-0000-0000-00006D1B0000}"/>
    <cellStyle name="Normal 11 15 28" xfId="7842" xr:uid="{00000000-0005-0000-0000-00006E1B0000}"/>
    <cellStyle name="Normal 11 15 29" xfId="7843" xr:uid="{00000000-0005-0000-0000-00006F1B0000}"/>
    <cellStyle name="Normal 11 15 3" xfId="7844" xr:uid="{00000000-0005-0000-0000-0000701B0000}"/>
    <cellStyle name="Normal 11 15 3 2" xfId="7845" xr:uid="{00000000-0005-0000-0000-0000711B0000}"/>
    <cellStyle name="Normal 11 15 3 3" xfId="7846" xr:uid="{00000000-0005-0000-0000-0000721B0000}"/>
    <cellStyle name="Normal 11 15 3 4" xfId="7847" xr:uid="{00000000-0005-0000-0000-0000731B0000}"/>
    <cellStyle name="Normal 11 15 30" xfId="7848" xr:uid="{00000000-0005-0000-0000-0000741B0000}"/>
    <cellStyle name="Normal 11 15 31" xfId="7849" xr:uid="{00000000-0005-0000-0000-0000751B0000}"/>
    <cellStyle name="Normal 11 15 32" xfId="7850" xr:uid="{00000000-0005-0000-0000-0000761B0000}"/>
    <cellStyle name="Normal 11 15 33" xfId="7851" xr:uid="{00000000-0005-0000-0000-0000771B0000}"/>
    <cellStyle name="Normal 11 15 34" xfId="7852" xr:uid="{00000000-0005-0000-0000-0000781B0000}"/>
    <cellStyle name="Normal 11 15 35" xfId="7853" xr:uid="{00000000-0005-0000-0000-0000791B0000}"/>
    <cellStyle name="Normal 11 15 36" xfId="7854" xr:uid="{00000000-0005-0000-0000-00007A1B0000}"/>
    <cellStyle name="Normal 11 15 37" xfId="7855" xr:uid="{00000000-0005-0000-0000-00007B1B0000}"/>
    <cellStyle name="Normal 11 15 38" xfId="7856" xr:uid="{00000000-0005-0000-0000-00007C1B0000}"/>
    <cellStyle name="Normal 11 15 39" xfId="7857" xr:uid="{00000000-0005-0000-0000-00007D1B0000}"/>
    <cellStyle name="Normal 11 15 4" xfId="7858" xr:uid="{00000000-0005-0000-0000-00007E1B0000}"/>
    <cellStyle name="Normal 11 15 40" xfId="7859" xr:uid="{00000000-0005-0000-0000-00007F1B0000}"/>
    <cellStyle name="Normal 11 15 41" xfId="7860" xr:uid="{00000000-0005-0000-0000-0000801B0000}"/>
    <cellStyle name="Normal 11 15 42" xfId="7861" xr:uid="{00000000-0005-0000-0000-0000811B0000}"/>
    <cellStyle name="Normal 11 15 43" xfId="7862" xr:uid="{00000000-0005-0000-0000-0000821B0000}"/>
    <cellStyle name="Normal 11 15 44" xfId="7863" xr:uid="{00000000-0005-0000-0000-0000831B0000}"/>
    <cellStyle name="Normal 11 15 45" xfId="7864" xr:uid="{00000000-0005-0000-0000-0000841B0000}"/>
    <cellStyle name="Normal 11 15 5" xfId="7865" xr:uid="{00000000-0005-0000-0000-0000851B0000}"/>
    <cellStyle name="Normal 11 15 6" xfId="7866" xr:uid="{00000000-0005-0000-0000-0000861B0000}"/>
    <cellStyle name="Normal 11 15 7" xfId="7867" xr:uid="{00000000-0005-0000-0000-0000871B0000}"/>
    <cellStyle name="Normal 11 15 8" xfId="7868" xr:uid="{00000000-0005-0000-0000-0000881B0000}"/>
    <cellStyle name="Normal 11 15 9" xfId="7869" xr:uid="{00000000-0005-0000-0000-0000891B0000}"/>
    <cellStyle name="Normal 11 16" xfId="7870" xr:uid="{00000000-0005-0000-0000-00008A1B0000}"/>
    <cellStyle name="Normal 11 16 10" xfId="7871" xr:uid="{00000000-0005-0000-0000-00008B1B0000}"/>
    <cellStyle name="Normal 11 16 11" xfId="7872" xr:uid="{00000000-0005-0000-0000-00008C1B0000}"/>
    <cellStyle name="Normal 11 16 12" xfId="7873" xr:uid="{00000000-0005-0000-0000-00008D1B0000}"/>
    <cellStyle name="Normal 11 16 13" xfId="7874" xr:uid="{00000000-0005-0000-0000-00008E1B0000}"/>
    <cellStyle name="Normal 11 16 14" xfId="7875" xr:uid="{00000000-0005-0000-0000-00008F1B0000}"/>
    <cellStyle name="Normal 11 16 15" xfId="7876" xr:uid="{00000000-0005-0000-0000-0000901B0000}"/>
    <cellStyle name="Normal 11 16 16" xfId="7877" xr:uid="{00000000-0005-0000-0000-0000911B0000}"/>
    <cellStyle name="Normal 11 16 17" xfId="7878" xr:uid="{00000000-0005-0000-0000-0000921B0000}"/>
    <cellStyle name="Normal 11 16 18" xfId="7879" xr:uid="{00000000-0005-0000-0000-0000931B0000}"/>
    <cellStyle name="Normal 11 16 19" xfId="7880" xr:uid="{00000000-0005-0000-0000-0000941B0000}"/>
    <cellStyle name="Normal 11 16 2" xfId="7881" xr:uid="{00000000-0005-0000-0000-0000951B0000}"/>
    <cellStyle name="Normal 11 16 2 2" xfId="7882" xr:uid="{00000000-0005-0000-0000-0000961B0000}"/>
    <cellStyle name="Normal 11 16 2 3" xfId="7883" xr:uid="{00000000-0005-0000-0000-0000971B0000}"/>
    <cellStyle name="Normal 11 16 2 4" xfId="7884" xr:uid="{00000000-0005-0000-0000-0000981B0000}"/>
    <cellStyle name="Normal 11 16 20" xfId="7885" xr:uid="{00000000-0005-0000-0000-0000991B0000}"/>
    <cellStyle name="Normal 11 16 21" xfId="7886" xr:uid="{00000000-0005-0000-0000-00009A1B0000}"/>
    <cellStyle name="Normal 11 16 22" xfId="7887" xr:uid="{00000000-0005-0000-0000-00009B1B0000}"/>
    <cellStyle name="Normal 11 16 23" xfId="7888" xr:uid="{00000000-0005-0000-0000-00009C1B0000}"/>
    <cellStyle name="Normal 11 16 24" xfId="7889" xr:uid="{00000000-0005-0000-0000-00009D1B0000}"/>
    <cellStyle name="Normal 11 16 25" xfId="7890" xr:uid="{00000000-0005-0000-0000-00009E1B0000}"/>
    <cellStyle name="Normal 11 16 26" xfId="7891" xr:uid="{00000000-0005-0000-0000-00009F1B0000}"/>
    <cellStyle name="Normal 11 16 27" xfId="7892" xr:uid="{00000000-0005-0000-0000-0000A01B0000}"/>
    <cellStyle name="Normal 11 16 28" xfId="7893" xr:uid="{00000000-0005-0000-0000-0000A11B0000}"/>
    <cellStyle name="Normal 11 16 29" xfId="7894" xr:uid="{00000000-0005-0000-0000-0000A21B0000}"/>
    <cellStyle name="Normal 11 16 3" xfId="7895" xr:uid="{00000000-0005-0000-0000-0000A31B0000}"/>
    <cellStyle name="Normal 11 16 3 2" xfId="7896" xr:uid="{00000000-0005-0000-0000-0000A41B0000}"/>
    <cellStyle name="Normal 11 16 3 3" xfId="7897" xr:uid="{00000000-0005-0000-0000-0000A51B0000}"/>
    <cellStyle name="Normal 11 16 3 4" xfId="7898" xr:uid="{00000000-0005-0000-0000-0000A61B0000}"/>
    <cellStyle name="Normal 11 16 30" xfId="7899" xr:uid="{00000000-0005-0000-0000-0000A71B0000}"/>
    <cellStyle name="Normal 11 16 31" xfId="7900" xr:uid="{00000000-0005-0000-0000-0000A81B0000}"/>
    <cellStyle name="Normal 11 16 32" xfId="7901" xr:uid="{00000000-0005-0000-0000-0000A91B0000}"/>
    <cellStyle name="Normal 11 16 33" xfId="7902" xr:uid="{00000000-0005-0000-0000-0000AA1B0000}"/>
    <cellStyle name="Normal 11 16 34" xfId="7903" xr:uid="{00000000-0005-0000-0000-0000AB1B0000}"/>
    <cellStyle name="Normal 11 16 35" xfId="7904" xr:uid="{00000000-0005-0000-0000-0000AC1B0000}"/>
    <cellStyle name="Normal 11 16 36" xfId="7905" xr:uid="{00000000-0005-0000-0000-0000AD1B0000}"/>
    <cellStyle name="Normal 11 16 37" xfId="7906" xr:uid="{00000000-0005-0000-0000-0000AE1B0000}"/>
    <cellStyle name="Normal 11 16 38" xfId="7907" xr:uid="{00000000-0005-0000-0000-0000AF1B0000}"/>
    <cellStyle name="Normal 11 16 39" xfId="7908" xr:uid="{00000000-0005-0000-0000-0000B01B0000}"/>
    <cellStyle name="Normal 11 16 4" xfId="7909" xr:uid="{00000000-0005-0000-0000-0000B11B0000}"/>
    <cellStyle name="Normal 11 16 40" xfId="7910" xr:uid="{00000000-0005-0000-0000-0000B21B0000}"/>
    <cellStyle name="Normal 11 16 41" xfId="7911" xr:uid="{00000000-0005-0000-0000-0000B31B0000}"/>
    <cellStyle name="Normal 11 16 42" xfId="7912" xr:uid="{00000000-0005-0000-0000-0000B41B0000}"/>
    <cellStyle name="Normal 11 16 43" xfId="7913" xr:uid="{00000000-0005-0000-0000-0000B51B0000}"/>
    <cellStyle name="Normal 11 16 44" xfId="7914" xr:uid="{00000000-0005-0000-0000-0000B61B0000}"/>
    <cellStyle name="Normal 11 16 45" xfId="7915" xr:uid="{00000000-0005-0000-0000-0000B71B0000}"/>
    <cellStyle name="Normal 11 16 5" xfId="7916" xr:uid="{00000000-0005-0000-0000-0000B81B0000}"/>
    <cellStyle name="Normal 11 16 6" xfId="7917" xr:uid="{00000000-0005-0000-0000-0000B91B0000}"/>
    <cellStyle name="Normal 11 16 7" xfId="7918" xr:uid="{00000000-0005-0000-0000-0000BA1B0000}"/>
    <cellStyle name="Normal 11 16 8" xfId="7919" xr:uid="{00000000-0005-0000-0000-0000BB1B0000}"/>
    <cellStyle name="Normal 11 16 9" xfId="7920" xr:uid="{00000000-0005-0000-0000-0000BC1B0000}"/>
    <cellStyle name="Normal 11 17" xfId="7921" xr:uid="{00000000-0005-0000-0000-0000BD1B0000}"/>
    <cellStyle name="Normal 11 17 10" xfId="7922" xr:uid="{00000000-0005-0000-0000-0000BE1B0000}"/>
    <cellStyle name="Normal 11 17 11" xfId="7923" xr:uid="{00000000-0005-0000-0000-0000BF1B0000}"/>
    <cellStyle name="Normal 11 17 12" xfId="7924" xr:uid="{00000000-0005-0000-0000-0000C01B0000}"/>
    <cellStyle name="Normal 11 17 13" xfId="7925" xr:uid="{00000000-0005-0000-0000-0000C11B0000}"/>
    <cellStyle name="Normal 11 17 14" xfId="7926" xr:uid="{00000000-0005-0000-0000-0000C21B0000}"/>
    <cellStyle name="Normal 11 17 15" xfId="7927" xr:uid="{00000000-0005-0000-0000-0000C31B0000}"/>
    <cellStyle name="Normal 11 17 16" xfId="7928" xr:uid="{00000000-0005-0000-0000-0000C41B0000}"/>
    <cellStyle name="Normal 11 17 17" xfId="7929" xr:uid="{00000000-0005-0000-0000-0000C51B0000}"/>
    <cellStyle name="Normal 11 17 18" xfId="7930" xr:uid="{00000000-0005-0000-0000-0000C61B0000}"/>
    <cellStyle name="Normal 11 17 19" xfId="7931" xr:uid="{00000000-0005-0000-0000-0000C71B0000}"/>
    <cellStyle name="Normal 11 17 2" xfId="7932" xr:uid="{00000000-0005-0000-0000-0000C81B0000}"/>
    <cellStyle name="Normal 11 17 2 2" xfId="7933" xr:uid="{00000000-0005-0000-0000-0000C91B0000}"/>
    <cellStyle name="Normal 11 17 2 3" xfId="7934" xr:uid="{00000000-0005-0000-0000-0000CA1B0000}"/>
    <cellStyle name="Normal 11 17 2 4" xfId="7935" xr:uid="{00000000-0005-0000-0000-0000CB1B0000}"/>
    <cellStyle name="Normal 11 17 20" xfId="7936" xr:uid="{00000000-0005-0000-0000-0000CC1B0000}"/>
    <cellStyle name="Normal 11 17 21" xfId="7937" xr:uid="{00000000-0005-0000-0000-0000CD1B0000}"/>
    <cellStyle name="Normal 11 17 22" xfId="7938" xr:uid="{00000000-0005-0000-0000-0000CE1B0000}"/>
    <cellStyle name="Normal 11 17 23" xfId="7939" xr:uid="{00000000-0005-0000-0000-0000CF1B0000}"/>
    <cellStyle name="Normal 11 17 24" xfId="7940" xr:uid="{00000000-0005-0000-0000-0000D01B0000}"/>
    <cellStyle name="Normal 11 17 25" xfId="7941" xr:uid="{00000000-0005-0000-0000-0000D11B0000}"/>
    <cellStyle name="Normal 11 17 26" xfId="7942" xr:uid="{00000000-0005-0000-0000-0000D21B0000}"/>
    <cellStyle name="Normal 11 17 27" xfId="7943" xr:uid="{00000000-0005-0000-0000-0000D31B0000}"/>
    <cellStyle name="Normal 11 17 28" xfId="7944" xr:uid="{00000000-0005-0000-0000-0000D41B0000}"/>
    <cellStyle name="Normal 11 17 29" xfId="7945" xr:uid="{00000000-0005-0000-0000-0000D51B0000}"/>
    <cellStyle name="Normal 11 17 3" xfId="7946" xr:uid="{00000000-0005-0000-0000-0000D61B0000}"/>
    <cellStyle name="Normal 11 17 3 2" xfId="7947" xr:uid="{00000000-0005-0000-0000-0000D71B0000}"/>
    <cellStyle name="Normal 11 17 3 3" xfId="7948" xr:uid="{00000000-0005-0000-0000-0000D81B0000}"/>
    <cellStyle name="Normal 11 17 3 4" xfId="7949" xr:uid="{00000000-0005-0000-0000-0000D91B0000}"/>
    <cellStyle name="Normal 11 17 30" xfId="7950" xr:uid="{00000000-0005-0000-0000-0000DA1B0000}"/>
    <cellStyle name="Normal 11 17 31" xfId="7951" xr:uid="{00000000-0005-0000-0000-0000DB1B0000}"/>
    <cellStyle name="Normal 11 17 32" xfId="7952" xr:uid="{00000000-0005-0000-0000-0000DC1B0000}"/>
    <cellStyle name="Normal 11 17 33" xfId="7953" xr:uid="{00000000-0005-0000-0000-0000DD1B0000}"/>
    <cellStyle name="Normal 11 17 34" xfId="7954" xr:uid="{00000000-0005-0000-0000-0000DE1B0000}"/>
    <cellStyle name="Normal 11 17 35" xfId="7955" xr:uid="{00000000-0005-0000-0000-0000DF1B0000}"/>
    <cellStyle name="Normal 11 17 36" xfId="7956" xr:uid="{00000000-0005-0000-0000-0000E01B0000}"/>
    <cellStyle name="Normal 11 17 37" xfId="7957" xr:uid="{00000000-0005-0000-0000-0000E11B0000}"/>
    <cellStyle name="Normal 11 17 38" xfId="7958" xr:uid="{00000000-0005-0000-0000-0000E21B0000}"/>
    <cellStyle name="Normal 11 17 39" xfId="7959" xr:uid="{00000000-0005-0000-0000-0000E31B0000}"/>
    <cellStyle name="Normal 11 17 4" xfId="7960" xr:uid="{00000000-0005-0000-0000-0000E41B0000}"/>
    <cellStyle name="Normal 11 17 40" xfId="7961" xr:uid="{00000000-0005-0000-0000-0000E51B0000}"/>
    <cellStyle name="Normal 11 17 41" xfId="7962" xr:uid="{00000000-0005-0000-0000-0000E61B0000}"/>
    <cellStyle name="Normal 11 17 42" xfId="7963" xr:uid="{00000000-0005-0000-0000-0000E71B0000}"/>
    <cellStyle name="Normal 11 17 43" xfId="7964" xr:uid="{00000000-0005-0000-0000-0000E81B0000}"/>
    <cellStyle name="Normal 11 17 44" xfId="7965" xr:uid="{00000000-0005-0000-0000-0000E91B0000}"/>
    <cellStyle name="Normal 11 17 45" xfId="7966" xr:uid="{00000000-0005-0000-0000-0000EA1B0000}"/>
    <cellStyle name="Normal 11 17 5" xfId="7967" xr:uid="{00000000-0005-0000-0000-0000EB1B0000}"/>
    <cellStyle name="Normal 11 17 6" xfId="7968" xr:uid="{00000000-0005-0000-0000-0000EC1B0000}"/>
    <cellStyle name="Normal 11 17 7" xfId="7969" xr:uid="{00000000-0005-0000-0000-0000ED1B0000}"/>
    <cellStyle name="Normal 11 17 8" xfId="7970" xr:uid="{00000000-0005-0000-0000-0000EE1B0000}"/>
    <cellStyle name="Normal 11 17 9" xfId="7971" xr:uid="{00000000-0005-0000-0000-0000EF1B0000}"/>
    <cellStyle name="Normal 11 18" xfId="7972" xr:uid="{00000000-0005-0000-0000-0000F01B0000}"/>
    <cellStyle name="Normal 11 18 10" xfId="7973" xr:uid="{00000000-0005-0000-0000-0000F11B0000}"/>
    <cellStyle name="Normal 11 18 11" xfId="7974" xr:uid="{00000000-0005-0000-0000-0000F21B0000}"/>
    <cellStyle name="Normal 11 18 12" xfId="7975" xr:uid="{00000000-0005-0000-0000-0000F31B0000}"/>
    <cellStyle name="Normal 11 18 13" xfId="7976" xr:uid="{00000000-0005-0000-0000-0000F41B0000}"/>
    <cellStyle name="Normal 11 18 14" xfId="7977" xr:uid="{00000000-0005-0000-0000-0000F51B0000}"/>
    <cellStyle name="Normal 11 18 15" xfId="7978" xr:uid="{00000000-0005-0000-0000-0000F61B0000}"/>
    <cellStyle name="Normal 11 18 16" xfId="7979" xr:uid="{00000000-0005-0000-0000-0000F71B0000}"/>
    <cellStyle name="Normal 11 18 17" xfId="7980" xr:uid="{00000000-0005-0000-0000-0000F81B0000}"/>
    <cellStyle name="Normal 11 18 18" xfId="7981" xr:uid="{00000000-0005-0000-0000-0000F91B0000}"/>
    <cellStyle name="Normal 11 18 19" xfId="7982" xr:uid="{00000000-0005-0000-0000-0000FA1B0000}"/>
    <cellStyle name="Normal 11 18 2" xfId="7983" xr:uid="{00000000-0005-0000-0000-0000FB1B0000}"/>
    <cellStyle name="Normal 11 18 2 2" xfId="7984" xr:uid="{00000000-0005-0000-0000-0000FC1B0000}"/>
    <cellStyle name="Normal 11 18 2 3" xfId="7985" xr:uid="{00000000-0005-0000-0000-0000FD1B0000}"/>
    <cellStyle name="Normal 11 18 2 4" xfId="7986" xr:uid="{00000000-0005-0000-0000-0000FE1B0000}"/>
    <cellStyle name="Normal 11 18 20" xfId="7987" xr:uid="{00000000-0005-0000-0000-0000FF1B0000}"/>
    <cellStyle name="Normal 11 18 21" xfId="7988" xr:uid="{00000000-0005-0000-0000-0000001C0000}"/>
    <cellStyle name="Normal 11 18 22" xfId="7989" xr:uid="{00000000-0005-0000-0000-0000011C0000}"/>
    <cellStyle name="Normal 11 18 23" xfId="7990" xr:uid="{00000000-0005-0000-0000-0000021C0000}"/>
    <cellStyle name="Normal 11 18 24" xfId="7991" xr:uid="{00000000-0005-0000-0000-0000031C0000}"/>
    <cellStyle name="Normal 11 18 25" xfId="7992" xr:uid="{00000000-0005-0000-0000-0000041C0000}"/>
    <cellStyle name="Normal 11 18 26" xfId="7993" xr:uid="{00000000-0005-0000-0000-0000051C0000}"/>
    <cellStyle name="Normal 11 18 27" xfId="7994" xr:uid="{00000000-0005-0000-0000-0000061C0000}"/>
    <cellStyle name="Normal 11 18 28" xfId="7995" xr:uid="{00000000-0005-0000-0000-0000071C0000}"/>
    <cellStyle name="Normal 11 18 29" xfId="7996" xr:uid="{00000000-0005-0000-0000-0000081C0000}"/>
    <cellStyle name="Normal 11 18 3" xfId="7997" xr:uid="{00000000-0005-0000-0000-0000091C0000}"/>
    <cellStyle name="Normal 11 18 3 2" xfId="7998" xr:uid="{00000000-0005-0000-0000-00000A1C0000}"/>
    <cellStyle name="Normal 11 18 3 3" xfId="7999" xr:uid="{00000000-0005-0000-0000-00000B1C0000}"/>
    <cellStyle name="Normal 11 18 3 4" xfId="8000" xr:uid="{00000000-0005-0000-0000-00000C1C0000}"/>
    <cellStyle name="Normal 11 18 30" xfId="8001" xr:uid="{00000000-0005-0000-0000-00000D1C0000}"/>
    <cellStyle name="Normal 11 18 31" xfId="8002" xr:uid="{00000000-0005-0000-0000-00000E1C0000}"/>
    <cellStyle name="Normal 11 18 32" xfId="8003" xr:uid="{00000000-0005-0000-0000-00000F1C0000}"/>
    <cellStyle name="Normal 11 18 33" xfId="8004" xr:uid="{00000000-0005-0000-0000-0000101C0000}"/>
    <cellStyle name="Normal 11 18 34" xfId="8005" xr:uid="{00000000-0005-0000-0000-0000111C0000}"/>
    <cellStyle name="Normal 11 18 35" xfId="8006" xr:uid="{00000000-0005-0000-0000-0000121C0000}"/>
    <cellStyle name="Normal 11 18 36" xfId="8007" xr:uid="{00000000-0005-0000-0000-0000131C0000}"/>
    <cellStyle name="Normal 11 18 37" xfId="8008" xr:uid="{00000000-0005-0000-0000-0000141C0000}"/>
    <cellStyle name="Normal 11 18 38" xfId="8009" xr:uid="{00000000-0005-0000-0000-0000151C0000}"/>
    <cellStyle name="Normal 11 18 39" xfId="8010" xr:uid="{00000000-0005-0000-0000-0000161C0000}"/>
    <cellStyle name="Normal 11 18 4" xfId="8011" xr:uid="{00000000-0005-0000-0000-0000171C0000}"/>
    <cellStyle name="Normal 11 18 40" xfId="8012" xr:uid="{00000000-0005-0000-0000-0000181C0000}"/>
    <cellStyle name="Normal 11 18 41" xfId="8013" xr:uid="{00000000-0005-0000-0000-0000191C0000}"/>
    <cellStyle name="Normal 11 18 42" xfId="8014" xr:uid="{00000000-0005-0000-0000-00001A1C0000}"/>
    <cellStyle name="Normal 11 18 43" xfId="8015" xr:uid="{00000000-0005-0000-0000-00001B1C0000}"/>
    <cellStyle name="Normal 11 18 44" xfId="8016" xr:uid="{00000000-0005-0000-0000-00001C1C0000}"/>
    <cellStyle name="Normal 11 18 45" xfId="8017" xr:uid="{00000000-0005-0000-0000-00001D1C0000}"/>
    <cellStyle name="Normal 11 18 5" xfId="8018" xr:uid="{00000000-0005-0000-0000-00001E1C0000}"/>
    <cellStyle name="Normal 11 18 6" xfId="8019" xr:uid="{00000000-0005-0000-0000-00001F1C0000}"/>
    <cellStyle name="Normal 11 18 7" xfId="8020" xr:uid="{00000000-0005-0000-0000-0000201C0000}"/>
    <cellStyle name="Normal 11 18 8" xfId="8021" xr:uid="{00000000-0005-0000-0000-0000211C0000}"/>
    <cellStyle name="Normal 11 18 9" xfId="8022" xr:uid="{00000000-0005-0000-0000-0000221C0000}"/>
    <cellStyle name="Normal 11 19" xfId="8023" xr:uid="{00000000-0005-0000-0000-0000231C0000}"/>
    <cellStyle name="Normal 11 19 10" xfId="8024" xr:uid="{00000000-0005-0000-0000-0000241C0000}"/>
    <cellStyle name="Normal 11 19 11" xfId="8025" xr:uid="{00000000-0005-0000-0000-0000251C0000}"/>
    <cellStyle name="Normal 11 19 12" xfId="8026" xr:uid="{00000000-0005-0000-0000-0000261C0000}"/>
    <cellStyle name="Normal 11 19 13" xfId="8027" xr:uid="{00000000-0005-0000-0000-0000271C0000}"/>
    <cellStyle name="Normal 11 19 14" xfId="8028" xr:uid="{00000000-0005-0000-0000-0000281C0000}"/>
    <cellStyle name="Normal 11 19 15" xfId="8029" xr:uid="{00000000-0005-0000-0000-0000291C0000}"/>
    <cellStyle name="Normal 11 19 16" xfId="8030" xr:uid="{00000000-0005-0000-0000-00002A1C0000}"/>
    <cellStyle name="Normal 11 19 17" xfId="8031" xr:uid="{00000000-0005-0000-0000-00002B1C0000}"/>
    <cellStyle name="Normal 11 19 18" xfId="8032" xr:uid="{00000000-0005-0000-0000-00002C1C0000}"/>
    <cellStyle name="Normal 11 19 19" xfId="8033" xr:uid="{00000000-0005-0000-0000-00002D1C0000}"/>
    <cellStyle name="Normal 11 19 2" xfId="8034" xr:uid="{00000000-0005-0000-0000-00002E1C0000}"/>
    <cellStyle name="Normal 11 19 2 2" xfId="8035" xr:uid="{00000000-0005-0000-0000-00002F1C0000}"/>
    <cellStyle name="Normal 11 19 2 3" xfId="8036" xr:uid="{00000000-0005-0000-0000-0000301C0000}"/>
    <cellStyle name="Normal 11 19 2 4" xfId="8037" xr:uid="{00000000-0005-0000-0000-0000311C0000}"/>
    <cellStyle name="Normal 11 19 20" xfId="8038" xr:uid="{00000000-0005-0000-0000-0000321C0000}"/>
    <cellStyle name="Normal 11 19 21" xfId="8039" xr:uid="{00000000-0005-0000-0000-0000331C0000}"/>
    <cellStyle name="Normal 11 19 22" xfId="8040" xr:uid="{00000000-0005-0000-0000-0000341C0000}"/>
    <cellStyle name="Normal 11 19 23" xfId="8041" xr:uid="{00000000-0005-0000-0000-0000351C0000}"/>
    <cellStyle name="Normal 11 19 24" xfId="8042" xr:uid="{00000000-0005-0000-0000-0000361C0000}"/>
    <cellStyle name="Normal 11 19 25" xfId="8043" xr:uid="{00000000-0005-0000-0000-0000371C0000}"/>
    <cellStyle name="Normal 11 19 26" xfId="8044" xr:uid="{00000000-0005-0000-0000-0000381C0000}"/>
    <cellStyle name="Normal 11 19 27" xfId="8045" xr:uid="{00000000-0005-0000-0000-0000391C0000}"/>
    <cellStyle name="Normal 11 19 28" xfId="8046" xr:uid="{00000000-0005-0000-0000-00003A1C0000}"/>
    <cellStyle name="Normal 11 19 29" xfId="8047" xr:uid="{00000000-0005-0000-0000-00003B1C0000}"/>
    <cellStyle name="Normal 11 19 3" xfId="8048" xr:uid="{00000000-0005-0000-0000-00003C1C0000}"/>
    <cellStyle name="Normal 11 19 3 2" xfId="8049" xr:uid="{00000000-0005-0000-0000-00003D1C0000}"/>
    <cellStyle name="Normal 11 19 3 3" xfId="8050" xr:uid="{00000000-0005-0000-0000-00003E1C0000}"/>
    <cellStyle name="Normal 11 19 3 4" xfId="8051" xr:uid="{00000000-0005-0000-0000-00003F1C0000}"/>
    <cellStyle name="Normal 11 19 30" xfId="8052" xr:uid="{00000000-0005-0000-0000-0000401C0000}"/>
    <cellStyle name="Normal 11 19 31" xfId="8053" xr:uid="{00000000-0005-0000-0000-0000411C0000}"/>
    <cellStyle name="Normal 11 19 32" xfId="8054" xr:uid="{00000000-0005-0000-0000-0000421C0000}"/>
    <cellStyle name="Normal 11 19 33" xfId="8055" xr:uid="{00000000-0005-0000-0000-0000431C0000}"/>
    <cellStyle name="Normal 11 19 34" xfId="8056" xr:uid="{00000000-0005-0000-0000-0000441C0000}"/>
    <cellStyle name="Normal 11 19 35" xfId="8057" xr:uid="{00000000-0005-0000-0000-0000451C0000}"/>
    <cellStyle name="Normal 11 19 36" xfId="8058" xr:uid="{00000000-0005-0000-0000-0000461C0000}"/>
    <cellStyle name="Normal 11 19 37" xfId="8059" xr:uid="{00000000-0005-0000-0000-0000471C0000}"/>
    <cellStyle name="Normal 11 19 38" xfId="8060" xr:uid="{00000000-0005-0000-0000-0000481C0000}"/>
    <cellStyle name="Normal 11 19 39" xfId="8061" xr:uid="{00000000-0005-0000-0000-0000491C0000}"/>
    <cellStyle name="Normal 11 19 4" xfId="8062" xr:uid="{00000000-0005-0000-0000-00004A1C0000}"/>
    <cellStyle name="Normal 11 19 40" xfId="8063" xr:uid="{00000000-0005-0000-0000-00004B1C0000}"/>
    <cellStyle name="Normal 11 19 41" xfId="8064" xr:uid="{00000000-0005-0000-0000-00004C1C0000}"/>
    <cellStyle name="Normal 11 19 42" xfId="8065" xr:uid="{00000000-0005-0000-0000-00004D1C0000}"/>
    <cellStyle name="Normal 11 19 43" xfId="8066" xr:uid="{00000000-0005-0000-0000-00004E1C0000}"/>
    <cellStyle name="Normal 11 19 44" xfId="8067" xr:uid="{00000000-0005-0000-0000-00004F1C0000}"/>
    <cellStyle name="Normal 11 19 45" xfId="8068" xr:uid="{00000000-0005-0000-0000-0000501C0000}"/>
    <cellStyle name="Normal 11 19 5" xfId="8069" xr:uid="{00000000-0005-0000-0000-0000511C0000}"/>
    <cellStyle name="Normal 11 19 6" xfId="8070" xr:uid="{00000000-0005-0000-0000-0000521C0000}"/>
    <cellStyle name="Normal 11 19 7" xfId="8071" xr:uid="{00000000-0005-0000-0000-0000531C0000}"/>
    <cellStyle name="Normal 11 19 8" xfId="8072" xr:uid="{00000000-0005-0000-0000-0000541C0000}"/>
    <cellStyle name="Normal 11 19 9" xfId="8073" xr:uid="{00000000-0005-0000-0000-0000551C0000}"/>
    <cellStyle name="Normal 11 2" xfId="8074" xr:uid="{00000000-0005-0000-0000-0000561C0000}"/>
    <cellStyle name="Normal 11 2 10" xfId="8075" xr:uid="{00000000-0005-0000-0000-0000571C0000}"/>
    <cellStyle name="Normal 11 2 10 2" xfId="8076" xr:uid="{00000000-0005-0000-0000-0000581C0000}"/>
    <cellStyle name="Normal 11 2 10 2 2" xfId="8077" xr:uid="{00000000-0005-0000-0000-0000591C0000}"/>
    <cellStyle name="Normal 11 2 10 2 3" xfId="8078" xr:uid="{00000000-0005-0000-0000-00005A1C0000}"/>
    <cellStyle name="Normal 11 2 10 2 4" xfId="8079" xr:uid="{00000000-0005-0000-0000-00005B1C0000}"/>
    <cellStyle name="Normal 11 2 10 3" xfId="8080" xr:uid="{00000000-0005-0000-0000-00005C1C0000}"/>
    <cellStyle name="Normal 11 2 10 3 2" xfId="8081" xr:uid="{00000000-0005-0000-0000-00005D1C0000}"/>
    <cellStyle name="Normal 11 2 10 3 3" xfId="8082" xr:uid="{00000000-0005-0000-0000-00005E1C0000}"/>
    <cellStyle name="Normal 11 2 10 3 4" xfId="8083" xr:uid="{00000000-0005-0000-0000-00005F1C0000}"/>
    <cellStyle name="Normal 11 2 10 4" xfId="8084" xr:uid="{00000000-0005-0000-0000-0000601C0000}"/>
    <cellStyle name="Normal 11 2 10 5" xfId="8085" xr:uid="{00000000-0005-0000-0000-0000611C0000}"/>
    <cellStyle name="Normal 11 2 10 6" xfId="8086" xr:uid="{00000000-0005-0000-0000-0000621C0000}"/>
    <cellStyle name="Normal 11 2 11" xfId="8087" xr:uid="{00000000-0005-0000-0000-0000631C0000}"/>
    <cellStyle name="Normal 11 2 11 2" xfId="8088" xr:uid="{00000000-0005-0000-0000-0000641C0000}"/>
    <cellStyle name="Normal 11 2 11 2 2" xfId="8089" xr:uid="{00000000-0005-0000-0000-0000651C0000}"/>
    <cellStyle name="Normal 11 2 11 2 3" xfId="8090" xr:uid="{00000000-0005-0000-0000-0000661C0000}"/>
    <cellStyle name="Normal 11 2 11 2 4" xfId="8091" xr:uid="{00000000-0005-0000-0000-0000671C0000}"/>
    <cellStyle name="Normal 11 2 11 3" xfId="8092" xr:uid="{00000000-0005-0000-0000-0000681C0000}"/>
    <cellStyle name="Normal 11 2 11 3 2" xfId="8093" xr:uid="{00000000-0005-0000-0000-0000691C0000}"/>
    <cellStyle name="Normal 11 2 11 3 3" xfId="8094" xr:uid="{00000000-0005-0000-0000-00006A1C0000}"/>
    <cellStyle name="Normal 11 2 11 3 4" xfId="8095" xr:uid="{00000000-0005-0000-0000-00006B1C0000}"/>
    <cellStyle name="Normal 11 2 11 4" xfId="8096" xr:uid="{00000000-0005-0000-0000-00006C1C0000}"/>
    <cellStyle name="Normal 11 2 11 5" xfId="8097" xr:uid="{00000000-0005-0000-0000-00006D1C0000}"/>
    <cellStyle name="Normal 11 2 11 6" xfId="8098" xr:uid="{00000000-0005-0000-0000-00006E1C0000}"/>
    <cellStyle name="Normal 11 2 12" xfId="8099" xr:uid="{00000000-0005-0000-0000-00006F1C0000}"/>
    <cellStyle name="Normal 11 2 12 2" xfId="8100" xr:uid="{00000000-0005-0000-0000-0000701C0000}"/>
    <cellStyle name="Normal 11 2 12 2 2" xfId="8101" xr:uid="{00000000-0005-0000-0000-0000711C0000}"/>
    <cellStyle name="Normal 11 2 12 2 3" xfId="8102" xr:uid="{00000000-0005-0000-0000-0000721C0000}"/>
    <cellStyle name="Normal 11 2 12 2 4" xfId="8103" xr:uid="{00000000-0005-0000-0000-0000731C0000}"/>
    <cellStyle name="Normal 11 2 12 3" xfId="8104" xr:uid="{00000000-0005-0000-0000-0000741C0000}"/>
    <cellStyle name="Normal 11 2 12 3 2" xfId="8105" xr:uid="{00000000-0005-0000-0000-0000751C0000}"/>
    <cellStyle name="Normal 11 2 12 3 3" xfId="8106" xr:uid="{00000000-0005-0000-0000-0000761C0000}"/>
    <cellStyle name="Normal 11 2 12 3 4" xfId="8107" xr:uid="{00000000-0005-0000-0000-0000771C0000}"/>
    <cellStyle name="Normal 11 2 12 4" xfId="8108" xr:uid="{00000000-0005-0000-0000-0000781C0000}"/>
    <cellStyle name="Normal 11 2 12 5" xfId="8109" xr:uid="{00000000-0005-0000-0000-0000791C0000}"/>
    <cellStyle name="Normal 11 2 12 6" xfId="8110" xr:uid="{00000000-0005-0000-0000-00007A1C0000}"/>
    <cellStyle name="Normal 11 2 13" xfId="8111" xr:uid="{00000000-0005-0000-0000-00007B1C0000}"/>
    <cellStyle name="Normal 11 2 13 2" xfId="8112" xr:uid="{00000000-0005-0000-0000-00007C1C0000}"/>
    <cellStyle name="Normal 11 2 13 2 2" xfId="8113" xr:uid="{00000000-0005-0000-0000-00007D1C0000}"/>
    <cellStyle name="Normal 11 2 13 2 3" xfId="8114" xr:uid="{00000000-0005-0000-0000-00007E1C0000}"/>
    <cellStyle name="Normal 11 2 13 2 4" xfId="8115" xr:uid="{00000000-0005-0000-0000-00007F1C0000}"/>
    <cellStyle name="Normal 11 2 13 3" xfId="8116" xr:uid="{00000000-0005-0000-0000-0000801C0000}"/>
    <cellStyle name="Normal 11 2 13 3 2" xfId="8117" xr:uid="{00000000-0005-0000-0000-0000811C0000}"/>
    <cellStyle name="Normal 11 2 13 3 3" xfId="8118" xr:uid="{00000000-0005-0000-0000-0000821C0000}"/>
    <cellStyle name="Normal 11 2 13 3 4" xfId="8119" xr:uid="{00000000-0005-0000-0000-0000831C0000}"/>
    <cellStyle name="Normal 11 2 13 4" xfId="8120" xr:uid="{00000000-0005-0000-0000-0000841C0000}"/>
    <cellStyle name="Normal 11 2 13 5" xfId="8121" xr:uid="{00000000-0005-0000-0000-0000851C0000}"/>
    <cellStyle name="Normal 11 2 13 6" xfId="8122" xr:uid="{00000000-0005-0000-0000-0000861C0000}"/>
    <cellStyle name="Normal 11 2 14" xfId="8123" xr:uid="{00000000-0005-0000-0000-0000871C0000}"/>
    <cellStyle name="Normal 11 2 14 2" xfId="8124" xr:uid="{00000000-0005-0000-0000-0000881C0000}"/>
    <cellStyle name="Normal 11 2 14 2 2" xfId="8125" xr:uid="{00000000-0005-0000-0000-0000891C0000}"/>
    <cellStyle name="Normal 11 2 14 2 3" xfId="8126" xr:uid="{00000000-0005-0000-0000-00008A1C0000}"/>
    <cellStyle name="Normal 11 2 14 2 4" xfId="8127" xr:uid="{00000000-0005-0000-0000-00008B1C0000}"/>
    <cellStyle name="Normal 11 2 14 3" xfId="8128" xr:uid="{00000000-0005-0000-0000-00008C1C0000}"/>
    <cellStyle name="Normal 11 2 14 3 2" xfId="8129" xr:uid="{00000000-0005-0000-0000-00008D1C0000}"/>
    <cellStyle name="Normal 11 2 14 3 3" xfId="8130" xr:uid="{00000000-0005-0000-0000-00008E1C0000}"/>
    <cellStyle name="Normal 11 2 14 3 4" xfId="8131" xr:uid="{00000000-0005-0000-0000-00008F1C0000}"/>
    <cellStyle name="Normal 11 2 14 4" xfId="8132" xr:uid="{00000000-0005-0000-0000-0000901C0000}"/>
    <cellStyle name="Normal 11 2 14 5" xfId="8133" xr:uid="{00000000-0005-0000-0000-0000911C0000}"/>
    <cellStyle name="Normal 11 2 14 6" xfId="8134" xr:uid="{00000000-0005-0000-0000-0000921C0000}"/>
    <cellStyle name="Normal 11 2 15" xfId="8135" xr:uid="{00000000-0005-0000-0000-0000931C0000}"/>
    <cellStyle name="Normal 11 2 15 2" xfId="8136" xr:uid="{00000000-0005-0000-0000-0000941C0000}"/>
    <cellStyle name="Normal 11 2 15 2 2" xfId="8137" xr:uid="{00000000-0005-0000-0000-0000951C0000}"/>
    <cellStyle name="Normal 11 2 15 2 3" xfId="8138" xr:uid="{00000000-0005-0000-0000-0000961C0000}"/>
    <cellStyle name="Normal 11 2 15 2 4" xfId="8139" xr:uid="{00000000-0005-0000-0000-0000971C0000}"/>
    <cellStyle name="Normal 11 2 15 3" xfId="8140" xr:uid="{00000000-0005-0000-0000-0000981C0000}"/>
    <cellStyle name="Normal 11 2 15 3 2" xfId="8141" xr:uid="{00000000-0005-0000-0000-0000991C0000}"/>
    <cellStyle name="Normal 11 2 15 3 3" xfId="8142" xr:uid="{00000000-0005-0000-0000-00009A1C0000}"/>
    <cellStyle name="Normal 11 2 15 3 4" xfId="8143" xr:uid="{00000000-0005-0000-0000-00009B1C0000}"/>
    <cellStyle name="Normal 11 2 15 4" xfId="8144" xr:uid="{00000000-0005-0000-0000-00009C1C0000}"/>
    <cellStyle name="Normal 11 2 15 5" xfId="8145" xr:uid="{00000000-0005-0000-0000-00009D1C0000}"/>
    <cellStyle name="Normal 11 2 15 6" xfId="8146" xr:uid="{00000000-0005-0000-0000-00009E1C0000}"/>
    <cellStyle name="Normal 11 2 16" xfId="8147" xr:uid="{00000000-0005-0000-0000-00009F1C0000}"/>
    <cellStyle name="Normal 11 2 16 2" xfId="8148" xr:uid="{00000000-0005-0000-0000-0000A01C0000}"/>
    <cellStyle name="Normal 11 2 16 2 2" xfId="8149" xr:uid="{00000000-0005-0000-0000-0000A11C0000}"/>
    <cellStyle name="Normal 11 2 16 2 3" xfId="8150" xr:uid="{00000000-0005-0000-0000-0000A21C0000}"/>
    <cellStyle name="Normal 11 2 16 2 4" xfId="8151" xr:uid="{00000000-0005-0000-0000-0000A31C0000}"/>
    <cellStyle name="Normal 11 2 16 3" xfId="8152" xr:uid="{00000000-0005-0000-0000-0000A41C0000}"/>
    <cellStyle name="Normal 11 2 16 3 2" xfId="8153" xr:uid="{00000000-0005-0000-0000-0000A51C0000}"/>
    <cellStyle name="Normal 11 2 16 3 3" xfId="8154" xr:uid="{00000000-0005-0000-0000-0000A61C0000}"/>
    <cellStyle name="Normal 11 2 16 3 4" xfId="8155" xr:uid="{00000000-0005-0000-0000-0000A71C0000}"/>
    <cellStyle name="Normal 11 2 16 4" xfId="8156" xr:uid="{00000000-0005-0000-0000-0000A81C0000}"/>
    <cellStyle name="Normal 11 2 16 5" xfId="8157" xr:uid="{00000000-0005-0000-0000-0000A91C0000}"/>
    <cellStyle name="Normal 11 2 16 6" xfId="8158" xr:uid="{00000000-0005-0000-0000-0000AA1C0000}"/>
    <cellStyle name="Normal 11 2 17" xfId="8159" xr:uid="{00000000-0005-0000-0000-0000AB1C0000}"/>
    <cellStyle name="Normal 11 2 17 2" xfId="8160" xr:uid="{00000000-0005-0000-0000-0000AC1C0000}"/>
    <cellStyle name="Normal 11 2 17 2 2" xfId="8161" xr:uid="{00000000-0005-0000-0000-0000AD1C0000}"/>
    <cellStyle name="Normal 11 2 17 2 3" xfId="8162" xr:uid="{00000000-0005-0000-0000-0000AE1C0000}"/>
    <cellStyle name="Normal 11 2 17 2 4" xfId="8163" xr:uid="{00000000-0005-0000-0000-0000AF1C0000}"/>
    <cellStyle name="Normal 11 2 17 3" xfId="8164" xr:uid="{00000000-0005-0000-0000-0000B01C0000}"/>
    <cellStyle name="Normal 11 2 17 3 2" xfId="8165" xr:uid="{00000000-0005-0000-0000-0000B11C0000}"/>
    <cellStyle name="Normal 11 2 17 3 3" xfId="8166" xr:uid="{00000000-0005-0000-0000-0000B21C0000}"/>
    <cellStyle name="Normal 11 2 17 3 4" xfId="8167" xr:uid="{00000000-0005-0000-0000-0000B31C0000}"/>
    <cellStyle name="Normal 11 2 17 4" xfId="8168" xr:uid="{00000000-0005-0000-0000-0000B41C0000}"/>
    <cellStyle name="Normal 11 2 17 5" xfId="8169" xr:uid="{00000000-0005-0000-0000-0000B51C0000}"/>
    <cellStyle name="Normal 11 2 17 6" xfId="8170" xr:uid="{00000000-0005-0000-0000-0000B61C0000}"/>
    <cellStyle name="Normal 11 2 18" xfId="8171" xr:uid="{00000000-0005-0000-0000-0000B71C0000}"/>
    <cellStyle name="Normal 11 2 18 2" xfId="8172" xr:uid="{00000000-0005-0000-0000-0000B81C0000}"/>
    <cellStyle name="Normal 11 2 18 3" xfId="8173" xr:uid="{00000000-0005-0000-0000-0000B91C0000}"/>
    <cellStyle name="Normal 11 2 18 4" xfId="8174" xr:uid="{00000000-0005-0000-0000-0000BA1C0000}"/>
    <cellStyle name="Normal 11 2 19" xfId="8175" xr:uid="{00000000-0005-0000-0000-0000BB1C0000}"/>
    <cellStyle name="Normal 11 2 19 2" xfId="8176" xr:uid="{00000000-0005-0000-0000-0000BC1C0000}"/>
    <cellStyle name="Normal 11 2 19 3" xfId="8177" xr:uid="{00000000-0005-0000-0000-0000BD1C0000}"/>
    <cellStyle name="Normal 11 2 19 4" xfId="8178" xr:uid="{00000000-0005-0000-0000-0000BE1C0000}"/>
    <cellStyle name="Normal 11 2 2" xfId="8179" xr:uid="{00000000-0005-0000-0000-0000BF1C0000}"/>
    <cellStyle name="Normal 11 2 2 2" xfId="8180" xr:uid="{00000000-0005-0000-0000-0000C01C0000}"/>
    <cellStyle name="Normal 11 2 2 2 2" xfId="8181" xr:uid="{00000000-0005-0000-0000-0000C11C0000}"/>
    <cellStyle name="Normal 11 2 2 2 3" xfId="8182" xr:uid="{00000000-0005-0000-0000-0000C21C0000}"/>
    <cellStyle name="Normal 11 2 2 2 4" xfId="8183" xr:uid="{00000000-0005-0000-0000-0000C31C0000}"/>
    <cellStyle name="Normal 11 2 2 3" xfId="8184" xr:uid="{00000000-0005-0000-0000-0000C41C0000}"/>
    <cellStyle name="Normal 11 2 2 3 2" xfId="8185" xr:uid="{00000000-0005-0000-0000-0000C51C0000}"/>
    <cellStyle name="Normal 11 2 2 3 3" xfId="8186" xr:uid="{00000000-0005-0000-0000-0000C61C0000}"/>
    <cellStyle name="Normal 11 2 2 3 4" xfId="8187" xr:uid="{00000000-0005-0000-0000-0000C71C0000}"/>
    <cellStyle name="Normal 11 2 2 4" xfId="8188" xr:uid="{00000000-0005-0000-0000-0000C81C0000}"/>
    <cellStyle name="Normal 11 2 2 5" xfId="8189" xr:uid="{00000000-0005-0000-0000-0000C91C0000}"/>
    <cellStyle name="Normal 11 2 2 6" xfId="8190" xr:uid="{00000000-0005-0000-0000-0000CA1C0000}"/>
    <cellStyle name="Normal 11 2 2 7" xfId="43466" xr:uid="{2703AD03-6DF2-499E-A8AA-507EF2A68639}"/>
    <cellStyle name="Normal 11 2 20" xfId="8191" xr:uid="{00000000-0005-0000-0000-0000CB1C0000}"/>
    <cellStyle name="Normal 11 2 20 2" xfId="8192" xr:uid="{00000000-0005-0000-0000-0000CC1C0000}"/>
    <cellStyle name="Normal 11 2 20 3" xfId="8193" xr:uid="{00000000-0005-0000-0000-0000CD1C0000}"/>
    <cellStyle name="Normal 11 2 20 4" xfId="8194" xr:uid="{00000000-0005-0000-0000-0000CE1C0000}"/>
    <cellStyle name="Normal 11 2 21" xfId="8195" xr:uid="{00000000-0005-0000-0000-0000CF1C0000}"/>
    <cellStyle name="Normal 11 2 22" xfId="8196" xr:uid="{00000000-0005-0000-0000-0000D01C0000}"/>
    <cellStyle name="Normal 11 2 23" xfId="8197" xr:uid="{00000000-0005-0000-0000-0000D11C0000}"/>
    <cellStyle name="Normal 11 2 24" xfId="8198" xr:uid="{00000000-0005-0000-0000-0000D21C0000}"/>
    <cellStyle name="Normal 11 2 25" xfId="8199" xr:uid="{00000000-0005-0000-0000-0000D31C0000}"/>
    <cellStyle name="Normal 11 2 26" xfId="8200" xr:uid="{00000000-0005-0000-0000-0000D41C0000}"/>
    <cellStyle name="Normal 11 2 27" xfId="8201" xr:uid="{00000000-0005-0000-0000-0000D51C0000}"/>
    <cellStyle name="Normal 11 2 28" xfId="8202" xr:uid="{00000000-0005-0000-0000-0000D61C0000}"/>
    <cellStyle name="Normal 11 2 29" xfId="8203" xr:uid="{00000000-0005-0000-0000-0000D71C0000}"/>
    <cellStyle name="Normal 11 2 3" xfId="8204" xr:uid="{00000000-0005-0000-0000-0000D81C0000}"/>
    <cellStyle name="Normal 11 2 3 2" xfId="8205" xr:uid="{00000000-0005-0000-0000-0000D91C0000}"/>
    <cellStyle name="Normal 11 2 3 2 2" xfId="8206" xr:uid="{00000000-0005-0000-0000-0000DA1C0000}"/>
    <cellStyle name="Normal 11 2 3 2 3" xfId="8207" xr:uid="{00000000-0005-0000-0000-0000DB1C0000}"/>
    <cellStyle name="Normal 11 2 3 2 4" xfId="8208" xr:uid="{00000000-0005-0000-0000-0000DC1C0000}"/>
    <cellStyle name="Normal 11 2 3 3" xfId="8209" xr:uid="{00000000-0005-0000-0000-0000DD1C0000}"/>
    <cellStyle name="Normal 11 2 3 3 2" xfId="8210" xr:uid="{00000000-0005-0000-0000-0000DE1C0000}"/>
    <cellStyle name="Normal 11 2 3 3 3" xfId="8211" xr:uid="{00000000-0005-0000-0000-0000DF1C0000}"/>
    <cellStyle name="Normal 11 2 3 3 4" xfId="8212" xr:uid="{00000000-0005-0000-0000-0000E01C0000}"/>
    <cellStyle name="Normal 11 2 3 4" xfId="8213" xr:uid="{00000000-0005-0000-0000-0000E11C0000}"/>
    <cellStyle name="Normal 11 2 3 5" xfId="8214" xr:uid="{00000000-0005-0000-0000-0000E21C0000}"/>
    <cellStyle name="Normal 11 2 3 6" xfId="8215" xr:uid="{00000000-0005-0000-0000-0000E31C0000}"/>
    <cellStyle name="Normal 11 2 30" xfId="8216" xr:uid="{00000000-0005-0000-0000-0000E41C0000}"/>
    <cellStyle name="Normal 11 2 31" xfId="8217" xr:uid="{00000000-0005-0000-0000-0000E51C0000}"/>
    <cellStyle name="Normal 11 2 32" xfId="8218" xr:uid="{00000000-0005-0000-0000-0000E61C0000}"/>
    <cellStyle name="Normal 11 2 33" xfId="8219" xr:uid="{00000000-0005-0000-0000-0000E71C0000}"/>
    <cellStyle name="Normal 11 2 34" xfId="8220" xr:uid="{00000000-0005-0000-0000-0000E81C0000}"/>
    <cellStyle name="Normal 11 2 35" xfId="8221" xr:uid="{00000000-0005-0000-0000-0000E91C0000}"/>
    <cellStyle name="Normal 11 2 36" xfId="8222" xr:uid="{00000000-0005-0000-0000-0000EA1C0000}"/>
    <cellStyle name="Normal 11 2 37" xfId="8223" xr:uid="{00000000-0005-0000-0000-0000EB1C0000}"/>
    <cellStyle name="Normal 11 2 38" xfId="8224" xr:uid="{00000000-0005-0000-0000-0000EC1C0000}"/>
    <cellStyle name="Normal 11 2 39" xfId="8225" xr:uid="{00000000-0005-0000-0000-0000ED1C0000}"/>
    <cellStyle name="Normal 11 2 4" xfId="8226" xr:uid="{00000000-0005-0000-0000-0000EE1C0000}"/>
    <cellStyle name="Normal 11 2 4 2" xfId="8227" xr:uid="{00000000-0005-0000-0000-0000EF1C0000}"/>
    <cellStyle name="Normal 11 2 4 2 2" xfId="8228" xr:uid="{00000000-0005-0000-0000-0000F01C0000}"/>
    <cellStyle name="Normal 11 2 4 2 3" xfId="8229" xr:uid="{00000000-0005-0000-0000-0000F11C0000}"/>
    <cellStyle name="Normal 11 2 4 2 4" xfId="8230" xr:uid="{00000000-0005-0000-0000-0000F21C0000}"/>
    <cellStyle name="Normal 11 2 4 3" xfId="8231" xr:uid="{00000000-0005-0000-0000-0000F31C0000}"/>
    <cellStyle name="Normal 11 2 4 3 2" xfId="8232" xr:uid="{00000000-0005-0000-0000-0000F41C0000}"/>
    <cellStyle name="Normal 11 2 4 3 3" xfId="8233" xr:uid="{00000000-0005-0000-0000-0000F51C0000}"/>
    <cellStyle name="Normal 11 2 4 3 4" xfId="8234" xr:uid="{00000000-0005-0000-0000-0000F61C0000}"/>
    <cellStyle name="Normal 11 2 4 4" xfId="8235" xr:uid="{00000000-0005-0000-0000-0000F71C0000}"/>
    <cellStyle name="Normal 11 2 4 5" xfId="8236" xr:uid="{00000000-0005-0000-0000-0000F81C0000}"/>
    <cellStyle name="Normal 11 2 4 6" xfId="8237" xr:uid="{00000000-0005-0000-0000-0000F91C0000}"/>
    <cellStyle name="Normal 11 2 40" xfId="8238" xr:uid="{00000000-0005-0000-0000-0000FA1C0000}"/>
    <cellStyle name="Normal 11 2 41" xfId="8239" xr:uid="{00000000-0005-0000-0000-0000FB1C0000}"/>
    <cellStyle name="Normal 11 2 42" xfId="8240" xr:uid="{00000000-0005-0000-0000-0000FC1C0000}"/>
    <cellStyle name="Normal 11 2 43" xfId="8241" xr:uid="{00000000-0005-0000-0000-0000FD1C0000}"/>
    <cellStyle name="Normal 11 2 44" xfId="8242" xr:uid="{00000000-0005-0000-0000-0000FE1C0000}"/>
    <cellStyle name="Normal 11 2 45" xfId="8243" xr:uid="{00000000-0005-0000-0000-0000FF1C0000}"/>
    <cellStyle name="Normal 11 2 46" xfId="8244" xr:uid="{00000000-0005-0000-0000-0000001D0000}"/>
    <cellStyle name="Normal 11 2 47" xfId="8245" xr:uid="{00000000-0005-0000-0000-0000011D0000}"/>
    <cellStyle name="Normal 11 2 48" xfId="8246" xr:uid="{00000000-0005-0000-0000-0000021D0000}"/>
    <cellStyle name="Normal 11 2 49" xfId="8247" xr:uid="{00000000-0005-0000-0000-0000031D0000}"/>
    <cellStyle name="Normal 11 2 5" xfId="8248" xr:uid="{00000000-0005-0000-0000-0000041D0000}"/>
    <cellStyle name="Normal 11 2 5 2" xfId="8249" xr:uid="{00000000-0005-0000-0000-0000051D0000}"/>
    <cellStyle name="Normal 11 2 5 2 2" xfId="8250" xr:uid="{00000000-0005-0000-0000-0000061D0000}"/>
    <cellStyle name="Normal 11 2 5 2 3" xfId="8251" xr:uid="{00000000-0005-0000-0000-0000071D0000}"/>
    <cellStyle name="Normal 11 2 5 2 4" xfId="8252" xr:uid="{00000000-0005-0000-0000-0000081D0000}"/>
    <cellStyle name="Normal 11 2 5 3" xfId="8253" xr:uid="{00000000-0005-0000-0000-0000091D0000}"/>
    <cellStyle name="Normal 11 2 5 3 2" xfId="8254" xr:uid="{00000000-0005-0000-0000-00000A1D0000}"/>
    <cellStyle name="Normal 11 2 5 3 3" xfId="8255" xr:uid="{00000000-0005-0000-0000-00000B1D0000}"/>
    <cellStyle name="Normal 11 2 5 3 4" xfId="8256" xr:uid="{00000000-0005-0000-0000-00000C1D0000}"/>
    <cellStyle name="Normal 11 2 5 4" xfId="8257" xr:uid="{00000000-0005-0000-0000-00000D1D0000}"/>
    <cellStyle name="Normal 11 2 5 5" xfId="8258" xr:uid="{00000000-0005-0000-0000-00000E1D0000}"/>
    <cellStyle name="Normal 11 2 5 6" xfId="8259" xr:uid="{00000000-0005-0000-0000-00000F1D0000}"/>
    <cellStyle name="Normal 11 2 50" xfId="8260" xr:uid="{00000000-0005-0000-0000-0000101D0000}"/>
    <cellStyle name="Normal 11 2 51" xfId="8261" xr:uid="{00000000-0005-0000-0000-0000111D0000}"/>
    <cellStyle name="Normal 11 2 52" xfId="8262" xr:uid="{00000000-0005-0000-0000-0000121D0000}"/>
    <cellStyle name="Normal 11 2 53" xfId="8263" xr:uid="{00000000-0005-0000-0000-0000131D0000}"/>
    <cellStyle name="Normal 11 2 6" xfId="8264" xr:uid="{00000000-0005-0000-0000-0000141D0000}"/>
    <cellStyle name="Normal 11 2 6 2" xfId="8265" xr:uid="{00000000-0005-0000-0000-0000151D0000}"/>
    <cellStyle name="Normal 11 2 6 2 2" xfId="8266" xr:uid="{00000000-0005-0000-0000-0000161D0000}"/>
    <cellStyle name="Normal 11 2 6 2 3" xfId="8267" xr:uid="{00000000-0005-0000-0000-0000171D0000}"/>
    <cellStyle name="Normal 11 2 6 2 4" xfId="8268" xr:uid="{00000000-0005-0000-0000-0000181D0000}"/>
    <cellStyle name="Normal 11 2 6 3" xfId="8269" xr:uid="{00000000-0005-0000-0000-0000191D0000}"/>
    <cellStyle name="Normal 11 2 6 3 2" xfId="8270" xr:uid="{00000000-0005-0000-0000-00001A1D0000}"/>
    <cellStyle name="Normal 11 2 6 3 3" xfId="8271" xr:uid="{00000000-0005-0000-0000-00001B1D0000}"/>
    <cellStyle name="Normal 11 2 6 3 4" xfId="8272" xr:uid="{00000000-0005-0000-0000-00001C1D0000}"/>
    <cellStyle name="Normal 11 2 6 4" xfId="8273" xr:uid="{00000000-0005-0000-0000-00001D1D0000}"/>
    <cellStyle name="Normal 11 2 6 5" xfId="8274" xr:uid="{00000000-0005-0000-0000-00001E1D0000}"/>
    <cellStyle name="Normal 11 2 6 6" xfId="8275" xr:uid="{00000000-0005-0000-0000-00001F1D0000}"/>
    <cellStyle name="Normal 11 2 7" xfId="8276" xr:uid="{00000000-0005-0000-0000-0000201D0000}"/>
    <cellStyle name="Normal 11 2 7 2" xfId="8277" xr:uid="{00000000-0005-0000-0000-0000211D0000}"/>
    <cellStyle name="Normal 11 2 7 2 2" xfId="8278" xr:uid="{00000000-0005-0000-0000-0000221D0000}"/>
    <cellStyle name="Normal 11 2 7 2 3" xfId="8279" xr:uid="{00000000-0005-0000-0000-0000231D0000}"/>
    <cellStyle name="Normal 11 2 7 2 4" xfId="8280" xr:uid="{00000000-0005-0000-0000-0000241D0000}"/>
    <cellStyle name="Normal 11 2 7 3" xfId="8281" xr:uid="{00000000-0005-0000-0000-0000251D0000}"/>
    <cellStyle name="Normal 11 2 7 3 2" xfId="8282" xr:uid="{00000000-0005-0000-0000-0000261D0000}"/>
    <cellStyle name="Normal 11 2 7 3 3" xfId="8283" xr:uid="{00000000-0005-0000-0000-0000271D0000}"/>
    <cellStyle name="Normal 11 2 7 3 4" xfId="8284" xr:uid="{00000000-0005-0000-0000-0000281D0000}"/>
    <cellStyle name="Normal 11 2 7 4" xfId="8285" xr:uid="{00000000-0005-0000-0000-0000291D0000}"/>
    <cellStyle name="Normal 11 2 7 5" xfId="8286" xr:uid="{00000000-0005-0000-0000-00002A1D0000}"/>
    <cellStyle name="Normal 11 2 7 6" xfId="8287" xr:uid="{00000000-0005-0000-0000-00002B1D0000}"/>
    <cellStyle name="Normal 11 2 8" xfId="8288" xr:uid="{00000000-0005-0000-0000-00002C1D0000}"/>
    <cellStyle name="Normal 11 2 8 2" xfId="8289" xr:uid="{00000000-0005-0000-0000-00002D1D0000}"/>
    <cellStyle name="Normal 11 2 8 2 2" xfId="8290" xr:uid="{00000000-0005-0000-0000-00002E1D0000}"/>
    <cellStyle name="Normal 11 2 8 2 3" xfId="8291" xr:uid="{00000000-0005-0000-0000-00002F1D0000}"/>
    <cellStyle name="Normal 11 2 8 2 4" xfId="8292" xr:uid="{00000000-0005-0000-0000-0000301D0000}"/>
    <cellStyle name="Normal 11 2 8 3" xfId="8293" xr:uid="{00000000-0005-0000-0000-0000311D0000}"/>
    <cellStyle name="Normal 11 2 8 3 2" xfId="8294" xr:uid="{00000000-0005-0000-0000-0000321D0000}"/>
    <cellStyle name="Normal 11 2 8 3 3" xfId="8295" xr:uid="{00000000-0005-0000-0000-0000331D0000}"/>
    <cellStyle name="Normal 11 2 8 3 4" xfId="8296" xr:uid="{00000000-0005-0000-0000-0000341D0000}"/>
    <cellStyle name="Normal 11 2 8 4" xfId="8297" xr:uid="{00000000-0005-0000-0000-0000351D0000}"/>
    <cellStyle name="Normal 11 2 8 5" xfId="8298" xr:uid="{00000000-0005-0000-0000-0000361D0000}"/>
    <cellStyle name="Normal 11 2 8 6" xfId="8299" xr:uid="{00000000-0005-0000-0000-0000371D0000}"/>
    <cellStyle name="Normal 11 2 9" xfId="8300" xr:uid="{00000000-0005-0000-0000-0000381D0000}"/>
    <cellStyle name="Normal 11 2 9 2" xfId="8301" xr:uid="{00000000-0005-0000-0000-0000391D0000}"/>
    <cellStyle name="Normal 11 2 9 2 2" xfId="8302" xr:uid="{00000000-0005-0000-0000-00003A1D0000}"/>
    <cellStyle name="Normal 11 2 9 2 3" xfId="8303" xr:uid="{00000000-0005-0000-0000-00003B1D0000}"/>
    <cellStyle name="Normal 11 2 9 2 4" xfId="8304" xr:uid="{00000000-0005-0000-0000-00003C1D0000}"/>
    <cellStyle name="Normal 11 2 9 3" xfId="8305" xr:uid="{00000000-0005-0000-0000-00003D1D0000}"/>
    <cellStyle name="Normal 11 2 9 3 2" xfId="8306" xr:uid="{00000000-0005-0000-0000-00003E1D0000}"/>
    <cellStyle name="Normal 11 2 9 3 3" xfId="8307" xr:uid="{00000000-0005-0000-0000-00003F1D0000}"/>
    <cellStyle name="Normal 11 2 9 3 4" xfId="8308" xr:uid="{00000000-0005-0000-0000-0000401D0000}"/>
    <cellStyle name="Normal 11 2 9 4" xfId="8309" xr:uid="{00000000-0005-0000-0000-0000411D0000}"/>
    <cellStyle name="Normal 11 2 9 5" xfId="8310" xr:uid="{00000000-0005-0000-0000-0000421D0000}"/>
    <cellStyle name="Normal 11 2 9 6" xfId="8311" xr:uid="{00000000-0005-0000-0000-0000431D0000}"/>
    <cellStyle name="Normal 11 20" xfId="8312" xr:uid="{00000000-0005-0000-0000-0000441D0000}"/>
    <cellStyle name="Normal 11 20 10" xfId="8313" xr:uid="{00000000-0005-0000-0000-0000451D0000}"/>
    <cellStyle name="Normal 11 20 11" xfId="8314" xr:uid="{00000000-0005-0000-0000-0000461D0000}"/>
    <cellStyle name="Normal 11 20 12" xfId="8315" xr:uid="{00000000-0005-0000-0000-0000471D0000}"/>
    <cellStyle name="Normal 11 20 13" xfId="8316" xr:uid="{00000000-0005-0000-0000-0000481D0000}"/>
    <cellStyle name="Normal 11 20 14" xfId="8317" xr:uid="{00000000-0005-0000-0000-0000491D0000}"/>
    <cellStyle name="Normal 11 20 15" xfId="8318" xr:uid="{00000000-0005-0000-0000-00004A1D0000}"/>
    <cellStyle name="Normal 11 20 16" xfId="8319" xr:uid="{00000000-0005-0000-0000-00004B1D0000}"/>
    <cellStyle name="Normal 11 20 17" xfId="8320" xr:uid="{00000000-0005-0000-0000-00004C1D0000}"/>
    <cellStyle name="Normal 11 20 18" xfId="8321" xr:uid="{00000000-0005-0000-0000-00004D1D0000}"/>
    <cellStyle name="Normal 11 20 19" xfId="8322" xr:uid="{00000000-0005-0000-0000-00004E1D0000}"/>
    <cellStyle name="Normal 11 20 2" xfId="8323" xr:uid="{00000000-0005-0000-0000-00004F1D0000}"/>
    <cellStyle name="Normal 11 20 20" xfId="8324" xr:uid="{00000000-0005-0000-0000-0000501D0000}"/>
    <cellStyle name="Normal 11 20 21" xfId="8325" xr:uid="{00000000-0005-0000-0000-0000511D0000}"/>
    <cellStyle name="Normal 11 20 22" xfId="8326" xr:uid="{00000000-0005-0000-0000-0000521D0000}"/>
    <cellStyle name="Normal 11 20 23" xfId="8327" xr:uid="{00000000-0005-0000-0000-0000531D0000}"/>
    <cellStyle name="Normal 11 20 24" xfId="8328" xr:uid="{00000000-0005-0000-0000-0000541D0000}"/>
    <cellStyle name="Normal 11 20 25" xfId="8329" xr:uid="{00000000-0005-0000-0000-0000551D0000}"/>
    <cellStyle name="Normal 11 20 26" xfId="8330" xr:uid="{00000000-0005-0000-0000-0000561D0000}"/>
    <cellStyle name="Normal 11 20 27" xfId="8331" xr:uid="{00000000-0005-0000-0000-0000571D0000}"/>
    <cellStyle name="Normal 11 20 28" xfId="8332" xr:uid="{00000000-0005-0000-0000-0000581D0000}"/>
    <cellStyle name="Normal 11 20 29" xfId="8333" xr:uid="{00000000-0005-0000-0000-0000591D0000}"/>
    <cellStyle name="Normal 11 20 3" xfId="8334" xr:uid="{00000000-0005-0000-0000-00005A1D0000}"/>
    <cellStyle name="Normal 11 20 30" xfId="8335" xr:uid="{00000000-0005-0000-0000-00005B1D0000}"/>
    <cellStyle name="Normal 11 20 31" xfId="8336" xr:uid="{00000000-0005-0000-0000-00005C1D0000}"/>
    <cellStyle name="Normal 11 20 32" xfId="8337" xr:uid="{00000000-0005-0000-0000-00005D1D0000}"/>
    <cellStyle name="Normal 11 20 33" xfId="8338" xr:uid="{00000000-0005-0000-0000-00005E1D0000}"/>
    <cellStyle name="Normal 11 20 34" xfId="8339" xr:uid="{00000000-0005-0000-0000-00005F1D0000}"/>
    <cellStyle name="Normal 11 20 35" xfId="8340" xr:uid="{00000000-0005-0000-0000-0000601D0000}"/>
    <cellStyle name="Normal 11 20 36" xfId="8341" xr:uid="{00000000-0005-0000-0000-0000611D0000}"/>
    <cellStyle name="Normal 11 20 37" xfId="8342" xr:uid="{00000000-0005-0000-0000-0000621D0000}"/>
    <cellStyle name="Normal 11 20 38" xfId="8343" xr:uid="{00000000-0005-0000-0000-0000631D0000}"/>
    <cellStyle name="Normal 11 20 39" xfId="8344" xr:uid="{00000000-0005-0000-0000-0000641D0000}"/>
    <cellStyle name="Normal 11 20 4" xfId="8345" xr:uid="{00000000-0005-0000-0000-0000651D0000}"/>
    <cellStyle name="Normal 11 20 40" xfId="8346" xr:uid="{00000000-0005-0000-0000-0000661D0000}"/>
    <cellStyle name="Normal 11 20 41" xfId="8347" xr:uid="{00000000-0005-0000-0000-0000671D0000}"/>
    <cellStyle name="Normal 11 20 42" xfId="8348" xr:uid="{00000000-0005-0000-0000-0000681D0000}"/>
    <cellStyle name="Normal 11 20 43" xfId="8349" xr:uid="{00000000-0005-0000-0000-0000691D0000}"/>
    <cellStyle name="Normal 11 20 44" xfId="8350" xr:uid="{00000000-0005-0000-0000-00006A1D0000}"/>
    <cellStyle name="Normal 11 20 45" xfId="8351" xr:uid="{00000000-0005-0000-0000-00006B1D0000}"/>
    <cellStyle name="Normal 11 20 5" xfId="8352" xr:uid="{00000000-0005-0000-0000-00006C1D0000}"/>
    <cellStyle name="Normal 11 20 6" xfId="8353" xr:uid="{00000000-0005-0000-0000-00006D1D0000}"/>
    <cellStyle name="Normal 11 20 7" xfId="8354" xr:uid="{00000000-0005-0000-0000-00006E1D0000}"/>
    <cellStyle name="Normal 11 20 8" xfId="8355" xr:uid="{00000000-0005-0000-0000-00006F1D0000}"/>
    <cellStyle name="Normal 11 20 9" xfId="8356" xr:uid="{00000000-0005-0000-0000-0000701D0000}"/>
    <cellStyle name="Normal 11 21" xfId="8357" xr:uid="{00000000-0005-0000-0000-0000711D0000}"/>
    <cellStyle name="Normal 11 21 10" xfId="8358" xr:uid="{00000000-0005-0000-0000-0000721D0000}"/>
    <cellStyle name="Normal 11 21 11" xfId="8359" xr:uid="{00000000-0005-0000-0000-0000731D0000}"/>
    <cellStyle name="Normal 11 21 12" xfId="8360" xr:uid="{00000000-0005-0000-0000-0000741D0000}"/>
    <cellStyle name="Normal 11 21 13" xfId="8361" xr:uid="{00000000-0005-0000-0000-0000751D0000}"/>
    <cellStyle name="Normal 11 21 14" xfId="8362" xr:uid="{00000000-0005-0000-0000-0000761D0000}"/>
    <cellStyle name="Normal 11 21 15" xfId="8363" xr:uid="{00000000-0005-0000-0000-0000771D0000}"/>
    <cellStyle name="Normal 11 21 16" xfId="8364" xr:uid="{00000000-0005-0000-0000-0000781D0000}"/>
    <cellStyle name="Normal 11 21 17" xfId="8365" xr:uid="{00000000-0005-0000-0000-0000791D0000}"/>
    <cellStyle name="Normal 11 21 18" xfId="8366" xr:uid="{00000000-0005-0000-0000-00007A1D0000}"/>
    <cellStyle name="Normal 11 21 19" xfId="8367" xr:uid="{00000000-0005-0000-0000-00007B1D0000}"/>
    <cellStyle name="Normal 11 21 2" xfId="8368" xr:uid="{00000000-0005-0000-0000-00007C1D0000}"/>
    <cellStyle name="Normal 11 21 20" xfId="8369" xr:uid="{00000000-0005-0000-0000-00007D1D0000}"/>
    <cellStyle name="Normal 11 21 21" xfId="8370" xr:uid="{00000000-0005-0000-0000-00007E1D0000}"/>
    <cellStyle name="Normal 11 21 22" xfId="8371" xr:uid="{00000000-0005-0000-0000-00007F1D0000}"/>
    <cellStyle name="Normal 11 21 23" xfId="8372" xr:uid="{00000000-0005-0000-0000-0000801D0000}"/>
    <cellStyle name="Normal 11 21 24" xfId="8373" xr:uid="{00000000-0005-0000-0000-0000811D0000}"/>
    <cellStyle name="Normal 11 21 25" xfId="8374" xr:uid="{00000000-0005-0000-0000-0000821D0000}"/>
    <cellStyle name="Normal 11 21 26" xfId="8375" xr:uid="{00000000-0005-0000-0000-0000831D0000}"/>
    <cellStyle name="Normal 11 21 27" xfId="8376" xr:uid="{00000000-0005-0000-0000-0000841D0000}"/>
    <cellStyle name="Normal 11 21 28" xfId="8377" xr:uid="{00000000-0005-0000-0000-0000851D0000}"/>
    <cellStyle name="Normal 11 21 29" xfId="8378" xr:uid="{00000000-0005-0000-0000-0000861D0000}"/>
    <cellStyle name="Normal 11 21 3" xfId="8379" xr:uid="{00000000-0005-0000-0000-0000871D0000}"/>
    <cellStyle name="Normal 11 21 30" xfId="8380" xr:uid="{00000000-0005-0000-0000-0000881D0000}"/>
    <cellStyle name="Normal 11 21 31" xfId="8381" xr:uid="{00000000-0005-0000-0000-0000891D0000}"/>
    <cellStyle name="Normal 11 21 32" xfId="8382" xr:uid="{00000000-0005-0000-0000-00008A1D0000}"/>
    <cellStyle name="Normal 11 21 33" xfId="8383" xr:uid="{00000000-0005-0000-0000-00008B1D0000}"/>
    <cellStyle name="Normal 11 21 34" xfId="8384" xr:uid="{00000000-0005-0000-0000-00008C1D0000}"/>
    <cellStyle name="Normal 11 21 35" xfId="8385" xr:uid="{00000000-0005-0000-0000-00008D1D0000}"/>
    <cellStyle name="Normal 11 21 36" xfId="8386" xr:uid="{00000000-0005-0000-0000-00008E1D0000}"/>
    <cellStyle name="Normal 11 21 37" xfId="8387" xr:uid="{00000000-0005-0000-0000-00008F1D0000}"/>
    <cellStyle name="Normal 11 21 38" xfId="8388" xr:uid="{00000000-0005-0000-0000-0000901D0000}"/>
    <cellStyle name="Normal 11 21 39" xfId="8389" xr:uid="{00000000-0005-0000-0000-0000911D0000}"/>
    <cellStyle name="Normal 11 21 4" xfId="8390" xr:uid="{00000000-0005-0000-0000-0000921D0000}"/>
    <cellStyle name="Normal 11 21 40" xfId="8391" xr:uid="{00000000-0005-0000-0000-0000931D0000}"/>
    <cellStyle name="Normal 11 21 41" xfId="8392" xr:uid="{00000000-0005-0000-0000-0000941D0000}"/>
    <cellStyle name="Normal 11 21 42" xfId="8393" xr:uid="{00000000-0005-0000-0000-0000951D0000}"/>
    <cellStyle name="Normal 11 21 43" xfId="8394" xr:uid="{00000000-0005-0000-0000-0000961D0000}"/>
    <cellStyle name="Normal 11 21 44" xfId="8395" xr:uid="{00000000-0005-0000-0000-0000971D0000}"/>
    <cellStyle name="Normal 11 21 45" xfId="8396" xr:uid="{00000000-0005-0000-0000-0000981D0000}"/>
    <cellStyle name="Normal 11 21 5" xfId="8397" xr:uid="{00000000-0005-0000-0000-0000991D0000}"/>
    <cellStyle name="Normal 11 21 6" xfId="8398" xr:uid="{00000000-0005-0000-0000-00009A1D0000}"/>
    <cellStyle name="Normal 11 21 7" xfId="8399" xr:uid="{00000000-0005-0000-0000-00009B1D0000}"/>
    <cellStyle name="Normal 11 21 8" xfId="8400" xr:uid="{00000000-0005-0000-0000-00009C1D0000}"/>
    <cellStyle name="Normal 11 21 9" xfId="8401" xr:uid="{00000000-0005-0000-0000-00009D1D0000}"/>
    <cellStyle name="Normal 11 22" xfId="8402" xr:uid="{00000000-0005-0000-0000-00009E1D0000}"/>
    <cellStyle name="Normal 11 22 10" xfId="8403" xr:uid="{00000000-0005-0000-0000-00009F1D0000}"/>
    <cellStyle name="Normal 11 22 11" xfId="8404" xr:uid="{00000000-0005-0000-0000-0000A01D0000}"/>
    <cellStyle name="Normal 11 22 12" xfId="8405" xr:uid="{00000000-0005-0000-0000-0000A11D0000}"/>
    <cellStyle name="Normal 11 22 13" xfId="8406" xr:uid="{00000000-0005-0000-0000-0000A21D0000}"/>
    <cellStyle name="Normal 11 22 14" xfId="8407" xr:uid="{00000000-0005-0000-0000-0000A31D0000}"/>
    <cellStyle name="Normal 11 22 15" xfId="8408" xr:uid="{00000000-0005-0000-0000-0000A41D0000}"/>
    <cellStyle name="Normal 11 22 16" xfId="8409" xr:uid="{00000000-0005-0000-0000-0000A51D0000}"/>
    <cellStyle name="Normal 11 22 17" xfId="8410" xr:uid="{00000000-0005-0000-0000-0000A61D0000}"/>
    <cellStyle name="Normal 11 22 18" xfId="8411" xr:uid="{00000000-0005-0000-0000-0000A71D0000}"/>
    <cellStyle name="Normal 11 22 19" xfId="8412" xr:uid="{00000000-0005-0000-0000-0000A81D0000}"/>
    <cellStyle name="Normal 11 22 2" xfId="8413" xr:uid="{00000000-0005-0000-0000-0000A91D0000}"/>
    <cellStyle name="Normal 11 22 20" xfId="8414" xr:uid="{00000000-0005-0000-0000-0000AA1D0000}"/>
    <cellStyle name="Normal 11 22 21" xfId="8415" xr:uid="{00000000-0005-0000-0000-0000AB1D0000}"/>
    <cellStyle name="Normal 11 22 22" xfId="8416" xr:uid="{00000000-0005-0000-0000-0000AC1D0000}"/>
    <cellStyle name="Normal 11 22 23" xfId="8417" xr:uid="{00000000-0005-0000-0000-0000AD1D0000}"/>
    <cellStyle name="Normal 11 22 24" xfId="8418" xr:uid="{00000000-0005-0000-0000-0000AE1D0000}"/>
    <cellStyle name="Normal 11 22 25" xfId="8419" xr:uid="{00000000-0005-0000-0000-0000AF1D0000}"/>
    <cellStyle name="Normal 11 22 26" xfId="8420" xr:uid="{00000000-0005-0000-0000-0000B01D0000}"/>
    <cellStyle name="Normal 11 22 27" xfId="8421" xr:uid="{00000000-0005-0000-0000-0000B11D0000}"/>
    <cellStyle name="Normal 11 22 28" xfId="8422" xr:uid="{00000000-0005-0000-0000-0000B21D0000}"/>
    <cellStyle name="Normal 11 22 29" xfId="8423" xr:uid="{00000000-0005-0000-0000-0000B31D0000}"/>
    <cellStyle name="Normal 11 22 3" xfId="8424" xr:uid="{00000000-0005-0000-0000-0000B41D0000}"/>
    <cellStyle name="Normal 11 22 30" xfId="8425" xr:uid="{00000000-0005-0000-0000-0000B51D0000}"/>
    <cellStyle name="Normal 11 22 31" xfId="8426" xr:uid="{00000000-0005-0000-0000-0000B61D0000}"/>
    <cellStyle name="Normal 11 22 32" xfId="8427" xr:uid="{00000000-0005-0000-0000-0000B71D0000}"/>
    <cellStyle name="Normal 11 22 33" xfId="8428" xr:uid="{00000000-0005-0000-0000-0000B81D0000}"/>
    <cellStyle name="Normal 11 22 34" xfId="8429" xr:uid="{00000000-0005-0000-0000-0000B91D0000}"/>
    <cellStyle name="Normal 11 22 35" xfId="8430" xr:uid="{00000000-0005-0000-0000-0000BA1D0000}"/>
    <cellStyle name="Normal 11 22 36" xfId="8431" xr:uid="{00000000-0005-0000-0000-0000BB1D0000}"/>
    <cellStyle name="Normal 11 22 37" xfId="8432" xr:uid="{00000000-0005-0000-0000-0000BC1D0000}"/>
    <cellStyle name="Normal 11 22 38" xfId="8433" xr:uid="{00000000-0005-0000-0000-0000BD1D0000}"/>
    <cellStyle name="Normal 11 22 39" xfId="8434" xr:uid="{00000000-0005-0000-0000-0000BE1D0000}"/>
    <cellStyle name="Normal 11 22 4" xfId="8435" xr:uid="{00000000-0005-0000-0000-0000BF1D0000}"/>
    <cellStyle name="Normal 11 22 40" xfId="8436" xr:uid="{00000000-0005-0000-0000-0000C01D0000}"/>
    <cellStyle name="Normal 11 22 41" xfId="8437" xr:uid="{00000000-0005-0000-0000-0000C11D0000}"/>
    <cellStyle name="Normal 11 22 42" xfId="8438" xr:uid="{00000000-0005-0000-0000-0000C21D0000}"/>
    <cellStyle name="Normal 11 22 43" xfId="8439" xr:uid="{00000000-0005-0000-0000-0000C31D0000}"/>
    <cellStyle name="Normal 11 22 44" xfId="8440" xr:uid="{00000000-0005-0000-0000-0000C41D0000}"/>
    <cellStyle name="Normal 11 22 45" xfId="8441" xr:uid="{00000000-0005-0000-0000-0000C51D0000}"/>
    <cellStyle name="Normal 11 22 5" xfId="8442" xr:uid="{00000000-0005-0000-0000-0000C61D0000}"/>
    <cellStyle name="Normal 11 22 6" xfId="8443" xr:uid="{00000000-0005-0000-0000-0000C71D0000}"/>
    <cellStyle name="Normal 11 22 7" xfId="8444" xr:uid="{00000000-0005-0000-0000-0000C81D0000}"/>
    <cellStyle name="Normal 11 22 8" xfId="8445" xr:uid="{00000000-0005-0000-0000-0000C91D0000}"/>
    <cellStyle name="Normal 11 22 9" xfId="8446" xr:uid="{00000000-0005-0000-0000-0000CA1D0000}"/>
    <cellStyle name="Normal 11 23" xfId="8447" xr:uid="{00000000-0005-0000-0000-0000CB1D0000}"/>
    <cellStyle name="Normal 11 23 10" xfId="8448" xr:uid="{00000000-0005-0000-0000-0000CC1D0000}"/>
    <cellStyle name="Normal 11 23 11" xfId="8449" xr:uid="{00000000-0005-0000-0000-0000CD1D0000}"/>
    <cellStyle name="Normal 11 23 12" xfId="8450" xr:uid="{00000000-0005-0000-0000-0000CE1D0000}"/>
    <cellStyle name="Normal 11 23 13" xfId="8451" xr:uid="{00000000-0005-0000-0000-0000CF1D0000}"/>
    <cellStyle name="Normal 11 23 14" xfId="8452" xr:uid="{00000000-0005-0000-0000-0000D01D0000}"/>
    <cellStyle name="Normal 11 23 15" xfId="8453" xr:uid="{00000000-0005-0000-0000-0000D11D0000}"/>
    <cellStyle name="Normal 11 23 16" xfId="8454" xr:uid="{00000000-0005-0000-0000-0000D21D0000}"/>
    <cellStyle name="Normal 11 23 17" xfId="8455" xr:uid="{00000000-0005-0000-0000-0000D31D0000}"/>
    <cellStyle name="Normal 11 23 18" xfId="8456" xr:uid="{00000000-0005-0000-0000-0000D41D0000}"/>
    <cellStyle name="Normal 11 23 19" xfId="8457" xr:uid="{00000000-0005-0000-0000-0000D51D0000}"/>
    <cellStyle name="Normal 11 23 2" xfId="8458" xr:uid="{00000000-0005-0000-0000-0000D61D0000}"/>
    <cellStyle name="Normal 11 23 20" xfId="8459" xr:uid="{00000000-0005-0000-0000-0000D71D0000}"/>
    <cellStyle name="Normal 11 23 21" xfId="8460" xr:uid="{00000000-0005-0000-0000-0000D81D0000}"/>
    <cellStyle name="Normal 11 23 22" xfId="8461" xr:uid="{00000000-0005-0000-0000-0000D91D0000}"/>
    <cellStyle name="Normal 11 23 23" xfId="8462" xr:uid="{00000000-0005-0000-0000-0000DA1D0000}"/>
    <cellStyle name="Normal 11 23 24" xfId="8463" xr:uid="{00000000-0005-0000-0000-0000DB1D0000}"/>
    <cellStyle name="Normal 11 23 25" xfId="8464" xr:uid="{00000000-0005-0000-0000-0000DC1D0000}"/>
    <cellStyle name="Normal 11 23 26" xfId="8465" xr:uid="{00000000-0005-0000-0000-0000DD1D0000}"/>
    <cellStyle name="Normal 11 23 27" xfId="8466" xr:uid="{00000000-0005-0000-0000-0000DE1D0000}"/>
    <cellStyle name="Normal 11 23 28" xfId="8467" xr:uid="{00000000-0005-0000-0000-0000DF1D0000}"/>
    <cellStyle name="Normal 11 23 29" xfId="8468" xr:uid="{00000000-0005-0000-0000-0000E01D0000}"/>
    <cellStyle name="Normal 11 23 3" xfId="8469" xr:uid="{00000000-0005-0000-0000-0000E11D0000}"/>
    <cellStyle name="Normal 11 23 30" xfId="8470" xr:uid="{00000000-0005-0000-0000-0000E21D0000}"/>
    <cellStyle name="Normal 11 23 31" xfId="8471" xr:uid="{00000000-0005-0000-0000-0000E31D0000}"/>
    <cellStyle name="Normal 11 23 32" xfId="8472" xr:uid="{00000000-0005-0000-0000-0000E41D0000}"/>
    <cellStyle name="Normal 11 23 33" xfId="8473" xr:uid="{00000000-0005-0000-0000-0000E51D0000}"/>
    <cellStyle name="Normal 11 23 34" xfId="8474" xr:uid="{00000000-0005-0000-0000-0000E61D0000}"/>
    <cellStyle name="Normal 11 23 35" xfId="8475" xr:uid="{00000000-0005-0000-0000-0000E71D0000}"/>
    <cellStyle name="Normal 11 23 36" xfId="8476" xr:uid="{00000000-0005-0000-0000-0000E81D0000}"/>
    <cellStyle name="Normal 11 23 37" xfId="8477" xr:uid="{00000000-0005-0000-0000-0000E91D0000}"/>
    <cellStyle name="Normal 11 23 38" xfId="8478" xr:uid="{00000000-0005-0000-0000-0000EA1D0000}"/>
    <cellStyle name="Normal 11 23 39" xfId="8479" xr:uid="{00000000-0005-0000-0000-0000EB1D0000}"/>
    <cellStyle name="Normal 11 23 4" xfId="8480" xr:uid="{00000000-0005-0000-0000-0000EC1D0000}"/>
    <cellStyle name="Normal 11 23 40" xfId="8481" xr:uid="{00000000-0005-0000-0000-0000ED1D0000}"/>
    <cellStyle name="Normal 11 23 41" xfId="8482" xr:uid="{00000000-0005-0000-0000-0000EE1D0000}"/>
    <cellStyle name="Normal 11 23 42" xfId="8483" xr:uid="{00000000-0005-0000-0000-0000EF1D0000}"/>
    <cellStyle name="Normal 11 23 43" xfId="8484" xr:uid="{00000000-0005-0000-0000-0000F01D0000}"/>
    <cellStyle name="Normal 11 23 44" xfId="8485" xr:uid="{00000000-0005-0000-0000-0000F11D0000}"/>
    <cellStyle name="Normal 11 23 45" xfId="8486" xr:uid="{00000000-0005-0000-0000-0000F21D0000}"/>
    <cellStyle name="Normal 11 23 5" xfId="8487" xr:uid="{00000000-0005-0000-0000-0000F31D0000}"/>
    <cellStyle name="Normal 11 23 6" xfId="8488" xr:uid="{00000000-0005-0000-0000-0000F41D0000}"/>
    <cellStyle name="Normal 11 23 7" xfId="8489" xr:uid="{00000000-0005-0000-0000-0000F51D0000}"/>
    <cellStyle name="Normal 11 23 8" xfId="8490" xr:uid="{00000000-0005-0000-0000-0000F61D0000}"/>
    <cellStyle name="Normal 11 23 9" xfId="8491" xr:uid="{00000000-0005-0000-0000-0000F71D0000}"/>
    <cellStyle name="Normal 11 24" xfId="8492" xr:uid="{00000000-0005-0000-0000-0000F81D0000}"/>
    <cellStyle name="Normal 11 24 10" xfId="8493" xr:uid="{00000000-0005-0000-0000-0000F91D0000}"/>
    <cellStyle name="Normal 11 24 11" xfId="8494" xr:uid="{00000000-0005-0000-0000-0000FA1D0000}"/>
    <cellStyle name="Normal 11 24 12" xfId="8495" xr:uid="{00000000-0005-0000-0000-0000FB1D0000}"/>
    <cellStyle name="Normal 11 24 13" xfId="8496" xr:uid="{00000000-0005-0000-0000-0000FC1D0000}"/>
    <cellStyle name="Normal 11 24 14" xfId="8497" xr:uid="{00000000-0005-0000-0000-0000FD1D0000}"/>
    <cellStyle name="Normal 11 24 15" xfId="8498" xr:uid="{00000000-0005-0000-0000-0000FE1D0000}"/>
    <cellStyle name="Normal 11 24 16" xfId="8499" xr:uid="{00000000-0005-0000-0000-0000FF1D0000}"/>
    <cellStyle name="Normal 11 24 17" xfId="8500" xr:uid="{00000000-0005-0000-0000-0000001E0000}"/>
    <cellStyle name="Normal 11 24 18" xfId="8501" xr:uid="{00000000-0005-0000-0000-0000011E0000}"/>
    <cellStyle name="Normal 11 24 19" xfId="8502" xr:uid="{00000000-0005-0000-0000-0000021E0000}"/>
    <cellStyle name="Normal 11 24 2" xfId="8503" xr:uid="{00000000-0005-0000-0000-0000031E0000}"/>
    <cellStyle name="Normal 11 24 20" xfId="8504" xr:uid="{00000000-0005-0000-0000-0000041E0000}"/>
    <cellStyle name="Normal 11 24 21" xfId="8505" xr:uid="{00000000-0005-0000-0000-0000051E0000}"/>
    <cellStyle name="Normal 11 24 22" xfId="8506" xr:uid="{00000000-0005-0000-0000-0000061E0000}"/>
    <cellStyle name="Normal 11 24 23" xfId="8507" xr:uid="{00000000-0005-0000-0000-0000071E0000}"/>
    <cellStyle name="Normal 11 24 24" xfId="8508" xr:uid="{00000000-0005-0000-0000-0000081E0000}"/>
    <cellStyle name="Normal 11 24 25" xfId="8509" xr:uid="{00000000-0005-0000-0000-0000091E0000}"/>
    <cellStyle name="Normal 11 24 26" xfId="8510" xr:uid="{00000000-0005-0000-0000-00000A1E0000}"/>
    <cellStyle name="Normal 11 24 27" xfId="8511" xr:uid="{00000000-0005-0000-0000-00000B1E0000}"/>
    <cellStyle name="Normal 11 24 28" xfId="8512" xr:uid="{00000000-0005-0000-0000-00000C1E0000}"/>
    <cellStyle name="Normal 11 24 29" xfId="8513" xr:uid="{00000000-0005-0000-0000-00000D1E0000}"/>
    <cellStyle name="Normal 11 24 3" xfId="8514" xr:uid="{00000000-0005-0000-0000-00000E1E0000}"/>
    <cellStyle name="Normal 11 24 30" xfId="8515" xr:uid="{00000000-0005-0000-0000-00000F1E0000}"/>
    <cellStyle name="Normal 11 24 31" xfId="8516" xr:uid="{00000000-0005-0000-0000-0000101E0000}"/>
    <cellStyle name="Normal 11 24 32" xfId="8517" xr:uid="{00000000-0005-0000-0000-0000111E0000}"/>
    <cellStyle name="Normal 11 24 33" xfId="8518" xr:uid="{00000000-0005-0000-0000-0000121E0000}"/>
    <cellStyle name="Normal 11 24 34" xfId="8519" xr:uid="{00000000-0005-0000-0000-0000131E0000}"/>
    <cellStyle name="Normal 11 24 35" xfId="8520" xr:uid="{00000000-0005-0000-0000-0000141E0000}"/>
    <cellStyle name="Normal 11 24 36" xfId="8521" xr:uid="{00000000-0005-0000-0000-0000151E0000}"/>
    <cellStyle name="Normal 11 24 37" xfId="8522" xr:uid="{00000000-0005-0000-0000-0000161E0000}"/>
    <cellStyle name="Normal 11 24 4" xfId="8523" xr:uid="{00000000-0005-0000-0000-0000171E0000}"/>
    <cellStyle name="Normal 11 24 5" xfId="8524" xr:uid="{00000000-0005-0000-0000-0000181E0000}"/>
    <cellStyle name="Normal 11 24 6" xfId="8525" xr:uid="{00000000-0005-0000-0000-0000191E0000}"/>
    <cellStyle name="Normal 11 24 7" xfId="8526" xr:uid="{00000000-0005-0000-0000-00001A1E0000}"/>
    <cellStyle name="Normal 11 24 8" xfId="8527" xr:uid="{00000000-0005-0000-0000-00001B1E0000}"/>
    <cellStyle name="Normal 11 24 9" xfId="8528" xr:uid="{00000000-0005-0000-0000-00001C1E0000}"/>
    <cellStyle name="Normal 11 25" xfId="8529" xr:uid="{00000000-0005-0000-0000-00001D1E0000}"/>
    <cellStyle name="Normal 11 25 10" xfId="8530" xr:uid="{00000000-0005-0000-0000-00001E1E0000}"/>
    <cellStyle name="Normal 11 25 11" xfId="8531" xr:uid="{00000000-0005-0000-0000-00001F1E0000}"/>
    <cellStyle name="Normal 11 25 12" xfId="8532" xr:uid="{00000000-0005-0000-0000-0000201E0000}"/>
    <cellStyle name="Normal 11 25 13" xfId="8533" xr:uid="{00000000-0005-0000-0000-0000211E0000}"/>
    <cellStyle name="Normal 11 25 14" xfId="8534" xr:uid="{00000000-0005-0000-0000-0000221E0000}"/>
    <cellStyle name="Normal 11 25 15" xfId="8535" xr:uid="{00000000-0005-0000-0000-0000231E0000}"/>
    <cellStyle name="Normal 11 25 16" xfId="8536" xr:uid="{00000000-0005-0000-0000-0000241E0000}"/>
    <cellStyle name="Normal 11 25 17" xfId="8537" xr:uid="{00000000-0005-0000-0000-0000251E0000}"/>
    <cellStyle name="Normal 11 25 18" xfId="8538" xr:uid="{00000000-0005-0000-0000-0000261E0000}"/>
    <cellStyle name="Normal 11 25 19" xfId="8539" xr:uid="{00000000-0005-0000-0000-0000271E0000}"/>
    <cellStyle name="Normal 11 25 2" xfId="8540" xr:uid="{00000000-0005-0000-0000-0000281E0000}"/>
    <cellStyle name="Normal 11 25 20" xfId="8541" xr:uid="{00000000-0005-0000-0000-0000291E0000}"/>
    <cellStyle name="Normal 11 25 21" xfId="8542" xr:uid="{00000000-0005-0000-0000-00002A1E0000}"/>
    <cellStyle name="Normal 11 25 22" xfId="8543" xr:uid="{00000000-0005-0000-0000-00002B1E0000}"/>
    <cellStyle name="Normal 11 25 23" xfId="8544" xr:uid="{00000000-0005-0000-0000-00002C1E0000}"/>
    <cellStyle name="Normal 11 25 24" xfId="8545" xr:uid="{00000000-0005-0000-0000-00002D1E0000}"/>
    <cellStyle name="Normal 11 25 25" xfId="8546" xr:uid="{00000000-0005-0000-0000-00002E1E0000}"/>
    <cellStyle name="Normal 11 25 26" xfId="8547" xr:uid="{00000000-0005-0000-0000-00002F1E0000}"/>
    <cellStyle name="Normal 11 25 27" xfId="8548" xr:uid="{00000000-0005-0000-0000-0000301E0000}"/>
    <cellStyle name="Normal 11 25 28" xfId="8549" xr:uid="{00000000-0005-0000-0000-0000311E0000}"/>
    <cellStyle name="Normal 11 25 29" xfId="8550" xr:uid="{00000000-0005-0000-0000-0000321E0000}"/>
    <cellStyle name="Normal 11 25 3" xfId="8551" xr:uid="{00000000-0005-0000-0000-0000331E0000}"/>
    <cellStyle name="Normal 11 25 30" xfId="8552" xr:uid="{00000000-0005-0000-0000-0000341E0000}"/>
    <cellStyle name="Normal 11 25 31" xfId="8553" xr:uid="{00000000-0005-0000-0000-0000351E0000}"/>
    <cellStyle name="Normal 11 25 32" xfId="8554" xr:uid="{00000000-0005-0000-0000-0000361E0000}"/>
    <cellStyle name="Normal 11 25 33" xfId="8555" xr:uid="{00000000-0005-0000-0000-0000371E0000}"/>
    <cellStyle name="Normal 11 25 34" xfId="8556" xr:uid="{00000000-0005-0000-0000-0000381E0000}"/>
    <cellStyle name="Normal 11 25 35" xfId="8557" xr:uid="{00000000-0005-0000-0000-0000391E0000}"/>
    <cellStyle name="Normal 11 25 36" xfId="8558" xr:uid="{00000000-0005-0000-0000-00003A1E0000}"/>
    <cellStyle name="Normal 11 25 37" xfId="8559" xr:uid="{00000000-0005-0000-0000-00003B1E0000}"/>
    <cellStyle name="Normal 11 25 4" xfId="8560" xr:uid="{00000000-0005-0000-0000-00003C1E0000}"/>
    <cellStyle name="Normal 11 25 5" xfId="8561" xr:uid="{00000000-0005-0000-0000-00003D1E0000}"/>
    <cellStyle name="Normal 11 25 6" xfId="8562" xr:uid="{00000000-0005-0000-0000-00003E1E0000}"/>
    <cellStyle name="Normal 11 25 7" xfId="8563" xr:uid="{00000000-0005-0000-0000-00003F1E0000}"/>
    <cellStyle name="Normal 11 25 8" xfId="8564" xr:uid="{00000000-0005-0000-0000-0000401E0000}"/>
    <cellStyle name="Normal 11 25 9" xfId="8565" xr:uid="{00000000-0005-0000-0000-0000411E0000}"/>
    <cellStyle name="Normal 11 26" xfId="8566" xr:uid="{00000000-0005-0000-0000-0000421E0000}"/>
    <cellStyle name="Normal 11 26 10" xfId="8567" xr:uid="{00000000-0005-0000-0000-0000431E0000}"/>
    <cellStyle name="Normal 11 26 11" xfId="8568" xr:uid="{00000000-0005-0000-0000-0000441E0000}"/>
    <cellStyle name="Normal 11 26 12" xfId="8569" xr:uid="{00000000-0005-0000-0000-0000451E0000}"/>
    <cellStyle name="Normal 11 26 13" xfId="8570" xr:uid="{00000000-0005-0000-0000-0000461E0000}"/>
    <cellStyle name="Normal 11 26 14" xfId="8571" xr:uid="{00000000-0005-0000-0000-0000471E0000}"/>
    <cellStyle name="Normal 11 26 15" xfId="8572" xr:uid="{00000000-0005-0000-0000-0000481E0000}"/>
    <cellStyle name="Normal 11 26 16" xfId="8573" xr:uid="{00000000-0005-0000-0000-0000491E0000}"/>
    <cellStyle name="Normal 11 26 17" xfId="8574" xr:uid="{00000000-0005-0000-0000-00004A1E0000}"/>
    <cellStyle name="Normal 11 26 18" xfId="8575" xr:uid="{00000000-0005-0000-0000-00004B1E0000}"/>
    <cellStyle name="Normal 11 26 19" xfId="8576" xr:uid="{00000000-0005-0000-0000-00004C1E0000}"/>
    <cellStyle name="Normal 11 26 2" xfId="8577" xr:uid="{00000000-0005-0000-0000-00004D1E0000}"/>
    <cellStyle name="Normal 11 26 20" xfId="8578" xr:uid="{00000000-0005-0000-0000-00004E1E0000}"/>
    <cellStyle name="Normal 11 26 21" xfId="8579" xr:uid="{00000000-0005-0000-0000-00004F1E0000}"/>
    <cellStyle name="Normal 11 26 22" xfId="8580" xr:uid="{00000000-0005-0000-0000-0000501E0000}"/>
    <cellStyle name="Normal 11 26 23" xfId="8581" xr:uid="{00000000-0005-0000-0000-0000511E0000}"/>
    <cellStyle name="Normal 11 26 24" xfId="8582" xr:uid="{00000000-0005-0000-0000-0000521E0000}"/>
    <cellStyle name="Normal 11 26 25" xfId="8583" xr:uid="{00000000-0005-0000-0000-0000531E0000}"/>
    <cellStyle name="Normal 11 26 26" xfId="8584" xr:uid="{00000000-0005-0000-0000-0000541E0000}"/>
    <cellStyle name="Normal 11 26 27" xfId="8585" xr:uid="{00000000-0005-0000-0000-0000551E0000}"/>
    <cellStyle name="Normal 11 26 28" xfId="8586" xr:uid="{00000000-0005-0000-0000-0000561E0000}"/>
    <cellStyle name="Normal 11 26 29" xfId="8587" xr:uid="{00000000-0005-0000-0000-0000571E0000}"/>
    <cellStyle name="Normal 11 26 3" xfId="8588" xr:uid="{00000000-0005-0000-0000-0000581E0000}"/>
    <cellStyle name="Normal 11 26 30" xfId="8589" xr:uid="{00000000-0005-0000-0000-0000591E0000}"/>
    <cellStyle name="Normal 11 26 31" xfId="8590" xr:uid="{00000000-0005-0000-0000-00005A1E0000}"/>
    <cellStyle name="Normal 11 26 32" xfId="8591" xr:uid="{00000000-0005-0000-0000-00005B1E0000}"/>
    <cellStyle name="Normal 11 26 33" xfId="8592" xr:uid="{00000000-0005-0000-0000-00005C1E0000}"/>
    <cellStyle name="Normal 11 26 34" xfId="8593" xr:uid="{00000000-0005-0000-0000-00005D1E0000}"/>
    <cellStyle name="Normal 11 26 35" xfId="8594" xr:uid="{00000000-0005-0000-0000-00005E1E0000}"/>
    <cellStyle name="Normal 11 26 36" xfId="8595" xr:uid="{00000000-0005-0000-0000-00005F1E0000}"/>
    <cellStyle name="Normal 11 26 37" xfId="8596" xr:uid="{00000000-0005-0000-0000-0000601E0000}"/>
    <cellStyle name="Normal 11 26 4" xfId="8597" xr:uid="{00000000-0005-0000-0000-0000611E0000}"/>
    <cellStyle name="Normal 11 26 5" xfId="8598" xr:uid="{00000000-0005-0000-0000-0000621E0000}"/>
    <cellStyle name="Normal 11 26 6" xfId="8599" xr:uid="{00000000-0005-0000-0000-0000631E0000}"/>
    <cellStyle name="Normal 11 26 7" xfId="8600" xr:uid="{00000000-0005-0000-0000-0000641E0000}"/>
    <cellStyle name="Normal 11 26 8" xfId="8601" xr:uid="{00000000-0005-0000-0000-0000651E0000}"/>
    <cellStyle name="Normal 11 26 9" xfId="8602" xr:uid="{00000000-0005-0000-0000-0000661E0000}"/>
    <cellStyle name="Normal 11 27" xfId="8603" xr:uid="{00000000-0005-0000-0000-0000671E0000}"/>
    <cellStyle name="Normal 11 27 10" xfId="8604" xr:uid="{00000000-0005-0000-0000-0000681E0000}"/>
    <cellStyle name="Normal 11 27 11" xfId="8605" xr:uid="{00000000-0005-0000-0000-0000691E0000}"/>
    <cellStyle name="Normal 11 27 12" xfId="8606" xr:uid="{00000000-0005-0000-0000-00006A1E0000}"/>
    <cellStyle name="Normal 11 27 13" xfId="8607" xr:uid="{00000000-0005-0000-0000-00006B1E0000}"/>
    <cellStyle name="Normal 11 27 14" xfId="8608" xr:uid="{00000000-0005-0000-0000-00006C1E0000}"/>
    <cellStyle name="Normal 11 27 15" xfId="8609" xr:uid="{00000000-0005-0000-0000-00006D1E0000}"/>
    <cellStyle name="Normal 11 27 16" xfId="8610" xr:uid="{00000000-0005-0000-0000-00006E1E0000}"/>
    <cellStyle name="Normal 11 27 17" xfId="8611" xr:uid="{00000000-0005-0000-0000-00006F1E0000}"/>
    <cellStyle name="Normal 11 27 18" xfId="8612" xr:uid="{00000000-0005-0000-0000-0000701E0000}"/>
    <cellStyle name="Normal 11 27 19" xfId="8613" xr:uid="{00000000-0005-0000-0000-0000711E0000}"/>
    <cellStyle name="Normal 11 27 2" xfId="8614" xr:uid="{00000000-0005-0000-0000-0000721E0000}"/>
    <cellStyle name="Normal 11 27 20" xfId="8615" xr:uid="{00000000-0005-0000-0000-0000731E0000}"/>
    <cellStyle name="Normal 11 27 21" xfId="8616" xr:uid="{00000000-0005-0000-0000-0000741E0000}"/>
    <cellStyle name="Normal 11 27 22" xfId="8617" xr:uid="{00000000-0005-0000-0000-0000751E0000}"/>
    <cellStyle name="Normal 11 27 23" xfId="8618" xr:uid="{00000000-0005-0000-0000-0000761E0000}"/>
    <cellStyle name="Normal 11 27 24" xfId="8619" xr:uid="{00000000-0005-0000-0000-0000771E0000}"/>
    <cellStyle name="Normal 11 27 25" xfId="8620" xr:uid="{00000000-0005-0000-0000-0000781E0000}"/>
    <cellStyle name="Normal 11 27 26" xfId="8621" xr:uid="{00000000-0005-0000-0000-0000791E0000}"/>
    <cellStyle name="Normal 11 27 27" xfId="8622" xr:uid="{00000000-0005-0000-0000-00007A1E0000}"/>
    <cellStyle name="Normal 11 27 28" xfId="8623" xr:uid="{00000000-0005-0000-0000-00007B1E0000}"/>
    <cellStyle name="Normal 11 27 29" xfId="8624" xr:uid="{00000000-0005-0000-0000-00007C1E0000}"/>
    <cellStyle name="Normal 11 27 3" xfId="8625" xr:uid="{00000000-0005-0000-0000-00007D1E0000}"/>
    <cellStyle name="Normal 11 27 30" xfId="8626" xr:uid="{00000000-0005-0000-0000-00007E1E0000}"/>
    <cellStyle name="Normal 11 27 31" xfId="8627" xr:uid="{00000000-0005-0000-0000-00007F1E0000}"/>
    <cellStyle name="Normal 11 27 32" xfId="8628" xr:uid="{00000000-0005-0000-0000-0000801E0000}"/>
    <cellStyle name="Normal 11 27 33" xfId="8629" xr:uid="{00000000-0005-0000-0000-0000811E0000}"/>
    <cellStyle name="Normal 11 27 34" xfId="8630" xr:uid="{00000000-0005-0000-0000-0000821E0000}"/>
    <cellStyle name="Normal 11 27 35" xfId="8631" xr:uid="{00000000-0005-0000-0000-0000831E0000}"/>
    <cellStyle name="Normal 11 27 36" xfId="8632" xr:uid="{00000000-0005-0000-0000-0000841E0000}"/>
    <cellStyle name="Normal 11 27 37" xfId="8633" xr:uid="{00000000-0005-0000-0000-0000851E0000}"/>
    <cellStyle name="Normal 11 27 4" xfId="8634" xr:uid="{00000000-0005-0000-0000-0000861E0000}"/>
    <cellStyle name="Normal 11 27 5" xfId="8635" xr:uid="{00000000-0005-0000-0000-0000871E0000}"/>
    <cellStyle name="Normal 11 27 6" xfId="8636" xr:uid="{00000000-0005-0000-0000-0000881E0000}"/>
    <cellStyle name="Normal 11 27 7" xfId="8637" xr:uid="{00000000-0005-0000-0000-0000891E0000}"/>
    <cellStyle name="Normal 11 27 8" xfId="8638" xr:uid="{00000000-0005-0000-0000-00008A1E0000}"/>
    <cellStyle name="Normal 11 27 9" xfId="8639" xr:uid="{00000000-0005-0000-0000-00008B1E0000}"/>
    <cellStyle name="Normal 11 28" xfId="8640" xr:uid="{00000000-0005-0000-0000-00008C1E0000}"/>
    <cellStyle name="Normal 11 28 10" xfId="8641" xr:uid="{00000000-0005-0000-0000-00008D1E0000}"/>
    <cellStyle name="Normal 11 28 11" xfId="8642" xr:uid="{00000000-0005-0000-0000-00008E1E0000}"/>
    <cellStyle name="Normal 11 28 12" xfId="8643" xr:uid="{00000000-0005-0000-0000-00008F1E0000}"/>
    <cellStyle name="Normal 11 28 13" xfId="8644" xr:uid="{00000000-0005-0000-0000-0000901E0000}"/>
    <cellStyle name="Normal 11 28 14" xfId="8645" xr:uid="{00000000-0005-0000-0000-0000911E0000}"/>
    <cellStyle name="Normal 11 28 15" xfId="8646" xr:uid="{00000000-0005-0000-0000-0000921E0000}"/>
    <cellStyle name="Normal 11 28 16" xfId="8647" xr:uid="{00000000-0005-0000-0000-0000931E0000}"/>
    <cellStyle name="Normal 11 28 17" xfId="8648" xr:uid="{00000000-0005-0000-0000-0000941E0000}"/>
    <cellStyle name="Normal 11 28 18" xfId="8649" xr:uid="{00000000-0005-0000-0000-0000951E0000}"/>
    <cellStyle name="Normal 11 28 19" xfId="8650" xr:uid="{00000000-0005-0000-0000-0000961E0000}"/>
    <cellStyle name="Normal 11 28 2" xfId="8651" xr:uid="{00000000-0005-0000-0000-0000971E0000}"/>
    <cellStyle name="Normal 11 28 20" xfId="8652" xr:uid="{00000000-0005-0000-0000-0000981E0000}"/>
    <cellStyle name="Normal 11 28 21" xfId="8653" xr:uid="{00000000-0005-0000-0000-0000991E0000}"/>
    <cellStyle name="Normal 11 28 22" xfId="8654" xr:uid="{00000000-0005-0000-0000-00009A1E0000}"/>
    <cellStyle name="Normal 11 28 23" xfId="8655" xr:uid="{00000000-0005-0000-0000-00009B1E0000}"/>
    <cellStyle name="Normal 11 28 24" xfId="8656" xr:uid="{00000000-0005-0000-0000-00009C1E0000}"/>
    <cellStyle name="Normal 11 28 25" xfId="8657" xr:uid="{00000000-0005-0000-0000-00009D1E0000}"/>
    <cellStyle name="Normal 11 28 26" xfId="8658" xr:uid="{00000000-0005-0000-0000-00009E1E0000}"/>
    <cellStyle name="Normal 11 28 27" xfId="8659" xr:uid="{00000000-0005-0000-0000-00009F1E0000}"/>
    <cellStyle name="Normal 11 28 28" xfId="8660" xr:uid="{00000000-0005-0000-0000-0000A01E0000}"/>
    <cellStyle name="Normal 11 28 29" xfId="8661" xr:uid="{00000000-0005-0000-0000-0000A11E0000}"/>
    <cellStyle name="Normal 11 28 3" xfId="8662" xr:uid="{00000000-0005-0000-0000-0000A21E0000}"/>
    <cellStyle name="Normal 11 28 30" xfId="8663" xr:uid="{00000000-0005-0000-0000-0000A31E0000}"/>
    <cellStyle name="Normal 11 28 31" xfId="8664" xr:uid="{00000000-0005-0000-0000-0000A41E0000}"/>
    <cellStyle name="Normal 11 28 32" xfId="8665" xr:uid="{00000000-0005-0000-0000-0000A51E0000}"/>
    <cellStyle name="Normal 11 28 33" xfId="8666" xr:uid="{00000000-0005-0000-0000-0000A61E0000}"/>
    <cellStyle name="Normal 11 28 34" xfId="8667" xr:uid="{00000000-0005-0000-0000-0000A71E0000}"/>
    <cellStyle name="Normal 11 28 35" xfId="8668" xr:uid="{00000000-0005-0000-0000-0000A81E0000}"/>
    <cellStyle name="Normal 11 28 36" xfId="8669" xr:uid="{00000000-0005-0000-0000-0000A91E0000}"/>
    <cellStyle name="Normal 11 28 37" xfId="8670" xr:uid="{00000000-0005-0000-0000-0000AA1E0000}"/>
    <cellStyle name="Normal 11 28 4" xfId="8671" xr:uid="{00000000-0005-0000-0000-0000AB1E0000}"/>
    <cellStyle name="Normal 11 28 5" xfId="8672" xr:uid="{00000000-0005-0000-0000-0000AC1E0000}"/>
    <cellStyle name="Normal 11 28 6" xfId="8673" xr:uid="{00000000-0005-0000-0000-0000AD1E0000}"/>
    <cellStyle name="Normal 11 28 7" xfId="8674" xr:uid="{00000000-0005-0000-0000-0000AE1E0000}"/>
    <cellStyle name="Normal 11 28 8" xfId="8675" xr:uid="{00000000-0005-0000-0000-0000AF1E0000}"/>
    <cellStyle name="Normal 11 28 9" xfId="8676" xr:uid="{00000000-0005-0000-0000-0000B01E0000}"/>
    <cellStyle name="Normal 11 29" xfId="8677" xr:uid="{00000000-0005-0000-0000-0000B11E0000}"/>
    <cellStyle name="Normal 11 29 10" xfId="8678" xr:uid="{00000000-0005-0000-0000-0000B21E0000}"/>
    <cellStyle name="Normal 11 29 11" xfId="8679" xr:uid="{00000000-0005-0000-0000-0000B31E0000}"/>
    <cellStyle name="Normal 11 29 12" xfId="8680" xr:uid="{00000000-0005-0000-0000-0000B41E0000}"/>
    <cellStyle name="Normal 11 29 13" xfId="8681" xr:uid="{00000000-0005-0000-0000-0000B51E0000}"/>
    <cellStyle name="Normal 11 29 14" xfId="8682" xr:uid="{00000000-0005-0000-0000-0000B61E0000}"/>
    <cellStyle name="Normal 11 29 15" xfId="8683" xr:uid="{00000000-0005-0000-0000-0000B71E0000}"/>
    <cellStyle name="Normal 11 29 16" xfId="8684" xr:uid="{00000000-0005-0000-0000-0000B81E0000}"/>
    <cellStyle name="Normal 11 29 17" xfId="8685" xr:uid="{00000000-0005-0000-0000-0000B91E0000}"/>
    <cellStyle name="Normal 11 29 18" xfId="8686" xr:uid="{00000000-0005-0000-0000-0000BA1E0000}"/>
    <cellStyle name="Normal 11 29 19" xfId="8687" xr:uid="{00000000-0005-0000-0000-0000BB1E0000}"/>
    <cellStyle name="Normal 11 29 2" xfId="8688" xr:uid="{00000000-0005-0000-0000-0000BC1E0000}"/>
    <cellStyle name="Normal 11 29 20" xfId="8689" xr:uid="{00000000-0005-0000-0000-0000BD1E0000}"/>
    <cellStyle name="Normal 11 29 21" xfId="8690" xr:uid="{00000000-0005-0000-0000-0000BE1E0000}"/>
    <cellStyle name="Normal 11 29 22" xfId="8691" xr:uid="{00000000-0005-0000-0000-0000BF1E0000}"/>
    <cellStyle name="Normal 11 29 23" xfId="8692" xr:uid="{00000000-0005-0000-0000-0000C01E0000}"/>
    <cellStyle name="Normal 11 29 24" xfId="8693" xr:uid="{00000000-0005-0000-0000-0000C11E0000}"/>
    <cellStyle name="Normal 11 29 25" xfId="8694" xr:uid="{00000000-0005-0000-0000-0000C21E0000}"/>
    <cellStyle name="Normal 11 29 26" xfId="8695" xr:uid="{00000000-0005-0000-0000-0000C31E0000}"/>
    <cellStyle name="Normal 11 29 27" xfId="8696" xr:uid="{00000000-0005-0000-0000-0000C41E0000}"/>
    <cellStyle name="Normal 11 29 28" xfId="8697" xr:uid="{00000000-0005-0000-0000-0000C51E0000}"/>
    <cellStyle name="Normal 11 29 29" xfId="8698" xr:uid="{00000000-0005-0000-0000-0000C61E0000}"/>
    <cellStyle name="Normal 11 29 3" xfId="8699" xr:uid="{00000000-0005-0000-0000-0000C71E0000}"/>
    <cellStyle name="Normal 11 29 30" xfId="8700" xr:uid="{00000000-0005-0000-0000-0000C81E0000}"/>
    <cellStyle name="Normal 11 29 31" xfId="8701" xr:uid="{00000000-0005-0000-0000-0000C91E0000}"/>
    <cellStyle name="Normal 11 29 32" xfId="8702" xr:uid="{00000000-0005-0000-0000-0000CA1E0000}"/>
    <cellStyle name="Normal 11 29 33" xfId="8703" xr:uid="{00000000-0005-0000-0000-0000CB1E0000}"/>
    <cellStyle name="Normal 11 29 34" xfId="8704" xr:uid="{00000000-0005-0000-0000-0000CC1E0000}"/>
    <cellStyle name="Normal 11 29 35" xfId="8705" xr:uid="{00000000-0005-0000-0000-0000CD1E0000}"/>
    <cellStyle name="Normal 11 29 36" xfId="8706" xr:uid="{00000000-0005-0000-0000-0000CE1E0000}"/>
    <cellStyle name="Normal 11 29 37" xfId="8707" xr:uid="{00000000-0005-0000-0000-0000CF1E0000}"/>
    <cellStyle name="Normal 11 29 4" xfId="8708" xr:uid="{00000000-0005-0000-0000-0000D01E0000}"/>
    <cellStyle name="Normal 11 29 5" xfId="8709" xr:uid="{00000000-0005-0000-0000-0000D11E0000}"/>
    <cellStyle name="Normal 11 29 6" xfId="8710" xr:uid="{00000000-0005-0000-0000-0000D21E0000}"/>
    <cellStyle name="Normal 11 29 7" xfId="8711" xr:uid="{00000000-0005-0000-0000-0000D31E0000}"/>
    <cellStyle name="Normal 11 29 8" xfId="8712" xr:uid="{00000000-0005-0000-0000-0000D41E0000}"/>
    <cellStyle name="Normal 11 29 9" xfId="8713" xr:uid="{00000000-0005-0000-0000-0000D51E0000}"/>
    <cellStyle name="Normal 11 3" xfId="8714" xr:uid="{00000000-0005-0000-0000-0000D61E0000}"/>
    <cellStyle name="Normal 11 3 10" xfId="8715" xr:uid="{00000000-0005-0000-0000-0000D71E0000}"/>
    <cellStyle name="Normal 11 3 10 2" xfId="8716" xr:uid="{00000000-0005-0000-0000-0000D81E0000}"/>
    <cellStyle name="Normal 11 3 10 2 2" xfId="8717" xr:uid="{00000000-0005-0000-0000-0000D91E0000}"/>
    <cellStyle name="Normal 11 3 10 2 3" xfId="8718" xr:uid="{00000000-0005-0000-0000-0000DA1E0000}"/>
    <cellStyle name="Normal 11 3 10 2 4" xfId="8719" xr:uid="{00000000-0005-0000-0000-0000DB1E0000}"/>
    <cellStyle name="Normal 11 3 10 3" xfId="8720" xr:uid="{00000000-0005-0000-0000-0000DC1E0000}"/>
    <cellStyle name="Normal 11 3 10 3 2" xfId="8721" xr:uid="{00000000-0005-0000-0000-0000DD1E0000}"/>
    <cellStyle name="Normal 11 3 10 3 3" xfId="8722" xr:uid="{00000000-0005-0000-0000-0000DE1E0000}"/>
    <cellStyle name="Normal 11 3 10 3 4" xfId="8723" xr:uid="{00000000-0005-0000-0000-0000DF1E0000}"/>
    <cellStyle name="Normal 11 3 10 4" xfId="8724" xr:uid="{00000000-0005-0000-0000-0000E01E0000}"/>
    <cellStyle name="Normal 11 3 10 5" xfId="8725" xr:uid="{00000000-0005-0000-0000-0000E11E0000}"/>
    <cellStyle name="Normal 11 3 10 6" xfId="8726" xr:uid="{00000000-0005-0000-0000-0000E21E0000}"/>
    <cellStyle name="Normal 11 3 11" xfId="8727" xr:uid="{00000000-0005-0000-0000-0000E31E0000}"/>
    <cellStyle name="Normal 11 3 11 2" xfId="8728" xr:uid="{00000000-0005-0000-0000-0000E41E0000}"/>
    <cellStyle name="Normal 11 3 11 2 2" xfId="8729" xr:uid="{00000000-0005-0000-0000-0000E51E0000}"/>
    <cellStyle name="Normal 11 3 11 2 3" xfId="8730" xr:uid="{00000000-0005-0000-0000-0000E61E0000}"/>
    <cellStyle name="Normal 11 3 11 2 4" xfId="8731" xr:uid="{00000000-0005-0000-0000-0000E71E0000}"/>
    <cellStyle name="Normal 11 3 11 3" xfId="8732" xr:uid="{00000000-0005-0000-0000-0000E81E0000}"/>
    <cellStyle name="Normal 11 3 11 3 2" xfId="8733" xr:uid="{00000000-0005-0000-0000-0000E91E0000}"/>
    <cellStyle name="Normal 11 3 11 3 3" xfId="8734" xr:uid="{00000000-0005-0000-0000-0000EA1E0000}"/>
    <cellStyle name="Normal 11 3 11 3 4" xfId="8735" xr:uid="{00000000-0005-0000-0000-0000EB1E0000}"/>
    <cellStyle name="Normal 11 3 11 4" xfId="8736" xr:uid="{00000000-0005-0000-0000-0000EC1E0000}"/>
    <cellStyle name="Normal 11 3 11 5" xfId="8737" xr:uid="{00000000-0005-0000-0000-0000ED1E0000}"/>
    <cellStyle name="Normal 11 3 11 6" xfId="8738" xr:uid="{00000000-0005-0000-0000-0000EE1E0000}"/>
    <cellStyle name="Normal 11 3 12" xfId="8739" xr:uid="{00000000-0005-0000-0000-0000EF1E0000}"/>
    <cellStyle name="Normal 11 3 12 2" xfId="8740" xr:uid="{00000000-0005-0000-0000-0000F01E0000}"/>
    <cellStyle name="Normal 11 3 12 2 2" xfId="8741" xr:uid="{00000000-0005-0000-0000-0000F11E0000}"/>
    <cellStyle name="Normal 11 3 12 2 3" xfId="8742" xr:uid="{00000000-0005-0000-0000-0000F21E0000}"/>
    <cellStyle name="Normal 11 3 12 2 4" xfId="8743" xr:uid="{00000000-0005-0000-0000-0000F31E0000}"/>
    <cellStyle name="Normal 11 3 12 3" xfId="8744" xr:uid="{00000000-0005-0000-0000-0000F41E0000}"/>
    <cellStyle name="Normal 11 3 12 3 2" xfId="8745" xr:uid="{00000000-0005-0000-0000-0000F51E0000}"/>
    <cellStyle name="Normal 11 3 12 3 3" xfId="8746" xr:uid="{00000000-0005-0000-0000-0000F61E0000}"/>
    <cellStyle name="Normal 11 3 12 3 4" xfId="8747" xr:uid="{00000000-0005-0000-0000-0000F71E0000}"/>
    <cellStyle name="Normal 11 3 12 4" xfId="8748" xr:uid="{00000000-0005-0000-0000-0000F81E0000}"/>
    <cellStyle name="Normal 11 3 12 5" xfId="8749" xr:uid="{00000000-0005-0000-0000-0000F91E0000}"/>
    <cellStyle name="Normal 11 3 12 6" xfId="8750" xr:uid="{00000000-0005-0000-0000-0000FA1E0000}"/>
    <cellStyle name="Normal 11 3 13" xfId="8751" xr:uid="{00000000-0005-0000-0000-0000FB1E0000}"/>
    <cellStyle name="Normal 11 3 13 2" xfId="8752" xr:uid="{00000000-0005-0000-0000-0000FC1E0000}"/>
    <cellStyle name="Normal 11 3 13 2 2" xfId="8753" xr:uid="{00000000-0005-0000-0000-0000FD1E0000}"/>
    <cellStyle name="Normal 11 3 13 2 3" xfId="8754" xr:uid="{00000000-0005-0000-0000-0000FE1E0000}"/>
    <cellStyle name="Normal 11 3 13 2 4" xfId="8755" xr:uid="{00000000-0005-0000-0000-0000FF1E0000}"/>
    <cellStyle name="Normal 11 3 13 3" xfId="8756" xr:uid="{00000000-0005-0000-0000-0000001F0000}"/>
    <cellStyle name="Normal 11 3 13 3 2" xfId="8757" xr:uid="{00000000-0005-0000-0000-0000011F0000}"/>
    <cellStyle name="Normal 11 3 13 3 3" xfId="8758" xr:uid="{00000000-0005-0000-0000-0000021F0000}"/>
    <cellStyle name="Normal 11 3 13 3 4" xfId="8759" xr:uid="{00000000-0005-0000-0000-0000031F0000}"/>
    <cellStyle name="Normal 11 3 13 4" xfId="8760" xr:uid="{00000000-0005-0000-0000-0000041F0000}"/>
    <cellStyle name="Normal 11 3 13 5" xfId="8761" xr:uid="{00000000-0005-0000-0000-0000051F0000}"/>
    <cellStyle name="Normal 11 3 13 6" xfId="8762" xr:uid="{00000000-0005-0000-0000-0000061F0000}"/>
    <cellStyle name="Normal 11 3 14" xfId="8763" xr:uid="{00000000-0005-0000-0000-0000071F0000}"/>
    <cellStyle name="Normal 11 3 14 2" xfId="8764" xr:uid="{00000000-0005-0000-0000-0000081F0000}"/>
    <cellStyle name="Normal 11 3 14 2 2" xfId="8765" xr:uid="{00000000-0005-0000-0000-0000091F0000}"/>
    <cellStyle name="Normal 11 3 14 2 3" xfId="8766" xr:uid="{00000000-0005-0000-0000-00000A1F0000}"/>
    <cellStyle name="Normal 11 3 14 2 4" xfId="8767" xr:uid="{00000000-0005-0000-0000-00000B1F0000}"/>
    <cellStyle name="Normal 11 3 14 3" xfId="8768" xr:uid="{00000000-0005-0000-0000-00000C1F0000}"/>
    <cellStyle name="Normal 11 3 14 3 2" xfId="8769" xr:uid="{00000000-0005-0000-0000-00000D1F0000}"/>
    <cellStyle name="Normal 11 3 14 3 3" xfId="8770" xr:uid="{00000000-0005-0000-0000-00000E1F0000}"/>
    <cellStyle name="Normal 11 3 14 3 4" xfId="8771" xr:uid="{00000000-0005-0000-0000-00000F1F0000}"/>
    <cellStyle name="Normal 11 3 14 4" xfId="8772" xr:uid="{00000000-0005-0000-0000-0000101F0000}"/>
    <cellStyle name="Normal 11 3 14 5" xfId="8773" xr:uid="{00000000-0005-0000-0000-0000111F0000}"/>
    <cellStyle name="Normal 11 3 14 6" xfId="8774" xr:uid="{00000000-0005-0000-0000-0000121F0000}"/>
    <cellStyle name="Normal 11 3 15" xfId="8775" xr:uid="{00000000-0005-0000-0000-0000131F0000}"/>
    <cellStyle name="Normal 11 3 15 2" xfId="8776" xr:uid="{00000000-0005-0000-0000-0000141F0000}"/>
    <cellStyle name="Normal 11 3 15 2 2" xfId="8777" xr:uid="{00000000-0005-0000-0000-0000151F0000}"/>
    <cellStyle name="Normal 11 3 15 2 3" xfId="8778" xr:uid="{00000000-0005-0000-0000-0000161F0000}"/>
    <cellStyle name="Normal 11 3 15 2 4" xfId="8779" xr:uid="{00000000-0005-0000-0000-0000171F0000}"/>
    <cellStyle name="Normal 11 3 15 3" xfId="8780" xr:uid="{00000000-0005-0000-0000-0000181F0000}"/>
    <cellStyle name="Normal 11 3 15 3 2" xfId="8781" xr:uid="{00000000-0005-0000-0000-0000191F0000}"/>
    <cellStyle name="Normal 11 3 15 3 3" xfId="8782" xr:uid="{00000000-0005-0000-0000-00001A1F0000}"/>
    <cellStyle name="Normal 11 3 15 3 4" xfId="8783" xr:uid="{00000000-0005-0000-0000-00001B1F0000}"/>
    <cellStyle name="Normal 11 3 15 4" xfId="8784" xr:uid="{00000000-0005-0000-0000-00001C1F0000}"/>
    <cellStyle name="Normal 11 3 15 5" xfId="8785" xr:uid="{00000000-0005-0000-0000-00001D1F0000}"/>
    <cellStyle name="Normal 11 3 15 6" xfId="8786" xr:uid="{00000000-0005-0000-0000-00001E1F0000}"/>
    <cellStyle name="Normal 11 3 16" xfId="8787" xr:uid="{00000000-0005-0000-0000-00001F1F0000}"/>
    <cellStyle name="Normal 11 3 16 2" xfId="8788" xr:uid="{00000000-0005-0000-0000-0000201F0000}"/>
    <cellStyle name="Normal 11 3 16 2 2" xfId="8789" xr:uid="{00000000-0005-0000-0000-0000211F0000}"/>
    <cellStyle name="Normal 11 3 16 2 3" xfId="8790" xr:uid="{00000000-0005-0000-0000-0000221F0000}"/>
    <cellStyle name="Normal 11 3 16 2 4" xfId="8791" xr:uid="{00000000-0005-0000-0000-0000231F0000}"/>
    <cellStyle name="Normal 11 3 16 3" xfId="8792" xr:uid="{00000000-0005-0000-0000-0000241F0000}"/>
    <cellStyle name="Normal 11 3 16 3 2" xfId="8793" xr:uid="{00000000-0005-0000-0000-0000251F0000}"/>
    <cellStyle name="Normal 11 3 16 3 3" xfId="8794" xr:uid="{00000000-0005-0000-0000-0000261F0000}"/>
    <cellStyle name="Normal 11 3 16 3 4" xfId="8795" xr:uid="{00000000-0005-0000-0000-0000271F0000}"/>
    <cellStyle name="Normal 11 3 16 4" xfId="8796" xr:uid="{00000000-0005-0000-0000-0000281F0000}"/>
    <cellStyle name="Normal 11 3 16 5" xfId="8797" xr:uid="{00000000-0005-0000-0000-0000291F0000}"/>
    <cellStyle name="Normal 11 3 16 6" xfId="8798" xr:uid="{00000000-0005-0000-0000-00002A1F0000}"/>
    <cellStyle name="Normal 11 3 17" xfId="8799" xr:uid="{00000000-0005-0000-0000-00002B1F0000}"/>
    <cellStyle name="Normal 11 3 17 2" xfId="8800" xr:uid="{00000000-0005-0000-0000-00002C1F0000}"/>
    <cellStyle name="Normal 11 3 17 2 2" xfId="8801" xr:uid="{00000000-0005-0000-0000-00002D1F0000}"/>
    <cellStyle name="Normal 11 3 17 2 3" xfId="8802" xr:uid="{00000000-0005-0000-0000-00002E1F0000}"/>
    <cellStyle name="Normal 11 3 17 2 4" xfId="8803" xr:uid="{00000000-0005-0000-0000-00002F1F0000}"/>
    <cellStyle name="Normal 11 3 17 3" xfId="8804" xr:uid="{00000000-0005-0000-0000-0000301F0000}"/>
    <cellStyle name="Normal 11 3 17 3 2" xfId="8805" xr:uid="{00000000-0005-0000-0000-0000311F0000}"/>
    <cellStyle name="Normal 11 3 17 3 3" xfId="8806" xr:uid="{00000000-0005-0000-0000-0000321F0000}"/>
    <cellStyle name="Normal 11 3 17 3 4" xfId="8807" xr:uid="{00000000-0005-0000-0000-0000331F0000}"/>
    <cellStyle name="Normal 11 3 17 4" xfId="8808" xr:uid="{00000000-0005-0000-0000-0000341F0000}"/>
    <cellStyle name="Normal 11 3 17 5" xfId="8809" xr:uid="{00000000-0005-0000-0000-0000351F0000}"/>
    <cellStyle name="Normal 11 3 17 6" xfId="8810" xr:uid="{00000000-0005-0000-0000-0000361F0000}"/>
    <cellStyle name="Normal 11 3 18" xfId="8811" xr:uid="{00000000-0005-0000-0000-0000371F0000}"/>
    <cellStyle name="Normal 11 3 18 2" xfId="8812" xr:uid="{00000000-0005-0000-0000-0000381F0000}"/>
    <cellStyle name="Normal 11 3 18 3" xfId="8813" xr:uid="{00000000-0005-0000-0000-0000391F0000}"/>
    <cellStyle name="Normal 11 3 18 4" xfId="8814" xr:uid="{00000000-0005-0000-0000-00003A1F0000}"/>
    <cellStyle name="Normal 11 3 19" xfId="8815" xr:uid="{00000000-0005-0000-0000-00003B1F0000}"/>
    <cellStyle name="Normal 11 3 19 2" xfId="8816" xr:uid="{00000000-0005-0000-0000-00003C1F0000}"/>
    <cellStyle name="Normal 11 3 19 3" xfId="8817" xr:uid="{00000000-0005-0000-0000-00003D1F0000}"/>
    <cellStyle name="Normal 11 3 19 4" xfId="8818" xr:uid="{00000000-0005-0000-0000-00003E1F0000}"/>
    <cellStyle name="Normal 11 3 2" xfId="8819" xr:uid="{00000000-0005-0000-0000-00003F1F0000}"/>
    <cellStyle name="Normal 11 3 2 2" xfId="8820" xr:uid="{00000000-0005-0000-0000-0000401F0000}"/>
    <cellStyle name="Normal 11 3 2 2 2" xfId="8821" xr:uid="{00000000-0005-0000-0000-0000411F0000}"/>
    <cellStyle name="Normal 11 3 2 2 3" xfId="8822" xr:uid="{00000000-0005-0000-0000-0000421F0000}"/>
    <cellStyle name="Normal 11 3 2 2 4" xfId="8823" xr:uid="{00000000-0005-0000-0000-0000431F0000}"/>
    <cellStyle name="Normal 11 3 2 3" xfId="8824" xr:uid="{00000000-0005-0000-0000-0000441F0000}"/>
    <cellStyle name="Normal 11 3 2 3 2" xfId="8825" xr:uid="{00000000-0005-0000-0000-0000451F0000}"/>
    <cellStyle name="Normal 11 3 2 3 3" xfId="8826" xr:uid="{00000000-0005-0000-0000-0000461F0000}"/>
    <cellStyle name="Normal 11 3 2 3 4" xfId="8827" xr:uid="{00000000-0005-0000-0000-0000471F0000}"/>
    <cellStyle name="Normal 11 3 2 4" xfId="8828" xr:uid="{00000000-0005-0000-0000-0000481F0000}"/>
    <cellStyle name="Normal 11 3 2 5" xfId="8829" xr:uid="{00000000-0005-0000-0000-0000491F0000}"/>
    <cellStyle name="Normal 11 3 2 6" xfId="8830" xr:uid="{00000000-0005-0000-0000-00004A1F0000}"/>
    <cellStyle name="Normal 11 3 20" xfId="8831" xr:uid="{00000000-0005-0000-0000-00004B1F0000}"/>
    <cellStyle name="Normal 11 3 20 2" xfId="8832" xr:uid="{00000000-0005-0000-0000-00004C1F0000}"/>
    <cellStyle name="Normal 11 3 20 3" xfId="8833" xr:uid="{00000000-0005-0000-0000-00004D1F0000}"/>
    <cellStyle name="Normal 11 3 20 4" xfId="8834" xr:uid="{00000000-0005-0000-0000-00004E1F0000}"/>
    <cellStyle name="Normal 11 3 21" xfId="8835" xr:uid="{00000000-0005-0000-0000-00004F1F0000}"/>
    <cellStyle name="Normal 11 3 22" xfId="8836" xr:uid="{00000000-0005-0000-0000-0000501F0000}"/>
    <cellStyle name="Normal 11 3 23" xfId="8837" xr:uid="{00000000-0005-0000-0000-0000511F0000}"/>
    <cellStyle name="Normal 11 3 24" xfId="8838" xr:uid="{00000000-0005-0000-0000-0000521F0000}"/>
    <cellStyle name="Normal 11 3 25" xfId="8839" xr:uid="{00000000-0005-0000-0000-0000531F0000}"/>
    <cellStyle name="Normal 11 3 26" xfId="8840" xr:uid="{00000000-0005-0000-0000-0000541F0000}"/>
    <cellStyle name="Normal 11 3 27" xfId="8841" xr:uid="{00000000-0005-0000-0000-0000551F0000}"/>
    <cellStyle name="Normal 11 3 28" xfId="8842" xr:uid="{00000000-0005-0000-0000-0000561F0000}"/>
    <cellStyle name="Normal 11 3 29" xfId="8843" xr:uid="{00000000-0005-0000-0000-0000571F0000}"/>
    <cellStyle name="Normal 11 3 3" xfId="8844" xr:uid="{00000000-0005-0000-0000-0000581F0000}"/>
    <cellStyle name="Normal 11 3 3 2" xfId="8845" xr:uid="{00000000-0005-0000-0000-0000591F0000}"/>
    <cellStyle name="Normal 11 3 3 2 2" xfId="8846" xr:uid="{00000000-0005-0000-0000-00005A1F0000}"/>
    <cellStyle name="Normal 11 3 3 2 3" xfId="8847" xr:uid="{00000000-0005-0000-0000-00005B1F0000}"/>
    <cellStyle name="Normal 11 3 3 2 4" xfId="8848" xr:uid="{00000000-0005-0000-0000-00005C1F0000}"/>
    <cellStyle name="Normal 11 3 3 3" xfId="8849" xr:uid="{00000000-0005-0000-0000-00005D1F0000}"/>
    <cellStyle name="Normal 11 3 3 3 2" xfId="8850" xr:uid="{00000000-0005-0000-0000-00005E1F0000}"/>
    <cellStyle name="Normal 11 3 3 3 3" xfId="8851" xr:uid="{00000000-0005-0000-0000-00005F1F0000}"/>
    <cellStyle name="Normal 11 3 3 3 4" xfId="8852" xr:uid="{00000000-0005-0000-0000-0000601F0000}"/>
    <cellStyle name="Normal 11 3 3 4" xfId="8853" xr:uid="{00000000-0005-0000-0000-0000611F0000}"/>
    <cellStyle name="Normal 11 3 3 5" xfId="8854" xr:uid="{00000000-0005-0000-0000-0000621F0000}"/>
    <cellStyle name="Normal 11 3 3 6" xfId="8855" xr:uid="{00000000-0005-0000-0000-0000631F0000}"/>
    <cellStyle name="Normal 11 3 30" xfId="8856" xr:uid="{00000000-0005-0000-0000-0000641F0000}"/>
    <cellStyle name="Normal 11 3 31" xfId="8857" xr:uid="{00000000-0005-0000-0000-0000651F0000}"/>
    <cellStyle name="Normal 11 3 32" xfId="8858" xr:uid="{00000000-0005-0000-0000-0000661F0000}"/>
    <cellStyle name="Normal 11 3 33" xfId="8859" xr:uid="{00000000-0005-0000-0000-0000671F0000}"/>
    <cellStyle name="Normal 11 3 34" xfId="8860" xr:uid="{00000000-0005-0000-0000-0000681F0000}"/>
    <cellStyle name="Normal 11 3 35" xfId="8861" xr:uid="{00000000-0005-0000-0000-0000691F0000}"/>
    <cellStyle name="Normal 11 3 36" xfId="8862" xr:uid="{00000000-0005-0000-0000-00006A1F0000}"/>
    <cellStyle name="Normal 11 3 37" xfId="8863" xr:uid="{00000000-0005-0000-0000-00006B1F0000}"/>
    <cellStyle name="Normal 11 3 38" xfId="8864" xr:uid="{00000000-0005-0000-0000-00006C1F0000}"/>
    <cellStyle name="Normal 11 3 39" xfId="8865" xr:uid="{00000000-0005-0000-0000-00006D1F0000}"/>
    <cellStyle name="Normal 11 3 4" xfId="8866" xr:uid="{00000000-0005-0000-0000-00006E1F0000}"/>
    <cellStyle name="Normal 11 3 4 2" xfId="8867" xr:uid="{00000000-0005-0000-0000-00006F1F0000}"/>
    <cellStyle name="Normal 11 3 4 2 2" xfId="8868" xr:uid="{00000000-0005-0000-0000-0000701F0000}"/>
    <cellStyle name="Normal 11 3 4 2 3" xfId="8869" xr:uid="{00000000-0005-0000-0000-0000711F0000}"/>
    <cellStyle name="Normal 11 3 4 2 4" xfId="8870" xr:uid="{00000000-0005-0000-0000-0000721F0000}"/>
    <cellStyle name="Normal 11 3 4 3" xfId="8871" xr:uid="{00000000-0005-0000-0000-0000731F0000}"/>
    <cellStyle name="Normal 11 3 4 3 2" xfId="8872" xr:uid="{00000000-0005-0000-0000-0000741F0000}"/>
    <cellStyle name="Normal 11 3 4 3 3" xfId="8873" xr:uid="{00000000-0005-0000-0000-0000751F0000}"/>
    <cellStyle name="Normal 11 3 4 3 4" xfId="8874" xr:uid="{00000000-0005-0000-0000-0000761F0000}"/>
    <cellStyle name="Normal 11 3 4 4" xfId="8875" xr:uid="{00000000-0005-0000-0000-0000771F0000}"/>
    <cellStyle name="Normal 11 3 4 5" xfId="8876" xr:uid="{00000000-0005-0000-0000-0000781F0000}"/>
    <cellStyle name="Normal 11 3 4 6" xfId="8877" xr:uid="{00000000-0005-0000-0000-0000791F0000}"/>
    <cellStyle name="Normal 11 3 40" xfId="8878" xr:uid="{00000000-0005-0000-0000-00007A1F0000}"/>
    <cellStyle name="Normal 11 3 41" xfId="8879" xr:uid="{00000000-0005-0000-0000-00007B1F0000}"/>
    <cellStyle name="Normal 11 3 42" xfId="8880" xr:uid="{00000000-0005-0000-0000-00007C1F0000}"/>
    <cellStyle name="Normal 11 3 43" xfId="8881" xr:uid="{00000000-0005-0000-0000-00007D1F0000}"/>
    <cellStyle name="Normal 11 3 44" xfId="8882" xr:uid="{00000000-0005-0000-0000-00007E1F0000}"/>
    <cellStyle name="Normal 11 3 45" xfId="8883" xr:uid="{00000000-0005-0000-0000-00007F1F0000}"/>
    <cellStyle name="Normal 11 3 46" xfId="8884" xr:uid="{00000000-0005-0000-0000-0000801F0000}"/>
    <cellStyle name="Normal 11 3 47" xfId="8885" xr:uid="{00000000-0005-0000-0000-0000811F0000}"/>
    <cellStyle name="Normal 11 3 48" xfId="8886" xr:uid="{00000000-0005-0000-0000-0000821F0000}"/>
    <cellStyle name="Normal 11 3 49" xfId="8887" xr:uid="{00000000-0005-0000-0000-0000831F0000}"/>
    <cellStyle name="Normal 11 3 5" xfId="8888" xr:uid="{00000000-0005-0000-0000-0000841F0000}"/>
    <cellStyle name="Normal 11 3 5 2" xfId="8889" xr:uid="{00000000-0005-0000-0000-0000851F0000}"/>
    <cellStyle name="Normal 11 3 5 2 2" xfId="8890" xr:uid="{00000000-0005-0000-0000-0000861F0000}"/>
    <cellStyle name="Normal 11 3 5 2 3" xfId="8891" xr:uid="{00000000-0005-0000-0000-0000871F0000}"/>
    <cellStyle name="Normal 11 3 5 2 4" xfId="8892" xr:uid="{00000000-0005-0000-0000-0000881F0000}"/>
    <cellStyle name="Normal 11 3 5 3" xfId="8893" xr:uid="{00000000-0005-0000-0000-0000891F0000}"/>
    <cellStyle name="Normal 11 3 5 3 2" xfId="8894" xr:uid="{00000000-0005-0000-0000-00008A1F0000}"/>
    <cellStyle name="Normal 11 3 5 3 3" xfId="8895" xr:uid="{00000000-0005-0000-0000-00008B1F0000}"/>
    <cellStyle name="Normal 11 3 5 3 4" xfId="8896" xr:uid="{00000000-0005-0000-0000-00008C1F0000}"/>
    <cellStyle name="Normal 11 3 5 4" xfId="8897" xr:uid="{00000000-0005-0000-0000-00008D1F0000}"/>
    <cellStyle name="Normal 11 3 5 5" xfId="8898" xr:uid="{00000000-0005-0000-0000-00008E1F0000}"/>
    <cellStyle name="Normal 11 3 5 6" xfId="8899" xr:uid="{00000000-0005-0000-0000-00008F1F0000}"/>
    <cellStyle name="Normal 11 3 50" xfId="8900" xr:uid="{00000000-0005-0000-0000-0000901F0000}"/>
    <cellStyle name="Normal 11 3 51" xfId="8901" xr:uid="{00000000-0005-0000-0000-0000911F0000}"/>
    <cellStyle name="Normal 11 3 52" xfId="8902" xr:uid="{00000000-0005-0000-0000-0000921F0000}"/>
    <cellStyle name="Normal 11 3 6" xfId="8903" xr:uid="{00000000-0005-0000-0000-0000931F0000}"/>
    <cellStyle name="Normal 11 3 6 2" xfId="8904" xr:uid="{00000000-0005-0000-0000-0000941F0000}"/>
    <cellStyle name="Normal 11 3 6 2 2" xfId="8905" xr:uid="{00000000-0005-0000-0000-0000951F0000}"/>
    <cellStyle name="Normal 11 3 6 2 3" xfId="8906" xr:uid="{00000000-0005-0000-0000-0000961F0000}"/>
    <cellStyle name="Normal 11 3 6 2 4" xfId="8907" xr:uid="{00000000-0005-0000-0000-0000971F0000}"/>
    <cellStyle name="Normal 11 3 6 3" xfId="8908" xr:uid="{00000000-0005-0000-0000-0000981F0000}"/>
    <cellStyle name="Normal 11 3 6 3 2" xfId="8909" xr:uid="{00000000-0005-0000-0000-0000991F0000}"/>
    <cellStyle name="Normal 11 3 6 3 3" xfId="8910" xr:uid="{00000000-0005-0000-0000-00009A1F0000}"/>
    <cellStyle name="Normal 11 3 6 3 4" xfId="8911" xr:uid="{00000000-0005-0000-0000-00009B1F0000}"/>
    <cellStyle name="Normal 11 3 6 4" xfId="8912" xr:uid="{00000000-0005-0000-0000-00009C1F0000}"/>
    <cellStyle name="Normal 11 3 6 5" xfId="8913" xr:uid="{00000000-0005-0000-0000-00009D1F0000}"/>
    <cellStyle name="Normal 11 3 6 6" xfId="8914" xr:uid="{00000000-0005-0000-0000-00009E1F0000}"/>
    <cellStyle name="Normal 11 3 7" xfId="8915" xr:uid="{00000000-0005-0000-0000-00009F1F0000}"/>
    <cellStyle name="Normal 11 3 7 2" xfId="8916" xr:uid="{00000000-0005-0000-0000-0000A01F0000}"/>
    <cellStyle name="Normal 11 3 7 2 2" xfId="8917" xr:uid="{00000000-0005-0000-0000-0000A11F0000}"/>
    <cellStyle name="Normal 11 3 7 2 3" xfId="8918" xr:uid="{00000000-0005-0000-0000-0000A21F0000}"/>
    <cellStyle name="Normal 11 3 7 2 4" xfId="8919" xr:uid="{00000000-0005-0000-0000-0000A31F0000}"/>
    <cellStyle name="Normal 11 3 7 3" xfId="8920" xr:uid="{00000000-0005-0000-0000-0000A41F0000}"/>
    <cellStyle name="Normal 11 3 7 3 2" xfId="8921" xr:uid="{00000000-0005-0000-0000-0000A51F0000}"/>
    <cellStyle name="Normal 11 3 7 3 3" xfId="8922" xr:uid="{00000000-0005-0000-0000-0000A61F0000}"/>
    <cellStyle name="Normal 11 3 7 3 4" xfId="8923" xr:uid="{00000000-0005-0000-0000-0000A71F0000}"/>
    <cellStyle name="Normal 11 3 7 4" xfId="8924" xr:uid="{00000000-0005-0000-0000-0000A81F0000}"/>
    <cellStyle name="Normal 11 3 7 5" xfId="8925" xr:uid="{00000000-0005-0000-0000-0000A91F0000}"/>
    <cellStyle name="Normal 11 3 7 6" xfId="8926" xr:uid="{00000000-0005-0000-0000-0000AA1F0000}"/>
    <cellStyle name="Normal 11 3 8" xfId="8927" xr:uid="{00000000-0005-0000-0000-0000AB1F0000}"/>
    <cellStyle name="Normal 11 3 8 2" xfId="8928" xr:uid="{00000000-0005-0000-0000-0000AC1F0000}"/>
    <cellStyle name="Normal 11 3 8 2 2" xfId="8929" xr:uid="{00000000-0005-0000-0000-0000AD1F0000}"/>
    <cellStyle name="Normal 11 3 8 2 3" xfId="8930" xr:uid="{00000000-0005-0000-0000-0000AE1F0000}"/>
    <cellStyle name="Normal 11 3 8 2 4" xfId="8931" xr:uid="{00000000-0005-0000-0000-0000AF1F0000}"/>
    <cellStyle name="Normal 11 3 8 3" xfId="8932" xr:uid="{00000000-0005-0000-0000-0000B01F0000}"/>
    <cellStyle name="Normal 11 3 8 3 2" xfId="8933" xr:uid="{00000000-0005-0000-0000-0000B11F0000}"/>
    <cellStyle name="Normal 11 3 8 3 3" xfId="8934" xr:uid="{00000000-0005-0000-0000-0000B21F0000}"/>
    <cellStyle name="Normal 11 3 8 3 4" xfId="8935" xr:uid="{00000000-0005-0000-0000-0000B31F0000}"/>
    <cellStyle name="Normal 11 3 8 4" xfId="8936" xr:uid="{00000000-0005-0000-0000-0000B41F0000}"/>
    <cellStyle name="Normal 11 3 8 5" xfId="8937" xr:uid="{00000000-0005-0000-0000-0000B51F0000}"/>
    <cellStyle name="Normal 11 3 8 6" xfId="8938" xr:uid="{00000000-0005-0000-0000-0000B61F0000}"/>
    <cellStyle name="Normal 11 3 9" xfId="8939" xr:uid="{00000000-0005-0000-0000-0000B71F0000}"/>
    <cellStyle name="Normal 11 3 9 2" xfId="8940" xr:uid="{00000000-0005-0000-0000-0000B81F0000}"/>
    <cellStyle name="Normal 11 3 9 2 2" xfId="8941" xr:uid="{00000000-0005-0000-0000-0000B91F0000}"/>
    <cellStyle name="Normal 11 3 9 2 3" xfId="8942" xr:uid="{00000000-0005-0000-0000-0000BA1F0000}"/>
    <cellStyle name="Normal 11 3 9 2 4" xfId="8943" xr:uid="{00000000-0005-0000-0000-0000BB1F0000}"/>
    <cellStyle name="Normal 11 3 9 3" xfId="8944" xr:uid="{00000000-0005-0000-0000-0000BC1F0000}"/>
    <cellStyle name="Normal 11 3 9 3 2" xfId="8945" xr:uid="{00000000-0005-0000-0000-0000BD1F0000}"/>
    <cellStyle name="Normal 11 3 9 3 3" xfId="8946" xr:uid="{00000000-0005-0000-0000-0000BE1F0000}"/>
    <cellStyle name="Normal 11 3 9 3 4" xfId="8947" xr:uid="{00000000-0005-0000-0000-0000BF1F0000}"/>
    <cellStyle name="Normal 11 3 9 4" xfId="8948" xr:uid="{00000000-0005-0000-0000-0000C01F0000}"/>
    <cellStyle name="Normal 11 3 9 5" xfId="8949" xr:uid="{00000000-0005-0000-0000-0000C11F0000}"/>
    <cellStyle name="Normal 11 3 9 6" xfId="8950" xr:uid="{00000000-0005-0000-0000-0000C21F0000}"/>
    <cellStyle name="Normal 11 30" xfId="8951" xr:uid="{00000000-0005-0000-0000-0000C31F0000}"/>
    <cellStyle name="Normal 11 30 10" xfId="8952" xr:uid="{00000000-0005-0000-0000-0000C41F0000}"/>
    <cellStyle name="Normal 11 30 11" xfId="8953" xr:uid="{00000000-0005-0000-0000-0000C51F0000}"/>
    <cellStyle name="Normal 11 30 12" xfId="8954" xr:uid="{00000000-0005-0000-0000-0000C61F0000}"/>
    <cellStyle name="Normal 11 30 13" xfId="8955" xr:uid="{00000000-0005-0000-0000-0000C71F0000}"/>
    <cellStyle name="Normal 11 30 14" xfId="8956" xr:uid="{00000000-0005-0000-0000-0000C81F0000}"/>
    <cellStyle name="Normal 11 30 15" xfId="8957" xr:uid="{00000000-0005-0000-0000-0000C91F0000}"/>
    <cellStyle name="Normal 11 30 16" xfId="8958" xr:uid="{00000000-0005-0000-0000-0000CA1F0000}"/>
    <cellStyle name="Normal 11 30 17" xfId="8959" xr:uid="{00000000-0005-0000-0000-0000CB1F0000}"/>
    <cellStyle name="Normal 11 30 18" xfId="8960" xr:uid="{00000000-0005-0000-0000-0000CC1F0000}"/>
    <cellStyle name="Normal 11 30 19" xfId="8961" xr:uid="{00000000-0005-0000-0000-0000CD1F0000}"/>
    <cellStyle name="Normal 11 30 2" xfId="8962" xr:uid="{00000000-0005-0000-0000-0000CE1F0000}"/>
    <cellStyle name="Normal 11 30 20" xfId="8963" xr:uid="{00000000-0005-0000-0000-0000CF1F0000}"/>
    <cellStyle name="Normal 11 30 21" xfId="8964" xr:uid="{00000000-0005-0000-0000-0000D01F0000}"/>
    <cellStyle name="Normal 11 30 22" xfId="8965" xr:uid="{00000000-0005-0000-0000-0000D11F0000}"/>
    <cellStyle name="Normal 11 30 23" xfId="8966" xr:uid="{00000000-0005-0000-0000-0000D21F0000}"/>
    <cellStyle name="Normal 11 30 24" xfId="8967" xr:uid="{00000000-0005-0000-0000-0000D31F0000}"/>
    <cellStyle name="Normal 11 30 25" xfId="8968" xr:uid="{00000000-0005-0000-0000-0000D41F0000}"/>
    <cellStyle name="Normal 11 30 26" xfId="8969" xr:uid="{00000000-0005-0000-0000-0000D51F0000}"/>
    <cellStyle name="Normal 11 30 27" xfId="8970" xr:uid="{00000000-0005-0000-0000-0000D61F0000}"/>
    <cellStyle name="Normal 11 30 28" xfId="8971" xr:uid="{00000000-0005-0000-0000-0000D71F0000}"/>
    <cellStyle name="Normal 11 30 29" xfId="8972" xr:uid="{00000000-0005-0000-0000-0000D81F0000}"/>
    <cellStyle name="Normal 11 30 3" xfId="8973" xr:uid="{00000000-0005-0000-0000-0000D91F0000}"/>
    <cellStyle name="Normal 11 30 30" xfId="8974" xr:uid="{00000000-0005-0000-0000-0000DA1F0000}"/>
    <cellStyle name="Normal 11 30 31" xfId="8975" xr:uid="{00000000-0005-0000-0000-0000DB1F0000}"/>
    <cellStyle name="Normal 11 30 32" xfId="8976" xr:uid="{00000000-0005-0000-0000-0000DC1F0000}"/>
    <cellStyle name="Normal 11 30 33" xfId="8977" xr:uid="{00000000-0005-0000-0000-0000DD1F0000}"/>
    <cellStyle name="Normal 11 30 34" xfId="8978" xr:uid="{00000000-0005-0000-0000-0000DE1F0000}"/>
    <cellStyle name="Normal 11 30 35" xfId="8979" xr:uid="{00000000-0005-0000-0000-0000DF1F0000}"/>
    <cellStyle name="Normal 11 30 36" xfId="8980" xr:uid="{00000000-0005-0000-0000-0000E01F0000}"/>
    <cellStyle name="Normal 11 30 37" xfId="8981" xr:uid="{00000000-0005-0000-0000-0000E11F0000}"/>
    <cellStyle name="Normal 11 30 4" xfId="8982" xr:uid="{00000000-0005-0000-0000-0000E21F0000}"/>
    <cellStyle name="Normal 11 30 5" xfId="8983" xr:uid="{00000000-0005-0000-0000-0000E31F0000}"/>
    <cellStyle name="Normal 11 30 6" xfId="8984" xr:uid="{00000000-0005-0000-0000-0000E41F0000}"/>
    <cellStyle name="Normal 11 30 7" xfId="8985" xr:uid="{00000000-0005-0000-0000-0000E51F0000}"/>
    <cellStyle name="Normal 11 30 8" xfId="8986" xr:uid="{00000000-0005-0000-0000-0000E61F0000}"/>
    <cellStyle name="Normal 11 30 9" xfId="8987" xr:uid="{00000000-0005-0000-0000-0000E71F0000}"/>
    <cellStyle name="Normal 11 31" xfId="8988" xr:uid="{00000000-0005-0000-0000-0000E81F0000}"/>
    <cellStyle name="Normal 11 31 10" xfId="8989" xr:uid="{00000000-0005-0000-0000-0000E91F0000}"/>
    <cellStyle name="Normal 11 31 11" xfId="8990" xr:uid="{00000000-0005-0000-0000-0000EA1F0000}"/>
    <cellStyle name="Normal 11 31 12" xfId="8991" xr:uid="{00000000-0005-0000-0000-0000EB1F0000}"/>
    <cellStyle name="Normal 11 31 13" xfId="8992" xr:uid="{00000000-0005-0000-0000-0000EC1F0000}"/>
    <cellStyle name="Normal 11 31 14" xfId="8993" xr:uid="{00000000-0005-0000-0000-0000ED1F0000}"/>
    <cellStyle name="Normal 11 31 15" xfId="8994" xr:uid="{00000000-0005-0000-0000-0000EE1F0000}"/>
    <cellStyle name="Normal 11 31 16" xfId="8995" xr:uid="{00000000-0005-0000-0000-0000EF1F0000}"/>
    <cellStyle name="Normal 11 31 17" xfId="8996" xr:uid="{00000000-0005-0000-0000-0000F01F0000}"/>
    <cellStyle name="Normal 11 31 18" xfId="8997" xr:uid="{00000000-0005-0000-0000-0000F11F0000}"/>
    <cellStyle name="Normal 11 31 19" xfId="8998" xr:uid="{00000000-0005-0000-0000-0000F21F0000}"/>
    <cellStyle name="Normal 11 31 2" xfId="8999" xr:uid="{00000000-0005-0000-0000-0000F31F0000}"/>
    <cellStyle name="Normal 11 31 20" xfId="9000" xr:uid="{00000000-0005-0000-0000-0000F41F0000}"/>
    <cellStyle name="Normal 11 31 21" xfId="9001" xr:uid="{00000000-0005-0000-0000-0000F51F0000}"/>
    <cellStyle name="Normal 11 31 22" xfId="9002" xr:uid="{00000000-0005-0000-0000-0000F61F0000}"/>
    <cellStyle name="Normal 11 31 23" xfId="9003" xr:uid="{00000000-0005-0000-0000-0000F71F0000}"/>
    <cellStyle name="Normal 11 31 24" xfId="9004" xr:uid="{00000000-0005-0000-0000-0000F81F0000}"/>
    <cellStyle name="Normal 11 31 25" xfId="9005" xr:uid="{00000000-0005-0000-0000-0000F91F0000}"/>
    <cellStyle name="Normal 11 31 26" xfId="9006" xr:uid="{00000000-0005-0000-0000-0000FA1F0000}"/>
    <cellStyle name="Normal 11 31 27" xfId="9007" xr:uid="{00000000-0005-0000-0000-0000FB1F0000}"/>
    <cellStyle name="Normal 11 31 28" xfId="9008" xr:uid="{00000000-0005-0000-0000-0000FC1F0000}"/>
    <cellStyle name="Normal 11 31 29" xfId="9009" xr:uid="{00000000-0005-0000-0000-0000FD1F0000}"/>
    <cellStyle name="Normal 11 31 3" xfId="9010" xr:uid="{00000000-0005-0000-0000-0000FE1F0000}"/>
    <cellStyle name="Normal 11 31 30" xfId="9011" xr:uid="{00000000-0005-0000-0000-0000FF1F0000}"/>
    <cellStyle name="Normal 11 31 31" xfId="9012" xr:uid="{00000000-0005-0000-0000-000000200000}"/>
    <cellStyle name="Normal 11 31 32" xfId="9013" xr:uid="{00000000-0005-0000-0000-000001200000}"/>
    <cellStyle name="Normal 11 31 33" xfId="9014" xr:uid="{00000000-0005-0000-0000-000002200000}"/>
    <cellStyle name="Normal 11 31 34" xfId="9015" xr:uid="{00000000-0005-0000-0000-000003200000}"/>
    <cellStyle name="Normal 11 31 35" xfId="9016" xr:uid="{00000000-0005-0000-0000-000004200000}"/>
    <cellStyle name="Normal 11 31 36" xfId="9017" xr:uid="{00000000-0005-0000-0000-000005200000}"/>
    <cellStyle name="Normal 11 31 37" xfId="9018" xr:uid="{00000000-0005-0000-0000-000006200000}"/>
    <cellStyle name="Normal 11 31 4" xfId="9019" xr:uid="{00000000-0005-0000-0000-000007200000}"/>
    <cellStyle name="Normal 11 31 5" xfId="9020" xr:uid="{00000000-0005-0000-0000-000008200000}"/>
    <cellStyle name="Normal 11 31 6" xfId="9021" xr:uid="{00000000-0005-0000-0000-000009200000}"/>
    <cellStyle name="Normal 11 31 7" xfId="9022" xr:uid="{00000000-0005-0000-0000-00000A200000}"/>
    <cellStyle name="Normal 11 31 8" xfId="9023" xr:uid="{00000000-0005-0000-0000-00000B200000}"/>
    <cellStyle name="Normal 11 31 9" xfId="9024" xr:uid="{00000000-0005-0000-0000-00000C200000}"/>
    <cellStyle name="Normal 11 32" xfId="9025" xr:uid="{00000000-0005-0000-0000-00000D200000}"/>
    <cellStyle name="Normal 11 32 10" xfId="9026" xr:uid="{00000000-0005-0000-0000-00000E200000}"/>
    <cellStyle name="Normal 11 32 11" xfId="9027" xr:uid="{00000000-0005-0000-0000-00000F200000}"/>
    <cellStyle name="Normal 11 32 12" xfId="9028" xr:uid="{00000000-0005-0000-0000-000010200000}"/>
    <cellStyle name="Normal 11 32 13" xfId="9029" xr:uid="{00000000-0005-0000-0000-000011200000}"/>
    <cellStyle name="Normal 11 32 14" xfId="9030" xr:uid="{00000000-0005-0000-0000-000012200000}"/>
    <cellStyle name="Normal 11 32 15" xfId="9031" xr:uid="{00000000-0005-0000-0000-000013200000}"/>
    <cellStyle name="Normal 11 32 16" xfId="9032" xr:uid="{00000000-0005-0000-0000-000014200000}"/>
    <cellStyle name="Normal 11 32 17" xfId="9033" xr:uid="{00000000-0005-0000-0000-000015200000}"/>
    <cellStyle name="Normal 11 32 18" xfId="9034" xr:uid="{00000000-0005-0000-0000-000016200000}"/>
    <cellStyle name="Normal 11 32 19" xfId="9035" xr:uid="{00000000-0005-0000-0000-000017200000}"/>
    <cellStyle name="Normal 11 32 2" xfId="9036" xr:uid="{00000000-0005-0000-0000-000018200000}"/>
    <cellStyle name="Normal 11 32 20" xfId="9037" xr:uid="{00000000-0005-0000-0000-000019200000}"/>
    <cellStyle name="Normal 11 32 21" xfId="9038" xr:uid="{00000000-0005-0000-0000-00001A200000}"/>
    <cellStyle name="Normal 11 32 22" xfId="9039" xr:uid="{00000000-0005-0000-0000-00001B200000}"/>
    <cellStyle name="Normal 11 32 23" xfId="9040" xr:uid="{00000000-0005-0000-0000-00001C200000}"/>
    <cellStyle name="Normal 11 32 24" xfId="9041" xr:uid="{00000000-0005-0000-0000-00001D200000}"/>
    <cellStyle name="Normal 11 32 25" xfId="9042" xr:uid="{00000000-0005-0000-0000-00001E200000}"/>
    <cellStyle name="Normal 11 32 26" xfId="9043" xr:uid="{00000000-0005-0000-0000-00001F200000}"/>
    <cellStyle name="Normal 11 32 27" xfId="9044" xr:uid="{00000000-0005-0000-0000-000020200000}"/>
    <cellStyle name="Normal 11 32 28" xfId="9045" xr:uid="{00000000-0005-0000-0000-000021200000}"/>
    <cellStyle name="Normal 11 32 29" xfId="9046" xr:uid="{00000000-0005-0000-0000-000022200000}"/>
    <cellStyle name="Normal 11 32 3" xfId="9047" xr:uid="{00000000-0005-0000-0000-000023200000}"/>
    <cellStyle name="Normal 11 32 30" xfId="9048" xr:uid="{00000000-0005-0000-0000-000024200000}"/>
    <cellStyle name="Normal 11 32 31" xfId="9049" xr:uid="{00000000-0005-0000-0000-000025200000}"/>
    <cellStyle name="Normal 11 32 32" xfId="9050" xr:uid="{00000000-0005-0000-0000-000026200000}"/>
    <cellStyle name="Normal 11 32 33" xfId="9051" xr:uid="{00000000-0005-0000-0000-000027200000}"/>
    <cellStyle name="Normal 11 32 34" xfId="9052" xr:uid="{00000000-0005-0000-0000-000028200000}"/>
    <cellStyle name="Normal 11 32 35" xfId="9053" xr:uid="{00000000-0005-0000-0000-000029200000}"/>
    <cellStyle name="Normal 11 32 36" xfId="9054" xr:uid="{00000000-0005-0000-0000-00002A200000}"/>
    <cellStyle name="Normal 11 32 37" xfId="9055" xr:uid="{00000000-0005-0000-0000-00002B200000}"/>
    <cellStyle name="Normal 11 32 4" xfId="9056" xr:uid="{00000000-0005-0000-0000-00002C200000}"/>
    <cellStyle name="Normal 11 32 5" xfId="9057" xr:uid="{00000000-0005-0000-0000-00002D200000}"/>
    <cellStyle name="Normal 11 32 6" xfId="9058" xr:uid="{00000000-0005-0000-0000-00002E200000}"/>
    <cellStyle name="Normal 11 32 7" xfId="9059" xr:uid="{00000000-0005-0000-0000-00002F200000}"/>
    <cellStyle name="Normal 11 32 8" xfId="9060" xr:uid="{00000000-0005-0000-0000-000030200000}"/>
    <cellStyle name="Normal 11 32 9" xfId="9061" xr:uid="{00000000-0005-0000-0000-000031200000}"/>
    <cellStyle name="Normal 11 33" xfId="9062" xr:uid="{00000000-0005-0000-0000-000032200000}"/>
    <cellStyle name="Normal 11 33 10" xfId="9063" xr:uid="{00000000-0005-0000-0000-000033200000}"/>
    <cellStyle name="Normal 11 33 11" xfId="9064" xr:uid="{00000000-0005-0000-0000-000034200000}"/>
    <cellStyle name="Normal 11 33 12" xfId="9065" xr:uid="{00000000-0005-0000-0000-000035200000}"/>
    <cellStyle name="Normal 11 33 13" xfId="9066" xr:uid="{00000000-0005-0000-0000-000036200000}"/>
    <cellStyle name="Normal 11 33 14" xfId="9067" xr:uid="{00000000-0005-0000-0000-000037200000}"/>
    <cellStyle name="Normal 11 33 15" xfId="9068" xr:uid="{00000000-0005-0000-0000-000038200000}"/>
    <cellStyle name="Normal 11 33 16" xfId="9069" xr:uid="{00000000-0005-0000-0000-000039200000}"/>
    <cellStyle name="Normal 11 33 17" xfId="9070" xr:uid="{00000000-0005-0000-0000-00003A200000}"/>
    <cellStyle name="Normal 11 33 18" xfId="9071" xr:uid="{00000000-0005-0000-0000-00003B200000}"/>
    <cellStyle name="Normal 11 33 19" xfId="9072" xr:uid="{00000000-0005-0000-0000-00003C200000}"/>
    <cellStyle name="Normal 11 33 2" xfId="9073" xr:uid="{00000000-0005-0000-0000-00003D200000}"/>
    <cellStyle name="Normal 11 33 20" xfId="9074" xr:uid="{00000000-0005-0000-0000-00003E200000}"/>
    <cellStyle name="Normal 11 33 21" xfId="9075" xr:uid="{00000000-0005-0000-0000-00003F200000}"/>
    <cellStyle name="Normal 11 33 22" xfId="9076" xr:uid="{00000000-0005-0000-0000-000040200000}"/>
    <cellStyle name="Normal 11 33 23" xfId="9077" xr:uid="{00000000-0005-0000-0000-000041200000}"/>
    <cellStyle name="Normal 11 33 24" xfId="9078" xr:uid="{00000000-0005-0000-0000-000042200000}"/>
    <cellStyle name="Normal 11 33 25" xfId="9079" xr:uid="{00000000-0005-0000-0000-000043200000}"/>
    <cellStyle name="Normal 11 33 26" xfId="9080" xr:uid="{00000000-0005-0000-0000-000044200000}"/>
    <cellStyle name="Normal 11 33 27" xfId="9081" xr:uid="{00000000-0005-0000-0000-000045200000}"/>
    <cellStyle name="Normal 11 33 28" xfId="9082" xr:uid="{00000000-0005-0000-0000-000046200000}"/>
    <cellStyle name="Normal 11 33 29" xfId="9083" xr:uid="{00000000-0005-0000-0000-000047200000}"/>
    <cellStyle name="Normal 11 33 3" xfId="9084" xr:uid="{00000000-0005-0000-0000-000048200000}"/>
    <cellStyle name="Normal 11 33 30" xfId="9085" xr:uid="{00000000-0005-0000-0000-000049200000}"/>
    <cellStyle name="Normal 11 33 31" xfId="9086" xr:uid="{00000000-0005-0000-0000-00004A200000}"/>
    <cellStyle name="Normal 11 33 32" xfId="9087" xr:uid="{00000000-0005-0000-0000-00004B200000}"/>
    <cellStyle name="Normal 11 33 33" xfId="9088" xr:uid="{00000000-0005-0000-0000-00004C200000}"/>
    <cellStyle name="Normal 11 33 34" xfId="9089" xr:uid="{00000000-0005-0000-0000-00004D200000}"/>
    <cellStyle name="Normal 11 33 35" xfId="9090" xr:uid="{00000000-0005-0000-0000-00004E200000}"/>
    <cellStyle name="Normal 11 33 36" xfId="9091" xr:uid="{00000000-0005-0000-0000-00004F200000}"/>
    <cellStyle name="Normal 11 33 37" xfId="9092" xr:uid="{00000000-0005-0000-0000-000050200000}"/>
    <cellStyle name="Normal 11 33 4" xfId="9093" xr:uid="{00000000-0005-0000-0000-000051200000}"/>
    <cellStyle name="Normal 11 33 5" xfId="9094" xr:uid="{00000000-0005-0000-0000-000052200000}"/>
    <cellStyle name="Normal 11 33 6" xfId="9095" xr:uid="{00000000-0005-0000-0000-000053200000}"/>
    <cellStyle name="Normal 11 33 7" xfId="9096" xr:uid="{00000000-0005-0000-0000-000054200000}"/>
    <cellStyle name="Normal 11 33 8" xfId="9097" xr:uid="{00000000-0005-0000-0000-000055200000}"/>
    <cellStyle name="Normal 11 33 9" xfId="9098" xr:uid="{00000000-0005-0000-0000-000056200000}"/>
    <cellStyle name="Normal 11 34" xfId="9099" xr:uid="{00000000-0005-0000-0000-000057200000}"/>
    <cellStyle name="Normal 11 34 10" xfId="9100" xr:uid="{00000000-0005-0000-0000-000058200000}"/>
    <cellStyle name="Normal 11 34 11" xfId="9101" xr:uid="{00000000-0005-0000-0000-000059200000}"/>
    <cellStyle name="Normal 11 34 12" xfId="9102" xr:uid="{00000000-0005-0000-0000-00005A200000}"/>
    <cellStyle name="Normal 11 34 13" xfId="9103" xr:uid="{00000000-0005-0000-0000-00005B200000}"/>
    <cellStyle name="Normal 11 34 14" xfId="9104" xr:uid="{00000000-0005-0000-0000-00005C200000}"/>
    <cellStyle name="Normal 11 34 15" xfId="9105" xr:uid="{00000000-0005-0000-0000-00005D200000}"/>
    <cellStyle name="Normal 11 34 16" xfId="9106" xr:uid="{00000000-0005-0000-0000-00005E200000}"/>
    <cellStyle name="Normal 11 34 17" xfId="9107" xr:uid="{00000000-0005-0000-0000-00005F200000}"/>
    <cellStyle name="Normal 11 34 18" xfId="9108" xr:uid="{00000000-0005-0000-0000-000060200000}"/>
    <cellStyle name="Normal 11 34 19" xfId="9109" xr:uid="{00000000-0005-0000-0000-000061200000}"/>
    <cellStyle name="Normal 11 34 2" xfId="9110" xr:uid="{00000000-0005-0000-0000-000062200000}"/>
    <cellStyle name="Normal 11 34 20" xfId="9111" xr:uid="{00000000-0005-0000-0000-000063200000}"/>
    <cellStyle name="Normal 11 34 21" xfId="9112" xr:uid="{00000000-0005-0000-0000-000064200000}"/>
    <cellStyle name="Normal 11 34 22" xfId="9113" xr:uid="{00000000-0005-0000-0000-000065200000}"/>
    <cellStyle name="Normal 11 34 23" xfId="9114" xr:uid="{00000000-0005-0000-0000-000066200000}"/>
    <cellStyle name="Normal 11 34 24" xfId="9115" xr:uid="{00000000-0005-0000-0000-000067200000}"/>
    <cellStyle name="Normal 11 34 25" xfId="9116" xr:uid="{00000000-0005-0000-0000-000068200000}"/>
    <cellStyle name="Normal 11 34 26" xfId="9117" xr:uid="{00000000-0005-0000-0000-000069200000}"/>
    <cellStyle name="Normal 11 34 27" xfId="9118" xr:uid="{00000000-0005-0000-0000-00006A200000}"/>
    <cellStyle name="Normal 11 34 28" xfId="9119" xr:uid="{00000000-0005-0000-0000-00006B200000}"/>
    <cellStyle name="Normal 11 34 29" xfId="9120" xr:uid="{00000000-0005-0000-0000-00006C200000}"/>
    <cellStyle name="Normal 11 34 3" xfId="9121" xr:uid="{00000000-0005-0000-0000-00006D200000}"/>
    <cellStyle name="Normal 11 34 4" xfId="9122" xr:uid="{00000000-0005-0000-0000-00006E200000}"/>
    <cellStyle name="Normal 11 34 5" xfId="9123" xr:uid="{00000000-0005-0000-0000-00006F200000}"/>
    <cellStyle name="Normal 11 34 6" xfId="9124" xr:uid="{00000000-0005-0000-0000-000070200000}"/>
    <cellStyle name="Normal 11 34 7" xfId="9125" xr:uid="{00000000-0005-0000-0000-000071200000}"/>
    <cellStyle name="Normal 11 34 8" xfId="9126" xr:uid="{00000000-0005-0000-0000-000072200000}"/>
    <cellStyle name="Normal 11 34 9" xfId="9127" xr:uid="{00000000-0005-0000-0000-000073200000}"/>
    <cellStyle name="Normal 11 35" xfId="9128" xr:uid="{00000000-0005-0000-0000-000074200000}"/>
    <cellStyle name="Normal 11 36" xfId="9129" xr:uid="{00000000-0005-0000-0000-000075200000}"/>
    <cellStyle name="Normal 11 37" xfId="9130" xr:uid="{00000000-0005-0000-0000-000076200000}"/>
    <cellStyle name="Normal 11 38" xfId="9131" xr:uid="{00000000-0005-0000-0000-000077200000}"/>
    <cellStyle name="Normal 11 39" xfId="9132" xr:uid="{00000000-0005-0000-0000-000078200000}"/>
    <cellStyle name="Normal 11 4" xfId="9133" xr:uid="{00000000-0005-0000-0000-000079200000}"/>
    <cellStyle name="Normal 11 4 10" xfId="9134" xr:uid="{00000000-0005-0000-0000-00007A200000}"/>
    <cellStyle name="Normal 11 4 11" xfId="9135" xr:uid="{00000000-0005-0000-0000-00007B200000}"/>
    <cellStyle name="Normal 11 4 12" xfId="9136" xr:uid="{00000000-0005-0000-0000-00007C200000}"/>
    <cellStyle name="Normal 11 4 13" xfId="9137" xr:uid="{00000000-0005-0000-0000-00007D200000}"/>
    <cellStyle name="Normal 11 4 14" xfId="9138" xr:uid="{00000000-0005-0000-0000-00007E200000}"/>
    <cellStyle name="Normal 11 4 15" xfId="9139" xr:uid="{00000000-0005-0000-0000-00007F200000}"/>
    <cellStyle name="Normal 11 4 16" xfId="9140" xr:uid="{00000000-0005-0000-0000-000080200000}"/>
    <cellStyle name="Normal 11 4 17" xfId="9141" xr:uid="{00000000-0005-0000-0000-000081200000}"/>
    <cellStyle name="Normal 11 4 18" xfId="9142" xr:uid="{00000000-0005-0000-0000-000082200000}"/>
    <cellStyle name="Normal 11 4 19" xfId="9143" xr:uid="{00000000-0005-0000-0000-000083200000}"/>
    <cellStyle name="Normal 11 4 2" xfId="9144" xr:uid="{00000000-0005-0000-0000-000084200000}"/>
    <cellStyle name="Normal 11 4 2 2" xfId="9145" xr:uid="{00000000-0005-0000-0000-000085200000}"/>
    <cellStyle name="Normal 11 4 2 3" xfId="9146" xr:uid="{00000000-0005-0000-0000-000086200000}"/>
    <cellStyle name="Normal 11 4 2 4" xfId="9147" xr:uid="{00000000-0005-0000-0000-000087200000}"/>
    <cellStyle name="Normal 11 4 20" xfId="9148" xr:uid="{00000000-0005-0000-0000-000088200000}"/>
    <cellStyle name="Normal 11 4 21" xfId="9149" xr:uid="{00000000-0005-0000-0000-000089200000}"/>
    <cellStyle name="Normal 11 4 22" xfId="9150" xr:uid="{00000000-0005-0000-0000-00008A200000}"/>
    <cellStyle name="Normal 11 4 23" xfId="9151" xr:uid="{00000000-0005-0000-0000-00008B200000}"/>
    <cellStyle name="Normal 11 4 24" xfId="9152" xr:uid="{00000000-0005-0000-0000-00008C200000}"/>
    <cellStyle name="Normal 11 4 25" xfId="9153" xr:uid="{00000000-0005-0000-0000-00008D200000}"/>
    <cellStyle name="Normal 11 4 26" xfId="9154" xr:uid="{00000000-0005-0000-0000-00008E200000}"/>
    <cellStyle name="Normal 11 4 27" xfId="9155" xr:uid="{00000000-0005-0000-0000-00008F200000}"/>
    <cellStyle name="Normal 11 4 28" xfId="9156" xr:uid="{00000000-0005-0000-0000-000090200000}"/>
    <cellStyle name="Normal 11 4 29" xfId="9157" xr:uid="{00000000-0005-0000-0000-000091200000}"/>
    <cellStyle name="Normal 11 4 3" xfId="9158" xr:uid="{00000000-0005-0000-0000-000092200000}"/>
    <cellStyle name="Normal 11 4 3 2" xfId="9159" xr:uid="{00000000-0005-0000-0000-000093200000}"/>
    <cellStyle name="Normal 11 4 3 3" xfId="9160" xr:uid="{00000000-0005-0000-0000-000094200000}"/>
    <cellStyle name="Normal 11 4 3 4" xfId="9161" xr:uid="{00000000-0005-0000-0000-000095200000}"/>
    <cellStyle name="Normal 11 4 30" xfId="9162" xr:uid="{00000000-0005-0000-0000-000096200000}"/>
    <cellStyle name="Normal 11 4 31" xfId="9163" xr:uid="{00000000-0005-0000-0000-000097200000}"/>
    <cellStyle name="Normal 11 4 32" xfId="9164" xr:uid="{00000000-0005-0000-0000-000098200000}"/>
    <cellStyle name="Normal 11 4 33" xfId="9165" xr:uid="{00000000-0005-0000-0000-000099200000}"/>
    <cellStyle name="Normal 11 4 34" xfId="9166" xr:uid="{00000000-0005-0000-0000-00009A200000}"/>
    <cellStyle name="Normal 11 4 35" xfId="9167" xr:uid="{00000000-0005-0000-0000-00009B200000}"/>
    <cellStyle name="Normal 11 4 36" xfId="9168" xr:uid="{00000000-0005-0000-0000-00009C200000}"/>
    <cellStyle name="Normal 11 4 37" xfId="9169" xr:uid="{00000000-0005-0000-0000-00009D200000}"/>
    <cellStyle name="Normal 11 4 38" xfId="9170" xr:uid="{00000000-0005-0000-0000-00009E200000}"/>
    <cellStyle name="Normal 11 4 39" xfId="9171" xr:uid="{00000000-0005-0000-0000-00009F200000}"/>
    <cellStyle name="Normal 11 4 4" xfId="9172" xr:uid="{00000000-0005-0000-0000-0000A0200000}"/>
    <cellStyle name="Normal 11 4 40" xfId="9173" xr:uid="{00000000-0005-0000-0000-0000A1200000}"/>
    <cellStyle name="Normal 11 4 41" xfId="9174" xr:uid="{00000000-0005-0000-0000-0000A2200000}"/>
    <cellStyle name="Normal 11 4 42" xfId="9175" xr:uid="{00000000-0005-0000-0000-0000A3200000}"/>
    <cellStyle name="Normal 11 4 43" xfId="9176" xr:uid="{00000000-0005-0000-0000-0000A4200000}"/>
    <cellStyle name="Normal 11 4 44" xfId="9177" xr:uid="{00000000-0005-0000-0000-0000A5200000}"/>
    <cellStyle name="Normal 11 4 45" xfId="9178" xr:uid="{00000000-0005-0000-0000-0000A6200000}"/>
    <cellStyle name="Normal 11 4 46" xfId="9179" xr:uid="{00000000-0005-0000-0000-0000A7200000}"/>
    <cellStyle name="Normal 11 4 47" xfId="9180" xr:uid="{00000000-0005-0000-0000-0000A8200000}"/>
    <cellStyle name="Normal 11 4 48" xfId="9181" xr:uid="{00000000-0005-0000-0000-0000A9200000}"/>
    <cellStyle name="Normal 11 4 49" xfId="9182" xr:uid="{00000000-0005-0000-0000-0000AA200000}"/>
    <cellStyle name="Normal 11 4 5" xfId="9183" xr:uid="{00000000-0005-0000-0000-0000AB200000}"/>
    <cellStyle name="Normal 11 4 50" xfId="9184" xr:uid="{00000000-0005-0000-0000-0000AC200000}"/>
    <cellStyle name="Normal 11 4 51" xfId="9185" xr:uid="{00000000-0005-0000-0000-0000AD200000}"/>
    <cellStyle name="Normal 11 4 52" xfId="9186" xr:uid="{00000000-0005-0000-0000-0000AE200000}"/>
    <cellStyle name="Normal 11 4 6" xfId="9187" xr:uid="{00000000-0005-0000-0000-0000AF200000}"/>
    <cellStyle name="Normal 11 4 7" xfId="9188" xr:uid="{00000000-0005-0000-0000-0000B0200000}"/>
    <cellStyle name="Normal 11 4 8" xfId="9189" xr:uid="{00000000-0005-0000-0000-0000B1200000}"/>
    <cellStyle name="Normal 11 4 9" xfId="9190" xr:uid="{00000000-0005-0000-0000-0000B2200000}"/>
    <cellStyle name="Normal 11 40" xfId="9191" xr:uid="{00000000-0005-0000-0000-0000B3200000}"/>
    <cellStyle name="Normal 11 41" xfId="9192" xr:uid="{00000000-0005-0000-0000-0000B4200000}"/>
    <cellStyle name="Normal 11 5" xfId="9193" xr:uid="{00000000-0005-0000-0000-0000B5200000}"/>
    <cellStyle name="Normal 11 5 10" xfId="9194" xr:uid="{00000000-0005-0000-0000-0000B6200000}"/>
    <cellStyle name="Normal 11 5 11" xfId="9195" xr:uid="{00000000-0005-0000-0000-0000B7200000}"/>
    <cellStyle name="Normal 11 5 12" xfId="9196" xr:uid="{00000000-0005-0000-0000-0000B8200000}"/>
    <cellStyle name="Normal 11 5 13" xfId="9197" xr:uid="{00000000-0005-0000-0000-0000B9200000}"/>
    <cellStyle name="Normal 11 5 14" xfId="9198" xr:uid="{00000000-0005-0000-0000-0000BA200000}"/>
    <cellStyle name="Normal 11 5 15" xfId="9199" xr:uid="{00000000-0005-0000-0000-0000BB200000}"/>
    <cellStyle name="Normal 11 5 16" xfId="9200" xr:uid="{00000000-0005-0000-0000-0000BC200000}"/>
    <cellStyle name="Normal 11 5 17" xfId="9201" xr:uid="{00000000-0005-0000-0000-0000BD200000}"/>
    <cellStyle name="Normal 11 5 18" xfId="9202" xr:uid="{00000000-0005-0000-0000-0000BE200000}"/>
    <cellStyle name="Normal 11 5 19" xfId="9203" xr:uid="{00000000-0005-0000-0000-0000BF200000}"/>
    <cellStyle name="Normal 11 5 2" xfId="9204" xr:uid="{00000000-0005-0000-0000-0000C0200000}"/>
    <cellStyle name="Normal 11 5 2 2" xfId="9205" xr:uid="{00000000-0005-0000-0000-0000C1200000}"/>
    <cellStyle name="Normal 11 5 2 3" xfId="9206" xr:uid="{00000000-0005-0000-0000-0000C2200000}"/>
    <cellStyle name="Normal 11 5 2 4" xfId="9207" xr:uid="{00000000-0005-0000-0000-0000C3200000}"/>
    <cellStyle name="Normal 11 5 20" xfId="9208" xr:uid="{00000000-0005-0000-0000-0000C4200000}"/>
    <cellStyle name="Normal 11 5 21" xfId="9209" xr:uid="{00000000-0005-0000-0000-0000C5200000}"/>
    <cellStyle name="Normal 11 5 22" xfId="9210" xr:uid="{00000000-0005-0000-0000-0000C6200000}"/>
    <cellStyle name="Normal 11 5 23" xfId="9211" xr:uid="{00000000-0005-0000-0000-0000C7200000}"/>
    <cellStyle name="Normal 11 5 24" xfId="9212" xr:uid="{00000000-0005-0000-0000-0000C8200000}"/>
    <cellStyle name="Normal 11 5 25" xfId="9213" xr:uid="{00000000-0005-0000-0000-0000C9200000}"/>
    <cellStyle name="Normal 11 5 26" xfId="9214" xr:uid="{00000000-0005-0000-0000-0000CA200000}"/>
    <cellStyle name="Normal 11 5 27" xfId="9215" xr:uid="{00000000-0005-0000-0000-0000CB200000}"/>
    <cellStyle name="Normal 11 5 28" xfId="9216" xr:uid="{00000000-0005-0000-0000-0000CC200000}"/>
    <cellStyle name="Normal 11 5 29" xfId="9217" xr:uid="{00000000-0005-0000-0000-0000CD200000}"/>
    <cellStyle name="Normal 11 5 3" xfId="9218" xr:uid="{00000000-0005-0000-0000-0000CE200000}"/>
    <cellStyle name="Normal 11 5 3 2" xfId="9219" xr:uid="{00000000-0005-0000-0000-0000CF200000}"/>
    <cellStyle name="Normal 11 5 3 3" xfId="9220" xr:uid="{00000000-0005-0000-0000-0000D0200000}"/>
    <cellStyle name="Normal 11 5 3 4" xfId="9221" xr:uid="{00000000-0005-0000-0000-0000D1200000}"/>
    <cellStyle name="Normal 11 5 30" xfId="9222" xr:uid="{00000000-0005-0000-0000-0000D2200000}"/>
    <cellStyle name="Normal 11 5 31" xfId="9223" xr:uid="{00000000-0005-0000-0000-0000D3200000}"/>
    <cellStyle name="Normal 11 5 32" xfId="9224" xr:uid="{00000000-0005-0000-0000-0000D4200000}"/>
    <cellStyle name="Normal 11 5 33" xfId="9225" xr:uid="{00000000-0005-0000-0000-0000D5200000}"/>
    <cellStyle name="Normal 11 5 34" xfId="9226" xr:uid="{00000000-0005-0000-0000-0000D6200000}"/>
    <cellStyle name="Normal 11 5 35" xfId="9227" xr:uid="{00000000-0005-0000-0000-0000D7200000}"/>
    <cellStyle name="Normal 11 5 36" xfId="9228" xr:uid="{00000000-0005-0000-0000-0000D8200000}"/>
    <cellStyle name="Normal 11 5 37" xfId="9229" xr:uid="{00000000-0005-0000-0000-0000D9200000}"/>
    <cellStyle name="Normal 11 5 38" xfId="9230" xr:uid="{00000000-0005-0000-0000-0000DA200000}"/>
    <cellStyle name="Normal 11 5 39" xfId="9231" xr:uid="{00000000-0005-0000-0000-0000DB200000}"/>
    <cellStyle name="Normal 11 5 4" xfId="9232" xr:uid="{00000000-0005-0000-0000-0000DC200000}"/>
    <cellStyle name="Normal 11 5 40" xfId="9233" xr:uid="{00000000-0005-0000-0000-0000DD200000}"/>
    <cellStyle name="Normal 11 5 41" xfId="9234" xr:uid="{00000000-0005-0000-0000-0000DE200000}"/>
    <cellStyle name="Normal 11 5 42" xfId="9235" xr:uid="{00000000-0005-0000-0000-0000DF200000}"/>
    <cellStyle name="Normal 11 5 43" xfId="9236" xr:uid="{00000000-0005-0000-0000-0000E0200000}"/>
    <cellStyle name="Normal 11 5 44" xfId="9237" xr:uid="{00000000-0005-0000-0000-0000E1200000}"/>
    <cellStyle name="Normal 11 5 45" xfId="9238" xr:uid="{00000000-0005-0000-0000-0000E2200000}"/>
    <cellStyle name="Normal 11 5 46" xfId="9239" xr:uid="{00000000-0005-0000-0000-0000E3200000}"/>
    <cellStyle name="Normal 11 5 47" xfId="9240" xr:uid="{00000000-0005-0000-0000-0000E4200000}"/>
    <cellStyle name="Normal 11 5 48" xfId="9241" xr:uid="{00000000-0005-0000-0000-0000E5200000}"/>
    <cellStyle name="Normal 11 5 49" xfId="9242" xr:uid="{00000000-0005-0000-0000-0000E6200000}"/>
    <cellStyle name="Normal 11 5 5" xfId="9243" xr:uid="{00000000-0005-0000-0000-0000E7200000}"/>
    <cellStyle name="Normal 11 5 50" xfId="9244" xr:uid="{00000000-0005-0000-0000-0000E8200000}"/>
    <cellStyle name="Normal 11 5 51" xfId="9245" xr:uid="{00000000-0005-0000-0000-0000E9200000}"/>
    <cellStyle name="Normal 11 5 52" xfId="9246" xr:uid="{00000000-0005-0000-0000-0000EA200000}"/>
    <cellStyle name="Normal 11 5 6" xfId="9247" xr:uid="{00000000-0005-0000-0000-0000EB200000}"/>
    <cellStyle name="Normal 11 5 7" xfId="9248" xr:uid="{00000000-0005-0000-0000-0000EC200000}"/>
    <cellStyle name="Normal 11 5 8" xfId="9249" xr:uid="{00000000-0005-0000-0000-0000ED200000}"/>
    <cellStyle name="Normal 11 5 9" xfId="9250" xr:uid="{00000000-0005-0000-0000-0000EE200000}"/>
    <cellStyle name="Normal 11 6" xfId="9251" xr:uid="{00000000-0005-0000-0000-0000EF200000}"/>
    <cellStyle name="Normal 11 6 10" xfId="9252" xr:uid="{00000000-0005-0000-0000-0000F0200000}"/>
    <cellStyle name="Normal 11 6 11" xfId="9253" xr:uid="{00000000-0005-0000-0000-0000F1200000}"/>
    <cellStyle name="Normal 11 6 12" xfId="9254" xr:uid="{00000000-0005-0000-0000-0000F2200000}"/>
    <cellStyle name="Normal 11 6 13" xfId="9255" xr:uid="{00000000-0005-0000-0000-0000F3200000}"/>
    <cellStyle name="Normal 11 6 14" xfId="9256" xr:uid="{00000000-0005-0000-0000-0000F4200000}"/>
    <cellStyle name="Normal 11 6 15" xfId="9257" xr:uid="{00000000-0005-0000-0000-0000F5200000}"/>
    <cellStyle name="Normal 11 6 16" xfId="9258" xr:uid="{00000000-0005-0000-0000-0000F6200000}"/>
    <cellStyle name="Normal 11 6 17" xfId="9259" xr:uid="{00000000-0005-0000-0000-0000F7200000}"/>
    <cellStyle name="Normal 11 6 18" xfId="9260" xr:uid="{00000000-0005-0000-0000-0000F8200000}"/>
    <cellStyle name="Normal 11 6 19" xfId="9261" xr:uid="{00000000-0005-0000-0000-0000F9200000}"/>
    <cellStyle name="Normal 11 6 2" xfId="9262" xr:uid="{00000000-0005-0000-0000-0000FA200000}"/>
    <cellStyle name="Normal 11 6 2 2" xfId="9263" xr:uid="{00000000-0005-0000-0000-0000FB200000}"/>
    <cellStyle name="Normal 11 6 2 3" xfId="9264" xr:uid="{00000000-0005-0000-0000-0000FC200000}"/>
    <cellStyle name="Normal 11 6 2 4" xfId="9265" xr:uid="{00000000-0005-0000-0000-0000FD200000}"/>
    <cellStyle name="Normal 11 6 20" xfId="9266" xr:uid="{00000000-0005-0000-0000-0000FE200000}"/>
    <cellStyle name="Normal 11 6 21" xfId="9267" xr:uid="{00000000-0005-0000-0000-0000FF200000}"/>
    <cellStyle name="Normal 11 6 22" xfId="9268" xr:uid="{00000000-0005-0000-0000-000000210000}"/>
    <cellStyle name="Normal 11 6 23" xfId="9269" xr:uid="{00000000-0005-0000-0000-000001210000}"/>
    <cellStyle name="Normal 11 6 24" xfId="9270" xr:uid="{00000000-0005-0000-0000-000002210000}"/>
    <cellStyle name="Normal 11 6 25" xfId="9271" xr:uid="{00000000-0005-0000-0000-000003210000}"/>
    <cellStyle name="Normal 11 6 26" xfId="9272" xr:uid="{00000000-0005-0000-0000-000004210000}"/>
    <cellStyle name="Normal 11 6 27" xfId="9273" xr:uid="{00000000-0005-0000-0000-000005210000}"/>
    <cellStyle name="Normal 11 6 28" xfId="9274" xr:uid="{00000000-0005-0000-0000-000006210000}"/>
    <cellStyle name="Normal 11 6 29" xfId="9275" xr:uid="{00000000-0005-0000-0000-000007210000}"/>
    <cellStyle name="Normal 11 6 3" xfId="9276" xr:uid="{00000000-0005-0000-0000-000008210000}"/>
    <cellStyle name="Normal 11 6 3 2" xfId="9277" xr:uid="{00000000-0005-0000-0000-000009210000}"/>
    <cellStyle name="Normal 11 6 3 3" xfId="9278" xr:uid="{00000000-0005-0000-0000-00000A210000}"/>
    <cellStyle name="Normal 11 6 3 4" xfId="9279" xr:uid="{00000000-0005-0000-0000-00000B210000}"/>
    <cellStyle name="Normal 11 6 30" xfId="9280" xr:uid="{00000000-0005-0000-0000-00000C210000}"/>
    <cellStyle name="Normal 11 6 31" xfId="9281" xr:uid="{00000000-0005-0000-0000-00000D210000}"/>
    <cellStyle name="Normal 11 6 32" xfId="9282" xr:uid="{00000000-0005-0000-0000-00000E210000}"/>
    <cellStyle name="Normal 11 6 33" xfId="9283" xr:uid="{00000000-0005-0000-0000-00000F210000}"/>
    <cellStyle name="Normal 11 6 34" xfId="9284" xr:uid="{00000000-0005-0000-0000-000010210000}"/>
    <cellStyle name="Normal 11 6 35" xfId="9285" xr:uid="{00000000-0005-0000-0000-000011210000}"/>
    <cellStyle name="Normal 11 6 36" xfId="9286" xr:uid="{00000000-0005-0000-0000-000012210000}"/>
    <cellStyle name="Normal 11 6 37" xfId="9287" xr:uid="{00000000-0005-0000-0000-000013210000}"/>
    <cellStyle name="Normal 11 6 38" xfId="9288" xr:uid="{00000000-0005-0000-0000-000014210000}"/>
    <cellStyle name="Normal 11 6 39" xfId="9289" xr:uid="{00000000-0005-0000-0000-000015210000}"/>
    <cellStyle name="Normal 11 6 4" xfId="9290" xr:uid="{00000000-0005-0000-0000-000016210000}"/>
    <cellStyle name="Normal 11 6 40" xfId="9291" xr:uid="{00000000-0005-0000-0000-000017210000}"/>
    <cellStyle name="Normal 11 6 41" xfId="9292" xr:uid="{00000000-0005-0000-0000-000018210000}"/>
    <cellStyle name="Normal 11 6 42" xfId="9293" xr:uid="{00000000-0005-0000-0000-000019210000}"/>
    <cellStyle name="Normal 11 6 43" xfId="9294" xr:uid="{00000000-0005-0000-0000-00001A210000}"/>
    <cellStyle name="Normal 11 6 44" xfId="9295" xr:uid="{00000000-0005-0000-0000-00001B210000}"/>
    <cellStyle name="Normal 11 6 45" xfId="9296" xr:uid="{00000000-0005-0000-0000-00001C210000}"/>
    <cellStyle name="Normal 11 6 46" xfId="9297" xr:uid="{00000000-0005-0000-0000-00001D210000}"/>
    <cellStyle name="Normal 11 6 47" xfId="9298" xr:uid="{00000000-0005-0000-0000-00001E210000}"/>
    <cellStyle name="Normal 11 6 48" xfId="9299" xr:uid="{00000000-0005-0000-0000-00001F210000}"/>
    <cellStyle name="Normal 11 6 49" xfId="9300" xr:uid="{00000000-0005-0000-0000-000020210000}"/>
    <cellStyle name="Normal 11 6 5" xfId="9301" xr:uid="{00000000-0005-0000-0000-000021210000}"/>
    <cellStyle name="Normal 11 6 50" xfId="9302" xr:uid="{00000000-0005-0000-0000-000022210000}"/>
    <cellStyle name="Normal 11 6 51" xfId="9303" xr:uid="{00000000-0005-0000-0000-000023210000}"/>
    <cellStyle name="Normal 11 6 52" xfId="9304" xr:uid="{00000000-0005-0000-0000-000024210000}"/>
    <cellStyle name="Normal 11 6 6" xfId="9305" xr:uid="{00000000-0005-0000-0000-000025210000}"/>
    <cellStyle name="Normal 11 6 7" xfId="9306" xr:uid="{00000000-0005-0000-0000-000026210000}"/>
    <cellStyle name="Normal 11 6 8" xfId="9307" xr:uid="{00000000-0005-0000-0000-000027210000}"/>
    <cellStyle name="Normal 11 6 9" xfId="9308" xr:uid="{00000000-0005-0000-0000-000028210000}"/>
    <cellStyle name="Normal 11 7" xfId="9309" xr:uid="{00000000-0005-0000-0000-000029210000}"/>
    <cellStyle name="Normal 11 7 10" xfId="9310" xr:uid="{00000000-0005-0000-0000-00002A210000}"/>
    <cellStyle name="Normal 11 7 11" xfId="9311" xr:uid="{00000000-0005-0000-0000-00002B210000}"/>
    <cellStyle name="Normal 11 7 12" xfId="9312" xr:uid="{00000000-0005-0000-0000-00002C210000}"/>
    <cellStyle name="Normal 11 7 13" xfId="9313" xr:uid="{00000000-0005-0000-0000-00002D210000}"/>
    <cellStyle name="Normal 11 7 14" xfId="9314" xr:uid="{00000000-0005-0000-0000-00002E210000}"/>
    <cellStyle name="Normal 11 7 15" xfId="9315" xr:uid="{00000000-0005-0000-0000-00002F210000}"/>
    <cellStyle name="Normal 11 7 16" xfId="9316" xr:uid="{00000000-0005-0000-0000-000030210000}"/>
    <cellStyle name="Normal 11 7 17" xfId="9317" xr:uid="{00000000-0005-0000-0000-000031210000}"/>
    <cellStyle name="Normal 11 7 18" xfId="9318" xr:uid="{00000000-0005-0000-0000-000032210000}"/>
    <cellStyle name="Normal 11 7 19" xfId="9319" xr:uid="{00000000-0005-0000-0000-000033210000}"/>
    <cellStyle name="Normal 11 7 2" xfId="9320" xr:uid="{00000000-0005-0000-0000-000034210000}"/>
    <cellStyle name="Normal 11 7 2 2" xfId="9321" xr:uid="{00000000-0005-0000-0000-000035210000}"/>
    <cellStyle name="Normal 11 7 2 3" xfId="9322" xr:uid="{00000000-0005-0000-0000-000036210000}"/>
    <cellStyle name="Normal 11 7 2 4" xfId="9323" xr:uid="{00000000-0005-0000-0000-000037210000}"/>
    <cellStyle name="Normal 11 7 20" xfId="9324" xr:uid="{00000000-0005-0000-0000-000038210000}"/>
    <cellStyle name="Normal 11 7 21" xfId="9325" xr:uid="{00000000-0005-0000-0000-000039210000}"/>
    <cellStyle name="Normal 11 7 22" xfId="9326" xr:uid="{00000000-0005-0000-0000-00003A210000}"/>
    <cellStyle name="Normal 11 7 23" xfId="9327" xr:uid="{00000000-0005-0000-0000-00003B210000}"/>
    <cellStyle name="Normal 11 7 24" xfId="9328" xr:uid="{00000000-0005-0000-0000-00003C210000}"/>
    <cellStyle name="Normal 11 7 25" xfId="9329" xr:uid="{00000000-0005-0000-0000-00003D210000}"/>
    <cellStyle name="Normal 11 7 26" xfId="9330" xr:uid="{00000000-0005-0000-0000-00003E210000}"/>
    <cellStyle name="Normal 11 7 27" xfId="9331" xr:uid="{00000000-0005-0000-0000-00003F210000}"/>
    <cellStyle name="Normal 11 7 28" xfId="9332" xr:uid="{00000000-0005-0000-0000-000040210000}"/>
    <cellStyle name="Normal 11 7 29" xfId="9333" xr:uid="{00000000-0005-0000-0000-000041210000}"/>
    <cellStyle name="Normal 11 7 3" xfId="9334" xr:uid="{00000000-0005-0000-0000-000042210000}"/>
    <cellStyle name="Normal 11 7 3 2" xfId="9335" xr:uid="{00000000-0005-0000-0000-000043210000}"/>
    <cellStyle name="Normal 11 7 3 3" xfId="9336" xr:uid="{00000000-0005-0000-0000-000044210000}"/>
    <cellStyle name="Normal 11 7 3 4" xfId="9337" xr:uid="{00000000-0005-0000-0000-000045210000}"/>
    <cellStyle name="Normal 11 7 30" xfId="9338" xr:uid="{00000000-0005-0000-0000-000046210000}"/>
    <cellStyle name="Normal 11 7 31" xfId="9339" xr:uid="{00000000-0005-0000-0000-000047210000}"/>
    <cellStyle name="Normal 11 7 32" xfId="9340" xr:uid="{00000000-0005-0000-0000-000048210000}"/>
    <cellStyle name="Normal 11 7 33" xfId="9341" xr:uid="{00000000-0005-0000-0000-000049210000}"/>
    <cellStyle name="Normal 11 7 34" xfId="9342" xr:uid="{00000000-0005-0000-0000-00004A210000}"/>
    <cellStyle name="Normal 11 7 35" xfId="9343" xr:uid="{00000000-0005-0000-0000-00004B210000}"/>
    <cellStyle name="Normal 11 7 36" xfId="9344" xr:uid="{00000000-0005-0000-0000-00004C210000}"/>
    <cellStyle name="Normal 11 7 37" xfId="9345" xr:uid="{00000000-0005-0000-0000-00004D210000}"/>
    <cellStyle name="Normal 11 7 38" xfId="9346" xr:uid="{00000000-0005-0000-0000-00004E210000}"/>
    <cellStyle name="Normal 11 7 39" xfId="9347" xr:uid="{00000000-0005-0000-0000-00004F210000}"/>
    <cellStyle name="Normal 11 7 4" xfId="9348" xr:uid="{00000000-0005-0000-0000-000050210000}"/>
    <cellStyle name="Normal 11 7 40" xfId="9349" xr:uid="{00000000-0005-0000-0000-000051210000}"/>
    <cellStyle name="Normal 11 7 41" xfId="9350" xr:uid="{00000000-0005-0000-0000-000052210000}"/>
    <cellStyle name="Normal 11 7 42" xfId="9351" xr:uid="{00000000-0005-0000-0000-000053210000}"/>
    <cellStyle name="Normal 11 7 43" xfId="9352" xr:uid="{00000000-0005-0000-0000-000054210000}"/>
    <cellStyle name="Normal 11 7 44" xfId="9353" xr:uid="{00000000-0005-0000-0000-000055210000}"/>
    <cellStyle name="Normal 11 7 45" xfId="9354" xr:uid="{00000000-0005-0000-0000-000056210000}"/>
    <cellStyle name="Normal 11 7 46" xfId="9355" xr:uid="{00000000-0005-0000-0000-000057210000}"/>
    <cellStyle name="Normal 11 7 47" xfId="9356" xr:uid="{00000000-0005-0000-0000-000058210000}"/>
    <cellStyle name="Normal 11 7 48" xfId="9357" xr:uid="{00000000-0005-0000-0000-000059210000}"/>
    <cellStyle name="Normal 11 7 49" xfId="9358" xr:uid="{00000000-0005-0000-0000-00005A210000}"/>
    <cellStyle name="Normal 11 7 5" xfId="9359" xr:uid="{00000000-0005-0000-0000-00005B210000}"/>
    <cellStyle name="Normal 11 7 50" xfId="9360" xr:uid="{00000000-0005-0000-0000-00005C210000}"/>
    <cellStyle name="Normal 11 7 51" xfId="9361" xr:uid="{00000000-0005-0000-0000-00005D210000}"/>
    <cellStyle name="Normal 11 7 52" xfId="9362" xr:uid="{00000000-0005-0000-0000-00005E210000}"/>
    <cellStyle name="Normal 11 7 6" xfId="9363" xr:uid="{00000000-0005-0000-0000-00005F210000}"/>
    <cellStyle name="Normal 11 7 7" xfId="9364" xr:uid="{00000000-0005-0000-0000-000060210000}"/>
    <cellStyle name="Normal 11 7 8" xfId="9365" xr:uid="{00000000-0005-0000-0000-000061210000}"/>
    <cellStyle name="Normal 11 7 9" xfId="9366" xr:uid="{00000000-0005-0000-0000-000062210000}"/>
    <cellStyle name="Normal 11 8" xfId="9367" xr:uid="{00000000-0005-0000-0000-000063210000}"/>
    <cellStyle name="Normal 11 8 10" xfId="9368" xr:uid="{00000000-0005-0000-0000-000064210000}"/>
    <cellStyle name="Normal 11 8 11" xfId="9369" xr:uid="{00000000-0005-0000-0000-000065210000}"/>
    <cellStyle name="Normal 11 8 12" xfId="9370" xr:uid="{00000000-0005-0000-0000-000066210000}"/>
    <cellStyle name="Normal 11 8 13" xfId="9371" xr:uid="{00000000-0005-0000-0000-000067210000}"/>
    <cellStyle name="Normal 11 8 14" xfId="9372" xr:uid="{00000000-0005-0000-0000-000068210000}"/>
    <cellStyle name="Normal 11 8 15" xfId="9373" xr:uid="{00000000-0005-0000-0000-000069210000}"/>
    <cellStyle name="Normal 11 8 16" xfId="9374" xr:uid="{00000000-0005-0000-0000-00006A210000}"/>
    <cellStyle name="Normal 11 8 17" xfId="9375" xr:uid="{00000000-0005-0000-0000-00006B210000}"/>
    <cellStyle name="Normal 11 8 18" xfId="9376" xr:uid="{00000000-0005-0000-0000-00006C210000}"/>
    <cellStyle name="Normal 11 8 19" xfId="9377" xr:uid="{00000000-0005-0000-0000-00006D210000}"/>
    <cellStyle name="Normal 11 8 2" xfId="9378" xr:uid="{00000000-0005-0000-0000-00006E210000}"/>
    <cellStyle name="Normal 11 8 2 2" xfId="9379" xr:uid="{00000000-0005-0000-0000-00006F210000}"/>
    <cellStyle name="Normal 11 8 2 3" xfId="9380" xr:uid="{00000000-0005-0000-0000-000070210000}"/>
    <cellStyle name="Normal 11 8 2 4" xfId="9381" xr:uid="{00000000-0005-0000-0000-000071210000}"/>
    <cellStyle name="Normal 11 8 20" xfId="9382" xr:uid="{00000000-0005-0000-0000-000072210000}"/>
    <cellStyle name="Normal 11 8 21" xfId="9383" xr:uid="{00000000-0005-0000-0000-000073210000}"/>
    <cellStyle name="Normal 11 8 22" xfId="9384" xr:uid="{00000000-0005-0000-0000-000074210000}"/>
    <cellStyle name="Normal 11 8 23" xfId="9385" xr:uid="{00000000-0005-0000-0000-000075210000}"/>
    <cellStyle name="Normal 11 8 24" xfId="9386" xr:uid="{00000000-0005-0000-0000-000076210000}"/>
    <cellStyle name="Normal 11 8 25" xfId="9387" xr:uid="{00000000-0005-0000-0000-000077210000}"/>
    <cellStyle name="Normal 11 8 26" xfId="9388" xr:uid="{00000000-0005-0000-0000-000078210000}"/>
    <cellStyle name="Normal 11 8 27" xfId="9389" xr:uid="{00000000-0005-0000-0000-000079210000}"/>
    <cellStyle name="Normal 11 8 28" xfId="9390" xr:uid="{00000000-0005-0000-0000-00007A210000}"/>
    <cellStyle name="Normal 11 8 29" xfId="9391" xr:uid="{00000000-0005-0000-0000-00007B210000}"/>
    <cellStyle name="Normal 11 8 3" xfId="9392" xr:uid="{00000000-0005-0000-0000-00007C210000}"/>
    <cellStyle name="Normal 11 8 3 2" xfId="9393" xr:uid="{00000000-0005-0000-0000-00007D210000}"/>
    <cellStyle name="Normal 11 8 3 3" xfId="9394" xr:uid="{00000000-0005-0000-0000-00007E210000}"/>
    <cellStyle name="Normal 11 8 3 4" xfId="9395" xr:uid="{00000000-0005-0000-0000-00007F210000}"/>
    <cellStyle name="Normal 11 8 30" xfId="9396" xr:uid="{00000000-0005-0000-0000-000080210000}"/>
    <cellStyle name="Normal 11 8 31" xfId="9397" xr:uid="{00000000-0005-0000-0000-000081210000}"/>
    <cellStyle name="Normal 11 8 32" xfId="9398" xr:uid="{00000000-0005-0000-0000-000082210000}"/>
    <cellStyle name="Normal 11 8 33" xfId="9399" xr:uid="{00000000-0005-0000-0000-000083210000}"/>
    <cellStyle name="Normal 11 8 34" xfId="9400" xr:uid="{00000000-0005-0000-0000-000084210000}"/>
    <cellStyle name="Normal 11 8 35" xfId="9401" xr:uid="{00000000-0005-0000-0000-000085210000}"/>
    <cellStyle name="Normal 11 8 36" xfId="9402" xr:uid="{00000000-0005-0000-0000-000086210000}"/>
    <cellStyle name="Normal 11 8 37" xfId="9403" xr:uid="{00000000-0005-0000-0000-000087210000}"/>
    <cellStyle name="Normal 11 8 38" xfId="9404" xr:uid="{00000000-0005-0000-0000-000088210000}"/>
    <cellStyle name="Normal 11 8 39" xfId="9405" xr:uid="{00000000-0005-0000-0000-000089210000}"/>
    <cellStyle name="Normal 11 8 4" xfId="9406" xr:uid="{00000000-0005-0000-0000-00008A210000}"/>
    <cellStyle name="Normal 11 8 40" xfId="9407" xr:uid="{00000000-0005-0000-0000-00008B210000}"/>
    <cellStyle name="Normal 11 8 41" xfId="9408" xr:uid="{00000000-0005-0000-0000-00008C210000}"/>
    <cellStyle name="Normal 11 8 42" xfId="9409" xr:uid="{00000000-0005-0000-0000-00008D210000}"/>
    <cellStyle name="Normal 11 8 43" xfId="9410" xr:uid="{00000000-0005-0000-0000-00008E210000}"/>
    <cellStyle name="Normal 11 8 44" xfId="9411" xr:uid="{00000000-0005-0000-0000-00008F210000}"/>
    <cellStyle name="Normal 11 8 45" xfId="9412" xr:uid="{00000000-0005-0000-0000-000090210000}"/>
    <cellStyle name="Normal 11 8 46" xfId="9413" xr:uid="{00000000-0005-0000-0000-000091210000}"/>
    <cellStyle name="Normal 11 8 47" xfId="9414" xr:uid="{00000000-0005-0000-0000-000092210000}"/>
    <cellStyle name="Normal 11 8 48" xfId="9415" xr:uid="{00000000-0005-0000-0000-000093210000}"/>
    <cellStyle name="Normal 11 8 49" xfId="9416" xr:uid="{00000000-0005-0000-0000-000094210000}"/>
    <cellStyle name="Normal 11 8 5" xfId="9417" xr:uid="{00000000-0005-0000-0000-000095210000}"/>
    <cellStyle name="Normal 11 8 50" xfId="9418" xr:uid="{00000000-0005-0000-0000-000096210000}"/>
    <cellStyle name="Normal 11 8 51" xfId="9419" xr:uid="{00000000-0005-0000-0000-000097210000}"/>
    <cellStyle name="Normal 11 8 52" xfId="9420" xr:uid="{00000000-0005-0000-0000-000098210000}"/>
    <cellStyle name="Normal 11 8 6" xfId="9421" xr:uid="{00000000-0005-0000-0000-000099210000}"/>
    <cellStyle name="Normal 11 8 7" xfId="9422" xr:uid="{00000000-0005-0000-0000-00009A210000}"/>
    <cellStyle name="Normal 11 8 8" xfId="9423" xr:uid="{00000000-0005-0000-0000-00009B210000}"/>
    <cellStyle name="Normal 11 8 9" xfId="9424" xr:uid="{00000000-0005-0000-0000-00009C210000}"/>
    <cellStyle name="Normal 11 9" xfId="9425" xr:uid="{00000000-0005-0000-0000-00009D210000}"/>
    <cellStyle name="Normal 11 9 10" xfId="9426" xr:uid="{00000000-0005-0000-0000-00009E210000}"/>
    <cellStyle name="Normal 11 9 11" xfId="9427" xr:uid="{00000000-0005-0000-0000-00009F210000}"/>
    <cellStyle name="Normal 11 9 12" xfId="9428" xr:uid="{00000000-0005-0000-0000-0000A0210000}"/>
    <cellStyle name="Normal 11 9 13" xfId="9429" xr:uid="{00000000-0005-0000-0000-0000A1210000}"/>
    <cellStyle name="Normal 11 9 14" xfId="9430" xr:uid="{00000000-0005-0000-0000-0000A2210000}"/>
    <cellStyle name="Normal 11 9 15" xfId="9431" xr:uid="{00000000-0005-0000-0000-0000A3210000}"/>
    <cellStyle name="Normal 11 9 16" xfId="9432" xr:uid="{00000000-0005-0000-0000-0000A4210000}"/>
    <cellStyle name="Normal 11 9 17" xfId="9433" xr:uid="{00000000-0005-0000-0000-0000A5210000}"/>
    <cellStyle name="Normal 11 9 18" xfId="9434" xr:uid="{00000000-0005-0000-0000-0000A6210000}"/>
    <cellStyle name="Normal 11 9 19" xfId="9435" xr:uid="{00000000-0005-0000-0000-0000A7210000}"/>
    <cellStyle name="Normal 11 9 2" xfId="9436" xr:uid="{00000000-0005-0000-0000-0000A8210000}"/>
    <cellStyle name="Normal 11 9 2 2" xfId="9437" xr:uid="{00000000-0005-0000-0000-0000A9210000}"/>
    <cellStyle name="Normal 11 9 2 3" xfId="9438" xr:uid="{00000000-0005-0000-0000-0000AA210000}"/>
    <cellStyle name="Normal 11 9 2 4" xfId="9439" xr:uid="{00000000-0005-0000-0000-0000AB210000}"/>
    <cellStyle name="Normal 11 9 20" xfId="9440" xr:uid="{00000000-0005-0000-0000-0000AC210000}"/>
    <cellStyle name="Normal 11 9 21" xfId="9441" xr:uid="{00000000-0005-0000-0000-0000AD210000}"/>
    <cellStyle name="Normal 11 9 22" xfId="9442" xr:uid="{00000000-0005-0000-0000-0000AE210000}"/>
    <cellStyle name="Normal 11 9 23" xfId="9443" xr:uid="{00000000-0005-0000-0000-0000AF210000}"/>
    <cellStyle name="Normal 11 9 24" xfId="9444" xr:uid="{00000000-0005-0000-0000-0000B0210000}"/>
    <cellStyle name="Normal 11 9 25" xfId="9445" xr:uid="{00000000-0005-0000-0000-0000B1210000}"/>
    <cellStyle name="Normal 11 9 26" xfId="9446" xr:uid="{00000000-0005-0000-0000-0000B2210000}"/>
    <cellStyle name="Normal 11 9 27" xfId="9447" xr:uid="{00000000-0005-0000-0000-0000B3210000}"/>
    <cellStyle name="Normal 11 9 28" xfId="9448" xr:uid="{00000000-0005-0000-0000-0000B4210000}"/>
    <cellStyle name="Normal 11 9 29" xfId="9449" xr:uid="{00000000-0005-0000-0000-0000B5210000}"/>
    <cellStyle name="Normal 11 9 3" xfId="9450" xr:uid="{00000000-0005-0000-0000-0000B6210000}"/>
    <cellStyle name="Normal 11 9 3 2" xfId="9451" xr:uid="{00000000-0005-0000-0000-0000B7210000}"/>
    <cellStyle name="Normal 11 9 3 3" xfId="9452" xr:uid="{00000000-0005-0000-0000-0000B8210000}"/>
    <cellStyle name="Normal 11 9 3 4" xfId="9453" xr:uid="{00000000-0005-0000-0000-0000B9210000}"/>
    <cellStyle name="Normal 11 9 30" xfId="9454" xr:uid="{00000000-0005-0000-0000-0000BA210000}"/>
    <cellStyle name="Normal 11 9 31" xfId="9455" xr:uid="{00000000-0005-0000-0000-0000BB210000}"/>
    <cellStyle name="Normal 11 9 32" xfId="9456" xr:uid="{00000000-0005-0000-0000-0000BC210000}"/>
    <cellStyle name="Normal 11 9 33" xfId="9457" xr:uid="{00000000-0005-0000-0000-0000BD210000}"/>
    <cellStyle name="Normal 11 9 34" xfId="9458" xr:uid="{00000000-0005-0000-0000-0000BE210000}"/>
    <cellStyle name="Normal 11 9 35" xfId="9459" xr:uid="{00000000-0005-0000-0000-0000BF210000}"/>
    <cellStyle name="Normal 11 9 36" xfId="9460" xr:uid="{00000000-0005-0000-0000-0000C0210000}"/>
    <cellStyle name="Normal 11 9 37" xfId="9461" xr:uid="{00000000-0005-0000-0000-0000C1210000}"/>
    <cellStyle name="Normal 11 9 38" xfId="9462" xr:uid="{00000000-0005-0000-0000-0000C2210000}"/>
    <cellStyle name="Normal 11 9 39" xfId="9463" xr:uid="{00000000-0005-0000-0000-0000C3210000}"/>
    <cellStyle name="Normal 11 9 4" xfId="9464" xr:uid="{00000000-0005-0000-0000-0000C4210000}"/>
    <cellStyle name="Normal 11 9 40" xfId="9465" xr:uid="{00000000-0005-0000-0000-0000C5210000}"/>
    <cellStyle name="Normal 11 9 41" xfId="9466" xr:uid="{00000000-0005-0000-0000-0000C6210000}"/>
    <cellStyle name="Normal 11 9 42" xfId="9467" xr:uid="{00000000-0005-0000-0000-0000C7210000}"/>
    <cellStyle name="Normal 11 9 43" xfId="9468" xr:uid="{00000000-0005-0000-0000-0000C8210000}"/>
    <cellStyle name="Normal 11 9 44" xfId="9469" xr:uid="{00000000-0005-0000-0000-0000C9210000}"/>
    <cellStyle name="Normal 11 9 45" xfId="9470" xr:uid="{00000000-0005-0000-0000-0000CA210000}"/>
    <cellStyle name="Normal 11 9 46" xfId="9471" xr:uid="{00000000-0005-0000-0000-0000CB210000}"/>
    <cellStyle name="Normal 11 9 47" xfId="9472" xr:uid="{00000000-0005-0000-0000-0000CC210000}"/>
    <cellStyle name="Normal 11 9 48" xfId="9473" xr:uid="{00000000-0005-0000-0000-0000CD210000}"/>
    <cellStyle name="Normal 11 9 49" xfId="9474" xr:uid="{00000000-0005-0000-0000-0000CE210000}"/>
    <cellStyle name="Normal 11 9 5" xfId="9475" xr:uid="{00000000-0005-0000-0000-0000CF210000}"/>
    <cellStyle name="Normal 11 9 50" xfId="9476" xr:uid="{00000000-0005-0000-0000-0000D0210000}"/>
    <cellStyle name="Normal 11 9 51" xfId="9477" xr:uid="{00000000-0005-0000-0000-0000D1210000}"/>
    <cellStyle name="Normal 11 9 52" xfId="9478" xr:uid="{00000000-0005-0000-0000-0000D2210000}"/>
    <cellStyle name="Normal 11 9 6" xfId="9479" xr:uid="{00000000-0005-0000-0000-0000D3210000}"/>
    <cellStyle name="Normal 11 9 7" xfId="9480" xr:uid="{00000000-0005-0000-0000-0000D4210000}"/>
    <cellStyle name="Normal 11 9 8" xfId="9481" xr:uid="{00000000-0005-0000-0000-0000D5210000}"/>
    <cellStyle name="Normal 11 9 9" xfId="9482" xr:uid="{00000000-0005-0000-0000-0000D6210000}"/>
    <cellStyle name="Normal 11_IF - Autoprodutores 2" xfId="9483" xr:uid="{00000000-0005-0000-0000-0000D7210000}"/>
    <cellStyle name="Normal 110" xfId="9484" xr:uid="{00000000-0005-0000-0000-0000D8210000}"/>
    <cellStyle name="Normal 111" xfId="9485" xr:uid="{00000000-0005-0000-0000-0000D9210000}"/>
    <cellStyle name="Normal 112" xfId="9486" xr:uid="{00000000-0005-0000-0000-0000DA210000}"/>
    <cellStyle name="Normal 113" xfId="9487" xr:uid="{00000000-0005-0000-0000-0000DB210000}"/>
    <cellStyle name="Normal 114" xfId="9488" xr:uid="{00000000-0005-0000-0000-0000DC210000}"/>
    <cellStyle name="Normal 115" xfId="9489" xr:uid="{00000000-0005-0000-0000-0000DD210000}"/>
    <cellStyle name="Normal 116" xfId="9490" xr:uid="{00000000-0005-0000-0000-0000DE210000}"/>
    <cellStyle name="Normal 117" xfId="9491" xr:uid="{00000000-0005-0000-0000-0000DF210000}"/>
    <cellStyle name="Normal 118" xfId="9492" xr:uid="{00000000-0005-0000-0000-0000E0210000}"/>
    <cellStyle name="Normal 119" xfId="9493" xr:uid="{00000000-0005-0000-0000-0000E1210000}"/>
    <cellStyle name="Normal 12" xfId="1044" xr:uid="{00000000-0005-0000-0000-0000E2210000}"/>
    <cellStyle name="Normal 12 10" xfId="9494" xr:uid="{00000000-0005-0000-0000-0000E3210000}"/>
    <cellStyle name="Normal 12 10 2" xfId="9495" xr:uid="{00000000-0005-0000-0000-0000E4210000}"/>
    <cellStyle name="Normal 12 10 2 2" xfId="9496" xr:uid="{00000000-0005-0000-0000-0000E5210000}"/>
    <cellStyle name="Normal 12 10 2 3" xfId="9497" xr:uid="{00000000-0005-0000-0000-0000E6210000}"/>
    <cellStyle name="Normal 12 10 2 4" xfId="9498" xr:uid="{00000000-0005-0000-0000-0000E7210000}"/>
    <cellStyle name="Normal 12 10 3" xfId="9499" xr:uid="{00000000-0005-0000-0000-0000E8210000}"/>
    <cellStyle name="Normal 12 10 3 2" xfId="9500" xr:uid="{00000000-0005-0000-0000-0000E9210000}"/>
    <cellStyle name="Normal 12 10 3 3" xfId="9501" xr:uid="{00000000-0005-0000-0000-0000EA210000}"/>
    <cellStyle name="Normal 12 10 3 4" xfId="9502" xr:uid="{00000000-0005-0000-0000-0000EB210000}"/>
    <cellStyle name="Normal 12 10 4" xfId="9503" xr:uid="{00000000-0005-0000-0000-0000EC210000}"/>
    <cellStyle name="Normal 12 10 5" xfId="9504" xr:uid="{00000000-0005-0000-0000-0000ED210000}"/>
    <cellStyle name="Normal 12 10 6" xfId="9505" xr:uid="{00000000-0005-0000-0000-0000EE210000}"/>
    <cellStyle name="Normal 12 11" xfId="9506" xr:uid="{00000000-0005-0000-0000-0000EF210000}"/>
    <cellStyle name="Normal 12 11 2" xfId="9507" xr:uid="{00000000-0005-0000-0000-0000F0210000}"/>
    <cellStyle name="Normal 12 11 2 2" xfId="9508" xr:uid="{00000000-0005-0000-0000-0000F1210000}"/>
    <cellStyle name="Normal 12 11 2 3" xfId="9509" xr:uid="{00000000-0005-0000-0000-0000F2210000}"/>
    <cellStyle name="Normal 12 11 2 4" xfId="9510" xr:uid="{00000000-0005-0000-0000-0000F3210000}"/>
    <cellStyle name="Normal 12 11 3" xfId="9511" xr:uid="{00000000-0005-0000-0000-0000F4210000}"/>
    <cellStyle name="Normal 12 11 3 2" xfId="9512" xr:uid="{00000000-0005-0000-0000-0000F5210000}"/>
    <cellStyle name="Normal 12 11 3 3" xfId="9513" xr:uid="{00000000-0005-0000-0000-0000F6210000}"/>
    <cellStyle name="Normal 12 11 3 4" xfId="9514" xr:uid="{00000000-0005-0000-0000-0000F7210000}"/>
    <cellStyle name="Normal 12 11 4" xfId="9515" xr:uid="{00000000-0005-0000-0000-0000F8210000}"/>
    <cellStyle name="Normal 12 11 5" xfId="9516" xr:uid="{00000000-0005-0000-0000-0000F9210000}"/>
    <cellStyle name="Normal 12 11 6" xfId="9517" xr:uid="{00000000-0005-0000-0000-0000FA210000}"/>
    <cellStyle name="Normal 12 12" xfId="9518" xr:uid="{00000000-0005-0000-0000-0000FB210000}"/>
    <cellStyle name="Normal 12 12 2" xfId="9519" xr:uid="{00000000-0005-0000-0000-0000FC210000}"/>
    <cellStyle name="Normal 12 12 2 2" xfId="9520" xr:uid="{00000000-0005-0000-0000-0000FD210000}"/>
    <cellStyle name="Normal 12 12 2 3" xfId="9521" xr:uid="{00000000-0005-0000-0000-0000FE210000}"/>
    <cellStyle name="Normal 12 12 2 4" xfId="9522" xr:uid="{00000000-0005-0000-0000-0000FF210000}"/>
    <cellStyle name="Normal 12 12 3" xfId="9523" xr:uid="{00000000-0005-0000-0000-000000220000}"/>
    <cellStyle name="Normal 12 12 3 2" xfId="9524" xr:uid="{00000000-0005-0000-0000-000001220000}"/>
    <cellStyle name="Normal 12 12 3 3" xfId="9525" xr:uid="{00000000-0005-0000-0000-000002220000}"/>
    <cellStyle name="Normal 12 12 3 4" xfId="9526" xr:uid="{00000000-0005-0000-0000-000003220000}"/>
    <cellStyle name="Normal 12 12 4" xfId="9527" xr:uid="{00000000-0005-0000-0000-000004220000}"/>
    <cellStyle name="Normal 12 12 5" xfId="9528" xr:uid="{00000000-0005-0000-0000-000005220000}"/>
    <cellStyle name="Normal 12 12 6" xfId="9529" xr:uid="{00000000-0005-0000-0000-000006220000}"/>
    <cellStyle name="Normal 12 13" xfId="9530" xr:uid="{00000000-0005-0000-0000-000007220000}"/>
    <cellStyle name="Normal 12 13 2" xfId="9531" xr:uid="{00000000-0005-0000-0000-000008220000}"/>
    <cellStyle name="Normal 12 13 2 2" xfId="9532" xr:uid="{00000000-0005-0000-0000-000009220000}"/>
    <cellStyle name="Normal 12 13 2 3" xfId="9533" xr:uid="{00000000-0005-0000-0000-00000A220000}"/>
    <cellStyle name="Normal 12 13 2 4" xfId="9534" xr:uid="{00000000-0005-0000-0000-00000B220000}"/>
    <cellStyle name="Normal 12 13 3" xfId="9535" xr:uid="{00000000-0005-0000-0000-00000C220000}"/>
    <cellStyle name="Normal 12 13 3 2" xfId="9536" xr:uid="{00000000-0005-0000-0000-00000D220000}"/>
    <cellStyle name="Normal 12 13 3 3" xfId="9537" xr:uid="{00000000-0005-0000-0000-00000E220000}"/>
    <cellStyle name="Normal 12 13 3 4" xfId="9538" xr:uid="{00000000-0005-0000-0000-00000F220000}"/>
    <cellStyle name="Normal 12 13 4" xfId="9539" xr:uid="{00000000-0005-0000-0000-000010220000}"/>
    <cellStyle name="Normal 12 13 5" xfId="9540" xr:uid="{00000000-0005-0000-0000-000011220000}"/>
    <cellStyle name="Normal 12 13 6" xfId="9541" xr:uid="{00000000-0005-0000-0000-000012220000}"/>
    <cellStyle name="Normal 12 14" xfId="9542" xr:uid="{00000000-0005-0000-0000-000013220000}"/>
    <cellStyle name="Normal 12 14 2" xfId="9543" xr:uid="{00000000-0005-0000-0000-000014220000}"/>
    <cellStyle name="Normal 12 14 2 2" xfId="9544" xr:uid="{00000000-0005-0000-0000-000015220000}"/>
    <cellStyle name="Normal 12 14 2 3" xfId="9545" xr:uid="{00000000-0005-0000-0000-000016220000}"/>
    <cellStyle name="Normal 12 14 2 4" xfId="9546" xr:uid="{00000000-0005-0000-0000-000017220000}"/>
    <cellStyle name="Normal 12 14 3" xfId="9547" xr:uid="{00000000-0005-0000-0000-000018220000}"/>
    <cellStyle name="Normal 12 14 3 2" xfId="9548" xr:uid="{00000000-0005-0000-0000-000019220000}"/>
    <cellStyle name="Normal 12 14 3 3" xfId="9549" xr:uid="{00000000-0005-0000-0000-00001A220000}"/>
    <cellStyle name="Normal 12 14 3 4" xfId="9550" xr:uid="{00000000-0005-0000-0000-00001B220000}"/>
    <cellStyle name="Normal 12 14 4" xfId="9551" xr:uid="{00000000-0005-0000-0000-00001C220000}"/>
    <cellStyle name="Normal 12 14 5" xfId="9552" xr:uid="{00000000-0005-0000-0000-00001D220000}"/>
    <cellStyle name="Normal 12 14 6" xfId="9553" xr:uid="{00000000-0005-0000-0000-00001E220000}"/>
    <cellStyle name="Normal 12 15" xfId="9554" xr:uid="{00000000-0005-0000-0000-00001F220000}"/>
    <cellStyle name="Normal 12 15 2" xfId="9555" xr:uid="{00000000-0005-0000-0000-000020220000}"/>
    <cellStyle name="Normal 12 15 2 2" xfId="9556" xr:uid="{00000000-0005-0000-0000-000021220000}"/>
    <cellStyle name="Normal 12 15 2 3" xfId="9557" xr:uid="{00000000-0005-0000-0000-000022220000}"/>
    <cellStyle name="Normal 12 15 2 4" xfId="9558" xr:uid="{00000000-0005-0000-0000-000023220000}"/>
    <cellStyle name="Normal 12 15 3" xfId="9559" xr:uid="{00000000-0005-0000-0000-000024220000}"/>
    <cellStyle name="Normal 12 15 3 2" xfId="9560" xr:uid="{00000000-0005-0000-0000-000025220000}"/>
    <cellStyle name="Normal 12 15 3 3" xfId="9561" xr:uid="{00000000-0005-0000-0000-000026220000}"/>
    <cellStyle name="Normal 12 15 3 4" xfId="9562" xr:uid="{00000000-0005-0000-0000-000027220000}"/>
    <cellStyle name="Normal 12 15 4" xfId="9563" xr:uid="{00000000-0005-0000-0000-000028220000}"/>
    <cellStyle name="Normal 12 15 5" xfId="9564" xr:uid="{00000000-0005-0000-0000-000029220000}"/>
    <cellStyle name="Normal 12 15 6" xfId="9565" xr:uid="{00000000-0005-0000-0000-00002A220000}"/>
    <cellStyle name="Normal 12 16" xfId="9566" xr:uid="{00000000-0005-0000-0000-00002B220000}"/>
    <cellStyle name="Normal 12 16 2" xfId="9567" xr:uid="{00000000-0005-0000-0000-00002C220000}"/>
    <cellStyle name="Normal 12 16 2 2" xfId="9568" xr:uid="{00000000-0005-0000-0000-00002D220000}"/>
    <cellStyle name="Normal 12 16 2 3" xfId="9569" xr:uid="{00000000-0005-0000-0000-00002E220000}"/>
    <cellStyle name="Normal 12 16 2 4" xfId="9570" xr:uid="{00000000-0005-0000-0000-00002F220000}"/>
    <cellStyle name="Normal 12 16 3" xfId="9571" xr:uid="{00000000-0005-0000-0000-000030220000}"/>
    <cellStyle name="Normal 12 16 3 2" xfId="9572" xr:uid="{00000000-0005-0000-0000-000031220000}"/>
    <cellStyle name="Normal 12 16 3 3" xfId="9573" xr:uid="{00000000-0005-0000-0000-000032220000}"/>
    <cellStyle name="Normal 12 16 3 4" xfId="9574" xr:uid="{00000000-0005-0000-0000-000033220000}"/>
    <cellStyle name="Normal 12 16 4" xfId="9575" xr:uid="{00000000-0005-0000-0000-000034220000}"/>
    <cellStyle name="Normal 12 16 5" xfId="9576" xr:uid="{00000000-0005-0000-0000-000035220000}"/>
    <cellStyle name="Normal 12 16 6" xfId="9577" xr:uid="{00000000-0005-0000-0000-000036220000}"/>
    <cellStyle name="Normal 12 17" xfId="9578" xr:uid="{00000000-0005-0000-0000-000037220000}"/>
    <cellStyle name="Normal 12 17 2" xfId="9579" xr:uid="{00000000-0005-0000-0000-000038220000}"/>
    <cellStyle name="Normal 12 17 2 2" xfId="9580" xr:uid="{00000000-0005-0000-0000-000039220000}"/>
    <cellStyle name="Normal 12 17 2 3" xfId="9581" xr:uid="{00000000-0005-0000-0000-00003A220000}"/>
    <cellStyle name="Normal 12 17 2 4" xfId="9582" xr:uid="{00000000-0005-0000-0000-00003B220000}"/>
    <cellStyle name="Normal 12 17 3" xfId="9583" xr:uid="{00000000-0005-0000-0000-00003C220000}"/>
    <cellStyle name="Normal 12 17 3 2" xfId="9584" xr:uid="{00000000-0005-0000-0000-00003D220000}"/>
    <cellStyle name="Normal 12 17 3 3" xfId="9585" xr:uid="{00000000-0005-0000-0000-00003E220000}"/>
    <cellStyle name="Normal 12 17 3 4" xfId="9586" xr:uid="{00000000-0005-0000-0000-00003F220000}"/>
    <cellStyle name="Normal 12 17 4" xfId="9587" xr:uid="{00000000-0005-0000-0000-000040220000}"/>
    <cellStyle name="Normal 12 17 5" xfId="9588" xr:uid="{00000000-0005-0000-0000-000041220000}"/>
    <cellStyle name="Normal 12 17 6" xfId="9589" xr:uid="{00000000-0005-0000-0000-000042220000}"/>
    <cellStyle name="Normal 12 18" xfId="9590" xr:uid="{00000000-0005-0000-0000-000043220000}"/>
    <cellStyle name="Normal 12 18 2" xfId="9591" xr:uid="{00000000-0005-0000-0000-000044220000}"/>
    <cellStyle name="Normal 12 18 2 2" xfId="9592" xr:uid="{00000000-0005-0000-0000-000045220000}"/>
    <cellStyle name="Normal 12 18 2 3" xfId="9593" xr:uid="{00000000-0005-0000-0000-000046220000}"/>
    <cellStyle name="Normal 12 18 2 4" xfId="9594" xr:uid="{00000000-0005-0000-0000-000047220000}"/>
    <cellStyle name="Normal 12 18 3" xfId="9595" xr:uid="{00000000-0005-0000-0000-000048220000}"/>
    <cellStyle name="Normal 12 18 3 2" xfId="9596" xr:uid="{00000000-0005-0000-0000-000049220000}"/>
    <cellStyle name="Normal 12 18 3 3" xfId="9597" xr:uid="{00000000-0005-0000-0000-00004A220000}"/>
    <cellStyle name="Normal 12 18 3 4" xfId="9598" xr:uid="{00000000-0005-0000-0000-00004B220000}"/>
    <cellStyle name="Normal 12 18 4" xfId="9599" xr:uid="{00000000-0005-0000-0000-00004C220000}"/>
    <cellStyle name="Normal 12 18 5" xfId="9600" xr:uid="{00000000-0005-0000-0000-00004D220000}"/>
    <cellStyle name="Normal 12 18 6" xfId="9601" xr:uid="{00000000-0005-0000-0000-00004E220000}"/>
    <cellStyle name="Normal 12 19" xfId="9602" xr:uid="{00000000-0005-0000-0000-00004F220000}"/>
    <cellStyle name="Normal 12 19 2" xfId="9603" xr:uid="{00000000-0005-0000-0000-000050220000}"/>
    <cellStyle name="Normal 12 19 2 2" xfId="9604" xr:uid="{00000000-0005-0000-0000-000051220000}"/>
    <cellStyle name="Normal 12 19 2 3" xfId="9605" xr:uid="{00000000-0005-0000-0000-000052220000}"/>
    <cellStyle name="Normal 12 19 2 4" xfId="9606" xr:uid="{00000000-0005-0000-0000-000053220000}"/>
    <cellStyle name="Normal 12 19 3" xfId="9607" xr:uid="{00000000-0005-0000-0000-000054220000}"/>
    <cellStyle name="Normal 12 19 3 2" xfId="9608" xr:uid="{00000000-0005-0000-0000-000055220000}"/>
    <cellStyle name="Normal 12 19 3 3" xfId="9609" xr:uid="{00000000-0005-0000-0000-000056220000}"/>
    <cellStyle name="Normal 12 19 3 4" xfId="9610" xr:uid="{00000000-0005-0000-0000-000057220000}"/>
    <cellStyle name="Normal 12 19 4" xfId="9611" xr:uid="{00000000-0005-0000-0000-000058220000}"/>
    <cellStyle name="Normal 12 19 5" xfId="9612" xr:uid="{00000000-0005-0000-0000-000059220000}"/>
    <cellStyle name="Normal 12 19 6" xfId="9613" xr:uid="{00000000-0005-0000-0000-00005A220000}"/>
    <cellStyle name="Normal 12 2" xfId="1659" xr:uid="{00000000-0005-0000-0000-00005B220000}"/>
    <cellStyle name="Normal 12 2 10" xfId="9614" xr:uid="{00000000-0005-0000-0000-00005C220000}"/>
    <cellStyle name="Normal 12 2 10 2" xfId="9615" xr:uid="{00000000-0005-0000-0000-00005D220000}"/>
    <cellStyle name="Normal 12 2 10 2 2" xfId="9616" xr:uid="{00000000-0005-0000-0000-00005E220000}"/>
    <cellStyle name="Normal 12 2 10 2 3" xfId="9617" xr:uid="{00000000-0005-0000-0000-00005F220000}"/>
    <cellStyle name="Normal 12 2 10 2 4" xfId="9618" xr:uid="{00000000-0005-0000-0000-000060220000}"/>
    <cellStyle name="Normal 12 2 10 3" xfId="9619" xr:uid="{00000000-0005-0000-0000-000061220000}"/>
    <cellStyle name="Normal 12 2 10 3 2" xfId="9620" xr:uid="{00000000-0005-0000-0000-000062220000}"/>
    <cellStyle name="Normal 12 2 10 3 3" xfId="9621" xr:uid="{00000000-0005-0000-0000-000063220000}"/>
    <cellStyle name="Normal 12 2 10 3 4" xfId="9622" xr:uid="{00000000-0005-0000-0000-000064220000}"/>
    <cellStyle name="Normal 12 2 10 4" xfId="9623" xr:uid="{00000000-0005-0000-0000-000065220000}"/>
    <cellStyle name="Normal 12 2 10 5" xfId="9624" xr:uid="{00000000-0005-0000-0000-000066220000}"/>
    <cellStyle name="Normal 12 2 10 6" xfId="9625" xr:uid="{00000000-0005-0000-0000-000067220000}"/>
    <cellStyle name="Normal 12 2 11" xfId="9626" xr:uid="{00000000-0005-0000-0000-000068220000}"/>
    <cellStyle name="Normal 12 2 11 2" xfId="9627" xr:uid="{00000000-0005-0000-0000-000069220000}"/>
    <cellStyle name="Normal 12 2 11 2 2" xfId="9628" xr:uid="{00000000-0005-0000-0000-00006A220000}"/>
    <cellStyle name="Normal 12 2 11 2 3" xfId="9629" xr:uid="{00000000-0005-0000-0000-00006B220000}"/>
    <cellStyle name="Normal 12 2 11 2 4" xfId="9630" xr:uid="{00000000-0005-0000-0000-00006C220000}"/>
    <cellStyle name="Normal 12 2 11 3" xfId="9631" xr:uid="{00000000-0005-0000-0000-00006D220000}"/>
    <cellStyle name="Normal 12 2 11 3 2" xfId="9632" xr:uid="{00000000-0005-0000-0000-00006E220000}"/>
    <cellStyle name="Normal 12 2 11 3 3" xfId="9633" xr:uid="{00000000-0005-0000-0000-00006F220000}"/>
    <cellStyle name="Normal 12 2 11 3 4" xfId="9634" xr:uid="{00000000-0005-0000-0000-000070220000}"/>
    <cellStyle name="Normal 12 2 11 4" xfId="9635" xr:uid="{00000000-0005-0000-0000-000071220000}"/>
    <cellStyle name="Normal 12 2 11 5" xfId="9636" xr:uid="{00000000-0005-0000-0000-000072220000}"/>
    <cellStyle name="Normal 12 2 11 6" xfId="9637" xr:uid="{00000000-0005-0000-0000-000073220000}"/>
    <cellStyle name="Normal 12 2 12" xfId="9638" xr:uid="{00000000-0005-0000-0000-000074220000}"/>
    <cellStyle name="Normal 12 2 12 2" xfId="9639" xr:uid="{00000000-0005-0000-0000-000075220000}"/>
    <cellStyle name="Normal 12 2 12 2 2" xfId="9640" xr:uid="{00000000-0005-0000-0000-000076220000}"/>
    <cellStyle name="Normal 12 2 12 2 3" xfId="9641" xr:uid="{00000000-0005-0000-0000-000077220000}"/>
    <cellStyle name="Normal 12 2 12 2 4" xfId="9642" xr:uid="{00000000-0005-0000-0000-000078220000}"/>
    <cellStyle name="Normal 12 2 12 3" xfId="9643" xr:uid="{00000000-0005-0000-0000-000079220000}"/>
    <cellStyle name="Normal 12 2 12 3 2" xfId="9644" xr:uid="{00000000-0005-0000-0000-00007A220000}"/>
    <cellStyle name="Normal 12 2 12 3 3" xfId="9645" xr:uid="{00000000-0005-0000-0000-00007B220000}"/>
    <cellStyle name="Normal 12 2 12 3 4" xfId="9646" xr:uid="{00000000-0005-0000-0000-00007C220000}"/>
    <cellStyle name="Normal 12 2 12 4" xfId="9647" xr:uid="{00000000-0005-0000-0000-00007D220000}"/>
    <cellStyle name="Normal 12 2 12 5" xfId="9648" xr:uid="{00000000-0005-0000-0000-00007E220000}"/>
    <cellStyle name="Normal 12 2 12 6" xfId="9649" xr:uid="{00000000-0005-0000-0000-00007F220000}"/>
    <cellStyle name="Normal 12 2 13" xfId="9650" xr:uid="{00000000-0005-0000-0000-000080220000}"/>
    <cellStyle name="Normal 12 2 13 2" xfId="9651" xr:uid="{00000000-0005-0000-0000-000081220000}"/>
    <cellStyle name="Normal 12 2 13 2 2" xfId="9652" xr:uid="{00000000-0005-0000-0000-000082220000}"/>
    <cellStyle name="Normal 12 2 13 2 3" xfId="9653" xr:uid="{00000000-0005-0000-0000-000083220000}"/>
    <cellStyle name="Normal 12 2 13 2 4" xfId="9654" xr:uid="{00000000-0005-0000-0000-000084220000}"/>
    <cellStyle name="Normal 12 2 13 3" xfId="9655" xr:uid="{00000000-0005-0000-0000-000085220000}"/>
    <cellStyle name="Normal 12 2 13 3 2" xfId="9656" xr:uid="{00000000-0005-0000-0000-000086220000}"/>
    <cellStyle name="Normal 12 2 13 3 3" xfId="9657" xr:uid="{00000000-0005-0000-0000-000087220000}"/>
    <cellStyle name="Normal 12 2 13 3 4" xfId="9658" xr:uid="{00000000-0005-0000-0000-000088220000}"/>
    <cellStyle name="Normal 12 2 13 4" xfId="9659" xr:uid="{00000000-0005-0000-0000-000089220000}"/>
    <cellStyle name="Normal 12 2 13 5" xfId="9660" xr:uid="{00000000-0005-0000-0000-00008A220000}"/>
    <cellStyle name="Normal 12 2 13 6" xfId="9661" xr:uid="{00000000-0005-0000-0000-00008B220000}"/>
    <cellStyle name="Normal 12 2 14" xfId="9662" xr:uid="{00000000-0005-0000-0000-00008C220000}"/>
    <cellStyle name="Normal 12 2 14 2" xfId="9663" xr:uid="{00000000-0005-0000-0000-00008D220000}"/>
    <cellStyle name="Normal 12 2 14 2 2" xfId="9664" xr:uid="{00000000-0005-0000-0000-00008E220000}"/>
    <cellStyle name="Normal 12 2 14 2 3" xfId="9665" xr:uid="{00000000-0005-0000-0000-00008F220000}"/>
    <cellStyle name="Normal 12 2 14 2 4" xfId="9666" xr:uid="{00000000-0005-0000-0000-000090220000}"/>
    <cellStyle name="Normal 12 2 14 3" xfId="9667" xr:uid="{00000000-0005-0000-0000-000091220000}"/>
    <cellStyle name="Normal 12 2 14 3 2" xfId="9668" xr:uid="{00000000-0005-0000-0000-000092220000}"/>
    <cellStyle name="Normal 12 2 14 3 3" xfId="9669" xr:uid="{00000000-0005-0000-0000-000093220000}"/>
    <cellStyle name="Normal 12 2 14 3 4" xfId="9670" xr:uid="{00000000-0005-0000-0000-000094220000}"/>
    <cellStyle name="Normal 12 2 14 4" xfId="9671" xr:uid="{00000000-0005-0000-0000-000095220000}"/>
    <cellStyle name="Normal 12 2 14 5" xfId="9672" xr:uid="{00000000-0005-0000-0000-000096220000}"/>
    <cellStyle name="Normal 12 2 14 6" xfId="9673" xr:uid="{00000000-0005-0000-0000-000097220000}"/>
    <cellStyle name="Normal 12 2 15" xfId="9674" xr:uid="{00000000-0005-0000-0000-000098220000}"/>
    <cellStyle name="Normal 12 2 15 2" xfId="9675" xr:uid="{00000000-0005-0000-0000-000099220000}"/>
    <cellStyle name="Normal 12 2 15 2 2" xfId="9676" xr:uid="{00000000-0005-0000-0000-00009A220000}"/>
    <cellStyle name="Normal 12 2 15 2 3" xfId="9677" xr:uid="{00000000-0005-0000-0000-00009B220000}"/>
    <cellStyle name="Normal 12 2 15 2 4" xfId="9678" xr:uid="{00000000-0005-0000-0000-00009C220000}"/>
    <cellStyle name="Normal 12 2 15 3" xfId="9679" xr:uid="{00000000-0005-0000-0000-00009D220000}"/>
    <cellStyle name="Normal 12 2 15 3 2" xfId="9680" xr:uid="{00000000-0005-0000-0000-00009E220000}"/>
    <cellStyle name="Normal 12 2 15 3 3" xfId="9681" xr:uid="{00000000-0005-0000-0000-00009F220000}"/>
    <cellStyle name="Normal 12 2 15 3 4" xfId="9682" xr:uid="{00000000-0005-0000-0000-0000A0220000}"/>
    <cellStyle name="Normal 12 2 15 4" xfId="9683" xr:uid="{00000000-0005-0000-0000-0000A1220000}"/>
    <cellStyle name="Normal 12 2 15 5" xfId="9684" xr:uid="{00000000-0005-0000-0000-0000A2220000}"/>
    <cellStyle name="Normal 12 2 15 6" xfId="9685" xr:uid="{00000000-0005-0000-0000-0000A3220000}"/>
    <cellStyle name="Normal 12 2 16" xfId="9686" xr:uid="{00000000-0005-0000-0000-0000A4220000}"/>
    <cellStyle name="Normal 12 2 16 2" xfId="9687" xr:uid="{00000000-0005-0000-0000-0000A5220000}"/>
    <cellStyle name="Normal 12 2 16 2 2" xfId="9688" xr:uid="{00000000-0005-0000-0000-0000A6220000}"/>
    <cellStyle name="Normal 12 2 16 2 3" xfId="9689" xr:uid="{00000000-0005-0000-0000-0000A7220000}"/>
    <cellStyle name="Normal 12 2 16 2 4" xfId="9690" xr:uid="{00000000-0005-0000-0000-0000A8220000}"/>
    <cellStyle name="Normal 12 2 16 3" xfId="9691" xr:uid="{00000000-0005-0000-0000-0000A9220000}"/>
    <cellStyle name="Normal 12 2 16 3 2" xfId="9692" xr:uid="{00000000-0005-0000-0000-0000AA220000}"/>
    <cellStyle name="Normal 12 2 16 3 3" xfId="9693" xr:uid="{00000000-0005-0000-0000-0000AB220000}"/>
    <cellStyle name="Normal 12 2 16 3 4" xfId="9694" xr:uid="{00000000-0005-0000-0000-0000AC220000}"/>
    <cellStyle name="Normal 12 2 16 4" xfId="9695" xr:uid="{00000000-0005-0000-0000-0000AD220000}"/>
    <cellStyle name="Normal 12 2 16 5" xfId="9696" xr:uid="{00000000-0005-0000-0000-0000AE220000}"/>
    <cellStyle name="Normal 12 2 16 6" xfId="9697" xr:uid="{00000000-0005-0000-0000-0000AF220000}"/>
    <cellStyle name="Normal 12 2 17" xfId="9698" xr:uid="{00000000-0005-0000-0000-0000B0220000}"/>
    <cellStyle name="Normal 12 2 17 2" xfId="9699" xr:uid="{00000000-0005-0000-0000-0000B1220000}"/>
    <cellStyle name="Normal 12 2 17 2 2" xfId="9700" xr:uid="{00000000-0005-0000-0000-0000B2220000}"/>
    <cellStyle name="Normal 12 2 17 2 3" xfId="9701" xr:uid="{00000000-0005-0000-0000-0000B3220000}"/>
    <cellStyle name="Normal 12 2 17 2 4" xfId="9702" xr:uid="{00000000-0005-0000-0000-0000B4220000}"/>
    <cellStyle name="Normal 12 2 17 3" xfId="9703" xr:uid="{00000000-0005-0000-0000-0000B5220000}"/>
    <cellStyle name="Normal 12 2 17 3 2" xfId="9704" xr:uid="{00000000-0005-0000-0000-0000B6220000}"/>
    <cellStyle name="Normal 12 2 17 3 3" xfId="9705" xr:uid="{00000000-0005-0000-0000-0000B7220000}"/>
    <cellStyle name="Normal 12 2 17 3 4" xfId="9706" xr:uid="{00000000-0005-0000-0000-0000B8220000}"/>
    <cellStyle name="Normal 12 2 17 4" xfId="9707" xr:uid="{00000000-0005-0000-0000-0000B9220000}"/>
    <cellStyle name="Normal 12 2 17 5" xfId="9708" xr:uid="{00000000-0005-0000-0000-0000BA220000}"/>
    <cellStyle name="Normal 12 2 17 6" xfId="9709" xr:uid="{00000000-0005-0000-0000-0000BB220000}"/>
    <cellStyle name="Normal 12 2 18" xfId="9710" xr:uid="{00000000-0005-0000-0000-0000BC220000}"/>
    <cellStyle name="Normal 12 2 18 2" xfId="9711" xr:uid="{00000000-0005-0000-0000-0000BD220000}"/>
    <cellStyle name="Normal 12 2 18 3" xfId="9712" xr:uid="{00000000-0005-0000-0000-0000BE220000}"/>
    <cellStyle name="Normal 12 2 18 4" xfId="9713" xr:uid="{00000000-0005-0000-0000-0000BF220000}"/>
    <cellStyle name="Normal 12 2 19" xfId="9714" xr:uid="{00000000-0005-0000-0000-0000C0220000}"/>
    <cellStyle name="Normal 12 2 19 2" xfId="9715" xr:uid="{00000000-0005-0000-0000-0000C1220000}"/>
    <cellStyle name="Normal 12 2 19 3" xfId="9716" xr:uid="{00000000-0005-0000-0000-0000C2220000}"/>
    <cellStyle name="Normal 12 2 19 4" xfId="9717" xr:uid="{00000000-0005-0000-0000-0000C3220000}"/>
    <cellStyle name="Normal 12 2 2" xfId="9718" xr:uid="{00000000-0005-0000-0000-0000C4220000}"/>
    <cellStyle name="Normal 12 2 2 2" xfId="9719" xr:uid="{00000000-0005-0000-0000-0000C5220000}"/>
    <cellStyle name="Normal 12 2 2 2 2" xfId="9720" xr:uid="{00000000-0005-0000-0000-0000C6220000}"/>
    <cellStyle name="Normal 12 2 2 2 3" xfId="9721" xr:uid="{00000000-0005-0000-0000-0000C7220000}"/>
    <cellStyle name="Normal 12 2 2 2 4" xfId="9722" xr:uid="{00000000-0005-0000-0000-0000C8220000}"/>
    <cellStyle name="Normal 12 2 2 3" xfId="9723" xr:uid="{00000000-0005-0000-0000-0000C9220000}"/>
    <cellStyle name="Normal 12 2 2 3 2" xfId="9724" xr:uid="{00000000-0005-0000-0000-0000CA220000}"/>
    <cellStyle name="Normal 12 2 2 3 3" xfId="9725" xr:uid="{00000000-0005-0000-0000-0000CB220000}"/>
    <cellStyle name="Normal 12 2 2 3 4" xfId="9726" xr:uid="{00000000-0005-0000-0000-0000CC220000}"/>
    <cellStyle name="Normal 12 2 2 4" xfId="9727" xr:uid="{00000000-0005-0000-0000-0000CD220000}"/>
    <cellStyle name="Normal 12 2 2 5" xfId="9728" xr:uid="{00000000-0005-0000-0000-0000CE220000}"/>
    <cellStyle name="Normal 12 2 2 6" xfId="9729" xr:uid="{00000000-0005-0000-0000-0000CF220000}"/>
    <cellStyle name="Normal 12 2 20" xfId="9730" xr:uid="{00000000-0005-0000-0000-0000D0220000}"/>
    <cellStyle name="Normal 12 2 20 2" xfId="9731" xr:uid="{00000000-0005-0000-0000-0000D1220000}"/>
    <cellStyle name="Normal 12 2 20 3" xfId="9732" xr:uid="{00000000-0005-0000-0000-0000D2220000}"/>
    <cellStyle name="Normal 12 2 20 4" xfId="9733" xr:uid="{00000000-0005-0000-0000-0000D3220000}"/>
    <cellStyle name="Normal 12 2 21" xfId="9734" xr:uid="{00000000-0005-0000-0000-0000D4220000}"/>
    <cellStyle name="Normal 12 2 22" xfId="9735" xr:uid="{00000000-0005-0000-0000-0000D5220000}"/>
    <cellStyle name="Normal 12 2 23" xfId="9736" xr:uid="{00000000-0005-0000-0000-0000D6220000}"/>
    <cellStyle name="Normal 12 2 3" xfId="9737" xr:uid="{00000000-0005-0000-0000-0000D7220000}"/>
    <cellStyle name="Normal 12 2 3 2" xfId="9738" xr:uid="{00000000-0005-0000-0000-0000D8220000}"/>
    <cellStyle name="Normal 12 2 3 2 2" xfId="9739" xr:uid="{00000000-0005-0000-0000-0000D9220000}"/>
    <cellStyle name="Normal 12 2 3 2 3" xfId="9740" xr:uid="{00000000-0005-0000-0000-0000DA220000}"/>
    <cellStyle name="Normal 12 2 3 2 4" xfId="9741" xr:uid="{00000000-0005-0000-0000-0000DB220000}"/>
    <cellStyle name="Normal 12 2 3 3" xfId="9742" xr:uid="{00000000-0005-0000-0000-0000DC220000}"/>
    <cellStyle name="Normal 12 2 3 3 2" xfId="9743" xr:uid="{00000000-0005-0000-0000-0000DD220000}"/>
    <cellStyle name="Normal 12 2 3 3 3" xfId="9744" xr:uid="{00000000-0005-0000-0000-0000DE220000}"/>
    <cellStyle name="Normal 12 2 3 3 4" xfId="9745" xr:uid="{00000000-0005-0000-0000-0000DF220000}"/>
    <cellStyle name="Normal 12 2 3 4" xfId="9746" xr:uid="{00000000-0005-0000-0000-0000E0220000}"/>
    <cellStyle name="Normal 12 2 3 5" xfId="9747" xr:uid="{00000000-0005-0000-0000-0000E1220000}"/>
    <cellStyle name="Normal 12 2 3 6" xfId="9748" xr:uid="{00000000-0005-0000-0000-0000E2220000}"/>
    <cellStyle name="Normal 12 2 4" xfId="9749" xr:uid="{00000000-0005-0000-0000-0000E3220000}"/>
    <cellStyle name="Normal 12 2 4 2" xfId="9750" xr:uid="{00000000-0005-0000-0000-0000E4220000}"/>
    <cellStyle name="Normal 12 2 4 2 2" xfId="9751" xr:uid="{00000000-0005-0000-0000-0000E5220000}"/>
    <cellStyle name="Normal 12 2 4 2 3" xfId="9752" xr:uid="{00000000-0005-0000-0000-0000E6220000}"/>
    <cellStyle name="Normal 12 2 4 2 4" xfId="9753" xr:uid="{00000000-0005-0000-0000-0000E7220000}"/>
    <cellStyle name="Normal 12 2 4 3" xfId="9754" xr:uid="{00000000-0005-0000-0000-0000E8220000}"/>
    <cellStyle name="Normal 12 2 4 3 2" xfId="9755" xr:uid="{00000000-0005-0000-0000-0000E9220000}"/>
    <cellStyle name="Normal 12 2 4 3 3" xfId="9756" xr:uid="{00000000-0005-0000-0000-0000EA220000}"/>
    <cellStyle name="Normal 12 2 4 3 4" xfId="9757" xr:uid="{00000000-0005-0000-0000-0000EB220000}"/>
    <cellStyle name="Normal 12 2 4 4" xfId="9758" xr:uid="{00000000-0005-0000-0000-0000EC220000}"/>
    <cellStyle name="Normal 12 2 4 5" xfId="9759" xr:uid="{00000000-0005-0000-0000-0000ED220000}"/>
    <cellStyle name="Normal 12 2 4 6" xfId="9760" xr:uid="{00000000-0005-0000-0000-0000EE220000}"/>
    <cellStyle name="Normal 12 2 5" xfId="9761" xr:uid="{00000000-0005-0000-0000-0000EF220000}"/>
    <cellStyle name="Normal 12 2 5 2" xfId="9762" xr:uid="{00000000-0005-0000-0000-0000F0220000}"/>
    <cellStyle name="Normal 12 2 5 2 2" xfId="9763" xr:uid="{00000000-0005-0000-0000-0000F1220000}"/>
    <cellStyle name="Normal 12 2 5 2 3" xfId="9764" xr:uid="{00000000-0005-0000-0000-0000F2220000}"/>
    <cellStyle name="Normal 12 2 5 2 4" xfId="9765" xr:uid="{00000000-0005-0000-0000-0000F3220000}"/>
    <cellStyle name="Normal 12 2 5 3" xfId="9766" xr:uid="{00000000-0005-0000-0000-0000F4220000}"/>
    <cellStyle name="Normal 12 2 5 3 2" xfId="9767" xr:uid="{00000000-0005-0000-0000-0000F5220000}"/>
    <cellStyle name="Normal 12 2 5 3 3" xfId="9768" xr:uid="{00000000-0005-0000-0000-0000F6220000}"/>
    <cellStyle name="Normal 12 2 5 3 4" xfId="9769" xr:uid="{00000000-0005-0000-0000-0000F7220000}"/>
    <cellStyle name="Normal 12 2 5 4" xfId="9770" xr:uid="{00000000-0005-0000-0000-0000F8220000}"/>
    <cellStyle name="Normal 12 2 5 5" xfId="9771" xr:uid="{00000000-0005-0000-0000-0000F9220000}"/>
    <cellStyle name="Normal 12 2 5 6" xfId="9772" xr:uid="{00000000-0005-0000-0000-0000FA220000}"/>
    <cellStyle name="Normal 12 2 6" xfId="9773" xr:uid="{00000000-0005-0000-0000-0000FB220000}"/>
    <cellStyle name="Normal 12 2 6 2" xfId="9774" xr:uid="{00000000-0005-0000-0000-0000FC220000}"/>
    <cellStyle name="Normal 12 2 6 2 2" xfId="9775" xr:uid="{00000000-0005-0000-0000-0000FD220000}"/>
    <cellStyle name="Normal 12 2 6 2 3" xfId="9776" xr:uid="{00000000-0005-0000-0000-0000FE220000}"/>
    <cellStyle name="Normal 12 2 6 2 4" xfId="9777" xr:uid="{00000000-0005-0000-0000-0000FF220000}"/>
    <cellStyle name="Normal 12 2 6 3" xfId="9778" xr:uid="{00000000-0005-0000-0000-000000230000}"/>
    <cellStyle name="Normal 12 2 6 3 2" xfId="9779" xr:uid="{00000000-0005-0000-0000-000001230000}"/>
    <cellStyle name="Normal 12 2 6 3 3" xfId="9780" xr:uid="{00000000-0005-0000-0000-000002230000}"/>
    <cellStyle name="Normal 12 2 6 3 4" xfId="9781" xr:uid="{00000000-0005-0000-0000-000003230000}"/>
    <cellStyle name="Normal 12 2 6 4" xfId="9782" xr:uid="{00000000-0005-0000-0000-000004230000}"/>
    <cellStyle name="Normal 12 2 6 5" xfId="9783" xr:uid="{00000000-0005-0000-0000-000005230000}"/>
    <cellStyle name="Normal 12 2 6 6" xfId="9784" xr:uid="{00000000-0005-0000-0000-000006230000}"/>
    <cellStyle name="Normal 12 2 7" xfId="9785" xr:uid="{00000000-0005-0000-0000-000007230000}"/>
    <cellStyle name="Normal 12 2 7 2" xfId="9786" xr:uid="{00000000-0005-0000-0000-000008230000}"/>
    <cellStyle name="Normal 12 2 7 2 2" xfId="9787" xr:uid="{00000000-0005-0000-0000-000009230000}"/>
    <cellStyle name="Normal 12 2 7 2 3" xfId="9788" xr:uid="{00000000-0005-0000-0000-00000A230000}"/>
    <cellStyle name="Normal 12 2 7 2 4" xfId="9789" xr:uid="{00000000-0005-0000-0000-00000B230000}"/>
    <cellStyle name="Normal 12 2 7 3" xfId="9790" xr:uid="{00000000-0005-0000-0000-00000C230000}"/>
    <cellStyle name="Normal 12 2 7 3 2" xfId="9791" xr:uid="{00000000-0005-0000-0000-00000D230000}"/>
    <cellStyle name="Normal 12 2 7 3 3" xfId="9792" xr:uid="{00000000-0005-0000-0000-00000E230000}"/>
    <cellStyle name="Normal 12 2 7 3 4" xfId="9793" xr:uid="{00000000-0005-0000-0000-00000F230000}"/>
    <cellStyle name="Normal 12 2 7 4" xfId="9794" xr:uid="{00000000-0005-0000-0000-000010230000}"/>
    <cellStyle name="Normal 12 2 7 5" xfId="9795" xr:uid="{00000000-0005-0000-0000-000011230000}"/>
    <cellStyle name="Normal 12 2 7 6" xfId="9796" xr:uid="{00000000-0005-0000-0000-000012230000}"/>
    <cellStyle name="Normal 12 2 8" xfId="9797" xr:uid="{00000000-0005-0000-0000-000013230000}"/>
    <cellStyle name="Normal 12 2 8 2" xfId="9798" xr:uid="{00000000-0005-0000-0000-000014230000}"/>
    <cellStyle name="Normal 12 2 8 2 2" xfId="9799" xr:uid="{00000000-0005-0000-0000-000015230000}"/>
    <cellStyle name="Normal 12 2 8 2 3" xfId="9800" xr:uid="{00000000-0005-0000-0000-000016230000}"/>
    <cellStyle name="Normal 12 2 8 2 4" xfId="9801" xr:uid="{00000000-0005-0000-0000-000017230000}"/>
    <cellStyle name="Normal 12 2 8 3" xfId="9802" xr:uid="{00000000-0005-0000-0000-000018230000}"/>
    <cellStyle name="Normal 12 2 8 3 2" xfId="9803" xr:uid="{00000000-0005-0000-0000-000019230000}"/>
    <cellStyle name="Normal 12 2 8 3 3" xfId="9804" xr:uid="{00000000-0005-0000-0000-00001A230000}"/>
    <cellStyle name="Normal 12 2 8 3 4" xfId="9805" xr:uid="{00000000-0005-0000-0000-00001B230000}"/>
    <cellStyle name="Normal 12 2 8 4" xfId="9806" xr:uid="{00000000-0005-0000-0000-00001C230000}"/>
    <cellStyle name="Normal 12 2 8 5" xfId="9807" xr:uid="{00000000-0005-0000-0000-00001D230000}"/>
    <cellStyle name="Normal 12 2 8 6" xfId="9808" xr:uid="{00000000-0005-0000-0000-00001E230000}"/>
    <cellStyle name="Normal 12 2 9" xfId="9809" xr:uid="{00000000-0005-0000-0000-00001F230000}"/>
    <cellStyle name="Normal 12 2 9 2" xfId="9810" xr:uid="{00000000-0005-0000-0000-000020230000}"/>
    <cellStyle name="Normal 12 2 9 2 2" xfId="9811" xr:uid="{00000000-0005-0000-0000-000021230000}"/>
    <cellStyle name="Normal 12 2 9 2 3" xfId="9812" xr:uid="{00000000-0005-0000-0000-000022230000}"/>
    <cellStyle name="Normal 12 2 9 2 4" xfId="9813" xr:uid="{00000000-0005-0000-0000-000023230000}"/>
    <cellStyle name="Normal 12 2 9 3" xfId="9814" xr:uid="{00000000-0005-0000-0000-000024230000}"/>
    <cellStyle name="Normal 12 2 9 3 2" xfId="9815" xr:uid="{00000000-0005-0000-0000-000025230000}"/>
    <cellStyle name="Normal 12 2 9 3 3" xfId="9816" xr:uid="{00000000-0005-0000-0000-000026230000}"/>
    <cellStyle name="Normal 12 2 9 3 4" xfId="9817" xr:uid="{00000000-0005-0000-0000-000027230000}"/>
    <cellStyle name="Normal 12 2 9 4" xfId="9818" xr:uid="{00000000-0005-0000-0000-000028230000}"/>
    <cellStyle name="Normal 12 2 9 5" xfId="9819" xr:uid="{00000000-0005-0000-0000-000029230000}"/>
    <cellStyle name="Normal 12 2 9 6" xfId="9820" xr:uid="{00000000-0005-0000-0000-00002A230000}"/>
    <cellStyle name="Normal 12 20" xfId="9821" xr:uid="{00000000-0005-0000-0000-00002B230000}"/>
    <cellStyle name="Normal 12 20 2" xfId="9822" xr:uid="{00000000-0005-0000-0000-00002C230000}"/>
    <cellStyle name="Normal 12 20 3" xfId="9823" xr:uid="{00000000-0005-0000-0000-00002D230000}"/>
    <cellStyle name="Normal 12 20 4" xfId="9824" xr:uid="{00000000-0005-0000-0000-00002E230000}"/>
    <cellStyle name="Normal 12 21" xfId="9825" xr:uid="{00000000-0005-0000-0000-00002F230000}"/>
    <cellStyle name="Normal 12 21 2" xfId="9826" xr:uid="{00000000-0005-0000-0000-000030230000}"/>
    <cellStyle name="Normal 12 21 3" xfId="9827" xr:uid="{00000000-0005-0000-0000-000031230000}"/>
    <cellStyle name="Normal 12 21 4" xfId="9828" xr:uid="{00000000-0005-0000-0000-000032230000}"/>
    <cellStyle name="Normal 12 22" xfId="9829" xr:uid="{00000000-0005-0000-0000-000033230000}"/>
    <cellStyle name="Normal 12 22 2" xfId="9830" xr:uid="{00000000-0005-0000-0000-000034230000}"/>
    <cellStyle name="Normal 12 22 3" xfId="9831" xr:uid="{00000000-0005-0000-0000-000035230000}"/>
    <cellStyle name="Normal 12 22 4" xfId="9832" xr:uid="{00000000-0005-0000-0000-000036230000}"/>
    <cellStyle name="Normal 12 23" xfId="9833" xr:uid="{00000000-0005-0000-0000-000037230000}"/>
    <cellStyle name="Normal 12 24" xfId="9834" xr:uid="{00000000-0005-0000-0000-000038230000}"/>
    <cellStyle name="Normal 12 25" xfId="9835" xr:uid="{00000000-0005-0000-0000-000039230000}"/>
    <cellStyle name="Normal 12 26" xfId="9836" xr:uid="{00000000-0005-0000-0000-00003A230000}"/>
    <cellStyle name="Normal 12 27" xfId="9837" xr:uid="{00000000-0005-0000-0000-00003B230000}"/>
    <cellStyle name="Normal 12 28" xfId="9838" xr:uid="{00000000-0005-0000-0000-00003C230000}"/>
    <cellStyle name="Normal 12 29" xfId="9839" xr:uid="{00000000-0005-0000-0000-00003D230000}"/>
    <cellStyle name="Normal 12 3" xfId="9840" xr:uid="{00000000-0005-0000-0000-00003E230000}"/>
    <cellStyle name="Normal 12 3 10" xfId="9841" xr:uid="{00000000-0005-0000-0000-00003F230000}"/>
    <cellStyle name="Normal 12 3 10 2" xfId="9842" xr:uid="{00000000-0005-0000-0000-000040230000}"/>
    <cellStyle name="Normal 12 3 10 2 2" xfId="9843" xr:uid="{00000000-0005-0000-0000-000041230000}"/>
    <cellStyle name="Normal 12 3 10 2 3" xfId="9844" xr:uid="{00000000-0005-0000-0000-000042230000}"/>
    <cellStyle name="Normal 12 3 10 2 4" xfId="9845" xr:uid="{00000000-0005-0000-0000-000043230000}"/>
    <cellStyle name="Normal 12 3 10 3" xfId="9846" xr:uid="{00000000-0005-0000-0000-000044230000}"/>
    <cellStyle name="Normal 12 3 10 3 2" xfId="9847" xr:uid="{00000000-0005-0000-0000-000045230000}"/>
    <cellStyle name="Normal 12 3 10 3 3" xfId="9848" xr:uid="{00000000-0005-0000-0000-000046230000}"/>
    <cellStyle name="Normal 12 3 10 3 4" xfId="9849" xr:uid="{00000000-0005-0000-0000-000047230000}"/>
    <cellStyle name="Normal 12 3 10 4" xfId="9850" xr:uid="{00000000-0005-0000-0000-000048230000}"/>
    <cellStyle name="Normal 12 3 10 5" xfId="9851" xr:uid="{00000000-0005-0000-0000-000049230000}"/>
    <cellStyle name="Normal 12 3 10 6" xfId="9852" xr:uid="{00000000-0005-0000-0000-00004A230000}"/>
    <cellStyle name="Normal 12 3 11" xfId="9853" xr:uid="{00000000-0005-0000-0000-00004B230000}"/>
    <cellStyle name="Normal 12 3 11 2" xfId="9854" xr:uid="{00000000-0005-0000-0000-00004C230000}"/>
    <cellStyle name="Normal 12 3 11 2 2" xfId="9855" xr:uid="{00000000-0005-0000-0000-00004D230000}"/>
    <cellStyle name="Normal 12 3 11 2 3" xfId="9856" xr:uid="{00000000-0005-0000-0000-00004E230000}"/>
    <cellStyle name="Normal 12 3 11 2 4" xfId="9857" xr:uid="{00000000-0005-0000-0000-00004F230000}"/>
    <cellStyle name="Normal 12 3 11 3" xfId="9858" xr:uid="{00000000-0005-0000-0000-000050230000}"/>
    <cellStyle name="Normal 12 3 11 3 2" xfId="9859" xr:uid="{00000000-0005-0000-0000-000051230000}"/>
    <cellStyle name="Normal 12 3 11 3 3" xfId="9860" xr:uid="{00000000-0005-0000-0000-000052230000}"/>
    <cellStyle name="Normal 12 3 11 3 4" xfId="9861" xr:uid="{00000000-0005-0000-0000-000053230000}"/>
    <cellStyle name="Normal 12 3 11 4" xfId="9862" xr:uid="{00000000-0005-0000-0000-000054230000}"/>
    <cellStyle name="Normal 12 3 11 5" xfId="9863" xr:uid="{00000000-0005-0000-0000-000055230000}"/>
    <cellStyle name="Normal 12 3 11 6" xfId="9864" xr:uid="{00000000-0005-0000-0000-000056230000}"/>
    <cellStyle name="Normal 12 3 12" xfId="9865" xr:uid="{00000000-0005-0000-0000-000057230000}"/>
    <cellStyle name="Normal 12 3 12 2" xfId="9866" xr:uid="{00000000-0005-0000-0000-000058230000}"/>
    <cellStyle name="Normal 12 3 12 2 2" xfId="9867" xr:uid="{00000000-0005-0000-0000-000059230000}"/>
    <cellStyle name="Normal 12 3 12 2 3" xfId="9868" xr:uid="{00000000-0005-0000-0000-00005A230000}"/>
    <cellStyle name="Normal 12 3 12 2 4" xfId="9869" xr:uid="{00000000-0005-0000-0000-00005B230000}"/>
    <cellStyle name="Normal 12 3 12 3" xfId="9870" xr:uid="{00000000-0005-0000-0000-00005C230000}"/>
    <cellStyle name="Normal 12 3 12 3 2" xfId="9871" xr:uid="{00000000-0005-0000-0000-00005D230000}"/>
    <cellStyle name="Normal 12 3 12 3 3" xfId="9872" xr:uid="{00000000-0005-0000-0000-00005E230000}"/>
    <cellStyle name="Normal 12 3 12 3 4" xfId="9873" xr:uid="{00000000-0005-0000-0000-00005F230000}"/>
    <cellStyle name="Normal 12 3 12 4" xfId="9874" xr:uid="{00000000-0005-0000-0000-000060230000}"/>
    <cellStyle name="Normal 12 3 12 5" xfId="9875" xr:uid="{00000000-0005-0000-0000-000061230000}"/>
    <cellStyle name="Normal 12 3 12 6" xfId="9876" xr:uid="{00000000-0005-0000-0000-000062230000}"/>
    <cellStyle name="Normal 12 3 13" xfId="9877" xr:uid="{00000000-0005-0000-0000-000063230000}"/>
    <cellStyle name="Normal 12 3 13 2" xfId="9878" xr:uid="{00000000-0005-0000-0000-000064230000}"/>
    <cellStyle name="Normal 12 3 13 2 2" xfId="9879" xr:uid="{00000000-0005-0000-0000-000065230000}"/>
    <cellStyle name="Normal 12 3 13 2 3" xfId="9880" xr:uid="{00000000-0005-0000-0000-000066230000}"/>
    <cellStyle name="Normal 12 3 13 2 4" xfId="9881" xr:uid="{00000000-0005-0000-0000-000067230000}"/>
    <cellStyle name="Normal 12 3 13 3" xfId="9882" xr:uid="{00000000-0005-0000-0000-000068230000}"/>
    <cellStyle name="Normal 12 3 13 3 2" xfId="9883" xr:uid="{00000000-0005-0000-0000-000069230000}"/>
    <cellStyle name="Normal 12 3 13 3 3" xfId="9884" xr:uid="{00000000-0005-0000-0000-00006A230000}"/>
    <cellStyle name="Normal 12 3 13 3 4" xfId="9885" xr:uid="{00000000-0005-0000-0000-00006B230000}"/>
    <cellStyle name="Normal 12 3 13 4" xfId="9886" xr:uid="{00000000-0005-0000-0000-00006C230000}"/>
    <cellStyle name="Normal 12 3 13 5" xfId="9887" xr:uid="{00000000-0005-0000-0000-00006D230000}"/>
    <cellStyle name="Normal 12 3 13 6" xfId="9888" xr:uid="{00000000-0005-0000-0000-00006E230000}"/>
    <cellStyle name="Normal 12 3 14" xfId="9889" xr:uid="{00000000-0005-0000-0000-00006F230000}"/>
    <cellStyle name="Normal 12 3 14 2" xfId="9890" xr:uid="{00000000-0005-0000-0000-000070230000}"/>
    <cellStyle name="Normal 12 3 14 2 2" xfId="9891" xr:uid="{00000000-0005-0000-0000-000071230000}"/>
    <cellStyle name="Normal 12 3 14 2 3" xfId="9892" xr:uid="{00000000-0005-0000-0000-000072230000}"/>
    <cellStyle name="Normal 12 3 14 2 4" xfId="9893" xr:uid="{00000000-0005-0000-0000-000073230000}"/>
    <cellStyle name="Normal 12 3 14 3" xfId="9894" xr:uid="{00000000-0005-0000-0000-000074230000}"/>
    <cellStyle name="Normal 12 3 14 3 2" xfId="9895" xr:uid="{00000000-0005-0000-0000-000075230000}"/>
    <cellStyle name="Normal 12 3 14 3 3" xfId="9896" xr:uid="{00000000-0005-0000-0000-000076230000}"/>
    <cellStyle name="Normal 12 3 14 3 4" xfId="9897" xr:uid="{00000000-0005-0000-0000-000077230000}"/>
    <cellStyle name="Normal 12 3 14 4" xfId="9898" xr:uid="{00000000-0005-0000-0000-000078230000}"/>
    <cellStyle name="Normal 12 3 14 5" xfId="9899" xr:uid="{00000000-0005-0000-0000-000079230000}"/>
    <cellStyle name="Normal 12 3 14 6" xfId="9900" xr:uid="{00000000-0005-0000-0000-00007A230000}"/>
    <cellStyle name="Normal 12 3 15" xfId="9901" xr:uid="{00000000-0005-0000-0000-00007B230000}"/>
    <cellStyle name="Normal 12 3 15 2" xfId="9902" xr:uid="{00000000-0005-0000-0000-00007C230000}"/>
    <cellStyle name="Normal 12 3 15 2 2" xfId="9903" xr:uid="{00000000-0005-0000-0000-00007D230000}"/>
    <cellStyle name="Normal 12 3 15 2 3" xfId="9904" xr:uid="{00000000-0005-0000-0000-00007E230000}"/>
    <cellStyle name="Normal 12 3 15 2 4" xfId="9905" xr:uid="{00000000-0005-0000-0000-00007F230000}"/>
    <cellStyle name="Normal 12 3 15 3" xfId="9906" xr:uid="{00000000-0005-0000-0000-000080230000}"/>
    <cellStyle name="Normal 12 3 15 3 2" xfId="9907" xr:uid="{00000000-0005-0000-0000-000081230000}"/>
    <cellStyle name="Normal 12 3 15 3 3" xfId="9908" xr:uid="{00000000-0005-0000-0000-000082230000}"/>
    <cellStyle name="Normal 12 3 15 3 4" xfId="9909" xr:uid="{00000000-0005-0000-0000-000083230000}"/>
    <cellStyle name="Normal 12 3 15 4" xfId="9910" xr:uid="{00000000-0005-0000-0000-000084230000}"/>
    <cellStyle name="Normal 12 3 15 5" xfId="9911" xr:uid="{00000000-0005-0000-0000-000085230000}"/>
    <cellStyle name="Normal 12 3 15 6" xfId="9912" xr:uid="{00000000-0005-0000-0000-000086230000}"/>
    <cellStyle name="Normal 12 3 16" xfId="9913" xr:uid="{00000000-0005-0000-0000-000087230000}"/>
    <cellStyle name="Normal 12 3 16 2" xfId="9914" xr:uid="{00000000-0005-0000-0000-000088230000}"/>
    <cellStyle name="Normal 12 3 16 2 2" xfId="9915" xr:uid="{00000000-0005-0000-0000-000089230000}"/>
    <cellStyle name="Normal 12 3 16 2 3" xfId="9916" xr:uid="{00000000-0005-0000-0000-00008A230000}"/>
    <cellStyle name="Normal 12 3 16 2 4" xfId="9917" xr:uid="{00000000-0005-0000-0000-00008B230000}"/>
    <cellStyle name="Normal 12 3 16 3" xfId="9918" xr:uid="{00000000-0005-0000-0000-00008C230000}"/>
    <cellStyle name="Normal 12 3 16 3 2" xfId="9919" xr:uid="{00000000-0005-0000-0000-00008D230000}"/>
    <cellStyle name="Normal 12 3 16 3 3" xfId="9920" xr:uid="{00000000-0005-0000-0000-00008E230000}"/>
    <cellStyle name="Normal 12 3 16 3 4" xfId="9921" xr:uid="{00000000-0005-0000-0000-00008F230000}"/>
    <cellStyle name="Normal 12 3 16 4" xfId="9922" xr:uid="{00000000-0005-0000-0000-000090230000}"/>
    <cellStyle name="Normal 12 3 16 5" xfId="9923" xr:uid="{00000000-0005-0000-0000-000091230000}"/>
    <cellStyle name="Normal 12 3 16 6" xfId="9924" xr:uid="{00000000-0005-0000-0000-000092230000}"/>
    <cellStyle name="Normal 12 3 17" xfId="9925" xr:uid="{00000000-0005-0000-0000-000093230000}"/>
    <cellStyle name="Normal 12 3 17 2" xfId="9926" xr:uid="{00000000-0005-0000-0000-000094230000}"/>
    <cellStyle name="Normal 12 3 17 2 2" xfId="9927" xr:uid="{00000000-0005-0000-0000-000095230000}"/>
    <cellStyle name="Normal 12 3 17 2 3" xfId="9928" xr:uid="{00000000-0005-0000-0000-000096230000}"/>
    <cellStyle name="Normal 12 3 17 2 4" xfId="9929" xr:uid="{00000000-0005-0000-0000-000097230000}"/>
    <cellStyle name="Normal 12 3 17 3" xfId="9930" xr:uid="{00000000-0005-0000-0000-000098230000}"/>
    <cellStyle name="Normal 12 3 17 3 2" xfId="9931" xr:uid="{00000000-0005-0000-0000-000099230000}"/>
    <cellStyle name="Normal 12 3 17 3 3" xfId="9932" xr:uid="{00000000-0005-0000-0000-00009A230000}"/>
    <cellStyle name="Normal 12 3 17 3 4" xfId="9933" xr:uid="{00000000-0005-0000-0000-00009B230000}"/>
    <cellStyle name="Normal 12 3 17 4" xfId="9934" xr:uid="{00000000-0005-0000-0000-00009C230000}"/>
    <cellStyle name="Normal 12 3 17 5" xfId="9935" xr:uid="{00000000-0005-0000-0000-00009D230000}"/>
    <cellStyle name="Normal 12 3 17 6" xfId="9936" xr:uid="{00000000-0005-0000-0000-00009E230000}"/>
    <cellStyle name="Normal 12 3 18" xfId="9937" xr:uid="{00000000-0005-0000-0000-00009F230000}"/>
    <cellStyle name="Normal 12 3 18 2" xfId="9938" xr:uid="{00000000-0005-0000-0000-0000A0230000}"/>
    <cellStyle name="Normal 12 3 18 3" xfId="9939" xr:uid="{00000000-0005-0000-0000-0000A1230000}"/>
    <cellStyle name="Normal 12 3 18 4" xfId="9940" xr:uid="{00000000-0005-0000-0000-0000A2230000}"/>
    <cellStyle name="Normal 12 3 19" xfId="9941" xr:uid="{00000000-0005-0000-0000-0000A3230000}"/>
    <cellStyle name="Normal 12 3 19 2" xfId="9942" xr:uid="{00000000-0005-0000-0000-0000A4230000}"/>
    <cellStyle name="Normal 12 3 19 3" xfId="9943" xr:uid="{00000000-0005-0000-0000-0000A5230000}"/>
    <cellStyle name="Normal 12 3 19 4" xfId="9944" xr:uid="{00000000-0005-0000-0000-0000A6230000}"/>
    <cellStyle name="Normal 12 3 2" xfId="9945" xr:uid="{00000000-0005-0000-0000-0000A7230000}"/>
    <cellStyle name="Normal 12 3 2 2" xfId="9946" xr:uid="{00000000-0005-0000-0000-0000A8230000}"/>
    <cellStyle name="Normal 12 3 2 2 2" xfId="9947" xr:uid="{00000000-0005-0000-0000-0000A9230000}"/>
    <cellStyle name="Normal 12 3 2 2 3" xfId="9948" xr:uid="{00000000-0005-0000-0000-0000AA230000}"/>
    <cellStyle name="Normal 12 3 2 2 4" xfId="9949" xr:uid="{00000000-0005-0000-0000-0000AB230000}"/>
    <cellStyle name="Normal 12 3 2 3" xfId="9950" xr:uid="{00000000-0005-0000-0000-0000AC230000}"/>
    <cellStyle name="Normal 12 3 2 3 2" xfId="9951" xr:uid="{00000000-0005-0000-0000-0000AD230000}"/>
    <cellStyle name="Normal 12 3 2 3 3" xfId="9952" xr:uid="{00000000-0005-0000-0000-0000AE230000}"/>
    <cellStyle name="Normal 12 3 2 3 4" xfId="9953" xr:uid="{00000000-0005-0000-0000-0000AF230000}"/>
    <cellStyle name="Normal 12 3 2 4" xfId="9954" xr:uid="{00000000-0005-0000-0000-0000B0230000}"/>
    <cellStyle name="Normal 12 3 2 5" xfId="9955" xr:uid="{00000000-0005-0000-0000-0000B1230000}"/>
    <cellStyle name="Normal 12 3 2 6" xfId="9956" xr:uid="{00000000-0005-0000-0000-0000B2230000}"/>
    <cellStyle name="Normal 12 3 20" xfId="9957" xr:uid="{00000000-0005-0000-0000-0000B3230000}"/>
    <cellStyle name="Normal 12 3 20 2" xfId="9958" xr:uid="{00000000-0005-0000-0000-0000B4230000}"/>
    <cellStyle name="Normal 12 3 20 3" xfId="9959" xr:uid="{00000000-0005-0000-0000-0000B5230000}"/>
    <cellStyle name="Normal 12 3 20 4" xfId="9960" xr:uid="{00000000-0005-0000-0000-0000B6230000}"/>
    <cellStyle name="Normal 12 3 21" xfId="9961" xr:uid="{00000000-0005-0000-0000-0000B7230000}"/>
    <cellStyle name="Normal 12 3 22" xfId="9962" xr:uid="{00000000-0005-0000-0000-0000B8230000}"/>
    <cellStyle name="Normal 12 3 23" xfId="9963" xr:uid="{00000000-0005-0000-0000-0000B9230000}"/>
    <cellStyle name="Normal 12 3 3" xfId="9964" xr:uid="{00000000-0005-0000-0000-0000BA230000}"/>
    <cellStyle name="Normal 12 3 3 2" xfId="9965" xr:uid="{00000000-0005-0000-0000-0000BB230000}"/>
    <cellStyle name="Normal 12 3 3 2 2" xfId="9966" xr:uid="{00000000-0005-0000-0000-0000BC230000}"/>
    <cellStyle name="Normal 12 3 3 2 3" xfId="9967" xr:uid="{00000000-0005-0000-0000-0000BD230000}"/>
    <cellStyle name="Normal 12 3 3 2 4" xfId="9968" xr:uid="{00000000-0005-0000-0000-0000BE230000}"/>
    <cellStyle name="Normal 12 3 3 3" xfId="9969" xr:uid="{00000000-0005-0000-0000-0000BF230000}"/>
    <cellStyle name="Normal 12 3 3 3 2" xfId="9970" xr:uid="{00000000-0005-0000-0000-0000C0230000}"/>
    <cellStyle name="Normal 12 3 3 3 3" xfId="9971" xr:uid="{00000000-0005-0000-0000-0000C1230000}"/>
    <cellStyle name="Normal 12 3 3 3 4" xfId="9972" xr:uid="{00000000-0005-0000-0000-0000C2230000}"/>
    <cellStyle name="Normal 12 3 3 4" xfId="9973" xr:uid="{00000000-0005-0000-0000-0000C3230000}"/>
    <cellStyle name="Normal 12 3 3 5" xfId="9974" xr:uid="{00000000-0005-0000-0000-0000C4230000}"/>
    <cellStyle name="Normal 12 3 3 6" xfId="9975" xr:uid="{00000000-0005-0000-0000-0000C5230000}"/>
    <cellStyle name="Normal 12 3 4" xfId="9976" xr:uid="{00000000-0005-0000-0000-0000C6230000}"/>
    <cellStyle name="Normal 12 3 4 2" xfId="9977" xr:uid="{00000000-0005-0000-0000-0000C7230000}"/>
    <cellStyle name="Normal 12 3 4 2 2" xfId="9978" xr:uid="{00000000-0005-0000-0000-0000C8230000}"/>
    <cellStyle name="Normal 12 3 4 2 3" xfId="9979" xr:uid="{00000000-0005-0000-0000-0000C9230000}"/>
    <cellStyle name="Normal 12 3 4 2 4" xfId="9980" xr:uid="{00000000-0005-0000-0000-0000CA230000}"/>
    <cellStyle name="Normal 12 3 4 3" xfId="9981" xr:uid="{00000000-0005-0000-0000-0000CB230000}"/>
    <cellStyle name="Normal 12 3 4 3 2" xfId="9982" xr:uid="{00000000-0005-0000-0000-0000CC230000}"/>
    <cellStyle name="Normal 12 3 4 3 3" xfId="9983" xr:uid="{00000000-0005-0000-0000-0000CD230000}"/>
    <cellStyle name="Normal 12 3 4 3 4" xfId="9984" xr:uid="{00000000-0005-0000-0000-0000CE230000}"/>
    <cellStyle name="Normal 12 3 4 4" xfId="9985" xr:uid="{00000000-0005-0000-0000-0000CF230000}"/>
    <cellStyle name="Normal 12 3 4 5" xfId="9986" xr:uid="{00000000-0005-0000-0000-0000D0230000}"/>
    <cellStyle name="Normal 12 3 4 6" xfId="9987" xr:uid="{00000000-0005-0000-0000-0000D1230000}"/>
    <cellStyle name="Normal 12 3 5" xfId="9988" xr:uid="{00000000-0005-0000-0000-0000D2230000}"/>
    <cellStyle name="Normal 12 3 5 2" xfId="9989" xr:uid="{00000000-0005-0000-0000-0000D3230000}"/>
    <cellStyle name="Normal 12 3 5 2 2" xfId="9990" xr:uid="{00000000-0005-0000-0000-0000D4230000}"/>
    <cellStyle name="Normal 12 3 5 2 3" xfId="9991" xr:uid="{00000000-0005-0000-0000-0000D5230000}"/>
    <cellStyle name="Normal 12 3 5 2 4" xfId="9992" xr:uid="{00000000-0005-0000-0000-0000D6230000}"/>
    <cellStyle name="Normal 12 3 5 3" xfId="9993" xr:uid="{00000000-0005-0000-0000-0000D7230000}"/>
    <cellStyle name="Normal 12 3 5 3 2" xfId="9994" xr:uid="{00000000-0005-0000-0000-0000D8230000}"/>
    <cellStyle name="Normal 12 3 5 3 3" xfId="9995" xr:uid="{00000000-0005-0000-0000-0000D9230000}"/>
    <cellStyle name="Normal 12 3 5 3 4" xfId="9996" xr:uid="{00000000-0005-0000-0000-0000DA230000}"/>
    <cellStyle name="Normal 12 3 5 4" xfId="9997" xr:uid="{00000000-0005-0000-0000-0000DB230000}"/>
    <cellStyle name="Normal 12 3 5 5" xfId="9998" xr:uid="{00000000-0005-0000-0000-0000DC230000}"/>
    <cellStyle name="Normal 12 3 5 6" xfId="9999" xr:uid="{00000000-0005-0000-0000-0000DD230000}"/>
    <cellStyle name="Normal 12 3 6" xfId="10000" xr:uid="{00000000-0005-0000-0000-0000DE230000}"/>
    <cellStyle name="Normal 12 3 6 2" xfId="10001" xr:uid="{00000000-0005-0000-0000-0000DF230000}"/>
    <cellStyle name="Normal 12 3 6 2 2" xfId="10002" xr:uid="{00000000-0005-0000-0000-0000E0230000}"/>
    <cellStyle name="Normal 12 3 6 2 3" xfId="10003" xr:uid="{00000000-0005-0000-0000-0000E1230000}"/>
    <cellStyle name="Normal 12 3 6 2 4" xfId="10004" xr:uid="{00000000-0005-0000-0000-0000E2230000}"/>
    <cellStyle name="Normal 12 3 6 3" xfId="10005" xr:uid="{00000000-0005-0000-0000-0000E3230000}"/>
    <cellStyle name="Normal 12 3 6 3 2" xfId="10006" xr:uid="{00000000-0005-0000-0000-0000E4230000}"/>
    <cellStyle name="Normal 12 3 6 3 3" xfId="10007" xr:uid="{00000000-0005-0000-0000-0000E5230000}"/>
    <cellStyle name="Normal 12 3 6 3 4" xfId="10008" xr:uid="{00000000-0005-0000-0000-0000E6230000}"/>
    <cellStyle name="Normal 12 3 6 4" xfId="10009" xr:uid="{00000000-0005-0000-0000-0000E7230000}"/>
    <cellStyle name="Normal 12 3 6 5" xfId="10010" xr:uid="{00000000-0005-0000-0000-0000E8230000}"/>
    <cellStyle name="Normal 12 3 6 6" xfId="10011" xr:uid="{00000000-0005-0000-0000-0000E9230000}"/>
    <cellStyle name="Normal 12 3 7" xfId="10012" xr:uid="{00000000-0005-0000-0000-0000EA230000}"/>
    <cellStyle name="Normal 12 3 7 2" xfId="10013" xr:uid="{00000000-0005-0000-0000-0000EB230000}"/>
    <cellStyle name="Normal 12 3 7 2 2" xfId="10014" xr:uid="{00000000-0005-0000-0000-0000EC230000}"/>
    <cellStyle name="Normal 12 3 7 2 3" xfId="10015" xr:uid="{00000000-0005-0000-0000-0000ED230000}"/>
    <cellStyle name="Normal 12 3 7 2 4" xfId="10016" xr:uid="{00000000-0005-0000-0000-0000EE230000}"/>
    <cellStyle name="Normal 12 3 7 3" xfId="10017" xr:uid="{00000000-0005-0000-0000-0000EF230000}"/>
    <cellStyle name="Normal 12 3 7 3 2" xfId="10018" xr:uid="{00000000-0005-0000-0000-0000F0230000}"/>
    <cellStyle name="Normal 12 3 7 3 3" xfId="10019" xr:uid="{00000000-0005-0000-0000-0000F1230000}"/>
    <cellStyle name="Normal 12 3 7 3 4" xfId="10020" xr:uid="{00000000-0005-0000-0000-0000F2230000}"/>
    <cellStyle name="Normal 12 3 7 4" xfId="10021" xr:uid="{00000000-0005-0000-0000-0000F3230000}"/>
    <cellStyle name="Normal 12 3 7 5" xfId="10022" xr:uid="{00000000-0005-0000-0000-0000F4230000}"/>
    <cellStyle name="Normal 12 3 7 6" xfId="10023" xr:uid="{00000000-0005-0000-0000-0000F5230000}"/>
    <cellStyle name="Normal 12 3 8" xfId="10024" xr:uid="{00000000-0005-0000-0000-0000F6230000}"/>
    <cellStyle name="Normal 12 3 8 2" xfId="10025" xr:uid="{00000000-0005-0000-0000-0000F7230000}"/>
    <cellStyle name="Normal 12 3 8 2 2" xfId="10026" xr:uid="{00000000-0005-0000-0000-0000F8230000}"/>
    <cellStyle name="Normal 12 3 8 2 3" xfId="10027" xr:uid="{00000000-0005-0000-0000-0000F9230000}"/>
    <cellStyle name="Normal 12 3 8 2 4" xfId="10028" xr:uid="{00000000-0005-0000-0000-0000FA230000}"/>
    <cellStyle name="Normal 12 3 8 3" xfId="10029" xr:uid="{00000000-0005-0000-0000-0000FB230000}"/>
    <cellStyle name="Normal 12 3 8 3 2" xfId="10030" xr:uid="{00000000-0005-0000-0000-0000FC230000}"/>
    <cellStyle name="Normal 12 3 8 3 3" xfId="10031" xr:uid="{00000000-0005-0000-0000-0000FD230000}"/>
    <cellStyle name="Normal 12 3 8 3 4" xfId="10032" xr:uid="{00000000-0005-0000-0000-0000FE230000}"/>
    <cellStyle name="Normal 12 3 8 4" xfId="10033" xr:uid="{00000000-0005-0000-0000-0000FF230000}"/>
    <cellStyle name="Normal 12 3 8 5" xfId="10034" xr:uid="{00000000-0005-0000-0000-000000240000}"/>
    <cellStyle name="Normal 12 3 8 6" xfId="10035" xr:uid="{00000000-0005-0000-0000-000001240000}"/>
    <cellStyle name="Normal 12 3 9" xfId="10036" xr:uid="{00000000-0005-0000-0000-000002240000}"/>
    <cellStyle name="Normal 12 3 9 2" xfId="10037" xr:uid="{00000000-0005-0000-0000-000003240000}"/>
    <cellStyle name="Normal 12 3 9 2 2" xfId="10038" xr:uid="{00000000-0005-0000-0000-000004240000}"/>
    <cellStyle name="Normal 12 3 9 2 3" xfId="10039" xr:uid="{00000000-0005-0000-0000-000005240000}"/>
    <cellStyle name="Normal 12 3 9 2 4" xfId="10040" xr:uid="{00000000-0005-0000-0000-000006240000}"/>
    <cellStyle name="Normal 12 3 9 3" xfId="10041" xr:uid="{00000000-0005-0000-0000-000007240000}"/>
    <cellStyle name="Normal 12 3 9 3 2" xfId="10042" xr:uid="{00000000-0005-0000-0000-000008240000}"/>
    <cellStyle name="Normal 12 3 9 3 3" xfId="10043" xr:uid="{00000000-0005-0000-0000-000009240000}"/>
    <cellStyle name="Normal 12 3 9 3 4" xfId="10044" xr:uid="{00000000-0005-0000-0000-00000A240000}"/>
    <cellStyle name="Normal 12 3 9 4" xfId="10045" xr:uid="{00000000-0005-0000-0000-00000B240000}"/>
    <cellStyle name="Normal 12 3 9 5" xfId="10046" xr:uid="{00000000-0005-0000-0000-00000C240000}"/>
    <cellStyle name="Normal 12 3 9 6" xfId="10047" xr:uid="{00000000-0005-0000-0000-00000D240000}"/>
    <cellStyle name="Normal 12 30" xfId="10048" xr:uid="{00000000-0005-0000-0000-00000E240000}"/>
    <cellStyle name="Normal 12 31" xfId="10049" xr:uid="{00000000-0005-0000-0000-00000F240000}"/>
    <cellStyle name="Normal 12 32" xfId="10050" xr:uid="{00000000-0005-0000-0000-000010240000}"/>
    <cellStyle name="Normal 12 33" xfId="10051" xr:uid="{00000000-0005-0000-0000-000011240000}"/>
    <cellStyle name="Normal 12 34" xfId="10052" xr:uid="{00000000-0005-0000-0000-000012240000}"/>
    <cellStyle name="Normal 12 35" xfId="10053" xr:uid="{00000000-0005-0000-0000-000013240000}"/>
    <cellStyle name="Normal 12 36" xfId="10054" xr:uid="{00000000-0005-0000-0000-000014240000}"/>
    <cellStyle name="Normal 12 37" xfId="10055" xr:uid="{00000000-0005-0000-0000-000015240000}"/>
    <cellStyle name="Normal 12 38" xfId="10056" xr:uid="{00000000-0005-0000-0000-000016240000}"/>
    <cellStyle name="Normal 12 39" xfId="10057" xr:uid="{00000000-0005-0000-0000-000017240000}"/>
    <cellStyle name="Normal 12 4" xfId="10058" xr:uid="{00000000-0005-0000-0000-000018240000}"/>
    <cellStyle name="Normal 12 4 2" xfId="10059" xr:uid="{00000000-0005-0000-0000-000019240000}"/>
    <cellStyle name="Normal 12 4 2 2" xfId="10060" xr:uid="{00000000-0005-0000-0000-00001A240000}"/>
    <cellStyle name="Normal 12 4 2 3" xfId="10061" xr:uid="{00000000-0005-0000-0000-00001B240000}"/>
    <cellStyle name="Normal 12 4 2 4" xfId="10062" xr:uid="{00000000-0005-0000-0000-00001C240000}"/>
    <cellStyle name="Normal 12 4 3" xfId="10063" xr:uid="{00000000-0005-0000-0000-00001D240000}"/>
    <cellStyle name="Normal 12 4 3 2" xfId="10064" xr:uid="{00000000-0005-0000-0000-00001E240000}"/>
    <cellStyle name="Normal 12 4 3 3" xfId="10065" xr:uid="{00000000-0005-0000-0000-00001F240000}"/>
    <cellStyle name="Normal 12 4 3 4" xfId="10066" xr:uid="{00000000-0005-0000-0000-000020240000}"/>
    <cellStyle name="Normal 12 4 4" xfId="10067" xr:uid="{00000000-0005-0000-0000-000021240000}"/>
    <cellStyle name="Normal 12 4 5" xfId="10068" xr:uid="{00000000-0005-0000-0000-000022240000}"/>
    <cellStyle name="Normal 12 4 6" xfId="10069" xr:uid="{00000000-0005-0000-0000-000023240000}"/>
    <cellStyle name="Normal 12 40" xfId="10070" xr:uid="{00000000-0005-0000-0000-000024240000}"/>
    <cellStyle name="Normal 12 41" xfId="10071" xr:uid="{00000000-0005-0000-0000-000025240000}"/>
    <cellStyle name="Normal 12 42" xfId="10072" xr:uid="{00000000-0005-0000-0000-000026240000}"/>
    <cellStyle name="Normal 12 43" xfId="10073" xr:uid="{00000000-0005-0000-0000-000027240000}"/>
    <cellStyle name="Normal 12 44" xfId="10074" xr:uid="{00000000-0005-0000-0000-000028240000}"/>
    <cellStyle name="Normal 12 45" xfId="10075" xr:uid="{00000000-0005-0000-0000-000029240000}"/>
    <cellStyle name="Normal 12 46" xfId="10076" xr:uid="{00000000-0005-0000-0000-00002A240000}"/>
    <cellStyle name="Normal 12 47" xfId="10077" xr:uid="{00000000-0005-0000-0000-00002B240000}"/>
    <cellStyle name="Normal 12 5" xfId="10078" xr:uid="{00000000-0005-0000-0000-00002C240000}"/>
    <cellStyle name="Normal 12 5 2" xfId="10079" xr:uid="{00000000-0005-0000-0000-00002D240000}"/>
    <cellStyle name="Normal 12 5 2 2" xfId="10080" xr:uid="{00000000-0005-0000-0000-00002E240000}"/>
    <cellStyle name="Normal 12 5 2 3" xfId="10081" xr:uid="{00000000-0005-0000-0000-00002F240000}"/>
    <cellStyle name="Normal 12 5 2 4" xfId="10082" xr:uid="{00000000-0005-0000-0000-000030240000}"/>
    <cellStyle name="Normal 12 5 3" xfId="10083" xr:uid="{00000000-0005-0000-0000-000031240000}"/>
    <cellStyle name="Normal 12 5 3 2" xfId="10084" xr:uid="{00000000-0005-0000-0000-000032240000}"/>
    <cellStyle name="Normal 12 5 3 3" xfId="10085" xr:uid="{00000000-0005-0000-0000-000033240000}"/>
    <cellStyle name="Normal 12 5 3 4" xfId="10086" xr:uid="{00000000-0005-0000-0000-000034240000}"/>
    <cellStyle name="Normal 12 5 4" xfId="10087" xr:uid="{00000000-0005-0000-0000-000035240000}"/>
    <cellStyle name="Normal 12 5 5" xfId="10088" xr:uid="{00000000-0005-0000-0000-000036240000}"/>
    <cellStyle name="Normal 12 5 6" xfId="10089" xr:uid="{00000000-0005-0000-0000-000037240000}"/>
    <cellStyle name="Normal 12 6" xfId="10090" xr:uid="{00000000-0005-0000-0000-000038240000}"/>
    <cellStyle name="Normal 12 6 2" xfId="10091" xr:uid="{00000000-0005-0000-0000-000039240000}"/>
    <cellStyle name="Normal 12 6 2 2" xfId="10092" xr:uid="{00000000-0005-0000-0000-00003A240000}"/>
    <cellStyle name="Normal 12 6 2 3" xfId="10093" xr:uid="{00000000-0005-0000-0000-00003B240000}"/>
    <cellStyle name="Normal 12 6 2 4" xfId="10094" xr:uid="{00000000-0005-0000-0000-00003C240000}"/>
    <cellStyle name="Normal 12 6 3" xfId="10095" xr:uid="{00000000-0005-0000-0000-00003D240000}"/>
    <cellStyle name="Normal 12 6 3 2" xfId="10096" xr:uid="{00000000-0005-0000-0000-00003E240000}"/>
    <cellStyle name="Normal 12 6 3 3" xfId="10097" xr:uid="{00000000-0005-0000-0000-00003F240000}"/>
    <cellStyle name="Normal 12 6 3 4" xfId="10098" xr:uid="{00000000-0005-0000-0000-000040240000}"/>
    <cellStyle name="Normal 12 6 4" xfId="10099" xr:uid="{00000000-0005-0000-0000-000041240000}"/>
    <cellStyle name="Normal 12 6 5" xfId="10100" xr:uid="{00000000-0005-0000-0000-000042240000}"/>
    <cellStyle name="Normal 12 6 6" xfId="10101" xr:uid="{00000000-0005-0000-0000-000043240000}"/>
    <cellStyle name="Normal 12 7" xfId="10102" xr:uid="{00000000-0005-0000-0000-000044240000}"/>
    <cellStyle name="Normal 12 7 2" xfId="10103" xr:uid="{00000000-0005-0000-0000-000045240000}"/>
    <cellStyle name="Normal 12 7 2 2" xfId="10104" xr:uid="{00000000-0005-0000-0000-000046240000}"/>
    <cellStyle name="Normal 12 7 2 3" xfId="10105" xr:uid="{00000000-0005-0000-0000-000047240000}"/>
    <cellStyle name="Normal 12 7 2 4" xfId="10106" xr:uid="{00000000-0005-0000-0000-000048240000}"/>
    <cellStyle name="Normal 12 7 3" xfId="10107" xr:uid="{00000000-0005-0000-0000-000049240000}"/>
    <cellStyle name="Normal 12 7 3 2" xfId="10108" xr:uid="{00000000-0005-0000-0000-00004A240000}"/>
    <cellStyle name="Normal 12 7 3 3" xfId="10109" xr:uid="{00000000-0005-0000-0000-00004B240000}"/>
    <cellStyle name="Normal 12 7 3 4" xfId="10110" xr:uid="{00000000-0005-0000-0000-00004C240000}"/>
    <cellStyle name="Normal 12 7 4" xfId="10111" xr:uid="{00000000-0005-0000-0000-00004D240000}"/>
    <cellStyle name="Normal 12 7 5" xfId="10112" xr:uid="{00000000-0005-0000-0000-00004E240000}"/>
    <cellStyle name="Normal 12 7 6" xfId="10113" xr:uid="{00000000-0005-0000-0000-00004F240000}"/>
    <cellStyle name="Normal 12 8" xfId="10114" xr:uid="{00000000-0005-0000-0000-000050240000}"/>
    <cellStyle name="Normal 12 8 2" xfId="10115" xr:uid="{00000000-0005-0000-0000-000051240000}"/>
    <cellStyle name="Normal 12 8 2 2" xfId="10116" xr:uid="{00000000-0005-0000-0000-000052240000}"/>
    <cellStyle name="Normal 12 8 2 3" xfId="10117" xr:uid="{00000000-0005-0000-0000-000053240000}"/>
    <cellStyle name="Normal 12 8 2 4" xfId="10118" xr:uid="{00000000-0005-0000-0000-000054240000}"/>
    <cellStyle name="Normal 12 8 3" xfId="10119" xr:uid="{00000000-0005-0000-0000-000055240000}"/>
    <cellStyle name="Normal 12 8 3 2" xfId="10120" xr:uid="{00000000-0005-0000-0000-000056240000}"/>
    <cellStyle name="Normal 12 8 3 3" xfId="10121" xr:uid="{00000000-0005-0000-0000-000057240000}"/>
    <cellStyle name="Normal 12 8 3 4" xfId="10122" xr:uid="{00000000-0005-0000-0000-000058240000}"/>
    <cellStyle name="Normal 12 8 4" xfId="10123" xr:uid="{00000000-0005-0000-0000-000059240000}"/>
    <cellStyle name="Normal 12 8 5" xfId="10124" xr:uid="{00000000-0005-0000-0000-00005A240000}"/>
    <cellStyle name="Normal 12 8 6" xfId="10125" xr:uid="{00000000-0005-0000-0000-00005B240000}"/>
    <cellStyle name="Normal 12 9" xfId="10126" xr:uid="{00000000-0005-0000-0000-00005C240000}"/>
    <cellStyle name="Normal 12 9 2" xfId="10127" xr:uid="{00000000-0005-0000-0000-00005D240000}"/>
    <cellStyle name="Normal 12 9 2 2" xfId="10128" xr:uid="{00000000-0005-0000-0000-00005E240000}"/>
    <cellStyle name="Normal 12 9 2 3" xfId="10129" xr:uid="{00000000-0005-0000-0000-00005F240000}"/>
    <cellStyle name="Normal 12 9 2 4" xfId="10130" xr:uid="{00000000-0005-0000-0000-000060240000}"/>
    <cellStyle name="Normal 12 9 3" xfId="10131" xr:uid="{00000000-0005-0000-0000-000061240000}"/>
    <cellStyle name="Normal 12 9 3 2" xfId="10132" xr:uid="{00000000-0005-0000-0000-000062240000}"/>
    <cellStyle name="Normal 12 9 3 3" xfId="10133" xr:uid="{00000000-0005-0000-0000-000063240000}"/>
    <cellStyle name="Normal 12 9 3 4" xfId="10134" xr:uid="{00000000-0005-0000-0000-000064240000}"/>
    <cellStyle name="Normal 12 9 4" xfId="10135" xr:uid="{00000000-0005-0000-0000-000065240000}"/>
    <cellStyle name="Normal 12 9 5" xfId="10136" xr:uid="{00000000-0005-0000-0000-000066240000}"/>
    <cellStyle name="Normal 12 9 6" xfId="10137" xr:uid="{00000000-0005-0000-0000-000067240000}"/>
    <cellStyle name="Normal 120" xfId="10138" xr:uid="{00000000-0005-0000-0000-000068240000}"/>
    <cellStyle name="Normal 121" xfId="10139" xr:uid="{00000000-0005-0000-0000-000069240000}"/>
    <cellStyle name="Normal 122" xfId="10140" xr:uid="{00000000-0005-0000-0000-00006A240000}"/>
    <cellStyle name="Normal 123" xfId="10141" xr:uid="{00000000-0005-0000-0000-00006B240000}"/>
    <cellStyle name="Normal 124" xfId="10142" xr:uid="{00000000-0005-0000-0000-00006C240000}"/>
    <cellStyle name="Normal 125" xfId="10143" xr:uid="{00000000-0005-0000-0000-00006D240000}"/>
    <cellStyle name="Normal 126" xfId="10144" xr:uid="{00000000-0005-0000-0000-00006E240000}"/>
    <cellStyle name="Normal 127" xfId="10145" xr:uid="{00000000-0005-0000-0000-00006F240000}"/>
    <cellStyle name="Normal 128" xfId="10146" xr:uid="{00000000-0005-0000-0000-000070240000}"/>
    <cellStyle name="Normal 129" xfId="10147" xr:uid="{00000000-0005-0000-0000-000071240000}"/>
    <cellStyle name="Normal 13" xfId="1045" xr:uid="{00000000-0005-0000-0000-000072240000}"/>
    <cellStyle name="Normal 13 10" xfId="10148" xr:uid="{00000000-0005-0000-0000-000073240000}"/>
    <cellStyle name="Normal 13 11" xfId="10149" xr:uid="{00000000-0005-0000-0000-000074240000}"/>
    <cellStyle name="Normal 13 12" xfId="10150" xr:uid="{00000000-0005-0000-0000-000075240000}"/>
    <cellStyle name="Normal 13 13" xfId="10151" xr:uid="{00000000-0005-0000-0000-000076240000}"/>
    <cellStyle name="Normal 13 14" xfId="10152" xr:uid="{00000000-0005-0000-0000-000077240000}"/>
    <cellStyle name="Normal 13 15" xfId="10153" xr:uid="{00000000-0005-0000-0000-000078240000}"/>
    <cellStyle name="Normal 13 16" xfId="10154" xr:uid="{00000000-0005-0000-0000-000079240000}"/>
    <cellStyle name="Normal 13 17" xfId="10155" xr:uid="{00000000-0005-0000-0000-00007A240000}"/>
    <cellStyle name="Normal 13 18" xfId="10156" xr:uid="{00000000-0005-0000-0000-00007B240000}"/>
    <cellStyle name="Normal 13 19" xfId="10157" xr:uid="{00000000-0005-0000-0000-00007C240000}"/>
    <cellStyle name="Normal 13 2" xfId="2509" xr:uid="{00000000-0005-0000-0000-00007D240000}"/>
    <cellStyle name="Normal 13 2 2" xfId="10158" xr:uid="{00000000-0005-0000-0000-00007E240000}"/>
    <cellStyle name="Normal 13 2 2 2" xfId="43732" xr:uid="{0F3D0049-C4BA-4B7B-A4F6-650171EAC5F7}"/>
    <cellStyle name="Normal 13 2 3" xfId="43915" xr:uid="{F4473932-0324-493F-9103-60C19992E342}"/>
    <cellStyle name="Normal 13 2 4" xfId="43549" xr:uid="{286211EC-DEF1-4ADB-B8B2-786190CD7638}"/>
    <cellStyle name="Normal 13 20" xfId="10159" xr:uid="{00000000-0005-0000-0000-00007F240000}"/>
    <cellStyle name="Normal 13 21" xfId="10160" xr:uid="{00000000-0005-0000-0000-000080240000}"/>
    <cellStyle name="Normal 13 22" xfId="10161" xr:uid="{00000000-0005-0000-0000-000081240000}"/>
    <cellStyle name="Normal 13 23" xfId="10162" xr:uid="{00000000-0005-0000-0000-000082240000}"/>
    <cellStyle name="Normal 13 24" xfId="10163" xr:uid="{00000000-0005-0000-0000-000083240000}"/>
    <cellStyle name="Normal 13 25" xfId="10164" xr:uid="{00000000-0005-0000-0000-000084240000}"/>
    <cellStyle name="Normal 13 26" xfId="10165" xr:uid="{00000000-0005-0000-0000-000085240000}"/>
    <cellStyle name="Normal 13 27" xfId="10166" xr:uid="{00000000-0005-0000-0000-000086240000}"/>
    <cellStyle name="Normal 13 28" xfId="10167" xr:uid="{00000000-0005-0000-0000-000087240000}"/>
    <cellStyle name="Normal 13 29" xfId="10168" xr:uid="{00000000-0005-0000-0000-000088240000}"/>
    <cellStyle name="Normal 13 3" xfId="10169" xr:uid="{00000000-0005-0000-0000-000089240000}"/>
    <cellStyle name="Normal 13 3 2" xfId="10170" xr:uid="{00000000-0005-0000-0000-00008A240000}"/>
    <cellStyle name="Normal 13 3 2 2" xfId="43791" xr:uid="{3C8ABC89-57A9-4788-8346-1AF24A15A12F}"/>
    <cellStyle name="Normal 13 3 3" xfId="44002" xr:uid="{7C00D27B-50AB-49BC-8E17-A2ADC4815222}"/>
    <cellStyle name="Normal 13 3 4" xfId="43610" xr:uid="{9DC6048B-310C-4523-8FF1-C5A47BFF143D}"/>
    <cellStyle name="Normal 13 30" xfId="10171" xr:uid="{00000000-0005-0000-0000-00008B240000}"/>
    <cellStyle name="Normal 13 31" xfId="10172" xr:uid="{00000000-0005-0000-0000-00008C240000}"/>
    <cellStyle name="Normal 13 32" xfId="10173" xr:uid="{00000000-0005-0000-0000-00008D240000}"/>
    <cellStyle name="Normal 13 33" xfId="10174" xr:uid="{00000000-0005-0000-0000-00008E240000}"/>
    <cellStyle name="Normal 13 34" xfId="10175" xr:uid="{00000000-0005-0000-0000-00008F240000}"/>
    <cellStyle name="Normal 13 35" xfId="10176" xr:uid="{00000000-0005-0000-0000-000090240000}"/>
    <cellStyle name="Normal 13 36" xfId="10177" xr:uid="{00000000-0005-0000-0000-000091240000}"/>
    <cellStyle name="Normal 13 37" xfId="10178" xr:uid="{00000000-0005-0000-0000-000092240000}"/>
    <cellStyle name="Normal 13 38" xfId="10179" xr:uid="{00000000-0005-0000-0000-000093240000}"/>
    <cellStyle name="Normal 13 39" xfId="10180" xr:uid="{00000000-0005-0000-0000-000094240000}"/>
    <cellStyle name="Normal 13 4" xfId="10181" xr:uid="{00000000-0005-0000-0000-000095240000}"/>
    <cellStyle name="Normal 13 4 2" xfId="10182" xr:uid="{00000000-0005-0000-0000-000096240000}"/>
    <cellStyle name="Normal 13 4 2 2" xfId="10183" xr:uid="{00000000-0005-0000-0000-000097240000}"/>
    <cellStyle name="Normal 13 4 2 2 2" xfId="10184" xr:uid="{00000000-0005-0000-0000-000098240000}"/>
    <cellStyle name="Normal 13 4 2 2 3" xfId="10185" xr:uid="{00000000-0005-0000-0000-000099240000}"/>
    <cellStyle name="Normal 13 4 2 2 4" xfId="10186" xr:uid="{00000000-0005-0000-0000-00009A240000}"/>
    <cellStyle name="Normal 13 4 2 2 5" xfId="10187" xr:uid="{00000000-0005-0000-0000-00009B240000}"/>
    <cellStyle name="Normal 13 4 2 3" xfId="10188" xr:uid="{00000000-0005-0000-0000-00009C240000}"/>
    <cellStyle name="Normal 13 4 3" xfId="10189" xr:uid="{00000000-0005-0000-0000-00009D240000}"/>
    <cellStyle name="Normal 13 4 3 2" xfId="10190" xr:uid="{00000000-0005-0000-0000-00009E240000}"/>
    <cellStyle name="Normal 13 4 3 2 2" xfId="10191" xr:uid="{00000000-0005-0000-0000-00009F240000}"/>
    <cellStyle name="Normal 13 4 3 2 3" xfId="10192" xr:uid="{00000000-0005-0000-0000-0000A0240000}"/>
    <cellStyle name="Normal 13 4 3 2 4" xfId="10193" xr:uid="{00000000-0005-0000-0000-0000A1240000}"/>
    <cellStyle name="Normal 13 4 4" xfId="10194" xr:uid="{00000000-0005-0000-0000-0000A2240000}"/>
    <cellStyle name="Normal 13 4 5" xfId="10195" xr:uid="{00000000-0005-0000-0000-0000A3240000}"/>
    <cellStyle name="Normal 13 4 6" xfId="10196" xr:uid="{00000000-0005-0000-0000-0000A4240000}"/>
    <cellStyle name="Normal 13 4 7" xfId="43665" xr:uid="{1CE11236-E02B-4AAA-85BE-E1830EF4729B}"/>
    <cellStyle name="Normal 13 40" xfId="10197" xr:uid="{00000000-0005-0000-0000-0000A5240000}"/>
    <cellStyle name="Normal 13 41" xfId="10198" xr:uid="{00000000-0005-0000-0000-0000A6240000}"/>
    <cellStyle name="Normal 13 42" xfId="10199" xr:uid="{00000000-0005-0000-0000-0000A7240000}"/>
    <cellStyle name="Normal 13 43" xfId="10200" xr:uid="{00000000-0005-0000-0000-0000A8240000}"/>
    <cellStyle name="Normal 13 44" xfId="10201" xr:uid="{00000000-0005-0000-0000-0000A9240000}"/>
    <cellStyle name="Normal 13 45" xfId="10202" xr:uid="{00000000-0005-0000-0000-0000AA240000}"/>
    <cellStyle name="Normal 13 46" xfId="10203" xr:uid="{00000000-0005-0000-0000-0000AB240000}"/>
    <cellStyle name="Normal 13 47" xfId="10204" xr:uid="{00000000-0005-0000-0000-0000AC240000}"/>
    <cellStyle name="Normal 13 48" xfId="43482" xr:uid="{54B64EFB-1B38-428C-9F18-2AFDC93AE98E}"/>
    <cellStyle name="Normal 13 5" xfId="10205" xr:uid="{00000000-0005-0000-0000-0000AD240000}"/>
    <cellStyle name="Normal 13 5 2" xfId="43848" xr:uid="{72AA5337-5EAD-4FA0-9948-9EE37B8D342A}"/>
    <cellStyle name="Normal 13 6" xfId="10206" xr:uid="{00000000-0005-0000-0000-0000AE240000}"/>
    <cellStyle name="Normal 13 6 2" xfId="10207" xr:uid="{00000000-0005-0000-0000-0000AF240000}"/>
    <cellStyle name="Normal 13 6 3" xfId="10208" xr:uid="{00000000-0005-0000-0000-0000B0240000}"/>
    <cellStyle name="Normal 13 6 4" xfId="10209" xr:uid="{00000000-0005-0000-0000-0000B1240000}"/>
    <cellStyle name="Normal 13 6 5" xfId="10210" xr:uid="{00000000-0005-0000-0000-0000B2240000}"/>
    <cellStyle name="Normal 13 7" xfId="10211" xr:uid="{00000000-0005-0000-0000-0000B3240000}"/>
    <cellStyle name="Normal 13 8" xfId="10212" xr:uid="{00000000-0005-0000-0000-0000B4240000}"/>
    <cellStyle name="Normal 13 8 2" xfId="10213" xr:uid="{00000000-0005-0000-0000-0000B5240000}"/>
    <cellStyle name="Normal 13 8 3" xfId="10214" xr:uid="{00000000-0005-0000-0000-0000B6240000}"/>
    <cellStyle name="Normal 13 8 4" xfId="10215" xr:uid="{00000000-0005-0000-0000-0000B7240000}"/>
    <cellStyle name="Normal 13 9" xfId="10216" xr:uid="{00000000-0005-0000-0000-0000B8240000}"/>
    <cellStyle name="Normal 130" xfId="10217" xr:uid="{00000000-0005-0000-0000-0000B9240000}"/>
    <cellStyle name="Normal 131" xfId="10218" xr:uid="{00000000-0005-0000-0000-0000BA240000}"/>
    <cellStyle name="Normal 132" xfId="10219" xr:uid="{00000000-0005-0000-0000-0000BB240000}"/>
    <cellStyle name="Normal 133" xfId="10220" xr:uid="{00000000-0005-0000-0000-0000BC240000}"/>
    <cellStyle name="Normal 134" xfId="10221" xr:uid="{00000000-0005-0000-0000-0000BD240000}"/>
    <cellStyle name="Normal 135" xfId="10222" xr:uid="{00000000-0005-0000-0000-0000BE240000}"/>
    <cellStyle name="Normal 136" xfId="10223" xr:uid="{00000000-0005-0000-0000-0000BF240000}"/>
    <cellStyle name="Normal 137" xfId="10224" xr:uid="{00000000-0005-0000-0000-0000C0240000}"/>
    <cellStyle name="Normal 138" xfId="10225" xr:uid="{00000000-0005-0000-0000-0000C1240000}"/>
    <cellStyle name="Normal 139" xfId="10226" xr:uid="{00000000-0005-0000-0000-0000C2240000}"/>
    <cellStyle name="Normal 14" xfId="1046" xr:uid="{00000000-0005-0000-0000-0000C3240000}"/>
    <cellStyle name="Normal 14 10" xfId="10227" xr:uid="{00000000-0005-0000-0000-0000C4240000}"/>
    <cellStyle name="Normal 14 10 10" xfId="10228" xr:uid="{00000000-0005-0000-0000-0000C5240000}"/>
    <cellStyle name="Normal 14 10 11" xfId="10229" xr:uid="{00000000-0005-0000-0000-0000C6240000}"/>
    <cellStyle name="Normal 14 10 12" xfId="10230" xr:uid="{00000000-0005-0000-0000-0000C7240000}"/>
    <cellStyle name="Normal 14 10 13" xfId="10231" xr:uid="{00000000-0005-0000-0000-0000C8240000}"/>
    <cellStyle name="Normal 14 10 14" xfId="10232" xr:uid="{00000000-0005-0000-0000-0000C9240000}"/>
    <cellStyle name="Normal 14 10 15" xfId="10233" xr:uid="{00000000-0005-0000-0000-0000CA240000}"/>
    <cellStyle name="Normal 14 10 16" xfId="10234" xr:uid="{00000000-0005-0000-0000-0000CB240000}"/>
    <cellStyle name="Normal 14 10 17" xfId="10235" xr:uid="{00000000-0005-0000-0000-0000CC240000}"/>
    <cellStyle name="Normal 14 10 18" xfId="10236" xr:uid="{00000000-0005-0000-0000-0000CD240000}"/>
    <cellStyle name="Normal 14 10 19" xfId="10237" xr:uid="{00000000-0005-0000-0000-0000CE240000}"/>
    <cellStyle name="Normal 14 10 2" xfId="10238" xr:uid="{00000000-0005-0000-0000-0000CF240000}"/>
    <cellStyle name="Normal 14 10 20" xfId="10239" xr:uid="{00000000-0005-0000-0000-0000D0240000}"/>
    <cellStyle name="Normal 14 10 21" xfId="10240" xr:uid="{00000000-0005-0000-0000-0000D1240000}"/>
    <cellStyle name="Normal 14 10 22" xfId="10241" xr:uid="{00000000-0005-0000-0000-0000D2240000}"/>
    <cellStyle name="Normal 14 10 23" xfId="10242" xr:uid="{00000000-0005-0000-0000-0000D3240000}"/>
    <cellStyle name="Normal 14 10 24" xfId="10243" xr:uid="{00000000-0005-0000-0000-0000D4240000}"/>
    <cellStyle name="Normal 14 10 25" xfId="10244" xr:uid="{00000000-0005-0000-0000-0000D5240000}"/>
    <cellStyle name="Normal 14 10 26" xfId="10245" xr:uid="{00000000-0005-0000-0000-0000D6240000}"/>
    <cellStyle name="Normal 14 10 27" xfId="10246" xr:uid="{00000000-0005-0000-0000-0000D7240000}"/>
    <cellStyle name="Normal 14 10 28" xfId="10247" xr:uid="{00000000-0005-0000-0000-0000D8240000}"/>
    <cellStyle name="Normal 14 10 29" xfId="10248" xr:uid="{00000000-0005-0000-0000-0000D9240000}"/>
    <cellStyle name="Normal 14 10 3" xfId="10249" xr:uid="{00000000-0005-0000-0000-0000DA240000}"/>
    <cellStyle name="Normal 14 10 30" xfId="10250" xr:uid="{00000000-0005-0000-0000-0000DB240000}"/>
    <cellStyle name="Normal 14 10 31" xfId="10251" xr:uid="{00000000-0005-0000-0000-0000DC240000}"/>
    <cellStyle name="Normal 14 10 32" xfId="10252" xr:uid="{00000000-0005-0000-0000-0000DD240000}"/>
    <cellStyle name="Normal 14 10 33" xfId="10253" xr:uid="{00000000-0005-0000-0000-0000DE240000}"/>
    <cellStyle name="Normal 14 10 34" xfId="10254" xr:uid="{00000000-0005-0000-0000-0000DF240000}"/>
    <cellStyle name="Normal 14 10 35" xfId="10255" xr:uid="{00000000-0005-0000-0000-0000E0240000}"/>
    <cellStyle name="Normal 14 10 36" xfId="10256" xr:uid="{00000000-0005-0000-0000-0000E1240000}"/>
    <cellStyle name="Normal 14 10 37" xfId="10257" xr:uid="{00000000-0005-0000-0000-0000E2240000}"/>
    <cellStyle name="Normal 14 10 38" xfId="10258" xr:uid="{00000000-0005-0000-0000-0000E3240000}"/>
    <cellStyle name="Normal 14 10 39" xfId="10259" xr:uid="{00000000-0005-0000-0000-0000E4240000}"/>
    <cellStyle name="Normal 14 10 4" xfId="10260" xr:uid="{00000000-0005-0000-0000-0000E5240000}"/>
    <cellStyle name="Normal 14 10 40" xfId="10261" xr:uid="{00000000-0005-0000-0000-0000E6240000}"/>
    <cellStyle name="Normal 14 10 41" xfId="10262" xr:uid="{00000000-0005-0000-0000-0000E7240000}"/>
    <cellStyle name="Normal 14 10 42" xfId="10263" xr:uid="{00000000-0005-0000-0000-0000E8240000}"/>
    <cellStyle name="Normal 14 10 43" xfId="10264" xr:uid="{00000000-0005-0000-0000-0000E9240000}"/>
    <cellStyle name="Normal 14 10 44" xfId="10265" xr:uid="{00000000-0005-0000-0000-0000EA240000}"/>
    <cellStyle name="Normal 14 10 45" xfId="10266" xr:uid="{00000000-0005-0000-0000-0000EB240000}"/>
    <cellStyle name="Normal 14 10 5" xfId="10267" xr:uid="{00000000-0005-0000-0000-0000EC240000}"/>
    <cellStyle name="Normal 14 10 6" xfId="10268" xr:uid="{00000000-0005-0000-0000-0000ED240000}"/>
    <cellStyle name="Normal 14 10 7" xfId="10269" xr:uid="{00000000-0005-0000-0000-0000EE240000}"/>
    <cellStyle name="Normal 14 10 8" xfId="10270" xr:uid="{00000000-0005-0000-0000-0000EF240000}"/>
    <cellStyle name="Normal 14 10 9" xfId="10271" xr:uid="{00000000-0005-0000-0000-0000F0240000}"/>
    <cellStyle name="Normal 14 11" xfId="10272" xr:uid="{00000000-0005-0000-0000-0000F1240000}"/>
    <cellStyle name="Normal 14 11 10" xfId="10273" xr:uid="{00000000-0005-0000-0000-0000F2240000}"/>
    <cellStyle name="Normal 14 11 11" xfId="10274" xr:uid="{00000000-0005-0000-0000-0000F3240000}"/>
    <cellStyle name="Normal 14 11 12" xfId="10275" xr:uid="{00000000-0005-0000-0000-0000F4240000}"/>
    <cellStyle name="Normal 14 11 13" xfId="10276" xr:uid="{00000000-0005-0000-0000-0000F5240000}"/>
    <cellStyle name="Normal 14 11 14" xfId="10277" xr:uid="{00000000-0005-0000-0000-0000F6240000}"/>
    <cellStyle name="Normal 14 11 15" xfId="10278" xr:uid="{00000000-0005-0000-0000-0000F7240000}"/>
    <cellStyle name="Normal 14 11 16" xfId="10279" xr:uid="{00000000-0005-0000-0000-0000F8240000}"/>
    <cellStyle name="Normal 14 11 17" xfId="10280" xr:uid="{00000000-0005-0000-0000-0000F9240000}"/>
    <cellStyle name="Normal 14 11 18" xfId="10281" xr:uid="{00000000-0005-0000-0000-0000FA240000}"/>
    <cellStyle name="Normal 14 11 19" xfId="10282" xr:uid="{00000000-0005-0000-0000-0000FB240000}"/>
    <cellStyle name="Normal 14 11 2" xfId="10283" xr:uid="{00000000-0005-0000-0000-0000FC240000}"/>
    <cellStyle name="Normal 14 11 20" xfId="10284" xr:uid="{00000000-0005-0000-0000-0000FD240000}"/>
    <cellStyle name="Normal 14 11 21" xfId="10285" xr:uid="{00000000-0005-0000-0000-0000FE240000}"/>
    <cellStyle name="Normal 14 11 22" xfId="10286" xr:uid="{00000000-0005-0000-0000-0000FF240000}"/>
    <cellStyle name="Normal 14 11 23" xfId="10287" xr:uid="{00000000-0005-0000-0000-000000250000}"/>
    <cellStyle name="Normal 14 11 24" xfId="10288" xr:uid="{00000000-0005-0000-0000-000001250000}"/>
    <cellStyle name="Normal 14 11 25" xfId="10289" xr:uid="{00000000-0005-0000-0000-000002250000}"/>
    <cellStyle name="Normal 14 11 26" xfId="10290" xr:uid="{00000000-0005-0000-0000-000003250000}"/>
    <cellStyle name="Normal 14 11 27" xfId="10291" xr:uid="{00000000-0005-0000-0000-000004250000}"/>
    <cellStyle name="Normal 14 11 28" xfId="10292" xr:uid="{00000000-0005-0000-0000-000005250000}"/>
    <cellStyle name="Normal 14 11 29" xfId="10293" xr:uid="{00000000-0005-0000-0000-000006250000}"/>
    <cellStyle name="Normal 14 11 3" xfId="10294" xr:uid="{00000000-0005-0000-0000-000007250000}"/>
    <cellStyle name="Normal 14 11 30" xfId="10295" xr:uid="{00000000-0005-0000-0000-000008250000}"/>
    <cellStyle name="Normal 14 11 31" xfId="10296" xr:uid="{00000000-0005-0000-0000-000009250000}"/>
    <cellStyle name="Normal 14 11 32" xfId="10297" xr:uid="{00000000-0005-0000-0000-00000A250000}"/>
    <cellStyle name="Normal 14 11 33" xfId="10298" xr:uid="{00000000-0005-0000-0000-00000B250000}"/>
    <cellStyle name="Normal 14 11 34" xfId="10299" xr:uid="{00000000-0005-0000-0000-00000C250000}"/>
    <cellStyle name="Normal 14 11 35" xfId="10300" xr:uid="{00000000-0005-0000-0000-00000D250000}"/>
    <cellStyle name="Normal 14 11 36" xfId="10301" xr:uid="{00000000-0005-0000-0000-00000E250000}"/>
    <cellStyle name="Normal 14 11 37" xfId="10302" xr:uid="{00000000-0005-0000-0000-00000F250000}"/>
    <cellStyle name="Normal 14 11 38" xfId="10303" xr:uid="{00000000-0005-0000-0000-000010250000}"/>
    <cellStyle name="Normal 14 11 39" xfId="10304" xr:uid="{00000000-0005-0000-0000-000011250000}"/>
    <cellStyle name="Normal 14 11 4" xfId="10305" xr:uid="{00000000-0005-0000-0000-000012250000}"/>
    <cellStyle name="Normal 14 11 40" xfId="10306" xr:uid="{00000000-0005-0000-0000-000013250000}"/>
    <cellStyle name="Normal 14 11 41" xfId="10307" xr:uid="{00000000-0005-0000-0000-000014250000}"/>
    <cellStyle name="Normal 14 11 42" xfId="10308" xr:uid="{00000000-0005-0000-0000-000015250000}"/>
    <cellStyle name="Normal 14 11 43" xfId="10309" xr:uid="{00000000-0005-0000-0000-000016250000}"/>
    <cellStyle name="Normal 14 11 44" xfId="10310" xr:uid="{00000000-0005-0000-0000-000017250000}"/>
    <cellStyle name="Normal 14 11 45" xfId="10311" xr:uid="{00000000-0005-0000-0000-000018250000}"/>
    <cellStyle name="Normal 14 11 5" xfId="10312" xr:uid="{00000000-0005-0000-0000-000019250000}"/>
    <cellStyle name="Normal 14 11 6" xfId="10313" xr:uid="{00000000-0005-0000-0000-00001A250000}"/>
    <cellStyle name="Normal 14 11 7" xfId="10314" xr:uid="{00000000-0005-0000-0000-00001B250000}"/>
    <cellStyle name="Normal 14 11 8" xfId="10315" xr:uid="{00000000-0005-0000-0000-00001C250000}"/>
    <cellStyle name="Normal 14 11 9" xfId="10316" xr:uid="{00000000-0005-0000-0000-00001D250000}"/>
    <cellStyle name="Normal 14 12" xfId="10317" xr:uid="{00000000-0005-0000-0000-00001E250000}"/>
    <cellStyle name="Normal 14 12 10" xfId="10318" xr:uid="{00000000-0005-0000-0000-00001F250000}"/>
    <cellStyle name="Normal 14 12 11" xfId="10319" xr:uid="{00000000-0005-0000-0000-000020250000}"/>
    <cellStyle name="Normal 14 12 12" xfId="10320" xr:uid="{00000000-0005-0000-0000-000021250000}"/>
    <cellStyle name="Normal 14 12 13" xfId="10321" xr:uid="{00000000-0005-0000-0000-000022250000}"/>
    <cellStyle name="Normal 14 12 14" xfId="10322" xr:uid="{00000000-0005-0000-0000-000023250000}"/>
    <cellStyle name="Normal 14 12 15" xfId="10323" xr:uid="{00000000-0005-0000-0000-000024250000}"/>
    <cellStyle name="Normal 14 12 16" xfId="10324" xr:uid="{00000000-0005-0000-0000-000025250000}"/>
    <cellStyle name="Normal 14 12 17" xfId="10325" xr:uid="{00000000-0005-0000-0000-000026250000}"/>
    <cellStyle name="Normal 14 12 18" xfId="10326" xr:uid="{00000000-0005-0000-0000-000027250000}"/>
    <cellStyle name="Normal 14 12 19" xfId="10327" xr:uid="{00000000-0005-0000-0000-000028250000}"/>
    <cellStyle name="Normal 14 12 2" xfId="10328" xr:uid="{00000000-0005-0000-0000-000029250000}"/>
    <cellStyle name="Normal 14 12 20" xfId="10329" xr:uid="{00000000-0005-0000-0000-00002A250000}"/>
    <cellStyle name="Normal 14 12 21" xfId="10330" xr:uid="{00000000-0005-0000-0000-00002B250000}"/>
    <cellStyle name="Normal 14 12 22" xfId="10331" xr:uid="{00000000-0005-0000-0000-00002C250000}"/>
    <cellStyle name="Normal 14 12 23" xfId="10332" xr:uid="{00000000-0005-0000-0000-00002D250000}"/>
    <cellStyle name="Normal 14 12 24" xfId="10333" xr:uid="{00000000-0005-0000-0000-00002E250000}"/>
    <cellStyle name="Normal 14 12 25" xfId="10334" xr:uid="{00000000-0005-0000-0000-00002F250000}"/>
    <cellStyle name="Normal 14 12 26" xfId="10335" xr:uid="{00000000-0005-0000-0000-000030250000}"/>
    <cellStyle name="Normal 14 12 27" xfId="10336" xr:uid="{00000000-0005-0000-0000-000031250000}"/>
    <cellStyle name="Normal 14 12 28" xfId="10337" xr:uid="{00000000-0005-0000-0000-000032250000}"/>
    <cellStyle name="Normal 14 12 29" xfId="10338" xr:uid="{00000000-0005-0000-0000-000033250000}"/>
    <cellStyle name="Normal 14 12 3" xfId="10339" xr:uid="{00000000-0005-0000-0000-000034250000}"/>
    <cellStyle name="Normal 14 12 30" xfId="10340" xr:uid="{00000000-0005-0000-0000-000035250000}"/>
    <cellStyle name="Normal 14 12 31" xfId="10341" xr:uid="{00000000-0005-0000-0000-000036250000}"/>
    <cellStyle name="Normal 14 12 32" xfId="10342" xr:uid="{00000000-0005-0000-0000-000037250000}"/>
    <cellStyle name="Normal 14 12 33" xfId="10343" xr:uid="{00000000-0005-0000-0000-000038250000}"/>
    <cellStyle name="Normal 14 12 34" xfId="10344" xr:uid="{00000000-0005-0000-0000-000039250000}"/>
    <cellStyle name="Normal 14 12 35" xfId="10345" xr:uid="{00000000-0005-0000-0000-00003A250000}"/>
    <cellStyle name="Normal 14 12 36" xfId="10346" xr:uid="{00000000-0005-0000-0000-00003B250000}"/>
    <cellStyle name="Normal 14 12 37" xfId="10347" xr:uid="{00000000-0005-0000-0000-00003C250000}"/>
    <cellStyle name="Normal 14 12 38" xfId="10348" xr:uid="{00000000-0005-0000-0000-00003D250000}"/>
    <cellStyle name="Normal 14 12 39" xfId="10349" xr:uid="{00000000-0005-0000-0000-00003E250000}"/>
    <cellStyle name="Normal 14 12 4" xfId="10350" xr:uid="{00000000-0005-0000-0000-00003F250000}"/>
    <cellStyle name="Normal 14 12 40" xfId="10351" xr:uid="{00000000-0005-0000-0000-000040250000}"/>
    <cellStyle name="Normal 14 12 41" xfId="10352" xr:uid="{00000000-0005-0000-0000-000041250000}"/>
    <cellStyle name="Normal 14 12 42" xfId="10353" xr:uid="{00000000-0005-0000-0000-000042250000}"/>
    <cellStyle name="Normal 14 12 43" xfId="10354" xr:uid="{00000000-0005-0000-0000-000043250000}"/>
    <cellStyle name="Normal 14 12 44" xfId="10355" xr:uid="{00000000-0005-0000-0000-000044250000}"/>
    <cellStyle name="Normal 14 12 45" xfId="10356" xr:uid="{00000000-0005-0000-0000-000045250000}"/>
    <cellStyle name="Normal 14 12 5" xfId="10357" xr:uid="{00000000-0005-0000-0000-000046250000}"/>
    <cellStyle name="Normal 14 12 6" xfId="10358" xr:uid="{00000000-0005-0000-0000-000047250000}"/>
    <cellStyle name="Normal 14 12 7" xfId="10359" xr:uid="{00000000-0005-0000-0000-000048250000}"/>
    <cellStyle name="Normal 14 12 8" xfId="10360" xr:uid="{00000000-0005-0000-0000-000049250000}"/>
    <cellStyle name="Normal 14 12 9" xfId="10361" xr:uid="{00000000-0005-0000-0000-00004A250000}"/>
    <cellStyle name="Normal 14 13" xfId="10362" xr:uid="{00000000-0005-0000-0000-00004B250000}"/>
    <cellStyle name="Normal 14 13 10" xfId="10363" xr:uid="{00000000-0005-0000-0000-00004C250000}"/>
    <cellStyle name="Normal 14 13 11" xfId="10364" xr:uid="{00000000-0005-0000-0000-00004D250000}"/>
    <cellStyle name="Normal 14 13 12" xfId="10365" xr:uid="{00000000-0005-0000-0000-00004E250000}"/>
    <cellStyle name="Normal 14 13 13" xfId="10366" xr:uid="{00000000-0005-0000-0000-00004F250000}"/>
    <cellStyle name="Normal 14 13 14" xfId="10367" xr:uid="{00000000-0005-0000-0000-000050250000}"/>
    <cellStyle name="Normal 14 13 15" xfId="10368" xr:uid="{00000000-0005-0000-0000-000051250000}"/>
    <cellStyle name="Normal 14 13 16" xfId="10369" xr:uid="{00000000-0005-0000-0000-000052250000}"/>
    <cellStyle name="Normal 14 13 17" xfId="10370" xr:uid="{00000000-0005-0000-0000-000053250000}"/>
    <cellStyle name="Normal 14 13 18" xfId="10371" xr:uid="{00000000-0005-0000-0000-000054250000}"/>
    <cellStyle name="Normal 14 13 19" xfId="10372" xr:uid="{00000000-0005-0000-0000-000055250000}"/>
    <cellStyle name="Normal 14 13 2" xfId="10373" xr:uid="{00000000-0005-0000-0000-000056250000}"/>
    <cellStyle name="Normal 14 13 20" xfId="10374" xr:uid="{00000000-0005-0000-0000-000057250000}"/>
    <cellStyle name="Normal 14 13 21" xfId="10375" xr:uid="{00000000-0005-0000-0000-000058250000}"/>
    <cellStyle name="Normal 14 13 22" xfId="10376" xr:uid="{00000000-0005-0000-0000-000059250000}"/>
    <cellStyle name="Normal 14 13 23" xfId="10377" xr:uid="{00000000-0005-0000-0000-00005A250000}"/>
    <cellStyle name="Normal 14 13 24" xfId="10378" xr:uid="{00000000-0005-0000-0000-00005B250000}"/>
    <cellStyle name="Normal 14 13 25" xfId="10379" xr:uid="{00000000-0005-0000-0000-00005C250000}"/>
    <cellStyle name="Normal 14 13 26" xfId="10380" xr:uid="{00000000-0005-0000-0000-00005D250000}"/>
    <cellStyle name="Normal 14 13 27" xfId="10381" xr:uid="{00000000-0005-0000-0000-00005E250000}"/>
    <cellStyle name="Normal 14 13 28" xfId="10382" xr:uid="{00000000-0005-0000-0000-00005F250000}"/>
    <cellStyle name="Normal 14 13 29" xfId="10383" xr:uid="{00000000-0005-0000-0000-000060250000}"/>
    <cellStyle name="Normal 14 13 3" xfId="10384" xr:uid="{00000000-0005-0000-0000-000061250000}"/>
    <cellStyle name="Normal 14 13 30" xfId="10385" xr:uid="{00000000-0005-0000-0000-000062250000}"/>
    <cellStyle name="Normal 14 13 31" xfId="10386" xr:uid="{00000000-0005-0000-0000-000063250000}"/>
    <cellStyle name="Normal 14 13 32" xfId="10387" xr:uid="{00000000-0005-0000-0000-000064250000}"/>
    <cellStyle name="Normal 14 13 33" xfId="10388" xr:uid="{00000000-0005-0000-0000-000065250000}"/>
    <cellStyle name="Normal 14 13 34" xfId="10389" xr:uid="{00000000-0005-0000-0000-000066250000}"/>
    <cellStyle name="Normal 14 13 35" xfId="10390" xr:uid="{00000000-0005-0000-0000-000067250000}"/>
    <cellStyle name="Normal 14 13 36" xfId="10391" xr:uid="{00000000-0005-0000-0000-000068250000}"/>
    <cellStyle name="Normal 14 13 37" xfId="10392" xr:uid="{00000000-0005-0000-0000-000069250000}"/>
    <cellStyle name="Normal 14 13 38" xfId="10393" xr:uid="{00000000-0005-0000-0000-00006A250000}"/>
    <cellStyle name="Normal 14 13 39" xfId="10394" xr:uid="{00000000-0005-0000-0000-00006B250000}"/>
    <cellStyle name="Normal 14 13 4" xfId="10395" xr:uid="{00000000-0005-0000-0000-00006C250000}"/>
    <cellStyle name="Normal 14 13 40" xfId="10396" xr:uid="{00000000-0005-0000-0000-00006D250000}"/>
    <cellStyle name="Normal 14 13 41" xfId="10397" xr:uid="{00000000-0005-0000-0000-00006E250000}"/>
    <cellStyle name="Normal 14 13 42" xfId="10398" xr:uid="{00000000-0005-0000-0000-00006F250000}"/>
    <cellStyle name="Normal 14 13 43" xfId="10399" xr:uid="{00000000-0005-0000-0000-000070250000}"/>
    <cellStyle name="Normal 14 13 44" xfId="10400" xr:uid="{00000000-0005-0000-0000-000071250000}"/>
    <cellStyle name="Normal 14 13 45" xfId="10401" xr:uid="{00000000-0005-0000-0000-000072250000}"/>
    <cellStyle name="Normal 14 13 5" xfId="10402" xr:uid="{00000000-0005-0000-0000-000073250000}"/>
    <cellStyle name="Normal 14 13 6" xfId="10403" xr:uid="{00000000-0005-0000-0000-000074250000}"/>
    <cellStyle name="Normal 14 13 7" xfId="10404" xr:uid="{00000000-0005-0000-0000-000075250000}"/>
    <cellStyle name="Normal 14 13 8" xfId="10405" xr:uid="{00000000-0005-0000-0000-000076250000}"/>
    <cellStyle name="Normal 14 13 9" xfId="10406" xr:uid="{00000000-0005-0000-0000-000077250000}"/>
    <cellStyle name="Normal 14 14" xfId="10407" xr:uid="{00000000-0005-0000-0000-000078250000}"/>
    <cellStyle name="Normal 14 14 10" xfId="10408" xr:uid="{00000000-0005-0000-0000-000079250000}"/>
    <cellStyle name="Normal 14 14 11" xfId="10409" xr:uid="{00000000-0005-0000-0000-00007A250000}"/>
    <cellStyle name="Normal 14 14 12" xfId="10410" xr:uid="{00000000-0005-0000-0000-00007B250000}"/>
    <cellStyle name="Normal 14 14 13" xfId="10411" xr:uid="{00000000-0005-0000-0000-00007C250000}"/>
    <cellStyle name="Normal 14 14 14" xfId="10412" xr:uid="{00000000-0005-0000-0000-00007D250000}"/>
    <cellStyle name="Normal 14 14 15" xfId="10413" xr:uid="{00000000-0005-0000-0000-00007E250000}"/>
    <cellStyle name="Normal 14 14 16" xfId="10414" xr:uid="{00000000-0005-0000-0000-00007F250000}"/>
    <cellStyle name="Normal 14 14 17" xfId="10415" xr:uid="{00000000-0005-0000-0000-000080250000}"/>
    <cellStyle name="Normal 14 14 18" xfId="10416" xr:uid="{00000000-0005-0000-0000-000081250000}"/>
    <cellStyle name="Normal 14 14 19" xfId="10417" xr:uid="{00000000-0005-0000-0000-000082250000}"/>
    <cellStyle name="Normal 14 14 2" xfId="10418" xr:uid="{00000000-0005-0000-0000-000083250000}"/>
    <cellStyle name="Normal 14 14 20" xfId="10419" xr:uid="{00000000-0005-0000-0000-000084250000}"/>
    <cellStyle name="Normal 14 14 21" xfId="10420" xr:uid="{00000000-0005-0000-0000-000085250000}"/>
    <cellStyle name="Normal 14 14 22" xfId="10421" xr:uid="{00000000-0005-0000-0000-000086250000}"/>
    <cellStyle name="Normal 14 14 23" xfId="10422" xr:uid="{00000000-0005-0000-0000-000087250000}"/>
    <cellStyle name="Normal 14 14 24" xfId="10423" xr:uid="{00000000-0005-0000-0000-000088250000}"/>
    <cellStyle name="Normal 14 14 25" xfId="10424" xr:uid="{00000000-0005-0000-0000-000089250000}"/>
    <cellStyle name="Normal 14 14 26" xfId="10425" xr:uid="{00000000-0005-0000-0000-00008A250000}"/>
    <cellStyle name="Normal 14 14 27" xfId="10426" xr:uid="{00000000-0005-0000-0000-00008B250000}"/>
    <cellStyle name="Normal 14 14 28" xfId="10427" xr:uid="{00000000-0005-0000-0000-00008C250000}"/>
    <cellStyle name="Normal 14 14 29" xfId="10428" xr:uid="{00000000-0005-0000-0000-00008D250000}"/>
    <cellStyle name="Normal 14 14 3" xfId="10429" xr:uid="{00000000-0005-0000-0000-00008E250000}"/>
    <cellStyle name="Normal 14 14 30" xfId="10430" xr:uid="{00000000-0005-0000-0000-00008F250000}"/>
    <cellStyle name="Normal 14 14 31" xfId="10431" xr:uid="{00000000-0005-0000-0000-000090250000}"/>
    <cellStyle name="Normal 14 14 32" xfId="10432" xr:uid="{00000000-0005-0000-0000-000091250000}"/>
    <cellStyle name="Normal 14 14 33" xfId="10433" xr:uid="{00000000-0005-0000-0000-000092250000}"/>
    <cellStyle name="Normal 14 14 34" xfId="10434" xr:uid="{00000000-0005-0000-0000-000093250000}"/>
    <cellStyle name="Normal 14 14 35" xfId="10435" xr:uid="{00000000-0005-0000-0000-000094250000}"/>
    <cellStyle name="Normal 14 14 36" xfId="10436" xr:uid="{00000000-0005-0000-0000-000095250000}"/>
    <cellStyle name="Normal 14 14 37" xfId="10437" xr:uid="{00000000-0005-0000-0000-000096250000}"/>
    <cellStyle name="Normal 14 14 38" xfId="10438" xr:uid="{00000000-0005-0000-0000-000097250000}"/>
    <cellStyle name="Normal 14 14 39" xfId="10439" xr:uid="{00000000-0005-0000-0000-000098250000}"/>
    <cellStyle name="Normal 14 14 4" xfId="10440" xr:uid="{00000000-0005-0000-0000-000099250000}"/>
    <cellStyle name="Normal 14 14 40" xfId="10441" xr:uid="{00000000-0005-0000-0000-00009A250000}"/>
    <cellStyle name="Normal 14 14 41" xfId="10442" xr:uid="{00000000-0005-0000-0000-00009B250000}"/>
    <cellStyle name="Normal 14 14 42" xfId="10443" xr:uid="{00000000-0005-0000-0000-00009C250000}"/>
    <cellStyle name="Normal 14 14 43" xfId="10444" xr:uid="{00000000-0005-0000-0000-00009D250000}"/>
    <cellStyle name="Normal 14 14 44" xfId="10445" xr:uid="{00000000-0005-0000-0000-00009E250000}"/>
    <cellStyle name="Normal 14 14 45" xfId="10446" xr:uid="{00000000-0005-0000-0000-00009F250000}"/>
    <cellStyle name="Normal 14 14 5" xfId="10447" xr:uid="{00000000-0005-0000-0000-0000A0250000}"/>
    <cellStyle name="Normal 14 14 6" xfId="10448" xr:uid="{00000000-0005-0000-0000-0000A1250000}"/>
    <cellStyle name="Normal 14 14 7" xfId="10449" xr:uid="{00000000-0005-0000-0000-0000A2250000}"/>
    <cellStyle name="Normal 14 14 8" xfId="10450" xr:uid="{00000000-0005-0000-0000-0000A3250000}"/>
    <cellStyle name="Normal 14 14 9" xfId="10451" xr:uid="{00000000-0005-0000-0000-0000A4250000}"/>
    <cellStyle name="Normal 14 15" xfId="10452" xr:uid="{00000000-0005-0000-0000-0000A5250000}"/>
    <cellStyle name="Normal 14 15 10" xfId="10453" xr:uid="{00000000-0005-0000-0000-0000A6250000}"/>
    <cellStyle name="Normal 14 15 11" xfId="10454" xr:uid="{00000000-0005-0000-0000-0000A7250000}"/>
    <cellStyle name="Normal 14 15 12" xfId="10455" xr:uid="{00000000-0005-0000-0000-0000A8250000}"/>
    <cellStyle name="Normal 14 15 13" xfId="10456" xr:uid="{00000000-0005-0000-0000-0000A9250000}"/>
    <cellStyle name="Normal 14 15 14" xfId="10457" xr:uid="{00000000-0005-0000-0000-0000AA250000}"/>
    <cellStyle name="Normal 14 15 15" xfId="10458" xr:uid="{00000000-0005-0000-0000-0000AB250000}"/>
    <cellStyle name="Normal 14 15 16" xfId="10459" xr:uid="{00000000-0005-0000-0000-0000AC250000}"/>
    <cellStyle name="Normal 14 15 17" xfId="10460" xr:uid="{00000000-0005-0000-0000-0000AD250000}"/>
    <cellStyle name="Normal 14 15 18" xfId="10461" xr:uid="{00000000-0005-0000-0000-0000AE250000}"/>
    <cellStyle name="Normal 14 15 19" xfId="10462" xr:uid="{00000000-0005-0000-0000-0000AF250000}"/>
    <cellStyle name="Normal 14 15 2" xfId="10463" xr:uid="{00000000-0005-0000-0000-0000B0250000}"/>
    <cellStyle name="Normal 14 15 20" xfId="10464" xr:uid="{00000000-0005-0000-0000-0000B1250000}"/>
    <cellStyle name="Normal 14 15 21" xfId="10465" xr:uid="{00000000-0005-0000-0000-0000B2250000}"/>
    <cellStyle name="Normal 14 15 22" xfId="10466" xr:uid="{00000000-0005-0000-0000-0000B3250000}"/>
    <cellStyle name="Normal 14 15 23" xfId="10467" xr:uid="{00000000-0005-0000-0000-0000B4250000}"/>
    <cellStyle name="Normal 14 15 24" xfId="10468" xr:uid="{00000000-0005-0000-0000-0000B5250000}"/>
    <cellStyle name="Normal 14 15 25" xfId="10469" xr:uid="{00000000-0005-0000-0000-0000B6250000}"/>
    <cellStyle name="Normal 14 15 26" xfId="10470" xr:uid="{00000000-0005-0000-0000-0000B7250000}"/>
    <cellStyle name="Normal 14 15 27" xfId="10471" xr:uid="{00000000-0005-0000-0000-0000B8250000}"/>
    <cellStyle name="Normal 14 15 28" xfId="10472" xr:uid="{00000000-0005-0000-0000-0000B9250000}"/>
    <cellStyle name="Normal 14 15 29" xfId="10473" xr:uid="{00000000-0005-0000-0000-0000BA250000}"/>
    <cellStyle name="Normal 14 15 3" xfId="10474" xr:uid="{00000000-0005-0000-0000-0000BB250000}"/>
    <cellStyle name="Normal 14 15 30" xfId="10475" xr:uid="{00000000-0005-0000-0000-0000BC250000}"/>
    <cellStyle name="Normal 14 15 31" xfId="10476" xr:uid="{00000000-0005-0000-0000-0000BD250000}"/>
    <cellStyle name="Normal 14 15 32" xfId="10477" xr:uid="{00000000-0005-0000-0000-0000BE250000}"/>
    <cellStyle name="Normal 14 15 33" xfId="10478" xr:uid="{00000000-0005-0000-0000-0000BF250000}"/>
    <cellStyle name="Normal 14 15 34" xfId="10479" xr:uid="{00000000-0005-0000-0000-0000C0250000}"/>
    <cellStyle name="Normal 14 15 35" xfId="10480" xr:uid="{00000000-0005-0000-0000-0000C1250000}"/>
    <cellStyle name="Normal 14 15 36" xfId="10481" xr:uid="{00000000-0005-0000-0000-0000C2250000}"/>
    <cellStyle name="Normal 14 15 37" xfId="10482" xr:uid="{00000000-0005-0000-0000-0000C3250000}"/>
    <cellStyle name="Normal 14 15 4" xfId="10483" xr:uid="{00000000-0005-0000-0000-0000C4250000}"/>
    <cellStyle name="Normal 14 15 5" xfId="10484" xr:uid="{00000000-0005-0000-0000-0000C5250000}"/>
    <cellStyle name="Normal 14 15 6" xfId="10485" xr:uid="{00000000-0005-0000-0000-0000C6250000}"/>
    <cellStyle name="Normal 14 15 7" xfId="10486" xr:uid="{00000000-0005-0000-0000-0000C7250000}"/>
    <cellStyle name="Normal 14 15 8" xfId="10487" xr:uid="{00000000-0005-0000-0000-0000C8250000}"/>
    <cellStyle name="Normal 14 15 9" xfId="10488" xr:uid="{00000000-0005-0000-0000-0000C9250000}"/>
    <cellStyle name="Normal 14 16" xfId="10489" xr:uid="{00000000-0005-0000-0000-0000CA250000}"/>
    <cellStyle name="Normal 14 16 10" xfId="10490" xr:uid="{00000000-0005-0000-0000-0000CB250000}"/>
    <cellStyle name="Normal 14 16 11" xfId="10491" xr:uid="{00000000-0005-0000-0000-0000CC250000}"/>
    <cellStyle name="Normal 14 16 12" xfId="10492" xr:uid="{00000000-0005-0000-0000-0000CD250000}"/>
    <cellStyle name="Normal 14 16 13" xfId="10493" xr:uid="{00000000-0005-0000-0000-0000CE250000}"/>
    <cellStyle name="Normal 14 16 14" xfId="10494" xr:uid="{00000000-0005-0000-0000-0000CF250000}"/>
    <cellStyle name="Normal 14 16 15" xfId="10495" xr:uid="{00000000-0005-0000-0000-0000D0250000}"/>
    <cellStyle name="Normal 14 16 16" xfId="10496" xr:uid="{00000000-0005-0000-0000-0000D1250000}"/>
    <cellStyle name="Normal 14 16 17" xfId="10497" xr:uid="{00000000-0005-0000-0000-0000D2250000}"/>
    <cellStyle name="Normal 14 16 18" xfId="10498" xr:uid="{00000000-0005-0000-0000-0000D3250000}"/>
    <cellStyle name="Normal 14 16 19" xfId="10499" xr:uid="{00000000-0005-0000-0000-0000D4250000}"/>
    <cellStyle name="Normal 14 16 2" xfId="10500" xr:uid="{00000000-0005-0000-0000-0000D5250000}"/>
    <cellStyle name="Normal 14 16 20" xfId="10501" xr:uid="{00000000-0005-0000-0000-0000D6250000}"/>
    <cellStyle name="Normal 14 16 21" xfId="10502" xr:uid="{00000000-0005-0000-0000-0000D7250000}"/>
    <cellStyle name="Normal 14 16 22" xfId="10503" xr:uid="{00000000-0005-0000-0000-0000D8250000}"/>
    <cellStyle name="Normal 14 16 23" xfId="10504" xr:uid="{00000000-0005-0000-0000-0000D9250000}"/>
    <cellStyle name="Normal 14 16 24" xfId="10505" xr:uid="{00000000-0005-0000-0000-0000DA250000}"/>
    <cellStyle name="Normal 14 16 25" xfId="10506" xr:uid="{00000000-0005-0000-0000-0000DB250000}"/>
    <cellStyle name="Normal 14 16 26" xfId="10507" xr:uid="{00000000-0005-0000-0000-0000DC250000}"/>
    <cellStyle name="Normal 14 16 27" xfId="10508" xr:uid="{00000000-0005-0000-0000-0000DD250000}"/>
    <cellStyle name="Normal 14 16 28" xfId="10509" xr:uid="{00000000-0005-0000-0000-0000DE250000}"/>
    <cellStyle name="Normal 14 16 29" xfId="10510" xr:uid="{00000000-0005-0000-0000-0000DF250000}"/>
    <cellStyle name="Normal 14 16 3" xfId="10511" xr:uid="{00000000-0005-0000-0000-0000E0250000}"/>
    <cellStyle name="Normal 14 16 30" xfId="10512" xr:uid="{00000000-0005-0000-0000-0000E1250000}"/>
    <cellStyle name="Normal 14 16 31" xfId="10513" xr:uid="{00000000-0005-0000-0000-0000E2250000}"/>
    <cellStyle name="Normal 14 16 32" xfId="10514" xr:uid="{00000000-0005-0000-0000-0000E3250000}"/>
    <cellStyle name="Normal 14 16 33" xfId="10515" xr:uid="{00000000-0005-0000-0000-0000E4250000}"/>
    <cellStyle name="Normal 14 16 34" xfId="10516" xr:uid="{00000000-0005-0000-0000-0000E5250000}"/>
    <cellStyle name="Normal 14 16 35" xfId="10517" xr:uid="{00000000-0005-0000-0000-0000E6250000}"/>
    <cellStyle name="Normal 14 16 36" xfId="10518" xr:uid="{00000000-0005-0000-0000-0000E7250000}"/>
    <cellStyle name="Normal 14 16 37" xfId="10519" xr:uid="{00000000-0005-0000-0000-0000E8250000}"/>
    <cellStyle name="Normal 14 16 4" xfId="10520" xr:uid="{00000000-0005-0000-0000-0000E9250000}"/>
    <cellStyle name="Normal 14 16 5" xfId="10521" xr:uid="{00000000-0005-0000-0000-0000EA250000}"/>
    <cellStyle name="Normal 14 16 6" xfId="10522" xr:uid="{00000000-0005-0000-0000-0000EB250000}"/>
    <cellStyle name="Normal 14 16 7" xfId="10523" xr:uid="{00000000-0005-0000-0000-0000EC250000}"/>
    <cellStyle name="Normal 14 16 8" xfId="10524" xr:uid="{00000000-0005-0000-0000-0000ED250000}"/>
    <cellStyle name="Normal 14 16 9" xfId="10525" xr:uid="{00000000-0005-0000-0000-0000EE250000}"/>
    <cellStyle name="Normal 14 17" xfId="10526" xr:uid="{00000000-0005-0000-0000-0000EF250000}"/>
    <cellStyle name="Normal 14 17 10" xfId="10527" xr:uid="{00000000-0005-0000-0000-0000F0250000}"/>
    <cellStyle name="Normal 14 17 11" xfId="10528" xr:uid="{00000000-0005-0000-0000-0000F1250000}"/>
    <cellStyle name="Normal 14 17 12" xfId="10529" xr:uid="{00000000-0005-0000-0000-0000F2250000}"/>
    <cellStyle name="Normal 14 17 13" xfId="10530" xr:uid="{00000000-0005-0000-0000-0000F3250000}"/>
    <cellStyle name="Normal 14 17 14" xfId="10531" xr:uid="{00000000-0005-0000-0000-0000F4250000}"/>
    <cellStyle name="Normal 14 17 15" xfId="10532" xr:uid="{00000000-0005-0000-0000-0000F5250000}"/>
    <cellStyle name="Normal 14 17 16" xfId="10533" xr:uid="{00000000-0005-0000-0000-0000F6250000}"/>
    <cellStyle name="Normal 14 17 17" xfId="10534" xr:uid="{00000000-0005-0000-0000-0000F7250000}"/>
    <cellStyle name="Normal 14 17 18" xfId="10535" xr:uid="{00000000-0005-0000-0000-0000F8250000}"/>
    <cellStyle name="Normal 14 17 19" xfId="10536" xr:uid="{00000000-0005-0000-0000-0000F9250000}"/>
    <cellStyle name="Normal 14 17 2" xfId="10537" xr:uid="{00000000-0005-0000-0000-0000FA250000}"/>
    <cellStyle name="Normal 14 17 20" xfId="10538" xr:uid="{00000000-0005-0000-0000-0000FB250000}"/>
    <cellStyle name="Normal 14 17 21" xfId="10539" xr:uid="{00000000-0005-0000-0000-0000FC250000}"/>
    <cellStyle name="Normal 14 17 22" xfId="10540" xr:uid="{00000000-0005-0000-0000-0000FD250000}"/>
    <cellStyle name="Normal 14 17 23" xfId="10541" xr:uid="{00000000-0005-0000-0000-0000FE250000}"/>
    <cellStyle name="Normal 14 17 24" xfId="10542" xr:uid="{00000000-0005-0000-0000-0000FF250000}"/>
    <cellStyle name="Normal 14 17 25" xfId="10543" xr:uid="{00000000-0005-0000-0000-000000260000}"/>
    <cellStyle name="Normal 14 17 26" xfId="10544" xr:uid="{00000000-0005-0000-0000-000001260000}"/>
    <cellStyle name="Normal 14 17 27" xfId="10545" xr:uid="{00000000-0005-0000-0000-000002260000}"/>
    <cellStyle name="Normal 14 17 28" xfId="10546" xr:uid="{00000000-0005-0000-0000-000003260000}"/>
    <cellStyle name="Normal 14 17 29" xfId="10547" xr:uid="{00000000-0005-0000-0000-000004260000}"/>
    <cellStyle name="Normal 14 17 3" xfId="10548" xr:uid="{00000000-0005-0000-0000-000005260000}"/>
    <cellStyle name="Normal 14 17 30" xfId="10549" xr:uid="{00000000-0005-0000-0000-000006260000}"/>
    <cellStyle name="Normal 14 17 31" xfId="10550" xr:uid="{00000000-0005-0000-0000-000007260000}"/>
    <cellStyle name="Normal 14 17 32" xfId="10551" xr:uid="{00000000-0005-0000-0000-000008260000}"/>
    <cellStyle name="Normal 14 17 33" xfId="10552" xr:uid="{00000000-0005-0000-0000-000009260000}"/>
    <cellStyle name="Normal 14 17 34" xfId="10553" xr:uid="{00000000-0005-0000-0000-00000A260000}"/>
    <cellStyle name="Normal 14 17 35" xfId="10554" xr:uid="{00000000-0005-0000-0000-00000B260000}"/>
    <cellStyle name="Normal 14 17 36" xfId="10555" xr:uid="{00000000-0005-0000-0000-00000C260000}"/>
    <cellStyle name="Normal 14 17 37" xfId="10556" xr:uid="{00000000-0005-0000-0000-00000D260000}"/>
    <cellStyle name="Normal 14 17 4" xfId="10557" xr:uid="{00000000-0005-0000-0000-00000E260000}"/>
    <cellStyle name="Normal 14 17 5" xfId="10558" xr:uid="{00000000-0005-0000-0000-00000F260000}"/>
    <cellStyle name="Normal 14 17 6" xfId="10559" xr:uid="{00000000-0005-0000-0000-000010260000}"/>
    <cellStyle name="Normal 14 17 7" xfId="10560" xr:uid="{00000000-0005-0000-0000-000011260000}"/>
    <cellStyle name="Normal 14 17 8" xfId="10561" xr:uid="{00000000-0005-0000-0000-000012260000}"/>
    <cellStyle name="Normal 14 17 9" xfId="10562" xr:uid="{00000000-0005-0000-0000-000013260000}"/>
    <cellStyle name="Normal 14 18" xfId="10563" xr:uid="{00000000-0005-0000-0000-000014260000}"/>
    <cellStyle name="Normal 14 18 10" xfId="10564" xr:uid="{00000000-0005-0000-0000-000015260000}"/>
    <cellStyle name="Normal 14 18 11" xfId="10565" xr:uid="{00000000-0005-0000-0000-000016260000}"/>
    <cellStyle name="Normal 14 18 12" xfId="10566" xr:uid="{00000000-0005-0000-0000-000017260000}"/>
    <cellStyle name="Normal 14 18 13" xfId="10567" xr:uid="{00000000-0005-0000-0000-000018260000}"/>
    <cellStyle name="Normal 14 18 14" xfId="10568" xr:uid="{00000000-0005-0000-0000-000019260000}"/>
    <cellStyle name="Normal 14 18 15" xfId="10569" xr:uid="{00000000-0005-0000-0000-00001A260000}"/>
    <cellStyle name="Normal 14 18 16" xfId="10570" xr:uid="{00000000-0005-0000-0000-00001B260000}"/>
    <cellStyle name="Normal 14 18 17" xfId="10571" xr:uid="{00000000-0005-0000-0000-00001C260000}"/>
    <cellStyle name="Normal 14 18 18" xfId="10572" xr:uid="{00000000-0005-0000-0000-00001D260000}"/>
    <cellStyle name="Normal 14 18 19" xfId="10573" xr:uid="{00000000-0005-0000-0000-00001E260000}"/>
    <cellStyle name="Normal 14 18 2" xfId="10574" xr:uid="{00000000-0005-0000-0000-00001F260000}"/>
    <cellStyle name="Normal 14 18 20" xfId="10575" xr:uid="{00000000-0005-0000-0000-000020260000}"/>
    <cellStyle name="Normal 14 18 21" xfId="10576" xr:uid="{00000000-0005-0000-0000-000021260000}"/>
    <cellStyle name="Normal 14 18 22" xfId="10577" xr:uid="{00000000-0005-0000-0000-000022260000}"/>
    <cellStyle name="Normal 14 18 23" xfId="10578" xr:uid="{00000000-0005-0000-0000-000023260000}"/>
    <cellStyle name="Normal 14 18 24" xfId="10579" xr:uid="{00000000-0005-0000-0000-000024260000}"/>
    <cellStyle name="Normal 14 18 25" xfId="10580" xr:uid="{00000000-0005-0000-0000-000025260000}"/>
    <cellStyle name="Normal 14 18 26" xfId="10581" xr:uid="{00000000-0005-0000-0000-000026260000}"/>
    <cellStyle name="Normal 14 18 27" xfId="10582" xr:uid="{00000000-0005-0000-0000-000027260000}"/>
    <cellStyle name="Normal 14 18 28" xfId="10583" xr:uid="{00000000-0005-0000-0000-000028260000}"/>
    <cellStyle name="Normal 14 18 29" xfId="10584" xr:uid="{00000000-0005-0000-0000-000029260000}"/>
    <cellStyle name="Normal 14 18 3" xfId="10585" xr:uid="{00000000-0005-0000-0000-00002A260000}"/>
    <cellStyle name="Normal 14 18 30" xfId="10586" xr:uid="{00000000-0005-0000-0000-00002B260000}"/>
    <cellStyle name="Normal 14 18 31" xfId="10587" xr:uid="{00000000-0005-0000-0000-00002C260000}"/>
    <cellStyle name="Normal 14 18 32" xfId="10588" xr:uid="{00000000-0005-0000-0000-00002D260000}"/>
    <cellStyle name="Normal 14 18 33" xfId="10589" xr:uid="{00000000-0005-0000-0000-00002E260000}"/>
    <cellStyle name="Normal 14 18 34" xfId="10590" xr:uid="{00000000-0005-0000-0000-00002F260000}"/>
    <cellStyle name="Normal 14 18 35" xfId="10591" xr:uid="{00000000-0005-0000-0000-000030260000}"/>
    <cellStyle name="Normal 14 18 36" xfId="10592" xr:uid="{00000000-0005-0000-0000-000031260000}"/>
    <cellStyle name="Normal 14 18 37" xfId="10593" xr:uid="{00000000-0005-0000-0000-000032260000}"/>
    <cellStyle name="Normal 14 18 4" xfId="10594" xr:uid="{00000000-0005-0000-0000-000033260000}"/>
    <cellStyle name="Normal 14 18 5" xfId="10595" xr:uid="{00000000-0005-0000-0000-000034260000}"/>
    <cellStyle name="Normal 14 18 6" xfId="10596" xr:uid="{00000000-0005-0000-0000-000035260000}"/>
    <cellStyle name="Normal 14 18 7" xfId="10597" xr:uid="{00000000-0005-0000-0000-000036260000}"/>
    <cellStyle name="Normal 14 18 8" xfId="10598" xr:uid="{00000000-0005-0000-0000-000037260000}"/>
    <cellStyle name="Normal 14 18 9" xfId="10599" xr:uid="{00000000-0005-0000-0000-000038260000}"/>
    <cellStyle name="Normal 14 19" xfId="10600" xr:uid="{00000000-0005-0000-0000-000039260000}"/>
    <cellStyle name="Normal 14 19 10" xfId="10601" xr:uid="{00000000-0005-0000-0000-00003A260000}"/>
    <cellStyle name="Normal 14 19 11" xfId="10602" xr:uid="{00000000-0005-0000-0000-00003B260000}"/>
    <cellStyle name="Normal 14 19 12" xfId="10603" xr:uid="{00000000-0005-0000-0000-00003C260000}"/>
    <cellStyle name="Normal 14 19 13" xfId="10604" xr:uid="{00000000-0005-0000-0000-00003D260000}"/>
    <cellStyle name="Normal 14 19 14" xfId="10605" xr:uid="{00000000-0005-0000-0000-00003E260000}"/>
    <cellStyle name="Normal 14 19 15" xfId="10606" xr:uid="{00000000-0005-0000-0000-00003F260000}"/>
    <cellStyle name="Normal 14 19 16" xfId="10607" xr:uid="{00000000-0005-0000-0000-000040260000}"/>
    <cellStyle name="Normal 14 19 17" xfId="10608" xr:uid="{00000000-0005-0000-0000-000041260000}"/>
    <cellStyle name="Normal 14 19 18" xfId="10609" xr:uid="{00000000-0005-0000-0000-000042260000}"/>
    <cellStyle name="Normal 14 19 19" xfId="10610" xr:uid="{00000000-0005-0000-0000-000043260000}"/>
    <cellStyle name="Normal 14 19 2" xfId="10611" xr:uid="{00000000-0005-0000-0000-000044260000}"/>
    <cellStyle name="Normal 14 19 20" xfId="10612" xr:uid="{00000000-0005-0000-0000-000045260000}"/>
    <cellStyle name="Normal 14 19 21" xfId="10613" xr:uid="{00000000-0005-0000-0000-000046260000}"/>
    <cellStyle name="Normal 14 19 22" xfId="10614" xr:uid="{00000000-0005-0000-0000-000047260000}"/>
    <cellStyle name="Normal 14 19 23" xfId="10615" xr:uid="{00000000-0005-0000-0000-000048260000}"/>
    <cellStyle name="Normal 14 19 24" xfId="10616" xr:uid="{00000000-0005-0000-0000-000049260000}"/>
    <cellStyle name="Normal 14 19 25" xfId="10617" xr:uid="{00000000-0005-0000-0000-00004A260000}"/>
    <cellStyle name="Normal 14 19 26" xfId="10618" xr:uid="{00000000-0005-0000-0000-00004B260000}"/>
    <cellStyle name="Normal 14 19 27" xfId="10619" xr:uid="{00000000-0005-0000-0000-00004C260000}"/>
    <cellStyle name="Normal 14 19 28" xfId="10620" xr:uid="{00000000-0005-0000-0000-00004D260000}"/>
    <cellStyle name="Normal 14 19 29" xfId="10621" xr:uid="{00000000-0005-0000-0000-00004E260000}"/>
    <cellStyle name="Normal 14 19 3" xfId="10622" xr:uid="{00000000-0005-0000-0000-00004F260000}"/>
    <cellStyle name="Normal 14 19 30" xfId="10623" xr:uid="{00000000-0005-0000-0000-000050260000}"/>
    <cellStyle name="Normal 14 19 31" xfId="10624" xr:uid="{00000000-0005-0000-0000-000051260000}"/>
    <cellStyle name="Normal 14 19 32" xfId="10625" xr:uid="{00000000-0005-0000-0000-000052260000}"/>
    <cellStyle name="Normal 14 19 33" xfId="10626" xr:uid="{00000000-0005-0000-0000-000053260000}"/>
    <cellStyle name="Normal 14 19 34" xfId="10627" xr:uid="{00000000-0005-0000-0000-000054260000}"/>
    <cellStyle name="Normal 14 19 35" xfId="10628" xr:uid="{00000000-0005-0000-0000-000055260000}"/>
    <cellStyle name="Normal 14 19 36" xfId="10629" xr:uid="{00000000-0005-0000-0000-000056260000}"/>
    <cellStyle name="Normal 14 19 37" xfId="10630" xr:uid="{00000000-0005-0000-0000-000057260000}"/>
    <cellStyle name="Normal 14 19 4" xfId="10631" xr:uid="{00000000-0005-0000-0000-000058260000}"/>
    <cellStyle name="Normal 14 19 5" xfId="10632" xr:uid="{00000000-0005-0000-0000-000059260000}"/>
    <cellStyle name="Normal 14 19 6" xfId="10633" xr:uid="{00000000-0005-0000-0000-00005A260000}"/>
    <cellStyle name="Normal 14 19 7" xfId="10634" xr:uid="{00000000-0005-0000-0000-00005B260000}"/>
    <cellStyle name="Normal 14 19 8" xfId="10635" xr:uid="{00000000-0005-0000-0000-00005C260000}"/>
    <cellStyle name="Normal 14 19 9" xfId="10636" xr:uid="{00000000-0005-0000-0000-00005D260000}"/>
    <cellStyle name="Normal 14 2" xfId="10637" xr:uid="{00000000-0005-0000-0000-00005E260000}"/>
    <cellStyle name="Normal 14 2 2" xfId="10638" xr:uid="{00000000-0005-0000-0000-00005F260000}"/>
    <cellStyle name="Normal 14 20" xfId="10639" xr:uid="{00000000-0005-0000-0000-000060260000}"/>
    <cellStyle name="Normal 14 20 10" xfId="10640" xr:uid="{00000000-0005-0000-0000-000061260000}"/>
    <cellStyle name="Normal 14 20 11" xfId="10641" xr:uid="{00000000-0005-0000-0000-000062260000}"/>
    <cellStyle name="Normal 14 20 12" xfId="10642" xr:uid="{00000000-0005-0000-0000-000063260000}"/>
    <cellStyle name="Normal 14 20 13" xfId="10643" xr:uid="{00000000-0005-0000-0000-000064260000}"/>
    <cellStyle name="Normal 14 20 14" xfId="10644" xr:uid="{00000000-0005-0000-0000-000065260000}"/>
    <cellStyle name="Normal 14 20 15" xfId="10645" xr:uid="{00000000-0005-0000-0000-000066260000}"/>
    <cellStyle name="Normal 14 20 16" xfId="10646" xr:uid="{00000000-0005-0000-0000-000067260000}"/>
    <cellStyle name="Normal 14 20 17" xfId="10647" xr:uid="{00000000-0005-0000-0000-000068260000}"/>
    <cellStyle name="Normal 14 20 18" xfId="10648" xr:uid="{00000000-0005-0000-0000-000069260000}"/>
    <cellStyle name="Normal 14 20 19" xfId="10649" xr:uid="{00000000-0005-0000-0000-00006A260000}"/>
    <cellStyle name="Normal 14 20 2" xfId="10650" xr:uid="{00000000-0005-0000-0000-00006B260000}"/>
    <cellStyle name="Normal 14 20 20" xfId="10651" xr:uid="{00000000-0005-0000-0000-00006C260000}"/>
    <cellStyle name="Normal 14 20 21" xfId="10652" xr:uid="{00000000-0005-0000-0000-00006D260000}"/>
    <cellStyle name="Normal 14 20 22" xfId="10653" xr:uid="{00000000-0005-0000-0000-00006E260000}"/>
    <cellStyle name="Normal 14 20 23" xfId="10654" xr:uid="{00000000-0005-0000-0000-00006F260000}"/>
    <cellStyle name="Normal 14 20 24" xfId="10655" xr:uid="{00000000-0005-0000-0000-000070260000}"/>
    <cellStyle name="Normal 14 20 25" xfId="10656" xr:uid="{00000000-0005-0000-0000-000071260000}"/>
    <cellStyle name="Normal 14 20 26" xfId="10657" xr:uid="{00000000-0005-0000-0000-000072260000}"/>
    <cellStyle name="Normal 14 20 27" xfId="10658" xr:uid="{00000000-0005-0000-0000-000073260000}"/>
    <cellStyle name="Normal 14 20 28" xfId="10659" xr:uid="{00000000-0005-0000-0000-000074260000}"/>
    <cellStyle name="Normal 14 20 29" xfId="10660" xr:uid="{00000000-0005-0000-0000-000075260000}"/>
    <cellStyle name="Normal 14 20 3" xfId="10661" xr:uid="{00000000-0005-0000-0000-000076260000}"/>
    <cellStyle name="Normal 14 20 30" xfId="10662" xr:uid="{00000000-0005-0000-0000-000077260000}"/>
    <cellStyle name="Normal 14 20 31" xfId="10663" xr:uid="{00000000-0005-0000-0000-000078260000}"/>
    <cellStyle name="Normal 14 20 32" xfId="10664" xr:uid="{00000000-0005-0000-0000-000079260000}"/>
    <cellStyle name="Normal 14 20 33" xfId="10665" xr:uid="{00000000-0005-0000-0000-00007A260000}"/>
    <cellStyle name="Normal 14 20 34" xfId="10666" xr:uid="{00000000-0005-0000-0000-00007B260000}"/>
    <cellStyle name="Normal 14 20 35" xfId="10667" xr:uid="{00000000-0005-0000-0000-00007C260000}"/>
    <cellStyle name="Normal 14 20 36" xfId="10668" xr:uid="{00000000-0005-0000-0000-00007D260000}"/>
    <cellStyle name="Normal 14 20 37" xfId="10669" xr:uid="{00000000-0005-0000-0000-00007E260000}"/>
    <cellStyle name="Normal 14 20 4" xfId="10670" xr:uid="{00000000-0005-0000-0000-00007F260000}"/>
    <cellStyle name="Normal 14 20 5" xfId="10671" xr:uid="{00000000-0005-0000-0000-000080260000}"/>
    <cellStyle name="Normal 14 20 6" xfId="10672" xr:uid="{00000000-0005-0000-0000-000081260000}"/>
    <cellStyle name="Normal 14 20 7" xfId="10673" xr:uid="{00000000-0005-0000-0000-000082260000}"/>
    <cellStyle name="Normal 14 20 8" xfId="10674" xr:uid="{00000000-0005-0000-0000-000083260000}"/>
    <cellStyle name="Normal 14 20 9" xfId="10675" xr:uid="{00000000-0005-0000-0000-000084260000}"/>
    <cellStyle name="Normal 14 21" xfId="10676" xr:uid="{00000000-0005-0000-0000-000085260000}"/>
    <cellStyle name="Normal 14 21 10" xfId="10677" xr:uid="{00000000-0005-0000-0000-000086260000}"/>
    <cellStyle name="Normal 14 21 11" xfId="10678" xr:uid="{00000000-0005-0000-0000-000087260000}"/>
    <cellStyle name="Normal 14 21 12" xfId="10679" xr:uid="{00000000-0005-0000-0000-000088260000}"/>
    <cellStyle name="Normal 14 21 13" xfId="10680" xr:uid="{00000000-0005-0000-0000-000089260000}"/>
    <cellStyle name="Normal 14 21 14" xfId="10681" xr:uid="{00000000-0005-0000-0000-00008A260000}"/>
    <cellStyle name="Normal 14 21 15" xfId="10682" xr:uid="{00000000-0005-0000-0000-00008B260000}"/>
    <cellStyle name="Normal 14 21 16" xfId="10683" xr:uid="{00000000-0005-0000-0000-00008C260000}"/>
    <cellStyle name="Normal 14 21 17" xfId="10684" xr:uid="{00000000-0005-0000-0000-00008D260000}"/>
    <cellStyle name="Normal 14 21 18" xfId="10685" xr:uid="{00000000-0005-0000-0000-00008E260000}"/>
    <cellStyle name="Normal 14 21 19" xfId="10686" xr:uid="{00000000-0005-0000-0000-00008F260000}"/>
    <cellStyle name="Normal 14 21 2" xfId="10687" xr:uid="{00000000-0005-0000-0000-000090260000}"/>
    <cellStyle name="Normal 14 21 20" xfId="10688" xr:uid="{00000000-0005-0000-0000-000091260000}"/>
    <cellStyle name="Normal 14 21 21" xfId="10689" xr:uid="{00000000-0005-0000-0000-000092260000}"/>
    <cellStyle name="Normal 14 21 22" xfId="10690" xr:uid="{00000000-0005-0000-0000-000093260000}"/>
    <cellStyle name="Normal 14 21 23" xfId="10691" xr:uid="{00000000-0005-0000-0000-000094260000}"/>
    <cellStyle name="Normal 14 21 24" xfId="10692" xr:uid="{00000000-0005-0000-0000-000095260000}"/>
    <cellStyle name="Normal 14 21 25" xfId="10693" xr:uid="{00000000-0005-0000-0000-000096260000}"/>
    <cellStyle name="Normal 14 21 26" xfId="10694" xr:uid="{00000000-0005-0000-0000-000097260000}"/>
    <cellStyle name="Normal 14 21 27" xfId="10695" xr:uid="{00000000-0005-0000-0000-000098260000}"/>
    <cellStyle name="Normal 14 21 28" xfId="10696" xr:uid="{00000000-0005-0000-0000-000099260000}"/>
    <cellStyle name="Normal 14 21 29" xfId="10697" xr:uid="{00000000-0005-0000-0000-00009A260000}"/>
    <cellStyle name="Normal 14 21 3" xfId="10698" xr:uid="{00000000-0005-0000-0000-00009B260000}"/>
    <cellStyle name="Normal 14 21 30" xfId="10699" xr:uid="{00000000-0005-0000-0000-00009C260000}"/>
    <cellStyle name="Normal 14 21 31" xfId="10700" xr:uid="{00000000-0005-0000-0000-00009D260000}"/>
    <cellStyle name="Normal 14 21 32" xfId="10701" xr:uid="{00000000-0005-0000-0000-00009E260000}"/>
    <cellStyle name="Normal 14 21 33" xfId="10702" xr:uid="{00000000-0005-0000-0000-00009F260000}"/>
    <cellStyle name="Normal 14 21 34" xfId="10703" xr:uid="{00000000-0005-0000-0000-0000A0260000}"/>
    <cellStyle name="Normal 14 21 35" xfId="10704" xr:uid="{00000000-0005-0000-0000-0000A1260000}"/>
    <cellStyle name="Normal 14 21 36" xfId="10705" xr:uid="{00000000-0005-0000-0000-0000A2260000}"/>
    <cellStyle name="Normal 14 21 37" xfId="10706" xr:uid="{00000000-0005-0000-0000-0000A3260000}"/>
    <cellStyle name="Normal 14 21 4" xfId="10707" xr:uid="{00000000-0005-0000-0000-0000A4260000}"/>
    <cellStyle name="Normal 14 21 5" xfId="10708" xr:uid="{00000000-0005-0000-0000-0000A5260000}"/>
    <cellStyle name="Normal 14 21 6" xfId="10709" xr:uid="{00000000-0005-0000-0000-0000A6260000}"/>
    <cellStyle name="Normal 14 21 7" xfId="10710" xr:uid="{00000000-0005-0000-0000-0000A7260000}"/>
    <cellStyle name="Normal 14 21 8" xfId="10711" xr:uid="{00000000-0005-0000-0000-0000A8260000}"/>
    <cellStyle name="Normal 14 21 9" xfId="10712" xr:uid="{00000000-0005-0000-0000-0000A9260000}"/>
    <cellStyle name="Normal 14 22" xfId="10713" xr:uid="{00000000-0005-0000-0000-0000AA260000}"/>
    <cellStyle name="Normal 14 22 10" xfId="10714" xr:uid="{00000000-0005-0000-0000-0000AB260000}"/>
    <cellStyle name="Normal 14 22 11" xfId="10715" xr:uid="{00000000-0005-0000-0000-0000AC260000}"/>
    <cellStyle name="Normal 14 22 12" xfId="10716" xr:uid="{00000000-0005-0000-0000-0000AD260000}"/>
    <cellStyle name="Normal 14 22 13" xfId="10717" xr:uid="{00000000-0005-0000-0000-0000AE260000}"/>
    <cellStyle name="Normal 14 22 14" xfId="10718" xr:uid="{00000000-0005-0000-0000-0000AF260000}"/>
    <cellStyle name="Normal 14 22 15" xfId="10719" xr:uid="{00000000-0005-0000-0000-0000B0260000}"/>
    <cellStyle name="Normal 14 22 16" xfId="10720" xr:uid="{00000000-0005-0000-0000-0000B1260000}"/>
    <cellStyle name="Normal 14 22 17" xfId="10721" xr:uid="{00000000-0005-0000-0000-0000B2260000}"/>
    <cellStyle name="Normal 14 22 18" xfId="10722" xr:uid="{00000000-0005-0000-0000-0000B3260000}"/>
    <cellStyle name="Normal 14 22 19" xfId="10723" xr:uid="{00000000-0005-0000-0000-0000B4260000}"/>
    <cellStyle name="Normal 14 22 2" xfId="10724" xr:uid="{00000000-0005-0000-0000-0000B5260000}"/>
    <cellStyle name="Normal 14 22 20" xfId="10725" xr:uid="{00000000-0005-0000-0000-0000B6260000}"/>
    <cellStyle name="Normal 14 22 21" xfId="10726" xr:uid="{00000000-0005-0000-0000-0000B7260000}"/>
    <cellStyle name="Normal 14 22 22" xfId="10727" xr:uid="{00000000-0005-0000-0000-0000B8260000}"/>
    <cellStyle name="Normal 14 22 23" xfId="10728" xr:uid="{00000000-0005-0000-0000-0000B9260000}"/>
    <cellStyle name="Normal 14 22 24" xfId="10729" xr:uid="{00000000-0005-0000-0000-0000BA260000}"/>
    <cellStyle name="Normal 14 22 25" xfId="10730" xr:uid="{00000000-0005-0000-0000-0000BB260000}"/>
    <cellStyle name="Normal 14 22 26" xfId="10731" xr:uid="{00000000-0005-0000-0000-0000BC260000}"/>
    <cellStyle name="Normal 14 22 27" xfId="10732" xr:uid="{00000000-0005-0000-0000-0000BD260000}"/>
    <cellStyle name="Normal 14 22 28" xfId="10733" xr:uid="{00000000-0005-0000-0000-0000BE260000}"/>
    <cellStyle name="Normal 14 22 29" xfId="10734" xr:uid="{00000000-0005-0000-0000-0000BF260000}"/>
    <cellStyle name="Normal 14 22 3" xfId="10735" xr:uid="{00000000-0005-0000-0000-0000C0260000}"/>
    <cellStyle name="Normal 14 22 30" xfId="10736" xr:uid="{00000000-0005-0000-0000-0000C1260000}"/>
    <cellStyle name="Normal 14 22 31" xfId="10737" xr:uid="{00000000-0005-0000-0000-0000C2260000}"/>
    <cellStyle name="Normal 14 22 32" xfId="10738" xr:uid="{00000000-0005-0000-0000-0000C3260000}"/>
    <cellStyle name="Normal 14 22 33" xfId="10739" xr:uid="{00000000-0005-0000-0000-0000C4260000}"/>
    <cellStyle name="Normal 14 22 34" xfId="10740" xr:uid="{00000000-0005-0000-0000-0000C5260000}"/>
    <cellStyle name="Normal 14 22 35" xfId="10741" xr:uid="{00000000-0005-0000-0000-0000C6260000}"/>
    <cellStyle name="Normal 14 22 36" xfId="10742" xr:uid="{00000000-0005-0000-0000-0000C7260000}"/>
    <cellStyle name="Normal 14 22 37" xfId="10743" xr:uid="{00000000-0005-0000-0000-0000C8260000}"/>
    <cellStyle name="Normal 14 22 4" xfId="10744" xr:uid="{00000000-0005-0000-0000-0000C9260000}"/>
    <cellStyle name="Normal 14 22 5" xfId="10745" xr:uid="{00000000-0005-0000-0000-0000CA260000}"/>
    <cellStyle name="Normal 14 22 6" xfId="10746" xr:uid="{00000000-0005-0000-0000-0000CB260000}"/>
    <cellStyle name="Normal 14 22 7" xfId="10747" xr:uid="{00000000-0005-0000-0000-0000CC260000}"/>
    <cellStyle name="Normal 14 22 8" xfId="10748" xr:uid="{00000000-0005-0000-0000-0000CD260000}"/>
    <cellStyle name="Normal 14 22 9" xfId="10749" xr:uid="{00000000-0005-0000-0000-0000CE260000}"/>
    <cellStyle name="Normal 14 23" xfId="10750" xr:uid="{00000000-0005-0000-0000-0000CF260000}"/>
    <cellStyle name="Normal 14 23 10" xfId="10751" xr:uid="{00000000-0005-0000-0000-0000D0260000}"/>
    <cellStyle name="Normal 14 23 11" xfId="10752" xr:uid="{00000000-0005-0000-0000-0000D1260000}"/>
    <cellStyle name="Normal 14 23 12" xfId="10753" xr:uid="{00000000-0005-0000-0000-0000D2260000}"/>
    <cellStyle name="Normal 14 23 13" xfId="10754" xr:uid="{00000000-0005-0000-0000-0000D3260000}"/>
    <cellStyle name="Normal 14 23 14" xfId="10755" xr:uid="{00000000-0005-0000-0000-0000D4260000}"/>
    <cellStyle name="Normal 14 23 15" xfId="10756" xr:uid="{00000000-0005-0000-0000-0000D5260000}"/>
    <cellStyle name="Normal 14 23 16" xfId="10757" xr:uid="{00000000-0005-0000-0000-0000D6260000}"/>
    <cellStyle name="Normal 14 23 17" xfId="10758" xr:uid="{00000000-0005-0000-0000-0000D7260000}"/>
    <cellStyle name="Normal 14 23 18" xfId="10759" xr:uid="{00000000-0005-0000-0000-0000D8260000}"/>
    <cellStyle name="Normal 14 23 19" xfId="10760" xr:uid="{00000000-0005-0000-0000-0000D9260000}"/>
    <cellStyle name="Normal 14 23 2" xfId="10761" xr:uid="{00000000-0005-0000-0000-0000DA260000}"/>
    <cellStyle name="Normal 14 23 20" xfId="10762" xr:uid="{00000000-0005-0000-0000-0000DB260000}"/>
    <cellStyle name="Normal 14 23 21" xfId="10763" xr:uid="{00000000-0005-0000-0000-0000DC260000}"/>
    <cellStyle name="Normal 14 23 22" xfId="10764" xr:uid="{00000000-0005-0000-0000-0000DD260000}"/>
    <cellStyle name="Normal 14 23 23" xfId="10765" xr:uid="{00000000-0005-0000-0000-0000DE260000}"/>
    <cellStyle name="Normal 14 23 24" xfId="10766" xr:uid="{00000000-0005-0000-0000-0000DF260000}"/>
    <cellStyle name="Normal 14 23 25" xfId="10767" xr:uid="{00000000-0005-0000-0000-0000E0260000}"/>
    <cellStyle name="Normal 14 23 26" xfId="10768" xr:uid="{00000000-0005-0000-0000-0000E1260000}"/>
    <cellStyle name="Normal 14 23 27" xfId="10769" xr:uid="{00000000-0005-0000-0000-0000E2260000}"/>
    <cellStyle name="Normal 14 23 28" xfId="10770" xr:uid="{00000000-0005-0000-0000-0000E3260000}"/>
    <cellStyle name="Normal 14 23 29" xfId="10771" xr:uid="{00000000-0005-0000-0000-0000E4260000}"/>
    <cellStyle name="Normal 14 23 3" xfId="10772" xr:uid="{00000000-0005-0000-0000-0000E5260000}"/>
    <cellStyle name="Normal 14 23 30" xfId="10773" xr:uid="{00000000-0005-0000-0000-0000E6260000}"/>
    <cellStyle name="Normal 14 23 31" xfId="10774" xr:uid="{00000000-0005-0000-0000-0000E7260000}"/>
    <cellStyle name="Normal 14 23 32" xfId="10775" xr:uid="{00000000-0005-0000-0000-0000E8260000}"/>
    <cellStyle name="Normal 14 23 33" xfId="10776" xr:uid="{00000000-0005-0000-0000-0000E9260000}"/>
    <cellStyle name="Normal 14 23 34" xfId="10777" xr:uid="{00000000-0005-0000-0000-0000EA260000}"/>
    <cellStyle name="Normal 14 23 35" xfId="10778" xr:uid="{00000000-0005-0000-0000-0000EB260000}"/>
    <cellStyle name="Normal 14 23 36" xfId="10779" xr:uid="{00000000-0005-0000-0000-0000EC260000}"/>
    <cellStyle name="Normal 14 23 37" xfId="10780" xr:uid="{00000000-0005-0000-0000-0000ED260000}"/>
    <cellStyle name="Normal 14 23 4" xfId="10781" xr:uid="{00000000-0005-0000-0000-0000EE260000}"/>
    <cellStyle name="Normal 14 23 5" xfId="10782" xr:uid="{00000000-0005-0000-0000-0000EF260000}"/>
    <cellStyle name="Normal 14 23 6" xfId="10783" xr:uid="{00000000-0005-0000-0000-0000F0260000}"/>
    <cellStyle name="Normal 14 23 7" xfId="10784" xr:uid="{00000000-0005-0000-0000-0000F1260000}"/>
    <cellStyle name="Normal 14 23 8" xfId="10785" xr:uid="{00000000-0005-0000-0000-0000F2260000}"/>
    <cellStyle name="Normal 14 23 9" xfId="10786" xr:uid="{00000000-0005-0000-0000-0000F3260000}"/>
    <cellStyle name="Normal 14 24" xfId="10787" xr:uid="{00000000-0005-0000-0000-0000F4260000}"/>
    <cellStyle name="Normal 14 24 10" xfId="10788" xr:uid="{00000000-0005-0000-0000-0000F5260000}"/>
    <cellStyle name="Normal 14 24 11" xfId="10789" xr:uid="{00000000-0005-0000-0000-0000F6260000}"/>
    <cellStyle name="Normal 14 24 12" xfId="10790" xr:uid="{00000000-0005-0000-0000-0000F7260000}"/>
    <cellStyle name="Normal 14 24 13" xfId="10791" xr:uid="{00000000-0005-0000-0000-0000F8260000}"/>
    <cellStyle name="Normal 14 24 14" xfId="10792" xr:uid="{00000000-0005-0000-0000-0000F9260000}"/>
    <cellStyle name="Normal 14 24 15" xfId="10793" xr:uid="{00000000-0005-0000-0000-0000FA260000}"/>
    <cellStyle name="Normal 14 24 16" xfId="10794" xr:uid="{00000000-0005-0000-0000-0000FB260000}"/>
    <cellStyle name="Normal 14 24 17" xfId="10795" xr:uid="{00000000-0005-0000-0000-0000FC260000}"/>
    <cellStyle name="Normal 14 24 18" xfId="10796" xr:uid="{00000000-0005-0000-0000-0000FD260000}"/>
    <cellStyle name="Normal 14 24 19" xfId="10797" xr:uid="{00000000-0005-0000-0000-0000FE260000}"/>
    <cellStyle name="Normal 14 24 2" xfId="10798" xr:uid="{00000000-0005-0000-0000-0000FF260000}"/>
    <cellStyle name="Normal 14 24 20" xfId="10799" xr:uid="{00000000-0005-0000-0000-000000270000}"/>
    <cellStyle name="Normal 14 24 21" xfId="10800" xr:uid="{00000000-0005-0000-0000-000001270000}"/>
    <cellStyle name="Normal 14 24 22" xfId="10801" xr:uid="{00000000-0005-0000-0000-000002270000}"/>
    <cellStyle name="Normal 14 24 23" xfId="10802" xr:uid="{00000000-0005-0000-0000-000003270000}"/>
    <cellStyle name="Normal 14 24 24" xfId="10803" xr:uid="{00000000-0005-0000-0000-000004270000}"/>
    <cellStyle name="Normal 14 24 25" xfId="10804" xr:uid="{00000000-0005-0000-0000-000005270000}"/>
    <cellStyle name="Normal 14 24 26" xfId="10805" xr:uid="{00000000-0005-0000-0000-000006270000}"/>
    <cellStyle name="Normal 14 24 27" xfId="10806" xr:uid="{00000000-0005-0000-0000-000007270000}"/>
    <cellStyle name="Normal 14 24 28" xfId="10807" xr:uid="{00000000-0005-0000-0000-000008270000}"/>
    <cellStyle name="Normal 14 24 29" xfId="10808" xr:uid="{00000000-0005-0000-0000-000009270000}"/>
    <cellStyle name="Normal 14 24 3" xfId="10809" xr:uid="{00000000-0005-0000-0000-00000A270000}"/>
    <cellStyle name="Normal 14 24 30" xfId="10810" xr:uid="{00000000-0005-0000-0000-00000B270000}"/>
    <cellStyle name="Normal 14 24 31" xfId="10811" xr:uid="{00000000-0005-0000-0000-00000C270000}"/>
    <cellStyle name="Normal 14 24 32" xfId="10812" xr:uid="{00000000-0005-0000-0000-00000D270000}"/>
    <cellStyle name="Normal 14 24 33" xfId="10813" xr:uid="{00000000-0005-0000-0000-00000E270000}"/>
    <cellStyle name="Normal 14 24 34" xfId="10814" xr:uid="{00000000-0005-0000-0000-00000F270000}"/>
    <cellStyle name="Normal 14 24 35" xfId="10815" xr:uid="{00000000-0005-0000-0000-000010270000}"/>
    <cellStyle name="Normal 14 24 36" xfId="10816" xr:uid="{00000000-0005-0000-0000-000011270000}"/>
    <cellStyle name="Normal 14 24 37" xfId="10817" xr:uid="{00000000-0005-0000-0000-000012270000}"/>
    <cellStyle name="Normal 14 24 4" xfId="10818" xr:uid="{00000000-0005-0000-0000-000013270000}"/>
    <cellStyle name="Normal 14 24 5" xfId="10819" xr:uid="{00000000-0005-0000-0000-000014270000}"/>
    <cellStyle name="Normal 14 24 6" xfId="10820" xr:uid="{00000000-0005-0000-0000-000015270000}"/>
    <cellStyle name="Normal 14 24 7" xfId="10821" xr:uid="{00000000-0005-0000-0000-000016270000}"/>
    <cellStyle name="Normal 14 24 8" xfId="10822" xr:uid="{00000000-0005-0000-0000-000017270000}"/>
    <cellStyle name="Normal 14 24 9" xfId="10823" xr:uid="{00000000-0005-0000-0000-000018270000}"/>
    <cellStyle name="Normal 14 25" xfId="10824" xr:uid="{00000000-0005-0000-0000-000019270000}"/>
    <cellStyle name="Normal 14 26" xfId="10825" xr:uid="{00000000-0005-0000-0000-00001A270000}"/>
    <cellStyle name="Normal 14 27" xfId="10826" xr:uid="{00000000-0005-0000-0000-00001B270000}"/>
    <cellStyle name="Normal 14 28" xfId="10827" xr:uid="{00000000-0005-0000-0000-00001C270000}"/>
    <cellStyle name="Normal 14 29" xfId="10828" xr:uid="{00000000-0005-0000-0000-00001D270000}"/>
    <cellStyle name="Normal 14 3" xfId="10829" xr:uid="{00000000-0005-0000-0000-00001E270000}"/>
    <cellStyle name="Normal 14 30" xfId="10830" xr:uid="{00000000-0005-0000-0000-00001F270000}"/>
    <cellStyle name="Normal 14 31" xfId="10831" xr:uid="{00000000-0005-0000-0000-000020270000}"/>
    <cellStyle name="Normal 14 32" xfId="10832" xr:uid="{00000000-0005-0000-0000-000021270000}"/>
    <cellStyle name="Normal 14 33" xfId="10833" xr:uid="{00000000-0005-0000-0000-000022270000}"/>
    <cellStyle name="Normal 14 34" xfId="10834" xr:uid="{00000000-0005-0000-0000-000023270000}"/>
    <cellStyle name="Normal 14 35" xfId="10835" xr:uid="{00000000-0005-0000-0000-000024270000}"/>
    <cellStyle name="Normal 14 36" xfId="10836" xr:uid="{00000000-0005-0000-0000-000025270000}"/>
    <cellStyle name="Normal 14 37" xfId="10837" xr:uid="{00000000-0005-0000-0000-000026270000}"/>
    <cellStyle name="Normal 14 38" xfId="10838" xr:uid="{00000000-0005-0000-0000-000027270000}"/>
    <cellStyle name="Normal 14 39" xfId="10839" xr:uid="{00000000-0005-0000-0000-000028270000}"/>
    <cellStyle name="Normal 14 4" xfId="10840" xr:uid="{00000000-0005-0000-0000-000029270000}"/>
    <cellStyle name="Normal 14 40" xfId="10841" xr:uid="{00000000-0005-0000-0000-00002A270000}"/>
    <cellStyle name="Normal 14 41" xfId="10842" xr:uid="{00000000-0005-0000-0000-00002B270000}"/>
    <cellStyle name="Normal 14 42" xfId="10843" xr:uid="{00000000-0005-0000-0000-00002C270000}"/>
    <cellStyle name="Normal 14 43" xfId="10844" xr:uid="{00000000-0005-0000-0000-00002D270000}"/>
    <cellStyle name="Normal 14 44" xfId="10845" xr:uid="{00000000-0005-0000-0000-00002E270000}"/>
    <cellStyle name="Normal 14 45" xfId="10846" xr:uid="{00000000-0005-0000-0000-00002F270000}"/>
    <cellStyle name="Normal 14 46" xfId="10847" xr:uid="{00000000-0005-0000-0000-000030270000}"/>
    <cellStyle name="Normal 14 47" xfId="10848" xr:uid="{00000000-0005-0000-0000-000031270000}"/>
    <cellStyle name="Normal 14 48" xfId="10849" xr:uid="{00000000-0005-0000-0000-000032270000}"/>
    <cellStyle name="Normal 14 49" xfId="10850" xr:uid="{00000000-0005-0000-0000-000033270000}"/>
    <cellStyle name="Normal 14 5" xfId="10851" xr:uid="{00000000-0005-0000-0000-000034270000}"/>
    <cellStyle name="Normal 14 50" xfId="10852" xr:uid="{00000000-0005-0000-0000-000035270000}"/>
    <cellStyle name="Normal 14 51" xfId="10853" xr:uid="{00000000-0005-0000-0000-000036270000}"/>
    <cellStyle name="Normal 14 52" xfId="10854" xr:uid="{00000000-0005-0000-0000-000037270000}"/>
    <cellStyle name="Normal 14 53" xfId="10855" xr:uid="{00000000-0005-0000-0000-000038270000}"/>
    <cellStyle name="Normal 14 54" xfId="10856" xr:uid="{00000000-0005-0000-0000-000039270000}"/>
    <cellStyle name="Normal 14 55" xfId="10857" xr:uid="{00000000-0005-0000-0000-00003A270000}"/>
    <cellStyle name="Normal 14 56" xfId="10858" xr:uid="{00000000-0005-0000-0000-00003B270000}"/>
    <cellStyle name="Normal 14 57" xfId="10859" xr:uid="{00000000-0005-0000-0000-00003C270000}"/>
    <cellStyle name="Normal 14 58" xfId="43606" xr:uid="{45FB16FA-E330-4AC3-8DFF-0DE21B1176C1}"/>
    <cellStyle name="Normal 14 6" xfId="10860" xr:uid="{00000000-0005-0000-0000-00003D270000}"/>
    <cellStyle name="Normal 14 7" xfId="10861" xr:uid="{00000000-0005-0000-0000-00003E270000}"/>
    <cellStyle name="Normal 14 8" xfId="10862" xr:uid="{00000000-0005-0000-0000-00003F270000}"/>
    <cellStyle name="Normal 14 9" xfId="10863" xr:uid="{00000000-0005-0000-0000-000040270000}"/>
    <cellStyle name="Normal 14 9 10" xfId="10864" xr:uid="{00000000-0005-0000-0000-000041270000}"/>
    <cellStyle name="Normal 14 9 11" xfId="10865" xr:uid="{00000000-0005-0000-0000-000042270000}"/>
    <cellStyle name="Normal 14 9 12" xfId="10866" xr:uid="{00000000-0005-0000-0000-000043270000}"/>
    <cellStyle name="Normal 14 9 13" xfId="10867" xr:uid="{00000000-0005-0000-0000-000044270000}"/>
    <cellStyle name="Normal 14 9 14" xfId="10868" xr:uid="{00000000-0005-0000-0000-000045270000}"/>
    <cellStyle name="Normal 14 9 15" xfId="10869" xr:uid="{00000000-0005-0000-0000-000046270000}"/>
    <cellStyle name="Normal 14 9 16" xfId="10870" xr:uid="{00000000-0005-0000-0000-000047270000}"/>
    <cellStyle name="Normal 14 9 17" xfId="10871" xr:uid="{00000000-0005-0000-0000-000048270000}"/>
    <cellStyle name="Normal 14 9 18" xfId="10872" xr:uid="{00000000-0005-0000-0000-000049270000}"/>
    <cellStyle name="Normal 14 9 19" xfId="10873" xr:uid="{00000000-0005-0000-0000-00004A270000}"/>
    <cellStyle name="Normal 14 9 2" xfId="10874" xr:uid="{00000000-0005-0000-0000-00004B270000}"/>
    <cellStyle name="Normal 14 9 20" xfId="10875" xr:uid="{00000000-0005-0000-0000-00004C270000}"/>
    <cellStyle name="Normal 14 9 21" xfId="10876" xr:uid="{00000000-0005-0000-0000-00004D270000}"/>
    <cellStyle name="Normal 14 9 22" xfId="10877" xr:uid="{00000000-0005-0000-0000-00004E270000}"/>
    <cellStyle name="Normal 14 9 23" xfId="10878" xr:uid="{00000000-0005-0000-0000-00004F270000}"/>
    <cellStyle name="Normal 14 9 24" xfId="10879" xr:uid="{00000000-0005-0000-0000-000050270000}"/>
    <cellStyle name="Normal 14 9 25" xfId="10880" xr:uid="{00000000-0005-0000-0000-000051270000}"/>
    <cellStyle name="Normal 14 9 26" xfId="10881" xr:uid="{00000000-0005-0000-0000-000052270000}"/>
    <cellStyle name="Normal 14 9 27" xfId="10882" xr:uid="{00000000-0005-0000-0000-000053270000}"/>
    <cellStyle name="Normal 14 9 28" xfId="10883" xr:uid="{00000000-0005-0000-0000-000054270000}"/>
    <cellStyle name="Normal 14 9 29" xfId="10884" xr:uid="{00000000-0005-0000-0000-000055270000}"/>
    <cellStyle name="Normal 14 9 3" xfId="10885" xr:uid="{00000000-0005-0000-0000-000056270000}"/>
    <cellStyle name="Normal 14 9 30" xfId="10886" xr:uid="{00000000-0005-0000-0000-000057270000}"/>
    <cellStyle name="Normal 14 9 31" xfId="10887" xr:uid="{00000000-0005-0000-0000-000058270000}"/>
    <cellStyle name="Normal 14 9 32" xfId="10888" xr:uid="{00000000-0005-0000-0000-000059270000}"/>
    <cellStyle name="Normal 14 9 33" xfId="10889" xr:uid="{00000000-0005-0000-0000-00005A270000}"/>
    <cellStyle name="Normal 14 9 34" xfId="10890" xr:uid="{00000000-0005-0000-0000-00005B270000}"/>
    <cellStyle name="Normal 14 9 35" xfId="10891" xr:uid="{00000000-0005-0000-0000-00005C270000}"/>
    <cellStyle name="Normal 14 9 36" xfId="10892" xr:uid="{00000000-0005-0000-0000-00005D270000}"/>
    <cellStyle name="Normal 14 9 37" xfId="10893" xr:uid="{00000000-0005-0000-0000-00005E270000}"/>
    <cellStyle name="Normal 14 9 38" xfId="10894" xr:uid="{00000000-0005-0000-0000-00005F270000}"/>
    <cellStyle name="Normal 14 9 39" xfId="10895" xr:uid="{00000000-0005-0000-0000-000060270000}"/>
    <cellStyle name="Normal 14 9 4" xfId="10896" xr:uid="{00000000-0005-0000-0000-000061270000}"/>
    <cellStyle name="Normal 14 9 40" xfId="10897" xr:uid="{00000000-0005-0000-0000-000062270000}"/>
    <cellStyle name="Normal 14 9 41" xfId="10898" xr:uid="{00000000-0005-0000-0000-000063270000}"/>
    <cellStyle name="Normal 14 9 42" xfId="10899" xr:uid="{00000000-0005-0000-0000-000064270000}"/>
    <cellStyle name="Normal 14 9 43" xfId="10900" xr:uid="{00000000-0005-0000-0000-000065270000}"/>
    <cellStyle name="Normal 14 9 44" xfId="10901" xr:uid="{00000000-0005-0000-0000-000066270000}"/>
    <cellStyle name="Normal 14 9 45" xfId="10902" xr:uid="{00000000-0005-0000-0000-000067270000}"/>
    <cellStyle name="Normal 14 9 5" xfId="10903" xr:uid="{00000000-0005-0000-0000-000068270000}"/>
    <cellStyle name="Normal 14 9 6" xfId="10904" xr:uid="{00000000-0005-0000-0000-000069270000}"/>
    <cellStyle name="Normal 14 9 7" xfId="10905" xr:uid="{00000000-0005-0000-0000-00006A270000}"/>
    <cellStyle name="Normal 14 9 8" xfId="10906" xr:uid="{00000000-0005-0000-0000-00006B270000}"/>
    <cellStyle name="Normal 14 9 9" xfId="10907" xr:uid="{00000000-0005-0000-0000-00006C270000}"/>
    <cellStyle name="Normal 140" xfId="10908" xr:uid="{00000000-0005-0000-0000-00006D270000}"/>
    <cellStyle name="Normal 141" xfId="10909" xr:uid="{00000000-0005-0000-0000-00006E270000}"/>
    <cellStyle name="Normal 142" xfId="10910" xr:uid="{00000000-0005-0000-0000-00006F270000}"/>
    <cellStyle name="Normal 143" xfId="10911" xr:uid="{00000000-0005-0000-0000-000070270000}"/>
    <cellStyle name="Normal 144" xfId="10912" xr:uid="{00000000-0005-0000-0000-000071270000}"/>
    <cellStyle name="Normal 145" xfId="10913" xr:uid="{00000000-0005-0000-0000-000072270000}"/>
    <cellStyle name="Normal 146" xfId="10914" xr:uid="{00000000-0005-0000-0000-000073270000}"/>
    <cellStyle name="Normal 147" xfId="1660" xr:uid="{00000000-0005-0000-0000-000074270000}"/>
    <cellStyle name="Normal 148" xfId="10915" xr:uid="{00000000-0005-0000-0000-000075270000}"/>
    <cellStyle name="Normal 149" xfId="10916" xr:uid="{00000000-0005-0000-0000-000076270000}"/>
    <cellStyle name="Normal 15" xfId="1047" xr:uid="{00000000-0005-0000-0000-000077270000}"/>
    <cellStyle name="Normal 15 10" xfId="10917" xr:uid="{00000000-0005-0000-0000-000078270000}"/>
    <cellStyle name="Normal 15 10 10" xfId="10918" xr:uid="{00000000-0005-0000-0000-000079270000}"/>
    <cellStyle name="Normal 15 10 11" xfId="10919" xr:uid="{00000000-0005-0000-0000-00007A270000}"/>
    <cellStyle name="Normal 15 10 12" xfId="10920" xr:uid="{00000000-0005-0000-0000-00007B270000}"/>
    <cellStyle name="Normal 15 10 13" xfId="10921" xr:uid="{00000000-0005-0000-0000-00007C270000}"/>
    <cellStyle name="Normal 15 10 14" xfId="10922" xr:uid="{00000000-0005-0000-0000-00007D270000}"/>
    <cellStyle name="Normal 15 10 15" xfId="10923" xr:uid="{00000000-0005-0000-0000-00007E270000}"/>
    <cellStyle name="Normal 15 10 16" xfId="10924" xr:uid="{00000000-0005-0000-0000-00007F270000}"/>
    <cellStyle name="Normal 15 10 17" xfId="10925" xr:uid="{00000000-0005-0000-0000-000080270000}"/>
    <cellStyle name="Normal 15 10 18" xfId="10926" xr:uid="{00000000-0005-0000-0000-000081270000}"/>
    <cellStyle name="Normal 15 10 19" xfId="10927" xr:uid="{00000000-0005-0000-0000-000082270000}"/>
    <cellStyle name="Normal 15 10 2" xfId="10928" xr:uid="{00000000-0005-0000-0000-000083270000}"/>
    <cellStyle name="Normal 15 10 20" xfId="10929" xr:uid="{00000000-0005-0000-0000-000084270000}"/>
    <cellStyle name="Normal 15 10 21" xfId="10930" xr:uid="{00000000-0005-0000-0000-000085270000}"/>
    <cellStyle name="Normal 15 10 22" xfId="10931" xr:uid="{00000000-0005-0000-0000-000086270000}"/>
    <cellStyle name="Normal 15 10 23" xfId="10932" xr:uid="{00000000-0005-0000-0000-000087270000}"/>
    <cellStyle name="Normal 15 10 24" xfId="10933" xr:uid="{00000000-0005-0000-0000-000088270000}"/>
    <cellStyle name="Normal 15 10 25" xfId="10934" xr:uid="{00000000-0005-0000-0000-000089270000}"/>
    <cellStyle name="Normal 15 10 26" xfId="10935" xr:uid="{00000000-0005-0000-0000-00008A270000}"/>
    <cellStyle name="Normal 15 10 27" xfId="10936" xr:uid="{00000000-0005-0000-0000-00008B270000}"/>
    <cellStyle name="Normal 15 10 28" xfId="10937" xr:uid="{00000000-0005-0000-0000-00008C270000}"/>
    <cellStyle name="Normal 15 10 29" xfId="10938" xr:uid="{00000000-0005-0000-0000-00008D270000}"/>
    <cellStyle name="Normal 15 10 3" xfId="10939" xr:uid="{00000000-0005-0000-0000-00008E270000}"/>
    <cellStyle name="Normal 15 10 30" xfId="10940" xr:uid="{00000000-0005-0000-0000-00008F270000}"/>
    <cellStyle name="Normal 15 10 31" xfId="10941" xr:uid="{00000000-0005-0000-0000-000090270000}"/>
    <cellStyle name="Normal 15 10 32" xfId="10942" xr:uid="{00000000-0005-0000-0000-000091270000}"/>
    <cellStyle name="Normal 15 10 33" xfId="10943" xr:uid="{00000000-0005-0000-0000-000092270000}"/>
    <cellStyle name="Normal 15 10 34" xfId="10944" xr:uid="{00000000-0005-0000-0000-000093270000}"/>
    <cellStyle name="Normal 15 10 35" xfId="10945" xr:uid="{00000000-0005-0000-0000-000094270000}"/>
    <cellStyle name="Normal 15 10 36" xfId="10946" xr:uid="{00000000-0005-0000-0000-000095270000}"/>
    <cellStyle name="Normal 15 10 37" xfId="10947" xr:uid="{00000000-0005-0000-0000-000096270000}"/>
    <cellStyle name="Normal 15 10 4" xfId="10948" xr:uid="{00000000-0005-0000-0000-000097270000}"/>
    <cellStyle name="Normal 15 10 5" xfId="10949" xr:uid="{00000000-0005-0000-0000-000098270000}"/>
    <cellStyle name="Normal 15 10 6" xfId="10950" xr:uid="{00000000-0005-0000-0000-000099270000}"/>
    <cellStyle name="Normal 15 10 7" xfId="10951" xr:uid="{00000000-0005-0000-0000-00009A270000}"/>
    <cellStyle name="Normal 15 10 8" xfId="10952" xr:uid="{00000000-0005-0000-0000-00009B270000}"/>
    <cellStyle name="Normal 15 10 9" xfId="10953" xr:uid="{00000000-0005-0000-0000-00009C270000}"/>
    <cellStyle name="Normal 15 11" xfId="10954" xr:uid="{00000000-0005-0000-0000-00009D270000}"/>
    <cellStyle name="Normal 15 11 10" xfId="10955" xr:uid="{00000000-0005-0000-0000-00009E270000}"/>
    <cellStyle name="Normal 15 11 11" xfId="10956" xr:uid="{00000000-0005-0000-0000-00009F270000}"/>
    <cellStyle name="Normal 15 11 12" xfId="10957" xr:uid="{00000000-0005-0000-0000-0000A0270000}"/>
    <cellStyle name="Normal 15 11 13" xfId="10958" xr:uid="{00000000-0005-0000-0000-0000A1270000}"/>
    <cellStyle name="Normal 15 11 14" xfId="10959" xr:uid="{00000000-0005-0000-0000-0000A2270000}"/>
    <cellStyle name="Normal 15 11 15" xfId="10960" xr:uid="{00000000-0005-0000-0000-0000A3270000}"/>
    <cellStyle name="Normal 15 11 16" xfId="10961" xr:uid="{00000000-0005-0000-0000-0000A4270000}"/>
    <cellStyle name="Normal 15 11 17" xfId="10962" xr:uid="{00000000-0005-0000-0000-0000A5270000}"/>
    <cellStyle name="Normal 15 11 18" xfId="10963" xr:uid="{00000000-0005-0000-0000-0000A6270000}"/>
    <cellStyle name="Normal 15 11 19" xfId="10964" xr:uid="{00000000-0005-0000-0000-0000A7270000}"/>
    <cellStyle name="Normal 15 11 2" xfId="10965" xr:uid="{00000000-0005-0000-0000-0000A8270000}"/>
    <cellStyle name="Normal 15 11 20" xfId="10966" xr:uid="{00000000-0005-0000-0000-0000A9270000}"/>
    <cellStyle name="Normal 15 11 21" xfId="10967" xr:uid="{00000000-0005-0000-0000-0000AA270000}"/>
    <cellStyle name="Normal 15 11 22" xfId="10968" xr:uid="{00000000-0005-0000-0000-0000AB270000}"/>
    <cellStyle name="Normal 15 11 23" xfId="10969" xr:uid="{00000000-0005-0000-0000-0000AC270000}"/>
    <cellStyle name="Normal 15 11 24" xfId="10970" xr:uid="{00000000-0005-0000-0000-0000AD270000}"/>
    <cellStyle name="Normal 15 11 25" xfId="10971" xr:uid="{00000000-0005-0000-0000-0000AE270000}"/>
    <cellStyle name="Normal 15 11 26" xfId="10972" xr:uid="{00000000-0005-0000-0000-0000AF270000}"/>
    <cellStyle name="Normal 15 11 27" xfId="10973" xr:uid="{00000000-0005-0000-0000-0000B0270000}"/>
    <cellStyle name="Normal 15 11 28" xfId="10974" xr:uid="{00000000-0005-0000-0000-0000B1270000}"/>
    <cellStyle name="Normal 15 11 29" xfId="10975" xr:uid="{00000000-0005-0000-0000-0000B2270000}"/>
    <cellStyle name="Normal 15 11 3" xfId="10976" xr:uid="{00000000-0005-0000-0000-0000B3270000}"/>
    <cellStyle name="Normal 15 11 30" xfId="10977" xr:uid="{00000000-0005-0000-0000-0000B4270000}"/>
    <cellStyle name="Normal 15 11 31" xfId="10978" xr:uid="{00000000-0005-0000-0000-0000B5270000}"/>
    <cellStyle name="Normal 15 11 32" xfId="10979" xr:uid="{00000000-0005-0000-0000-0000B6270000}"/>
    <cellStyle name="Normal 15 11 33" xfId="10980" xr:uid="{00000000-0005-0000-0000-0000B7270000}"/>
    <cellStyle name="Normal 15 11 34" xfId="10981" xr:uid="{00000000-0005-0000-0000-0000B8270000}"/>
    <cellStyle name="Normal 15 11 35" xfId="10982" xr:uid="{00000000-0005-0000-0000-0000B9270000}"/>
    <cellStyle name="Normal 15 11 36" xfId="10983" xr:uid="{00000000-0005-0000-0000-0000BA270000}"/>
    <cellStyle name="Normal 15 11 37" xfId="10984" xr:uid="{00000000-0005-0000-0000-0000BB270000}"/>
    <cellStyle name="Normal 15 11 4" xfId="10985" xr:uid="{00000000-0005-0000-0000-0000BC270000}"/>
    <cellStyle name="Normal 15 11 5" xfId="10986" xr:uid="{00000000-0005-0000-0000-0000BD270000}"/>
    <cellStyle name="Normal 15 11 6" xfId="10987" xr:uid="{00000000-0005-0000-0000-0000BE270000}"/>
    <cellStyle name="Normal 15 11 7" xfId="10988" xr:uid="{00000000-0005-0000-0000-0000BF270000}"/>
    <cellStyle name="Normal 15 11 8" xfId="10989" xr:uid="{00000000-0005-0000-0000-0000C0270000}"/>
    <cellStyle name="Normal 15 11 9" xfId="10990" xr:uid="{00000000-0005-0000-0000-0000C1270000}"/>
    <cellStyle name="Normal 15 12" xfId="10991" xr:uid="{00000000-0005-0000-0000-0000C2270000}"/>
    <cellStyle name="Normal 15 12 10" xfId="10992" xr:uid="{00000000-0005-0000-0000-0000C3270000}"/>
    <cellStyle name="Normal 15 12 11" xfId="10993" xr:uid="{00000000-0005-0000-0000-0000C4270000}"/>
    <cellStyle name="Normal 15 12 12" xfId="10994" xr:uid="{00000000-0005-0000-0000-0000C5270000}"/>
    <cellStyle name="Normal 15 12 13" xfId="10995" xr:uid="{00000000-0005-0000-0000-0000C6270000}"/>
    <cellStyle name="Normal 15 12 14" xfId="10996" xr:uid="{00000000-0005-0000-0000-0000C7270000}"/>
    <cellStyle name="Normal 15 12 15" xfId="10997" xr:uid="{00000000-0005-0000-0000-0000C8270000}"/>
    <cellStyle name="Normal 15 12 16" xfId="10998" xr:uid="{00000000-0005-0000-0000-0000C9270000}"/>
    <cellStyle name="Normal 15 12 17" xfId="10999" xr:uid="{00000000-0005-0000-0000-0000CA270000}"/>
    <cellStyle name="Normal 15 12 18" xfId="11000" xr:uid="{00000000-0005-0000-0000-0000CB270000}"/>
    <cellStyle name="Normal 15 12 19" xfId="11001" xr:uid="{00000000-0005-0000-0000-0000CC270000}"/>
    <cellStyle name="Normal 15 12 2" xfId="11002" xr:uid="{00000000-0005-0000-0000-0000CD270000}"/>
    <cellStyle name="Normal 15 12 20" xfId="11003" xr:uid="{00000000-0005-0000-0000-0000CE270000}"/>
    <cellStyle name="Normal 15 12 21" xfId="11004" xr:uid="{00000000-0005-0000-0000-0000CF270000}"/>
    <cellStyle name="Normal 15 12 22" xfId="11005" xr:uid="{00000000-0005-0000-0000-0000D0270000}"/>
    <cellStyle name="Normal 15 12 23" xfId="11006" xr:uid="{00000000-0005-0000-0000-0000D1270000}"/>
    <cellStyle name="Normal 15 12 24" xfId="11007" xr:uid="{00000000-0005-0000-0000-0000D2270000}"/>
    <cellStyle name="Normal 15 12 25" xfId="11008" xr:uid="{00000000-0005-0000-0000-0000D3270000}"/>
    <cellStyle name="Normal 15 12 26" xfId="11009" xr:uid="{00000000-0005-0000-0000-0000D4270000}"/>
    <cellStyle name="Normal 15 12 27" xfId="11010" xr:uid="{00000000-0005-0000-0000-0000D5270000}"/>
    <cellStyle name="Normal 15 12 28" xfId="11011" xr:uid="{00000000-0005-0000-0000-0000D6270000}"/>
    <cellStyle name="Normal 15 12 29" xfId="11012" xr:uid="{00000000-0005-0000-0000-0000D7270000}"/>
    <cellStyle name="Normal 15 12 3" xfId="11013" xr:uid="{00000000-0005-0000-0000-0000D8270000}"/>
    <cellStyle name="Normal 15 12 30" xfId="11014" xr:uid="{00000000-0005-0000-0000-0000D9270000}"/>
    <cellStyle name="Normal 15 12 31" xfId="11015" xr:uid="{00000000-0005-0000-0000-0000DA270000}"/>
    <cellStyle name="Normal 15 12 32" xfId="11016" xr:uid="{00000000-0005-0000-0000-0000DB270000}"/>
    <cellStyle name="Normal 15 12 33" xfId="11017" xr:uid="{00000000-0005-0000-0000-0000DC270000}"/>
    <cellStyle name="Normal 15 12 34" xfId="11018" xr:uid="{00000000-0005-0000-0000-0000DD270000}"/>
    <cellStyle name="Normal 15 12 35" xfId="11019" xr:uid="{00000000-0005-0000-0000-0000DE270000}"/>
    <cellStyle name="Normal 15 12 36" xfId="11020" xr:uid="{00000000-0005-0000-0000-0000DF270000}"/>
    <cellStyle name="Normal 15 12 37" xfId="11021" xr:uid="{00000000-0005-0000-0000-0000E0270000}"/>
    <cellStyle name="Normal 15 12 4" xfId="11022" xr:uid="{00000000-0005-0000-0000-0000E1270000}"/>
    <cellStyle name="Normal 15 12 5" xfId="11023" xr:uid="{00000000-0005-0000-0000-0000E2270000}"/>
    <cellStyle name="Normal 15 12 6" xfId="11024" xr:uid="{00000000-0005-0000-0000-0000E3270000}"/>
    <cellStyle name="Normal 15 12 7" xfId="11025" xr:uid="{00000000-0005-0000-0000-0000E4270000}"/>
    <cellStyle name="Normal 15 12 8" xfId="11026" xr:uid="{00000000-0005-0000-0000-0000E5270000}"/>
    <cellStyle name="Normal 15 12 9" xfId="11027" xr:uid="{00000000-0005-0000-0000-0000E6270000}"/>
    <cellStyle name="Normal 15 13" xfId="11028" xr:uid="{00000000-0005-0000-0000-0000E7270000}"/>
    <cellStyle name="Normal 15 13 10" xfId="11029" xr:uid="{00000000-0005-0000-0000-0000E8270000}"/>
    <cellStyle name="Normal 15 13 11" xfId="11030" xr:uid="{00000000-0005-0000-0000-0000E9270000}"/>
    <cellStyle name="Normal 15 13 12" xfId="11031" xr:uid="{00000000-0005-0000-0000-0000EA270000}"/>
    <cellStyle name="Normal 15 13 13" xfId="11032" xr:uid="{00000000-0005-0000-0000-0000EB270000}"/>
    <cellStyle name="Normal 15 13 14" xfId="11033" xr:uid="{00000000-0005-0000-0000-0000EC270000}"/>
    <cellStyle name="Normal 15 13 15" xfId="11034" xr:uid="{00000000-0005-0000-0000-0000ED270000}"/>
    <cellStyle name="Normal 15 13 16" xfId="11035" xr:uid="{00000000-0005-0000-0000-0000EE270000}"/>
    <cellStyle name="Normal 15 13 17" xfId="11036" xr:uid="{00000000-0005-0000-0000-0000EF270000}"/>
    <cellStyle name="Normal 15 13 18" xfId="11037" xr:uid="{00000000-0005-0000-0000-0000F0270000}"/>
    <cellStyle name="Normal 15 13 19" xfId="11038" xr:uid="{00000000-0005-0000-0000-0000F1270000}"/>
    <cellStyle name="Normal 15 13 2" xfId="11039" xr:uid="{00000000-0005-0000-0000-0000F2270000}"/>
    <cellStyle name="Normal 15 13 20" xfId="11040" xr:uid="{00000000-0005-0000-0000-0000F3270000}"/>
    <cellStyle name="Normal 15 13 21" xfId="11041" xr:uid="{00000000-0005-0000-0000-0000F4270000}"/>
    <cellStyle name="Normal 15 13 22" xfId="11042" xr:uid="{00000000-0005-0000-0000-0000F5270000}"/>
    <cellStyle name="Normal 15 13 23" xfId="11043" xr:uid="{00000000-0005-0000-0000-0000F6270000}"/>
    <cellStyle name="Normal 15 13 24" xfId="11044" xr:uid="{00000000-0005-0000-0000-0000F7270000}"/>
    <cellStyle name="Normal 15 13 25" xfId="11045" xr:uid="{00000000-0005-0000-0000-0000F8270000}"/>
    <cellStyle name="Normal 15 13 26" xfId="11046" xr:uid="{00000000-0005-0000-0000-0000F9270000}"/>
    <cellStyle name="Normal 15 13 27" xfId="11047" xr:uid="{00000000-0005-0000-0000-0000FA270000}"/>
    <cellStyle name="Normal 15 13 28" xfId="11048" xr:uid="{00000000-0005-0000-0000-0000FB270000}"/>
    <cellStyle name="Normal 15 13 29" xfId="11049" xr:uid="{00000000-0005-0000-0000-0000FC270000}"/>
    <cellStyle name="Normal 15 13 3" xfId="11050" xr:uid="{00000000-0005-0000-0000-0000FD270000}"/>
    <cellStyle name="Normal 15 13 30" xfId="11051" xr:uid="{00000000-0005-0000-0000-0000FE270000}"/>
    <cellStyle name="Normal 15 13 31" xfId="11052" xr:uid="{00000000-0005-0000-0000-0000FF270000}"/>
    <cellStyle name="Normal 15 13 32" xfId="11053" xr:uid="{00000000-0005-0000-0000-000000280000}"/>
    <cellStyle name="Normal 15 13 33" xfId="11054" xr:uid="{00000000-0005-0000-0000-000001280000}"/>
    <cellStyle name="Normal 15 13 34" xfId="11055" xr:uid="{00000000-0005-0000-0000-000002280000}"/>
    <cellStyle name="Normal 15 13 35" xfId="11056" xr:uid="{00000000-0005-0000-0000-000003280000}"/>
    <cellStyle name="Normal 15 13 36" xfId="11057" xr:uid="{00000000-0005-0000-0000-000004280000}"/>
    <cellStyle name="Normal 15 13 37" xfId="11058" xr:uid="{00000000-0005-0000-0000-000005280000}"/>
    <cellStyle name="Normal 15 13 4" xfId="11059" xr:uid="{00000000-0005-0000-0000-000006280000}"/>
    <cellStyle name="Normal 15 13 5" xfId="11060" xr:uid="{00000000-0005-0000-0000-000007280000}"/>
    <cellStyle name="Normal 15 13 6" xfId="11061" xr:uid="{00000000-0005-0000-0000-000008280000}"/>
    <cellStyle name="Normal 15 13 7" xfId="11062" xr:uid="{00000000-0005-0000-0000-000009280000}"/>
    <cellStyle name="Normal 15 13 8" xfId="11063" xr:uid="{00000000-0005-0000-0000-00000A280000}"/>
    <cellStyle name="Normal 15 13 9" xfId="11064" xr:uid="{00000000-0005-0000-0000-00000B280000}"/>
    <cellStyle name="Normal 15 14" xfId="11065" xr:uid="{00000000-0005-0000-0000-00000C280000}"/>
    <cellStyle name="Normal 15 14 10" xfId="11066" xr:uid="{00000000-0005-0000-0000-00000D280000}"/>
    <cellStyle name="Normal 15 14 11" xfId="11067" xr:uid="{00000000-0005-0000-0000-00000E280000}"/>
    <cellStyle name="Normal 15 14 12" xfId="11068" xr:uid="{00000000-0005-0000-0000-00000F280000}"/>
    <cellStyle name="Normal 15 14 13" xfId="11069" xr:uid="{00000000-0005-0000-0000-000010280000}"/>
    <cellStyle name="Normal 15 14 14" xfId="11070" xr:uid="{00000000-0005-0000-0000-000011280000}"/>
    <cellStyle name="Normal 15 14 15" xfId="11071" xr:uid="{00000000-0005-0000-0000-000012280000}"/>
    <cellStyle name="Normal 15 14 16" xfId="11072" xr:uid="{00000000-0005-0000-0000-000013280000}"/>
    <cellStyle name="Normal 15 14 17" xfId="11073" xr:uid="{00000000-0005-0000-0000-000014280000}"/>
    <cellStyle name="Normal 15 14 18" xfId="11074" xr:uid="{00000000-0005-0000-0000-000015280000}"/>
    <cellStyle name="Normal 15 14 19" xfId="11075" xr:uid="{00000000-0005-0000-0000-000016280000}"/>
    <cellStyle name="Normal 15 14 2" xfId="11076" xr:uid="{00000000-0005-0000-0000-000017280000}"/>
    <cellStyle name="Normal 15 14 20" xfId="11077" xr:uid="{00000000-0005-0000-0000-000018280000}"/>
    <cellStyle name="Normal 15 14 21" xfId="11078" xr:uid="{00000000-0005-0000-0000-000019280000}"/>
    <cellStyle name="Normal 15 14 22" xfId="11079" xr:uid="{00000000-0005-0000-0000-00001A280000}"/>
    <cellStyle name="Normal 15 14 23" xfId="11080" xr:uid="{00000000-0005-0000-0000-00001B280000}"/>
    <cellStyle name="Normal 15 14 24" xfId="11081" xr:uid="{00000000-0005-0000-0000-00001C280000}"/>
    <cellStyle name="Normal 15 14 25" xfId="11082" xr:uid="{00000000-0005-0000-0000-00001D280000}"/>
    <cellStyle name="Normal 15 14 26" xfId="11083" xr:uid="{00000000-0005-0000-0000-00001E280000}"/>
    <cellStyle name="Normal 15 14 27" xfId="11084" xr:uid="{00000000-0005-0000-0000-00001F280000}"/>
    <cellStyle name="Normal 15 14 28" xfId="11085" xr:uid="{00000000-0005-0000-0000-000020280000}"/>
    <cellStyle name="Normal 15 14 29" xfId="11086" xr:uid="{00000000-0005-0000-0000-000021280000}"/>
    <cellStyle name="Normal 15 14 3" xfId="11087" xr:uid="{00000000-0005-0000-0000-000022280000}"/>
    <cellStyle name="Normal 15 14 30" xfId="11088" xr:uid="{00000000-0005-0000-0000-000023280000}"/>
    <cellStyle name="Normal 15 14 31" xfId="11089" xr:uid="{00000000-0005-0000-0000-000024280000}"/>
    <cellStyle name="Normal 15 14 32" xfId="11090" xr:uid="{00000000-0005-0000-0000-000025280000}"/>
    <cellStyle name="Normal 15 14 33" xfId="11091" xr:uid="{00000000-0005-0000-0000-000026280000}"/>
    <cellStyle name="Normal 15 14 34" xfId="11092" xr:uid="{00000000-0005-0000-0000-000027280000}"/>
    <cellStyle name="Normal 15 14 35" xfId="11093" xr:uid="{00000000-0005-0000-0000-000028280000}"/>
    <cellStyle name="Normal 15 14 36" xfId="11094" xr:uid="{00000000-0005-0000-0000-000029280000}"/>
    <cellStyle name="Normal 15 14 37" xfId="11095" xr:uid="{00000000-0005-0000-0000-00002A280000}"/>
    <cellStyle name="Normal 15 14 4" xfId="11096" xr:uid="{00000000-0005-0000-0000-00002B280000}"/>
    <cellStyle name="Normal 15 14 5" xfId="11097" xr:uid="{00000000-0005-0000-0000-00002C280000}"/>
    <cellStyle name="Normal 15 14 6" xfId="11098" xr:uid="{00000000-0005-0000-0000-00002D280000}"/>
    <cellStyle name="Normal 15 14 7" xfId="11099" xr:uid="{00000000-0005-0000-0000-00002E280000}"/>
    <cellStyle name="Normal 15 14 8" xfId="11100" xr:uid="{00000000-0005-0000-0000-00002F280000}"/>
    <cellStyle name="Normal 15 14 9" xfId="11101" xr:uid="{00000000-0005-0000-0000-000030280000}"/>
    <cellStyle name="Normal 15 15" xfId="11102" xr:uid="{00000000-0005-0000-0000-000031280000}"/>
    <cellStyle name="Normal 15 15 10" xfId="11103" xr:uid="{00000000-0005-0000-0000-000032280000}"/>
    <cellStyle name="Normal 15 15 11" xfId="11104" xr:uid="{00000000-0005-0000-0000-000033280000}"/>
    <cellStyle name="Normal 15 15 12" xfId="11105" xr:uid="{00000000-0005-0000-0000-000034280000}"/>
    <cellStyle name="Normal 15 15 13" xfId="11106" xr:uid="{00000000-0005-0000-0000-000035280000}"/>
    <cellStyle name="Normal 15 15 14" xfId="11107" xr:uid="{00000000-0005-0000-0000-000036280000}"/>
    <cellStyle name="Normal 15 15 15" xfId="11108" xr:uid="{00000000-0005-0000-0000-000037280000}"/>
    <cellStyle name="Normal 15 15 16" xfId="11109" xr:uid="{00000000-0005-0000-0000-000038280000}"/>
    <cellStyle name="Normal 15 15 17" xfId="11110" xr:uid="{00000000-0005-0000-0000-000039280000}"/>
    <cellStyle name="Normal 15 15 18" xfId="11111" xr:uid="{00000000-0005-0000-0000-00003A280000}"/>
    <cellStyle name="Normal 15 15 19" xfId="11112" xr:uid="{00000000-0005-0000-0000-00003B280000}"/>
    <cellStyle name="Normal 15 15 2" xfId="11113" xr:uid="{00000000-0005-0000-0000-00003C280000}"/>
    <cellStyle name="Normal 15 15 20" xfId="11114" xr:uid="{00000000-0005-0000-0000-00003D280000}"/>
    <cellStyle name="Normal 15 15 21" xfId="11115" xr:uid="{00000000-0005-0000-0000-00003E280000}"/>
    <cellStyle name="Normal 15 15 22" xfId="11116" xr:uid="{00000000-0005-0000-0000-00003F280000}"/>
    <cellStyle name="Normal 15 15 23" xfId="11117" xr:uid="{00000000-0005-0000-0000-000040280000}"/>
    <cellStyle name="Normal 15 15 24" xfId="11118" xr:uid="{00000000-0005-0000-0000-000041280000}"/>
    <cellStyle name="Normal 15 15 25" xfId="11119" xr:uid="{00000000-0005-0000-0000-000042280000}"/>
    <cellStyle name="Normal 15 15 26" xfId="11120" xr:uid="{00000000-0005-0000-0000-000043280000}"/>
    <cellStyle name="Normal 15 15 27" xfId="11121" xr:uid="{00000000-0005-0000-0000-000044280000}"/>
    <cellStyle name="Normal 15 15 28" xfId="11122" xr:uid="{00000000-0005-0000-0000-000045280000}"/>
    <cellStyle name="Normal 15 15 29" xfId="11123" xr:uid="{00000000-0005-0000-0000-000046280000}"/>
    <cellStyle name="Normal 15 15 3" xfId="11124" xr:uid="{00000000-0005-0000-0000-000047280000}"/>
    <cellStyle name="Normal 15 15 30" xfId="11125" xr:uid="{00000000-0005-0000-0000-000048280000}"/>
    <cellStyle name="Normal 15 15 31" xfId="11126" xr:uid="{00000000-0005-0000-0000-000049280000}"/>
    <cellStyle name="Normal 15 15 32" xfId="11127" xr:uid="{00000000-0005-0000-0000-00004A280000}"/>
    <cellStyle name="Normal 15 15 33" xfId="11128" xr:uid="{00000000-0005-0000-0000-00004B280000}"/>
    <cellStyle name="Normal 15 15 34" xfId="11129" xr:uid="{00000000-0005-0000-0000-00004C280000}"/>
    <cellStyle name="Normal 15 15 35" xfId="11130" xr:uid="{00000000-0005-0000-0000-00004D280000}"/>
    <cellStyle name="Normal 15 15 36" xfId="11131" xr:uid="{00000000-0005-0000-0000-00004E280000}"/>
    <cellStyle name="Normal 15 15 37" xfId="11132" xr:uid="{00000000-0005-0000-0000-00004F280000}"/>
    <cellStyle name="Normal 15 15 4" xfId="11133" xr:uid="{00000000-0005-0000-0000-000050280000}"/>
    <cellStyle name="Normal 15 15 5" xfId="11134" xr:uid="{00000000-0005-0000-0000-000051280000}"/>
    <cellStyle name="Normal 15 15 6" xfId="11135" xr:uid="{00000000-0005-0000-0000-000052280000}"/>
    <cellStyle name="Normal 15 15 7" xfId="11136" xr:uid="{00000000-0005-0000-0000-000053280000}"/>
    <cellStyle name="Normal 15 15 8" xfId="11137" xr:uid="{00000000-0005-0000-0000-000054280000}"/>
    <cellStyle name="Normal 15 15 9" xfId="11138" xr:uid="{00000000-0005-0000-0000-000055280000}"/>
    <cellStyle name="Normal 15 16" xfId="11139" xr:uid="{00000000-0005-0000-0000-000056280000}"/>
    <cellStyle name="Normal 15 16 10" xfId="11140" xr:uid="{00000000-0005-0000-0000-000057280000}"/>
    <cellStyle name="Normal 15 16 11" xfId="11141" xr:uid="{00000000-0005-0000-0000-000058280000}"/>
    <cellStyle name="Normal 15 16 12" xfId="11142" xr:uid="{00000000-0005-0000-0000-000059280000}"/>
    <cellStyle name="Normal 15 16 13" xfId="11143" xr:uid="{00000000-0005-0000-0000-00005A280000}"/>
    <cellStyle name="Normal 15 16 14" xfId="11144" xr:uid="{00000000-0005-0000-0000-00005B280000}"/>
    <cellStyle name="Normal 15 16 15" xfId="11145" xr:uid="{00000000-0005-0000-0000-00005C280000}"/>
    <cellStyle name="Normal 15 16 16" xfId="11146" xr:uid="{00000000-0005-0000-0000-00005D280000}"/>
    <cellStyle name="Normal 15 16 17" xfId="11147" xr:uid="{00000000-0005-0000-0000-00005E280000}"/>
    <cellStyle name="Normal 15 16 18" xfId="11148" xr:uid="{00000000-0005-0000-0000-00005F280000}"/>
    <cellStyle name="Normal 15 16 19" xfId="11149" xr:uid="{00000000-0005-0000-0000-000060280000}"/>
    <cellStyle name="Normal 15 16 2" xfId="11150" xr:uid="{00000000-0005-0000-0000-000061280000}"/>
    <cellStyle name="Normal 15 16 20" xfId="11151" xr:uid="{00000000-0005-0000-0000-000062280000}"/>
    <cellStyle name="Normal 15 16 21" xfId="11152" xr:uid="{00000000-0005-0000-0000-000063280000}"/>
    <cellStyle name="Normal 15 16 22" xfId="11153" xr:uid="{00000000-0005-0000-0000-000064280000}"/>
    <cellStyle name="Normal 15 16 23" xfId="11154" xr:uid="{00000000-0005-0000-0000-000065280000}"/>
    <cellStyle name="Normal 15 16 24" xfId="11155" xr:uid="{00000000-0005-0000-0000-000066280000}"/>
    <cellStyle name="Normal 15 16 25" xfId="11156" xr:uid="{00000000-0005-0000-0000-000067280000}"/>
    <cellStyle name="Normal 15 16 26" xfId="11157" xr:uid="{00000000-0005-0000-0000-000068280000}"/>
    <cellStyle name="Normal 15 16 27" xfId="11158" xr:uid="{00000000-0005-0000-0000-000069280000}"/>
    <cellStyle name="Normal 15 16 28" xfId="11159" xr:uid="{00000000-0005-0000-0000-00006A280000}"/>
    <cellStyle name="Normal 15 16 29" xfId="11160" xr:uid="{00000000-0005-0000-0000-00006B280000}"/>
    <cellStyle name="Normal 15 16 3" xfId="11161" xr:uid="{00000000-0005-0000-0000-00006C280000}"/>
    <cellStyle name="Normal 15 16 30" xfId="11162" xr:uid="{00000000-0005-0000-0000-00006D280000}"/>
    <cellStyle name="Normal 15 16 31" xfId="11163" xr:uid="{00000000-0005-0000-0000-00006E280000}"/>
    <cellStyle name="Normal 15 16 32" xfId="11164" xr:uid="{00000000-0005-0000-0000-00006F280000}"/>
    <cellStyle name="Normal 15 16 33" xfId="11165" xr:uid="{00000000-0005-0000-0000-000070280000}"/>
    <cellStyle name="Normal 15 16 34" xfId="11166" xr:uid="{00000000-0005-0000-0000-000071280000}"/>
    <cellStyle name="Normal 15 16 35" xfId="11167" xr:uid="{00000000-0005-0000-0000-000072280000}"/>
    <cellStyle name="Normal 15 16 36" xfId="11168" xr:uid="{00000000-0005-0000-0000-000073280000}"/>
    <cellStyle name="Normal 15 16 37" xfId="11169" xr:uid="{00000000-0005-0000-0000-000074280000}"/>
    <cellStyle name="Normal 15 16 4" xfId="11170" xr:uid="{00000000-0005-0000-0000-000075280000}"/>
    <cellStyle name="Normal 15 16 5" xfId="11171" xr:uid="{00000000-0005-0000-0000-000076280000}"/>
    <cellStyle name="Normal 15 16 6" xfId="11172" xr:uid="{00000000-0005-0000-0000-000077280000}"/>
    <cellStyle name="Normal 15 16 7" xfId="11173" xr:uid="{00000000-0005-0000-0000-000078280000}"/>
    <cellStyle name="Normal 15 16 8" xfId="11174" xr:uid="{00000000-0005-0000-0000-000079280000}"/>
    <cellStyle name="Normal 15 16 9" xfId="11175" xr:uid="{00000000-0005-0000-0000-00007A280000}"/>
    <cellStyle name="Normal 15 17" xfId="11176" xr:uid="{00000000-0005-0000-0000-00007B280000}"/>
    <cellStyle name="Normal 15 17 10" xfId="11177" xr:uid="{00000000-0005-0000-0000-00007C280000}"/>
    <cellStyle name="Normal 15 17 11" xfId="11178" xr:uid="{00000000-0005-0000-0000-00007D280000}"/>
    <cellStyle name="Normal 15 17 12" xfId="11179" xr:uid="{00000000-0005-0000-0000-00007E280000}"/>
    <cellStyle name="Normal 15 17 13" xfId="11180" xr:uid="{00000000-0005-0000-0000-00007F280000}"/>
    <cellStyle name="Normal 15 17 14" xfId="11181" xr:uid="{00000000-0005-0000-0000-000080280000}"/>
    <cellStyle name="Normal 15 17 15" xfId="11182" xr:uid="{00000000-0005-0000-0000-000081280000}"/>
    <cellStyle name="Normal 15 17 16" xfId="11183" xr:uid="{00000000-0005-0000-0000-000082280000}"/>
    <cellStyle name="Normal 15 17 17" xfId="11184" xr:uid="{00000000-0005-0000-0000-000083280000}"/>
    <cellStyle name="Normal 15 17 18" xfId="11185" xr:uid="{00000000-0005-0000-0000-000084280000}"/>
    <cellStyle name="Normal 15 17 19" xfId="11186" xr:uid="{00000000-0005-0000-0000-000085280000}"/>
    <cellStyle name="Normal 15 17 2" xfId="11187" xr:uid="{00000000-0005-0000-0000-000086280000}"/>
    <cellStyle name="Normal 15 17 20" xfId="11188" xr:uid="{00000000-0005-0000-0000-000087280000}"/>
    <cellStyle name="Normal 15 17 21" xfId="11189" xr:uid="{00000000-0005-0000-0000-000088280000}"/>
    <cellStyle name="Normal 15 17 22" xfId="11190" xr:uid="{00000000-0005-0000-0000-000089280000}"/>
    <cellStyle name="Normal 15 17 23" xfId="11191" xr:uid="{00000000-0005-0000-0000-00008A280000}"/>
    <cellStyle name="Normal 15 17 24" xfId="11192" xr:uid="{00000000-0005-0000-0000-00008B280000}"/>
    <cellStyle name="Normal 15 17 25" xfId="11193" xr:uid="{00000000-0005-0000-0000-00008C280000}"/>
    <cellStyle name="Normal 15 17 26" xfId="11194" xr:uid="{00000000-0005-0000-0000-00008D280000}"/>
    <cellStyle name="Normal 15 17 27" xfId="11195" xr:uid="{00000000-0005-0000-0000-00008E280000}"/>
    <cellStyle name="Normal 15 17 28" xfId="11196" xr:uid="{00000000-0005-0000-0000-00008F280000}"/>
    <cellStyle name="Normal 15 17 29" xfId="11197" xr:uid="{00000000-0005-0000-0000-000090280000}"/>
    <cellStyle name="Normal 15 17 3" xfId="11198" xr:uid="{00000000-0005-0000-0000-000091280000}"/>
    <cellStyle name="Normal 15 17 30" xfId="11199" xr:uid="{00000000-0005-0000-0000-000092280000}"/>
    <cellStyle name="Normal 15 17 31" xfId="11200" xr:uid="{00000000-0005-0000-0000-000093280000}"/>
    <cellStyle name="Normal 15 17 32" xfId="11201" xr:uid="{00000000-0005-0000-0000-000094280000}"/>
    <cellStyle name="Normal 15 17 33" xfId="11202" xr:uid="{00000000-0005-0000-0000-000095280000}"/>
    <cellStyle name="Normal 15 17 34" xfId="11203" xr:uid="{00000000-0005-0000-0000-000096280000}"/>
    <cellStyle name="Normal 15 17 35" xfId="11204" xr:uid="{00000000-0005-0000-0000-000097280000}"/>
    <cellStyle name="Normal 15 17 36" xfId="11205" xr:uid="{00000000-0005-0000-0000-000098280000}"/>
    <cellStyle name="Normal 15 17 37" xfId="11206" xr:uid="{00000000-0005-0000-0000-000099280000}"/>
    <cellStyle name="Normal 15 17 4" xfId="11207" xr:uid="{00000000-0005-0000-0000-00009A280000}"/>
    <cellStyle name="Normal 15 17 5" xfId="11208" xr:uid="{00000000-0005-0000-0000-00009B280000}"/>
    <cellStyle name="Normal 15 17 6" xfId="11209" xr:uid="{00000000-0005-0000-0000-00009C280000}"/>
    <cellStyle name="Normal 15 17 7" xfId="11210" xr:uid="{00000000-0005-0000-0000-00009D280000}"/>
    <cellStyle name="Normal 15 17 8" xfId="11211" xr:uid="{00000000-0005-0000-0000-00009E280000}"/>
    <cellStyle name="Normal 15 17 9" xfId="11212" xr:uid="{00000000-0005-0000-0000-00009F280000}"/>
    <cellStyle name="Normal 15 18" xfId="11213" xr:uid="{00000000-0005-0000-0000-0000A0280000}"/>
    <cellStyle name="Normal 15 19" xfId="11214" xr:uid="{00000000-0005-0000-0000-0000A1280000}"/>
    <cellStyle name="Normal 15 2" xfId="11215" xr:uid="{00000000-0005-0000-0000-0000A2280000}"/>
    <cellStyle name="Normal 15 2 10" xfId="11216" xr:uid="{00000000-0005-0000-0000-0000A3280000}"/>
    <cellStyle name="Normal 15 2 11" xfId="11217" xr:uid="{00000000-0005-0000-0000-0000A4280000}"/>
    <cellStyle name="Normal 15 2 12" xfId="11218" xr:uid="{00000000-0005-0000-0000-0000A5280000}"/>
    <cellStyle name="Normal 15 2 13" xfId="11219" xr:uid="{00000000-0005-0000-0000-0000A6280000}"/>
    <cellStyle name="Normal 15 2 14" xfId="11220" xr:uid="{00000000-0005-0000-0000-0000A7280000}"/>
    <cellStyle name="Normal 15 2 15" xfId="11221" xr:uid="{00000000-0005-0000-0000-0000A8280000}"/>
    <cellStyle name="Normal 15 2 16" xfId="11222" xr:uid="{00000000-0005-0000-0000-0000A9280000}"/>
    <cellStyle name="Normal 15 2 17" xfId="11223" xr:uid="{00000000-0005-0000-0000-0000AA280000}"/>
    <cellStyle name="Normal 15 2 18" xfId="11224" xr:uid="{00000000-0005-0000-0000-0000AB280000}"/>
    <cellStyle name="Normal 15 2 19" xfId="11225" xr:uid="{00000000-0005-0000-0000-0000AC280000}"/>
    <cellStyle name="Normal 15 2 2" xfId="11226" xr:uid="{00000000-0005-0000-0000-0000AD280000}"/>
    <cellStyle name="Normal 15 2 20" xfId="11227" xr:uid="{00000000-0005-0000-0000-0000AE280000}"/>
    <cellStyle name="Normal 15 2 21" xfId="11228" xr:uid="{00000000-0005-0000-0000-0000AF280000}"/>
    <cellStyle name="Normal 15 2 22" xfId="11229" xr:uid="{00000000-0005-0000-0000-0000B0280000}"/>
    <cellStyle name="Normal 15 2 23" xfId="11230" xr:uid="{00000000-0005-0000-0000-0000B1280000}"/>
    <cellStyle name="Normal 15 2 24" xfId="11231" xr:uid="{00000000-0005-0000-0000-0000B2280000}"/>
    <cellStyle name="Normal 15 2 25" xfId="11232" xr:uid="{00000000-0005-0000-0000-0000B3280000}"/>
    <cellStyle name="Normal 15 2 26" xfId="11233" xr:uid="{00000000-0005-0000-0000-0000B4280000}"/>
    <cellStyle name="Normal 15 2 27" xfId="11234" xr:uid="{00000000-0005-0000-0000-0000B5280000}"/>
    <cellStyle name="Normal 15 2 28" xfId="11235" xr:uid="{00000000-0005-0000-0000-0000B6280000}"/>
    <cellStyle name="Normal 15 2 29" xfId="11236" xr:uid="{00000000-0005-0000-0000-0000B7280000}"/>
    <cellStyle name="Normal 15 2 3" xfId="11237" xr:uid="{00000000-0005-0000-0000-0000B8280000}"/>
    <cellStyle name="Normal 15 2 30" xfId="11238" xr:uid="{00000000-0005-0000-0000-0000B9280000}"/>
    <cellStyle name="Normal 15 2 31" xfId="11239" xr:uid="{00000000-0005-0000-0000-0000BA280000}"/>
    <cellStyle name="Normal 15 2 32" xfId="11240" xr:uid="{00000000-0005-0000-0000-0000BB280000}"/>
    <cellStyle name="Normal 15 2 33" xfId="11241" xr:uid="{00000000-0005-0000-0000-0000BC280000}"/>
    <cellStyle name="Normal 15 2 34" xfId="11242" xr:uid="{00000000-0005-0000-0000-0000BD280000}"/>
    <cellStyle name="Normal 15 2 35" xfId="11243" xr:uid="{00000000-0005-0000-0000-0000BE280000}"/>
    <cellStyle name="Normal 15 2 36" xfId="11244" xr:uid="{00000000-0005-0000-0000-0000BF280000}"/>
    <cellStyle name="Normal 15 2 37" xfId="11245" xr:uid="{00000000-0005-0000-0000-0000C0280000}"/>
    <cellStyle name="Normal 15 2 38" xfId="11246" xr:uid="{00000000-0005-0000-0000-0000C1280000}"/>
    <cellStyle name="Normal 15 2 39" xfId="11247" xr:uid="{00000000-0005-0000-0000-0000C2280000}"/>
    <cellStyle name="Normal 15 2 4" xfId="11248" xr:uid="{00000000-0005-0000-0000-0000C3280000}"/>
    <cellStyle name="Normal 15 2 40" xfId="11249" xr:uid="{00000000-0005-0000-0000-0000C4280000}"/>
    <cellStyle name="Normal 15 2 41" xfId="11250" xr:uid="{00000000-0005-0000-0000-0000C5280000}"/>
    <cellStyle name="Normal 15 2 42" xfId="11251" xr:uid="{00000000-0005-0000-0000-0000C6280000}"/>
    <cellStyle name="Normal 15 2 43" xfId="11252" xr:uid="{00000000-0005-0000-0000-0000C7280000}"/>
    <cellStyle name="Normal 15 2 44" xfId="11253" xr:uid="{00000000-0005-0000-0000-0000C8280000}"/>
    <cellStyle name="Normal 15 2 45" xfId="11254" xr:uid="{00000000-0005-0000-0000-0000C9280000}"/>
    <cellStyle name="Normal 15 2 5" xfId="11255" xr:uid="{00000000-0005-0000-0000-0000CA280000}"/>
    <cellStyle name="Normal 15 2 6" xfId="11256" xr:uid="{00000000-0005-0000-0000-0000CB280000}"/>
    <cellStyle name="Normal 15 2 7" xfId="11257" xr:uid="{00000000-0005-0000-0000-0000CC280000}"/>
    <cellStyle name="Normal 15 2 8" xfId="11258" xr:uid="{00000000-0005-0000-0000-0000CD280000}"/>
    <cellStyle name="Normal 15 2 9" xfId="11259" xr:uid="{00000000-0005-0000-0000-0000CE280000}"/>
    <cellStyle name="Normal 15 20" xfId="11260" xr:uid="{00000000-0005-0000-0000-0000CF280000}"/>
    <cellStyle name="Normal 15 21" xfId="11261" xr:uid="{00000000-0005-0000-0000-0000D0280000}"/>
    <cellStyle name="Normal 15 22" xfId="11262" xr:uid="{00000000-0005-0000-0000-0000D1280000}"/>
    <cellStyle name="Normal 15 23" xfId="11263" xr:uid="{00000000-0005-0000-0000-0000D2280000}"/>
    <cellStyle name="Normal 15 24" xfId="11264" xr:uid="{00000000-0005-0000-0000-0000D3280000}"/>
    <cellStyle name="Normal 15 25" xfId="11265" xr:uid="{00000000-0005-0000-0000-0000D4280000}"/>
    <cellStyle name="Normal 15 26" xfId="11266" xr:uid="{00000000-0005-0000-0000-0000D5280000}"/>
    <cellStyle name="Normal 15 27" xfId="11267" xr:uid="{00000000-0005-0000-0000-0000D6280000}"/>
    <cellStyle name="Normal 15 28" xfId="11268" xr:uid="{00000000-0005-0000-0000-0000D7280000}"/>
    <cellStyle name="Normal 15 29" xfId="11269" xr:uid="{00000000-0005-0000-0000-0000D8280000}"/>
    <cellStyle name="Normal 15 3" xfId="11270" xr:uid="{00000000-0005-0000-0000-0000D9280000}"/>
    <cellStyle name="Normal 15 3 10" xfId="11271" xr:uid="{00000000-0005-0000-0000-0000DA280000}"/>
    <cellStyle name="Normal 15 3 11" xfId="11272" xr:uid="{00000000-0005-0000-0000-0000DB280000}"/>
    <cellStyle name="Normal 15 3 12" xfId="11273" xr:uid="{00000000-0005-0000-0000-0000DC280000}"/>
    <cellStyle name="Normal 15 3 13" xfId="11274" xr:uid="{00000000-0005-0000-0000-0000DD280000}"/>
    <cellStyle name="Normal 15 3 14" xfId="11275" xr:uid="{00000000-0005-0000-0000-0000DE280000}"/>
    <cellStyle name="Normal 15 3 15" xfId="11276" xr:uid="{00000000-0005-0000-0000-0000DF280000}"/>
    <cellStyle name="Normal 15 3 16" xfId="11277" xr:uid="{00000000-0005-0000-0000-0000E0280000}"/>
    <cellStyle name="Normal 15 3 17" xfId="11278" xr:uid="{00000000-0005-0000-0000-0000E1280000}"/>
    <cellStyle name="Normal 15 3 18" xfId="11279" xr:uid="{00000000-0005-0000-0000-0000E2280000}"/>
    <cellStyle name="Normal 15 3 19" xfId="11280" xr:uid="{00000000-0005-0000-0000-0000E3280000}"/>
    <cellStyle name="Normal 15 3 2" xfId="11281" xr:uid="{00000000-0005-0000-0000-0000E4280000}"/>
    <cellStyle name="Normal 15 3 20" xfId="11282" xr:uid="{00000000-0005-0000-0000-0000E5280000}"/>
    <cellStyle name="Normal 15 3 21" xfId="11283" xr:uid="{00000000-0005-0000-0000-0000E6280000}"/>
    <cellStyle name="Normal 15 3 22" xfId="11284" xr:uid="{00000000-0005-0000-0000-0000E7280000}"/>
    <cellStyle name="Normal 15 3 23" xfId="11285" xr:uid="{00000000-0005-0000-0000-0000E8280000}"/>
    <cellStyle name="Normal 15 3 24" xfId="11286" xr:uid="{00000000-0005-0000-0000-0000E9280000}"/>
    <cellStyle name="Normal 15 3 25" xfId="11287" xr:uid="{00000000-0005-0000-0000-0000EA280000}"/>
    <cellStyle name="Normal 15 3 26" xfId="11288" xr:uid="{00000000-0005-0000-0000-0000EB280000}"/>
    <cellStyle name="Normal 15 3 27" xfId="11289" xr:uid="{00000000-0005-0000-0000-0000EC280000}"/>
    <cellStyle name="Normal 15 3 28" xfId="11290" xr:uid="{00000000-0005-0000-0000-0000ED280000}"/>
    <cellStyle name="Normal 15 3 29" xfId="11291" xr:uid="{00000000-0005-0000-0000-0000EE280000}"/>
    <cellStyle name="Normal 15 3 3" xfId="11292" xr:uid="{00000000-0005-0000-0000-0000EF280000}"/>
    <cellStyle name="Normal 15 3 30" xfId="11293" xr:uid="{00000000-0005-0000-0000-0000F0280000}"/>
    <cellStyle name="Normal 15 3 31" xfId="11294" xr:uid="{00000000-0005-0000-0000-0000F1280000}"/>
    <cellStyle name="Normal 15 3 32" xfId="11295" xr:uid="{00000000-0005-0000-0000-0000F2280000}"/>
    <cellStyle name="Normal 15 3 33" xfId="11296" xr:uid="{00000000-0005-0000-0000-0000F3280000}"/>
    <cellStyle name="Normal 15 3 34" xfId="11297" xr:uid="{00000000-0005-0000-0000-0000F4280000}"/>
    <cellStyle name="Normal 15 3 35" xfId="11298" xr:uid="{00000000-0005-0000-0000-0000F5280000}"/>
    <cellStyle name="Normal 15 3 36" xfId="11299" xr:uid="{00000000-0005-0000-0000-0000F6280000}"/>
    <cellStyle name="Normal 15 3 37" xfId="11300" xr:uid="{00000000-0005-0000-0000-0000F7280000}"/>
    <cellStyle name="Normal 15 3 38" xfId="11301" xr:uid="{00000000-0005-0000-0000-0000F8280000}"/>
    <cellStyle name="Normal 15 3 39" xfId="11302" xr:uid="{00000000-0005-0000-0000-0000F9280000}"/>
    <cellStyle name="Normal 15 3 4" xfId="11303" xr:uid="{00000000-0005-0000-0000-0000FA280000}"/>
    <cellStyle name="Normal 15 3 40" xfId="11304" xr:uid="{00000000-0005-0000-0000-0000FB280000}"/>
    <cellStyle name="Normal 15 3 41" xfId="11305" xr:uid="{00000000-0005-0000-0000-0000FC280000}"/>
    <cellStyle name="Normal 15 3 42" xfId="11306" xr:uid="{00000000-0005-0000-0000-0000FD280000}"/>
    <cellStyle name="Normal 15 3 43" xfId="11307" xr:uid="{00000000-0005-0000-0000-0000FE280000}"/>
    <cellStyle name="Normal 15 3 44" xfId="11308" xr:uid="{00000000-0005-0000-0000-0000FF280000}"/>
    <cellStyle name="Normal 15 3 45" xfId="11309" xr:uid="{00000000-0005-0000-0000-000000290000}"/>
    <cellStyle name="Normal 15 3 5" xfId="11310" xr:uid="{00000000-0005-0000-0000-000001290000}"/>
    <cellStyle name="Normal 15 3 6" xfId="11311" xr:uid="{00000000-0005-0000-0000-000002290000}"/>
    <cellStyle name="Normal 15 3 7" xfId="11312" xr:uid="{00000000-0005-0000-0000-000003290000}"/>
    <cellStyle name="Normal 15 3 8" xfId="11313" xr:uid="{00000000-0005-0000-0000-000004290000}"/>
    <cellStyle name="Normal 15 3 9" xfId="11314" xr:uid="{00000000-0005-0000-0000-000005290000}"/>
    <cellStyle name="Normal 15 30" xfId="11315" xr:uid="{00000000-0005-0000-0000-000006290000}"/>
    <cellStyle name="Normal 15 31" xfId="11316" xr:uid="{00000000-0005-0000-0000-000007290000}"/>
    <cellStyle name="Normal 15 32" xfId="11317" xr:uid="{00000000-0005-0000-0000-000008290000}"/>
    <cellStyle name="Normal 15 33" xfId="11318" xr:uid="{00000000-0005-0000-0000-000009290000}"/>
    <cellStyle name="Normal 15 34" xfId="11319" xr:uid="{00000000-0005-0000-0000-00000A290000}"/>
    <cellStyle name="Normal 15 35" xfId="11320" xr:uid="{00000000-0005-0000-0000-00000B290000}"/>
    <cellStyle name="Normal 15 36" xfId="11321" xr:uid="{00000000-0005-0000-0000-00000C290000}"/>
    <cellStyle name="Normal 15 37" xfId="11322" xr:uid="{00000000-0005-0000-0000-00000D290000}"/>
    <cellStyle name="Normal 15 38" xfId="11323" xr:uid="{00000000-0005-0000-0000-00000E290000}"/>
    <cellStyle name="Normal 15 39" xfId="11324" xr:uid="{00000000-0005-0000-0000-00000F290000}"/>
    <cellStyle name="Normal 15 4" xfId="11325" xr:uid="{00000000-0005-0000-0000-000010290000}"/>
    <cellStyle name="Normal 15 4 10" xfId="11326" xr:uid="{00000000-0005-0000-0000-000011290000}"/>
    <cellStyle name="Normal 15 4 11" xfId="11327" xr:uid="{00000000-0005-0000-0000-000012290000}"/>
    <cellStyle name="Normal 15 4 12" xfId="11328" xr:uid="{00000000-0005-0000-0000-000013290000}"/>
    <cellStyle name="Normal 15 4 13" xfId="11329" xr:uid="{00000000-0005-0000-0000-000014290000}"/>
    <cellStyle name="Normal 15 4 14" xfId="11330" xr:uid="{00000000-0005-0000-0000-000015290000}"/>
    <cellStyle name="Normal 15 4 15" xfId="11331" xr:uid="{00000000-0005-0000-0000-000016290000}"/>
    <cellStyle name="Normal 15 4 16" xfId="11332" xr:uid="{00000000-0005-0000-0000-000017290000}"/>
    <cellStyle name="Normal 15 4 17" xfId="11333" xr:uid="{00000000-0005-0000-0000-000018290000}"/>
    <cellStyle name="Normal 15 4 18" xfId="11334" xr:uid="{00000000-0005-0000-0000-000019290000}"/>
    <cellStyle name="Normal 15 4 19" xfId="11335" xr:uid="{00000000-0005-0000-0000-00001A290000}"/>
    <cellStyle name="Normal 15 4 2" xfId="11336" xr:uid="{00000000-0005-0000-0000-00001B290000}"/>
    <cellStyle name="Normal 15 4 20" xfId="11337" xr:uid="{00000000-0005-0000-0000-00001C290000}"/>
    <cellStyle name="Normal 15 4 21" xfId="11338" xr:uid="{00000000-0005-0000-0000-00001D290000}"/>
    <cellStyle name="Normal 15 4 22" xfId="11339" xr:uid="{00000000-0005-0000-0000-00001E290000}"/>
    <cellStyle name="Normal 15 4 23" xfId="11340" xr:uid="{00000000-0005-0000-0000-00001F290000}"/>
    <cellStyle name="Normal 15 4 24" xfId="11341" xr:uid="{00000000-0005-0000-0000-000020290000}"/>
    <cellStyle name="Normal 15 4 25" xfId="11342" xr:uid="{00000000-0005-0000-0000-000021290000}"/>
    <cellStyle name="Normal 15 4 26" xfId="11343" xr:uid="{00000000-0005-0000-0000-000022290000}"/>
    <cellStyle name="Normal 15 4 27" xfId="11344" xr:uid="{00000000-0005-0000-0000-000023290000}"/>
    <cellStyle name="Normal 15 4 28" xfId="11345" xr:uid="{00000000-0005-0000-0000-000024290000}"/>
    <cellStyle name="Normal 15 4 29" xfId="11346" xr:uid="{00000000-0005-0000-0000-000025290000}"/>
    <cellStyle name="Normal 15 4 3" xfId="11347" xr:uid="{00000000-0005-0000-0000-000026290000}"/>
    <cellStyle name="Normal 15 4 30" xfId="11348" xr:uid="{00000000-0005-0000-0000-000027290000}"/>
    <cellStyle name="Normal 15 4 31" xfId="11349" xr:uid="{00000000-0005-0000-0000-000028290000}"/>
    <cellStyle name="Normal 15 4 32" xfId="11350" xr:uid="{00000000-0005-0000-0000-000029290000}"/>
    <cellStyle name="Normal 15 4 33" xfId="11351" xr:uid="{00000000-0005-0000-0000-00002A290000}"/>
    <cellStyle name="Normal 15 4 34" xfId="11352" xr:uid="{00000000-0005-0000-0000-00002B290000}"/>
    <cellStyle name="Normal 15 4 35" xfId="11353" xr:uid="{00000000-0005-0000-0000-00002C290000}"/>
    <cellStyle name="Normal 15 4 36" xfId="11354" xr:uid="{00000000-0005-0000-0000-00002D290000}"/>
    <cellStyle name="Normal 15 4 37" xfId="11355" xr:uid="{00000000-0005-0000-0000-00002E290000}"/>
    <cellStyle name="Normal 15 4 38" xfId="11356" xr:uid="{00000000-0005-0000-0000-00002F290000}"/>
    <cellStyle name="Normal 15 4 39" xfId="11357" xr:uid="{00000000-0005-0000-0000-000030290000}"/>
    <cellStyle name="Normal 15 4 4" xfId="11358" xr:uid="{00000000-0005-0000-0000-000031290000}"/>
    <cellStyle name="Normal 15 4 40" xfId="11359" xr:uid="{00000000-0005-0000-0000-000032290000}"/>
    <cellStyle name="Normal 15 4 41" xfId="11360" xr:uid="{00000000-0005-0000-0000-000033290000}"/>
    <cellStyle name="Normal 15 4 42" xfId="11361" xr:uid="{00000000-0005-0000-0000-000034290000}"/>
    <cellStyle name="Normal 15 4 43" xfId="11362" xr:uid="{00000000-0005-0000-0000-000035290000}"/>
    <cellStyle name="Normal 15 4 44" xfId="11363" xr:uid="{00000000-0005-0000-0000-000036290000}"/>
    <cellStyle name="Normal 15 4 45" xfId="11364" xr:uid="{00000000-0005-0000-0000-000037290000}"/>
    <cellStyle name="Normal 15 4 5" xfId="11365" xr:uid="{00000000-0005-0000-0000-000038290000}"/>
    <cellStyle name="Normal 15 4 6" xfId="11366" xr:uid="{00000000-0005-0000-0000-000039290000}"/>
    <cellStyle name="Normal 15 4 7" xfId="11367" xr:uid="{00000000-0005-0000-0000-00003A290000}"/>
    <cellStyle name="Normal 15 4 8" xfId="11368" xr:uid="{00000000-0005-0000-0000-00003B290000}"/>
    <cellStyle name="Normal 15 4 9" xfId="11369" xr:uid="{00000000-0005-0000-0000-00003C290000}"/>
    <cellStyle name="Normal 15 40" xfId="11370" xr:uid="{00000000-0005-0000-0000-00003D290000}"/>
    <cellStyle name="Normal 15 41" xfId="11371" xr:uid="{00000000-0005-0000-0000-00003E290000}"/>
    <cellStyle name="Normal 15 42" xfId="11372" xr:uid="{00000000-0005-0000-0000-00003F290000}"/>
    <cellStyle name="Normal 15 43" xfId="11373" xr:uid="{00000000-0005-0000-0000-000040290000}"/>
    <cellStyle name="Normal 15 44" xfId="11374" xr:uid="{00000000-0005-0000-0000-000041290000}"/>
    <cellStyle name="Normal 15 45" xfId="11375" xr:uid="{00000000-0005-0000-0000-000042290000}"/>
    <cellStyle name="Normal 15 46" xfId="11376" xr:uid="{00000000-0005-0000-0000-000043290000}"/>
    <cellStyle name="Normal 15 47" xfId="11377" xr:uid="{00000000-0005-0000-0000-000044290000}"/>
    <cellStyle name="Normal 15 48" xfId="11378" xr:uid="{00000000-0005-0000-0000-000045290000}"/>
    <cellStyle name="Normal 15 49" xfId="11379" xr:uid="{00000000-0005-0000-0000-000046290000}"/>
    <cellStyle name="Normal 15 5" xfId="11380" xr:uid="{00000000-0005-0000-0000-000047290000}"/>
    <cellStyle name="Normal 15 5 10" xfId="11381" xr:uid="{00000000-0005-0000-0000-000048290000}"/>
    <cellStyle name="Normal 15 5 11" xfId="11382" xr:uid="{00000000-0005-0000-0000-000049290000}"/>
    <cellStyle name="Normal 15 5 12" xfId="11383" xr:uid="{00000000-0005-0000-0000-00004A290000}"/>
    <cellStyle name="Normal 15 5 13" xfId="11384" xr:uid="{00000000-0005-0000-0000-00004B290000}"/>
    <cellStyle name="Normal 15 5 14" xfId="11385" xr:uid="{00000000-0005-0000-0000-00004C290000}"/>
    <cellStyle name="Normal 15 5 15" xfId="11386" xr:uid="{00000000-0005-0000-0000-00004D290000}"/>
    <cellStyle name="Normal 15 5 16" xfId="11387" xr:uid="{00000000-0005-0000-0000-00004E290000}"/>
    <cellStyle name="Normal 15 5 17" xfId="11388" xr:uid="{00000000-0005-0000-0000-00004F290000}"/>
    <cellStyle name="Normal 15 5 18" xfId="11389" xr:uid="{00000000-0005-0000-0000-000050290000}"/>
    <cellStyle name="Normal 15 5 19" xfId="11390" xr:uid="{00000000-0005-0000-0000-000051290000}"/>
    <cellStyle name="Normal 15 5 2" xfId="11391" xr:uid="{00000000-0005-0000-0000-000052290000}"/>
    <cellStyle name="Normal 15 5 20" xfId="11392" xr:uid="{00000000-0005-0000-0000-000053290000}"/>
    <cellStyle name="Normal 15 5 21" xfId="11393" xr:uid="{00000000-0005-0000-0000-000054290000}"/>
    <cellStyle name="Normal 15 5 22" xfId="11394" xr:uid="{00000000-0005-0000-0000-000055290000}"/>
    <cellStyle name="Normal 15 5 23" xfId="11395" xr:uid="{00000000-0005-0000-0000-000056290000}"/>
    <cellStyle name="Normal 15 5 24" xfId="11396" xr:uid="{00000000-0005-0000-0000-000057290000}"/>
    <cellStyle name="Normal 15 5 25" xfId="11397" xr:uid="{00000000-0005-0000-0000-000058290000}"/>
    <cellStyle name="Normal 15 5 26" xfId="11398" xr:uid="{00000000-0005-0000-0000-000059290000}"/>
    <cellStyle name="Normal 15 5 27" xfId="11399" xr:uid="{00000000-0005-0000-0000-00005A290000}"/>
    <cellStyle name="Normal 15 5 28" xfId="11400" xr:uid="{00000000-0005-0000-0000-00005B290000}"/>
    <cellStyle name="Normal 15 5 29" xfId="11401" xr:uid="{00000000-0005-0000-0000-00005C290000}"/>
    <cellStyle name="Normal 15 5 3" xfId="11402" xr:uid="{00000000-0005-0000-0000-00005D290000}"/>
    <cellStyle name="Normal 15 5 30" xfId="11403" xr:uid="{00000000-0005-0000-0000-00005E290000}"/>
    <cellStyle name="Normal 15 5 31" xfId="11404" xr:uid="{00000000-0005-0000-0000-00005F290000}"/>
    <cellStyle name="Normal 15 5 32" xfId="11405" xr:uid="{00000000-0005-0000-0000-000060290000}"/>
    <cellStyle name="Normal 15 5 33" xfId="11406" xr:uid="{00000000-0005-0000-0000-000061290000}"/>
    <cellStyle name="Normal 15 5 34" xfId="11407" xr:uid="{00000000-0005-0000-0000-000062290000}"/>
    <cellStyle name="Normal 15 5 35" xfId="11408" xr:uid="{00000000-0005-0000-0000-000063290000}"/>
    <cellStyle name="Normal 15 5 36" xfId="11409" xr:uid="{00000000-0005-0000-0000-000064290000}"/>
    <cellStyle name="Normal 15 5 37" xfId="11410" xr:uid="{00000000-0005-0000-0000-000065290000}"/>
    <cellStyle name="Normal 15 5 38" xfId="11411" xr:uid="{00000000-0005-0000-0000-000066290000}"/>
    <cellStyle name="Normal 15 5 39" xfId="11412" xr:uid="{00000000-0005-0000-0000-000067290000}"/>
    <cellStyle name="Normal 15 5 4" xfId="11413" xr:uid="{00000000-0005-0000-0000-000068290000}"/>
    <cellStyle name="Normal 15 5 40" xfId="11414" xr:uid="{00000000-0005-0000-0000-000069290000}"/>
    <cellStyle name="Normal 15 5 41" xfId="11415" xr:uid="{00000000-0005-0000-0000-00006A290000}"/>
    <cellStyle name="Normal 15 5 42" xfId="11416" xr:uid="{00000000-0005-0000-0000-00006B290000}"/>
    <cellStyle name="Normal 15 5 43" xfId="11417" xr:uid="{00000000-0005-0000-0000-00006C290000}"/>
    <cellStyle name="Normal 15 5 44" xfId="11418" xr:uid="{00000000-0005-0000-0000-00006D290000}"/>
    <cellStyle name="Normal 15 5 45" xfId="11419" xr:uid="{00000000-0005-0000-0000-00006E290000}"/>
    <cellStyle name="Normal 15 5 5" xfId="11420" xr:uid="{00000000-0005-0000-0000-00006F290000}"/>
    <cellStyle name="Normal 15 5 6" xfId="11421" xr:uid="{00000000-0005-0000-0000-000070290000}"/>
    <cellStyle name="Normal 15 5 7" xfId="11422" xr:uid="{00000000-0005-0000-0000-000071290000}"/>
    <cellStyle name="Normal 15 5 8" xfId="11423" xr:uid="{00000000-0005-0000-0000-000072290000}"/>
    <cellStyle name="Normal 15 5 9" xfId="11424" xr:uid="{00000000-0005-0000-0000-000073290000}"/>
    <cellStyle name="Normal 15 50" xfId="11425" xr:uid="{00000000-0005-0000-0000-000074290000}"/>
    <cellStyle name="Normal 15 51" xfId="11426" xr:uid="{00000000-0005-0000-0000-000075290000}"/>
    <cellStyle name="Normal 15 6" xfId="11427" xr:uid="{00000000-0005-0000-0000-000076290000}"/>
    <cellStyle name="Normal 15 6 10" xfId="11428" xr:uid="{00000000-0005-0000-0000-000077290000}"/>
    <cellStyle name="Normal 15 6 11" xfId="11429" xr:uid="{00000000-0005-0000-0000-000078290000}"/>
    <cellStyle name="Normal 15 6 12" xfId="11430" xr:uid="{00000000-0005-0000-0000-000079290000}"/>
    <cellStyle name="Normal 15 6 13" xfId="11431" xr:uid="{00000000-0005-0000-0000-00007A290000}"/>
    <cellStyle name="Normal 15 6 14" xfId="11432" xr:uid="{00000000-0005-0000-0000-00007B290000}"/>
    <cellStyle name="Normal 15 6 15" xfId="11433" xr:uid="{00000000-0005-0000-0000-00007C290000}"/>
    <cellStyle name="Normal 15 6 16" xfId="11434" xr:uid="{00000000-0005-0000-0000-00007D290000}"/>
    <cellStyle name="Normal 15 6 17" xfId="11435" xr:uid="{00000000-0005-0000-0000-00007E290000}"/>
    <cellStyle name="Normal 15 6 18" xfId="11436" xr:uid="{00000000-0005-0000-0000-00007F290000}"/>
    <cellStyle name="Normal 15 6 19" xfId="11437" xr:uid="{00000000-0005-0000-0000-000080290000}"/>
    <cellStyle name="Normal 15 6 2" xfId="11438" xr:uid="{00000000-0005-0000-0000-000081290000}"/>
    <cellStyle name="Normal 15 6 20" xfId="11439" xr:uid="{00000000-0005-0000-0000-000082290000}"/>
    <cellStyle name="Normal 15 6 21" xfId="11440" xr:uid="{00000000-0005-0000-0000-000083290000}"/>
    <cellStyle name="Normal 15 6 22" xfId="11441" xr:uid="{00000000-0005-0000-0000-000084290000}"/>
    <cellStyle name="Normal 15 6 23" xfId="11442" xr:uid="{00000000-0005-0000-0000-000085290000}"/>
    <cellStyle name="Normal 15 6 24" xfId="11443" xr:uid="{00000000-0005-0000-0000-000086290000}"/>
    <cellStyle name="Normal 15 6 25" xfId="11444" xr:uid="{00000000-0005-0000-0000-000087290000}"/>
    <cellStyle name="Normal 15 6 26" xfId="11445" xr:uid="{00000000-0005-0000-0000-000088290000}"/>
    <cellStyle name="Normal 15 6 27" xfId="11446" xr:uid="{00000000-0005-0000-0000-000089290000}"/>
    <cellStyle name="Normal 15 6 28" xfId="11447" xr:uid="{00000000-0005-0000-0000-00008A290000}"/>
    <cellStyle name="Normal 15 6 29" xfId="11448" xr:uid="{00000000-0005-0000-0000-00008B290000}"/>
    <cellStyle name="Normal 15 6 3" xfId="11449" xr:uid="{00000000-0005-0000-0000-00008C290000}"/>
    <cellStyle name="Normal 15 6 30" xfId="11450" xr:uid="{00000000-0005-0000-0000-00008D290000}"/>
    <cellStyle name="Normal 15 6 31" xfId="11451" xr:uid="{00000000-0005-0000-0000-00008E290000}"/>
    <cellStyle name="Normal 15 6 32" xfId="11452" xr:uid="{00000000-0005-0000-0000-00008F290000}"/>
    <cellStyle name="Normal 15 6 33" xfId="11453" xr:uid="{00000000-0005-0000-0000-000090290000}"/>
    <cellStyle name="Normal 15 6 34" xfId="11454" xr:uid="{00000000-0005-0000-0000-000091290000}"/>
    <cellStyle name="Normal 15 6 35" xfId="11455" xr:uid="{00000000-0005-0000-0000-000092290000}"/>
    <cellStyle name="Normal 15 6 36" xfId="11456" xr:uid="{00000000-0005-0000-0000-000093290000}"/>
    <cellStyle name="Normal 15 6 37" xfId="11457" xr:uid="{00000000-0005-0000-0000-000094290000}"/>
    <cellStyle name="Normal 15 6 38" xfId="11458" xr:uid="{00000000-0005-0000-0000-000095290000}"/>
    <cellStyle name="Normal 15 6 39" xfId="11459" xr:uid="{00000000-0005-0000-0000-000096290000}"/>
    <cellStyle name="Normal 15 6 4" xfId="11460" xr:uid="{00000000-0005-0000-0000-000097290000}"/>
    <cellStyle name="Normal 15 6 40" xfId="11461" xr:uid="{00000000-0005-0000-0000-000098290000}"/>
    <cellStyle name="Normal 15 6 41" xfId="11462" xr:uid="{00000000-0005-0000-0000-000099290000}"/>
    <cellStyle name="Normal 15 6 42" xfId="11463" xr:uid="{00000000-0005-0000-0000-00009A290000}"/>
    <cellStyle name="Normal 15 6 43" xfId="11464" xr:uid="{00000000-0005-0000-0000-00009B290000}"/>
    <cellStyle name="Normal 15 6 44" xfId="11465" xr:uid="{00000000-0005-0000-0000-00009C290000}"/>
    <cellStyle name="Normal 15 6 45" xfId="11466" xr:uid="{00000000-0005-0000-0000-00009D290000}"/>
    <cellStyle name="Normal 15 6 5" xfId="11467" xr:uid="{00000000-0005-0000-0000-00009E290000}"/>
    <cellStyle name="Normal 15 6 6" xfId="11468" xr:uid="{00000000-0005-0000-0000-00009F290000}"/>
    <cellStyle name="Normal 15 6 7" xfId="11469" xr:uid="{00000000-0005-0000-0000-0000A0290000}"/>
    <cellStyle name="Normal 15 6 8" xfId="11470" xr:uid="{00000000-0005-0000-0000-0000A1290000}"/>
    <cellStyle name="Normal 15 6 9" xfId="11471" xr:uid="{00000000-0005-0000-0000-0000A2290000}"/>
    <cellStyle name="Normal 15 7" xfId="11472" xr:uid="{00000000-0005-0000-0000-0000A3290000}"/>
    <cellStyle name="Normal 15 7 10" xfId="11473" xr:uid="{00000000-0005-0000-0000-0000A4290000}"/>
    <cellStyle name="Normal 15 7 11" xfId="11474" xr:uid="{00000000-0005-0000-0000-0000A5290000}"/>
    <cellStyle name="Normal 15 7 12" xfId="11475" xr:uid="{00000000-0005-0000-0000-0000A6290000}"/>
    <cellStyle name="Normal 15 7 13" xfId="11476" xr:uid="{00000000-0005-0000-0000-0000A7290000}"/>
    <cellStyle name="Normal 15 7 14" xfId="11477" xr:uid="{00000000-0005-0000-0000-0000A8290000}"/>
    <cellStyle name="Normal 15 7 15" xfId="11478" xr:uid="{00000000-0005-0000-0000-0000A9290000}"/>
    <cellStyle name="Normal 15 7 16" xfId="11479" xr:uid="{00000000-0005-0000-0000-0000AA290000}"/>
    <cellStyle name="Normal 15 7 17" xfId="11480" xr:uid="{00000000-0005-0000-0000-0000AB290000}"/>
    <cellStyle name="Normal 15 7 18" xfId="11481" xr:uid="{00000000-0005-0000-0000-0000AC290000}"/>
    <cellStyle name="Normal 15 7 19" xfId="11482" xr:uid="{00000000-0005-0000-0000-0000AD290000}"/>
    <cellStyle name="Normal 15 7 2" xfId="11483" xr:uid="{00000000-0005-0000-0000-0000AE290000}"/>
    <cellStyle name="Normal 15 7 20" xfId="11484" xr:uid="{00000000-0005-0000-0000-0000AF290000}"/>
    <cellStyle name="Normal 15 7 21" xfId="11485" xr:uid="{00000000-0005-0000-0000-0000B0290000}"/>
    <cellStyle name="Normal 15 7 22" xfId="11486" xr:uid="{00000000-0005-0000-0000-0000B1290000}"/>
    <cellStyle name="Normal 15 7 23" xfId="11487" xr:uid="{00000000-0005-0000-0000-0000B2290000}"/>
    <cellStyle name="Normal 15 7 24" xfId="11488" xr:uid="{00000000-0005-0000-0000-0000B3290000}"/>
    <cellStyle name="Normal 15 7 25" xfId="11489" xr:uid="{00000000-0005-0000-0000-0000B4290000}"/>
    <cellStyle name="Normal 15 7 26" xfId="11490" xr:uid="{00000000-0005-0000-0000-0000B5290000}"/>
    <cellStyle name="Normal 15 7 27" xfId="11491" xr:uid="{00000000-0005-0000-0000-0000B6290000}"/>
    <cellStyle name="Normal 15 7 28" xfId="11492" xr:uid="{00000000-0005-0000-0000-0000B7290000}"/>
    <cellStyle name="Normal 15 7 29" xfId="11493" xr:uid="{00000000-0005-0000-0000-0000B8290000}"/>
    <cellStyle name="Normal 15 7 3" xfId="11494" xr:uid="{00000000-0005-0000-0000-0000B9290000}"/>
    <cellStyle name="Normal 15 7 30" xfId="11495" xr:uid="{00000000-0005-0000-0000-0000BA290000}"/>
    <cellStyle name="Normal 15 7 31" xfId="11496" xr:uid="{00000000-0005-0000-0000-0000BB290000}"/>
    <cellStyle name="Normal 15 7 32" xfId="11497" xr:uid="{00000000-0005-0000-0000-0000BC290000}"/>
    <cellStyle name="Normal 15 7 33" xfId="11498" xr:uid="{00000000-0005-0000-0000-0000BD290000}"/>
    <cellStyle name="Normal 15 7 34" xfId="11499" xr:uid="{00000000-0005-0000-0000-0000BE290000}"/>
    <cellStyle name="Normal 15 7 35" xfId="11500" xr:uid="{00000000-0005-0000-0000-0000BF290000}"/>
    <cellStyle name="Normal 15 7 36" xfId="11501" xr:uid="{00000000-0005-0000-0000-0000C0290000}"/>
    <cellStyle name="Normal 15 7 37" xfId="11502" xr:uid="{00000000-0005-0000-0000-0000C1290000}"/>
    <cellStyle name="Normal 15 7 38" xfId="11503" xr:uid="{00000000-0005-0000-0000-0000C2290000}"/>
    <cellStyle name="Normal 15 7 39" xfId="11504" xr:uid="{00000000-0005-0000-0000-0000C3290000}"/>
    <cellStyle name="Normal 15 7 4" xfId="11505" xr:uid="{00000000-0005-0000-0000-0000C4290000}"/>
    <cellStyle name="Normal 15 7 40" xfId="11506" xr:uid="{00000000-0005-0000-0000-0000C5290000}"/>
    <cellStyle name="Normal 15 7 41" xfId="11507" xr:uid="{00000000-0005-0000-0000-0000C6290000}"/>
    <cellStyle name="Normal 15 7 42" xfId="11508" xr:uid="{00000000-0005-0000-0000-0000C7290000}"/>
    <cellStyle name="Normal 15 7 43" xfId="11509" xr:uid="{00000000-0005-0000-0000-0000C8290000}"/>
    <cellStyle name="Normal 15 7 44" xfId="11510" xr:uid="{00000000-0005-0000-0000-0000C9290000}"/>
    <cellStyle name="Normal 15 7 45" xfId="11511" xr:uid="{00000000-0005-0000-0000-0000CA290000}"/>
    <cellStyle name="Normal 15 7 5" xfId="11512" xr:uid="{00000000-0005-0000-0000-0000CB290000}"/>
    <cellStyle name="Normal 15 7 6" xfId="11513" xr:uid="{00000000-0005-0000-0000-0000CC290000}"/>
    <cellStyle name="Normal 15 7 7" xfId="11514" xr:uid="{00000000-0005-0000-0000-0000CD290000}"/>
    <cellStyle name="Normal 15 7 8" xfId="11515" xr:uid="{00000000-0005-0000-0000-0000CE290000}"/>
    <cellStyle name="Normal 15 7 9" xfId="11516" xr:uid="{00000000-0005-0000-0000-0000CF290000}"/>
    <cellStyle name="Normal 15 8" xfId="11517" xr:uid="{00000000-0005-0000-0000-0000D0290000}"/>
    <cellStyle name="Normal 15 8 10" xfId="11518" xr:uid="{00000000-0005-0000-0000-0000D1290000}"/>
    <cellStyle name="Normal 15 8 11" xfId="11519" xr:uid="{00000000-0005-0000-0000-0000D2290000}"/>
    <cellStyle name="Normal 15 8 12" xfId="11520" xr:uid="{00000000-0005-0000-0000-0000D3290000}"/>
    <cellStyle name="Normal 15 8 13" xfId="11521" xr:uid="{00000000-0005-0000-0000-0000D4290000}"/>
    <cellStyle name="Normal 15 8 14" xfId="11522" xr:uid="{00000000-0005-0000-0000-0000D5290000}"/>
    <cellStyle name="Normal 15 8 15" xfId="11523" xr:uid="{00000000-0005-0000-0000-0000D6290000}"/>
    <cellStyle name="Normal 15 8 16" xfId="11524" xr:uid="{00000000-0005-0000-0000-0000D7290000}"/>
    <cellStyle name="Normal 15 8 17" xfId="11525" xr:uid="{00000000-0005-0000-0000-0000D8290000}"/>
    <cellStyle name="Normal 15 8 18" xfId="11526" xr:uid="{00000000-0005-0000-0000-0000D9290000}"/>
    <cellStyle name="Normal 15 8 19" xfId="11527" xr:uid="{00000000-0005-0000-0000-0000DA290000}"/>
    <cellStyle name="Normal 15 8 2" xfId="11528" xr:uid="{00000000-0005-0000-0000-0000DB290000}"/>
    <cellStyle name="Normal 15 8 20" xfId="11529" xr:uid="{00000000-0005-0000-0000-0000DC290000}"/>
    <cellStyle name="Normal 15 8 21" xfId="11530" xr:uid="{00000000-0005-0000-0000-0000DD290000}"/>
    <cellStyle name="Normal 15 8 22" xfId="11531" xr:uid="{00000000-0005-0000-0000-0000DE290000}"/>
    <cellStyle name="Normal 15 8 23" xfId="11532" xr:uid="{00000000-0005-0000-0000-0000DF290000}"/>
    <cellStyle name="Normal 15 8 24" xfId="11533" xr:uid="{00000000-0005-0000-0000-0000E0290000}"/>
    <cellStyle name="Normal 15 8 25" xfId="11534" xr:uid="{00000000-0005-0000-0000-0000E1290000}"/>
    <cellStyle name="Normal 15 8 26" xfId="11535" xr:uid="{00000000-0005-0000-0000-0000E2290000}"/>
    <cellStyle name="Normal 15 8 27" xfId="11536" xr:uid="{00000000-0005-0000-0000-0000E3290000}"/>
    <cellStyle name="Normal 15 8 28" xfId="11537" xr:uid="{00000000-0005-0000-0000-0000E4290000}"/>
    <cellStyle name="Normal 15 8 29" xfId="11538" xr:uid="{00000000-0005-0000-0000-0000E5290000}"/>
    <cellStyle name="Normal 15 8 3" xfId="11539" xr:uid="{00000000-0005-0000-0000-0000E6290000}"/>
    <cellStyle name="Normal 15 8 30" xfId="11540" xr:uid="{00000000-0005-0000-0000-0000E7290000}"/>
    <cellStyle name="Normal 15 8 31" xfId="11541" xr:uid="{00000000-0005-0000-0000-0000E8290000}"/>
    <cellStyle name="Normal 15 8 32" xfId="11542" xr:uid="{00000000-0005-0000-0000-0000E9290000}"/>
    <cellStyle name="Normal 15 8 33" xfId="11543" xr:uid="{00000000-0005-0000-0000-0000EA290000}"/>
    <cellStyle name="Normal 15 8 34" xfId="11544" xr:uid="{00000000-0005-0000-0000-0000EB290000}"/>
    <cellStyle name="Normal 15 8 35" xfId="11545" xr:uid="{00000000-0005-0000-0000-0000EC290000}"/>
    <cellStyle name="Normal 15 8 36" xfId="11546" xr:uid="{00000000-0005-0000-0000-0000ED290000}"/>
    <cellStyle name="Normal 15 8 37" xfId="11547" xr:uid="{00000000-0005-0000-0000-0000EE290000}"/>
    <cellStyle name="Normal 15 8 4" xfId="11548" xr:uid="{00000000-0005-0000-0000-0000EF290000}"/>
    <cellStyle name="Normal 15 8 5" xfId="11549" xr:uid="{00000000-0005-0000-0000-0000F0290000}"/>
    <cellStyle name="Normal 15 8 6" xfId="11550" xr:uid="{00000000-0005-0000-0000-0000F1290000}"/>
    <cellStyle name="Normal 15 8 7" xfId="11551" xr:uid="{00000000-0005-0000-0000-0000F2290000}"/>
    <cellStyle name="Normal 15 8 8" xfId="11552" xr:uid="{00000000-0005-0000-0000-0000F3290000}"/>
    <cellStyle name="Normal 15 8 9" xfId="11553" xr:uid="{00000000-0005-0000-0000-0000F4290000}"/>
    <cellStyle name="Normal 15 9" xfId="11554" xr:uid="{00000000-0005-0000-0000-0000F5290000}"/>
    <cellStyle name="Normal 15 9 10" xfId="11555" xr:uid="{00000000-0005-0000-0000-0000F6290000}"/>
    <cellStyle name="Normal 15 9 11" xfId="11556" xr:uid="{00000000-0005-0000-0000-0000F7290000}"/>
    <cellStyle name="Normal 15 9 12" xfId="11557" xr:uid="{00000000-0005-0000-0000-0000F8290000}"/>
    <cellStyle name="Normal 15 9 13" xfId="11558" xr:uid="{00000000-0005-0000-0000-0000F9290000}"/>
    <cellStyle name="Normal 15 9 14" xfId="11559" xr:uid="{00000000-0005-0000-0000-0000FA290000}"/>
    <cellStyle name="Normal 15 9 15" xfId="11560" xr:uid="{00000000-0005-0000-0000-0000FB290000}"/>
    <cellStyle name="Normal 15 9 16" xfId="11561" xr:uid="{00000000-0005-0000-0000-0000FC290000}"/>
    <cellStyle name="Normal 15 9 17" xfId="11562" xr:uid="{00000000-0005-0000-0000-0000FD290000}"/>
    <cellStyle name="Normal 15 9 18" xfId="11563" xr:uid="{00000000-0005-0000-0000-0000FE290000}"/>
    <cellStyle name="Normal 15 9 19" xfId="11564" xr:uid="{00000000-0005-0000-0000-0000FF290000}"/>
    <cellStyle name="Normal 15 9 2" xfId="11565" xr:uid="{00000000-0005-0000-0000-0000002A0000}"/>
    <cellStyle name="Normal 15 9 20" xfId="11566" xr:uid="{00000000-0005-0000-0000-0000012A0000}"/>
    <cellStyle name="Normal 15 9 21" xfId="11567" xr:uid="{00000000-0005-0000-0000-0000022A0000}"/>
    <cellStyle name="Normal 15 9 22" xfId="11568" xr:uid="{00000000-0005-0000-0000-0000032A0000}"/>
    <cellStyle name="Normal 15 9 23" xfId="11569" xr:uid="{00000000-0005-0000-0000-0000042A0000}"/>
    <cellStyle name="Normal 15 9 24" xfId="11570" xr:uid="{00000000-0005-0000-0000-0000052A0000}"/>
    <cellStyle name="Normal 15 9 25" xfId="11571" xr:uid="{00000000-0005-0000-0000-0000062A0000}"/>
    <cellStyle name="Normal 15 9 26" xfId="11572" xr:uid="{00000000-0005-0000-0000-0000072A0000}"/>
    <cellStyle name="Normal 15 9 27" xfId="11573" xr:uid="{00000000-0005-0000-0000-0000082A0000}"/>
    <cellStyle name="Normal 15 9 28" xfId="11574" xr:uid="{00000000-0005-0000-0000-0000092A0000}"/>
    <cellStyle name="Normal 15 9 29" xfId="11575" xr:uid="{00000000-0005-0000-0000-00000A2A0000}"/>
    <cellStyle name="Normal 15 9 3" xfId="11576" xr:uid="{00000000-0005-0000-0000-00000B2A0000}"/>
    <cellStyle name="Normal 15 9 30" xfId="11577" xr:uid="{00000000-0005-0000-0000-00000C2A0000}"/>
    <cellStyle name="Normal 15 9 31" xfId="11578" xr:uid="{00000000-0005-0000-0000-00000D2A0000}"/>
    <cellStyle name="Normal 15 9 32" xfId="11579" xr:uid="{00000000-0005-0000-0000-00000E2A0000}"/>
    <cellStyle name="Normal 15 9 33" xfId="11580" xr:uid="{00000000-0005-0000-0000-00000F2A0000}"/>
    <cellStyle name="Normal 15 9 34" xfId="11581" xr:uid="{00000000-0005-0000-0000-0000102A0000}"/>
    <cellStyle name="Normal 15 9 35" xfId="11582" xr:uid="{00000000-0005-0000-0000-0000112A0000}"/>
    <cellStyle name="Normal 15 9 36" xfId="11583" xr:uid="{00000000-0005-0000-0000-0000122A0000}"/>
    <cellStyle name="Normal 15 9 37" xfId="11584" xr:uid="{00000000-0005-0000-0000-0000132A0000}"/>
    <cellStyle name="Normal 15 9 4" xfId="11585" xr:uid="{00000000-0005-0000-0000-0000142A0000}"/>
    <cellStyle name="Normal 15 9 5" xfId="11586" xr:uid="{00000000-0005-0000-0000-0000152A0000}"/>
    <cellStyle name="Normal 15 9 6" xfId="11587" xr:uid="{00000000-0005-0000-0000-0000162A0000}"/>
    <cellStyle name="Normal 15 9 7" xfId="11588" xr:uid="{00000000-0005-0000-0000-0000172A0000}"/>
    <cellStyle name="Normal 15 9 8" xfId="11589" xr:uid="{00000000-0005-0000-0000-0000182A0000}"/>
    <cellStyle name="Normal 15 9 9" xfId="11590" xr:uid="{00000000-0005-0000-0000-0000192A0000}"/>
    <cellStyle name="Normal 150" xfId="11591" xr:uid="{00000000-0005-0000-0000-00001A2A0000}"/>
    <cellStyle name="Normal 151" xfId="11592" xr:uid="{00000000-0005-0000-0000-00001B2A0000}"/>
    <cellStyle name="Normal 152" xfId="11593" xr:uid="{00000000-0005-0000-0000-00001C2A0000}"/>
    <cellStyle name="Normal 153" xfId="11594" xr:uid="{00000000-0005-0000-0000-00001D2A0000}"/>
    <cellStyle name="Normal 154" xfId="11595" xr:uid="{00000000-0005-0000-0000-00001E2A0000}"/>
    <cellStyle name="Normal 155" xfId="11596" xr:uid="{00000000-0005-0000-0000-00001F2A0000}"/>
    <cellStyle name="Normal 156" xfId="11597" xr:uid="{00000000-0005-0000-0000-0000202A0000}"/>
    <cellStyle name="Normal 157" xfId="11598" xr:uid="{00000000-0005-0000-0000-0000212A0000}"/>
    <cellStyle name="Normal 158" xfId="11599" xr:uid="{00000000-0005-0000-0000-0000222A0000}"/>
    <cellStyle name="Normal 159" xfId="11600" xr:uid="{00000000-0005-0000-0000-0000232A0000}"/>
    <cellStyle name="Normal 16" xfId="1048" xr:uid="{00000000-0005-0000-0000-0000242A0000}"/>
    <cellStyle name="Normal 16 10" xfId="11601" xr:uid="{00000000-0005-0000-0000-0000252A0000}"/>
    <cellStyle name="Normal 16 11" xfId="11602" xr:uid="{00000000-0005-0000-0000-0000262A0000}"/>
    <cellStyle name="Normal 16 12" xfId="11603" xr:uid="{00000000-0005-0000-0000-0000272A0000}"/>
    <cellStyle name="Normal 16 13" xfId="11604" xr:uid="{00000000-0005-0000-0000-0000282A0000}"/>
    <cellStyle name="Normal 16 14" xfId="11605" xr:uid="{00000000-0005-0000-0000-0000292A0000}"/>
    <cellStyle name="Normal 16 15" xfId="11606" xr:uid="{00000000-0005-0000-0000-00002A2A0000}"/>
    <cellStyle name="Normal 16 16" xfId="11607" xr:uid="{00000000-0005-0000-0000-00002B2A0000}"/>
    <cellStyle name="Normal 16 17" xfId="11608" xr:uid="{00000000-0005-0000-0000-00002C2A0000}"/>
    <cellStyle name="Normal 16 18" xfId="11609" xr:uid="{00000000-0005-0000-0000-00002D2A0000}"/>
    <cellStyle name="Normal 16 19" xfId="11610" xr:uid="{00000000-0005-0000-0000-00002E2A0000}"/>
    <cellStyle name="Normal 16 2" xfId="1471" xr:uid="{00000000-0005-0000-0000-00002F2A0000}"/>
    <cellStyle name="Normal 16 2 2" xfId="11611" xr:uid="{00000000-0005-0000-0000-0000302A0000}"/>
    <cellStyle name="Normal 16 2 2 2" xfId="11612" xr:uid="{00000000-0005-0000-0000-0000312A0000}"/>
    <cellStyle name="Normal 16 2 2 3" xfId="11613" xr:uid="{00000000-0005-0000-0000-0000322A0000}"/>
    <cellStyle name="Normal 16 2 3" xfId="11614" xr:uid="{00000000-0005-0000-0000-0000332A0000}"/>
    <cellStyle name="Normal 16 2 4" xfId="11615" xr:uid="{00000000-0005-0000-0000-0000342A0000}"/>
    <cellStyle name="Normal 16 20" xfId="11616" xr:uid="{00000000-0005-0000-0000-0000352A0000}"/>
    <cellStyle name="Normal 16 21" xfId="11617" xr:uid="{00000000-0005-0000-0000-0000362A0000}"/>
    <cellStyle name="Normal 16 22" xfId="11618" xr:uid="{00000000-0005-0000-0000-0000372A0000}"/>
    <cellStyle name="Normal 16 23" xfId="11619" xr:uid="{00000000-0005-0000-0000-0000382A0000}"/>
    <cellStyle name="Normal 16 24" xfId="11620" xr:uid="{00000000-0005-0000-0000-0000392A0000}"/>
    <cellStyle name="Normal 16 25" xfId="11621" xr:uid="{00000000-0005-0000-0000-00003A2A0000}"/>
    <cellStyle name="Normal 16 26" xfId="11622" xr:uid="{00000000-0005-0000-0000-00003B2A0000}"/>
    <cellStyle name="Normal 16 27" xfId="11623" xr:uid="{00000000-0005-0000-0000-00003C2A0000}"/>
    <cellStyle name="Normal 16 28" xfId="11624" xr:uid="{00000000-0005-0000-0000-00003D2A0000}"/>
    <cellStyle name="Normal 16 29" xfId="11625" xr:uid="{00000000-0005-0000-0000-00003E2A0000}"/>
    <cellStyle name="Normal 16 3" xfId="11626" xr:uid="{00000000-0005-0000-0000-00003F2A0000}"/>
    <cellStyle name="Normal 16 3 2" xfId="11627" xr:uid="{00000000-0005-0000-0000-0000402A0000}"/>
    <cellStyle name="Normal 16 30" xfId="11628" xr:uid="{00000000-0005-0000-0000-0000412A0000}"/>
    <cellStyle name="Normal 16 31" xfId="11629" xr:uid="{00000000-0005-0000-0000-0000422A0000}"/>
    <cellStyle name="Normal 16 32" xfId="11630" xr:uid="{00000000-0005-0000-0000-0000432A0000}"/>
    <cellStyle name="Normal 16 33" xfId="11631" xr:uid="{00000000-0005-0000-0000-0000442A0000}"/>
    <cellStyle name="Normal 16 34" xfId="11632" xr:uid="{00000000-0005-0000-0000-0000452A0000}"/>
    <cellStyle name="Normal 16 35" xfId="11633" xr:uid="{00000000-0005-0000-0000-0000462A0000}"/>
    <cellStyle name="Normal 16 36" xfId="11634" xr:uid="{00000000-0005-0000-0000-0000472A0000}"/>
    <cellStyle name="Normal 16 37" xfId="11635" xr:uid="{00000000-0005-0000-0000-0000482A0000}"/>
    <cellStyle name="Normal 16 38" xfId="11636" xr:uid="{00000000-0005-0000-0000-0000492A0000}"/>
    <cellStyle name="Normal 16 39" xfId="11637" xr:uid="{00000000-0005-0000-0000-00004A2A0000}"/>
    <cellStyle name="Normal 16 4" xfId="11638" xr:uid="{00000000-0005-0000-0000-00004B2A0000}"/>
    <cellStyle name="Normal 16 40" xfId="11639" xr:uid="{00000000-0005-0000-0000-00004C2A0000}"/>
    <cellStyle name="Normal 16 41" xfId="11640" xr:uid="{00000000-0005-0000-0000-00004D2A0000}"/>
    <cellStyle name="Normal 16 42" xfId="11641" xr:uid="{00000000-0005-0000-0000-00004E2A0000}"/>
    <cellStyle name="Normal 16 43" xfId="11642" xr:uid="{00000000-0005-0000-0000-00004F2A0000}"/>
    <cellStyle name="Normal 16 44" xfId="11643" xr:uid="{00000000-0005-0000-0000-0000502A0000}"/>
    <cellStyle name="Normal 16 45" xfId="11644" xr:uid="{00000000-0005-0000-0000-0000512A0000}"/>
    <cellStyle name="Normal 16 5" xfId="11645" xr:uid="{00000000-0005-0000-0000-0000522A0000}"/>
    <cellStyle name="Normal 16 6" xfId="11646" xr:uid="{00000000-0005-0000-0000-0000532A0000}"/>
    <cellStyle name="Normal 16 7" xfId="11647" xr:uid="{00000000-0005-0000-0000-0000542A0000}"/>
    <cellStyle name="Normal 16 8" xfId="11648" xr:uid="{00000000-0005-0000-0000-0000552A0000}"/>
    <cellStyle name="Normal 16 9" xfId="11649" xr:uid="{00000000-0005-0000-0000-0000562A0000}"/>
    <cellStyle name="Normal 160" xfId="11650" xr:uid="{00000000-0005-0000-0000-0000572A0000}"/>
    <cellStyle name="Normal 161" xfId="11651" xr:uid="{00000000-0005-0000-0000-0000582A0000}"/>
    <cellStyle name="Normal 162" xfId="11652" xr:uid="{00000000-0005-0000-0000-0000592A0000}"/>
    <cellStyle name="Normal 163" xfId="11653" xr:uid="{00000000-0005-0000-0000-00005A2A0000}"/>
    <cellStyle name="Normal 164" xfId="11654" xr:uid="{00000000-0005-0000-0000-00005B2A0000}"/>
    <cellStyle name="Normal 165" xfId="11655" xr:uid="{00000000-0005-0000-0000-00005C2A0000}"/>
    <cellStyle name="Normal 166" xfId="1889" xr:uid="{00000000-0005-0000-0000-00005D2A0000}"/>
    <cellStyle name="Normal 166 2" xfId="43407" xr:uid="{00000000-0005-0000-0000-00005E2A0000}"/>
    <cellStyle name="Normal 167" xfId="43186" xr:uid="{00000000-0005-0000-0000-00005F2A0000}"/>
    <cellStyle name="Normal 168" xfId="43189" xr:uid="{00000000-0005-0000-0000-0000602A0000}"/>
    <cellStyle name="Normal 169" xfId="43192" xr:uid="{00000000-0005-0000-0000-0000612A0000}"/>
    <cellStyle name="Normal 17" xfId="1049" xr:uid="{00000000-0005-0000-0000-0000622A0000}"/>
    <cellStyle name="Normal 17 10" xfId="11656" xr:uid="{00000000-0005-0000-0000-0000632A0000}"/>
    <cellStyle name="Normal 17 11" xfId="11657" xr:uid="{00000000-0005-0000-0000-0000642A0000}"/>
    <cellStyle name="Normal 17 12" xfId="11658" xr:uid="{00000000-0005-0000-0000-0000652A0000}"/>
    <cellStyle name="Normal 17 13" xfId="11659" xr:uid="{00000000-0005-0000-0000-0000662A0000}"/>
    <cellStyle name="Normal 17 14" xfId="11660" xr:uid="{00000000-0005-0000-0000-0000672A0000}"/>
    <cellStyle name="Normal 17 15" xfId="11661" xr:uid="{00000000-0005-0000-0000-0000682A0000}"/>
    <cellStyle name="Normal 17 16" xfId="11662" xr:uid="{00000000-0005-0000-0000-0000692A0000}"/>
    <cellStyle name="Normal 17 17" xfId="11663" xr:uid="{00000000-0005-0000-0000-00006A2A0000}"/>
    <cellStyle name="Normal 17 18" xfId="11664" xr:uid="{00000000-0005-0000-0000-00006B2A0000}"/>
    <cellStyle name="Normal 17 19" xfId="11665" xr:uid="{00000000-0005-0000-0000-00006C2A0000}"/>
    <cellStyle name="Normal 17 2" xfId="1661" xr:uid="{00000000-0005-0000-0000-00006D2A0000}"/>
    <cellStyle name="Normal 17 20" xfId="11666" xr:uid="{00000000-0005-0000-0000-00006E2A0000}"/>
    <cellStyle name="Normal 17 21" xfId="11667" xr:uid="{00000000-0005-0000-0000-00006F2A0000}"/>
    <cellStyle name="Normal 17 22" xfId="11668" xr:uid="{00000000-0005-0000-0000-0000702A0000}"/>
    <cellStyle name="Normal 17 23" xfId="11669" xr:uid="{00000000-0005-0000-0000-0000712A0000}"/>
    <cellStyle name="Normal 17 24" xfId="11670" xr:uid="{00000000-0005-0000-0000-0000722A0000}"/>
    <cellStyle name="Normal 17 25" xfId="11671" xr:uid="{00000000-0005-0000-0000-0000732A0000}"/>
    <cellStyle name="Normal 17 26" xfId="11672" xr:uid="{00000000-0005-0000-0000-0000742A0000}"/>
    <cellStyle name="Normal 17 27" xfId="11673" xr:uid="{00000000-0005-0000-0000-0000752A0000}"/>
    <cellStyle name="Normal 17 28" xfId="11674" xr:uid="{00000000-0005-0000-0000-0000762A0000}"/>
    <cellStyle name="Normal 17 29" xfId="11675" xr:uid="{00000000-0005-0000-0000-0000772A0000}"/>
    <cellStyle name="Normal 17 3" xfId="11676" xr:uid="{00000000-0005-0000-0000-0000782A0000}"/>
    <cellStyle name="Normal 17 30" xfId="11677" xr:uid="{00000000-0005-0000-0000-0000792A0000}"/>
    <cellStyle name="Normal 17 31" xfId="11678" xr:uid="{00000000-0005-0000-0000-00007A2A0000}"/>
    <cellStyle name="Normal 17 32" xfId="11679" xr:uid="{00000000-0005-0000-0000-00007B2A0000}"/>
    <cellStyle name="Normal 17 33" xfId="11680" xr:uid="{00000000-0005-0000-0000-00007C2A0000}"/>
    <cellStyle name="Normal 17 34" xfId="11681" xr:uid="{00000000-0005-0000-0000-00007D2A0000}"/>
    <cellStyle name="Normal 17 35" xfId="11682" xr:uid="{00000000-0005-0000-0000-00007E2A0000}"/>
    <cellStyle name="Normal 17 36" xfId="11683" xr:uid="{00000000-0005-0000-0000-00007F2A0000}"/>
    <cellStyle name="Normal 17 37" xfId="11684" xr:uid="{00000000-0005-0000-0000-0000802A0000}"/>
    <cellStyle name="Normal 17 38" xfId="11685" xr:uid="{00000000-0005-0000-0000-0000812A0000}"/>
    <cellStyle name="Normal 17 39" xfId="11686" xr:uid="{00000000-0005-0000-0000-0000822A0000}"/>
    <cellStyle name="Normal 17 4" xfId="11687" xr:uid="{00000000-0005-0000-0000-0000832A0000}"/>
    <cellStyle name="Normal 17 40" xfId="11688" xr:uid="{00000000-0005-0000-0000-0000842A0000}"/>
    <cellStyle name="Normal 17 41" xfId="11689" xr:uid="{00000000-0005-0000-0000-0000852A0000}"/>
    <cellStyle name="Normal 17 42" xfId="11690" xr:uid="{00000000-0005-0000-0000-0000862A0000}"/>
    <cellStyle name="Normal 17 43" xfId="11691" xr:uid="{00000000-0005-0000-0000-0000872A0000}"/>
    <cellStyle name="Normal 17 44" xfId="11692" xr:uid="{00000000-0005-0000-0000-0000882A0000}"/>
    <cellStyle name="Normal 17 5" xfId="11693" xr:uid="{00000000-0005-0000-0000-0000892A0000}"/>
    <cellStyle name="Normal 17 6" xfId="11694" xr:uid="{00000000-0005-0000-0000-00008A2A0000}"/>
    <cellStyle name="Normal 17 7" xfId="11695" xr:uid="{00000000-0005-0000-0000-00008B2A0000}"/>
    <cellStyle name="Normal 17 8" xfId="11696" xr:uid="{00000000-0005-0000-0000-00008C2A0000}"/>
    <cellStyle name="Normal 17 9" xfId="11697" xr:uid="{00000000-0005-0000-0000-00008D2A0000}"/>
    <cellStyle name="Normal 170" xfId="43194" xr:uid="{00000000-0005-0000-0000-00008E2A0000}"/>
    <cellStyle name="Normal 171" xfId="43201" xr:uid="{00000000-0005-0000-0000-00008F2A0000}"/>
    <cellStyle name="Normal 172" xfId="43306" xr:uid="{00000000-0005-0000-0000-0000902A0000}"/>
    <cellStyle name="Normal 173" xfId="43402" xr:uid="{00000000-0005-0000-0000-0000912A0000}"/>
    <cellStyle name="Normal 174" xfId="43408" xr:uid="{00000000-0005-0000-0000-0000922A0000}"/>
    <cellStyle name="Normal 174 2" xfId="43411" xr:uid="{00000000-0005-0000-0000-0000932A0000}"/>
    <cellStyle name="Normal 174 2 2" xfId="43413" xr:uid="{00000000-0005-0000-0000-0000942A0000}"/>
    <cellStyle name="Normal 175" xfId="43410" xr:uid="{00000000-0005-0000-0000-0000952A0000}"/>
    <cellStyle name="Normal 176" xfId="43412" xr:uid="{00000000-0005-0000-0000-0000962A0000}"/>
    <cellStyle name="Normal 177" xfId="43414" xr:uid="{00000000-0005-0000-0000-0000972A0000}"/>
    <cellStyle name="Normal 177 2" xfId="43418" xr:uid="{00000000-0005-0000-0000-0000982A0000}"/>
    <cellStyle name="Normal 177 3" xfId="43422" xr:uid="{00000000-0005-0000-0000-0000992A0000}"/>
    <cellStyle name="Normal 178" xfId="43416" xr:uid="{00000000-0005-0000-0000-00009A2A0000}"/>
    <cellStyle name="Normal 179" xfId="43425" xr:uid="{A619DA33-0CA1-4F94-B8D5-A4AD52D95686}"/>
    <cellStyle name="Normal 18" xfId="1050" xr:uid="{00000000-0005-0000-0000-00009B2A0000}"/>
    <cellStyle name="Normal 18 10" xfId="11698" xr:uid="{00000000-0005-0000-0000-00009C2A0000}"/>
    <cellStyle name="Normal 18 10 10" xfId="11699" xr:uid="{00000000-0005-0000-0000-00009D2A0000}"/>
    <cellStyle name="Normal 18 10 11" xfId="11700" xr:uid="{00000000-0005-0000-0000-00009E2A0000}"/>
    <cellStyle name="Normal 18 10 12" xfId="11701" xr:uid="{00000000-0005-0000-0000-00009F2A0000}"/>
    <cellStyle name="Normal 18 10 13" xfId="11702" xr:uid="{00000000-0005-0000-0000-0000A02A0000}"/>
    <cellStyle name="Normal 18 10 2" xfId="11703" xr:uid="{00000000-0005-0000-0000-0000A12A0000}"/>
    <cellStyle name="Normal 18 10 2 2" xfId="11704" xr:uid="{00000000-0005-0000-0000-0000A22A0000}"/>
    <cellStyle name="Normal 18 10 2 3" xfId="11705" xr:uid="{00000000-0005-0000-0000-0000A32A0000}"/>
    <cellStyle name="Normal 18 10 2 4" xfId="11706" xr:uid="{00000000-0005-0000-0000-0000A42A0000}"/>
    <cellStyle name="Normal 18 10 2 5" xfId="11707" xr:uid="{00000000-0005-0000-0000-0000A52A0000}"/>
    <cellStyle name="Normal 18 10 2 6" xfId="11708" xr:uid="{00000000-0005-0000-0000-0000A62A0000}"/>
    <cellStyle name="Normal 18 10 3" xfId="11709" xr:uid="{00000000-0005-0000-0000-0000A72A0000}"/>
    <cellStyle name="Normal 18 10 3 2" xfId="11710" xr:uid="{00000000-0005-0000-0000-0000A82A0000}"/>
    <cellStyle name="Normal 18 10 3 3" xfId="11711" xr:uid="{00000000-0005-0000-0000-0000A92A0000}"/>
    <cellStyle name="Normal 18 10 3 4" xfId="11712" xr:uid="{00000000-0005-0000-0000-0000AA2A0000}"/>
    <cellStyle name="Normal 18 10 3 5" xfId="11713" xr:uid="{00000000-0005-0000-0000-0000AB2A0000}"/>
    <cellStyle name="Normal 18 10 3 6" xfId="11714" xr:uid="{00000000-0005-0000-0000-0000AC2A0000}"/>
    <cellStyle name="Normal 18 10 4" xfId="11715" xr:uid="{00000000-0005-0000-0000-0000AD2A0000}"/>
    <cellStyle name="Normal 18 10 4 2" xfId="11716" xr:uid="{00000000-0005-0000-0000-0000AE2A0000}"/>
    <cellStyle name="Normal 18 10 4 3" xfId="11717" xr:uid="{00000000-0005-0000-0000-0000AF2A0000}"/>
    <cellStyle name="Normal 18 10 4 4" xfId="11718" xr:uid="{00000000-0005-0000-0000-0000B02A0000}"/>
    <cellStyle name="Normal 18 10 4 5" xfId="11719" xr:uid="{00000000-0005-0000-0000-0000B12A0000}"/>
    <cellStyle name="Normal 18 10 4 6" xfId="11720" xr:uid="{00000000-0005-0000-0000-0000B22A0000}"/>
    <cellStyle name="Normal 18 10 5" xfId="11721" xr:uid="{00000000-0005-0000-0000-0000B32A0000}"/>
    <cellStyle name="Normal 18 10 5 2" xfId="11722" xr:uid="{00000000-0005-0000-0000-0000B42A0000}"/>
    <cellStyle name="Normal 18 10 5 3" xfId="11723" xr:uid="{00000000-0005-0000-0000-0000B52A0000}"/>
    <cellStyle name="Normal 18 10 5 4" xfId="11724" xr:uid="{00000000-0005-0000-0000-0000B62A0000}"/>
    <cellStyle name="Normal 18 10 5 5" xfId="11725" xr:uid="{00000000-0005-0000-0000-0000B72A0000}"/>
    <cellStyle name="Normal 18 10 5 6" xfId="11726" xr:uid="{00000000-0005-0000-0000-0000B82A0000}"/>
    <cellStyle name="Normal 18 10 6" xfId="11727" xr:uid="{00000000-0005-0000-0000-0000B92A0000}"/>
    <cellStyle name="Normal 18 10 6 2" xfId="11728" xr:uid="{00000000-0005-0000-0000-0000BA2A0000}"/>
    <cellStyle name="Normal 18 10 6 3" xfId="11729" xr:uid="{00000000-0005-0000-0000-0000BB2A0000}"/>
    <cellStyle name="Normal 18 10 6 4" xfId="11730" xr:uid="{00000000-0005-0000-0000-0000BC2A0000}"/>
    <cellStyle name="Normal 18 10 6 5" xfId="11731" xr:uid="{00000000-0005-0000-0000-0000BD2A0000}"/>
    <cellStyle name="Normal 18 10 6 6" xfId="11732" xr:uid="{00000000-0005-0000-0000-0000BE2A0000}"/>
    <cellStyle name="Normal 18 10 7" xfId="11733" xr:uid="{00000000-0005-0000-0000-0000BF2A0000}"/>
    <cellStyle name="Normal 18 10 7 2" xfId="11734" xr:uid="{00000000-0005-0000-0000-0000C02A0000}"/>
    <cellStyle name="Normal 18 10 7 3" xfId="11735" xr:uid="{00000000-0005-0000-0000-0000C12A0000}"/>
    <cellStyle name="Normal 18 10 7 4" xfId="11736" xr:uid="{00000000-0005-0000-0000-0000C22A0000}"/>
    <cellStyle name="Normal 18 10 7 5" xfId="11737" xr:uid="{00000000-0005-0000-0000-0000C32A0000}"/>
    <cellStyle name="Normal 18 10 7 6" xfId="11738" xr:uid="{00000000-0005-0000-0000-0000C42A0000}"/>
    <cellStyle name="Normal 18 10 8" xfId="11739" xr:uid="{00000000-0005-0000-0000-0000C52A0000}"/>
    <cellStyle name="Normal 18 10 8 2" xfId="11740" xr:uid="{00000000-0005-0000-0000-0000C62A0000}"/>
    <cellStyle name="Normal 18 10 8 3" xfId="11741" xr:uid="{00000000-0005-0000-0000-0000C72A0000}"/>
    <cellStyle name="Normal 18 10 8 4" xfId="11742" xr:uid="{00000000-0005-0000-0000-0000C82A0000}"/>
    <cellStyle name="Normal 18 10 8 5" xfId="11743" xr:uid="{00000000-0005-0000-0000-0000C92A0000}"/>
    <cellStyle name="Normal 18 10 8 6" xfId="11744" xr:uid="{00000000-0005-0000-0000-0000CA2A0000}"/>
    <cellStyle name="Normal 18 10 9" xfId="11745" xr:uid="{00000000-0005-0000-0000-0000CB2A0000}"/>
    <cellStyle name="Normal 18 11" xfId="11746" xr:uid="{00000000-0005-0000-0000-0000CC2A0000}"/>
    <cellStyle name="Normal 18 11 10" xfId="11747" xr:uid="{00000000-0005-0000-0000-0000CD2A0000}"/>
    <cellStyle name="Normal 18 11 11" xfId="11748" xr:uid="{00000000-0005-0000-0000-0000CE2A0000}"/>
    <cellStyle name="Normal 18 11 12" xfId="11749" xr:uid="{00000000-0005-0000-0000-0000CF2A0000}"/>
    <cellStyle name="Normal 18 11 13" xfId="11750" xr:uid="{00000000-0005-0000-0000-0000D02A0000}"/>
    <cellStyle name="Normal 18 11 2" xfId="11751" xr:uid="{00000000-0005-0000-0000-0000D12A0000}"/>
    <cellStyle name="Normal 18 11 2 2" xfId="11752" xr:uid="{00000000-0005-0000-0000-0000D22A0000}"/>
    <cellStyle name="Normal 18 11 2 3" xfId="11753" xr:uid="{00000000-0005-0000-0000-0000D32A0000}"/>
    <cellStyle name="Normal 18 11 2 4" xfId="11754" xr:uid="{00000000-0005-0000-0000-0000D42A0000}"/>
    <cellStyle name="Normal 18 11 2 5" xfId="11755" xr:uid="{00000000-0005-0000-0000-0000D52A0000}"/>
    <cellStyle name="Normal 18 11 2 6" xfId="11756" xr:uid="{00000000-0005-0000-0000-0000D62A0000}"/>
    <cellStyle name="Normal 18 11 3" xfId="11757" xr:uid="{00000000-0005-0000-0000-0000D72A0000}"/>
    <cellStyle name="Normal 18 11 3 2" xfId="11758" xr:uid="{00000000-0005-0000-0000-0000D82A0000}"/>
    <cellStyle name="Normal 18 11 3 3" xfId="11759" xr:uid="{00000000-0005-0000-0000-0000D92A0000}"/>
    <cellStyle name="Normal 18 11 3 4" xfId="11760" xr:uid="{00000000-0005-0000-0000-0000DA2A0000}"/>
    <cellStyle name="Normal 18 11 3 5" xfId="11761" xr:uid="{00000000-0005-0000-0000-0000DB2A0000}"/>
    <cellStyle name="Normal 18 11 3 6" xfId="11762" xr:uid="{00000000-0005-0000-0000-0000DC2A0000}"/>
    <cellStyle name="Normal 18 11 4" xfId="11763" xr:uid="{00000000-0005-0000-0000-0000DD2A0000}"/>
    <cellStyle name="Normal 18 11 4 2" xfId="11764" xr:uid="{00000000-0005-0000-0000-0000DE2A0000}"/>
    <cellStyle name="Normal 18 11 4 3" xfId="11765" xr:uid="{00000000-0005-0000-0000-0000DF2A0000}"/>
    <cellStyle name="Normal 18 11 4 4" xfId="11766" xr:uid="{00000000-0005-0000-0000-0000E02A0000}"/>
    <cellStyle name="Normal 18 11 4 5" xfId="11767" xr:uid="{00000000-0005-0000-0000-0000E12A0000}"/>
    <cellStyle name="Normal 18 11 4 6" xfId="11768" xr:uid="{00000000-0005-0000-0000-0000E22A0000}"/>
    <cellStyle name="Normal 18 11 5" xfId="11769" xr:uid="{00000000-0005-0000-0000-0000E32A0000}"/>
    <cellStyle name="Normal 18 11 5 2" xfId="11770" xr:uid="{00000000-0005-0000-0000-0000E42A0000}"/>
    <cellStyle name="Normal 18 11 5 3" xfId="11771" xr:uid="{00000000-0005-0000-0000-0000E52A0000}"/>
    <cellStyle name="Normal 18 11 5 4" xfId="11772" xr:uid="{00000000-0005-0000-0000-0000E62A0000}"/>
    <cellStyle name="Normal 18 11 5 5" xfId="11773" xr:uid="{00000000-0005-0000-0000-0000E72A0000}"/>
    <cellStyle name="Normal 18 11 5 6" xfId="11774" xr:uid="{00000000-0005-0000-0000-0000E82A0000}"/>
    <cellStyle name="Normal 18 11 6" xfId="11775" xr:uid="{00000000-0005-0000-0000-0000E92A0000}"/>
    <cellStyle name="Normal 18 11 6 2" xfId="11776" xr:uid="{00000000-0005-0000-0000-0000EA2A0000}"/>
    <cellStyle name="Normal 18 11 6 3" xfId="11777" xr:uid="{00000000-0005-0000-0000-0000EB2A0000}"/>
    <cellStyle name="Normal 18 11 6 4" xfId="11778" xr:uid="{00000000-0005-0000-0000-0000EC2A0000}"/>
    <cellStyle name="Normal 18 11 6 5" xfId="11779" xr:uid="{00000000-0005-0000-0000-0000ED2A0000}"/>
    <cellStyle name="Normal 18 11 6 6" xfId="11780" xr:uid="{00000000-0005-0000-0000-0000EE2A0000}"/>
    <cellStyle name="Normal 18 11 7" xfId="11781" xr:uid="{00000000-0005-0000-0000-0000EF2A0000}"/>
    <cellStyle name="Normal 18 11 7 2" xfId="11782" xr:uid="{00000000-0005-0000-0000-0000F02A0000}"/>
    <cellStyle name="Normal 18 11 7 3" xfId="11783" xr:uid="{00000000-0005-0000-0000-0000F12A0000}"/>
    <cellStyle name="Normal 18 11 7 4" xfId="11784" xr:uid="{00000000-0005-0000-0000-0000F22A0000}"/>
    <cellStyle name="Normal 18 11 7 5" xfId="11785" xr:uid="{00000000-0005-0000-0000-0000F32A0000}"/>
    <cellStyle name="Normal 18 11 7 6" xfId="11786" xr:uid="{00000000-0005-0000-0000-0000F42A0000}"/>
    <cellStyle name="Normal 18 11 8" xfId="11787" xr:uid="{00000000-0005-0000-0000-0000F52A0000}"/>
    <cellStyle name="Normal 18 11 8 2" xfId="11788" xr:uid="{00000000-0005-0000-0000-0000F62A0000}"/>
    <cellStyle name="Normal 18 11 8 3" xfId="11789" xr:uid="{00000000-0005-0000-0000-0000F72A0000}"/>
    <cellStyle name="Normal 18 11 8 4" xfId="11790" xr:uid="{00000000-0005-0000-0000-0000F82A0000}"/>
    <cellStyle name="Normal 18 11 8 5" xfId="11791" xr:uid="{00000000-0005-0000-0000-0000F92A0000}"/>
    <cellStyle name="Normal 18 11 8 6" xfId="11792" xr:uid="{00000000-0005-0000-0000-0000FA2A0000}"/>
    <cellStyle name="Normal 18 11 9" xfId="11793" xr:uid="{00000000-0005-0000-0000-0000FB2A0000}"/>
    <cellStyle name="Normal 18 12" xfId="11794" xr:uid="{00000000-0005-0000-0000-0000FC2A0000}"/>
    <cellStyle name="Normal 18 12 10" xfId="11795" xr:uid="{00000000-0005-0000-0000-0000FD2A0000}"/>
    <cellStyle name="Normal 18 12 11" xfId="11796" xr:uid="{00000000-0005-0000-0000-0000FE2A0000}"/>
    <cellStyle name="Normal 18 12 12" xfId="11797" xr:uid="{00000000-0005-0000-0000-0000FF2A0000}"/>
    <cellStyle name="Normal 18 12 13" xfId="11798" xr:uid="{00000000-0005-0000-0000-0000002B0000}"/>
    <cellStyle name="Normal 18 12 2" xfId="11799" xr:uid="{00000000-0005-0000-0000-0000012B0000}"/>
    <cellStyle name="Normal 18 12 2 2" xfId="11800" xr:uid="{00000000-0005-0000-0000-0000022B0000}"/>
    <cellStyle name="Normal 18 12 2 3" xfId="11801" xr:uid="{00000000-0005-0000-0000-0000032B0000}"/>
    <cellStyle name="Normal 18 12 2 4" xfId="11802" xr:uid="{00000000-0005-0000-0000-0000042B0000}"/>
    <cellStyle name="Normal 18 12 2 5" xfId="11803" xr:uid="{00000000-0005-0000-0000-0000052B0000}"/>
    <cellStyle name="Normal 18 12 2 6" xfId="11804" xr:uid="{00000000-0005-0000-0000-0000062B0000}"/>
    <cellStyle name="Normal 18 12 3" xfId="11805" xr:uid="{00000000-0005-0000-0000-0000072B0000}"/>
    <cellStyle name="Normal 18 12 3 2" xfId="11806" xr:uid="{00000000-0005-0000-0000-0000082B0000}"/>
    <cellStyle name="Normal 18 12 3 3" xfId="11807" xr:uid="{00000000-0005-0000-0000-0000092B0000}"/>
    <cellStyle name="Normal 18 12 3 4" xfId="11808" xr:uid="{00000000-0005-0000-0000-00000A2B0000}"/>
    <cellStyle name="Normal 18 12 3 5" xfId="11809" xr:uid="{00000000-0005-0000-0000-00000B2B0000}"/>
    <cellStyle name="Normal 18 12 3 6" xfId="11810" xr:uid="{00000000-0005-0000-0000-00000C2B0000}"/>
    <cellStyle name="Normal 18 12 4" xfId="11811" xr:uid="{00000000-0005-0000-0000-00000D2B0000}"/>
    <cellStyle name="Normal 18 12 4 2" xfId="11812" xr:uid="{00000000-0005-0000-0000-00000E2B0000}"/>
    <cellStyle name="Normal 18 12 4 3" xfId="11813" xr:uid="{00000000-0005-0000-0000-00000F2B0000}"/>
    <cellStyle name="Normal 18 12 4 4" xfId="11814" xr:uid="{00000000-0005-0000-0000-0000102B0000}"/>
    <cellStyle name="Normal 18 12 4 5" xfId="11815" xr:uid="{00000000-0005-0000-0000-0000112B0000}"/>
    <cellStyle name="Normal 18 12 4 6" xfId="11816" xr:uid="{00000000-0005-0000-0000-0000122B0000}"/>
    <cellStyle name="Normal 18 12 5" xfId="11817" xr:uid="{00000000-0005-0000-0000-0000132B0000}"/>
    <cellStyle name="Normal 18 12 5 2" xfId="11818" xr:uid="{00000000-0005-0000-0000-0000142B0000}"/>
    <cellStyle name="Normal 18 12 5 3" xfId="11819" xr:uid="{00000000-0005-0000-0000-0000152B0000}"/>
    <cellStyle name="Normal 18 12 5 4" xfId="11820" xr:uid="{00000000-0005-0000-0000-0000162B0000}"/>
    <cellStyle name="Normal 18 12 5 5" xfId="11821" xr:uid="{00000000-0005-0000-0000-0000172B0000}"/>
    <cellStyle name="Normal 18 12 5 6" xfId="11822" xr:uid="{00000000-0005-0000-0000-0000182B0000}"/>
    <cellStyle name="Normal 18 12 6" xfId="11823" xr:uid="{00000000-0005-0000-0000-0000192B0000}"/>
    <cellStyle name="Normal 18 12 6 2" xfId="11824" xr:uid="{00000000-0005-0000-0000-00001A2B0000}"/>
    <cellStyle name="Normal 18 12 6 3" xfId="11825" xr:uid="{00000000-0005-0000-0000-00001B2B0000}"/>
    <cellStyle name="Normal 18 12 6 4" xfId="11826" xr:uid="{00000000-0005-0000-0000-00001C2B0000}"/>
    <cellStyle name="Normal 18 12 6 5" xfId="11827" xr:uid="{00000000-0005-0000-0000-00001D2B0000}"/>
    <cellStyle name="Normal 18 12 6 6" xfId="11828" xr:uid="{00000000-0005-0000-0000-00001E2B0000}"/>
    <cellStyle name="Normal 18 12 7" xfId="11829" xr:uid="{00000000-0005-0000-0000-00001F2B0000}"/>
    <cellStyle name="Normal 18 12 7 2" xfId="11830" xr:uid="{00000000-0005-0000-0000-0000202B0000}"/>
    <cellStyle name="Normal 18 12 7 3" xfId="11831" xr:uid="{00000000-0005-0000-0000-0000212B0000}"/>
    <cellStyle name="Normal 18 12 7 4" xfId="11832" xr:uid="{00000000-0005-0000-0000-0000222B0000}"/>
    <cellStyle name="Normal 18 12 7 5" xfId="11833" xr:uid="{00000000-0005-0000-0000-0000232B0000}"/>
    <cellStyle name="Normal 18 12 7 6" xfId="11834" xr:uid="{00000000-0005-0000-0000-0000242B0000}"/>
    <cellStyle name="Normal 18 12 8" xfId="11835" xr:uid="{00000000-0005-0000-0000-0000252B0000}"/>
    <cellStyle name="Normal 18 12 8 2" xfId="11836" xr:uid="{00000000-0005-0000-0000-0000262B0000}"/>
    <cellStyle name="Normal 18 12 8 3" xfId="11837" xr:uid="{00000000-0005-0000-0000-0000272B0000}"/>
    <cellStyle name="Normal 18 12 8 4" xfId="11838" xr:uid="{00000000-0005-0000-0000-0000282B0000}"/>
    <cellStyle name="Normal 18 12 8 5" xfId="11839" xr:uid="{00000000-0005-0000-0000-0000292B0000}"/>
    <cellStyle name="Normal 18 12 8 6" xfId="11840" xr:uid="{00000000-0005-0000-0000-00002A2B0000}"/>
    <cellStyle name="Normal 18 12 9" xfId="11841" xr:uid="{00000000-0005-0000-0000-00002B2B0000}"/>
    <cellStyle name="Normal 18 13" xfId="11842" xr:uid="{00000000-0005-0000-0000-00002C2B0000}"/>
    <cellStyle name="Normal 18 13 10" xfId="11843" xr:uid="{00000000-0005-0000-0000-00002D2B0000}"/>
    <cellStyle name="Normal 18 13 11" xfId="11844" xr:uid="{00000000-0005-0000-0000-00002E2B0000}"/>
    <cellStyle name="Normal 18 13 12" xfId="11845" xr:uid="{00000000-0005-0000-0000-00002F2B0000}"/>
    <cellStyle name="Normal 18 13 13" xfId="11846" xr:uid="{00000000-0005-0000-0000-0000302B0000}"/>
    <cellStyle name="Normal 18 13 2" xfId="11847" xr:uid="{00000000-0005-0000-0000-0000312B0000}"/>
    <cellStyle name="Normal 18 13 2 2" xfId="11848" xr:uid="{00000000-0005-0000-0000-0000322B0000}"/>
    <cellStyle name="Normal 18 13 2 3" xfId="11849" xr:uid="{00000000-0005-0000-0000-0000332B0000}"/>
    <cellStyle name="Normal 18 13 2 4" xfId="11850" xr:uid="{00000000-0005-0000-0000-0000342B0000}"/>
    <cellStyle name="Normal 18 13 2 5" xfId="11851" xr:uid="{00000000-0005-0000-0000-0000352B0000}"/>
    <cellStyle name="Normal 18 13 2 6" xfId="11852" xr:uid="{00000000-0005-0000-0000-0000362B0000}"/>
    <cellStyle name="Normal 18 13 3" xfId="11853" xr:uid="{00000000-0005-0000-0000-0000372B0000}"/>
    <cellStyle name="Normal 18 13 3 2" xfId="11854" xr:uid="{00000000-0005-0000-0000-0000382B0000}"/>
    <cellStyle name="Normal 18 13 3 3" xfId="11855" xr:uid="{00000000-0005-0000-0000-0000392B0000}"/>
    <cellStyle name="Normal 18 13 3 4" xfId="11856" xr:uid="{00000000-0005-0000-0000-00003A2B0000}"/>
    <cellStyle name="Normal 18 13 3 5" xfId="11857" xr:uid="{00000000-0005-0000-0000-00003B2B0000}"/>
    <cellStyle name="Normal 18 13 3 6" xfId="11858" xr:uid="{00000000-0005-0000-0000-00003C2B0000}"/>
    <cellStyle name="Normal 18 13 4" xfId="11859" xr:uid="{00000000-0005-0000-0000-00003D2B0000}"/>
    <cellStyle name="Normal 18 13 4 2" xfId="11860" xr:uid="{00000000-0005-0000-0000-00003E2B0000}"/>
    <cellStyle name="Normal 18 13 4 3" xfId="11861" xr:uid="{00000000-0005-0000-0000-00003F2B0000}"/>
    <cellStyle name="Normal 18 13 4 4" xfId="11862" xr:uid="{00000000-0005-0000-0000-0000402B0000}"/>
    <cellStyle name="Normal 18 13 4 5" xfId="11863" xr:uid="{00000000-0005-0000-0000-0000412B0000}"/>
    <cellStyle name="Normal 18 13 4 6" xfId="11864" xr:uid="{00000000-0005-0000-0000-0000422B0000}"/>
    <cellStyle name="Normal 18 13 5" xfId="11865" xr:uid="{00000000-0005-0000-0000-0000432B0000}"/>
    <cellStyle name="Normal 18 13 5 2" xfId="11866" xr:uid="{00000000-0005-0000-0000-0000442B0000}"/>
    <cellStyle name="Normal 18 13 5 3" xfId="11867" xr:uid="{00000000-0005-0000-0000-0000452B0000}"/>
    <cellStyle name="Normal 18 13 5 4" xfId="11868" xr:uid="{00000000-0005-0000-0000-0000462B0000}"/>
    <cellStyle name="Normal 18 13 5 5" xfId="11869" xr:uid="{00000000-0005-0000-0000-0000472B0000}"/>
    <cellStyle name="Normal 18 13 5 6" xfId="11870" xr:uid="{00000000-0005-0000-0000-0000482B0000}"/>
    <cellStyle name="Normal 18 13 6" xfId="11871" xr:uid="{00000000-0005-0000-0000-0000492B0000}"/>
    <cellStyle name="Normal 18 13 6 2" xfId="11872" xr:uid="{00000000-0005-0000-0000-00004A2B0000}"/>
    <cellStyle name="Normal 18 13 6 3" xfId="11873" xr:uid="{00000000-0005-0000-0000-00004B2B0000}"/>
    <cellStyle name="Normal 18 13 6 4" xfId="11874" xr:uid="{00000000-0005-0000-0000-00004C2B0000}"/>
    <cellStyle name="Normal 18 13 6 5" xfId="11875" xr:uid="{00000000-0005-0000-0000-00004D2B0000}"/>
    <cellStyle name="Normal 18 13 6 6" xfId="11876" xr:uid="{00000000-0005-0000-0000-00004E2B0000}"/>
    <cellStyle name="Normal 18 13 7" xfId="11877" xr:uid="{00000000-0005-0000-0000-00004F2B0000}"/>
    <cellStyle name="Normal 18 13 7 2" xfId="11878" xr:uid="{00000000-0005-0000-0000-0000502B0000}"/>
    <cellStyle name="Normal 18 13 7 3" xfId="11879" xr:uid="{00000000-0005-0000-0000-0000512B0000}"/>
    <cellStyle name="Normal 18 13 7 4" xfId="11880" xr:uid="{00000000-0005-0000-0000-0000522B0000}"/>
    <cellStyle name="Normal 18 13 7 5" xfId="11881" xr:uid="{00000000-0005-0000-0000-0000532B0000}"/>
    <cellStyle name="Normal 18 13 7 6" xfId="11882" xr:uid="{00000000-0005-0000-0000-0000542B0000}"/>
    <cellStyle name="Normal 18 13 8" xfId="11883" xr:uid="{00000000-0005-0000-0000-0000552B0000}"/>
    <cellStyle name="Normal 18 13 8 2" xfId="11884" xr:uid="{00000000-0005-0000-0000-0000562B0000}"/>
    <cellStyle name="Normal 18 13 8 3" xfId="11885" xr:uid="{00000000-0005-0000-0000-0000572B0000}"/>
    <cellStyle name="Normal 18 13 8 4" xfId="11886" xr:uid="{00000000-0005-0000-0000-0000582B0000}"/>
    <cellStyle name="Normal 18 13 8 5" xfId="11887" xr:uid="{00000000-0005-0000-0000-0000592B0000}"/>
    <cellStyle name="Normal 18 13 8 6" xfId="11888" xr:uid="{00000000-0005-0000-0000-00005A2B0000}"/>
    <cellStyle name="Normal 18 13 9" xfId="11889" xr:uid="{00000000-0005-0000-0000-00005B2B0000}"/>
    <cellStyle name="Normal 18 14" xfId="11890" xr:uid="{00000000-0005-0000-0000-00005C2B0000}"/>
    <cellStyle name="Normal 18 14 10" xfId="11891" xr:uid="{00000000-0005-0000-0000-00005D2B0000}"/>
    <cellStyle name="Normal 18 14 11" xfId="11892" xr:uid="{00000000-0005-0000-0000-00005E2B0000}"/>
    <cellStyle name="Normal 18 14 12" xfId="11893" xr:uid="{00000000-0005-0000-0000-00005F2B0000}"/>
    <cellStyle name="Normal 18 14 13" xfId="11894" xr:uid="{00000000-0005-0000-0000-0000602B0000}"/>
    <cellStyle name="Normal 18 14 2" xfId="11895" xr:uid="{00000000-0005-0000-0000-0000612B0000}"/>
    <cellStyle name="Normal 18 14 2 2" xfId="11896" xr:uid="{00000000-0005-0000-0000-0000622B0000}"/>
    <cellStyle name="Normal 18 14 2 3" xfId="11897" xr:uid="{00000000-0005-0000-0000-0000632B0000}"/>
    <cellStyle name="Normal 18 14 2 4" xfId="11898" xr:uid="{00000000-0005-0000-0000-0000642B0000}"/>
    <cellStyle name="Normal 18 14 2 5" xfId="11899" xr:uid="{00000000-0005-0000-0000-0000652B0000}"/>
    <cellStyle name="Normal 18 14 2 6" xfId="11900" xr:uid="{00000000-0005-0000-0000-0000662B0000}"/>
    <cellStyle name="Normal 18 14 3" xfId="11901" xr:uid="{00000000-0005-0000-0000-0000672B0000}"/>
    <cellStyle name="Normal 18 14 3 2" xfId="11902" xr:uid="{00000000-0005-0000-0000-0000682B0000}"/>
    <cellStyle name="Normal 18 14 3 3" xfId="11903" xr:uid="{00000000-0005-0000-0000-0000692B0000}"/>
    <cellStyle name="Normal 18 14 3 4" xfId="11904" xr:uid="{00000000-0005-0000-0000-00006A2B0000}"/>
    <cellStyle name="Normal 18 14 3 5" xfId="11905" xr:uid="{00000000-0005-0000-0000-00006B2B0000}"/>
    <cellStyle name="Normal 18 14 3 6" xfId="11906" xr:uid="{00000000-0005-0000-0000-00006C2B0000}"/>
    <cellStyle name="Normal 18 14 4" xfId="11907" xr:uid="{00000000-0005-0000-0000-00006D2B0000}"/>
    <cellStyle name="Normal 18 14 4 2" xfId="11908" xr:uid="{00000000-0005-0000-0000-00006E2B0000}"/>
    <cellStyle name="Normal 18 14 4 3" xfId="11909" xr:uid="{00000000-0005-0000-0000-00006F2B0000}"/>
    <cellStyle name="Normal 18 14 4 4" xfId="11910" xr:uid="{00000000-0005-0000-0000-0000702B0000}"/>
    <cellStyle name="Normal 18 14 4 5" xfId="11911" xr:uid="{00000000-0005-0000-0000-0000712B0000}"/>
    <cellStyle name="Normal 18 14 4 6" xfId="11912" xr:uid="{00000000-0005-0000-0000-0000722B0000}"/>
    <cellStyle name="Normal 18 14 5" xfId="11913" xr:uid="{00000000-0005-0000-0000-0000732B0000}"/>
    <cellStyle name="Normal 18 14 5 2" xfId="11914" xr:uid="{00000000-0005-0000-0000-0000742B0000}"/>
    <cellStyle name="Normal 18 14 5 3" xfId="11915" xr:uid="{00000000-0005-0000-0000-0000752B0000}"/>
    <cellStyle name="Normal 18 14 5 4" xfId="11916" xr:uid="{00000000-0005-0000-0000-0000762B0000}"/>
    <cellStyle name="Normal 18 14 5 5" xfId="11917" xr:uid="{00000000-0005-0000-0000-0000772B0000}"/>
    <cellStyle name="Normal 18 14 5 6" xfId="11918" xr:uid="{00000000-0005-0000-0000-0000782B0000}"/>
    <cellStyle name="Normal 18 14 6" xfId="11919" xr:uid="{00000000-0005-0000-0000-0000792B0000}"/>
    <cellStyle name="Normal 18 14 6 2" xfId="11920" xr:uid="{00000000-0005-0000-0000-00007A2B0000}"/>
    <cellStyle name="Normal 18 14 6 3" xfId="11921" xr:uid="{00000000-0005-0000-0000-00007B2B0000}"/>
    <cellStyle name="Normal 18 14 6 4" xfId="11922" xr:uid="{00000000-0005-0000-0000-00007C2B0000}"/>
    <cellStyle name="Normal 18 14 6 5" xfId="11923" xr:uid="{00000000-0005-0000-0000-00007D2B0000}"/>
    <cellStyle name="Normal 18 14 6 6" xfId="11924" xr:uid="{00000000-0005-0000-0000-00007E2B0000}"/>
    <cellStyle name="Normal 18 14 7" xfId="11925" xr:uid="{00000000-0005-0000-0000-00007F2B0000}"/>
    <cellStyle name="Normal 18 14 7 2" xfId="11926" xr:uid="{00000000-0005-0000-0000-0000802B0000}"/>
    <cellStyle name="Normal 18 14 7 3" xfId="11927" xr:uid="{00000000-0005-0000-0000-0000812B0000}"/>
    <cellStyle name="Normal 18 14 7 4" xfId="11928" xr:uid="{00000000-0005-0000-0000-0000822B0000}"/>
    <cellStyle name="Normal 18 14 7 5" xfId="11929" xr:uid="{00000000-0005-0000-0000-0000832B0000}"/>
    <cellStyle name="Normal 18 14 7 6" xfId="11930" xr:uid="{00000000-0005-0000-0000-0000842B0000}"/>
    <cellStyle name="Normal 18 14 8" xfId="11931" xr:uid="{00000000-0005-0000-0000-0000852B0000}"/>
    <cellStyle name="Normal 18 14 8 2" xfId="11932" xr:uid="{00000000-0005-0000-0000-0000862B0000}"/>
    <cellStyle name="Normal 18 14 8 3" xfId="11933" xr:uid="{00000000-0005-0000-0000-0000872B0000}"/>
    <cellStyle name="Normal 18 14 8 4" xfId="11934" xr:uid="{00000000-0005-0000-0000-0000882B0000}"/>
    <cellStyle name="Normal 18 14 8 5" xfId="11935" xr:uid="{00000000-0005-0000-0000-0000892B0000}"/>
    <cellStyle name="Normal 18 14 8 6" xfId="11936" xr:uid="{00000000-0005-0000-0000-00008A2B0000}"/>
    <cellStyle name="Normal 18 14 9" xfId="11937" xr:uid="{00000000-0005-0000-0000-00008B2B0000}"/>
    <cellStyle name="Normal 18 15" xfId="11938" xr:uid="{00000000-0005-0000-0000-00008C2B0000}"/>
    <cellStyle name="Normal 18 15 10" xfId="11939" xr:uid="{00000000-0005-0000-0000-00008D2B0000}"/>
    <cellStyle name="Normal 18 15 11" xfId="11940" xr:uid="{00000000-0005-0000-0000-00008E2B0000}"/>
    <cellStyle name="Normal 18 15 12" xfId="11941" xr:uid="{00000000-0005-0000-0000-00008F2B0000}"/>
    <cellStyle name="Normal 18 15 13" xfId="11942" xr:uid="{00000000-0005-0000-0000-0000902B0000}"/>
    <cellStyle name="Normal 18 15 2" xfId="11943" xr:uid="{00000000-0005-0000-0000-0000912B0000}"/>
    <cellStyle name="Normal 18 15 2 2" xfId="11944" xr:uid="{00000000-0005-0000-0000-0000922B0000}"/>
    <cellStyle name="Normal 18 15 2 3" xfId="11945" xr:uid="{00000000-0005-0000-0000-0000932B0000}"/>
    <cellStyle name="Normal 18 15 2 4" xfId="11946" xr:uid="{00000000-0005-0000-0000-0000942B0000}"/>
    <cellStyle name="Normal 18 15 2 5" xfId="11947" xr:uid="{00000000-0005-0000-0000-0000952B0000}"/>
    <cellStyle name="Normal 18 15 2 6" xfId="11948" xr:uid="{00000000-0005-0000-0000-0000962B0000}"/>
    <cellStyle name="Normal 18 15 3" xfId="11949" xr:uid="{00000000-0005-0000-0000-0000972B0000}"/>
    <cellStyle name="Normal 18 15 3 2" xfId="11950" xr:uid="{00000000-0005-0000-0000-0000982B0000}"/>
    <cellStyle name="Normal 18 15 3 3" xfId="11951" xr:uid="{00000000-0005-0000-0000-0000992B0000}"/>
    <cellStyle name="Normal 18 15 3 4" xfId="11952" xr:uid="{00000000-0005-0000-0000-00009A2B0000}"/>
    <cellStyle name="Normal 18 15 3 5" xfId="11953" xr:uid="{00000000-0005-0000-0000-00009B2B0000}"/>
    <cellStyle name="Normal 18 15 3 6" xfId="11954" xr:uid="{00000000-0005-0000-0000-00009C2B0000}"/>
    <cellStyle name="Normal 18 15 4" xfId="11955" xr:uid="{00000000-0005-0000-0000-00009D2B0000}"/>
    <cellStyle name="Normal 18 15 4 2" xfId="11956" xr:uid="{00000000-0005-0000-0000-00009E2B0000}"/>
    <cellStyle name="Normal 18 15 4 3" xfId="11957" xr:uid="{00000000-0005-0000-0000-00009F2B0000}"/>
    <cellStyle name="Normal 18 15 4 4" xfId="11958" xr:uid="{00000000-0005-0000-0000-0000A02B0000}"/>
    <cellStyle name="Normal 18 15 4 5" xfId="11959" xr:uid="{00000000-0005-0000-0000-0000A12B0000}"/>
    <cellStyle name="Normal 18 15 4 6" xfId="11960" xr:uid="{00000000-0005-0000-0000-0000A22B0000}"/>
    <cellStyle name="Normal 18 15 5" xfId="11961" xr:uid="{00000000-0005-0000-0000-0000A32B0000}"/>
    <cellStyle name="Normal 18 15 5 2" xfId="11962" xr:uid="{00000000-0005-0000-0000-0000A42B0000}"/>
    <cellStyle name="Normal 18 15 5 3" xfId="11963" xr:uid="{00000000-0005-0000-0000-0000A52B0000}"/>
    <cellStyle name="Normal 18 15 5 4" xfId="11964" xr:uid="{00000000-0005-0000-0000-0000A62B0000}"/>
    <cellStyle name="Normal 18 15 5 5" xfId="11965" xr:uid="{00000000-0005-0000-0000-0000A72B0000}"/>
    <cellStyle name="Normal 18 15 5 6" xfId="11966" xr:uid="{00000000-0005-0000-0000-0000A82B0000}"/>
    <cellStyle name="Normal 18 15 6" xfId="11967" xr:uid="{00000000-0005-0000-0000-0000A92B0000}"/>
    <cellStyle name="Normal 18 15 6 2" xfId="11968" xr:uid="{00000000-0005-0000-0000-0000AA2B0000}"/>
    <cellStyle name="Normal 18 15 6 3" xfId="11969" xr:uid="{00000000-0005-0000-0000-0000AB2B0000}"/>
    <cellStyle name="Normal 18 15 6 4" xfId="11970" xr:uid="{00000000-0005-0000-0000-0000AC2B0000}"/>
    <cellStyle name="Normal 18 15 6 5" xfId="11971" xr:uid="{00000000-0005-0000-0000-0000AD2B0000}"/>
    <cellStyle name="Normal 18 15 6 6" xfId="11972" xr:uid="{00000000-0005-0000-0000-0000AE2B0000}"/>
    <cellStyle name="Normal 18 15 7" xfId="11973" xr:uid="{00000000-0005-0000-0000-0000AF2B0000}"/>
    <cellStyle name="Normal 18 15 7 2" xfId="11974" xr:uid="{00000000-0005-0000-0000-0000B02B0000}"/>
    <cellStyle name="Normal 18 15 7 3" xfId="11975" xr:uid="{00000000-0005-0000-0000-0000B12B0000}"/>
    <cellStyle name="Normal 18 15 7 4" xfId="11976" xr:uid="{00000000-0005-0000-0000-0000B22B0000}"/>
    <cellStyle name="Normal 18 15 7 5" xfId="11977" xr:uid="{00000000-0005-0000-0000-0000B32B0000}"/>
    <cellStyle name="Normal 18 15 7 6" xfId="11978" xr:uid="{00000000-0005-0000-0000-0000B42B0000}"/>
    <cellStyle name="Normal 18 15 8" xfId="11979" xr:uid="{00000000-0005-0000-0000-0000B52B0000}"/>
    <cellStyle name="Normal 18 15 8 2" xfId="11980" xr:uid="{00000000-0005-0000-0000-0000B62B0000}"/>
    <cellStyle name="Normal 18 15 8 3" xfId="11981" xr:uid="{00000000-0005-0000-0000-0000B72B0000}"/>
    <cellStyle name="Normal 18 15 8 4" xfId="11982" xr:uid="{00000000-0005-0000-0000-0000B82B0000}"/>
    <cellStyle name="Normal 18 15 8 5" xfId="11983" xr:uid="{00000000-0005-0000-0000-0000B92B0000}"/>
    <cellStyle name="Normal 18 15 8 6" xfId="11984" xr:uid="{00000000-0005-0000-0000-0000BA2B0000}"/>
    <cellStyle name="Normal 18 15 9" xfId="11985" xr:uid="{00000000-0005-0000-0000-0000BB2B0000}"/>
    <cellStyle name="Normal 18 16" xfId="11986" xr:uid="{00000000-0005-0000-0000-0000BC2B0000}"/>
    <cellStyle name="Normal 18 16 10" xfId="11987" xr:uid="{00000000-0005-0000-0000-0000BD2B0000}"/>
    <cellStyle name="Normal 18 16 11" xfId="11988" xr:uid="{00000000-0005-0000-0000-0000BE2B0000}"/>
    <cellStyle name="Normal 18 16 12" xfId="11989" xr:uid="{00000000-0005-0000-0000-0000BF2B0000}"/>
    <cellStyle name="Normal 18 16 13" xfId="11990" xr:uid="{00000000-0005-0000-0000-0000C02B0000}"/>
    <cellStyle name="Normal 18 16 2" xfId="11991" xr:uid="{00000000-0005-0000-0000-0000C12B0000}"/>
    <cellStyle name="Normal 18 16 2 2" xfId="11992" xr:uid="{00000000-0005-0000-0000-0000C22B0000}"/>
    <cellStyle name="Normal 18 16 2 3" xfId="11993" xr:uid="{00000000-0005-0000-0000-0000C32B0000}"/>
    <cellStyle name="Normal 18 16 2 4" xfId="11994" xr:uid="{00000000-0005-0000-0000-0000C42B0000}"/>
    <cellStyle name="Normal 18 16 2 5" xfId="11995" xr:uid="{00000000-0005-0000-0000-0000C52B0000}"/>
    <cellStyle name="Normal 18 16 2 6" xfId="11996" xr:uid="{00000000-0005-0000-0000-0000C62B0000}"/>
    <cellStyle name="Normal 18 16 3" xfId="11997" xr:uid="{00000000-0005-0000-0000-0000C72B0000}"/>
    <cellStyle name="Normal 18 16 3 2" xfId="11998" xr:uid="{00000000-0005-0000-0000-0000C82B0000}"/>
    <cellStyle name="Normal 18 16 3 3" xfId="11999" xr:uid="{00000000-0005-0000-0000-0000C92B0000}"/>
    <cellStyle name="Normal 18 16 3 4" xfId="12000" xr:uid="{00000000-0005-0000-0000-0000CA2B0000}"/>
    <cellStyle name="Normal 18 16 3 5" xfId="12001" xr:uid="{00000000-0005-0000-0000-0000CB2B0000}"/>
    <cellStyle name="Normal 18 16 3 6" xfId="12002" xr:uid="{00000000-0005-0000-0000-0000CC2B0000}"/>
    <cellStyle name="Normal 18 16 4" xfId="12003" xr:uid="{00000000-0005-0000-0000-0000CD2B0000}"/>
    <cellStyle name="Normal 18 16 4 2" xfId="12004" xr:uid="{00000000-0005-0000-0000-0000CE2B0000}"/>
    <cellStyle name="Normal 18 16 4 3" xfId="12005" xr:uid="{00000000-0005-0000-0000-0000CF2B0000}"/>
    <cellStyle name="Normal 18 16 4 4" xfId="12006" xr:uid="{00000000-0005-0000-0000-0000D02B0000}"/>
    <cellStyle name="Normal 18 16 4 5" xfId="12007" xr:uid="{00000000-0005-0000-0000-0000D12B0000}"/>
    <cellStyle name="Normal 18 16 4 6" xfId="12008" xr:uid="{00000000-0005-0000-0000-0000D22B0000}"/>
    <cellStyle name="Normal 18 16 5" xfId="12009" xr:uid="{00000000-0005-0000-0000-0000D32B0000}"/>
    <cellStyle name="Normal 18 16 5 2" xfId="12010" xr:uid="{00000000-0005-0000-0000-0000D42B0000}"/>
    <cellStyle name="Normal 18 16 5 3" xfId="12011" xr:uid="{00000000-0005-0000-0000-0000D52B0000}"/>
    <cellStyle name="Normal 18 16 5 4" xfId="12012" xr:uid="{00000000-0005-0000-0000-0000D62B0000}"/>
    <cellStyle name="Normal 18 16 5 5" xfId="12013" xr:uid="{00000000-0005-0000-0000-0000D72B0000}"/>
    <cellStyle name="Normal 18 16 5 6" xfId="12014" xr:uid="{00000000-0005-0000-0000-0000D82B0000}"/>
    <cellStyle name="Normal 18 16 6" xfId="12015" xr:uid="{00000000-0005-0000-0000-0000D92B0000}"/>
    <cellStyle name="Normal 18 16 6 2" xfId="12016" xr:uid="{00000000-0005-0000-0000-0000DA2B0000}"/>
    <cellStyle name="Normal 18 16 6 3" xfId="12017" xr:uid="{00000000-0005-0000-0000-0000DB2B0000}"/>
    <cellStyle name="Normal 18 16 6 4" xfId="12018" xr:uid="{00000000-0005-0000-0000-0000DC2B0000}"/>
    <cellStyle name="Normal 18 16 6 5" xfId="12019" xr:uid="{00000000-0005-0000-0000-0000DD2B0000}"/>
    <cellStyle name="Normal 18 16 6 6" xfId="12020" xr:uid="{00000000-0005-0000-0000-0000DE2B0000}"/>
    <cellStyle name="Normal 18 16 7" xfId="12021" xr:uid="{00000000-0005-0000-0000-0000DF2B0000}"/>
    <cellStyle name="Normal 18 16 7 2" xfId="12022" xr:uid="{00000000-0005-0000-0000-0000E02B0000}"/>
    <cellStyle name="Normal 18 16 7 3" xfId="12023" xr:uid="{00000000-0005-0000-0000-0000E12B0000}"/>
    <cellStyle name="Normal 18 16 7 4" xfId="12024" xr:uid="{00000000-0005-0000-0000-0000E22B0000}"/>
    <cellStyle name="Normal 18 16 7 5" xfId="12025" xr:uid="{00000000-0005-0000-0000-0000E32B0000}"/>
    <cellStyle name="Normal 18 16 7 6" xfId="12026" xr:uid="{00000000-0005-0000-0000-0000E42B0000}"/>
    <cellStyle name="Normal 18 16 8" xfId="12027" xr:uid="{00000000-0005-0000-0000-0000E52B0000}"/>
    <cellStyle name="Normal 18 16 8 2" xfId="12028" xr:uid="{00000000-0005-0000-0000-0000E62B0000}"/>
    <cellStyle name="Normal 18 16 8 3" xfId="12029" xr:uid="{00000000-0005-0000-0000-0000E72B0000}"/>
    <cellStyle name="Normal 18 16 8 4" xfId="12030" xr:uid="{00000000-0005-0000-0000-0000E82B0000}"/>
    <cellStyle name="Normal 18 16 8 5" xfId="12031" xr:uid="{00000000-0005-0000-0000-0000E92B0000}"/>
    <cellStyle name="Normal 18 16 8 6" xfId="12032" xr:uid="{00000000-0005-0000-0000-0000EA2B0000}"/>
    <cellStyle name="Normal 18 16 9" xfId="12033" xr:uid="{00000000-0005-0000-0000-0000EB2B0000}"/>
    <cellStyle name="Normal 18 17" xfId="12034" xr:uid="{00000000-0005-0000-0000-0000EC2B0000}"/>
    <cellStyle name="Normal 18 17 10" xfId="12035" xr:uid="{00000000-0005-0000-0000-0000ED2B0000}"/>
    <cellStyle name="Normal 18 17 11" xfId="12036" xr:uid="{00000000-0005-0000-0000-0000EE2B0000}"/>
    <cellStyle name="Normal 18 17 12" xfId="12037" xr:uid="{00000000-0005-0000-0000-0000EF2B0000}"/>
    <cellStyle name="Normal 18 17 13" xfId="12038" xr:uid="{00000000-0005-0000-0000-0000F02B0000}"/>
    <cellStyle name="Normal 18 17 2" xfId="12039" xr:uid="{00000000-0005-0000-0000-0000F12B0000}"/>
    <cellStyle name="Normal 18 17 2 2" xfId="12040" xr:uid="{00000000-0005-0000-0000-0000F22B0000}"/>
    <cellStyle name="Normal 18 17 2 3" xfId="12041" xr:uid="{00000000-0005-0000-0000-0000F32B0000}"/>
    <cellStyle name="Normal 18 17 2 4" xfId="12042" xr:uid="{00000000-0005-0000-0000-0000F42B0000}"/>
    <cellStyle name="Normal 18 17 2 5" xfId="12043" xr:uid="{00000000-0005-0000-0000-0000F52B0000}"/>
    <cellStyle name="Normal 18 17 2 6" xfId="12044" xr:uid="{00000000-0005-0000-0000-0000F62B0000}"/>
    <cellStyle name="Normal 18 17 3" xfId="12045" xr:uid="{00000000-0005-0000-0000-0000F72B0000}"/>
    <cellStyle name="Normal 18 17 3 2" xfId="12046" xr:uid="{00000000-0005-0000-0000-0000F82B0000}"/>
    <cellStyle name="Normal 18 17 3 3" xfId="12047" xr:uid="{00000000-0005-0000-0000-0000F92B0000}"/>
    <cellStyle name="Normal 18 17 3 4" xfId="12048" xr:uid="{00000000-0005-0000-0000-0000FA2B0000}"/>
    <cellStyle name="Normal 18 17 3 5" xfId="12049" xr:uid="{00000000-0005-0000-0000-0000FB2B0000}"/>
    <cellStyle name="Normal 18 17 3 6" xfId="12050" xr:uid="{00000000-0005-0000-0000-0000FC2B0000}"/>
    <cellStyle name="Normal 18 17 4" xfId="12051" xr:uid="{00000000-0005-0000-0000-0000FD2B0000}"/>
    <cellStyle name="Normal 18 17 4 2" xfId="12052" xr:uid="{00000000-0005-0000-0000-0000FE2B0000}"/>
    <cellStyle name="Normal 18 17 4 3" xfId="12053" xr:uid="{00000000-0005-0000-0000-0000FF2B0000}"/>
    <cellStyle name="Normal 18 17 4 4" xfId="12054" xr:uid="{00000000-0005-0000-0000-0000002C0000}"/>
    <cellStyle name="Normal 18 17 4 5" xfId="12055" xr:uid="{00000000-0005-0000-0000-0000012C0000}"/>
    <cellStyle name="Normal 18 17 4 6" xfId="12056" xr:uid="{00000000-0005-0000-0000-0000022C0000}"/>
    <cellStyle name="Normal 18 17 5" xfId="12057" xr:uid="{00000000-0005-0000-0000-0000032C0000}"/>
    <cellStyle name="Normal 18 17 5 2" xfId="12058" xr:uid="{00000000-0005-0000-0000-0000042C0000}"/>
    <cellStyle name="Normal 18 17 5 3" xfId="12059" xr:uid="{00000000-0005-0000-0000-0000052C0000}"/>
    <cellStyle name="Normal 18 17 5 4" xfId="12060" xr:uid="{00000000-0005-0000-0000-0000062C0000}"/>
    <cellStyle name="Normal 18 17 5 5" xfId="12061" xr:uid="{00000000-0005-0000-0000-0000072C0000}"/>
    <cellStyle name="Normal 18 17 5 6" xfId="12062" xr:uid="{00000000-0005-0000-0000-0000082C0000}"/>
    <cellStyle name="Normal 18 17 6" xfId="12063" xr:uid="{00000000-0005-0000-0000-0000092C0000}"/>
    <cellStyle name="Normal 18 17 6 2" xfId="12064" xr:uid="{00000000-0005-0000-0000-00000A2C0000}"/>
    <cellStyle name="Normal 18 17 6 3" xfId="12065" xr:uid="{00000000-0005-0000-0000-00000B2C0000}"/>
    <cellStyle name="Normal 18 17 6 4" xfId="12066" xr:uid="{00000000-0005-0000-0000-00000C2C0000}"/>
    <cellStyle name="Normal 18 17 6 5" xfId="12067" xr:uid="{00000000-0005-0000-0000-00000D2C0000}"/>
    <cellStyle name="Normal 18 17 6 6" xfId="12068" xr:uid="{00000000-0005-0000-0000-00000E2C0000}"/>
    <cellStyle name="Normal 18 17 7" xfId="12069" xr:uid="{00000000-0005-0000-0000-00000F2C0000}"/>
    <cellStyle name="Normal 18 17 7 2" xfId="12070" xr:uid="{00000000-0005-0000-0000-0000102C0000}"/>
    <cellStyle name="Normal 18 17 7 3" xfId="12071" xr:uid="{00000000-0005-0000-0000-0000112C0000}"/>
    <cellStyle name="Normal 18 17 7 4" xfId="12072" xr:uid="{00000000-0005-0000-0000-0000122C0000}"/>
    <cellStyle name="Normal 18 17 7 5" xfId="12073" xr:uid="{00000000-0005-0000-0000-0000132C0000}"/>
    <cellStyle name="Normal 18 17 7 6" xfId="12074" xr:uid="{00000000-0005-0000-0000-0000142C0000}"/>
    <cellStyle name="Normal 18 17 8" xfId="12075" xr:uid="{00000000-0005-0000-0000-0000152C0000}"/>
    <cellStyle name="Normal 18 17 8 2" xfId="12076" xr:uid="{00000000-0005-0000-0000-0000162C0000}"/>
    <cellStyle name="Normal 18 17 8 3" xfId="12077" xr:uid="{00000000-0005-0000-0000-0000172C0000}"/>
    <cellStyle name="Normal 18 17 8 4" xfId="12078" xr:uid="{00000000-0005-0000-0000-0000182C0000}"/>
    <cellStyle name="Normal 18 17 8 5" xfId="12079" xr:uid="{00000000-0005-0000-0000-0000192C0000}"/>
    <cellStyle name="Normal 18 17 8 6" xfId="12080" xr:uid="{00000000-0005-0000-0000-00001A2C0000}"/>
    <cellStyle name="Normal 18 17 9" xfId="12081" xr:uid="{00000000-0005-0000-0000-00001B2C0000}"/>
    <cellStyle name="Normal 18 18" xfId="12082" xr:uid="{00000000-0005-0000-0000-00001C2C0000}"/>
    <cellStyle name="Normal 18 18 10" xfId="12083" xr:uid="{00000000-0005-0000-0000-00001D2C0000}"/>
    <cellStyle name="Normal 18 18 11" xfId="12084" xr:uid="{00000000-0005-0000-0000-00001E2C0000}"/>
    <cellStyle name="Normal 18 18 12" xfId="12085" xr:uid="{00000000-0005-0000-0000-00001F2C0000}"/>
    <cellStyle name="Normal 18 18 13" xfId="12086" xr:uid="{00000000-0005-0000-0000-0000202C0000}"/>
    <cellStyle name="Normal 18 18 2" xfId="12087" xr:uid="{00000000-0005-0000-0000-0000212C0000}"/>
    <cellStyle name="Normal 18 18 2 2" xfId="12088" xr:uid="{00000000-0005-0000-0000-0000222C0000}"/>
    <cellStyle name="Normal 18 18 2 3" xfId="12089" xr:uid="{00000000-0005-0000-0000-0000232C0000}"/>
    <cellStyle name="Normal 18 18 2 4" xfId="12090" xr:uid="{00000000-0005-0000-0000-0000242C0000}"/>
    <cellStyle name="Normal 18 18 2 5" xfId="12091" xr:uid="{00000000-0005-0000-0000-0000252C0000}"/>
    <cellStyle name="Normal 18 18 2 6" xfId="12092" xr:uid="{00000000-0005-0000-0000-0000262C0000}"/>
    <cellStyle name="Normal 18 18 3" xfId="12093" xr:uid="{00000000-0005-0000-0000-0000272C0000}"/>
    <cellStyle name="Normal 18 18 3 2" xfId="12094" xr:uid="{00000000-0005-0000-0000-0000282C0000}"/>
    <cellStyle name="Normal 18 18 3 3" xfId="12095" xr:uid="{00000000-0005-0000-0000-0000292C0000}"/>
    <cellStyle name="Normal 18 18 3 4" xfId="12096" xr:uid="{00000000-0005-0000-0000-00002A2C0000}"/>
    <cellStyle name="Normal 18 18 3 5" xfId="12097" xr:uid="{00000000-0005-0000-0000-00002B2C0000}"/>
    <cellStyle name="Normal 18 18 3 6" xfId="12098" xr:uid="{00000000-0005-0000-0000-00002C2C0000}"/>
    <cellStyle name="Normal 18 18 4" xfId="12099" xr:uid="{00000000-0005-0000-0000-00002D2C0000}"/>
    <cellStyle name="Normal 18 18 4 2" xfId="12100" xr:uid="{00000000-0005-0000-0000-00002E2C0000}"/>
    <cellStyle name="Normal 18 18 4 3" xfId="12101" xr:uid="{00000000-0005-0000-0000-00002F2C0000}"/>
    <cellStyle name="Normal 18 18 4 4" xfId="12102" xr:uid="{00000000-0005-0000-0000-0000302C0000}"/>
    <cellStyle name="Normal 18 18 4 5" xfId="12103" xr:uid="{00000000-0005-0000-0000-0000312C0000}"/>
    <cellStyle name="Normal 18 18 4 6" xfId="12104" xr:uid="{00000000-0005-0000-0000-0000322C0000}"/>
    <cellStyle name="Normal 18 18 5" xfId="12105" xr:uid="{00000000-0005-0000-0000-0000332C0000}"/>
    <cellStyle name="Normal 18 18 5 2" xfId="12106" xr:uid="{00000000-0005-0000-0000-0000342C0000}"/>
    <cellStyle name="Normal 18 18 5 3" xfId="12107" xr:uid="{00000000-0005-0000-0000-0000352C0000}"/>
    <cellStyle name="Normal 18 18 5 4" xfId="12108" xr:uid="{00000000-0005-0000-0000-0000362C0000}"/>
    <cellStyle name="Normal 18 18 5 5" xfId="12109" xr:uid="{00000000-0005-0000-0000-0000372C0000}"/>
    <cellStyle name="Normal 18 18 5 6" xfId="12110" xr:uid="{00000000-0005-0000-0000-0000382C0000}"/>
    <cellStyle name="Normal 18 18 6" xfId="12111" xr:uid="{00000000-0005-0000-0000-0000392C0000}"/>
    <cellStyle name="Normal 18 18 6 2" xfId="12112" xr:uid="{00000000-0005-0000-0000-00003A2C0000}"/>
    <cellStyle name="Normal 18 18 6 3" xfId="12113" xr:uid="{00000000-0005-0000-0000-00003B2C0000}"/>
    <cellStyle name="Normal 18 18 6 4" xfId="12114" xr:uid="{00000000-0005-0000-0000-00003C2C0000}"/>
    <cellStyle name="Normal 18 18 6 5" xfId="12115" xr:uid="{00000000-0005-0000-0000-00003D2C0000}"/>
    <cellStyle name="Normal 18 18 6 6" xfId="12116" xr:uid="{00000000-0005-0000-0000-00003E2C0000}"/>
    <cellStyle name="Normal 18 18 7" xfId="12117" xr:uid="{00000000-0005-0000-0000-00003F2C0000}"/>
    <cellStyle name="Normal 18 18 7 2" xfId="12118" xr:uid="{00000000-0005-0000-0000-0000402C0000}"/>
    <cellStyle name="Normal 18 18 7 3" xfId="12119" xr:uid="{00000000-0005-0000-0000-0000412C0000}"/>
    <cellStyle name="Normal 18 18 7 4" xfId="12120" xr:uid="{00000000-0005-0000-0000-0000422C0000}"/>
    <cellStyle name="Normal 18 18 7 5" xfId="12121" xr:uid="{00000000-0005-0000-0000-0000432C0000}"/>
    <cellStyle name="Normal 18 18 7 6" xfId="12122" xr:uid="{00000000-0005-0000-0000-0000442C0000}"/>
    <cellStyle name="Normal 18 18 8" xfId="12123" xr:uid="{00000000-0005-0000-0000-0000452C0000}"/>
    <cellStyle name="Normal 18 18 8 2" xfId="12124" xr:uid="{00000000-0005-0000-0000-0000462C0000}"/>
    <cellStyle name="Normal 18 18 8 3" xfId="12125" xr:uid="{00000000-0005-0000-0000-0000472C0000}"/>
    <cellStyle name="Normal 18 18 8 4" xfId="12126" xr:uid="{00000000-0005-0000-0000-0000482C0000}"/>
    <cellStyle name="Normal 18 18 8 5" xfId="12127" xr:uid="{00000000-0005-0000-0000-0000492C0000}"/>
    <cellStyle name="Normal 18 18 8 6" xfId="12128" xr:uid="{00000000-0005-0000-0000-00004A2C0000}"/>
    <cellStyle name="Normal 18 18 9" xfId="12129" xr:uid="{00000000-0005-0000-0000-00004B2C0000}"/>
    <cellStyle name="Normal 18 19" xfId="12130" xr:uid="{00000000-0005-0000-0000-00004C2C0000}"/>
    <cellStyle name="Normal 18 19 10" xfId="12131" xr:uid="{00000000-0005-0000-0000-00004D2C0000}"/>
    <cellStyle name="Normal 18 19 11" xfId="12132" xr:uid="{00000000-0005-0000-0000-00004E2C0000}"/>
    <cellStyle name="Normal 18 19 12" xfId="12133" xr:uid="{00000000-0005-0000-0000-00004F2C0000}"/>
    <cellStyle name="Normal 18 19 13" xfId="12134" xr:uid="{00000000-0005-0000-0000-0000502C0000}"/>
    <cellStyle name="Normal 18 19 2" xfId="12135" xr:uid="{00000000-0005-0000-0000-0000512C0000}"/>
    <cellStyle name="Normal 18 19 2 2" xfId="12136" xr:uid="{00000000-0005-0000-0000-0000522C0000}"/>
    <cellStyle name="Normal 18 19 2 3" xfId="12137" xr:uid="{00000000-0005-0000-0000-0000532C0000}"/>
    <cellStyle name="Normal 18 19 2 4" xfId="12138" xr:uid="{00000000-0005-0000-0000-0000542C0000}"/>
    <cellStyle name="Normal 18 19 2 5" xfId="12139" xr:uid="{00000000-0005-0000-0000-0000552C0000}"/>
    <cellStyle name="Normal 18 19 2 6" xfId="12140" xr:uid="{00000000-0005-0000-0000-0000562C0000}"/>
    <cellStyle name="Normal 18 19 3" xfId="12141" xr:uid="{00000000-0005-0000-0000-0000572C0000}"/>
    <cellStyle name="Normal 18 19 3 2" xfId="12142" xr:uid="{00000000-0005-0000-0000-0000582C0000}"/>
    <cellStyle name="Normal 18 19 3 3" xfId="12143" xr:uid="{00000000-0005-0000-0000-0000592C0000}"/>
    <cellStyle name="Normal 18 19 3 4" xfId="12144" xr:uid="{00000000-0005-0000-0000-00005A2C0000}"/>
    <cellStyle name="Normal 18 19 3 5" xfId="12145" xr:uid="{00000000-0005-0000-0000-00005B2C0000}"/>
    <cellStyle name="Normal 18 19 3 6" xfId="12146" xr:uid="{00000000-0005-0000-0000-00005C2C0000}"/>
    <cellStyle name="Normal 18 19 4" xfId="12147" xr:uid="{00000000-0005-0000-0000-00005D2C0000}"/>
    <cellStyle name="Normal 18 19 4 2" xfId="12148" xr:uid="{00000000-0005-0000-0000-00005E2C0000}"/>
    <cellStyle name="Normal 18 19 4 3" xfId="12149" xr:uid="{00000000-0005-0000-0000-00005F2C0000}"/>
    <cellStyle name="Normal 18 19 4 4" xfId="12150" xr:uid="{00000000-0005-0000-0000-0000602C0000}"/>
    <cellStyle name="Normal 18 19 4 5" xfId="12151" xr:uid="{00000000-0005-0000-0000-0000612C0000}"/>
    <cellStyle name="Normal 18 19 4 6" xfId="12152" xr:uid="{00000000-0005-0000-0000-0000622C0000}"/>
    <cellStyle name="Normal 18 19 5" xfId="12153" xr:uid="{00000000-0005-0000-0000-0000632C0000}"/>
    <cellStyle name="Normal 18 19 5 2" xfId="12154" xr:uid="{00000000-0005-0000-0000-0000642C0000}"/>
    <cellStyle name="Normal 18 19 5 3" xfId="12155" xr:uid="{00000000-0005-0000-0000-0000652C0000}"/>
    <cellStyle name="Normal 18 19 5 4" xfId="12156" xr:uid="{00000000-0005-0000-0000-0000662C0000}"/>
    <cellStyle name="Normal 18 19 5 5" xfId="12157" xr:uid="{00000000-0005-0000-0000-0000672C0000}"/>
    <cellStyle name="Normal 18 19 5 6" xfId="12158" xr:uid="{00000000-0005-0000-0000-0000682C0000}"/>
    <cellStyle name="Normal 18 19 6" xfId="12159" xr:uid="{00000000-0005-0000-0000-0000692C0000}"/>
    <cellStyle name="Normal 18 19 6 2" xfId="12160" xr:uid="{00000000-0005-0000-0000-00006A2C0000}"/>
    <cellStyle name="Normal 18 19 6 3" xfId="12161" xr:uid="{00000000-0005-0000-0000-00006B2C0000}"/>
    <cellStyle name="Normal 18 19 6 4" xfId="12162" xr:uid="{00000000-0005-0000-0000-00006C2C0000}"/>
    <cellStyle name="Normal 18 19 6 5" xfId="12163" xr:uid="{00000000-0005-0000-0000-00006D2C0000}"/>
    <cellStyle name="Normal 18 19 6 6" xfId="12164" xr:uid="{00000000-0005-0000-0000-00006E2C0000}"/>
    <cellStyle name="Normal 18 19 7" xfId="12165" xr:uid="{00000000-0005-0000-0000-00006F2C0000}"/>
    <cellStyle name="Normal 18 19 7 2" xfId="12166" xr:uid="{00000000-0005-0000-0000-0000702C0000}"/>
    <cellStyle name="Normal 18 19 7 3" xfId="12167" xr:uid="{00000000-0005-0000-0000-0000712C0000}"/>
    <cellStyle name="Normal 18 19 7 4" xfId="12168" xr:uid="{00000000-0005-0000-0000-0000722C0000}"/>
    <cellStyle name="Normal 18 19 7 5" xfId="12169" xr:uid="{00000000-0005-0000-0000-0000732C0000}"/>
    <cellStyle name="Normal 18 19 7 6" xfId="12170" xr:uid="{00000000-0005-0000-0000-0000742C0000}"/>
    <cellStyle name="Normal 18 19 8" xfId="12171" xr:uid="{00000000-0005-0000-0000-0000752C0000}"/>
    <cellStyle name="Normal 18 19 8 2" xfId="12172" xr:uid="{00000000-0005-0000-0000-0000762C0000}"/>
    <cellStyle name="Normal 18 19 8 3" xfId="12173" xr:uid="{00000000-0005-0000-0000-0000772C0000}"/>
    <cellStyle name="Normal 18 19 8 4" xfId="12174" xr:uid="{00000000-0005-0000-0000-0000782C0000}"/>
    <cellStyle name="Normal 18 19 8 5" xfId="12175" xr:uid="{00000000-0005-0000-0000-0000792C0000}"/>
    <cellStyle name="Normal 18 19 8 6" xfId="12176" xr:uid="{00000000-0005-0000-0000-00007A2C0000}"/>
    <cellStyle name="Normal 18 19 9" xfId="12177" xr:uid="{00000000-0005-0000-0000-00007B2C0000}"/>
    <cellStyle name="Normal 18 2" xfId="1662" xr:uid="{00000000-0005-0000-0000-00007C2C0000}"/>
    <cellStyle name="Normal 18 2 10" xfId="12178" xr:uid="{00000000-0005-0000-0000-00007D2C0000}"/>
    <cellStyle name="Normal 18 2 11" xfId="12179" xr:uid="{00000000-0005-0000-0000-00007E2C0000}"/>
    <cellStyle name="Normal 18 2 12" xfId="12180" xr:uid="{00000000-0005-0000-0000-00007F2C0000}"/>
    <cellStyle name="Normal 18 2 13" xfId="12181" xr:uid="{00000000-0005-0000-0000-0000802C0000}"/>
    <cellStyle name="Normal 18 2 2" xfId="12182" xr:uid="{00000000-0005-0000-0000-0000812C0000}"/>
    <cellStyle name="Normal 18 2 2 2" xfId="12183" xr:uid="{00000000-0005-0000-0000-0000822C0000}"/>
    <cellStyle name="Normal 18 2 2 3" xfId="12184" xr:uid="{00000000-0005-0000-0000-0000832C0000}"/>
    <cellStyle name="Normal 18 2 2 4" xfId="12185" xr:uid="{00000000-0005-0000-0000-0000842C0000}"/>
    <cellStyle name="Normal 18 2 2 5" xfId="12186" xr:uid="{00000000-0005-0000-0000-0000852C0000}"/>
    <cellStyle name="Normal 18 2 2 6" xfId="12187" xr:uid="{00000000-0005-0000-0000-0000862C0000}"/>
    <cellStyle name="Normal 18 2 3" xfId="12188" xr:uid="{00000000-0005-0000-0000-0000872C0000}"/>
    <cellStyle name="Normal 18 2 3 2" xfId="12189" xr:uid="{00000000-0005-0000-0000-0000882C0000}"/>
    <cellStyle name="Normal 18 2 3 3" xfId="12190" xr:uid="{00000000-0005-0000-0000-0000892C0000}"/>
    <cellStyle name="Normal 18 2 3 4" xfId="12191" xr:uid="{00000000-0005-0000-0000-00008A2C0000}"/>
    <cellStyle name="Normal 18 2 3 5" xfId="12192" xr:uid="{00000000-0005-0000-0000-00008B2C0000}"/>
    <cellStyle name="Normal 18 2 3 6" xfId="12193" xr:uid="{00000000-0005-0000-0000-00008C2C0000}"/>
    <cellStyle name="Normal 18 2 4" xfId="12194" xr:uid="{00000000-0005-0000-0000-00008D2C0000}"/>
    <cellStyle name="Normal 18 2 4 2" xfId="12195" xr:uid="{00000000-0005-0000-0000-00008E2C0000}"/>
    <cellStyle name="Normal 18 2 4 3" xfId="12196" xr:uid="{00000000-0005-0000-0000-00008F2C0000}"/>
    <cellStyle name="Normal 18 2 4 4" xfId="12197" xr:uid="{00000000-0005-0000-0000-0000902C0000}"/>
    <cellStyle name="Normal 18 2 4 5" xfId="12198" xr:uid="{00000000-0005-0000-0000-0000912C0000}"/>
    <cellStyle name="Normal 18 2 4 6" xfId="12199" xr:uid="{00000000-0005-0000-0000-0000922C0000}"/>
    <cellStyle name="Normal 18 2 5" xfId="12200" xr:uid="{00000000-0005-0000-0000-0000932C0000}"/>
    <cellStyle name="Normal 18 2 5 2" xfId="12201" xr:uid="{00000000-0005-0000-0000-0000942C0000}"/>
    <cellStyle name="Normal 18 2 5 3" xfId="12202" xr:uid="{00000000-0005-0000-0000-0000952C0000}"/>
    <cellStyle name="Normal 18 2 5 4" xfId="12203" xr:uid="{00000000-0005-0000-0000-0000962C0000}"/>
    <cellStyle name="Normal 18 2 5 5" xfId="12204" xr:uid="{00000000-0005-0000-0000-0000972C0000}"/>
    <cellStyle name="Normal 18 2 5 6" xfId="12205" xr:uid="{00000000-0005-0000-0000-0000982C0000}"/>
    <cellStyle name="Normal 18 2 6" xfId="12206" xr:uid="{00000000-0005-0000-0000-0000992C0000}"/>
    <cellStyle name="Normal 18 2 6 2" xfId="12207" xr:uid="{00000000-0005-0000-0000-00009A2C0000}"/>
    <cellStyle name="Normal 18 2 6 3" xfId="12208" xr:uid="{00000000-0005-0000-0000-00009B2C0000}"/>
    <cellStyle name="Normal 18 2 6 4" xfId="12209" xr:uid="{00000000-0005-0000-0000-00009C2C0000}"/>
    <cellStyle name="Normal 18 2 6 5" xfId="12210" xr:uid="{00000000-0005-0000-0000-00009D2C0000}"/>
    <cellStyle name="Normal 18 2 6 6" xfId="12211" xr:uid="{00000000-0005-0000-0000-00009E2C0000}"/>
    <cellStyle name="Normal 18 2 7" xfId="12212" xr:uid="{00000000-0005-0000-0000-00009F2C0000}"/>
    <cellStyle name="Normal 18 2 7 2" xfId="12213" xr:uid="{00000000-0005-0000-0000-0000A02C0000}"/>
    <cellStyle name="Normal 18 2 7 3" xfId="12214" xr:uid="{00000000-0005-0000-0000-0000A12C0000}"/>
    <cellStyle name="Normal 18 2 7 4" xfId="12215" xr:uid="{00000000-0005-0000-0000-0000A22C0000}"/>
    <cellStyle name="Normal 18 2 7 5" xfId="12216" xr:uid="{00000000-0005-0000-0000-0000A32C0000}"/>
    <cellStyle name="Normal 18 2 7 6" xfId="12217" xr:uid="{00000000-0005-0000-0000-0000A42C0000}"/>
    <cellStyle name="Normal 18 2 8" xfId="12218" xr:uid="{00000000-0005-0000-0000-0000A52C0000}"/>
    <cellStyle name="Normal 18 2 8 2" xfId="12219" xr:uid="{00000000-0005-0000-0000-0000A62C0000}"/>
    <cellStyle name="Normal 18 2 8 3" xfId="12220" xr:uid="{00000000-0005-0000-0000-0000A72C0000}"/>
    <cellStyle name="Normal 18 2 8 4" xfId="12221" xr:uid="{00000000-0005-0000-0000-0000A82C0000}"/>
    <cellStyle name="Normal 18 2 8 5" xfId="12222" xr:uid="{00000000-0005-0000-0000-0000A92C0000}"/>
    <cellStyle name="Normal 18 2 8 6" xfId="12223" xr:uid="{00000000-0005-0000-0000-0000AA2C0000}"/>
    <cellStyle name="Normal 18 2 9" xfId="12224" xr:uid="{00000000-0005-0000-0000-0000AB2C0000}"/>
    <cellStyle name="Normal 18 20" xfId="12225" xr:uid="{00000000-0005-0000-0000-0000AC2C0000}"/>
    <cellStyle name="Normal 18 20 10" xfId="12226" xr:uid="{00000000-0005-0000-0000-0000AD2C0000}"/>
    <cellStyle name="Normal 18 20 11" xfId="12227" xr:uid="{00000000-0005-0000-0000-0000AE2C0000}"/>
    <cellStyle name="Normal 18 20 12" xfId="12228" xr:uid="{00000000-0005-0000-0000-0000AF2C0000}"/>
    <cellStyle name="Normal 18 20 13" xfId="12229" xr:uid="{00000000-0005-0000-0000-0000B02C0000}"/>
    <cellStyle name="Normal 18 20 2" xfId="12230" xr:uid="{00000000-0005-0000-0000-0000B12C0000}"/>
    <cellStyle name="Normal 18 20 2 2" xfId="12231" xr:uid="{00000000-0005-0000-0000-0000B22C0000}"/>
    <cellStyle name="Normal 18 20 2 3" xfId="12232" xr:uid="{00000000-0005-0000-0000-0000B32C0000}"/>
    <cellStyle name="Normal 18 20 2 4" xfId="12233" xr:uid="{00000000-0005-0000-0000-0000B42C0000}"/>
    <cellStyle name="Normal 18 20 2 5" xfId="12234" xr:uid="{00000000-0005-0000-0000-0000B52C0000}"/>
    <cellStyle name="Normal 18 20 2 6" xfId="12235" xr:uid="{00000000-0005-0000-0000-0000B62C0000}"/>
    <cellStyle name="Normal 18 20 3" xfId="12236" xr:uid="{00000000-0005-0000-0000-0000B72C0000}"/>
    <cellStyle name="Normal 18 20 3 2" xfId="12237" xr:uid="{00000000-0005-0000-0000-0000B82C0000}"/>
    <cellStyle name="Normal 18 20 3 3" xfId="12238" xr:uid="{00000000-0005-0000-0000-0000B92C0000}"/>
    <cellStyle name="Normal 18 20 3 4" xfId="12239" xr:uid="{00000000-0005-0000-0000-0000BA2C0000}"/>
    <cellStyle name="Normal 18 20 3 5" xfId="12240" xr:uid="{00000000-0005-0000-0000-0000BB2C0000}"/>
    <cellStyle name="Normal 18 20 3 6" xfId="12241" xr:uid="{00000000-0005-0000-0000-0000BC2C0000}"/>
    <cellStyle name="Normal 18 20 4" xfId="12242" xr:uid="{00000000-0005-0000-0000-0000BD2C0000}"/>
    <cellStyle name="Normal 18 20 4 2" xfId="12243" xr:uid="{00000000-0005-0000-0000-0000BE2C0000}"/>
    <cellStyle name="Normal 18 20 4 3" xfId="12244" xr:uid="{00000000-0005-0000-0000-0000BF2C0000}"/>
    <cellStyle name="Normal 18 20 4 4" xfId="12245" xr:uid="{00000000-0005-0000-0000-0000C02C0000}"/>
    <cellStyle name="Normal 18 20 4 5" xfId="12246" xr:uid="{00000000-0005-0000-0000-0000C12C0000}"/>
    <cellStyle name="Normal 18 20 4 6" xfId="12247" xr:uid="{00000000-0005-0000-0000-0000C22C0000}"/>
    <cellStyle name="Normal 18 20 5" xfId="12248" xr:uid="{00000000-0005-0000-0000-0000C32C0000}"/>
    <cellStyle name="Normal 18 20 5 2" xfId="12249" xr:uid="{00000000-0005-0000-0000-0000C42C0000}"/>
    <cellStyle name="Normal 18 20 5 3" xfId="12250" xr:uid="{00000000-0005-0000-0000-0000C52C0000}"/>
    <cellStyle name="Normal 18 20 5 4" xfId="12251" xr:uid="{00000000-0005-0000-0000-0000C62C0000}"/>
    <cellStyle name="Normal 18 20 5 5" xfId="12252" xr:uid="{00000000-0005-0000-0000-0000C72C0000}"/>
    <cellStyle name="Normal 18 20 5 6" xfId="12253" xr:uid="{00000000-0005-0000-0000-0000C82C0000}"/>
    <cellStyle name="Normal 18 20 6" xfId="12254" xr:uid="{00000000-0005-0000-0000-0000C92C0000}"/>
    <cellStyle name="Normal 18 20 6 2" xfId="12255" xr:uid="{00000000-0005-0000-0000-0000CA2C0000}"/>
    <cellStyle name="Normal 18 20 6 3" xfId="12256" xr:uid="{00000000-0005-0000-0000-0000CB2C0000}"/>
    <cellStyle name="Normal 18 20 6 4" xfId="12257" xr:uid="{00000000-0005-0000-0000-0000CC2C0000}"/>
    <cellStyle name="Normal 18 20 6 5" xfId="12258" xr:uid="{00000000-0005-0000-0000-0000CD2C0000}"/>
    <cellStyle name="Normal 18 20 6 6" xfId="12259" xr:uid="{00000000-0005-0000-0000-0000CE2C0000}"/>
    <cellStyle name="Normal 18 20 7" xfId="12260" xr:uid="{00000000-0005-0000-0000-0000CF2C0000}"/>
    <cellStyle name="Normal 18 20 7 2" xfId="12261" xr:uid="{00000000-0005-0000-0000-0000D02C0000}"/>
    <cellStyle name="Normal 18 20 7 3" xfId="12262" xr:uid="{00000000-0005-0000-0000-0000D12C0000}"/>
    <cellStyle name="Normal 18 20 7 4" xfId="12263" xr:uid="{00000000-0005-0000-0000-0000D22C0000}"/>
    <cellStyle name="Normal 18 20 7 5" xfId="12264" xr:uid="{00000000-0005-0000-0000-0000D32C0000}"/>
    <cellStyle name="Normal 18 20 7 6" xfId="12265" xr:uid="{00000000-0005-0000-0000-0000D42C0000}"/>
    <cellStyle name="Normal 18 20 8" xfId="12266" xr:uid="{00000000-0005-0000-0000-0000D52C0000}"/>
    <cellStyle name="Normal 18 20 8 2" xfId="12267" xr:uid="{00000000-0005-0000-0000-0000D62C0000}"/>
    <cellStyle name="Normal 18 20 8 3" xfId="12268" xr:uid="{00000000-0005-0000-0000-0000D72C0000}"/>
    <cellStyle name="Normal 18 20 8 4" xfId="12269" xr:uid="{00000000-0005-0000-0000-0000D82C0000}"/>
    <cellStyle name="Normal 18 20 8 5" xfId="12270" xr:uid="{00000000-0005-0000-0000-0000D92C0000}"/>
    <cellStyle name="Normal 18 20 8 6" xfId="12271" xr:uid="{00000000-0005-0000-0000-0000DA2C0000}"/>
    <cellStyle name="Normal 18 20 9" xfId="12272" xr:uid="{00000000-0005-0000-0000-0000DB2C0000}"/>
    <cellStyle name="Normal 18 21" xfId="12273" xr:uid="{00000000-0005-0000-0000-0000DC2C0000}"/>
    <cellStyle name="Normal 18 21 10" xfId="12274" xr:uid="{00000000-0005-0000-0000-0000DD2C0000}"/>
    <cellStyle name="Normal 18 21 11" xfId="12275" xr:uid="{00000000-0005-0000-0000-0000DE2C0000}"/>
    <cellStyle name="Normal 18 21 12" xfId="12276" xr:uid="{00000000-0005-0000-0000-0000DF2C0000}"/>
    <cellStyle name="Normal 18 21 13" xfId="12277" xr:uid="{00000000-0005-0000-0000-0000E02C0000}"/>
    <cellStyle name="Normal 18 21 2" xfId="12278" xr:uid="{00000000-0005-0000-0000-0000E12C0000}"/>
    <cellStyle name="Normal 18 21 2 2" xfId="12279" xr:uid="{00000000-0005-0000-0000-0000E22C0000}"/>
    <cellStyle name="Normal 18 21 2 3" xfId="12280" xr:uid="{00000000-0005-0000-0000-0000E32C0000}"/>
    <cellStyle name="Normal 18 21 2 4" xfId="12281" xr:uid="{00000000-0005-0000-0000-0000E42C0000}"/>
    <cellStyle name="Normal 18 21 2 5" xfId="12282" xr:uid="{00000000-0005-0000-0000-0000E52C0000}"/>
    <cellStyle name="Normal 18 21 2 6" xfId="12283" xr:uid="{00000000-0005-0000-0000-0000E62C0000}"/>
    <cellStyle name="Normal 18 21 3" xfId="12284" xr:uid="{00000000-0005-0000-0000-0000E72C0000}"/>
    <cellStyle name="Normal 18 21 3 2" xfId="12285" xr:uid="{00000000-0005-0000-0000-0000E82C0000}"/>
    <cellStyle name="Normal 18 21 3 3" xfId="12286" xr:uid="{00000000-0005-0000-0000-0000E92C0000}"/>
    <cellStyle name="Normal 18 21 3 4" xfId="12287" xr:uid="{00000000-0005-0000-0000-0000EA2C0000}"/>
    <cellStyle name="Normal 18 21 3 5" xfId="12288" xr:uid="{00000000-0005-0000-0000-0000EB2C0000}"/>
    <cellStyle name="Normal 18 21 3 6" xfId="12289" xr:uid="{00000000-0005-0000-0000-0000EC2C0000}"/>
    <cellStyle name="Normal 18 21 4" xfId="12290" xr:uid="{00000000-0005-0000-0000-0000ED2C0000}"/>
    <cellStyle name="Normal 18 21 4 2" xfId="12291" xr:uid="{00000000-0005-0000-0000-0000EE2C0000}"/>
    <cellStyle name="Normal 18 21 4 3" xfId="12292" xr:uid="{00000000-0005-0000-0000-0000EF2C0000}"/>
    <cellStyle name="Normal 18 21 4 4" xfId="12293" xr:uid="{00000000-0005-0000-0000-0000F02C0000}"/>
    <cellStyle name="Normal 18 21 4 5" xfId="12294" xr:uid="{00000000-0005-0000-0000-0000F12C0000}"/>
    <cellStyle name="Normal 18 21 4 6" xfId="12295" xr:uid="{00000000-0005-0000-0000-0000F22C0000}"/>
    <cellStyle name="Normal 18 21 5" xfId="12296" xr:uid="{00000000-0005-0000-0000-0000F32C0000}"/>
    <cellStyle name="Normal 18 21 5 2" xfId="12297" xr:uid="{00000000-0005-0000-0000-0000F42C0000}"/>
    <cellStyle name="Normal 18 21 5 3" xfId="12298" xr:uid="{00000000-0005-0000-0000-0000F52C0000}"/>
    <cellStyle name="Normal 18 21 5 4" xfId="12299" xr:uid="{00000000-0005-0000-0000-0000F62C0000}"/>
    <cellStyle name="Normal 18 21 5 5" xfId="12300" xr:uid="{00000000-0005-0000-0000-0000F72C0000}"/>
    <cellStyle name="Normal 18 21 5 6" xfId="12301" xr:uid="{00000000-0005-0000-0000-0000F82C0000}"/>
    <cellStyle name="Normal 18 21 6" xfId="12302" xr:uid="{00000000-0005-0000-0000-0000F92C0000}"/>
    <cellStyle name="Normal 18 21 6 2" xfId="12303" xr:uid="{00000000-0005-0000-0000-0000FA2C0000}"/>
    <cellStyle name="Normal 18 21 6 3" xfId="12304" xr:uid="{00000000-0005-0000-0000-0000FB2C0000}"/>
    <cellStyle name="Normal 18 21 6 4" xfId="12305" xr:uid="{00000000-0005-0000-0000-0000FC2C0000}"/>
    <cellStyle name="Normal 18 21 6 5" xfId="12306" xr:uid="{00000000-0005-0000-0000-0000FD2C0000}"/>
    <cellStyle name="Normal 18 21 6 6" xfId="12307" xr:uid="{00000000-0005-0000-0000-0000FE2C0000}"/>
    <cellStyle name="Normal 18 21 7" xfId="12308" xr:uid="{00000000-0005-0000-0000-0000FF2C0000}"/>
    <cellStyle name="Normal 18 21 7 2" xfId="12309" xr:uid="{00000000-0005-0000-0000-0000002D0000}"/>
    <cellStyle name="Normal 18 21 7 3" xfId="12310" xr:uid="{00000000-0005-0000-0000-0000012D0000}"/>
    <cellStyle name="Normal 18 21 7 4" xfId="12311" xr:uid="{00000000-0005-0000-0000-0000022D0000}"/>
    <cellStyle name="Normal 18 21 7 5" xfId="12312" xr:uid="{00000000-0005-0000-0000-0000032D0000}"/>
    <cellStyle name="Normal 18 21 7 6" xfId="12313" xr:uid="{00000000-0005-0000-0000-0000042D0000}"/>
    <cellStyle name="Normal 18 21 8" xfId="12314" xr:uid="{00000000-0005-0000-0000-0000052D0000}"/>
    <cellStyle name="Normal 18 21 8 2" xfId="12315" xr:uid="{00000000-0005-0000-0000-0000062D0000}"/>
    <cellStyle name="Normal 18 21 8 3" xfId="12316" xr:uid="{00000000-0005-0000-0000-0000072D0000}"/>
    <cellStyle name="Normal 18 21 8 4" xfId="12317" xr:uid="{00000000-0005-0000-0000-0000082D0000}"/>
    <cellStyle name="Normal 18 21 8 5" xfId="12318" xr:uid="{00000000-0005-0000-0000-0000092D0000}"/>
    <cellStyle name="Normal 18 21 8 6" xfId="12319" xr:uid="{00000000-0005-0000-0000-00000A2D0000}"/>
    <cellStyle name="Normal 18 21 9" xfId="12320" xr:uid="{00000000-0005-0000-0000-00000B2D0000}"/>
    <cellStyle name="Normal 18 22" xfId="12321" xr:uid="{00000000-0005-0000-0000-00000C2D0000}"/>
    <cellStyle name="Normal 18 22 10" xfId="12322" xr:uid="{00000000-0005-0000-0000-00000D2D0000}"/>
    <cellStyle name="Normal 18 22 11" xfId="12323" xr:uid="{00000000-0005-0000-0000-00000E2D0000}"/>
    <cellStyle name="Normal 18 22 12" xfId="12324" xr:uid="{00000000-0005-0000-0000-00000F2D0000}"/>
    <cellStyle name="Normal 18 22 13" xfId="12325" xr:uid="{00000000-0005-0000-0000-0000102D0000}"/>
    <cellStyle name="Normal 18 22 2" xfId="12326" xr:uid="{00000000-0005-0000-0000-0000112D0000}"/>
    <cellStyle name="Normal 18 22 2 2" xfId="12327" xr:uid="{00000000-0005-0000-0000-0000122D0000}"/>
    <cellStyle name="Normal 18 22 2 3" xfId="12328" xr:uid="{00000000-0005-0000-0000-0000132D0000}"/>
    <cellStyle name="Normal 18 22 2 4" xfId="12329" xr:uid="{00000000-0005-0000-0000-0000142D0000}"/>
    <cellStyle name="Normal 18 22 2 5" xfId="12330" xr:uid="{00000000-0005-0000-0000-0000152D0000}"/>
    <cellStyle name="Normal 18 22 2 6" xfId="12331" xr:uid="{00000000-0005-0000-0000-0000162D0000}"/>
    <cellStyle name="Normal 18 22 3" xfId="12332" xr:uid="{00000000-0005-0000-0000-0000172D0000}"/>
    <cellStyle name="Normal 18 22 3 2" xfId="12333" xr:uid="{00000000-0005-0000-0000-0000182D0000}"/>
    <cellStyle name="Normal 18 22 3 3" xfId="12334" xr:uid="{00000000-0005-0000-0000-0000192D0000}"/>
    <cellStyle name="Normal 18 22 3 4" xfId="12335" xr:uid="{00000000-0005-0000-0000-00001A2D0000}"/>
    <cellStyle name="Normal 18 22 3 5" xfId="12336" xr:uid="{00000000-0005-0000-0000-00001B2D0000}"/>
    <cellStyle name="Normal 18 22 3 6" xfId="12337" xr:uid="{00000000-0005-0000-0000-00001C2D0000}"/>
    <cellStyle name="Normal 18 22 4" xfId="12338" xr:uid="{00000000-0005-0000-0000-00001D2D0000}"/>
    <cellStyle name="Normal 18 22 4 2" xfId="12339" xr:uid="{00000000-0005-0000-0000-00001E2D0000}"/>
    <cellStyle name="Normal 18 22 4 3" xfId="12340" xr:uid="{00000000-0005-0000-0000-00001F2D0000}"/>
    <cellStyle name="Normal 18 22 4 4" xfId="12341" xr:uid="{00000000-0005-0000-0000-0000202D0000}"/>
    <cellStyle name="Normal 18 22 4 5" xfId="12342" xr:uid="{00000000-0005-0000-0000-0000212D0000}"/>
    <cellStyle name="Normal 18 22 4 6" xfId="12343" xr:uid="{00000000-0005-0000-0000-0000222D0000}"/>
    <cellStyle name="Normal 18 22 5" xfId="12344" xr:uid="{00000000-0005-0000-0000-0000232D0000}"/>
    <cellStyle name="Normal 18 22 5 2" xfId="12345" xr:uid="{00000000-0005-0000-0000-0000242D0000}"/>
    <cellStyle name="Normal 18 22 5 3" xfId="12346" xr:uid="{00000000-0005-0000-0000-0000252D0000}"/>
    <cellStyle name="Normal 18 22 5 4" xfId="12347" xr:uid="{00000000-0005-0000-0000-0000262D0000}"/>
    <cellStyle name="Normal 18 22 5 5" xfId="12348" xr:uid="{00000000-0005-0000-0000-0000272D0000}"/>
    <cellStyle name="Normal 18 22 5 6" xfId="12349" xr:uid="{00000000-0005-0000-0000-0000282D0000}"/>
    <cellStyle name="Normal 18 22 6" xfId="12350" xr:uid="{00000000-0005-0000-0000-0000292D0000}"/>
    <cellStyle name="Normal 18 22 6 2" xfId="12351" xr:uid="{00000000-0005-0000-0000-00002A2D0000}"/>
    <cellStyle name="Normal 18 22 6 3" xfId="12352" xr:uid="{00000000-0005-0000-0000-00002B2D0000}"/>
    <cellStyle name="Normal 18 22 6 4" xfId="12353" xr:uid="{00000000-0005-0000-0000-00002C2D0000}"/>
    <cellStyle name="Normal 18 22 6 5" xfId="12354" xr:uid="{00000000-0005-0000-0000-00002D2D0000}"/>
    <cellStyle name="Normal 18 22 6 6" xfId="12355" xr:uid="{00000000-0005-0000-0000-00002E2D0000}"/>
    <cellStyle name="Normal 18 22 7" xfId="12356" xr:uid="{00000000-0005-0000-0000-00002F2D0000}"/>
    <cellStyle name="Normal 18 22 7 2" xfId="12357" xr:uid="{00000000-0005-0000-0000-0000302D0000}"/>
    <cellStyle name="Normal 18 22 7 3" xfId="12358" xr:uid="{00000000-0005-0000-0000-0000312D0000}"/>
    <cellStyle name="Normal 18 22 7 4" xfId="12359" xr:uid="{00000000-0005-0000-0000-0000322D0000}"/>
    <cellStyle name="Normal 18 22 7 5" xfId="12360" xr:uid="{00000000-0005-0000-0000-0000332D0000}"/>
    <cellStyle name="Normal 18 22 7 6" xfId="12361" xr:uid="{00000000-0005-0000-0000-0000342D0000}"/>
    <cellStyle name="Normal 18 22 8" xfId="12362" xr:uid="{00000000-0005-0000-0000-0000352D0000}"/>
    <cellStyle name="Normal 18 22 8 2" xfId="12363" xr:uid="{00000000-0005-0000-0000-0000362D0000}"/>
    <cellStyle name="Normal 18 22 8 3" xfId="12364" xr:uid="{00000000-0005-0000-0000-0000372D0000}"/>
    <cellStyle name="Normal 18 22 8 4" xfId="12365" xr:uid="{00000000-0005-0000-0000-0000382D0000}"/>
    <cellStyle name="Normal 18 22 8 5" xfId="12366" xr:uid="{00000000-0005-0000-0000-0000392D0000}"/>
    <cellStyle name="Normal 18 22 8 6" xfId="12367" xr:uid="{00000000-0005-0000-0000-00003A2D0000}"/>
    <cellStyle name="Normal 18 22 9" xfId="12368" xr:uid="{00000000-0005-0000-0000-00003B2D0000}"/>
    <cellStyle name="Normal 18 23" xfId="12369" xr:uid="{00000000-0005-0000-0000-00003C2D0000}"/>
    <cellStyle name="Normal 18 23 10" xfId="12370" xr:uid="{00000000-0005-0000-0000-00003D2D0000}"/>
    <cellStyle name="Normal 18 23 11" xfId="12371" xr:uid="{00000000-0005-0000-0000-00003E2D0000}"/>
    <cellStyle name="Normal 18 23 12" xfId="12372" xr:uid="{00000000-0005-0000-0000-00003F2D0000}"/>
    <cellStyle name="Normal 18 23 13" xfId="12373" xr:uid="{00000000-0005-0000-0000-0000402D0000}"/>
    <cellStyle name="Normal 18 23 2" xfId="12374" xr:uid="{00000000-0005-0000-0000-0000412D0000}"/>
    <cellStyle name="Normal 18 23 2 2" xfId="12375" xr:uid="{00000000-0005-0000-0000-0000422D0000}"/>
    <cellStyle name="Normal 18 23 2 3" xfId="12376" xr:uid="{00000000-0005-0000-0000-0000432D0000}"/>
    <cellStyle name="Normal 18 23 2 4" xfId="12377" xr:uid="{00000000-0005-0000-0000-0000442D0000}"/>
    <cellStyle name="Normal 18 23 2 5" xfId="12378" xr:uid="{00000000-0005-0000-0000-0000452D0000}"/>
    <cellStyle name="Normal 18 23 2 6" xfId="12379" xr:uid="{00000000-0005-0000-0000-0000462D0000}"/>
    <cellStyle name="Normal 18 23 3" xfId="12380" xr:uid="{00000000-0005-0000-0000-0000472D0000}"/>
    <cellStyle name="Normal 18 23 3 2" xfId="12381" xr:uid="{00000000-0005-0000-0000-0000482D0000}"/>
    <cellStyle name="Normal 18 23 3 3" xfId="12382" xr:uid="{00000000-0005-0000-0000-0000492D0000}"/>
    <cellStyle name="Normal 18 23 3 4" xfId="12383" xr:uid="{00000000-0005-0000-0000-00004A2D0000}"/>
    <cellStyle name="Normal 18 23 3 5" xfId="12384" xr:uid="{00000000-0005-0000-0000-00004B2D0000}"/>
    <cellStyle name="Normal 18 23 3 6" xfId="12385" xr:uid="{00000000-0005-0000-0000-00004C2D0000}"/>
    <cellStyle name="Normal 18 23 4" xfId="12386" xr:uid="{00000000-0005-0000-0000-00004D2D0000}"/>
    <cellStyle name="Normal 18 23 4 2" xfId="12387" xr:uid="{00000000-0005-0000-0000-00004E2D0000}"/>
    <cellStyle name="Normal 18 23 4 3" xfId="12388" xr:uid="{00000000-0005-0000-0000-00004F2D0000}"/>
    <cellStyle name="Normal 18 23 4 4" xfId="12389" xr:uid="{00000000-0005-0000-0000-0000502D0000}"/>
    <cellStyle name="Normal 18 23 4 5" xfId="12390" xr:uid="{00000000-0005-0000-0000-0000512D0000}"/>
    <cellStyle name="Normal 18 23 4 6" xfId="12391" xr:uid="{00000000-0005-0000-0000-0000522D0000}"/>
    <cellStyle name="Normal 18 23 5" xfId="12392" xr:uid="{00000000-0005-0000-0000-0000532D0000}"/>
    <cellStyle name="Normal 18 23 5 2" xfId="12393" xr:uid="{00000000-0005-0000-0000-0000542D0000}"/>
    <cellStyle name="Normal 18 23 5 3" xfId="12394" xr:uid="{00000000-0005-0000-0000-0000552D0000}"/>
    <cellStyle name="Normal 18 23 5 4" xfId="12395" xr:uid="{00000000-0005-0000-0000-0000562D0000}"/>
    <cellStyle name="Normal 18 23 5 5" xfId="12396" xr:uid="{00000000-0005-0000-0000-0000572D0000}"/>
    <cellStyle name="Normal 18 23 5 6" xfId="12397" xr:uid="{00000000-0005-0000-0000-0000582D0000}"/>
    <cellStyle name="Normal 18 23 6" xfId="12398" xr:uid="{00000000-0005-0000-0000-0000592D0000}"/>
    <cellStyle name="Normal 18 23 6 2" xfId="12399" xr:uid="{00000000-0005-0000-0000-00005A2D0000}"/>
    <cellStyle name="Normal 18 23 6 3" xfId="12400" xr:uid="{00000000-0005-0000-0000-00005B2D0000}"/>
    <cellStyle name="Normal 18 23 6 4" xfId="12401" xr:uid="{00000000-0005-0000-0000-00005C2D0000}"/>
    <cellStyle name="Normal 18 23 6 5" xfId="12402" xr:uid="{00000000-0005-0000-0000-00005D2D0000}"/>
    <cellStyle name="Normal 18 23 6 6" xfId="12403" xr:uid="{00000000-0005-0000-0000-00005E2D0000}"/>
    <cellStyle name="Normal 18 23 7" xfId="12404" xr:uid="{00000000-0005-0000-0000-00005F2D0000}"/>
    <cellStyle name="Normal 18 23 7 2" xfId="12405" xr:uid="{00000000-0005-0000-0000-0000602D0000}"/>
    <cellStyle name="Normal 18 23 7 3" xfId="12406" xr:uid="{00000000-0005-0000-0000-0000612D0000}"/>
    <cellStyle name="Normal 18 23 7 4" xfId="12407" xr:uid="{00000000-0005-0000-0000-0000622D0000}"/>
    <cellStyle name="Normal 18 23 7 5" xfId="12408" xr:uid="{00000000-0005-0000-0000-0000632D0000}"/>
    <cellStyle name="Normal 18 23 7 6" xfId="12409" xr:uid="{00000000-0005-0000-0000-0000642D0000}"/>
    <cellStyle name="Normal 18 23 8" xfId="12410" xr:uid="{00000000-0005-0000-0000-0000652D0000}"/>
    <cellStyle name="Normal 18 23 8 2" xfId="12411" xr:uid="{00000000-0005-0000-0000-0000662D0000}"/>
    <cellStyle name="Normal 18 23 8 3" xfId="12412" xr:uid="{00000000-0005-0000-0000-0000672D0000}"/>
    <cellStyle name="Normal 18 23 8 4" xfId="12413" xr:uid="{00000000-0005-0000-0000-0000682D0000}"/>
    <cellStyle name="Normal 18 23 8 5" xfId="12414" xr:uid="{00000000-0005-0000-0000-0000692D0000}"/>
    <cellStyle name="Normal 18 23 8 6" xfId="12415" xr:uid="{00000000-0005-0000-0000-00006A2D0000}"/>
    <cellStyle name="Normal 18 23 9" xfId="12416" xr:uid="{00000000-0005-0000-0000-00006B2D0000}"/>
    <cellStyle name="Normal 18 24" xfId="12417" xr:uid="{00000000-0005-0000-0000-00006C2D0000}"/>
    <cellStyle name="Normal 18 24 10" xfId="12418" xr:uid="{00000000-0005-0000-0000-00006D2D0000}"/>
    <cellStyle name="Normal 18 24 11" xfId="12419" xr:uid="{00000000-0005-0000-0000-00006E2D0000}"/>
    <cellStyle name="Normal 18 24 12" xfId="12420" xr:uid="{00000000-0005-0000-0000-00006F2D0000}"/>
    <cellStyle name="Normal 18 24 13" xfId="12421" xr:uid="{00000000-0005-0000-0000-0000702D0000}"/>
    <cellStyle name="Normal 18 24 2" xfId="12422" xr:uid="{00000000-0005-0000-0000-0000712D0000}"/>
    <cellStyle name="Normal 18 24 2 2" xfId="12423" xr:uid="{00000000-0005-0000-0000-0000722D0000}"/>
    <cellStyle name="Normal 18 24 2 3" xfId="12424" xr:uid="{00000000-0005-0000-0000-0000732D0000}"/>
    <cellStyle name="Normal 18 24 2 4" xfId="12425" xr:uid="{00000000-0005-0000-0000-0000742D0000}"/>
    <cellStyle name="Normal 18 24 2 5" xfId="12426" xr:uid="{00000000-0005-0000-0000-0000752D0000}"/>
    <cellStyle name="Normal 18 24 2 6" xfId="12427" xr:uid="{00000000-0005-0000-0000-0000762D0000}"/>
    <cellStyle name="Normal 18 24 3" xfId="12428" xr:uid="{00000000-0005-0000-0000-0000772D0000}"/>
    <cellStyle name="Normal 18 24 3 2" xfId="12429" xr:uid="{00000000-0005-0000-0000-0000782D0000}"/>
    <cellStyle name="Normal 18 24 3 3" xfId="12430" xr:uid="{00000000-0005-0000-0000-0000792D0000}"/>
    <cellStyle name="Normal 18 24 3 4" xfId="12431" xr:uid="{00000000-0005-0000-0000-00007A2D0000}"/>
    <cellStyle name="Normal 18 24 3 5" xfId="12432" xr:uid="{00000000-0005-0000-0000-00007B2D0000}"/>
    <cellStyle name="Normal 18 24 3 6" xfId="12433" xr:uid="{00000000-0005-0000-0000-00007C2D0000}"/>
    <cellStyle name="Normal 18 24 4" xfId="12434" xr:uid="{00000000-0005-0000-0000-00007D2D0000}"/>
    <cellStyle name="Normal 18 24 4 2" xfId="12435" xr:uid="{00000000-0005-0000-0000-00007E2D0000}"/>
    <cellStyle name="Normal 18 24 4 3" xfId="12436" xr:uid="{00000000-0005-0000-0000-00007F2D0000}"/>
    <cellStyle name="Normal 18 24 4 4" xfId="12437" xr:uid="{00000000-0005-0000-0000-0000802D0000}"/>
    <cellStyle name="Normal 18 24 4 5" xfId="12438" xr:uid="{00000000-0005-0000-0000-0000812D0000}"/>
    <cellStyle name="Normal 18 24 4 6" xfId="12439" xr:uid="{00000000-0005-0000-0000-0000822D0000}"/>
    <cellStyle name="Normal 18 24 5" xfId="12440" xr:uid="{00000000-0005-0000-0000-0000832D0000}"/>
    <cellStyle name="Normal 18 24 5 2" xfId="12441" xr:uid="{00000000-0005-0000-0000-0000842D0000}"/>
    <cellStyle name="Normal 18 24 5 3" xfId="12442" xr:uid="{00000000-0005-0000-0000-0000852D0000}"/>
    <cellStyle name="Normal 18 24 5 4" xfId="12443" xr:uid="{00000000-0005-0000-0000-0000862D0000}"/>
    <cellStyle name="Normal 18 24 5 5" xfId="12444" xr:uid="{00000000-0005-0000-0000-0000872D0000}"/>
    <cellStyle name="Normal 18 24 5 6" xfId="12445" xr:uid="{00000000-0005-0000-0000-0000882D0000}"/>
    <cellStyle name="Normal 18 24 6" xfId="12446" xr:uid="{00000000-0005-0000-0000-0000892D0000}"/>
    <cellStyle name="Normal 18 24 6 2" xfId="12447" xr:uid="{00000000-0005-0000-0000-00008A2D0000}"/>
    <cellStyle name="Normal 18 24 6 3" xfId="12448" xr:uid="{00000000-0005-0000-0000-00008B2D0000}"/>
    <cellStyle name="Normal 18 24 6 4" xfId="12449" xr:uid="{00000000-0005-0000-0000-00008C2D0000}"/>
    <cellStyle name="Normal 18 24 6 5" xfId="12450" xr:uid="{00000000-0005-0000-0000-00008D2D0000}"/>
    <cellStyle name="Normal 18 24 6 6" xfId="12451" xr:uid="{00000000-0005-0000-0000-00008E2D0000}"/>
    <cellStyle name="Normal 18 24 7" xfId="12452" xr:uid="{00000000-0005-0000-0000-00008F2D0000}"/>
    <cellStyle name="Normal 18 24 7 2" xfId="12453" xr:uid="{00000000-0005-0000-0000-0000902D0000}"/>
    <cellStyle name="Normal 18 24 7 3" xfId="12454" xr:uid="{00000000-0005-0000-0000-0000912D0000}"/>
    <cellStyle name="Normal 18 24 7 4" xfId="12455" xr:uid="{00000000-0005-0000-0000-0000922D0000}"/>
    <cellStyle name="Normal 18 24 7 5" xfId="12456" xr:uid="{00000000-0005-0000-0000-0000932D0000}"/>
    <cellStyle name="Normal 18 24 7 6" xfId="12457" xr:uid="{00000000-0005-0000-0000-0000942D0000}"/>
    <cellStyle name="Normal 18 24 8" xfId="12458" xr:uid="{00000000-0005-0000-0000-0000952D0000}"/>
    <cellStyle name="Normal 18 24 8 2" xfId="12459" xr:uid="{00000000-0005-0000-0000-0000962D0000}"/>
    <cellStyle name="Normal 18 24 8 3" xfId="12460" xr:uid="{00000000-0005-0000-0000-0000972D0000}"/>
    <cellStyle name="Normal 18 24 8 4" xfId="12461" xr:uid="{00000000-0005-0000-0000-0000982D0000}"/>
    <cellStyle name="Normal 18 24 8 5" xfId="12462" xr:uid="{00000000-0005-0000-0000-0000992D0000}"/>
    <cellStyle name="Normal 18 24 8 6" xfId="12463" xr:uid="{00000000-0005-0000-0000-00009A2D0000}"/>
    <cellStyle name="Normal 18 24 9" xfId="12464" xr:uid="{00000000-0005-0000-0000-00009B2D0000}"/>
    <cellStyle name="Normal 18 25" xfId="12465" xr:uid="{00000000-0005-0000-0000-00009C2D0000}"/>
    <cellStyle name="Normal 18 25 2" xfId="12466" xr:uid="{00000000-0005-0000-0000-00009D2D0000}"/>
    <cellStyle name="Normal 18 25 3" xfId="12467" xr:uid="{00000000-0005-0000-0000-00009E2D0000}"/>
    <cellStyle name="Normal 18 25 4" xfId="12468" xr:uid="{00000000-0005-0000-0000-00009F2D0000}"/>
    <cellStyle name="Normal 18 25 5" xfId="12469" xr:uid="{00000000-0005-0000-0000-0000A02D0000}"/>
    <cellStyle name="Normal 18 25 6" xfId="12470" xr:uid="{00000000-0005-0000-0000-0000A12D0000}"/>
    <cellStyle name="Normal 18 26" xfId="12471" xr:uid="{00000000-0005-0000-0000-0000A22D0000}"/>
    <cellStyle name="Normal 18 26 2" xfId="12472" xr:uid="{00000000-0005-0000-0000-0000A32D0000}"/>
    <cellStyle name="Normal 18 26 3" xfId="12473" xr:uid="{00000000-0005-0000-0000-0000A42D0000}"/>
    <cellStyle name="Normal 18 26 4" xfId="12474" xr:uid="{00000000-0005-0000-0000-0000A52D0000}"/>
    <cellStyle name="Normal 18 26 5" xfId="12475" xr:uid="{00000000-0005-0000-0000-0000A62D0000}"/>
    <cellStyle name="Normal 18 26 6" xfId="12476" xr:uid="{00000000-0005-0000-0000-0000A72D0000}"/>
    <cellStyle name="Normal 18 27" xfId="12477" xr:uid="{00000000-0005-0000-0000-0000A82D0000}"/>
    <cellStyle name="Normal 18 27 2" xfId="12478" xr:uid="{00000000-0005-0000-0000-0000A92D0000}"/>
    <cellStyle name="Normal 18 27 3" xfId="12479" xr:uid="{00000000-0005-0000-0000-0000AA2D0000}"/>
    <cellStyle name="Normal 18 27 4" xfId="12480" xr:uid="{00000000-0005-0000-0000-0000AB2D0000}"/>
    <cellStyle name="Normal 18 27 5" xfId="12481" xr:uid="{00000000-0005-0000-0000-0000AC2D0000}"/>
    <cellStyle name="Normal 18 27 6" xfId="12482" xr:uid="{00000000-0005-0000-0000-0000AD2D0000}"/>
    <cellStyle name="Normal 18 28" xfId="12483" xr:uid="{00000000-0005-0000-0000-0000AE2D0000}"/>
    <cellStyle name="Normal 18 28 2" xfId="12484" xr:uid="{00000000-0005-0000-0000-0000AF2D0000}"/>
    <cellStyle name="Normal 18 28 3" xfId="12485" xr:uid="{00000000-0005-0000-0000-0000B02D0000}"/>
    <cellStyle name="Normal 18 28 4" xfId="12486" xr:uid="{00000000-0005-0000-0000-0000B12D0000}"/>
    <cellStyle name="Normal 18 28 5" xfId="12487" xr:uid="{00000000-0005-0000-0000-0000B22D0000}"/>
    <cellStyle name="Normal 18 28 6" xfId="12488" xr:uid="{00000000-0005-0000-0000-0000B32D0000}"/>
    <cellStyle name="Normal 18 29" xfId="12489" xr:uid="{00000000-0005-0000-0000-0000B42D0000}"/>
    <cellStyle name="Normal 18 29 2" xfId="12490" xr:uid="{00000000-0005-0000-0000-0000B52D0000}"/>
    <cellStyle name="Normal 18 29 3" xfId="12491" xr:uid="{00000000-0005-0000-0000-0000B62D0000}"/>
    <cellStyle name="Normal 18 29 4" xfId="12492" xr:uid="{00000000-0005-0000-0000-0000B72D0000}"/>
    <cellStyle name="Normal 18 29 5" xfId="12493" xr:uid="{00000000-0005-0000-0000-0000B82D0000}"/>
    <cellStyle name="Normal 18 29 6" xfId="12494" xr:uid="{00000000-0005-0000-0000-0000B92D0000}"/>
    <cellStyle name="Normal 18 3" xfId="12495" xr:uid="{00000000-0005-0000-0000-0000BA2D0000}"/>
    <cellStyle name="Normal 18 3 10" xfId="12496" xr:uid="{00000000-0005-0000-0000-0000BB2D0000}"/>
    <cellStyle name="Normal 18 3 11" xfId="12497" xr:uid="{00000000-0005-0000-0000-0000BC2D0000}"/>
    <cellStyle name="Normal 18 3 12" xfId="12498" xr:uid="{00000000-0005-0000-0000-0000BD2D0000}"/>
    <cellStyle name="Normal 18 3 13" xfId="12499" xr:uid="{00000000-0005-0000-0000-0000BE2D0000}"/>
    <cellStyle name="Normal 18 3 2" xfId="12500" xr:uid="{00000000-0005-0000-0000-0000BF2D0000}"/>
    <cellStyle name="Normal 18 3 2 2" xfId="12501" xr:uid="{00000000-0005-0000-0000-0000C02D0000}"/>
    <cellStyle name="Normal 18 3 2 3" xfId="12502" xr:uid="{00000000-0005-0000-0000-0000C12D0000}"/>
    <cellStyle name="Normal 18 3 2 4" xfId="12503" xr:uid="{00000000-0005-0000-0000-0000C22D0000}"/>
    <cellStyle name="Normal 18 3 2 5" xfId="12504" xr:uid="{00000000-0005-0000-0000-0000C32D0000}"/>
    <cellStyle name="Normal 18 3 2 6" xfId="12505" xr:uid="{00000000-0005-0000-0000-0000C42D0000}"/>
    <cellStyle name="Normal 18 3 3" xfId="12506" xr:uid="{00000000-0005-0000-0000-0000C52D0000}"/>
    <cellStyle name="Normal 18 3 3 2" xfId="12507" xr:uid="{00000000-0005-0000-0000-0000C62D0000}"/>
    <cellStyle name="Normal 18 3 3 3" xfId="12508" xr:uid="{00000000-0005-0000-0000-0000C72D0000}"/>
    <cellStyle name="Normal 18 3 3 4" xfId="12509" xr:uid="{00000000-0005-0000-0000-0000C82D0000}"/>
    <cellStyle name="Normal 18 3 3 5" xfId="12510" xr:uid="{00000000-0005-0000-0000-0000C92D0000}"/>
    <cellStyle name="Normal 18 3 3 6" xfId="12511" xr:uid="{00000000-0005-0000-0000-0000CA2D0000}"/>
    <cellStyle name="Normal 18 3 4" xfId="12512" xr:uid="{00000000-0005-0000-0000-0000CB2D0000}"/>
    <cellStyle name="Normal 18 3 4 2" xfId="12513" xr:uid="{00000000-0005-0000-0000-0000CC2D0000}"/>
    <cellStyle name="Normal 18 3 4 3" xfId="12514" xr:uid="{00000000-0005-0000-0000-0000CD2D0000}"/>
    <cellStyle name="Normal 18 3 4 4" xfId="12515" xr:uid="{00000000-0005-0000-0000-0000CE2D0000}"/>
    <cellStyle name="Normal 18 3 4 5" xfId="12516" xr:uid="{00000000-0005-0000-0000-0000CF2D0000}"/>
    <cellStyle name="Normal 18 3 4 6" xfId="12517" xr:uid="{00000000-0005-0000-0000-0000D02D0000}"/>
    <cellStyle name="Normal 18 3 5" xfId="12518" xr:uid="{00000000-0005-0000-0000-0000D12D0000}"/>
    <cellStyle name="Normal 18 3 5 2" xfId="12519" xr:uid="{00000000-0005-0000-0000-0000D22D0000}"/>
    <cellStyle name="Normal 18 3 5 3" xfId="12520" xr:uid="{00000000-0005-0000-0000-0000D32D0000}"/>
    <cellStyle name="Normal 18 3 5 4" xfId="12521" xr:uid="{00000000-0005-0000-0000-0000D42D0000}"/>
    <cellStyle name="Normal 18 3 5 5" xfId="12522" xr:uid="{00000000-0005-0000-0000-0000D52D0000}"/>
    <cellStyle name="Normal 18 3 5 6" xfId="12523" xr:uid="{00000000-0005-0000-0000-0000D62D0000}"/>
    <cellStyle name="Normal 18 3 6" xfId="12524" xr:uid="{00000000-0005-0000-0000-0000D72D0000}"/>
    <cellStyle name="Normal 18 3 6 2" xfId="12525" xr:uid="{00000000-0005-0000-0000-0000D82D0000}"/>
    <cellStyle name="Normal 18 3 6 3" xfId="12526" xr:uid="{00000000-0005-0000-0000-0000D92D0000}"/>
    <cellStyle name="Normal 18 3 6 4" xfId="12527" xr:uid="{00000000-0005-0000-0000-0000DA2D0000}"/>
    <cellStyle name="Normal 18 3 6 5" xfId="12528" xr:uid="{00000000-0005-0000-0000-0000DB2D0000}"/>
    <cellStyle name="Normal 18 3 6 6" xfId="12529" xr:uid="{00000000-0005-0000-0000-0000DC2D0000}"/>
    <cellStyle name="Normal 18 3 7" xfId="12530" xr:uid="{00000000-0005-0000-0000-0000DD2D0000}"/>
    <cellStyle name="Normal 18 3 7 2" xfId="12531" xr:uid="{00000000-0005-0000-0000-0000DE2D0000}"/>
    <cellStyle name="Normal 18 3 7 3" xfId="12532" xr:uid="{00000000-0005-0000-0000-0000DF2D0000}"/>
    <cellStyle name="Normal 18 3 7 4" xfId="12533" xr:uid="{00000000-0005-0000-0000-0000E02D0000}"/>
    <cellStyle name="Normal 18 3 7 5" xfId="12534" xr:uid="{00000000-0005-0000-0000-0000E12D0000}"/>
    <cellStyle name="Normal 18 3 7 6" xfId="12535" xr:uid="{00000000-0005-0000-0000-0000E22D0000}"/>
    <cellStyle name="Normal 18 3 8" xfId="12536" xr:uid="{00000000-0005-0000-0000-0000E32D0000}"/>
    <cellStyle name="Normal 18 3 8 2" xfId="12537" xr:uid="{00000000-0005-0000-0000-0000E42D0000}"/>
    <cellStyle name="Normal 18 3 8 3" xfId="12538" xr:uid="{00000000-0005-0000-0000-0000E52D0000}"/>
    <cellStyle name="Normal 18 3 8 4" xfId="12539" xr:uid="{00000000-0005-0000-0000-0000E62D0000}"/>
    <cellStyle name="Normal 18 3 8 5" xfId="12540" xr:uid="{00000000-0005-0000-0000-0000E72D0000}"/>
    <cellStyle name="Normal 18 3 8 6" xfId="12541" xr:uid="{00000000-0005-0000-0000-0000E82D0000}"/>
    <cellStyle name="Normal 18 3 9" xfId="12542" xr:uid="{00000000-0005-0000-0000-0000E92D0000}"/>
    <cellStyle name="Normal 18 30" xfId="12543" xr:uid="{00000000-0005-0000-0000-0000EA2D0000}"/>
    <cellStyle name="Normal 18 30 2" xfId="12544" xr:uid="{00000000-0005-0000-0000-0000EB2D0000}"/>
    <cellStyle name="Normal 18 30 3" xfId="12545" xr:uid="{00000000-0005-0000-0000-0000EC2D0000}"/>
    <cellStyle name="Normal 18 30 4" xfId="12546" xr:uid="{00000000-0005-0000-0000-0000ED2D0000}"/>
    <cellStyle name="Normal 18 30 5" xfId="12547" xr:uid="{00000000-0005-0000-0000-0000EE2D0000}"/>
    <cellStyle name="Normal 18 30 6" xfId="12548" xr:uid="{00000000-0005-0000-0000-0000EF2D0000}"/>
    <cellStyle name="Normal 18 31" xfId="12549" xr:uid="{00000000-0005-0000-0000-0000F02D0000}"/>
    <cellStyle name="Normal 18 31 2" xfId="12550" xr:uid="{00000000-0005-0000-0000-0000F12D0000}"/>
    <cellStyle name="Normal 18 31 3" xfId="12551" xr:uid="{00000000-0005-0000-0000-0000F22D0000}"/>
    <cellStyle name="Normal 18 31 4" xfId="12552" xr:uid="{00000000-0005-0000-0000-0000F32D0000}"/>
    <cellStyle name="Normal 18 31 5" xfId="12553" xr:uid="{00000000-0005-0000-0000-0000F42D0000}"/>
    <cellStyle name="Normal 18 31 6" xfId="12554" xr:uid="{00000000-0005-0000-0000-0000F52D0000}"/>
    <cellStyle name="Normal 18 32" xfId="12555" xr:uid="{00000000-0005-0000-0000-0000F62D0000}"/>
    <cellStyle name="Normal 18 33" xfId="12556" xr:uid="{00000000-0005-0000-0000-0000F72D0000}"/>
    <cellStyle name="Normal 18 34" xfId="12557" xr:uid="{00000000-0005-0000-0000-0000F82D0000}"/>
    <cellStyle name="Normal 18 35" xfId="12558" xr:uid="{00000000-0005-0000-0000-0000F92D0000}"/>
    <cellStyle name="Normal 18 36" xfId="12559" xr:uid="{00000000-0005-0000-0000-0000FA2D0000}"/>
    <cellStyle name="Normal 18 4" xfId="12560" xr:uid="{00000000-0005-0000-0000-0000FB2D0000}"/>
    <cellStyle name="Normal 18 4 10" xfId="12561" xr:uid="{00000000-0005-0000-0000-0000FC2D0000}"/>
    <cellStyle name="Normal 18 4 11" xfId="12562" xr:uid="{00000000-0005-0000-0000-0000FD2D0000}"/>
    <cellStyle name="Normal 18 4 12" xfId="12563" xr:uid="{00000000-0005-0000-0000-0000FE2D0000}"/>
    <cellStyle name="Normal 18 4 13" xfId="12564" xr:uid="{00000000-0005-0000-0000-0000FF2D0000}"/>
    <cellStyle name="Normal 18 4 2" xfId="12565" xr:uid="{00000000-0005-0000-0000-0000002E0000}"/>
    <cellStyle name="Normal 18 4 2 2" xfId="12566" xr:uid="{00000000-0005-0000-0000-0000012E0000}"/>
    <cellStyle name="Normal 18 4 2 3" xfId="12567" xr:uid="{00000000-0005-0000-0000-0000022E0000}"/>
    <cellStyle name="Normal 18 4 2 4" xfId="12568" xr:uid="{00000000-0005-0000-0000-0000032E0000}"/>
    <cellStyle name="Normal 18 4 2 5" xfId="12569" xr:uid="{00000000-0005-0000-0000-0000042E0000}"/>
    <cellStyle name="Normal 18 4 2 6" xfId="12570" xr:uid="{00000000-0005-0000-0000-0000052E0000}"/>
    <cellStyle name="Normal 18 4 3" xfId="12571" xr:uid="{00000000-0005-0000-0000-0000062E0000}"/>
    <cellStyle name="Normal 18 4 3 2" xfId="12572" xr:uid="{00000000-0005-0000-0000-0000072E0000}"/>
    <cellStyle name="Normal 18 4 3 3" xfId="12573" xr:uid="{00000000-0005-0000-0000-0000082E0000}"/>
    <cellStyle name="Normal 18 4 3 4" xfId="12574" xr:uid="{00000000-0005-0000-0000-0000092E0000}"/>
    <cellStyle name="Normal 18 4 3 5" xfId="12575" xr:uid="{00000000-0005-0000-0000-00000A2E0000}"/>
    <cellStyle name="Normal 18 4 3 6" xfId="12576" xr:uid="{00000000-0005-0000-0000-00000B2E0000}"/>
    <cellStyle name="Normal 18 4 4" xfId="12577" xr:uid="{00000000-0005-0000-0000-00000C2E0000}"/>
    <cellStyle name="Normal 18 4 4 2" xfId="12578" xr:uid="{00000000-0005-0000-0000-00000D2E0000}"/>
    <cellStyle name="Normal 18 4 4 3" xfId="12579" xr:uid="{00000000-0005-0000-0000-00000E2E0000}"/>
    <cellStyle name="Normal 18 4 4 4" xfId="12580" xr:uid="{00000000-0005-0000-0000-00000F2E0000}"/>
    <cellStyle name="Normal 18 4 4 5" xfId="12581" xr:uid="{00000000-0005-0000-0000-0000102E0000}"/>
    <cellStyle name="Normal 18 4 4 6" xfId="12582" xr:uid="{00000000-0005-0000-0000-0000112E0000}"/>
    <cellStyle name="Normal 18 4 5" xfId="12583" xr:uid="{00000000-0005-0000-0000-0000122E0000}"/>
    <cellStyle name="Normal 18 4 5 2" xfId="12584" xr:uid="{00000000-0005-0000-0000-0000132E0000}"/>
    <cellStyle name="Normal 18 4 5 3" xfId="12585" xr:uid="{00000000-0005-0000-0000-0000142E0000}"/>
    <cellStyle name="Normal 18 4 5 4" xfId="12586" xr:uid="{00000000-0005-0000-0000-0000152E0000}"/>
    <cellStyle name="Normal 18 4 5 5" xfId="12587" xr:uid="{00000000-0005-0000-0000-0000162E0000}"/>
    <cellStyle name="Normal 18 4 5 6" xfId="12588" xr:uid="{00000000-0005-0000-0000-0000172E0000}"/>
    <cellStyle name="Normal 18 4 6" xfId="12589" xr:uid="{00000000-0005-0000-0000-0000182E0000}"/>
    <cellStyle name="Normal 18 4 6 2" xfId="12590" xr:uid="{00000000-0005-0000-0000-0000192E0000}"/>
    <cellStyle name="Normal 18 4 6 3" xfId="12591" xr:uid="{00000000-0005-0000-0000-00001A2E0000}"/>
    <cellStyle name="Normal 18 4 6 4" xfId="12592" xr:uid="{00000000-0005-0000-0000-00001B2E0000}"/>
    <cellStyle name="Normal 18 4 6 5" xfId="12593" xr:uid="{00000000-0005-0000-0000-00001C2E0000}"/>
    <cellStyle name="Normal 18 4 6 6" xfId="12594" xr:uid="{00000000-0005-0000-0000-00001D2E0000}"/>
    <cellStyle name="Normal 18 4 7" xfId="12595" xr:uid="{00000000-0005-0000-0000-00001E2E0000}"/>
    <cellStyle name="Normal 18 4 7 2" xfId="12596" xr:uid="{00000000-0005-0000-0000-00001F2E0000}"/>
    <cellStyle name="Normal 18 4 7 3" xfId="12597" xr:uid="{00000000-0005-0000-0000-0000202E0000}"/>
    <cellStyle name="Normal 18 4 7 4" xfId="12598" xr:uid="{00000000-0005-0000-0000-0000212E0000}"/>
    <cellStyle name="Normal 18 4 7 5" xfId="12599" xr:uid="{00000000-0005-0000-0000-0000222E0000}"/>
    <cellStyle name="Normal 18 4 7 6" xfId="12600" xr:uid="{00000000-0005-0000-0000-0000232E0000}"/>
    <cellStyle name="Normal 18 4 8" xfId="12601" xr:uid="{00000000-0005-0000-0000-0000242E0000}"/>
    <cellStyle name="Normal 18 4 8 2" xfId="12602" xr:uid="{00000000-0005-0000-0000-0000252E0000}"/>
    <cellStyle name="Normal 18 4 8 3" xfId="12603" xr:uid="{00000000-0005-0000-0000-0000262E0000}"/>
    <cellStyle name="Normal 18 4 8 4" xfId="12604" xr:uid="{00000000-0005-0000-0000-0000272E0000}"/>
    <cellStyle name="Normal 18 4 8 5" xfId="12605" xr:uid="{00000000-0005-0000-0000-0000282E0000}"/>
    <cellStyle name="Normal 18 4 8 6" xfId="12606" xr:uid="{00000000-0005-0000-0000-0000292E0000}"/>
    <cellStyle name="Normal 18 4 9" xfId="12607" xr:uid="{00000000-0005-0000-0000-00002A2E0000}"/>
    <cellStyle name="Normal 18 5" xfId="12608" xr:uid="{00000000-0005-0000-0000-00002B2E0000}"/>
    <cellStyle name="Normal 18 5 10" xfId="12609" xr:uid="{00000000-0005-0000-0000-00002C2E0000}"/>
    <cellStyle name="Normal 18 5 11" xfId="12610" xr:uid="{00000000-0005-0000-0000-00002D2E0000}"/>
    <cellStyle name="Normal 18 5 12" xfId="12611" xr:uid="{00000000-0005-0000-0000-00002E2E0000}"/>
    <cellStyle name="Normal 18 5 13" xfId="12612" xr:uid="{00000000-0005-0000-0000-00002F2E0000}"/>
    <cellStyle name="Normal 18 5 2" xfId="12613" xr:uid="{00000000-0005-0000-0000-0000302E0000}"/>
    <cellStyle name="Normal 18 5 2 2" xfId="12614" xr:uid="{00000000-0005-0000-0000-0000312E0000}"/>
    <cellStyle name="Normal 18 5 2 3" xfId="12615" xr:uid="{00000000-0005-0000-0000-0000322E0000}"/>
    <cellStyle name="Normal 18 5 2 4" xfId="12616" xr:uid="{00000000-0005-0000-0000-0000332E0000}"/>
    <cellStyle name="Normal 18 5 2 5" xfId="12617" xr:uid="{00000000-0005-0000-0000-0000342E0000}"/>
    <cellStyle name="Normal 18 5 2 6" xfId="12618" xr:uid="{00000000-0005-0000-0000-0000352E0000}"/>
    <cellStyle name="Normal 18 5 3" xfId="12619" xr:uid="{00000000-0005-0000-0000-0000362E0000}"/>
    <cellStyle name="Normal 18 5 3 2" xfId="12620" xr:uid="{00000000-0005-0000-0000-0000372E0000}"/>
    <cellStyle name="Normal 18 5 3 3" xfId="12621" xr:uid="{00000000-0005-0000-0000-0000382E0000}"/>
    <cellStyle name="Normal 18 5 3 4" xfId="12622" xr:uid="{00000000-0005-0000-0000-0000392E0000}"/>
    <cellStyle name="Normal 18 5 3 5" xfId="12623" xr:uid="{00000000-0005-0000-0000-00003A2E0000}"/>
    <cellStyle name="Normal 18 5 3 6" xfId="12624" xr:uid="{00000000-0005-0000-0000-00003B2E0000}"/>
    <cellStyle name="Normal 18 5 4" xfId="12625" xr:uid="{00000000-0005-0000-0000-00003C2E0000}"/>
    <cellStyle name="Normal 18 5 4 2" xfId="12626" xr:uid="{00000000-0005-0000-0000-00003D2E0000}"/>
    <cellStyle name="Normal 18 5 4 3" xfId="12627" xr:uid="{00000000-0005-0000-0000-00003E2E0000}"/>
    <cellStyle name="Normal 18 5 4 4" xfId="12628" xr:uid="{00000000-0005-0000-0000-00003F2E0000}"/>
    <cellStyle name="Normal 18 5 4 5" xfId="12629" xr:uid="{00000000-0005-0000-0000-0000402E0000}"/>
    <cellStyle name="Normal 18 5 4 6" xfId="12630" xr:uid="{00000000-0005-0000-0000-0000412E0000}"/>
    <cellStyle name="Normal 18 5 5" xfId="12631" xr:uid="{00000000-0005-0000-0000-0000422E0000}"/>
    <cellStyle name="Normal 18 5 5 2" xfId="12632" xr:uid="{00000000-0005-0000-0000-0000432E0000}"/>
    <cellStyle name="Normal 18 5 5 3" xfId="12633" xr:uid="{00000000-0005-0000-0000-0000442E0000}"/>
    <cellStyle name="Normal 18 5 5 4" xfId="12634" xr:uid="{00000000-0005-0000-0000-0000452E0000}"/>
    <cellStyle name="Normal 18 5 5 5" xfId="12635" xr:uid="{00000000-0005-0000-0000-0000462E0000}"/>
    <cellStyle name="Normal 18 5 5 6" xfId="12636" xr:uid="{00000000-0005-0000-0000-0000472E0000}"/>
    <cellStyle name="Normal 18 5 6" xfId="12637" xr:uid="{00000000-0005-0000-0000-0000482E0000}"/>
    <cellStyle name="Normal 18 5 6 2" xfId="12638" xr:uid="{00000000-0005-0000-0000-0000492E0000}"/>
    <cellStyle name="Normal 18 5 6 3" xfId="12639" xr:uid="{00000000-0005-0000-0000-00004A2E0000}"/>
    <cellStyle name="Normal 18 5 6 4" xfId="12640" xr:uid="{00000000-0005-0000-0000-00004B2E0000}"/>
    <cellStyle name="Normal 18 5 6 5" xfId="12641" xr:uid="{00000000-0005-0000-0000-00004C2E0000}"/>
    <cellStyle name="Normal 18 5 6 6" xfId="12642" xr:uid="{00000000-0005-0000-0000-00004D2E0000}"/>
    <cellStyle name="Normal 18 5 7" xfId="12643" xr:uid="{00000000-0005-0000-0000-00004E2E0000}"/>
    <cellStyle name="Normal 18 5 7 2" xfId="12644" xr:uid="{00000000-0005-0000-0000-00004F2E0000}"/>
    <cellStyle name="Normal 18 5 7 3" xfId="12645" xr:uid="{00000000-0005-0000-0000-0000502E0000}"/>
    <cellStyle name="Normal 18 5 7 4" xfId="12646" xr:uid="{00000000-0005-0000-0000-0000512E0000}"/>
    <cellStyle name="Normal 18 5 7 5" xfId="12647" xr:uid="{00000000-0005-0000-0000-0000522E0000}"/>
    <cellStyle name="Normal 18 5 7 6" xfId="12648" xr:uid="{00000000-0005-0000-0000-0000532E0000}"/>
    <cellStyle name="Normal 18 5 8" xfId="12649" xr:uid="{00000000-0005-0000-0000-0000542E0000}"/>
    <cellStyle name="Normal 18 5 8 2" xfId="12650" xr:uid="{00000000-0005-0000-0000-0000552E0000}"/>
    <cellStyle name="Normal 18 5 8 3" xfId="12651" xr:uid="{00000000-0005-0000-0000-0000562E0000}"/>
    <cellStyle name="Normal 18 5 8 4" xfId="12652" xr:uid="{00000000-0005-0000-0000-0000572E0000}"/>
    <cellStyle name="Normal 18 5 8 5" xfId="12653" xr:uid="{00000000-0005-0000-0000-0000582E0000}"/>
    <cellStyle name="Normal 18 5 8 6" xfId="12654" xr:uid="{00000000-0005-0000-0000-0000592E0000}"/>
    <cellStyle name="Normal 18 5 9" xfId="12655" xr:uid="{00000000-0005-0000-0000-00005A2E0000}"/>
    <cellStyle name="Normal 18 6" xfId="12656" xr:uid="{00000000-0005-0000-0000-00005B2E0000}"/>
    <cellStyle name="Normal 18 6 10" xfId="12657" xr:uid="{00000000-0005-0000-0000-00005C2E0000}"/>
    <cellStyle name="Normal 18 6 11" xfId="12658" xr:uid="{00000000-0005-0000-0000-00005D2E0000}"/>
    <cellStyle name="Normal 18 6 12" xfId="12659" xr:uid="{00000000-0005-0000-0000-00005E2E0000}"/>
    <cellStyle name="Normal 18 6 13" xfId="12660" xr:uid="{00000000-0005-0000-0000-00005F2E0000}"/>
    <cellStyle name="Normal 18 6 2" xfId="12661" xr:uid="{00000000-0005-0000-0000-0000602E0000}"/>
    <cellStyle name="Normal 18 6 2 2" xfId="12662" xr:uid="{00000000-0005-0000-0000-0000612E0000}"/>
    <cellStyle name="Normal 18 6 2 3" xfId="12663" xr:uid="{00000000-0005-0000-0000-0000622E0000}"/>
    <cellStyle name="Normal 18 6 2 4" xfId="12664" xr:uid="{00000000-0005-0000-0000-0000632E0000}"/>
    <cellStyle name="Normal 18 6 2 5" xfId="12665" xr:uid="{00000000-0005-0000-0000-0000642E0000}"/>
    <cellStyle name="Normal 18 6 2 6" xfId="12666" xr:uid="{00000000-0005-0000-0000-0000652E0000}"/>
    <cellStyle name="Normal 18 6 3" xfId="12667" xr:uid="{00000000-0005-0000-0000-0000662E0000}"/>
    <cellStyle name="Normal 18 6 3 2" xfId="12668" xr:uid="{00000000-0005-0000-0000-0000672E0000}"/>
    <cellStyle name="Normal 18 6 3 3" xfId="12669" xr:uid="{00000000-0005-0000-0000-0000682E0000}"/>
    <cellStyle name="Normal 18 6 3 4" xfId="12670" xr:uid="{00000000-0005-0000-0000-0000692E0000}"/>
    <cellStyle name="Normal 18 6 3 5" xfId="12671" xr:uid="{00000000-0005-0000-0000-00006A2E0000}"/>
    <cellStyle name="Normal 18 6 3 6" xfId="12672" xr:uid="{00000000-0005-0000-0000-00006B2E0000}"/>
    <cellStyle name="Normal 18 6 4" xfId="12673" xr:uid="{00000000-0005-0000-0000-00006C2E0000}"/>
    <cellStyle name="Normal 18 6 4 2" xfId="12674" xr:uid="{00000000-0005-0000-0000-00006D2E0000}"/>
    <cellStyle name="Normal 18 6 4 3" xfId="12675" xr:uid="{00000000-0005-0000-0000-00006E2E0000}"/>
    <cellStyle name="Normal 18 6 4 4" xfId="12676" xr:uid="{00000000-0005-0000-0000-00006F2E0000}"/>
    <cellStyle name="Normal 18 6 4 5" xfId="12677" xr:uid="{00000000-0005-0000-0000-0000702E0000}"/>
    <cellStyle name="Normal 18 6 4 6" xfId="12678" xr:uid="{00000000-0005-0000-0000-0000712E0000}"/>
    <cellStyle name="Normal 18 6 5" xfId="12679" xr:uid="{00000000-0005-0000-0000-0000722E0000}"/>
    <cellStyle name="Normal 18 6 5 2" xfId="12680" xr:uid="{00000000-0005-0000-0000-0000732E0000}"/>
    <cellStyle name="Normal 18 6 5 3" xfId="12681" xr:uid="{00000000-0005-0000-0000-0000742E0000}"/>
    <cellStyle name="Normal 18 6 5 4" xfId="12682" xr:uid="{00000000-0005-0000-0000-0000752E0000}"/>
    <cellStyle name="Normal 18 6 5 5" xfId="12683" xr:uid="{00000000-0005-0000-0000-0000762E0000}"/>
    <cellStyle name="Normal 18 6 5 6" xfId="12684" xr:uid="{00000000-0005-0000-0000-0000772E0000}"/>
    <cellStyle name="Normal 18 6 6" xfId="12685" xr:uid="{00000000-0005-0000-0000-0000782E0000}"/>
    <cellStyle name="Normal 18 6 6 2" xfId="12686" xr:uid="{00000000-0005-0000-0000-0000792E0000}"/>
    <cellStyle name="Normal 18 6 6 3" xfId="12687" xr:uid="{00000000-0005-0000-0000-00007A2E0000}"/>
    <cellStyle name="Normal 18 6 6 4" xfId="12688" xr:uid="{00000000-0005-0000-0000-00007B2E0000}"/>
    <cellStyle name="Normal 18 6 6 5" xfId="12689" xr:uid="{00000000-0005-0000-0000-00007C2E0000}"/>
    <cellStyle name="Normal 18 6 6 6" xfId="12690" xr:uid="{00000000-0005-0000-0000-00007D2E0000}"/>
    <cellStyle name="Normal 18 6 7" xfId="12691" xr:uid="{00000000-0005-0000-0000-00007E2E0000}"/>
    <cellStyle name="Normal 18 6 7 2" xfId="12692" xr:uid="{00000000-0005-0000-0000-00007F2E0000}"/>
    <cellStyle name="Normal 18 6 7 3" xfId="12693" xr:uid="{00000000-0005-0000-0000-0000802E0000}"/>
    <cellStyle name="Normal 18 6 7 4" xfId="12694" xr:uid="{00000000-0005-0000-0000-0000812E0000}"/>
    <cellStyle name="Normal 18 6 7 5" xfId="12695" xr:uid="{00000000-0005-0000-0000-0000822E0000}"/>
    <cellStyle name="Normal 18 6 7 6" xfId="12696" xr:uid="{00000000-0005-0000-0000-0000832E0000}"/>
    <cellStyle name="Normal 18 6 8" xfId="12697" xr:uid="{00000000-0005-0000-0000-0000842E0000}"/>
    <cellStyle name="Normal 18 6 8 2" xfId="12698" xr:uid="{00000000-0005-0000-0000-0000852E0000}"/>
    <cellStyle name="Normal 18 6 8 3" xfId="12699" xr:uid="{00000000-0005-0000-0000-0000862E0000}"/>
    <cellStyle name="Normal 18 6 8 4" xfId="12700" xr:uid="{00000000-0005-0000-0000-0000872E0000}"/>
    <cellStyle name="Normal 18 6 8 5" xfId="12701" xr:uid="{00000000-0005-0000-0000-0000882E0000}"/>
    <cellStyle name="Normal 18 6 8 6" xfId="12702" xr:uid="{00000000-0005-0000-0000-0000892E0000}"/>
    <cellStyle name="Normal 18 6 9" xfId="12703" xr:uid="{00000000-0005-0000-0000-00008A2E0000}"/>
    <cellStyle name="Normal 18 7" xfId="12704" xr:uid="{00000000-0005-0000-0000-00008B2E0000}"/>
    <cellStyle name="Normal 18 7 10" xfId="12705" xr:uid="{00000000-0005-0000-0000-00008C2E0000}"/>
    <cellStyle name="Normal 18 7 11" xfId="12706" xr:uid="{00000000-0005-0000-0000-00008D2E0000}"/>
    <cellStyle name="Normal 18 7 12" xfId="12707" xr:uid="{00000000-0005-0000-0000-00008E2E0000}"/>
    <cellStyle name="Normal 18 7 13" xfId="12708" xr:uid="{00000000-0005-0000-0000-00008F2E0000}"/>
    <cellStyle name="Normal 18 7 2" xfId="12709" xr:uid="{00000000-0005-0000-0000-0000902E0000}"/>
    <cellStyle name="Normal 18 7 2 2" xfId="12710" xr:uid="{00000000-0005-0000-0000-0000912E0000}"/>
    <cellStyle name="Normal 18 7 2 3" xfId="12711" xr:uid="{00000000-0005-0000-0000-0000922E0000}"/>
    <cellStyle name="Normal 18 7 2 4" xfId="12712" xr:uid="{00000000-0005-0000-0000-0000932E0000}"/>
    <cellStyle name="Normal 18 7 2 5" xfId="12713" xr:uid="{00000000-0005-0000-0000-0000942E0000}"/>
    <cellStyle name="Normal 18 7 2 6" xfId="12714" xr:uid="{00000000-0005-0000-0000-0000952E0000}"/>
    <cellStyle name="Normal 18 7 3" xfId="12715" xr:uid="{00000000-0005-0000-0000-0000962E0000}"/>
    <cellStyle name="Normal 18 7 3 2" xfId="12716" xr:uid="{00000000-0005-0000-0000-0000972E0000}"/>
    <cellStyle name="Normal 18 7 3 3" xfId="12717" xr:uid="{00000000-0005-0000-0000-0000982E0000}"/>
    <cellStyle name="Normal 18 7 3 4" xfId="12718" xr:uid="{00000000-0005-0000-0000-0000992E0000}"/>
    <cellStyle name="Normal 18 7 3 5" xfId="12719" xr:uid="{00000000-0005-0000-0000-00009A2E0000}"/>
    <cellStyle name="Normal 18 7 3 6" xfId="12720" xr:uid="{00000000-0005-0000-0000-00009B2E0000}"/>
    <cellStyle name="Normal 18 7 4" xfId="12721" xr:uid="{00000000-0005-0000-0000-00009C2E0000}"/>
    <cellStyle name="Normal 18 7 4 2" xfId="12722" xr:uid="{00000000-0005-0000-0000-00009D2E0000}"/>
    <cellStyle name="Normal 18 7 4 3" xfId="12723" xr:uid="{00000000-0005-0000-0000-00009E2E0000}"/>
    <cellStyle name="Normal 18 7 4 4" xfId="12724" xr:uid="{00000000-0005-0000-0000-00009F2E0000}"/>
    <cellStyle name="Normal 18 7 4 5" xfId="12725" xr:uid="{00000000-0005-0000-0000-0000A02E0000}"/>
    <cellStyle name="Normal 18 7 4 6" xfId="12726" xr:uid="{00000000-0005-0000-0000-0000A12E0000}"/>
    <cellStyle name="Normal 18 7 5" xfId="12727" xr:uid="{00000000-0005-0000-0000-0000A22E0000}"/>
    <cellStyle name="Normal 18 7 5 2" xfId="12728" xr:uid="{00000000-0005-0000-0000-0000A32E0000}"/>
    <cellStyle name="Normal 18 7 5 3" xfId="12729" xr:uid="{00000000-0005-0000-0000-0000A42E0000}"/>
    <cellStyle name="Normal 18 7 5 4" xfId="12730" xr:uid="{00000000-0005-0000-0000-0000A52E0000}"/>
    <cellStyle name="Normal 18 7 5 5" xfId="12731" xr:uid="{00000000-0005-0000-0000-0000A62E0000}"/>
    <cellStyle name="Normal 18 7 5 6" xfId="12732" xr:uid="{00000000-0005-0000-0000-0000A72E0000}"/>
    <cellStyle name="Normal 18 7 6" xfId="12733" xr:uid="{00000000-0005-0000-0000-0000A82E0000}"/>
    <cellStyle name="Normal 18 7 6 2" xfId="12734" xr:uid="{00000000-0005-0000-0000-0000A92E0000}"/>
    <cellStyle name="Normal 18 7 6 3" xfId="12735" xr:uid="{00000000-0005-0000-0000-0000AA2E0000}"/>
    <cellStyle name="Normal 18 7 6 4" xfId="12736" xr:uid="{00000000-0005-0000-0000-0000AB2E0000}"/>
    <cellStyle name="Normal 18 7 6 5" xfId="12737" xr:uid="{00000000-0005-0000-0000-0000AC2E0000}"/>
    <cellStyle name="Normal 18 7 6 6" xfId="12738" xr:uid="{00000000-0005-0000-0000-0000AD2E0000}"/>
    <cellStyle name="Normal 18 7 7" xfId="12739" xr:uid="{00000000-0005-0000-0000-0000AE2E0000}"/>
    <cellStyle name="Normal 18 7 7 2" xfId="12740" xr:uid="{00000000-0005-0000-0000-0000AF2E0000}"/>
    <cellStyle name="Normal 18 7 7 3" xfId="12741" xr:uid="{00000000-0005-0000-0000-0000B02E0000}"/>
    <cellStyle name="Normal 18 7 7 4" xfId="12742" xr:uid="{00000000-0005-0000-0000-0000B12E0000}"/>
    <cellStyle name="Normal 18 7 7 5" xfId="12743" xr:uid="{00000000-0005-0000-0000-0000B22E0000}"/>
    <cellStyle name="Normal 18 7 7 6" xfId="12744" xr:uid="{00000000-0005-0000-0000-0000B32E0000}"/>
    <cellStyle name="Normal 18 7 8" xfId="12745" xr:uid="{00000000-0005-0000-0000-0000B42E0000}"/>
    <cellStyle name="Normal 18 7 8 2" xfId="12746" xr:uid="{00000000-0005-0000-0000-0000B52E0000}"/>
    <cellStyle name="Normal 18 7 8 3" xfId="12747" xr:uid="{00000000-0005-0000-0000-0000B62E0000}"/>
    <cellStyle name="Normal 18 7 8 4" xfId="12748" xr:uid="{00000000-0005-0000-0000-0000B72E0000}"/>
    <cellStyle name="Normal 18 7 8 5" xfId="12749" xr:uid="{00000000-0005-0000-0000-0000B82E0000}"/>
    <cellStyle name="Normal 18 7 8 6" xfId="12750" xr:uid="{00000000-0005-0000-0000-0000B92E0000}"/>
    <cellStyle name="Normal 18 7 9" xfId="12751" xr:uid="{00000000-0005-0000-0000-0000BA2E0000}"/>
    <cellStyle name="Normal 18 8" xfId="12752" xr:uid="{00000000-0005-0000-0000-0000BB2E0000}"/>
    <cellStyle name="Normal 18 8 10" xfId="12753" xr:uid="{00000000-0005-0000-0000-0000BC2E0000}"/>
    <cellStyle name="Normal 18 8 11" xfId="12754" xr:uid="{00000000-0005-0000-0000-0000BD2E0000}"/>
    <cellStyle name="Normal 18 8 12" xfId="12755" xr:uid="{00000000-0005-0000-0000-0000BE2E0000}"/>
    <cellStyle name="Normal 18 8 13" xfId="12756" xr:uid="{00000000-0005-0000-0000-0000BF2E0000}"/>
    <cellStyle name="Normal 18 8 2" xfId="12757" xr:uid="{00000000-0005-0000-0000-0000C02E0000}"/>
    <cellStyle name="Normal 18 8 2 2" xfId="12758" xr:uid="{00000000-0005-0000-0000-0000C12E0000}"/>
    <cellStyle name="Normal 18 8 2 3" xfId="12759" xr:uid="{00000000-0005-0000-0000-0000C22E0000}"/>
    <cellStyle name="Normal 18 8 2 4" xfId="12760" xr:uid="{00000000-0005-0000-0000-0000C32E0000}"/>
    <cellStyle name="Normal 18 8 2 5" xfId="12761" xr:uid="{00000000-0005-0000-0000-0000C42E0000}"/>
    <cellStyle name="Normal 18 8 2 6" xfId="12762" xr:uid="{00000000-0005-0000-0000-0000C52E0000}"/>
    <cellStyle name="Normal 18 8 3" xfId="12763" xr:uid="{00000000-0005-0000-0000-0000C62E0000}"/>
    <cellStyle name="Normal 18 8 3 2" xfId="12764" xr:uid="{00000000-0005-0000-0000-0000C72E0000}"/>
    <cellStyle name="Normal 18 8 3 3" xfId="12765" xr:uid="{00000000-0005-0000-0000-0000C82E0000}"/>
    <cellStyle name="Normal 18 8 3 4" xfId="12766" xr:uid="{00000000-0005-0000-0000-0000C92E0000}"/>
    <cellStyle name="Normal 18 8 3 5" xfId="12767" xr:uid="{00000000-0005-0000-0000-0000CA2E0000}"/>
    <cellStyle name="Normal 18 8 3 6" xfId="12768" xr:uid="{00000000-0005-0000-0000-0000CB2E0000}"/>
    <cellStyle name="Normal 18 8 4" xfId="12769" xr:uid="{00000000-0005-0000-0000-0000CC2E0000}"/>
    <cellStyle name="Normal 18 8 4 2" xfId="12770" xr:uid="{00000000-0005-0000-0000-0000CD2E0000}"/>
    <cellStyle name="Normal 18 8 4 3" xfId="12771" xr:uid="{00000000-0005-0000-0000-0000CE2E0000}"/>
    <cellStyle name="Normal 18 8 4 4" xfId="12772" xr:uid="{00000000-0005-0000-0000-0000CF2E0000}"/>
    <cellStyle name="Normal 18 8 4 5" xfId="12773" xr:uid="{00000000-0005-0000-0000-0000D02E0000}"/>
    <cellStyle name="Normal 18 8 4 6" xfId="12774" xr:uid="{00000000-0005-0000-0000-0000D12E0000}"/>
    <cellStyle name="Normal 18 8 5" xfId="12775" xr:uid="{00000000-0005-0000-0000-0000D22E0000}"/>
    <cellStyle name="Normal 18 8 5 2" xfId="12776" xr:uid="{00000000-0005-0000-0000-0000D32E0000}"/>
    <cellStyle name="Normal 18 8 5 3" xfId="12777" xr:uid="{00000000-0005-0000-0000-0000D42E0000}"/>
    <cellStyle name="Normal 18 8 5 4" xfId="12778" xr:uid="{00000000-0005-0000-0000-0000D52E0000}"/>
    <cellStyle name="Normal 18 8 5 5" xfId="12779" xr:uid="{00000000-0005-0000-0000-0000D62E0000}"/>
    <cellStyle name="Normal 18 8 5 6" xfId="12780" xr:uid="{00000000-0005-0000-0000-0000D72E0000}"/>
    <cellStyle name="Normal 18 8 6" xfId="12781" xr:uid="{00000000-0005-0000-0000-0000D82E0000}"/>
    <cellStyle name="Normal 18 8 6 2" xfId="12782" xr:uid="{00000000-0005-0000-0000-0000D92E0000}"/>
    <cellStyle name="Normal 18 8 6 3" xfId="12783" xr:uid="{00000000-0005-0000-0000-0000DA2E0000}"/>
    <cellStyle name="Normal 18 8 6 4" xfId="12784" xr:uid="{00000000-0005-0000-0000-0000DB2E0000}"/>
    <cellStyle name="Normal 18 8 6 5" xfId="12785" xr:uid="{00000000-0005-0000-0000-0000DC2E0000}"/>
    <cellStyle name="Normal 18 8 6 6" xfId="12786" xr:uid="{00000000-0005-0000-0000-0000DD2E0000}"/>
    <cellStyle name="Normal 18 8 7" xfId="12787" xr:uid="{00000000-0005-0000-0000-0000DE2E0000}"/>
    <cellStyle name="Normal 18 8 7 2" xfId="12788" xr:uid="{00000000-0005-0000-0000-0000DF2E0000}"/>
    <cellStyle name="Normal 18 8 7 3" xfId="12789" xr:uid="{00000000-0005-0000-0000-0000E02E0000}"/>
    <cellStyle name="Normal 18 8 7 4" xfId="12790" xr:uid="{00000000-0005-0000-0000-0000E12E0000}"/>
    <cellStyle name="Normal 18 8 7 5" xfId="12791" xr:uid="{00000000-0005-0000-0000-0000E22E0000}"/>
    <cellStyle name="Normal 18 8 7 6" xfId="12792" xr:uid="{00000000-0005-0000-0000-0000E32E0000}"/>
    <cellStyle name="Normal 18 8 8" xfId="12793" xr:uid="{00000000-0005-0000-0000-0000E42E0000}"/>
    <cellStyle name="Normal 18 8 8 2" xfId="12794" xr:uid="{00000000-0005-0000-0000-0000E52E0000}"/>
    <cellStyle name="Normal 18 8 8 3" xfId="12795" xr:uid="{00000000-0005-0000-0000-0000E62E0000}"/>
    <cellStyle name="Normal 18 8 8 4" xfId="12796" xr:uid="{00000000-0005-0000-0000-0000E72E0000}"/>
    <cellStyle name="Normal 18 8 8 5" xfId="12797" xr:uid="{00000000-0005-0000-0000-0000E82E0000}"/>
    <cellStyle name="Normal 18 8 8 6" xfId="12798" xr:uid="{00000000-0005-0000-0000-0000E92E0000}"/>
    <cellStyle name="Normal 18 8 9" xfId="12799" xr:uid="{00000000-0005-0000-0000-0000EA2E0000}"/>
    <cellStyle name="Normal 18 9" xfId="12800" xr:uid="{00000000-0005-0000-0000-0000EB2E0000}"/>
    <cellStyle name="Normal 18 9 10" xfId="12801" xr:uid="{00000000-0005-0000-0000-0000EC2E0000}"/>
    <cellStyle name="Normal 18 9 11" xfId="12802" xr:uid="{00000000-0005-0000-0000-0000ED2E0000}"/>
    <cellStyle name="Normal 18 9 12" xfId="12803" xr:uid="{00000000-0005-0000-0000-0000EE2E0000}"/>
    <cellStyle name="Normal 18 9 13" xfId="12804" xr:uid="{00000000-0005-0000-0000-0000EF2E0000}"/>
    <cellStyle name="Normal 18 9 2" xfId="12805" xr:uid="{00000000-0005-0000-0000-0000F02E0000}"/>
    <cellStyle name="Normal 18 9 2 2" xfId="12806" xr:uid="{00000000-0005-0000-0000-0000F12E0000}"/>
    <cellStyle name="Normal 18 9 2 3" xfId="12807" xr:uid="{00000000-0005-0000-0000-0000F22E0000}"/>
    <cellStyle name="Normal 18 9 2 4" xfId="12808" xr:uid="{00000000-0005-0000-0000-0000F32E0000}"/>
    <cellStyle name="Normal 18 9 2 5" xfId="12809" xr:uid="{00000000-0005-0000-0000-0000F42E0000}"/>
    <cellStyle name="Normal 18 9 2 6" xfId="12810" xr:uid="{00000000-0005-0000-0000-0000F52E0000}"/>
    <cellStyle name="Normal 18 9 3" xfId="12811" xr:uid="{00000000-0005-0000-0000-0000F62E0000}"/>
    <cellStyle name="Normal 18 9 3 2" xfId="12812" xr:uid="{00000000-0005-0000-0000-0000F72E0000}"/>
    <cellStyle name="Normal 18 9 3 3" xfId="12813" xr:uid="{00000000-0005-0000-0000-0000F82E0000}"/>
    <cellStyle name="Normal 18 9 3 4" xfId="12814" xr:uid="{00000000-0005-0000-0000-0000F92E0000}"/>
    <cellStyle name="Normal 18 9 3 5" xfId="12815" xr:uid="{00000000-0005-0000-0000-0000FA2E0000}"/>
    <cellStyle name="Normal 18 9 3 6" xfId="12816" xr:uid="{00000000-0005-0000-0000-0000FB2E0000}"/>
    <cellStyle name="Normal 18 9 4" xfId="12817" xr:uid="{00000000-0005-0000-0000-0000FC2E0000}"/>
    <cellStyle name="Normal 18 9 4 2" xfId="12818" xr:uid="{00000000-0005-0000-0000-0000FD2E0000}"/>
    <cellStyle name="Normal 18 9 4 3" xfId="12819" xr:uid="{00000000-0005-0000-0000-0000FE2E0000}"/>
    <cellStyle name="Normal 18 9 4 4" xfId="12820" xr:uid="{00000000-0005-0000-0000-0000FF2E0000}"/>
    <cellStyle name="Normal 18 9 4 5" xfId="12821" xr:uid="{00000000-0005-0000-0000-0000002F0000}"/>
    <cellStyle name="Normal 18 9 4 6" xfId="12822" xr:uid="{00000000-0005-0000-0000-0000012F0000}"/>
    <cellStyle name="Normal 18 9 5" xfId="12823" xr:uid="{00000000-0005-0000-0000-0000022F0000}"/>
    <cellStyle name="Normal 18 9 5 2" xfId="12824" xr:uid="{00000000-0005-0000-0000-0000032F0000}"/>
    <cellStyle name="Normal 18 9 5 3" xfId="12825" xr:uid="{00000000-0005-0000-0000-0000042F0000}"/>
    <cellStyle name="Normal 18 9 5 4" xfId="12826" xr:uid="{00000000-0005-0000-0000-0000052F0000}"/>
    <cellStyle name="Normal 18 9 5 5" xfId="12827" xr:uid="{00000000-0005-0000-0000-0000062F0000}"/>
    <cellStyle name="Normal 18 9 5 6" xfId="12828" xr:uid="{00000000-0005-0000-0000-0000072F0000}"/>
    <cellStyle name="Normal 18 9 6" xfId="12829" xr:uid="{00000000-0005-0000-0000-0000082F0000}"/>
    <cellStyle name="Normal 18 9 6 2" xfId="12830" xr:uid="{00000000-0005-0000-0000-0000092F0000}"/>
    <cellStyle name="Normal 18 9 6 3" xfId="12831" xr:uid="{00000000-0005-0000-0000-00000A2F0000}"/>
    <cellStyle name="Normal 18 9 6 4" xfId="12832" xr:uid="{00000000-0005-0000-0000-00000B2F0000}"/>
    <cellStyle name="Normal 18 9 6 5" xfId="12833" xr:uid="{00000000-0005-0000-0000-00000C2F0000}"/>
    <cellStyle name="Normal 18 9 6 6" xfId="12834" xr:uid="{00000000-0005-0000-0000-00000D2F0000}"/>
    <cellStyle name="Normal 18 9 7" xfId="12835" xr:uid="{00000000-0005-0000-0000-00000E2F0000}"/>
    <cellStyle name="Normal 18 9 7 2" xfId="12836" xr:uid="{00000000-0005-0000-0000-00000F2F0000}"/>
    <cellStyle name="Normal 18 9 7 3" xfId="12837" xr:uid="{00000000-0005-0000-0000-0000102F0000}"/>
    <cellStyle name="Normal 18 9 7 4" xfId="12838" xr:uid="{00000000-0005-0000-0000-0000112F0000}"/>
    <cellStyle name="Normal 18 9 7 5" xfId="12839" xr:uid="{00000000-0005-0000-0000-0000122F0000}"/>
    <cellStyle name="Normal 18 9 7 6" xfId="12840" xr:uid="{00000000-0005-0000-0000-0000132F0000}"/>
    <cellStyle name="Normal 18 9 8" xfId="12841" xr:uid="{00000000-0005-0000-0000-0000142F0000}"/>
    <cellStyle name="Normal 18 9 8 2" xfId="12842" xr:uid="{00000000-0005-0000-0000-0000152F0000}"/>
    <cellStyle name="Normal 18 9 8 3" xfId="12843" xr:uid="{00000000-0005-0000-0000-0000162F0000}"/>
    <cellStyle name="Normal 18 9 8 4" xfId="12844" xr:uid="{00000000-0005-0000-0000-0000172F0000}"/>
    <cellStyle name="Normal 18 9 8 5" xfId="12845" xr:uid="{00000000-0005-0000-0000-0000182F0000}"/>
    <cellStyle name="Normal 18 9 8 6" xfId="12846" xr:uid="{00000000-0005-0000-0000-0000192F0000}"/>
    <cellStyle name="Normal 18 9 9" xfId="12847" xr:uid="{00000000-0005-0000-0000-00001A2F0000}"/>
    <cellStyle name="Normal 180" xfId="43430" xr:uid="{EDECA135-A908-4AC4-8D88-9A5BDA3AD76A}"/>
    <cellStyle name="Normal 181" xfId="43431" xr:uid="{F73DD664-9AEA-4D5D-9B81-29B7319A20EE}"/>
    <cellStyle name="Normal 182" xfId="43432" xr:uid="{A93E981B-8558-4966-8533-56CB6D280298}"/>
    <cellStyle name="Normal 183" xfId="43433" xr:uid="{481C5B0B-8FBD-4590-A8BA-B827B9EE18C9}"/>
    <cellStyle name="Normal 183 2" xfId="43438" xr:uid="{5F7BD199-805C-4206-B1C6-63DAD76E31BA}"/>
    <cellStyle name="Normal 184" xfId="43440" xr:uid="{999B44B5-142D-4E19-9A57-33D5B2B1AB39}"/>
    <cellStyle name="Normal 19" xfId="1051" xr:uid="{00000000-0005-0000-0000-00001B2F0000}"/>
    <cellStyle name="Normal 19 10" xfId="12848" xr:uid="{00000000-0005-0000-0000-00001C2F0000}"/>
    <cellStyle name="Normal 19 10 10" xfId="12849" xr:uid="{00000000-0005-0000-0000-00001D2F0000}"/>
    <cellStyle name="Normal 19 10 11" xfId="12850" xr:uid="{00000000-0005-0000-0000-00001E2F0000}"/>
    <cellStyle name="Normal 19 10 12" xfId="12851" xr:uid="{00000000-0005-0000-0000-00001F2F0000}"/>
    <cellStyle name="Normal 19 10 13" xfId="12852" xr:uid="{00000000-0005-0000-0000-0000202F0000}"/>
    <cellStyle name="Normal 19 10 2" xfId="12853" xr:uid="{00000000-0005-0000-0000-0000212F0000}"/>
    <cellStyle name="Normal 19 10 2 2" xfId="12854" xr:uid="{00000000-0005-0000-0000-0000222F0000}"/>
    <cellStyle name="Normal 19 10 2 3" xfId="12855" xr:uid="{00000000-0005-0000-0000-0000232F0000}"/>
    <cellStyle name="Normal 19 10 2 4" xfId="12856" xr:uid="{00000000-0005-0000-0000-0000242F0000}"/>
    <cellStyle name="Normal 19 10 2 5" xfId="12857" xr:uid="{00000000-0005-0000-0000-0000252F0000}"/>
    <cellStyle name="Normal 19 10 2 6" xfId="12858" xr:uid="{00000000-0005-0000-0000-0000262F0000}"/>
    <cellStyle name="Normal 19 10 3" xfId="12859" xr:uid="{00000000-0005-0000-0000-0000272F0000}"/>
    <cellStyle name="Normal 19 10 3 2" xfId="12860" xr:uid="{00000000-0005-0000-0000-0000282F0000}"/>
    <cellStyle name="Normal 19 10 3 3" xfId="12861" xr:uid="{00000000-0005-0000-0000-0000292F0000}"/>
    <cellStyle name="Normal 19 10 3 4" xfId="12862" xr:uid="{00000000-0005-0000-0000-00002A2F0000}"/>
    <cellStyle name="Normal 19 10 3 5" xfId="12863" xr:uid="{00000000-0005-0000-0000-00002B2F0000}"/>
    <cellStyle name="Normal 19 10 3 6" xfId="12864" xr:uid="{00000000-0005-0000-0000-00002C2F0000}"/>
    <cellStyle name="Normal 19 10 4" xfId="12865" xr:uid="{00000000-0005-0000-0000-00002D2F0000}"/>
    <cellStyle name="Normal 19 10 4 2" xfId="12866" xr:uid="{00000000-0005-0000-0000-00002E2F0000}"/>
    <cellStyle name="Normal 19 10 4 3" xfId="12867" xr:uid="{00000000-0005-0000-0000-00002F2F0000}"/>
    <cellStyle name="Normal 19 10 4 4" xfId="12868" xr:uid="{00000000-0005-0000-0000-0000302F0000}"/>
    <cellStyle name="Normal 19 10 4 5" xfId="12869" xr:uid="{00000000-0005-0000-0000-0000312F0000}"/>
    <cellStyle name="Normal 19 10 4 6" xfId="12870" xr:uid="{00000000-0005-0000-0000-0000322F0000}"/>
    <cellStyle name="Normal 19 10 5" xfId="12871" xr:uid="{00000000-0005-0000-0000-0000332F0000}"/>
    <cellStyle name="Normal 19 10 5 2" xfId="12872" xr:uid="{00000000-0005-0000-0000-0000342F0000}"/>
    <cellStyle name="Normal 19 10 5 3" xfId="12873" xr:uid="{00000000-0005-0000-0000-0000352F0000}"/>
    <cellStyle name="Normal 19 10 5 4" xfId="12874" xr:uid="{00000000-0005-0000-0000-0000362F0000}"/>
    <cellStyle name="Normal 19 10 5 5" xfId="12875" xr:uid="{00000000-0005-0000-0000-0000372F0000}"/>
    <cellStyle name="Normal 19 10 5 6" xfId="12876" xr:uid="{00000000-0005-0000-0000-0000382F0000}"/>
    <cellStyle name="Normal 19 10 6" xfId="12877" xr:uid="{00000000-0005-0000-0000-0000392F0000}"/>
    <cellStyle name="Normal 19 10 6 2" xfId="12878" xr:uid="{00000000-0005-0000-0000-00003A2F0000}"/>
    <cellStyle name="Normal 19 10 6 3" xfId="12879" xr:uid="{00000000-0005-0000-0000-00003B2F0000}"/>
    <cellStyle name="Normal 19 10 6 4" xfId="12880" xr:uid="{00000000-0005-0000-0000-00003C2F0000}"/>
    <cellStyle name="Normal 19 10 6 5" xfId="12881" xr:uid="{00000000-0005-0000-0000-00003D2F0000}"/>
    <cellStyle name="Normal 19 10 6 6" xfId="12882" xr:uid="{00000000-0005-0000-0000-00003E2F0000}"/>
    <cellStyle name="Normal 19 10 7" xfId="12883" xr:uid="{00000000-0005-0000-0000-00003F2F0000}"/>
    <cellStyle name="Normal 19 10 7 2" xfId="12884" xr:uid="{00000000-0005-0000-0000-0000402F0000}"/>
    <cellStyle name="Normal 19 10 7 3" xfId="12885" xr:uid="{00000000-0005-0000-0000-0000412F0000}"/>
    <cellStyle name="Normal 19 10 7 4" xfId="12886" xr:uid="{00000000-0005-0000-0000-0000422F0000}"/>
    <cellStyle name="Normal 19 10 7 5" xfId="12887" xr:uid="{00000000-0005-0000-0000-0000432F0000}"/>
    <cellStyle name="Normal 19 10 7 6" xfId="12888" xr:uid="{00000000-0005-0000-0000-0000442F0000}"/>
    <cellStyle name="Normal 19 10 8" xfId="12889" xr:uid="{00000000-0005-0000-0000-0000452F0000}"/>
    <cellStyle name="Normal 19 10 8 2" xfId="12890" xr:uid="{00000000-0005-0000-0000-0000462F0000}"/>
    <cellStyle name="Normal 19 10 8 3" xfId="12891" xr:uid="{00000000-0005-0000-0000-0000472F0000}"/>
    <cellStyle name="Normal 19 10 8 4" xfId="12892" xr:uid="{00000000-0005-0000-0000-0000482F0000}"/>
    <cellStyle name="Normal 19 10 8 5" xfId="12893" xr:uid="{00000000-0005-0000-0000-0000492F0000}"/>
    <cellStyle name="Normal 19 10 8 6" xfId="12894" xr:uid="{00000000-0005-0000-0000-00004A2F0000}"/>
    <cellStyle name="Normal 19 10 9" xfId="12895" xr:uid="{00000000-0005-0000-0000-00004B2F0000}"/>
    <cellStyle name="Normal 19 11" xfId="12896" xr:uid="{00000000-0005-0000-0000-00004C2F0000}"/>
    <cellStyle name="Normal 19 11 10" xfId="12897" xr:uid="{00000000-0005-0000-0000-00004D2F0000}"/>
    <cellStyle name="Normal 19 11 11" xfId="12898" xr:uid="{00000000-0005-0000-0000-00004E2F0000}"/>
    <cellStyle name="Normal 19 11 12" xfId="12899" xr:uid="{00000000-0005-0000-0000-00004F2F0000}"/>
    <cellStyle name="Normal 19 11 13" xfId="12900" xr:uid="{00000000-0005-0000-0000-0000502F0000}"/>
    <cellStyle name="Normal 19 11 2" xfId="12901" xr:uid="{00000000-0005-0000-0000-0000512F0000}"/>
    <cellStyle name="Normal 19 11 2 2" xfId="12902" xr:uid="{00000000-0005-0000-0000-0000522F0000}"/>
    <cellStyle name="Normal 19 11 2 3" xfId="12903" xr:uid="{00000000-0005-0000-0000-0000532F0000}"/>
    <cellStyle name="Normal 19 11 2 4" xfId="12904" xr:uid="{00000000-0005-0000-0000-0000542F0000}"/>
    <cellStyle name="Normal 19 11 2 5" xfId="12905" xr:uid="{00000000-0005-0000-0000-0000552F0000}"/>
    <cellStyle name="Normal 19 11 2 6" xfId="12906" xr:uid="{00000000-0005-0000-0000-0000562F0000}"/>
    <cellStyle name="Normal 19 11 3" xfId="12907" xr:uid="{00000000-0005-0000-0000-0000572F0000}"/>
    <cellStyle name="Normal 19 11 3 2" xfId="12908" xr:uid="{00000000-0005-0000-0000-0000582F0000}"/>
    <cellStyle name="Normal 19 11 3 3" xfId="12909" xr:uid="{00000000-0005-0000-0000-0000592F0000}"/>
    <cellStyle name="Normal 19 11 3 4" xfId="12910" xr:uid="{00000000-0005-0000-0000-00005A2F0000}"/>
    <cellStyle name="Normal 19 11 3 5" xfId="12911" xr:uid="{00000000-0005-0000-0000-00005B2F0000}"/>
    <cellStyle name="Normal 19 11 3 6" xfId="12912" xr:uid="{00000000-0005-0000-0000-00005C2F0000}"/>
    <cellStyle name="Normal 19 11 4" xfId="12913" xr:uid="{00000000-0005-0000-0000-00005D2F0000}"/>
    <cellStyle name="Normal 19 11 4 2" xfId="12914" xr:uid="{00000000-0005-0000-0000-00005E2F0000}"/>
    <cellStyle name="Normal 19 11 4 3" xfId="12915" xr:uid="{00000000-0005-0000-0000-00005F2F0000}"/>
    <cellStyle name="Normal 19 11 4 4" xfId="12916" xr:uid="{00000000-0005-0000-0000-0000602F0000}"/>
    <cellStyle name="Normal 19 11 4 5" xfId="12917" xr:uid="{00000000-0005-0000-0000-0000612F0000}"/>
    <cellStyle name="Normal 19 11 4 6" xfId="12918" xr:uid="{00000000-0005-0000-0000-0000622F0000}"/>
    <cellStyle name="Normal 19 11 5" xfId="12919" xr:uid="{00000000-0005-0000-0000-0000632F0000}"/>
    <cellStyle name="Normal 19 11 5 2" xfId="12920" xr:uid="{00000000-0005-0000-0000-0000642F0000}"/>
    <cellStyle name="Normal 19 11 5 3" xfId="12921" xr:uid="{00000000-0005-0000-0000-0000652F0000}"/>
    <cellStyle name="Normal 19 11 5 4" xfId="12922" xr:uid="{00000000-0005-0000-0000-0000662F0000}"/>
    <cellStyle name="Normal 19 11 5 5" xfId="12923" xr:uid="{00000000-0005-0000-0000-0000672F0000}"/>
    <cellStyle name="Normal 19 11 5 6" xfId="12924" xr:uid="{00000000-0005-0000-0000-0000682F0000}"/>
    <cellStyle name="Normal 19 11 6" xfId="12925" xr:uid="{00000000-0005-0000-0000-0000692F0000}"/>
    <cellStyle name="Normal 19 11 6 2" xfId="12926" xr:uid="{00000000-0005-0000-0000-00006A2F0000}"/>
    <cellStyle name="Normal 19 11 6 3" xfId="12927" xr:uid="{00000000-0005-0000-0000-00006B2F0000}"/>
    <cellStyle name="Normal 19 11 6 4" xfId="12928" xr:uid="{00000000-0005-0000-0000-00006C2F0000}"/>
    <cellStyle name="Normal 19 11 6 5" xfId="12929" xr:uid="{00000000-0005-0000-0000-00006D2F0000}"/>
    <cellStyle name="Normal 19 11 6 6" xfId="12930" xr:uid="{00000000-0005-0000-0000-00006E2F0000}"/>
    <cellStyle name="Normal 19 11 7" xfId="12931" xr:uid="{00000000-0005-0000-0000-00006F2F0000}"/>
    <cellStyle name="Normal 19 11 7 2" xfId="12932" xr:uid="{00000000-0005-0000-0000-0000702F0000}"/>
    <cellStyle name="Normal 19 11 7 3" xfId="12933" xr:uid="{00000000-0005-0000-0000-0000712F0000}"/>
    <cellStyle name="Normal 19 11 7 4" xfId="12934" xr:uid="{00000000-0005-0000-0000-0000722F0000}"/>
    <cellStyle name="Normal 19 11 7 5" xfId="12935" xr:uid="{00000000-0005-0000-0000-0000732F0000}"/>
    <cellStyle name="Normal 19 11 7 6" xfId="12936" xr:uid="{00000000-0005-0000-0000-0000742F0000}"/>
    <cellStyle name="Normal 19 11 8" xfId="12937" xr:uid="{00000000-0005-0000-0000-0000752F0000}"/>
    <cellStyle name="Normal 19 11 8 2" xfId="12938" xr:uid="{00000000-0005-0000-0000-0000762F0000}"/>
    <cellStyle name="Normal 19 11 8 3" xfId="12939" xr:uid="{00000000-0005-0000-0000-0000772F0000}"/>
    <cellStyle name="Normal 19 11 8 4" xfId="12940" xr:uid="{00000000-0005-0000-0000-0000782F0000}"/>
    <cellStyle name="Normal 19 11 8 5" xfId="12941" xr:uid="{00000000-0005-0000-0000-0000792F0000}"/>
    <cellStyle name="Normal 19 11 8 6" xfId="12942" xr:uid="{00000000-0005-0000-0000-00007A2F0000}"/>
    <cellStyle name="Normal 19 11 9" xfId="12943" xr:uid="{00000000-0005-0000-0000-00007B2F0000}"/>
    <cellStyle name="Normal 19 12" xfId="12944" xr:uid="{00000000-0005-0000-0000-00007C2F0000}"/>
    <cellStyle name="Normal 19 12 10" xfId="12945" xr:uid="{00000000-0005-0000-0000-00007D2F0000}"/>
    <cellStyle name="Normal 19 12 11" xfId="12946" xr:uid="{00000000-0005-0000-0000-00007E2F0000}"/>
    <cellStyle name="Normal 19 12 12" xfId="12947" xr:uid="{00000000-0005-0000-0000-00007F2F0000}"/>
    <cellStyle name="Normal 19 12 13" xfId="12948" xr:uid="{00000000-0005-0000-0000-0000802F0000}"/>
    <cellStyle name="Normal 19 12 2" xfId="12949" xr:uid="{00000000-0005-0000-0000-0000812F0000}"/>
    <cellStyle name="Normal 19 12 2 2" xfId="12950" xr:uid="{00000000-0005-0000-0000-0000822F0000}"/>
    <cellStyle name="Normal 19 12 2 3" xfId="12951" xr:uid="{00000000-0005-0000-0000-0000832F0000}"/>
    <cellStyle name="Normal 19 12 2 4" xfId="12952" xr:uid="{00000000-0005-0000-0000-0000842F0000}"/>
    <cellStyle name="Normal 19 12 2 5" xfId="12953" xr:uid="{00000000-0005-0000-0000-0000852F0000}"/>
    <cellStyle name="Normal 19 12 2 6" xfId="12954" xr:uid="{00000000-0005-0000-0000-0000862F0000}"/>
    <cellStyle name="Normal 19 12 3" xfId="12955" xr:uid="{00000000-0005-0000-0000-0000872F0000}"/>
    <cellStyle name="Normal 19 12 3 2" xfId="12956" xr:uid="{00000000-0005-0000-0000-0000882F0000}"/>
    <cellStyle name="Normal 19 12 3 3" xfId="12957" xr:uid="{00000000-0005-0000-0000-0000892F0000}"/>
    <cellStyle name="Normal 19 12 3 4" xfId="12958" xr:uid="{00000000-0005-0000-0000-00008A2F0000}"/>
    <cellStyle name="Normal 19 12 3 5" xfId="12959" xr:uid="{00000000-0005-0000-0000-00008B2F0000}"/>
    <cellStyle name="Normal 19 12 3 6" xfId="12960" xr:uid="{00000000-0005-0000-0000-00008C2F0000}"/>
    <cellStyle name="Normal 19 12 4" xfId="12961" xr:uid="{00000000-0005-0000-0000-00008D2F0000}"/>
    <cellStyle name="Normal 19 12 4 2" xfId="12962" xr:uid="{00000000-0005-0000-0000-00008E2F0000}"/>
    <cellStyle name="Normal 19 12 4 3" xfId="12963" xr:uid="{00000000-0005-0000-0000-00008F2F0000}"/>
    <cellStyle name="Normal 19 12 4 4" xfId="12964" xr:uid="{00000000-0005-0000-0000-0000902F0000}"/>
    <cellStyle name="Normal 19 12 4 5" xfId="12965" xr:uid="{00000000-0005-0000-0000-0000912F0000}"/>
    <cellStyle name="Normal 19 12 4 6" xfId="12966" xr:uid="{00000000-0005-0000-0000-0000922F0000}"/>
    <cellStyle name="Normal 19 12 5" xfId="12967" xr:uid="{00000000-0005-0000-0000-0000932F0000}"/>
    <cellStyle name="Normal 19 12 5 2" xfId="12968" xr:uid="{00000000-0005-0000-0000-0000942F0000}"/>
    <cellStyle name="Normal 19 12 5 3" xfId="12969" xr:uid="{00000000-0005-0000-0000-0000952F0000}"/>
    <cellStyle name="Normal 19 12 5 4" xfId="12970" xr:uid="{00000000-0005-0000-0000-0000962F0000}"/>
    <cellStyle name="Normal 19 12 5 5" xfId="12971" xr:uid="{00000000-0005-0000-0000-0000972F0000}"/>
    <cellStyle name="Normal 19 12 5 6" xfId="12972" xr:uid="{00000000-0005-0000-0000-0000982F0000}"/>
    <cellStyle name="Normal 19 12 6" xfId="12973" xr:uid="{00000000-0005-0000-0000-0000992F0000}"/>
    <cellStyle name="Normal 19 12 6 2" xfId="12974" xr:uid="{00000000-0005-0000-0000-00009A2F0000}"/>
    <cellStyle name="Normal 19 12 6 3" xfId="12975" xr:uid="{00000000-0005-0000-0000-00009B2F0000}"/>
    <cellStyle name="Normal 19 12 6 4" xfId="12976" xr:uid="{00000000-0005-0000-0000-00009C2F0000}"/>
    <cellStyle name="Normal 19 12 6 5" xfId="12977" xr:uid="{00000000-0005-0000-0000-00009D2F0000}"/>
    <cellStyle name="Normal 19 12 6 6" xfId="12978" xr:uid="{00000000-0005-0000-0000-00009E2F0000}"/>
    <cellStyle name="Normal 19 12 7" xfId="12979" xr:uid="{00000000-0005-0000-0000-00009F2F0000}"/>
    <cellStyle name="Normal 19 12 7 2" xfId="12980" xr:uid="{00000000-0005-0000-0000-0000A02F0000}"/>
    <cellStyle name="Normal 19 12 7 3" xfId="12981" xr:uid="{00000000-0005-0000-0000-0000A12F0000}"/>
    <cellStyle name="Normal 19 12 7 4" xfId="12982" xr:uid="{00000000-0005-0000-0000-0000A22F0000}"/>
    <cellStyle name="Normal 19 12 7 5" xfId="12983" xr:uid="{00000000-0005-0000-0000-0000A32F0000}"/>
    <cellStyle name="Normal 19 12 7 6" xfId="12984" xr:uid="{00000000-0005-0000-0000-0000A42F0000}"/>
    <cellStyle name="Normal 19 12 8" xfId="12985" xr:uid="{00000000-0005-0000-0000-0000A52F0000}"/>
    <cellStyle name="Normal 19 12 8 2" xfId="12986" xr:uid="{00000000-0005-0000-0000-0000A62F0000}"/>
    <cellStyle name="Normal 19 12 8 3" xfId="12987" xr:uid="{00000000-0005-0000-0000-0000A72F0000}"/>
    <cellStyle name="Normal 19 12 8 4" xfId="12988" xr:uid="{00000000-0005-0000-0000-0000A82F0000}"/>
    <cellStyle name="Normal 19 12 8 5" xfId="12989" xr:uid="{00000000-0005-0000-0000-0000A92F0000}"/>
    <cellStyle name="Normal 19 12 8 6" xfId="12990" xr:uid="{00000000-0005-0000-0000-0000AA2F0000}"/>
    <cellStyle name="Normal 19 12 9" xfId="12991" xr:uid="{00000000-0005-0000-0000-0000AB2F0000}"/>
    <cellStyle name="Normal 19 13" xfId="12992" xr:uid="{00000000-0005-0000-0000-0000AC2F0000}"/>
    <cellStyle name="Normal 19 13 10" xfId="12993" xr:uid="{00000000-0005-0000-0000-0000AD2F0000}"/>
    <cellStyle name="Normal 19 13 11" xfId="12994" xr:uid="{00000000-0005-0000-0000-0000AE2F0000}"/>
    <cellStyle name="Normal 19 13 12" xfId="12995" xr:uid="{00000000-0005-0000-0000-0000AF2F0000}"/>
    <cellStyle name="Normal 19 13 13" xfId="12996" xr:uid="{00000000-0005-0000-0000-0000B02F0000}"/>
    <cellStyle name="Normal 19 13 2" xfId="12997" xr:uid="{00000000-0005-0000-0000-0000B12F0000}"/>
    <cellStyle name="Normal 19 13 2 2" xfId="12998" xr:uid="{00000000-0005-0000-0000-0000B22F0000}"/>
    <cellStyle name="Normal 19 13 2 3" xfId="12999" xr:uid="{00000000-0005-0000-0000-0000B32F0000}"/>
    <cellStyle name="Normal 19 13 2 4" xfId="13000" xr:uid="{00000000-0005-0000-0000-0000B42F0000}"/>
    <cellStyle name="Normal 19 13 2 5" xfId="13001" xr:uid="{00000000-0005-0000-0000-0000B52F0000}"/>
    <cellStyle name="Normal 19 13 2 6" xfId="13002" xr:uid="{00000000-0005-0000-0000-0000B62F0000}"/>
    <cellStyle name="Normal 19 13 3" xfId="13003" xr:uid="{00000000-0005-0000-0000-0000B72F0000}"/>
    <cellStyle name="Normal 19 13 3 2" xfId="13004" xr:uid="{00000000-0005-0000-0000-0000B82F0000}"/>
    <cellStyle name="Normal 19 13 3 3" xfId="13005" xr:uid="{00000000-0005-0000-0000-0000B92F0000}"/>
    <cellStyle name="Normal 19 13 3 4" xfId="13006" xr:uid="{00000000-0005-0000-0000-0000BA2F0000}"/>
    <cellStyle name="Normal 19 13 3 5" xfId="13007" xr:uid="{00000000-0005-0000-0000-0000BB2F0000}"/>
    <cellStyle name="Normal 19 13 3 6" xfId="13008" xr:uid="{00000000-0005-0000-0000-0000BC2F0000}"/>
    <cellStyle name="Normal 19 13 4" xfId="13009" xr:uid="{00000000-0005-0000-0000-0000BD2F0000}"/>
    <cellStyle name="Normal 19 13 4 2" xfId="13010" xr:uid="{00000000-0005-0000-0000-0000BE2F0000}"/>
    <cellStyle name="Normal 19 13 4 3" xfId="13011" xr:uid="{00000000-0005-0000-0000-0000BF2F0000}"/>
    <cellStyle name="Normal 19 13 4 4" xfId="13012" xr:uid="{00000000-0005-0000-0000-0000C02F0000}"/>
    <cellStyle name="Normal 19 13 4 5" xfId="13013" xr:uid="{00000000-0005-0000-0000-0000C12F0000}"/>
    <cellStyle name="Normal 19 13 4 6" xfId="13014" xr:uid="{00000000-0005-0000-0000-0000C22F0000}"/>
    <cellStyle name="Normal 19 13 5" xfId="13015" xr:uid="{00000000-0005-0000-0000-0000C32F0000}"/>
    <cellStyle name="Normal 19 13 5 2" xfId="13016" xr:uid="{00000000-0005-0000-0000-0000C42F0000}"/>
    <cellStyle name="Normal 19 13 5 3" xfId="13017" xr:uid="{00000000-0005-0000-0000-0000C52F0000}"/>
    <cellStyle name="Normal 19 13 5 4" xfId="13018" xr:uid="{00000000-0005-0000-0000-0000C62F0000}"/>
    <cellStyle name="Normal 19 13 5 5" xfId="13019" xr:uid="{00000000-0005-0000-0000-0000C72F0000}"/>
    <cellStyle name="Normal 19 13 5 6" xfId="13020" xr:uid="{00000000-0005-0000-0000-0000C82F0000}"/>
    <cellStyle name="Normal 19 13 6" xfId="13021" xr:uid="{00000000-0005-0000-0000-0000C92F0000}"/>
    <cellStyle name="Normal 19 13 6 2" xfId="13022" xr:uid="{00000000-0005-0000-0000-0000CA2F0000}"/>
    <cellStyle name="Normal 19 13 6 3" xfId="13023" xr:uid="{00000000-0005-0000-0000-0000CB2F0000}"/>
    <cellStyle name="Normal 19 13 6 4" xfId="13024" xr:uid="{00000000-0005-0000-0000-0000CC2F0000}"/>
    <cellStyle name="Normal 19 13 6 5" xfId="13025" xr:uid="{00000000-0005-0000-0000-0000CD2F0000}"/>
    <cellStyle name="Normal 19 13 6 6" xfId="13026" xr:uid="{00000000-0005-0000-0000-0000CE2F0000}"/>
    <cellStyle name="Normal 19 13 7" xfId="13027" xr:uid="{00000000-0005-0000-0000-0000CF2F0000}"/>
    <cellStyle name="Normal 19 13 7 2" xfId="13028" xr:uid="{00000000-0005-0000-0000-0000D02F0000}"/>
    <cellStyle name="Normal 19 13 7 3" xfId="13029" xr:uid="{00000000-0005-0000-0000-0000D12F0000}"/>
    <cellStyle name="Normal 19 13 7 4" xfId="13030" xr:uid="{00000000-0005-0000-0000-0000D22F0000}"/>
    <cellStyle name="Normal 19 13 7 5" xfId="13031" xr:uid="{00000000-0005-0000-0000-0000D32F0000}"/>
    <cellStyle name="Normal 19 13 7 6" xfId="13032" xr:uid="{00000000-0005-0000-0000-0000D42F0000}"/>
    <cellStyle name="Normal 19 13 8" xfId="13033" xr:uid="{00000000-0005-0000-0000-0000D52F0000}"/>
    <cellStyle name="Normal 19 13 8 2" xfId="13034" xr:uid="{00000000-0005-0000-0000-0000D62F0000}"/>
    <cellStyle name="Normal 19 13 8 3" xfId="13035" xr:uid="{00000000-0005-0000-0000-0000D72F0000}"/>
    <cellStyle name="Normal 19 13 8 4" xfId="13036" xr:uid="{00000000-0005-0000-0000-0000D82F0000}"/>
    <cellStyle name="Normal 19 13 8 5" xfId="13037" xr:uid="{00000000-0005-0000-0000-0000D92F0000}"/>
    <cellStyle name="Normal 19 13 8 6" xfId="13038" xr:uid="{00000000-0005-0000-0000-0000DA2F0000}"/>
    <cellStyle name="Normal 19 13 9" xfId="13039" xr:uid="{00000000-0005-0000-0000-0000DB2F0000}"/>
    <cellStyle name="Normal 19 14" xfId="13040" xr:uid="{00000000-0005-0000-0000-0000DC2F0000}"/>
    <cellStyle name="Normal 19 14 10" xfId="13041" xr:uid="{00000000-0005-0000-0000-0000DD2F0000}"/>
    <cellStyle name="Normal 19 14 11" xfId="13042" xr:uid="{00000000-0005-0000-0000-0000DE2F0000}"/>
    <cellStyle name="Normal 19 14 12" xfId="13043" xr:uid="{00000000-0005-0000-0000-0000DF2F0000}"/>
    <cellStyle name="Normal 19 14 13" xfId="13044" xr:uid="{00000000-0005-0000-0000-0000E02F0000}"/>
    <cellStyle name="Normal 19 14 2" xfId="13045" xr:uid="{00000000-0005-0000-0000-0000E12F0000}"/>
    <cellStyle name="Normal 19 14 2 2" xfId="13046" xr:uid="{00000000-0005-0000-0000-0000E22F0000}"/>
    <cellStyle name="Normal 19 14 2 3" xfId="13047" xr:uid="{00000000-0005-0000-0000-0000E32F0000}"/>
    <cellStyle name="Normal 19 14 2 4" xfId="13048" xr:uid="{00000000-0005-0000-0000-0000E42F0000}"/>
    <cellStyle name="Normal 19 14 2 5" xfId="13049" xr:uid="{00000000-0005-0000-0000-0000E52F0000}"/>
    <cellStyle name="Normal 19 14 2 6" xfId="13050" xr:uid="{00000000-0005-0000-0000-0000E62F0000}"/>
    <cellStyle name="Normal 19 14 3" xfId="13051" xr:uid="{00000000-0005-0000-0000-0000E72F0000}"/>
    <cellStyle name="Normal 19 14 3 2" xfId="13052" xr:uid="{00000000-0005-0000-0000-0000E82F0000}"/>
    <cellStyle name="Normal 19 14 3 3" xfId="13053" xr:uid="{00000000-0005-0000-0000-0000E92F0000}"/>
    <cellStyle name="Normal 19 14 3 4" xfId="13054" xr:uid="{00000000-0005-0000-0000-0000EA2F0000}"/>
    <cellStyle name="Normal 19 14 3 5" xfId="13055" xr:uid="{00000000-0005-0000-0000-0000EB2F0000}"/>
    <cellStyle name="Normal 19 14 3 6" xfId="13056" xr:uid="{00000000-0005-0000-0000-0000EC2F0000}"/>
    <cellStyle name="Normal 19 14 4" xfId="13057" xr:uid="{00000000-0005-0000-0000-0000ED2F0000}"/>
    <cellStyle name="Normal 19 14 4 2" xfId="13058" xr:uid="{00000000-0005-0000-0000-0000EE2F0000}"/>
    <cellStyle name="Normal 19 14 4 3" xfId="13059" xr:uid="{00000000-0005-0000-0000-0000EF2F0000}"/>
    <cellStyle name="Normal 19 14 4 4" xfId="13060" xr:uid="{00000000-0005-0000-0000-0000F02F0000}"/>
    <cellStyle name="Normal 19 14 4 5" xfId="13061" xr:uid="{00000000-0005-0000-0000-0000F12F0000}"/>
    <cellStyle name="Normal 19 14 4 6" xfId="13062" xr:uid="{00000000-0005-0000-0000-0000F22F0000}"/>
    <cellStyle name="Normal 19 14 5" xfId="13063" xr:uid="{00000000-0005-0000-0000-0000F32F0000}"/>
    <cellStyle name="Normal 19 14 5 2" xfId="13064" xr:uid="{00000000-0005-0000-0000-0000F42F0000}"/>
    <cellStyle name="Normal 19 14 5 3" xfId="13065" xr:uid="{00000000-0005-0000-0000-0000F52F0000}"/>
    <cellStyle name="Normal 19 14 5 4" xfId="13066" xr:uid="{00000000-0005-0000-0000-0000F62F0000}"/>
    <cellStyle name="Normal 19 14 5 5" xfId="13067" xr:uid="{00000000-0005-0000-0000-0000F72F0000}"/>
    <cellStyle name="Normal 19 14 5 6" xfId="13068" xr:uid="{00000000-0005-0000-0000-0000F82F0000}"/>
    <cellStyle name="Normal 19 14 6" xfId="13069" xr:uid="{00000000-0005-0000-0000-0000F92F0000}"/>
    <cellStyle name="Normal 19 14 6 2" xfId="13070" xr:uid="{00000000-0005-0000-0000-0000FA2F0000}"/>
    <cellStyle name="Normal 19 14 6 3" xfId="13071" xr:uid="{00000000-0005-0000-0000-0000FB2F0000}"/>
    <cellStyle name="Normal 19 14 6 4" xfId="13072" xr:uid="{00000000-0005-0000-0000-0000FC2F0000}"/>
    <cellStyle name="Normal 19 14 6 5" xfId="13073" xr:uid="{00000000-0005-0000-0000-0000FD2F0000}"/>
    <cellStyle name="Normal 19 14 6 6" xfId="13074" xr:uid="{00000000-0005-0000-0000-0000FE2F0000}"/>
    <cellStyle name="Normal 19 14 7" xfId="13075" xr:uid="{00000000-0005-0000-0000-0000FF2F0000}"/>
    <cellStyle name="Normal 19 14 7 2" xfId="13076" xr:uid="{00000000-0005-0000-0000-000000300000}"/>
    <cellStyle name="Normal 19 14 7 3" xfId="13077" xr:uid="{00000000-0005-0000-0000-000001300000}"/>
    <cellStyle name="Normal 19 14 7 4" xfId="13078" xr:uid="{00000000-0005-0000-0000-000002300000}"/>
    <cellStyle name="Normal 19 14 7 5" xfId="13079" xr:uid="{00000000-0005-0000-0000-000003300000}"/>
    <cellStyle name="Normal 19 14 7 6" xfId="13080" xr:uid="{00000000-0005-0000-0000-000004300000}"/>
    <cellStyle name="Normal 19 14 8" xfId="13081" xr:uid="{00000000-0005-0000-0000-000005300000}"/>
    <cellStyle name="Normal 19 14 8 2" xfId="13082" xr:uid="{00000000-0005-0000-0000-000006300000}"/>
    <cellStyle name="Normal 19 14 8 3" xfId="13083" xr:uid="{00000000-0005-0000-0000-000007300000}"/>
    <cellStyle name="Normal 19 14 8 4" xfId="13084" xr:uid="{00000000-0005-0000-0000-000008300000}"/>
    <cellStyle name="Normal 19 14 8 5" xfId="13085" xr:uid="{00000000-0005-0000-0000-000009300000}"/>
    <cellStyle name="Normal 19 14 8 6" xfId="13086" xr:uid="{00000000-0005-0000-0000-00000A300000}"/>
    <cellStyle name="Normal 19 14 9" xfId="13087" xr:uid="{00000000-0005-0000-0000-00000B300000}"/>
    <cellStyle name="Normal 19 15" xfId="13088" xr:uid="{00000000-0005-0000-0000-00000C300000}"/>
    <cellStyle name="Normal 19 15 10" xfId="13089" xr:uid="{00000000-0005-0000-0000-00000D300000}"/>
    <cellStyle name="Normal 19 15 11" xfId="13090" xr:uid="{00000000-0005-0000-0000-00000E300000}"/>
    <cellStyle name="Normal 19 15 12" xfId="13091" xr:uid="{00000000-0005-0000-0000-00000F300000}"/>
    <cellStyle name="Normal 19 15 13" xfId="13092" xr:uid="{00000000-0005-0000-0000-000010300000}"/>
    <cellStyle name="Normal 19 15 2" xfId="13093" xr:uid="{00000000-0005-0000-0000-000011300000}"/>
    <cellStyle name="Normal 19 15 2 2" xfId="13094" xr:uid="{00000000-0005-0000-0000-000012300000}"/>
    <cellStyle name="Normal 19 15 2 3" xfId="13095" xr:uid="{00000000-0005-0000-0000-000013300000}"/>
    <cellStyle name="Normal 19 15 2 4" xfId="13096" xr:uid="{00000000-0005-0000-0000-000014300000}"/>
    <cellStyle name="Normal 19 15 2 5" xfId="13097" xr:uid="{00000000-0005-0000-0000-000015300000}"/>
    <cellStyle name="Normal 19 15 2 6" xfId="13098" xr:uid="{00000000-0005-0000-0000-000016300000}"/>
    <cellStyle name="Normal 19 15 3" xfId="13099" xr:uid="{00000000-0005-0000-0000-000017300000}"/>
    <cellStyle name="Normal 19 15 3 2" xfId="13100" xr:uid="{00000000-0005-0000-0000-000018300000}"/>
    <cellStyle name="Normal 19 15 3 3" xfId="13101" xr:uid="{00000000-0005-0000-0000-000019300000}"/>
    <cellStyle name="Normal 19 15 3 4" xfId="13102" xr:uid="{00000000-0005-0000-0000-00001A300000}"/>
    <cellStyle name="Normal 19 15 3 5" xfId="13103" xr:uid="{00000000-0005-0000-0000-00001B300000}"/>
    <cellStyle name="Normal 19 15 3 6" xfId="13104" xr:uid="{00000000-0005-0000-0000-00001C300000}"/>
    <cellStyle name="Normal 19 15 4" xfId="13105" xr:uid="{00000000-0005-0000-0000-00001D300000}"/>
    <cellStyle name="Normal 19 15 4 2" xfId="13106" xr:uid="{00000000-0005-0000-0000-00001E300000}"/>
    <cellStyle name="Normal 19 15 4 3" xfId="13107" xr:uid="{00000000-0005-0000-0000-00001F300000}"/>
    <cellStyle name="Normal 19 15 4 4" xfId="13108" xr:uid="{00000000-0005-0000-0000-000020300000}"/>
    <cellStyle name="Normal 19 15 4 5" xfId="13109" xr:uid="{00000000-0005-0000-0000-000021300000}"/>
    <cellStyle name="Normal 19 15 4 6" xfId="13110" xr:uid="{00000000-0005-0000-0000-000022300000}"/>
    <cellStyle name="Normal 19 15 5" xfId="13111" xr:uid="{00000000-0005-0000-0000-000023300000}"/>
    <cellStyle name="Normal 19 15 5 2" xfId="13112" xr:uid="{00000000-0005-0000-0000-000024300000}"/>
    <cellStyle name="Normal 19 15 5 3" xfId="13113" xr:uid="{00000000-0005-0000-0000-000025300000}"/>
    <cellStyle name="Normal 19 15 5 4" xfId="13114" xr:uid="{00000000-0005-0000-0000-000026300000}"/>
    <cellStyle name="Normal 19 15 5 5" xfId="13115" xr:uid="{00000000-0005-0000-0000-000027300000}"/>
    <cellStyle name="Normal 19 15 5 6" xfId="13116" xr:uid="{00000000-0005-0000-0000-000028300000}"/>
    <cellStyle name="Normal 19 15 6" xfId="13117" xr:uid="{00000000-0005-0000-0000-000029300000}"/>
    <cellStyle name="Normal 19 15 6 2" xfId="13118" xr:uid="{00000000-0005-0000-0000-00002A300000}"/>
    <cellStyle name="Normal 19 15 6 3" xfId="13119" xr:uid="{00000000-0005-0000-0000-00002B300000}"/>
    <cellStyle name="Normal 19 15 6 4" xfId="13120" xr:uid="{00000000-0005-0000-0000-00002C300000}"/>
    <cellStyle name="Normal 19 15 6 5" xfId="13121" xr:uid="{00000000-0005-0000-0000-00002D300000}"/>
    <cellStyle name="Normal 19 15 6 6" xfId="13122" xr:uid="{00000000-0005-0000-0000-00002E300000}"/>
    <cellStyle name="Normal 19 15 7" xfId="13123" xr:uid="{00000000-0005-0000-0000-00002F300000}"/>
    <cellStyle name="Normal 19 15 7 2" xfId="13124" xr:uid="{00000000-0005-0000-0000-000030300000}"/>
    <cellStyle name="Normal 19 15 7 3" xfId="13125" xr:uid="{00000000-0005-0000-0000-000031300000}"/>
    <cellStyle name="Normal 19 15 7 4" xfId="13126" xr:uid="{00000000-0005-0000-0000-000032300000}"/>
    <cellStyle name="Normal 19 15 7 5" xfId="13127" xr:uid="{00000000-0005-0000-0000-000033300000}"/>
    <cellStyle name="Normal 19 15 7 6" xfId="13128" xr:uid="{00000000-0005-0000-0000-000034300000}"/>
    <cellStyle name="Normal 19 15 8" xfId="13129" xr:uid="{00000000-0005-0000-0000-000035300000}"/>
    <cellStyle name="Normal 19 15 8 2" xfId="13130" xr:uid="{00000000-0005-0000-0000-000036300000}"/>
    <cellStyle name="Normal 19 15 8 3" xfId="13131" xr:uid="{00000000-0005-0000-0000-000037300000}"/>
    <cellStyle name="Normal 19 15 8 4" xfId="13132" xr:uid="{00000000-0005-0000-0000-000038300000}"/>
    <cellStyle name="Normal 19 15 8 5" xfId="13133" xr:uid="{00000000-0005-0000-0000-000039300000}"/>
    <cellStyle name="Normal 19 15 8 6" xfId="13134" xr:uid="{00000000-0005-0000-0000-00003A300000}"/>
    <cellStyle name="Normal 19 15 9" xfId="13135" xr:uid="{00000000-0005-0000-0000-00003B300000}"/>
    <cellStyle name="Normal 19 16" xfId="13136" xr:uid="{00000000-0005-0000-0000-00003C300000}"/>
    <cellStyle name="Normal 19 16 10" xfId="13137" xr:uid="{00000000-0005-0000-0000-00003D300000}"/>
    <cellStyle name="Normal 19 16 11" xfId="13138" xr:uid="{00000000-0005-0000-0000-00003E300000}"/>
    <cellStyle name="Normal 19 16 12" xfId="13139" xr:uid="{00000000-0005-0000-0000-00003F300000}"/>
    <cellStyle name="Normal 19 16 13" xfId="13140" xr:uid="{00000000-0005-0000-0000-000040300000}"/>
    <cellStyle name="Normal 19 16 2" xfId="13141" xr:uid="{00000000-0005-0000-0000-000041300000}"/>
    <cellStyle name="Normal 19 16 2 2" xfId="13142" xr:uid="{00000000-0005-0000-0000-000042300000}"/>
    <cellStyle name="Normal 19 16 2 3" xfId="13143" xr:uid="{00000000-0005-0000-0000-000043300000}"/>
    <cellStyle name="Normal 19 16 2 4" xfId="13144" xr:uid="{00000000-0005-0000-0000-000044300000}"/>
    <cellStyle name="Normal 19 16 2 5" xfId="13145" xr:uid="{00000000-0005-0000-0000-000045300000}"/>
    <cellStyle name="Normal 19 16 2 6" xfId="13146" xr:uid="{00000000-0005-0000-0000-000046300000}"/>
    <cellStyle name="Normal 19 16 3" xfId="13147" xr:uid="{00000000-0005-0000-0000-000047300000}"/>
    <cellStyle name="Normal 19 16 3 2" xfId="13148" xr:uid="{00000000-0005-0000-0000-000048300000}"/>
    <cellStyle name="Normal 19 16 3 3" xfId="13149" xr:uid="{00000000-0005-0000-0000-000049300000}"/>
    <cellStyle name="Normal 19 16 3 4" xfId="13150" xr:uid="{00000000-0005-0000-0000-00004A300000}"/>
    <cellStyle name="Normal 19 16 3 5" xfId="13151" xr:uid="{00000000-0005-0000-0000-00004B300000}"/>
    <cellStyle name="Normal 19 16 3 6" xfId="13152" xr:uid="{00000000-0005-0000-0000-00004C300000}"/>
    <cellStyle name="Normal 19 16 4" xfId="13153" xr:uid="{00000000-0005-0000-0000-00004D300000}"/>
    <cellStyle name="Normal 19 16 4 2" xfId="13154" xr:uid="{00000000-0005-0000-0000-00004E300000}"/>
    <cellStyle name="Normal 19 16 4 3" xfId="13155" xr:uid="{00000000-0005-0000-0000-00004F300000}"/>
    <cellStyle name="Normal 19 16 4 4" xfId="13156" xr:uid="{00000000-0005-0000-0000-000050300000}"/>
    <cellStyle name="Normal 19 16 4 5" xfId="13157" xr:uid="{00000000-0005-0000-0000-000051300000}"/>
    <cellStyle name="Normal 19 16 4 6" xfId="13158" xr:uid="{00000000-0005-0000-0000-000052300000}"/>
    <cellStyle name="Normal 19 16 5" xfId="13159" xr:uid="{00000000-0005-0000-0000-000053300000}"/>
    <cellStyle name="Normal 19 16 5 2" xfId="13160" xr:uid="{00000000-0005-0000-0000-000054300000}"/>
    <cellStyle name="Normal 19 16 5 3" xfId="13161" xr:uid="{00000000-0005-0000-0000-000055300000}"/>
    <cellStyle name="Normal 19 16 5 4" xfId="13162" xr:uid="{00000000-0005-0000-0000-000056300000}"/>
    <cellStyle name="Normal 19 16 5 5" xfId="13163" xr:uid="{00000000-0005-0000-0000-000057300000}"/>
    <cellStyle name="Normal 19 16 5 6" xfId="13164" xr:uid="{00000000-0005-0000-0000-000058300000}"/>
    <cellStyle name="Normal 19 16 6" xfId="13165" xr:uid="{00000000-0005-0000-0000-000059300000}"/>
    <cellStyle name="Normal 19 16 6 2" xfId="13166" xr:uid="{00000000-0005-0000-0000-00005A300000}"/>
    <cellStyle name="Normal 19 16 6 3" xfId="13167" xr:uid="{00000000-0005-0000-0000-00005B300000}"/>
    <cellStyle name="Normal 19 16 6 4" xfId="13168" xr:uid="{00000000-0005-0000-0000-00005C300000}"/>
    <cellStyle name="Normal 19 16 6 5" xfId="13169" xr:uid="{00000000-0005-0000-0000-00005D300000}"/>
    <cellStyle name="Normal 19 16 6 6" xfId="13170" xr:uid="{00000000-0005-0000-0000-00005E300000}"/>
    <cellStyle name="Normal 19 16 7" xfId="13171" xr:uid="{00000000-0005-0000-0000-00005F300000}"/>
    <cellStyle name="Normal 19 16 7 2" xfId="13172" xr:uid="{00000000-0005-0000-0000-000060300000}"/>
    <cellStyle name="Normal 19 16 7 3" xfId="13173" xr:uid="{00000000-0005-0000-0000-000061300000}"/>
    <cellStyle name="Normal 19 16 7 4" xfId="13174" xr:uid="{00000000-0005-0000-0000-000062300000}"/>
    <cellStyle name="Normal 19 16 7 5" xfId="13175" xr:uid="{00000000-0005-0000-0000-000063300000}"/>
    <cellStyle name="Normal 19 16 7 6" xfId="13176" xr:uid="{00000000-0005-0000-0000-000064300000}"/>
    <cellStyle name="Normal 19 16 8" xfId="13177" xr:uid="{00000000-0005-0000-0000-000065300000}"/>
    <cellStyle name="Normal 19 16 8 2" xfId="13178" xr:uid="{00000000-0005-0000-0000-000066300000}"/>
    <cellStyle name="Normal 19 16 8 3" xfId="13179" xr:uid="{00000000-0005-0000-0000-000067300000}"/>
    <cellStyle name="Normal 19 16 8 4" xfId="13180" xr:uid="{00000000-0005-0000-0000-000068300000}"/>
    <cellStyle name="Normal 19 16 8 5" xfId="13181" xr:uid="{00000000-0005-0000-0000-000069300000}"/>
    <cellStyle name="Normal 19 16 8 6" xfId="13182" xr:uid="{00000000-0005-0000-0000-00006A300000}"/>
    <cellStyle name="Normal 19 16 9" xfId="13183" xr:uid="{00000000-0005-0000-0000-00006B300000}"/>
    <cellStyle name="Normal 19 17" xfId="13184" xr:uid="{00000000-0005-0000-0000-00006C300000}"/>
    <cellStyle name="Normal 19 17 10" xfId="13185" xr:uid="{00000000-0005-0000-0000-00006D300000}"/>
    <cellStyle name="Normal 19 17 11" xfId="13186" xr:uid="{00000000-0005-0000-0000-00006E300000}"/>
    <cellStyle name="Normal 19 17 12" xfId="13187" xr:uid="{00000000-0005-0000-0000-00006F300000}"/>
    <cellStyle name="Normal 19 17 13" xfId="13188" xr:uid="{00000000-0005-0000-0000-000070300000}"/>
    <cellStyle name="Normal 19 17 2" xfId="13189" xr:uid="{00000000-0005-0000-0000-000071300000}"/>
    <cellStyle name="Normal 19 17 2 2" xfId="13190" xr:uid="{00000000-0005-0000-0000-000072300000}"/>
    <cellStyle name="Normal 19 17 2 3" xfId="13191" xr:uid="{00000000-0005-0000-0000-000073300000}"/>
    <cellStyle name="Normal 19 17 2 4" xfId="13192" xr:uid="{00000000-0005-0000-0000-000074300000}"/>
    <cellStyle name="Normal 19 17 2 5" xfId="13193" xr:uid="{00000000-0005-0000-0000-000075300000}"/>
    <cellStyle name="Normal 19 17 2 6" xfId="13194" xr:uid="{00000000-0005-0000-0000-000076300000}"/>
    <cellStyle name="Normal 19 17 3" xfId="13195" xr:uid="{00000000-0005-0000-0000-000077300000}"/>
    <cellStyle name="Normal 19 17 3 2" xfId="13196" xr:uid="{00000000-0005-0000-0000-000078300000}"/>
    <cellStyle name="Normal 19 17 3 3" xfId="13197" xr:uid="{00000000-0005-0000-0000-000079300000}"/>
    <cellStyle name="Normal 19 17 3 4" xfId="13198" xr:uid="{00000000-0005-0000-0000-00007A300000}"/>
    <cellStyle name="Normal 19 17 3 5" xfId="13199" xr:uid="{00000000-0005-0000-0000-00007B300000}"/>
    <cellStyle name="Normal 19 17 3 6" xfId="13200" xr:uid="{00000000-0005-0000-0000-00007C300000}"/>
    <cellStyle name="Normal 19 17 4" xfId="13201" xr:uid="{00000000-0005-0000-0000-00007D300000}"/>
    <cellStyle name="Normal 19 17 4 2" xfId="13202" xr:uid="{00000000-0005-0000-0000-00007E300000}"/>
    <cellStyle name="Normal 19 17 4 3" xfId="13203" xr:uid="{00000000-0005-0000-0000-00007F300000}"/>
    <cellStyle name="Normal 19 17 4 4" xfId="13204" xr:uid="{00000000-0005-0000-0000-000080300000}"/>
    <cellStyle name="Normal 19 17 4 5" xfId="13205" xr:uid="{00000000-0005-0000-0000-000081300000}"/>
    <cellStyle name="Normal 19 17 4 6" xfId="13206" xr:uid="{00000000-0005-0000-0000-000082300000}"/>
    <cellStyle name="Normal 19 17 5" xfId="13207" xr:uid="{00000000-0005-0000-0000-000083300000}"/>
    <cellStyle name="Normal 19 17 5 2" xfId="13208" xr:uid="{00000000-0005-0000-0000-000084300000}"/>
    <cellStyle name="Normal 19 17 5 3" xfId="13209" xr:uid="{00000000-0005-0000-0000-000085300000}"/>
    <cellStyle name="Normal 19 17 5 4" xfId="13210" xr:uid="{00000000-0005-0000-0000-000086300000}"/>
    <cellStyle name="Normal 19 17 5 5" xfId="13211" xr:uid="{00000000-0005-0000-0000-000087300000}"/>
    <cellStyle name="Normal 19 17 5 6" xfId="13212" xr:uid="{00000000-0005-0000-0000-000088300000}"/>
    <cellStyle name="Normal 19 17 6" xfId="13213" xr:uid="{00000000-0005-0000-0000-000089300000}"/>
    <cellStyle name="Normal 19 17 6 2" xfId="13214" xr:uid="{00000000-0005-0000-0000-00008A300000}"/>
    <cellStyle name="Normal 19 17 6 3" xfId="13215" xr:uid="{00000000-0005-0000-0000-00008B300000}"/>
    <cellStyle name="Normal 19 17 6 4" xfId="13216" xr:uid="{00000000-0005-0000-0000-00008C300000}"/>
    <cellStyle name="Normal 19 17 6 5" xfId="13217" xr:uid="{00000000-0005-0000-0000-00008D300000}"/>
    <cellStyle name="Normal 19 17 6 6" xfId="13218" xr:uid="{00000000-0005-0000-0000-00008E300000}"/>
    <cellStyle name="Normal 19 17 7" xfId="13219" xr:uid="{00000000-0005-0000-0000-00008F300000}"/>
    <cellStyle name="Normal 19 17 7 2" xfId="13220" xr:uid="{00000000-0005-0000-0000-000090300000}"/>
    <cellStyle name="Normal 19 17 7 3" xfId="13221" xr:uid="{00000000-0005-0000-0000-000091300000}"/>
    <cellStyle name="Normal 19 17 7 4" xfId="13222" xr:uid="{00000000-0005-0000-0000-000092300000}"/>
    <cellStyle name="Normal 19 17 7 5" xfId="13223" xr:uid="{00000000-0005-0000-0000-000093300000}"/>
    <cellStyle name="Normal 19 17 7 6" xfId="13224" xr:uid="{00000000-0005-0000-0000-000094300000}"/>
    <cellStyle name="Normal 19 17 8" xfId="13225" xr:uid="{00000000-0005-0000-0000-000095300000}"/>
    <cellStyle name="Normal 19 17 8 2" xfId="13226" xr:uid="{00000000-0005-0000-0000-000096300000}"/>
    <cellStyle name="Normal 19 17 8 3" xfId="13227" xr:uid="{00000000-0005-0000-0000-000097300000}"/>
    <cellStyle name="Normal 19 17 8 4" xfId="13228" xr:uid="{00000000-0005-0000-0000-000098300000}"/>
    <cellStyle name="Normal 19 17 8 5" xfId="13229" xr:uid="{00000000-0005-0000-0000-000099300000}"/>
    <cellStyle name="Normal 19 17 8 6" xfId="13230" xr:uid="{00000000-0005-0000-0000-00009A300000}"/>
    <cellStyle name="Normal 19 17 9" xfId="13231" xr:uid="{00000000-0005-0000-0000-00009B300000}"/>
    <cellStyle name="Normal 19 18" xfId="13232" xr:uid="{00000000-0005-0000-0000-00009C300000}"/>
    <cellStyle name="Normal 19 18 10" xfId="13233" xr:uid="{00000000-0005-0000-0000-00009D300000}"/>
    <cellStyle name="Normal 19 18 11" xfId="13234" xr:uid="{00000000-0005-0000-0000-00009E300000}"/>
    <cellStyle name="Normal 19 18 12" xfId="13235" xr:uid="{00000000-0005-0000-0000-00009F300000}"/>
    <cellStyle name="Normal 19 18 13" xfId="13236" xr:uid="{00000000-0005-0000-0000-0000A0300000}"/>
    <cellStyle name="Normal 19 18 2" xfId="13237" xr:uid="{00000000-0005-0000-0000-0000A1300000}"/>
    <cellStyle name="Normal 19 18 2 2" xfId="13238" xr:uid="{00000000-0005-0000-0000-0000A2300000}"/>
    <cellStyle name="Normal 19 18 2 3" xfId="13239" xr:uid="{00000000-0005-0000-0000-0000A3300000}"/>
    <cellStyle name="Normal 19 18 2 4" xfId="13240" xr:uid="{00000000-0005-0000-0000-0000A4300000}"/>
    <cellStyle name="Normal 19 18 2 5" xfId="13241" xr:uid="{00000000-0005-0000-0000-0000A5300000}"/>
    <cellStyle name="Normal 19 18 2 6" xfId="13242" xr:uid="{00000000-0005-0000-0000-0000A6300000}"/>
    <cellStyle name="Normal 19 18 3" xfId="13243" xr:uid="{00000000-0005-0000-0000-0000A7300000}"/>
    <cellStyle name="Normal 19 18 3 2" xfId="13244" xr:uid="{00000000-0005-0000-0000-0000A8300000}"/>
    <cellStyle name="Normal 19 18 3 3" xfId="13245" xr:uid="{00000000-0005-0000-0000-0000A9300000}"/>
    <cellStyle name="Normal 19 18 3 4" xfId="13246" xr:uid="{00000000-0005-0000-0000-0000AA300000}"/>
    <cellStyle name="Normal 19 18 3 5" xfId="13247" xr:uid="{00000000-0005-0000-0000-0000AB300000}"/>
    <cellStyle name="Normal 19 18 3 6" xfId="13248" xr:uid="{00000000-0005-0000-0000-0000AC300000}"/>
    <cellStyle name="Normal 19 18 4" xfId="13249" xr:uid="{00000000-0005-0000-0000-0000AD300000}"/>
    <cellStyle name="Normal 19 18 4 2" xfId="13250" xr:uid="{00000000-0005-0000-0000-0000AE300000}"/>
    <cellStyle name="Normal 19 18 4 3" xfId="13251" xr:uid="{00000000-0005-0000-0000-0000AF300000}"/>
    <cellStyle name="Normal 19 18 4 4" xfId="13252" xr:uid="{00000000-0005-0000-0000-0000B0300000}"/>
    <cellStyle name="Normal 19 18 4 5" xfId="13253" xr:uid="{00000000-0005-0000-0000-0000B1300000}"/>
    <cellStyle name="Normal 19 18 4 6" xfId="13254" xr:uid="{00000000-0005-0000-0000-0000B2300000}"/>
    <cellStyle name="Normal 19 18 5" xfId="13255" xr:uid="{00000000-0005-0000-0000-0000B3300000}"/>
    <cellStyle name="Normal 19 18 5 2" xfId="13256" xr:uid="{00000000-0005-0000-0000-0000B4300000}"/>
    <cellStyle name="Normal 19 18 5 3" xfId="13257" xr:uid="{00000000-0005-0000-0000-0000B5300000}"/>
    <cellStyle name="Normal 19 18 5 4" xfId="13258" xr:uid="{00000000-0005-0000-0000-0000B6300000}"/>
    <cellStyle name="Normal 19 18 5 5" xfId="13259" xr:uid="{00000000-0005-0000-0000-0000B7300000}"/>
    <cellStyle name="Normal 19 18 5 6" xfId="13260" xr:uid="{00000000-0005-0000-0000-0000B8300000}"/>
    <cellStyle name="Normal 19 18 6" xfId="13261" xr:uid="{00000000-0005-0000-0000-0000B9300000}"/>
    <cellStyle name="Normal 19 18 6 2" xfId="13262" xr:uid="{00000000-0005-0000-0000-0000BA300000}"/>
    <cellStyle name="Normal 19 18 6 3" xfId="13263" xr:uid="{00000000-0005-0000-0000-0000BB300000}"/>
    <cellStyle name="Normal 19 18 6 4" xfId="13264" xr:uid="{00000000-0005-0000-0000-0000BC300000}"/>
    <cellStyle name="Normal 19 18 6 5" xfId="13265" xr:uid="{00000000-0005-0000-0000-0000BD300000}"/>
    <cellStyle name="Normal 19 18 6 6" xfId="13266" xr:uid="{00000000-0005-0000-0000-0000BE300000}"/>
    <cellStyle name="Normal 19 18 7" xfId="13267" xr:uid="{00000000-0005-0000-0000-0000BF300000}"/>
    <cellStyle name="Normal 19 18 7 2" xfId="13268" xr:uid="{00000000-0005-0000-0000-0000C0300000}"/>
    <cellStyle name="Normal 19 18 7 3" xfId="13269" xr:uid="{00000000-0005-0000-0000-0000C1300000}"/>
    <cellStyle name="Normal 19 18 7 4" xfId="13270" xr:uid="{00000000-0005-0000-0000-0000C2300000}"/>
    <cellStyle name="Normal 19 18 7 5" xfId="13271" xr:uid="{00000000-0005-0000-0000-0000C3300000}"/>
    <cellStyle name="Normal 19 18 7 6" xfId="13272" xr:uid="{00000000-0005-0000-0000-0000C4300000}"/>
    <cellStyle name="Normal 19 18 8" xfId="13273" xr:uid="{00000000-0005-0000-0000-0000C5300000}"/>
    <cellStyle name="Normal 19 18 8 2" xfId="13274" xr:uid="{00000000-0005-0000-0000-0000C6300000}"/>
    <cellStyle name="Normal 19 18 8 3" xfId="13275" xr:uid="{00000000-0005-0000-0000-0000C7300000}"/>
    <cellStyle name="Normal 19 18 8 4" xfId="13276" xr:uid="{00000000-0005-0000-0000-0000C8300000}"/>
    <cellStyle name="Normal 19 18 8 5" xfId="13277" xr:uid="{00000000-0005-0000-0000-0000C9300000}"/>
    <cellStyle name="Normal 19 18 8 6" xfId="13278" xr:uid="{00000000-0005-0000-0000-0000CA300000}"/>
    <cellStyle name="Normal 19 18 9" xfId="13279" xr:uid="{00000000-0005-0000-0000-0000CB300000}"/>
    <cellStyle name="Normal 19 19" xfId="13280" xr:uid="{00000000-0005-0000-0000-0000CC300000}"/>
    <cellStyle name="Normal 19 19 10" xfId="13281" xr:uid="{00000000-0005-0000-0000-0000CD300000}"/>
    <cellStyle name="Normal 19 19 11" xfId="13282" xr:uid="{00000000-0005-0000-0000-0000CE300000}"/>
    <cellStyle name="Normal 19 19 12" xfId="13283" xr:uid="{00000000-0005-0000-0000-0000CF300000}"/>
    <cellStyle name="Normal 19 19 13" xfId="13284" xr:uid="{00000000-0005-0000-0000-0000D0300000}"/>
    <cellStyle name="Normal 19 19 2" xfId="13285" xr:uid="{00000000-0005-0000-0000-0000D1300000}"/>
    <cellStyle name="Normal 19 19 2 2" xfId="13286" xr:uid="{00000000-0005-0000-0000-0000D2300000}"/>
    <cellStyle name="Normal 19 19 2 3" xfId="13287" xr:uid="{00000000-0005-0000-0000-0000D3300000}"/>
    <cellStyle name="Normal 19 19 2 4" xfId="13288" xr:uid="{00000000-0005-0000-0000-0000D4300000}"/>
    <cellStyle name="Normal 19 19 2 5" xfId="13289" xr:uid="{00000000-0005-0000-0000-0000D5300000}"/>
    <cellStyle name="Normal 19 19 2 6" xfId="13290" xr:uid="{00000000-0005-0000-0000-0000D6300000}"/>
    <cellStyle name="Normal 19 19 3" xfId="13291" xr:uid="{00000000-0005-0000-0000-0000D7300000}"/>
    <cellStyle name="Normal 19 19 3 2" xfId="13292" xr:uid="{00000000-0005-0000-0000-0000D8300000}"/>
    <cellStyle name="Normal 19 19 3 3" xfId="13293" xr:uid="{00000000-0005-0000-0000-0000D9300000}"/>
    <cellStyle name="Normal 19 19 3 4" xfId="13294" xr:uid="{00000000-0005-0000-0000-0000DA300000}"/>
    <cellStyle name="Normal 19 19 3 5" xfId="13295" xr:uid="{00000000-0005-0000-0000-0000DB300000}"/>
    <cellStyle name="Normal 19 19 3 6" xfId="13296" xr:uid="{00000000-0005-0000-0000-0000DC300000}"/>
    <cellStyle name="Normal 19 19 4" xfId="13297" xr:uid="{00000000-0005-0000-0000-0000DD300000}"/>
    <cellStyle name="Normal 19 19 4 2" xfId="13298" xr:uid="{00000000-0005-0000-0000-0000DE300000}"/>
    <cellStyle name="Normal 19 19 4 3" xfId="13299" xr:uid="{00000000-0005-0000-0000-0000DF300000}"/>
    <cellStyle name="Normal 19 19 4 4" xfId="13300" xr:uid="{00000000-0005-0000-0000-0000E0300000}"/>
    <cellStyle name="Normal 19 19 4 5" xfId="13301" xr:uid="{00000000-0005-0000-0000-0000E1300000}"/>
    <cellStyle name="Normal 19 19 4 6" xfId="13302" xr:uid="{00000000-0005-0000-0000-0000E2300000}"/>
    <cellStyle name="Normal 19 19 5" xfId="13303" xr:uid="{00000000-0005-0000-0000-0000E3300000}"/>
    <cellStyle name="Normal 19 19 5 2" xfId="13304" xr:uid="{00000000-0005-0000-0000-0000E4300000}"/>
    <cellStyle name="Normal 19 19 5 3" xfId="13305" xr:uid="{00000000-0005-0000-0000-0000E5300000}"/>
    <cellStyle name="Normal 19 19 5 4" xfId="13306" xr:uid="{00000000-0005-0000-0000-0000E6300000}"/>
    <cellStyle name="Normal 19 19 5 5" xfId="13307" xr:uid="{00000000-0005-0000-0000-0000E7300000}"/>
    <cellStyle name="Normal 19 19 5 6" xfId="13308" xr:uid="{00000000-0005-0000-0000-0000E8300000}"/>
    <cellStyle name="Normal 19 19 6" xfId="13309" xr:uid="{00000000-0005-0000-0000-0000E9300000}"/>
    <cellStyle name="Normal 19 19 6 2" xfId="13310" xr:uid="{00000000-0005-0000-0000-0000EA300000}"/>
    <cellStyle name="Normal 19 19 6 3" xfId="13311" xr:uid="{00000000-0005-0000-0000-0000EB300000}"/>
    <cellStyle name="Normal 19 19 6 4" xfId="13312" xr:uid="{00000000-0005-0000-0000-0000EC300000}"/>
    <cellStyle name="Normal 19 19 6 5" xfId="13313" xr:uid="{00000000-0005-0000-0000-0000ED300000}"/>
    <cellStyle name="Normal 19 19 6 6" xfId="13314" xr:uid="{00000000-0005-0000-0000-0000EE300000}"/>
    <cellStyle name="Normal 19 19 7" xfId="13315" xr:uid="{00000000-0005-0000-0000-0000EF300000}"/>
    <cellStyle name="Normal 19 19 7 2" xfId="13316" xr:uid="{00000000-0005-0000-0000-0000F0300000}"/>
    <cellStyle name="Normal 19 19 7 3" xfId="13317" xr:uid="{00000000-0005-0000-0000-0000F1300000}"/>
    <cellStyle name="Normal 19 19 7 4" xfId="13318" xr:uid="{00000000-0005-0000-0000-0000F2300000}"/>
    <cellStyle name="Normal 19 19 7 5" xfId="13319" xr:uid="{00000000-0005-0000-0000-0000F3300000}"/>
    <cellStyle name="Normal 19 19 7 6" xfId="13320" xr:uid="{00000000-0005-0000-0000-0000F4300000}"/>
    <cellStyle name="Normal 19 19 8" xfId="13321" xr:uid="{00000000-0005-0000-0000-0000F5300000}"/>
    <cellStyle name="Normal 19 19 8 2" xfId="13322" xr:uid="{00000000-0005-0000-0000-0000F6300000}"/>
    <cellStyle name="Normal 19 19 8 3" xfId="13323" xr:uid="{00000000-0005-0000-0000-0000F7300000}"/>
    <cellStyle name="Normal 19 19 8 4" xfId="13324" xr:uid="{00000000-0005-0000-0000-0000F8300000}"/>
    <cellStyle name="Normal 19 19 8 5" xfId="13325" xr:uid="{00000000-0005-0000-0000-0000F9300000}"/>
    <cellStyle name="Normal 19 19 8 6" xfId="13326" xr:uid="{00000000-0005-0000-0000-0000FA300000}"/>
    <cellStyle name="Normal 19 19 9" xfId="13327" xr:uid="{00000000-0005-0000-0000-0000FB300000}"/>
    <cellStyle name="Normal 19 2" xfId="13328" xr:uid="{00000000-0005-0000-0000-0000FC300000}"/>
    <cellStyle name="Normal 19 2 10" xfId="13329" xr:uid="{00000000-0005-0000-0000-0000FD300000}"/>
    <cellStyle name="Normal 19 2 11" xfId="13330" xr:uid="{00000000-0005-0000-0000-0000FE300000}"/>
    <cellStyle name="Normal 19 2 12" xfId="13331" xr:uid="{00000000-0005-0000-0000-0000FF300000}"/>
    <cellStyle name="Normal 19 2 13" xfId="13332" xr:uid="{00000000-0005-0000-0000-000000310000}"/>
    <cellStyle name="Normal 19 2 2" xfId="13333" xr:uid="{00000000-0005-0000-0000-000001310000}"/>
    <cellStyle name="Normal 19 2 2 2" xfId="13334" xr:uid="{00000000-0005-0000-0000-000002310000}"/>
    <cellStyle name="Normal 19 2 2 3" xfId="13335" xr:uid="{00000000-0005-0000-0000-000003310000}"/>
    <cellStyle name="Normal 19 2 2 4" xfId="13336" xr:uid="{00000000-0005-0000-0000-000004310000}"/>
    <cellStyle name="Normal 19 2 2 5" xfId="13337" xr:uid="{00000000-0005-0000-0000-000005310000}"/>
    <cellStyle name="Normal 19 2 2 6" xfId="13338" xr:uid="{00000000-0005-0000-0000-000006310000}"/>
    <cellStyle name="Normal 19 2 3" xfId="13339" xr:uid="{00000000-0005-0000-0000-000007310000}"/>
    <cellStyle name="Normal 19 2 3 2" xfId="13340" xr:uid="{00000000-0005-0000-0000-000008310000}"/>
    <cellStyle name="Normal 19 2 3 3" xfId="13341" xr:uid="{00000000-0005-0000-0000-000009310000}"/>
    <cellStyle name="Normal 19 2 3 4" xfId="13342" xr:uid="{00000000-0005-0000-0000-00000A310000}"/>
    <cellStyle name="Normal 19 2 3 5" xfId="13343" xr:uid="{00000000-0005-0000-0000-00000B310000}"/>
    <cellStyle name="Normal 19 2 3 6" xfId="13344" xr:uid="{00000000-0005-0000-0000-00000C310000}"/>
    <cellStyle name="Normal 19 2 4" xfId="13345" xr:uid="{00000000-0005-0000-0000-00000D310000}"/>
    <cellStyle name="Normal 19 2 4 2" xfId="13346" xr:uid="{00000000-0005-0000-0000-00000E310000}"/>
    <cellStyle name="Normal 19 2 4 3" xfId="13347" xr:uid="{00000000-0005-0000-0000-00000F310000}"/>
    <cellStyle name="Normal 19 2 4 4" xfId="13348" xr:uid="{00000000-0005-0000-0000-000010310000}"/>
    <cellStyle name="Normal 19 2 4 5" xfId="13349" xr:uid="{00000000-0005-0000-0000-000011310000}"/>
    <cellStyle name="Normal 19 2 4 6" xfId="13350" xr:uid="{00000000-0005-0000-0000-000012310000}"/>
    <cellStyle name="Normal 19 2 5" xfId="13351" xr:uid="{00000000-0005-0000-0000-000013310000}"/>
    <cellStyle name="Normal 19 2 5 2" xfId="13352" xr:uid="{00000000-0005-0000-0000-000014310000}"/>
    <cellStyle name="Normal 19 2 5 3" xfId="13353" xr:uid="{00000000-0005-0000-0000-000015310000}"/>
    <cellStyle name="Normal 19 2 5 4" xfId="13354" xr:uid="{00000000-0005-0000-0000-000016310000}"/>
    <cellStyle name="Normal 19 2 5 5" xfId="13355" xr:uid="{00000000-0005-0000-0000-000017310000}"/>
    <cellStyle name="Normal 19 2 5 6" xfId="13356" xr:uid="{00000000-0005-0000-0000-000018310000}"/>
    <cellStyle name="Normal 19 2 6" xfId="13357" xr:uid="{00000000-0005-0000-0000-000019310000}"/>
    <cellStyle name="Normal 19 2 6 2" xfId="13358" xr:uid="{00000000-0005-0000-0000-00001A310000}"/>
    <cellStyle name="Normal 19 2 6 3" xfId="13359" xr:uid="{00000000-0005-0000-0000-00001B310000}"/>
    <cellStyle name="Normal 19 2 6 4" xfId="13360" xr:uid="{00000000-0005-0000-0000-00001C310000}"/>
    <cellStyle name="Normal 19 2 6 5" xfId="13361" xr:uid="{00000000-0005-0000-0000-00001D310000}"/>
    <cellStyle name="Normal 19 2 6 6" xfId="13362" xr:uid="{00000000-0005-0000-0000-00001E310000}"/>
    <cellStyle name="Normal 19 2 7" xfId="13363" xr:uid="{00000000-0005-0000-0000-00001F310000}"/>
    <cellStyle name="Normal 19 2 7 2" xfId="13364" xr:uid="{00000000-0005-0000-0000-000020310000}"/>
    <cellStyle name="Normal 19 2 7 3" xfId="13365" xr:uid="{00000000-0005-0000-0000-000021310000}"/>
    <cellStyle name="Normal 19 2 7 4" xfId="13366" xr:uid="{00000000-0005-0000-0000-000022310000}"/>
    <cellStyle name="Normal 19 2 7 5" xfId="13367" xr:uid="{00000000-0005-0000-0000-000023310000}"/>
    <cellStyle name="Normal 19 2 7 6" xfId="13368" xr:uid="{00000000-0005-0000-0000-000024310000}"/>
    <cellStyle name="Normal 19 2 8" xfId="13369" xr:uid="{00000000-0005-0000-0000-000025310000}"/>
    <cellStyle name="Normal 19 2 8 2" xfId="13370" xr:uid="{00000000-0005-0000-0000-000026310000}"/>
    <cellStyle name="Normal 19 2 8 3" xfId="13371" xr:uid="{00000000-0005-0000-0000-000027310000}"/>
    <cellStyle name="Normal 19 2 8 4" xfId="13372" xr:uid="{00000000-0005-0000-0000-000028310000}"/>
    <cellStyle name="Normal 19 2 8 5" xfId="13373" xr:uid="{00000000-0005-0000-0000-000029310000}"/>
    <cellStyle name="Normal 19 2 8 6" xfId="13374" xr:uid="{00000000-0005-0000-0000-00002A310000}"/>
    <cellStyle name="Normal 19 2 9" xfId="13375" xr:uid="{00000000-0005-0000-0000-00002B310000}"/>
    <cellStyle name="Normal 19 20" xfId="13376" xr:uid="{00000000-0005-0000-0000-00002C310000}"/>
    <cellStyle name="Normal 19 20 10" xfId="13377" xr:uid="{00000000-0005-0000-0000-00002D310000}"/>
    <cellStyle name="Normal 19 20 11" xfId="13378" xr:uid="{00000000-0005-0000-0000-00002E310000}"/>
    <cellStyle name="Normal 19 20 12" xfId="13379" xr:uid="{00000000-0005-0000-0000-00002F310000}"/>
    <cellStyle name="Normal 19 20 13" xfId="13380" xr:uid="{00000000-0005-0000-0000-000030310000}"/>
    <cellStyle name="Normal 19 20 2" xfId="13381" xr:uid="{00000000-0005-0000-0000-000031310000}"/>
    <cellStyle name="Normal 19 20 2 2" xfId="13382" xr:uid="{00000000-0005-0000-0000-000032310000}"/>
    <cellStyle name="Normal 19 20 2 3" xfId="13383" xr:uid="{00000000-0005-0000-0000-000033310000}"/>
    <cellStyle name="Normal 19 20 2 4" xfId="13384" xr:uid="{00000000-0005-0000-0000-000034310000}"/>
    <cellStyle name="Normal 19 20 2 5" xfId="13385" xr:uid="{00000000-0005-0000-0000-000035310000}"/>
    <cellStyle name="Normal 19 20 2 6" xfId="13386" xr:uid="{00000000-0005-0000-0000-000036310000}"/>
    <cellStyle name="Normal 19 20 3" xfId="13387" xr:uid="{00000000-0005-0000-0000-000037310000}"/>
    <cellStyle name="Normal 19 20 3 2" xfId="13388" xr:uid="{00000000-0005-0000-0000-000038310000}"/>
    <cellStyle name="Normal 19 20 3 3" xfId="13389" xr:uid="{00000000-0005-0000-0000-000039310000}"/>
    <cellStyle name="Normal 19 20 3 4" xfId="13390" xr:uid="{00000000-0005-0000-0000-00003A310000}"/>
    <cellStyle name="Normal 19 20 3 5" xfId="13391" xr:uid="{00000000-0005-0000-0000-00003B310000}"/>
    <cellStyle name="Normal 19 20 3 6" xfId="13392" xr:uid="{00000000-0005-0000-0000-00003C310000}"/>
    <cellStyle name="Normal 19 20 4" xfId="13393" xr:uid="{00000000-0005-0000-0000-00003D310000}"/>
    <cellStyle name="Normal 19 20 4 2" xfId="13394" xr:uid="{00000000-0005-0000-0000-00003E310000}"/>
    <cellStyle name="Normal 19 20 4 3" xfId="13395" xr:uid="{00000000-0005-0000-0000-00003F310000}"/>
    <cellStyle name="Normal 19 20 4 4" xfId="13396" xr:uid="{00000000-0005-0000-0000-000040310000}"/>
    <cellStyle name="Normal 19 20 4 5" xfId="13397" xr:uid="{00000000-0005-0000-0000-000041310000}"/>
    <cellStyle name="Normal 19 20 4 6" xfId="13398" xr:uid="{00000000-0005-0000-0000-000042310000}"/>
    <cellStyle name="Normal 19 20 5" xfId="13399" xr:uid="{00000000-0005-0000-0000-000043310000}"/>
    <cellStyle name="Normal 19 20 5 2" xfId="13400" xr:uid="{00000000-0005-0000-0000-000044310000}"/>
    <cellStyle name="Normal 19 20 5 3" xfId="13401" xr:uid="{00000000-0005-0000-0000-000045310000}"/>
    <cellStyle name="Normal 19 20 5 4" xfId="13402" xr:uid="{00000000-0005-0000-0000-000046310000}"/>
    <cellStyle name="Normal 19 20 5 5" xfId="13403" xr:uid="{00000000-0005-0000-0000-000047310000}"/>
    <cellStyle name="Normal 19 20 5 6" xfId="13404" xr:uid="{00000000-0005-0000-0000-000048310000}"/>
    <cellStyle name="Normal 19 20 6" xfId="13405" xr:uid="{00000000-0005-0000-0000-000049310000}"/>
    <cellStyle name="Normal 19 20 6 2" xfId="13406" xr:uid="{00000000-0005-0000-0000-00004A310000}"/>
    <cellStyle name="Normal 19 20 6 3" xfId="13407" xr:uid="{00000000-0005-0000-0000-00004B310000}"/>
    <cellStyle name="Normal 19 20 6 4" xfId="13408" xr:uid="{00000000-0005-0000-0000-00004C310000}"/>
    <cellStyle name="Normal 19 20 6 5" xfId="13409" xr:uid="{00000000-0005-0000-0000-00004D310000}"/>
    <cellStyle name="Normal 19 20 6 6" xfId="13410" xr:uid="{00000000-0005-0000-0000-00004E310000}"/>
    <cellStyle name="Normal 19 20 7" xfId="13411" xr:uid="{00000000-0005-0000-0000-00004F310000}"/>
    <cellStyle name="Normal 19 20 7 2" xfId="13412" xr:uid="{00000000-0005-0000-0000-000050310000}"/>
    <cellStyle name="Normal 19 20 7 3" xfId="13413" xr:uid="{00000000-0005-0000-0000-000051310000}"/>
    <cellStyle name="Normal 19 20 7 4" xfId="13414" xr:uid="{00000000-0005-0000-0000-000052310000}"/>
    <cellStyle name="Normal 19 20 7 5" xfId="13415" xr:uid="{00000000-0005-0000-0000-000053310000}"/>
    <cellStyle name="Normal 19 20 7 6" xfId="13416" xr:uid="{00000000-0005-0000-0000-000054310000}"/>
    <cellStyle name="Normal 19 20 8" xfId="13417" xr:uid="{00000000-0005-0000-0000-000055310000}"/>
    <cellStyle name="Normal 19 20 8 2" xfId="13418" xr:uid="{00000000-0005-0000-0000-000056310000}"/>
    <cellStyle name="Normal 19 20 8 3" xfId="13419" xr:uid="{00000000-0005-0000-0000-000057310000}"/>
    <cellStyle name="Normal 19 20 8 4" xfId="13420" xr:uid="{00000000-0005-0000-0000-000058310000}"/>
    <cellStyle name="Normal 19 20 8 5" xfId="13421" xr:uid="{00000000-0005-0000-0000-000059310000}"/>
    <cellStyle name="Normal 19 20 8 6" xfId="13422" xr:uid="{00000000-0005-0000-0000-00005A310000}"/>
    <cellStyle name="Normal 19 20 9" xfId="13423" xr:uid="{00000000-0005-0000-0000-00005B310000}"/>
    <cellStyle name="Normal 19 21" xfId="13424" xr:uid="{00000000-0005-0000-0000-00005C310000}"/>
    <cellStyle name="Normal 19 21 10" xfId="13425" xr:uid="{00000000-0005-0000-0000-00005D310000}"/>
    <cellStyle name="Normal 19 21 11" xfId="13426" xr:uid="{00000000-0005-0000-0000-00005E310000}"/>
    <cellStyle name="Normal 19 21 12" xfId="13427" xr:uid="{00000000-0005-0000-0000-00005F310000}"/>
    <cellStyle name="Normal 19 21 13" xfId="13428" xr:uid="{00000000-0005-0000-0000-000060310000}"/>
    <cellStyle name="Normal 19 21 2" xfId="13429" xr:uid="{00000000-0005-0000-0000-000061310000}"/>
    <cellStyle name="Normal 19 21 2 2" xfId="13430" xr:uid="{00000000-0005-0000-0000-000062310000}"/>
    <cellStyle name="Normal 19 21 2 3" xfId="13431" xr:uid="{00000000-0005-0000-0000-000063310000}"/>
    <cellStyle name="Normal 19 21 2 4" xfId="13432" xr:uid="{00000000-0005-0000-0000-000064310000}"/>
    <cellStyle name="Normal 19 21 2 5" xfId="13433" xr:uid="{00000000-0005-0000-0000-000065310000}"/>
    <cellStyle name="Normal 19 21 2 6" xfId="13434" xr:uid="{00000000-0005-0000-0000-000066310000}"/>
    <cellStyle name="Normal 19 21 3" xfId="13435" xr:uid="{00000000-0005-0000-0000-000067310000}"/>
    <cellStyle name="Normal 19 21 3 2" xfId="13436" xr:uid="{00000000-0005-0000-0000-000068310000}"/>
    <cellStyle name="Normal 19 21 3 3" xfId="13437" xr:uid="{00000000-0005-0000-0000-000069310000}"/>
    <cellStyle name="Normal 19 21 3 4" xfId="13438" xr:uid="{00000000-0005-0000-0000-00006A310000}"/>
    <cellStyle name="Normal 19 21 3 5" xfId="13439" xr:uid="{00000000-0005-0000-0000-00006B310000}"/>
    <cellStyle name="Normal 19 21 3 6" xfId="13440" xr:uid="{00000000-0005-0000-0000-00006C310000}"/>
    <cellStyle name="Normal 19 21 4" xfId="13441" xr:uid="{00000000-0005-0000-0000-00006D310000}"/>
    <cellStyle name="Normal 19 21 4 2" xfId="13442" xr:uid="{00000000-0005-0000-0000-00006E310000}"/>
    <cellStyle name="Normal 19 21 4 3" xfId="13443" xr:uid="{00000000-0005-0000-0000-00006F310000}"/>
    <cellStyle name="Normal 19 21 4 4" xfId="13444" xr:uid="{00000000-0005-0000-0000-000070310000}"/>
    <cellStyle name="Normal 19 21 4 5" xfId="13445" xr:uid="{00000000-0005-0000-0000-000071310000}"/>
    <cellStyle name="Normal 19 21 4 6" xfId="13446" xr:uid="{00000000-0005-0000-0000-000072310000}"/>
    <cellStyle name="Normal 19 21 5" xfId="13447" xr:uid="{00000000-0005-0000-0000-000073310000}"/>
    <cellStyle name="Normal 19 21 5 2" xfId="13448" xr:uid="{00000000-0005-0000-0000-000074310000}"/>
    <cellStyle name="Normal 19 21 5 3" xfId="13449" xr:uid="{00000000-0005-0000-0000-000075310000}"/>
    <cellStyle name="Normal 19 21 5 4" xfId="13450" xr:uid="{00000000-0005-0000-0000-000076310000}"/>
    <cellStyle name="Normal 19 21 5 5" xfId="13451" xr:uid="{00000000-0005-0000-0000-000077310000}"/>
    <cellStyle name="Normal 19 21 5 6" xfId="13452" xr:uid="{00000000-0005-0000-0000-000078310000}"/>
    <cellStyle name="Normal 19 21 6" xfId="13453" xr:uid="{00000000-0005-0000-0000-000079310000}"/>
    <cellStyle name="Normal 19 21 6 2" xfId="13454" xr:uid="{00000000-0005-0000-0000-00007A310000}"/>
    <cellStyle name="Normal 19 21 6 3" xfId="13455" xr:uid="{00000000-0005-0000-0000-00007B310000}"/>
    <cellStyle name="Normal 19 21 6 4" xfId="13456" xr:uid="{00000000-0005-0000-0000-00007C310000}"/>
    <cellStyle name="Normal 19 21 6 5" xfId="13457" xr:uid="{00000000-0005-0000-0000-00007D310000}"/>
    <cellStyle name="Normal 19 21 6 6" xfId="13458" xr:uid="{00000000-0005-0000-0000-00007E310000}"/>
    <cellStyle name="Normal 19 21 7" xfId="13459" xr:uid="{00000000-0005-0000-0000-00007F310000}"/>
    <cellStyle name="Normal 19 21 7 2" xfId="13460" xr:uid="{00000000-0005-0000-0000-000080310000}"/>
    <cellStyle name="Normal 19 21 7 3" xfId="13461" xr:uid="{00000000-0005-0000-0000-000081310000}"/>
    <cellStyle name="Normal 19 21 7 4" xfId="13462" xr:uid="{00000000-0005-0000-0000-000082310000}"/>
    <cellStyle name="Normal 19 21 7 5" xfId="13463" xr:uid="{00000000-0005-0000-0000-000083310000}"/>
    <cellStyle name="Normal 19 21 7 6" xfId="13464" xr:uid="{00000000-0005-0000-0000-000084310000}"/>
    <cellStyle name="Normal 19 21 8" xfId="13465" xr:uid="{00000000-0005-0000-0000-000085310000}"/>
    <cellStyle name="Normal 19 21 8 2" xfId="13466" xr:uid="{00000000-0005-0000-0000-000086310000}"/>
    <cellStyle name="Normal 19 21 8 3" xfId="13467" xr:uid="{00000000-0005-0000-0000-000087310000}"/>
    <cellStyle name="Normal 19 21 8 4" xfId="13468" xr:uid="{00000000-0005-0000-0000-000088310000}"/>
    <cellStyle name="Normal 19 21 8 5" xfId="13469" xr:uid="{00000000-0005-0000-0000-000089310000}"/>
    <cellStyle name="Normal 19 21 8 6" xfId="13470" xr:uid="{00000000-0005-0000-0000-00008A310000}"/>
    <cellStyle name="Normal 19 21 9" xfId="13471" xr:uid="{00000000-0005-0000-0000-00008B310000}"/>
    <cellStyle name="Normal 19 22" xfId="13472" xr:uid="{00000000-0005-0000-0000-00008C310000}"/>
    <cellStyle name="Normal 19 22 10" xfId="13473" xr:uid="{00000000-0005-0000-0000-00008D310000}"/>
    <cellStyle name="Normal 19 22 11" xfId="13474" xr:uid="{00000000-0005-0000-0000-00008E310000}"/>
    <cellStyle name="Normal 19 22 12" xfId="13475" xr:uid="{00000000-0005-0000-0000-00008F310000}"/>
    <cellStyle name="Normal 19 22 13" xfId="13476" xr:uid="{00000000-0005-0000-0000-000090310000}"/>
    <cellStyle name="Normal 19 22 2" xfId="13477" xr:uid="{00000000-0005-0000-0000-000091310000}"/>
    <cellStyle name="Normal 19 22 2 2" xfId="13478" xr:uid="{00000000-0005-0000-0000-000092310000}"/>
    <cellStyle name="Normal 19 22 2 3" xfId="13479" xr:uid="{00000000-0005-0000-0000-000093310000}"/>
    <cellStyle name="Normal 19 22 2 4" xfId="13480" xr:uid="{00000000-0005-0000-0000-000094310000}"/>
    <cellStyle name="Normal 19 22 2 5" xfId="13481" xr:uid="{00000000-0005-0000-0000-000095310000}"/>
    <cellStyle name="Normal 19 22 2 6" xfId="13482" xr:uid="{00000000-0005-0000-0000-000096310000}"/>
    <cellStyle name="Normal 19 22 3" xfId="13483" xr:uid="{00000000-0005-0000-0000-000097310000}"/>
    <cellStyle name="Normal 19 22 3 2" xfId="13484" xr:uid="{00000000-0005-0000-0000-000098310000}"/>
    <cellStyle name="Normal 19 22 3 3" xfId="13485" xr:uid="{00000000-0005-0000-0000-000099310000}"/>
    <cellStyle name="Normal 19 22 3 4" xfId="13486" xr:uid="{00000000-0005-0000-0000-00009A310000}"/>
    <cellStyle name="Normal 19 22 3 5" xfId="13487" xr:uid="{00000000-0005-0000-0000-00009B310000}"/>
    <cellStyle name="Normal 19 22 3 6" xfId="13488" xr:uid="{00000000-0005-0000-0000-00009C310000}"/>
    <cellStyle name="Normal 19 22 4" xfId="13489" xr:uid="{00000000-0005-0000-0000-00009D310000}"/>
    <cellStyle name="Normal 19 22 4 2" xfId="13490" xr:uid="{00000000-0005-0000-0000-00009E310000}"/>
    <cellStyle name="Normal 19 22 4 3" xfId="13491" xr:uid="{00000000-0005-0000-0000-00009F310000}"/>
    <cellStyle name="Normal 19 22 4 4" xfId="13492" xr:uid="{00000000-0005-0000-0000-0000A0310000}"/>
    <cellStyle name="Normal 19 22 4 5" xfId="13493" xr:uid="{00000000-0005-0000-0000-0000A1310000}"/>
    <cellStyle name="Normal 19 22 4 6" xfId="13494" xr:uid="{00000000-0005-0000-0000-0000A2310000}"/>
    <cellStyle name="Normal 19 22 5" xfId="13495" xr:uid="{00000000-0005-0000-0000-0000A3310000}"/>
    <cellStyle name="Normal 19 22 5 2" xfId="13496" xr:uid="{00000000-0005-0000-0000-0000A4310000}"/>
    <cellStyle name="Normal 19 22 5 3" xfId="13497" xr:uid="{00000000-0005-0000-0000-0000A5310000}"/>
    <cellStyle name="Normal 19 22 5 4" xfId="13498" xr:uid="{00000000-0005-0000-0000-0000A6310000}"/>
    <cellStyle name="Normal 19 22 5 5" xfId="13499" xr:uid="{00000000-0005-0000-0000-0000A7310000}"/>
    <cellStyle name="Normal 19 22 5 6" xfId="13500" xr:uid="{00000000-0005-0000-0000-0000A8310000}"/>
    <cellStyle name="Normal 19 22 6" xfId="13501" xr:uid="{00000000-0005-0000-0000-0000A9310000}"/>
    <cellStyle name="Normal 19 22 6 2" xfId="13502" xr:uid="{00000000-0005-0000-0000-0000AA310000}"/>
    <cellStyle name="Normal 19 22 6 3" xfId="13503" xr:uid="{00000000-0005-0000-0000-0000AB310000}"/>
    <cellStyle name="Normal 19 22 6 4" xfId="13504" xr:uid="{00000000-0005-0000-0000-0000AC310000}"/>
    <cellStyle name="Normal 19 22 6 5" xfId="13505" xr:uid="{00000000-0005-0000-0000-0000AD310000}"/>
    <cellStyle name="Normal 19 22 6 6" xfId="13506" xr:uid="{00000000-0005-0000-0000-0000AE310000}"/>
    <cellStyle name="Normal 19 22 7" xfId="13507" xr:uid="{00000000-0005-0000-0000-0000AF310000}"/>
    <cellStyle name="Normal 19 22 7 2" xfId="13508" xr:uid="{00000000-0005-0000-0000-0000B0310000}"/>
    <cellStyle name="Normal 19 22 7 3" xfId="13509" xr:uid="{00000000-0005-0000-0000-0000B1310000}"/>
    <cellStyle name="Normal 19 22 7 4" xfId="13510" xr:uid="{00000000-0005-0000-0000-0000B2310000}"/>
    <cellStyle name="Normal 19 22 7 5" xfId="13511" xr:uid="{00000000-0005-0000-0000-0000B3310000}"/>
    <cellStyle name="Normal 19 22 7 6" xfId="13512" xr:uid="{00000000-0005-0000-0000-0000B4310000}"/>
    <cellStyle name="Normal 19 22 8" xfId="13513" xr:uid="{00000000-0005-0000-0000-0000B5310000}"/>
    <cellStyle name="Normal 19 22 8 2" xfId="13514" xr:uid="{00000000-0005-0000-0000-0000B6310000}"/>
    <cellStyle name="Normal 19 22 8 3" xfId="13515" xr:uid="{00000000-0005-0000-0000-0000B7310000}"/>
    <cellStyle name="Normal 19 22 8 4" xfId="13516" xr:uid="{00000000-0005-0000-0000-0000B8310000}"/>
    <cellStyle name="Normal 19 22 8 5" xfId="13517" xr:uid="{00000000-0005-0000-0000-0000B9310000}"/>
    <cellStyle name="Normal 19 22 8 6" xfId="13518" xr:uid="{00000000-0005-0000-0000-0000BA310000}"/>
    <cellStyle name="Normal 19 22 9" xfId="13519" xr:uid="{00000000-0005-0000-0000-0000BB310000}"/>
    <cellStyle name="Normal 19 23" xfId="13520" xr:uid="{00000000-0005-0000-0000-0000BC310000}"/>
    <cellStyle name="Normal 19 23 10" xfId="13521" xr:uid="{00000000-0005-0000-0000-0000BD310000}"/>
    <cellStyle name="Normal 19 23 11" xfId="13522" xr:uid="{00000000-0005-0000-0000-0000BE310000}"/>
    <cellStyle name="Normal 19 23 12" xfId="13523" xr:uid="{00000000-0005-0000-0000-0000BF310000}"/>
    <cellStyle name="Normal 19 23 13" xfId="13524" xr:uid="{00000000-0005-0000-0000-0000C0310000}"/>
    <cellStyle name="Normal 19 23 2" xfId="13525" xr:uid="{00000000-0005-0000-0000-0000C1310000}"/>
    <cellStyle name="Normal 19 23 2 2" xfId="13526" xr:uid="{00000000-0005-0000-0000-0000C2310000}"/>
    <cellStyle name="Normal 19 23 2 3" xfId="13527" xr:uid="{00000000-0005-0000-0000-0000C3310000}"/>
    <cellStyle name="Normal 19 23 2 4" xfId="13528" xr:uid="{00000000-0005-0000-0000-0000C4310000}"/>
    <cellStyle name="Normal 19 23 2 5" xfId="13529" xr:uid="{00000000-0005-0000-0000-0000C5310000}"/>
    <cellStyle name="Normal 19 23 2 6" xfId="13530" xr:uid="{00000000-0005-0000-0000-0000C6310000}"/>
    <cellStyle name="Normal 19 23 3" xfId="13531" xr:uid="{00000000-0005-0000-0000-0000C7310000}"/>
    <cellStyle name="Normal 19 23 3 2" xfId="13532" xr:uid="{00000000-0005-0000-0000-0000C8310000}"/>
    <cellStyle name="Normal 19 23 3 3" xfId="13533" xr:uid="{00000000-0005-0000-0000-0000C9310000}"/>
    <cellStyle name="Normal 19 23 3 4" xfId="13534" xr:uid="{00000000-0005-0000-0000-0000CA310000}"/>
    <cellStyle name="Normal 19 23 3 5" xfId="13535" xr:uid="{00000000-0005-0000-0000-0000CB310000}"/>
    <cellStyle name="Normal 19 23 3 6" xfId="13536" xr:uid="{00000000-0005-0000-0000-0000CC310000}"/>
    <cellStyle name="Normal 19 23 4" xfId="13537" xr:uid="{00000000-0005-0000-0000-0000CD310000}"/>
    <cellStyle name="Normal 19 23 4 2" xfId="13538" xr:uid="{00000000-0005-0000-0000-0000CE310000}"/>
    <cellStyle name="Normal 19 23 4 3" xfId="13539" xr:uid="{00000000-0005-0000-0000-0000CF310000}"/>
    <cellStyle name="Normal 19 23 4 4" xfId="13540" xr:uid="{00000000-0005-0000-0000-0000D0310000}"/>
    <cellStyle name="Normal 19 23 4 5" xfId="13541" xr:uid="{00000000-0005-0000-0000-0000D1310000}"/>
    <cellStyle name="Normal 19 23 4 6" xfId="13542" xr:uid="{00000000-0005-0000-0000-0000D2310000}"/>
    <cellStyle name="Normal 19 23 5" xfId="13543" xr:uid="{00000000-0005-0000-0000-0000D3310000}"/>
    <cellStyle name="Normal 19 23 5 2" xfId="13544" xr:uid="{00000000-0005-0000-0000-0000D4310000}"/>
    <cellStyle name="Normal 19 23 5 3" xfId="13545" xr:uid="{00000000-0005-0000-0000-0000D5310000}"/>
    <cellStyle name="Normal 19 23 5 4" xfId="13546" xr:uid="{00000000-0005-0000-0000-0000D6310000}"/>
    <cellStyle name="Normal 19 23 5 5" xfId="13547" xr:uid="{00000000-0005-0000-0000-0000D7310000}"/>
    <cellStyle name="Normal 19 23 5 6" xfId="13548" xr:uid="{00000000-0005-0000-0000-0000D8310000}"/>
    <cellStyle name="Normal 19 23 6" xfId="13549" xr:uid="{00000000-0005-0000-0000-0000D9310000}"/>
    <cellStyle name="Normal 19 23 6 2" xfId="13550" xr:uid="{00000000-0005-0000-0000-0000DA310000}"/>
    <cellStyle name="Normal 19 23 6 3" xfId="13551" xr:uid="{00000000-0005-0000-0000-0000DB310000}"/>
    <cellStyle name="Normal 19 23 6 4" xfId="13552" xr:uid="{00000000-0005-0000-0000-0000DC310000}"/>
    <cellStyle name="Normal 19 23 6 5" xfId="13553" xr:uid="{00000000-0005-0000-0000-0000DD310000}"/>
    <cellStyle name="Normal 19 23 6 6" xfId="13554" xr:uid="{00000000-0005-0000-0000-0000DE310000}"/>
    <cellStyle name="Normal 19 23 7" xfId="13555" xr:uid="{00000000-0005-0000-0000-0000DF310000}"/>
    <cellStyle name="Normal 19 23 7 2" xfId="13556" xr:uid="{00000000-0005-0000-0000-0000E0310000}"/>
    <cellStyle name="Normal 19 23 7 3" xfId="13557" xr:uid="{00000000-0005-0000-0000-0000E1310000}"/>
    <cellStyle name="Normal 19 23 7 4" xfId="13558" xr:uid="{00000000-0005-0000-0000-0000E2310000}"/>
    <cellStyle name="Normal 19 23 7 5" xfId="13559" xr:uid="{00000000-0005-0000-0000-0000E3310000}"/>
    <cellStyle name="Normal 19 23 7 6" xfId="13560" xr:uid="{00000000-0005-0000-0000-0000E4310000}"/>
    <cellStyle name="Normal 19 23 8" xfId="13561" xr:uid="{00000000-0005-0000-0000-0000E5310000}"/>
    <cellStyle name="Normal 19 23 8 2" xfId="13562" xr:uid="{00000000-0005-0000-0000-0000E6310000}"/>
    <cellStyle name="Normal 19 23 8 3" xfId="13563" xr:uid="{00000000-0005-0000-0000-0000E7310000}"/>
    <cellStyle name="Normal 19 23 8 4" xfId="13564" xr:uid="{00000000-0005-0000-0000-0000E8310000}"/>
    <cellStyle name="Normal 19 23 8 5" xfId="13565" xr:uid="{00000000-0005-0000-0000-0000E9310000}"/>
    <cellStyle name="Normal 19 23 8 6" xfId="13566" xr:uid="{00000000-0005-0000-0000-0000EA310000}"/>
    <cellStyle name="Normal 19 23 9" xfId="13567" xr:uid="{00000000-0005-0000-0000-0000EB310000}"/>
    <cellStyle name="Normal 19 24" xfId="13568" xr:uid="{00000000-0005-0000-0000-0000EC310000}"/>
    <cellStyle name="Normal 19 24 10" xfId="13569" xr:uid="{00000000-0005-0000-0000-0000ED310000}"/>
    <cellStyle name="Normal 19 24 11" xfId="13570" xr:uid="{00000000-0005-0000-0000-0000EE310000}"/>
    <cellStyle name="Normal 19 24 12" xfId="13571" xr:uid="{00000000-0005-0000-0000-0000EF310000}"/>
    <cellStyle name="Normal 19 24 13" xfId="13572" xr:uid="{00000000-0005-0000-0000-0000F0310000}"/>
    <cellStyle name="Normal 19 24 2" xfId="13573" xr:uid="{00000000-0005-0000-0000-0000F1310000}"/>
    <cellStyle name="Normal 19 24 2 2" xfId="13574" xr:uid="{00000000-0005-0000-0000-0000F2310000}"/>
    <cellStyle name="Normal 19 24 2 3" xfId="13575" xr:uid="{00000000-0005-0000-0000-0000F3310000}"/>
    <cellStyle name="Normal 19 24 2 4" xfId="13576" xr:uid="{00000000-0005-0000-0000-0000F4310000}"/>
    <cellStyle name="Normal 19 24 2 5" xfId="13577" xr:uid="{00000000-0005-0000-0000-0000F5310000}"/>
    <cellStyle name="Normal 19 24 2 6" xfId="13578" xr:uid="{00000000-0005-0000-0000-0000F6310000}"/>
    <cellStyle name="Normal 19 24 3" xfId="13579" xr:uid="{00000000-0005-0000-0000-0000F7310000}"/>
    <cellStyle name="Normal 19 24 3 2" xfId="13580" xr:uid="{00000000-0005-0000-0000-0000F8310000}"/>
    <cellStyle name="Normal 19 24 3 3" xfId="13581" xr:uid="{00000000-0005-0000-0000-0000F9310000}"/>
    <cellStyle name="Normal 19 24 3 4" xfId="13582" xr:uid="{00000000-0005-0000-0000-0000FA310000}"/>
    <cellStyle name="Normal 19 24 3 5" xfId="13583" xr:uid="{00000000-0005-0000-0000-0000FB310000}"/>
    <cellStyle name="Normal 19 24 3 6" xfId="13584" xr:uid="{00000000-0005-0000-0000-0000FC310000}"/>
    <cellStyle name="Normal 19 24 4" xfId="13585" xr:uid="{00000000-0005-0000-0000-0000FD310000}"/>
    <cellStyle name="Normal 19 24 4 2" xfId="13586" xr:uid="{00000000-0005-0000-0000-0000FE310000}"/>
    <cellStyle name="Normal 19 24 4 3" xfId="13587" xr:uid="{00000000-0005-0000-0000-0000FF310000}"/>
    <cellStyle name="Normal 19 24 4 4" xfId="13588" xr:uid="{00000000-0005-0000-0000-000000320000}"/>
    <cellStyle name="Normal 19 24 4 5" xfId="13589" xr:uid="{00000000-0005-0000-0000-000001320000}"/>
    <cellStyle name="Normal 19 24 4 6" xfId="13590" xr:uid="{00000000-0005-0000-0000-000002320000}"/>
    <cellStyle name="Normal 19 24 5" xfId="13591" xr:uid="{00000000-0005-0000-0000-000003320000}"/>
    <cellStyle name="Normal 19 24 5 2" xfId="13592" xr:uid="{00000000-0005-0000-0000-000004320000}"/>
    <cellStyle name="Normal 19 24 5 3" xfId="13593" xr:uid="{00000000-0005-0000-0000-000005320000}"/>
    <cellStyle name="Normal 19 24 5 4" xfId="13594" xr:uid="{00000000-0005-0000-0000-000006320000}"/>
    <cellStyle name="Normal 19 24 5 5" xfId="13595" xr:uid="{00000000-0005-0000-0000-000007320000}"/>
    <cellStyle name="Normal 19 24 5 6" xfId="13596" xr:uid="{00000000-0005-0000-0000-000008320000}"/>
    <cellStyle name="Normal 19 24 6" xfId="13597" xr:uid="{00000000-0005-0000-0000-000009320000}"/>
    <cellStyle name="Normal 19 24 6 2" xfId="13598" xr:uid="{00000000-0005-0000-0000-00000A320000}"/>
    <cellStyle name="Normal 19 24 6 3" xfId="13599" xr:uid="{00000000-0005-0000-0000-00000B320000}"/>
    <cellStyle name="Normal 19 24 6 4" xfId="13600" xr:uid="{00000000-0005-0000-0000-00000C320000}"/>
    <cellStyle name="Normal 19 24 6 5" xfId="13601" xr:uid="{00000000-0005-0000-0000-00000D320000}"/>
    <cellStyle name="Normal 19 24 6 6" xfId="13602" xr:uid="{00000000-0005-0000-0000-00000E320000}"/>
    <cellStyle name="Normal 19 24 7" xfId="13603" xr:uid="{00000000-0005-0000-0000-00000F320000}"/>
    <cellStyle name="Normal 19 24 7 2" xfId="13604" xr:uid="{00000000-0005-0000-0000-000010320000}"/>
    <cellStyle name="Normal 19 24 7 3" xfId="13605" xr:uid="{00000000-0005-0000-0000-000011320000}"/>
    <cellStyle name="Normal 19 24 7 4" xfId="13606" xr:uid="{00000000-0005-0000-0000-000012320000}"/>
    <cellStyle name="Normal 19 24 7 5" xfId="13607" xr:uid="{00000000-0005-0000-0000-000013320000}"/>
    <cellStyle name="Normal 19 24 7 6" xfId="13608" xr:uid="{00000000-0005-0000-0000-000014320000}"/>
    <cellStyle name="Normal 19 24 8" xfId="13609" xr:uid="{00000000-0005-0000-0000-000015320000}"/>
    <cellStyle name="Normal 19 24 8 2" xfId="13610" xr:uid="{00000000-0005-0000-0000-000016320000}"/>
    <cellStyle name="Normal 19 24 8 3" xfId="13611" xr:uid="{00000000-0005-0000-0000-000017320000}"/>
    <cellStyle name="Normal 19 24 8 4" xfId="13612" xr:uid="{00000000-0005-0000-0000-000018320000}"/>
    <cellStyle name="Normal 19 24 8 5" xfId="13613" xr:uid="{00000000-0005-0000-0000-000019320000}"/>
    <cellStyle name="Normal 19 24 8 6" xfId="13614" xr:uid="{00000000-0005-0000-0000-00001A320000}"/>
    <cellStyle name="Normal 19 24 9" xfId="13615" xr:uid="{00000000-0005-0000-0000-00001B320000}"/>
    <cellStyle name="Normal 19 25" xfId="13616" xr:uid="{00000000-0005-0000-0000-00001C320000}"/>
    <cellStyle name="Normal 19 25 2" xfId="13617" xr:uid="{00000000-0005-0000-0000-00001D320000}"/>
    <cellStyle name="Normal 19 25 3" xfId="13618" xr:uid="{00000000-0005-0000-0000-00001E320000}"/>
    <cellStyle name="Normal 19 25 4" xfId="13619" xr:uid="{00000000-0005-0000-0000-00001F320000}"/>
    <cellStyle name="Normal 19 25 5" xfId="13620" xr:uid="{00000000-0005-0000-0000-000020320000}"/>
    <cellStyle name="Normal 19 25 6" xfId="13621" xr:uid="{00000000-0005-0000-0000-000021320000}"/>
    <cellStyle name="Normal 19 26" xfId="13622" xr:uid="{00000000-0005-0000-0000-000022320000}"/>
    <cellStyle name="Normal 19 26 2" xfId="13623" xr:uid="{00000000-0005-0000-0000-000023320000}"/>
    <cellStyle name="Normal 19 26 3" xfId="13624" xr:uid="{00000000-0005-0000-0000-000024320000}"/>
    <cellStyle name="Normal 19 26 4" xfId="13625" xr:uid="{00000000-0005-0000-0000-000025320000}"/>
    <cellStyle name="Normal 19 26 5" xfId="13626" xr:uid="{00000000-0005-0000-0000-000026320000}"/>
    <cellStyle name="Normal 19 26 6" xfId="13627" xr:uid="{00000000-0005-0000-0000-000027320000}"/>
    <cellStyle name="Normal 19 27" xfId="13628" xr:uid="{00000000-0005-0000-0000-000028320000}"/>
    <cellStyle name="Normal 19 27 2" xfId="13629" xr:uid="{00000000-0005-0000-0000-000029320000}"/>
    <cellStyle name="Normal 19 27 3" xfId="13630" xr:uid="{00000000-0005-0000-0000-00002A320000}"/>
    <cellStyle name="Normal 19 27 4" xfId="13631" xr:uid="{00000000-0005-0000-0000-00002B320000}"/>
    <cellStyle name="Normal 19 27 5" xfId="13632" xr:uid="{00000000-0005-0000-0000-00002C320000}"/>
    <cellStyle name="Normal 19 27 6" xfId="13633" xr:uid="{00000000-0005-0000-0000-00002D320000}"/>
    <cellStyle name="Normal 19 28" xfId="13634" xr:uid="{00000000-0005-0000-0000-00002E320000}"/>
    <cellStyle name="Normal 19 28 2" xfId="13635" xr:uid="{00000000-0005-0000-0000-00002F320000}"/>
    <cellStyle name="Normal 19 28 3" xfId="13636" xr:uid="{00000000-0005-0000-0000-000030320000}"/>
    <cellStyle name="Normal 19 28 4" xfId="13637" xr:uid="{00000000-0005-0000-0000-000031320000}"/>
    <cellStyle name="Normal 19 28 5" xfId="13638" xr:uid="{00000000-0005-0000-0000-000032320000}"/>
    <cellStyle name="Normal 19 28 6" xfId="13639" xr:uid="{00000000-0005-0000-0000-000033320000}"/>
    <cellStyle name="Normal 19 29" xfId="13640" xr:uid="{00000000-0005-0000-0000-000034320000}"/>
    <cellStyle name="Normal 19 29 2" xfId="13641" xr:uid="{00000000-0005-0000-0000-000035320000}"/>
    <cellStyle name="Normal 19 29 3" xfId="13642" xr:uid="{00000000-0005-0000-0000-000036320000}"/>
    <cellStyle name="Normal 19 29 4" xfId="13643" xr:uid="{00000000-0005-0000-0000-000037320000}"/>
    <cellStyle name="Normal 19 29 5" xfId="13644" xr:uid="{00000000-0005-0000-0000-000038320000}"/>
    <cellStyle name="Normal 19 29 6" xfId="13645" xr:uid="{00000000-0005-0000-0000-000039320000}"/>
    <cellStyle name="Normal 19 3" xfId="13646" xr:uid="{00000000-0005-0000-0000-00003A320000}"/>
    <cellStyle name="Normal 19 3 10" xfId="13647" xr:uid="{00000000-0005-0000-0000-00003B320000}"/>
    <cellStyle name="Normal 19 3 11" xfId="13648" xr:uid="{00000000-0005-0000-0000-00003C320000}"/>
    <cellStyle name="Normal 19 3 12" xfId="13649" xr:uid="{00000000-0005-0000-0000-00003D320000}"/>
    <cellStyle name="Normal 19 3 13" xfId="13650" xr:uid="{00000000-0005-0000-0000-00003E320000}"/>
    <cellStyle name="Normal 19 3 2" xfId="13651" xr:uid="{00000000-0005-0000-0000-00003F320000}"/>
    <cellStyle name="Normal 19 3 2 2" xfId="13652" xr:uid="{00000000-0005-0000-0000-000040320000}"/>
    <cellStyle name="Normal 19 3 2 3" xfId="13653" xr:uid="{00000000-0005-0000-0000-000041320000}"/>
    <cellStyle name="Normal 19 3 2 4" xfId="13654" xr:uid="{00000000-0005-0000-0000-000042320000}"/>
    <cellStyle name="Normal 19 3 2 5" xfId="13655" xr:uid="{00000000-0005-0000-0000-000043320000}"/>
    <cellStyle name="Normal 19 3 2 6" xfId="13656" xr:uid="{00000000-0005-0000-0000-000044320000}"/>
    <cellStyle name="Normal 19 3 3" xfId="13657" xr:uid="{00000000-0005-0000-0000-000045320000}"/>
    <cellStyle name="Normal 19 3 3 2" xfId="13658" xr:uid="{00000000-0005-0000-0000-000046320000}"/>
    <cellStyle name="Normal 19 3 3 3" xfId="13659" xr:uid="{00000000-0005-0000-0000-000047320000}"/>
    <cellStyle name="Normal 19 3 3 4" xfId="13660" xr:uid="{00000000-0005-0000-0000-000048320000}"/>
    <cellStyle name="Normal 19 3 3 5" xfId="13661" xr:uid="{00000000-0005-0000-0000-000049320000}"/>
    <cellStyle name="Normal 19 3 3 6" xfId="13662" xr:uid="{00000000-0005-0000-0000-00004A320000}"/>
    <cellStyle name="Normal 19 3 4" xfId="13663" xr:uid="{00000000-0005-0000-0000-00004B320000}"/>
    <cellStyle name="Normal 19 3 4 2" xfId="13664" xr:uid="{00000000-0005-0000-0000-00004C320000}"/>
    <cellStyle name="Normal 19 3 4 3" xfId="13665" xr:uid="{00000000-0005-0000-0000-00004D320000}"/>
    <cellStyle name="Normal 19 3 4 4" xfId="13666" xr:uid="{00000000-0005-0000-0000-00004E320000}"/>
    <cellStyle name="Normal 19 3 4 5" xfId="13667" xr:uid="{00000000-0005-0000-0000-00004F320000}"/>
    <cellStyle name="Normal 19 3 4 6" xfId="13668" xr:uid="{00000000-0005-0000-0000-000050320000}"/>
    <cellStyle name="Normal 19 3 5" xfId="13669" xr:uid="{00000000-0005-0000-0000-000051320000}"/>
    <cellStyle name="Normal 19 3 5 2" xfId="13670" xr:uid="{00000000-0005-0000-0000-000052320000}"/>
    <cellStyle name="Normal 19 3 5 3" xfId="13671" xr:uid="{00000000-0005-0000-0000-000053320000}"/>
    <cellStyle name="Normal 19 3 5 4" xfId="13672" xr:uid="{00000000-0005-0000-0000-000054320000}"/>
    <cellStyle name="Normal 19 3 5 5" xfId="13673" xr:uid="{00000000-0005-0000-0000-000055320000}"/>
    <cellStyle name="Normal 19 3 5 6" xfId="13674" xr:uid="{00000000-0005-0000-0000-000056320000}"/>
    <cellStyle name="Normal 19 3 6" xfId="13675" xr:uid="{00000000-0005-0000-0000-000057320000}"/>
    <cellStyle name="Normal 19 3 6 2" xfId="13676" xr:uid="{00000000-0005-0000-0000-000058320000}"/>
    <cellStyle name="Normal 19 3 6 3" xfId="13677" xr:uid="{00000000-0005-0000-0000-000059320000}"/>
    <cellStyle name="Normal 19 3 6 4" xfId="13678" xr:uid="{00000000-0005-0000-0000-00005A320000}"/>
    <cellStyle name="Normal 19 3 6 5" xfId="13679" xr:uid="{00000000-0005-0000-0000-00005B320000}"/>
    <cellStyle name="Normal 19 3 6 6" xfId="13680" xr:uid="{00000000-0005-0000-0000-00005C320000}"/>
    <cellStyle name="Normal 19 3 7" xfId="13681" xr:uid="{00000000-0005-0000-0000-00005D320000}"/>
    <cellStyle name="Normal 19 3 7 2" xfId="13682" xr:uid="{00000000-0005-0000-0000-00005E320000}"/>
    <cellStyle name="Normal 19 3 7 3" xfId="13683" xr:uid="{00000000-0005-0000-0000-00005F320000}"/>
    <cellStyle name="Normal 19 3 7 4" xfId="13684" xr:uid="{00000000-0005-0000-0000-000060320000}"/>
    <cellStyle name="Normal 19 3 7 5" xfId="13685" xr:uid="{00000000-0005-0000-0000-000061320000}"/>
    <cellStyle name="Normal 19 3 7 6" xfId="13686" xr:uid="{00000000-0005-0000-0000-000062320000}"/>
    <cellStyle name="Normal 19 3 8" xfId="13687" xr:uid="{00000000-0005-0000-0000-000063320000}"/>
    <cellStyle name="Normal 19 3 8 2" xfId="13688" xr:uid="{00000000-0005-0000-0000-000064320000}"/>
    <cellStyle name="Normal 19 3 8 3" xfId="13689" xr:uid="{00000000-0005-0000-0000-000065320000}"/>
    <cellStyle name="Normal 19 3 8 4" xfId="13690" xr:uid="{00000000-0005-0000-0000-000066320000}"/>
    <cellStyle name="Normal 19 3 8 5" xfId="13691" xr:uid="{00000000-0005-0000-0000-000067320000}"/>
    <cellStyle name="Normal 19 3 8 6" xfId="13692" xr:uid="{00000000-0005-0000-0000-000068320000}"/>
    <cellStyle name="Normal 19 3 9" xfId="13693" xr:uid="{00000000-0005-0000-0000-000069320000}"/>
    <cellStyle name="Normal 19 30" xfId="13694" xr:uid="{00000000-0005-0000-0000-00006A320000}"/>
    <cellStyle name="Normal 19 30 2" xfId="13695" xr:uid="{00000000-0005-0000-0000-00006B320000}"/>
    <cellStyle name="Normal 19 30 3" xfId="13696" xr:uid="{00000000-0005-0000-0000-00006C320000}"/>
    <cellStyle name="Normal 19 30 4" xfId="13697" xr:uid="{00000000-0005-0000-0000-00006D320000}"/>
    <cellStyle name="Normal 19 30 5" xfId="13698" xr:uid="{00000000-0005-0000-0000-00006E320000}"/>
    <cellStyle name="Normal 19 30 6" xfId="13699" xr:uid="{00000000-0005-0000-0000-00006F320000}"/>
    <cellStyle name="Normal 19 31" xfId="13700" xr:uid="{00000000-0005-0000-0000-000070320000}"/>
    <cellStyle name="Normal 19 31 2" xfId="13701" xr:uid="{00000000-0005-0000-0000-000071320000}"/>
    <cellStyle name="Normal 19 31 3" xfId="13702" xr:uid="{00000000-0005-0000-0000-000072320000}"/>
    <cellStyle name="Normal 19 31 4" xfId="13703" xr:uid="{00000000-0005-0000-0000-000073320000}"/>
    <cellStyle name="Normal 19 31 5" xfId="13704" xr:uid="{00000000-0005-0000-0000-000074320000}"/>
    <cellStyle name="Normal 19 31 6" xfId="13705" xr:uid="{00000000-0005-0000-0000-000075320000}"/>
    <cellStyle name="Normal 19 32" xfId="13706" xr:uid="{00000000-0005-0000-0000-000076320000}"/>
    <cellStyle name="Normal 19 33" xfId="13707" xr:uid="{00000000-0005-0000-0000-000077320000}"/>
    <cellStyle name="Normal 19 34" xfId="13708" xr:uid="{00000000-0005-0000-0000-000078320000}"/>
    <cellStyle name="Normal 19 35" xfId="13709" xr:uid="{00000000-0005-0000-0000-000079320000}"/>
    <cellStyle name="Normal 19 36" xfId="13710" xr:uid="{00000000-0005-0000-0000-00007A320000}"/>
    <cellStyle name="Normal 19 37" xfId="13711" xr:uid="{00000000-0005-0000-0000-00007B320000}"/>
    <cellStyle name="Normal 19 4" xfId="13712" xr:uid="{00000000-0005-0000-0000-00007C320000}"/>
    <cellStyle name="Normal 19 4 10" xfId="13713" xr:uid="{00000000-0005-0000-0000-00007D320000}"/>
    <cellStyle name="Normal 19 4 11" xfId="13714" xr:uid="{00000000-0005-0000-0000-00007E320000}"/>
    <cellStyle name="Normal 19 4 12" xfId="13715" xr:uid="{00000000-0005-0000-0000-00007F320000}"/>
    <cellStyle name="Normal 19 4 13" xfId="13716" xr:uid="{00000000-0005-0000-0000-000080320000}"/>
    <cellStyle name="Normal 19 4 2" xfId="13717" xr:uid="{00000000-0005-0000-0000-000081320000}"/>
    <cellStyle name="Normal 19 4 2 2" xfId="13718" xr:uid="{00000000-0005-0000-0000-000082320000}"/>
    <cellStyle name="Normal 19 4 2 3" xfId="13719" xr:uid="{00000000-0005-0000-0000-000083320000}"/>
    <cellStyle name="Normal 19 4 2 4" xfId="13720" xr:uid="{00000000-0005-0000-0000-000084320000}"/>
    <cellStyle name="Normal 19 4 2 5" xfId="13721" xr:uid="{00000000-0005-0000-0000-000085320000}"/>
    <cellStyle name="Normal 19 4 2 6" xfId="13722" xr:uid="{00000000-0005-0000-0000-000086320000}"/>
    <cellStyle name="Normal 19 4 3" xfId="13723" xr:uid="{00000000-0005-0000-0000-000087320000}"/>
    <cellStyle name="Normal 19 4 3 2" xfId="13724" xr:uid="{00000000-0005-0000-0000-000088320000}"/>
    <cellStyle name="Normal 19 4 3 3" xfId="13725" xr:uid="{00000000-0005-0000-0000-000089320000}"/>
    <cellStyle name="Normal 19 4 3 4" xfId="13726" xr:uid="{00000000-0005-0000-0000-00008A320000}"/>
    <cellStyle name="Normal 19 4 3 5" xfId="13727" xr:uid="{00000000-0005-0000-0000-00008B320000}"/>
    <cellStyle name="Normal 19 4 3 6" xfId="13728" xr:uid="{00000000-0005-0000-0000-00008C320000}"/>
    <cellStyle name="Normal 19 4 4" xfId="13729" xr:uid="{00000000-0005-0000-0000-00008D320000}"/>
    <cellStyle name="Normal 19 4 4 2" xfId="13730" xr:uid="{00000000-0005-0000-0000-00008E320000}"/>
    <cellStyle name="Normal 19 4 4 3" xfId="13731" xr:uid="{00000000-0005-0000-0000-00008F320000}"/>
    <cellStyle name="Normal 19 4 4 4" xfId="13732" xr:uid="{00000000-0005-0000-0000-000090320000}"/>
    <cellStyle name="Normal 19 4 4 5" xfId="13733" xr:uid="{00000000-0005-0000-0000-000091320000}"/>
    <cellStyle name="Normal 19 4 4 6" xfId="13734" xr:uid="{00000000-0005-0000-0000-000092320000}"/>
    <cellStyle name="Normal 19 4 5" xfId="13735" xr:uid="{00000000-0005-0000-0000-000093320000}"/>
    <cellStyle name="Normal 19 4 5 2" xfId="13736" xr:uid="{00000000-0005-0000-0000-000094320000}"/>
    <cellStyle name="Normal 19 4 5 3" xfId="13737" xr:uid="{00000000-0005-0000-0000-000095320000}"/>
    <cellStyle name="Normal 19 4 5 4" xfId="13738" xr:uid="{00000000-0005-0000-0000-000096320000}"/>
    <cellStyle name="Normal 19 4 5 5" xfId="13739" xr:uid="{00000000-0005-0000-0000-000097320000}"/>
    <cellStyle name="Normal 19 4 5 6" xfId="13740" xr:uid="{00000000-0005-0000-0000-000098320000}"/>
    <cellStyle name="Normal 19 4 6" xfId="13741" xr:uid="{00000000-0005-0000-0000-000099320000}"/>
    <cellStyle name="Normal 19 4 6 2" xfId="13742" xr:uid="{00000000-0005-0000-0000-00009A320000}"/>
    <cellStyle name="Normal 19 4 6 3" xfId="13743" xr:uid="{00000000-0005-0000-0000-00009B320000}"/>
    <cellStyle name="Normal 19 4 6 4" xfId="13744" xr:uid="{00000000-0005-0000-0000-00009C320000}"/>
    <cellStyle name="Normal 19 4 6 5" xfId="13745" xr:uid="{00000000-0005-0000-0000-00009D320000}"/>
    <cellStyle name="Normal 19 4 6 6" xfId="13746" xr:uid="{00000000-0005-0000-0000-00009E320000}"/>
    <cellStyle name="Normal 19 4 7" xfId="13747" xr:uid="{00000000-0005-0000-0000-00009F320000}"/>
    <cellStyle name="Normal 19 4 7 2" xfId="13748" xr:uid="{00000000-0005-0000-0000-0000A0320000}"/>
    <cellStyle name="Normal 19 4 7 3" xfId="13749" xr:uid="{00000000-0005-0000-0000-0000A1320000}"/>
    <cellStyle name="Normal 19 4 7 4" xfId="13750" xr:uid="{00000000-0005-0000-0000-0000A2320000}"/>
    <cellStyle name="Normal 19 4 7 5" xfId="13751" xr:uid="{00000000-0005-0000-0000-0000A3320000}"/>
    <cellStyle name="Normal 19 4 7 6" xfId="13752" xr:uid="{00000000-0005-0000-0000-0000A4320000}"/>
    <cellStyle name="Normal 19 4 8" xfId="13753" xr:uid="{00000000-0005-0000-0000-0000A5320000}"/>
    <cellStyle name="Normal 19 4 8 2" xfId="13754" xr:uid="{00000000-0005-0000-0000-0000A6320000}"/>
    <cellStyle name="Normal 19 4 8 3" xfId="13755" xr:uid="{00000000-0005-0000-0000-0000A7320000}"/>
    <cellStyle name="Normal 19 4 8 4" xfId="13756" xr:uid="{00000000-0005-0000-0000-0000A8320000}"/>
    <cellStyle name="Normal 19 4 8 5" xfId="13757" xr:uid="{00000000-0005-0000-0000-0000A9320000}"/>
    <cellStyle name="Normal 19 4 8 6" xfId="13758" xr:uid="{00000000-0005-0000-0000-0000AA320000}"/>
    <cellStyle name="Normal 19 4 9" xfId="13759" xr:uid="{00000000-0005-0000-0000-0000AB320000}"/>
    <cellStyle name="Normal 19 5" xfId="13760" xr:uid="{00000000-0005-0000-0000-0000AC320000}"/>
    <cellStyle name="Normal 19 5 10" xfId="13761" xr:uid="{00000000-0005-0000-0000-0000AD320000}"/>
    <cellStyle name="Normal 19 5 11" xfId="13762" xr:uid="{00000000-0005-0000-0000-0000AE320000}"/>
    <cellStyle name="Normal 19 5 12" xfId="13763" xr:uid="{00000000-0005-0000-0000-0000AF320000}"/>
    <cellStyle name="Normal 19 5 13" xfId="13764" xr:uid="{00000000-0005-0000-0000-0000B0320000}"/>
    <cellStyle name="Normal 19 5 2" xfId="13765" xr:uid="{00000000-0005-0000-0000-0000B1320000}"/>
    <cellStyle name="Normal 19 5 2 2" xfId="13766" xr:uid="{00000000-0005-0000-0000-0000B2320000}"/>
    <cellStyle name="Normal 19 5 2 3" xfId="13767" xr:uid="{00000000-0005-0000-0000-0000B3320000}"/>
    <cellStyle name="Normal 19 5 2 4" xfId="13768" xr:uid="{00000000-0005-0000-0000-0000B4320000}"/>
    <cellStyle name="Normal 19 5 2 5" xfId="13769" xr:uid="{00000000-0005-0000-0000-0000B5320000}"/>
    <cellStyle name="Normal 19 5 2 6" xfId="13770" xr:uid="{00000000-0005-0000-0000-0000B6320000}"/>
    <cellStyle name="Normal 19 5 3" xfId="13771" xr:uid="{00000000-0005-0000-0000-0000B7320000}"/>
    <cellStyle name="Normal 19 5 3 2" xfId="13772" xr:uid="{00000000-0005-0000-0000-0000B8320000}"/>
    <cellStyle name="Normal 19 5 3 3" xfId="13773" xr:uid="{00000000-0005-0000-0000-0000B9320000}"/>
    <cellStyle name="Normal 19 5 3 4" xfId="13774" xr:uid="{00000000-0005-0000-0000-0000BA320000}"/>
    <cellStyle name="Normal 19 5 3 5" xfId="13775" xr:uid="{00000000-0005-0000-0000-0000BB320000}"/>
    <cellStyle name="Normal 19 5 3 6" xfId="13776" xr:uid="{00000000-0005-0000-0000-0000BC320000}"/>
    <cellStyle name="Normal 19 5 4" xfId="13777" xr:uid="{00000000-0005-0000-0000-0000BD320000}"/>
    <cellStyle name="Normal 19 5 4 2" xfId="13778" xr:uid="{00000000-0005-0000-0000-0000BE320000}"/>
    <cellStyle name="Normal 19 5 4 3" xfId="13779" xr:uid="{00000000-0005-0000-0000-0000BF320000}"/>
    <cellStyle name="Normal 19 5 4 4" xfId="13780" xr:uid="{00000000-0005-0000-0000-0000C0320000}"/>
    <cellStyle name="Normal 19 5 4 5" xfId="13781" xr:uid="{00000000-0005-0000-0000-0000C1320000}"/>
    <cellStyle name="Normal 19 5 4 6" xfId="13782" xr:uid="{00000000-0005-0000-0000-0000C2320000}"/>
    <cellStyle name="Normal 19 5 5" xfId="13783" xr:uid="{00000000-0005-0000-0000-0000C3320000}"/>
    <cellStyle name="Normal 19 5 5 2" xfId="13784" xr:uid="{00000000-0005-0000-0000-0000C4320000}"/>
    <cellStyle name="Normal 19 5 5 3" xfId="13785" xr:uid="{00000000-0005-0000-0000-0000C5320000}"/>
    <cellStyle name="Normal 19 5 5 4" xfId="13786" xr:uid="{00000000-0005-0000-0000-0000C6320000}"/>
    <cellStyle name="Normal 19 5 5 5" xfId="13787" xr:uid="{00000000-0005-0000-0000-0000C7320000}"/>
    <cellStyle name="Normal 19 5 5 6" xfId="13788" xr:uid="{00000000-0005-0000-0000-0000C8320000}"/>
    <cellStyle name="Normal 19 5 6" xfId="13789" xr:uid="{00000000-0005-0000-0000-0000C9320000}"/>
    <cellStyle name="Normal 19 5 6 2" xfId="13790" xr:uid="{00000000-0005-0000-0000-0000CA320000}"/>
    <cellStyle name="Normal 19 5 6 3" xfId="13791" xr:uid="{00000000-0005-0000-0000-0000CB320000}"/>
    <cellStyle name="Normal 19 5 6 4" xfId="13792" xr:uid="{00000000-0005-0000-0000-0000CC320000}"/>
    <cellStyle name="Normal 19 5 6 5" xfId="13793" xr:uid="{00000000-0005-0000-0000-0000CD320000}"/>
    <cellStyle name="Normal 19 5 6 6" xfId="13794" xr:uid="{00000000-0005-0000-0000-0000CE320000}"/>
    <cellStyle name="Normal 19 5 7" xfId="13795" xr:uid="{00000000-0005-0000-0000-0000CF320000}"/>
    <cellStyle name="Normal 19 5 7 2" xfId="13796" xr:uid="{00000000-0005-0000-0000-0000D0320000}"/>
    <cellStyle name="Normal 19 5 7 3" xfId="13797" xr:uid="{00000000-0005-0000-0000-0000D1320000}"/>
    <cellStyle name="Normal 19 5 7 4" xfId="13798" xr:uid="{00000000-0005-0000-0000-0000D2320000}"/>
    <cellStyle name="Normal 19 5 7 5" xfId="13799" xr:uid="{00000000-0005-0000-0000-0000D3320000}"/>
    <cellStyle name="Normal 19 5 7 6" xfId="13800" xr:uid="{00000000-0005-0000-0000-0000D4320000}"/>
    <cellStyle name="Normal 19 5 8" xfId="13801" xr:uid="{00000000-0005-0000-0000-0000D5320000}"/>
    <cellStyle name="Normal 19 5 8 2" xfId="13802" xr:uid="{00000000-0005-0000-0000-0000D6320000}"/>
    <cellStyle name="Normal 19 5 8 3" xfId="13803" xr:uid="{00000000-0005-0000-0000-0000D7320000}"/>
    <cellStyle name="Normal 19 5 8 4" xfId="13804" xr:uid="{00000000-0005-0000-0000-0000D8320000}"/>
    <cellStyle name="Normal 19 5 8 5" xfId="13805" xr:uid="{00000000-0005-0000-0000-0000D9320000}"/>
    <cellStyle name="Normal 19 5 8 6" xfId="13806" xr:uid="{00000000-0005-0000-0000-0000DA320000}"/>
    <cellStyle name="Normal 19 5 9" xfId="13807" xr:uid="{00000000-0005-0000-0000-0000DB320000}"/>
    <cellStyle name="Normal 19 6" xfId="13808" xr:uid="{00000000-0005-0000-0000-0000DC320000}"/>
    <cellStyle name="Normal 19 6 10" xfId="13809" xr:uid="{00000000-0005-0000-0000-0000DD320000}"/>
    <cellStyle name="Normal 19 6 11" xfId="13810" xr:uid="{00000000-0005-0000-0000-0000DE320000}"/>
    <cellStyle name="Normal 19 6 12" xfId="13811" xr:uid="{00000000-0005-0000-0000-0000DF320000}"/>
    <cellStyle name="Normal 19 6 13" xfId="13812" xr:uid="{00000000-0005-0000-0000-0000E0320000}"/>
    <cellStyle name="Normal 19 6 2" xfId="13813" xr:uid="{00000000-0005-0000-0000-0000E1320000}"/>
    <cellStyle name="Normal 19 6 2 2" xfId="13814" xr:uid="{00000000-0005-0000-0000-0000E2320000}"/>
    <cellStyle name="Normal 19 6 2 3" xfId="13815" xr:uid="{00000000-0005-0000-0000-0000E3320000}"/>
    <cellStyle name="Normal 19 6 2 4" xfId="13816" xr:uid="{00000000-0005-0000-0000-0000E4320000}"/>
    <cellStyle name="Normal 19 6 2 5" xfId="13817" xr:uid="{00000000-0005-0000-0000-0000E5320000}"/>
    <cellStyle name="Normal 19 6 2 6" xfId="13818" xr:uid="{00000000-0005-0000-0000-0000E6320000}"/>
    <cellStyle name="Normal 19 6 3" xfId="13819" xr:uid="{00000000-0005-0000-0000-0000E7320000}"/>
    <cellStyle name="Normal 19 6 3 2" xfId="13820" xr:uid="{00000000-0005-0000-0000-0000E8320000}"/>
    <cellStyle name="Normal 19 6 3 3" xfId="13821" xr:uid="{00000000-0005-0000-0000-0000E9320000}"/>
    <cellStyle name="Normal 19 6 3 4" xfId="13822" xr:uid="{00000000-0005-0000-0000-0000EA320000}"/>
    <cellStyle name="Normal 19 6 3 5" xfId="13823" xr:uid="{00000000-0005-0000-0000-0000EB320000}"/>
    <cellStyle name="Normal 19 6 3 6" xfId="13824" xr:uid="{00000000-0005-0000-0000-0000EC320000}"/>
    <cellStyle name="Normal 19 6 4" xfId="13825" xr:uid="{00000000-0005-0000-0000-0000ED320000}"/>
    <cellStyle name="Normal 19 6 4 2" xfId="13826" xr:uid="{00000000-0005-0000-0000-0000EE320000}"/>
    <cellStyle name="Normal 19 6 4 3" xfId="13827" xr:uid="{00000000-0005-0000-0000-0000EF320000}"/>
    <cellStyle name="Normal 19 6 4 4" xfId="13828" xr:uid="{00000000-0005-0000-0000-0000F0320000}"/>
    <cellStyle name="Normal 19 6 4 5" xfId="13829" xr:uid="{00000000-0005-0000-0000-0000F1320000}"/>
    <cellStyle name="Normal 19 6 4 6" xfId="13830" xr:uid="{00000000-0005-0000-0000-0000F2320000}"/>
    <cellStyle name="Normal 19 6 5" xfId="13831" xr:uid="{00000000-0005-0000-0000-0000F3320000}"/>
    <cellStyle name="Normal 19 6 5 2" xfId="13832" xr:uid="{00000000-0005-0000-0000-0000F4320000}"/>
    <cellStyle name="Normal 19 6 5 3" xfId="13833" xr:uid="{00000000-0005-0000-0000-0000F5320000}"/>
    <cellStyle name="Normal 19 6 5 4" xfId="13834" xr:uid="{00000000-0005-0000-0000-0000F6320000}"/>
    <cellStyle name="Normal 19 6 5 5" xfId="13835" xr:uid="{00000000-0005-0000-0000-0000F7320000}"/>
    <cellStyle name="Normal 19 6 5 6" xfId="13836" xr:uid="{00000000-0005-0000-0000-0000F8320000}"/>
    <cellStyle name="Normal 19 6 6" xfId="13837" xr:uid="{00000000-0005-0000-0000-0000F9320000}"/>
    <cellStyle name="Normal 19 6 6 2" xfId="13838" xr:uid="{00000000-0005-0000-0000-0000FA320000}"/>
    <cellStyle name="Normal 19 6 6 3" xfId="13839" xr:uid="{00000000-0005-0000-0000-0000FB320000}"/>
    <cellStyle name="Normal 19 6 6 4" xfId="13840" xr:uid="{00000000-0005-0000-0000-0000FC320000}"/>
    <cellStyle name="Normal 19 6 6 5" xfId="13841" xr:uid="{00000000-0005-0000-0000-0000FD320000}"/>
    <cellStyle name="Normal 19 6 6 6" xfId="13842" xr:uid="{00000000-0005-0000-0000-0000FE320000}"/>
    <cellStyle name="Normal 19 6 7" xfId="13843" xr:uid="{00000000-0005-0000-0000-0000FF320000}"/>
    <cellStyle name="Normal 19 6 7 2" xfId="13844" xr:uid="{00000000-0005-0000-0000-000000330000}"/>
    <cellStyle name="Normal 19 6 7 3" xfId="13845" xr:uid="{00000000-0005-0000-0000-000001330000}"/>
    <cellStyle name="Normal 19 6 7 4" xfId="13846" xr:uid="{00000000-0005-0000-0000-000002330000}"/>
    <cellStyle name="Normal 19 6 7 5" xfId="13847" xr:uid="{00000000-0005-0000-0000-000003330000}"/>
    <cellStyle name="Normal 19 6 7 6" xfId="13848" xr:uid="{00000000-0005-0000-0000-000004330000}"/>
    <cellStyle name="Normal 19 6 8" xfId="13849" xr:uid="{00000000-0005-0000-0000-000005330000}"/>
    <cellStyle name="Normal 19 6 8 2" xfId="13850" xr:uid="{00000000-0005-0000-0000-000006330000}"/>
    <cellStyle name="Normal 19 6 8 3" xfId="13851" xr:uid="{00000000-0005-0000-0000-000007330000}"/>
    <cellStyle name="Normal 19 6 8 4" xfId="13852" xr:uid="{00000000-0005-0000-0000-000008330000}"/>
    <cellStyle name="Normal 19 6 8 5" xfId="13853" xr:uid="{00000000-0005-0000-0000-000009330000}"/>
    <cellStyle name="Normal 19 6 8 6" xfId="13854" xr:uid="{00000000-0005-0000-0000-00000A330000}"/>
    <cellStyle name="Normal 19 6 9" xfId="13855" xr:uid="{00000000-0005-0000-0000-00000B330000}"/>
    <cellStyle name="Normal 19 7" xfId="13856" xr:uid="{00000000-0005-0000-0000-00000C330000}"/>
    <cellStyle name="Normal 19 7 10" xfId="13857" xr:uid="{00000000-0005-0000-0000-00000D330000}"/>
    <cellStyle name="Normal 19 7 11" xfId="13858" xr:uid="{00000000-0005-0000-0000-00000E330000}"/>
    <cellStyle name="Normal 19 7 12" xfId="13859" xr:uid="{00000000-0005-0000-0000-00000F330000}"/>
    <cellStyle name="Normal 19 7 13" xfId="13860" xr:uid="{00000000-0005-0000-0000-000010330000}"/>
    <cellStyle name="Normal 19 7 2" xfId="13861" xr:uid="{00000000-0005-0000-0000-000011330000}"/>
    <cellStyle name="Normal 19 7 2 2" xfId="13862" xr:uid="{00000000-0005-0000-0000-000012330000}"/>
    <cellStyle name="Normal 19 7 2 3" xfId="13863" xr:uid="{00000000-0005-0000-0000-000013330000}"/>
    <cellStyle name="Normal 19 7 2 4" xfId="13864" xr:uid="{00000000-0005-0000-0000-000014330000}"/>
    <cellStyle name="Normal 19 7 2 5" xfId="13865" xr:uid="{00000000-0005-0000-0000-000015330000}"/>
    <cellStyle name="Normal 19 7 2 6" xfId="13866" xr:uid="{00000000-0005-0000-0000-000016330000}"/>
    <cellStyle name="Normal 19 7 3" xfId="13867" xr:uid="{00000000-0005-0000-0000-000017330000}"/>
    <cellStyle name="Normal 19 7 3 2" xfId="13868" xr:uid="{00000000-0005-0000-0000-000018330000}"/>
    <cellStyle name="Normal 19 7 3 3" xfId="13869" xr:uid="{00000000-0005-0000-0000-000019330000}"/>
    <cellStyle name="Normal 19 7 3 4" xfId="13870" xr:uid="{00000000-0005-0000-0000-00001A330000}"/>
    <cellStyle name="Normal 19 7 3 5" xfId="13871" xr:uid="{00000000-0005-0000-0000-00001B330000}"/>
    <cellStyle name="Normal 19 7 3 6" xfId="13872" xr:uid="{00000000-0005-0000-0000-00001C330000}"/>
    <cellStyle name="Normal 19 7 4" xfId="13873" xr:uid="{00000000-0005-0000-0000-00001D330000}"/>
    <cellStyle name="Normal 19 7 4 2" xfId="13874" xr:uid="{00000000-0005-0000-0000-00001E330000}"/>
    <cellStyle name="Normal 19 7 4 3" xfId="13875" xr:uid="{00000000-0005-0000-0000-00001F330000}"/>
    <cellStyle name="Normal 19 7 4 4" xfId="13876" xr:uid="{00000000-0005-0000-0000-000020330000}"/>
    <cellStyle name="Normal 19 7 4 5" xfId="13877" xr:uid="{00000000-0005-0000-0000-000021330000}"/>
    <cellStyle name="Normal 19 7 4 6" xfId="13878" xr:uid="{00000000-0005-0000-0000-000022330000}"/>
    <cellStyle name="Normal 19 7 5" xfId="13879" xr:uid="{00000000-0005-0000-0000-000023330000}"/>
    <cellStyle name="Normal 19 7 5 2" xfId="13880" xr:uid="{00000000-0005-0000-0000-000024330000}"/>
    <cellStyle name="Normal 19 7 5 3" xfId="13881" xr:uid="{00000000-0005-0000-0000-000025330000}"/>
    <cellStyle name="Normal 19 7 5 4" xfId="13882" xr:uid="{00000000-0005-0000-0000-000026330000}"/>
    <cellStyle name="Normal 19 7 5 5" xfId="13883" xr:uid="{00000000-0005-0000-0000-000027330000}"/>
    <cellStyle name="Normal 19 7 5 6" xfId="13884" xr:uid="{00000000-0005-0000-0000-000028330000}"/>
    <cellStyle name="Normal 19 7 6" xfId="13885" xr:uid="{00000000-0005-0000-0000-000029330000}"/>
    <cellStyle name="Normal 19 7 6 2" xfId="13886" xr:uid="{00000000-0005-0000-0000-00002A330000}"/>
    <cellStyle name="Normal 19 7 6 3" xfId="13887" xr:uid="{00000000-0005-0000-0000-00002B330000}"/>
    <cellStyle name="Normal 19 7 6 4" xfId="13888" xr:uid="{00000000-0005-0000-0000-00002C330000}"/>
    <cellStyle name="Normal 19 7 6 5" xfId="13889" xr:uid="{00000000-0005-0000-0000-00002D330000}"/>
    <cellStyle name="Normal 19 7 6 6" xfId="13890" xr:uid="{00000000-0005-0000-0000-00002E330000}"/>
    <cellStyle name="Normal 19 7 7" xfId="13891" xr:uid="{00000000-0005-0000-0000-00002F330000}"/>
    <cellStyle name="Normal 19 7 7 2" xfId="13892" xr:uid="{00000000-0005-0000-0000-000030330000}"/>
    <cellStyle name="Normal 19 7 7 3" xfId="13893" xr:uid="{00000000-0005-0000-0000-000031330000}"/>
    <cellStyle name="Normal 19 7 7 4" xfId="13894" xr:uid="{00000000-0005-0000-0000-000032330000}"/>
    <cellStyle name="Normal 19 7 7 5" xfId="13895" xr:uid="{00000000-0005-0000-0000-000033330000}"/>
    <cellStyle name="Normal 19 7 7 6" xfId="13896" xr:uid="{00000000-0005-0000-0000-000034330000}"/>
    <cellStyle name="Normal 19 7 8" xfId="13897" xr:uid="{00000000-0005-0000-0000-000035330000}"/>
    <cellStyle name="Normal 19 7 8 2" xfId="13898" xr:uid="{00000000-0005-0000-0000-000036330000}"/>
    <cellStyle name="Normal 19 7 8 3" xfId="13899" xr:uid="{00000000-0005-0000-0000-000037330000}"/>
    <cellStyle name="Normal 19 7 8 4" xfId="13900" xr:uid="{00000000-0005-0000-0000-000038330000}"/>
    <cellStyle name="Normal 19 7 8 5" xfId="13901" xr:uid="{00000000-0005-0000-0000-000039330000}"/>
    <cellStyle name="Normal 19 7 8 6" xfId="13902" xr:uid="{00000000-0005-0000-0000-00003A330000}"/>
    <cellStyle name="Normal 19 7 9" xfId="13903" xr:uid="{00000000-0005-0000-0000-00003B330000}"/>
    <cellStyle name="Normal 19 8" xfId="13904" xr:uid="{00000000-0005-0000-0000-00003C330000}"/>
    <cellStyle name="Normal 19 8 10" xfId="13905" xr:uid="{00000000-0005-0000-0000-00003D330000}"/>
    <cellStyle name="Normal 19 8 11" xfId="13906" xr:uid="{00000000-0005-0000-0000-00003E330000}"/>
    <cellStyle name="Normal 19 8 12" xfId="13907" xr:uid="{00000000-0005-0000-0000-00003F330000}"/>
    <cellStyle name="Normal 19 8 13" xfId="13908" xr:uid="{00000000-0005-0000-0000-000040330000}"/>
    <cellStyle name="Normal 19 8 2" xfId="13909" xr:uid="{00000000-0005-0000-0000-000041330000}"/>
    <cellStyle name="Normal 19 8 2 2" xfId="13910" xr:uid="{00000000-0005-0000-0000-000042330000}"/>
    <cellStyle name="Normal 19 8 2 3" xfId="13911" xr:uid="{00000000-0005-0000-0000-000043330000}"/>
    <cellStyle name="Normal 19 8 2 4" xfId="13912" xr:uid="{00000000-0005-0000-0000-000044330000}"/>
    <cellStyle name="Normal 19 8 2 5" xfId="13913" xr:uid="{00000000-0005-0000-0000-000045330000}"/>
    <cellStyle name="Normal 19 8 2 6" xfId="13914" xr:uid="{00000000-0005-0000-0000-000046330000}"/>
    <cellStyle name="Normal 19 8 3" xfId="13915" xr:uid="{00000000-0005-0000-0000-000047330000}"/>
    <cellStyle name="Normal 19 8 3 2" xfId="13916" xr:uid="{00000000-0005-0000-0000-000048330000}"/>
    <cellStyle name="Normal 19 8 3 3" xfId="13917" xr:uid="{00000000-0005-0000-0000-000049330000}"/>
    <cellStyle name="Normal 19 8 3 4" xfId="13918" xr:uid="{00000000-0005-0000-0000-00004A330000}"/>
    <cellStyle name="Normal 19 8 3 5" xfId="13919" xr:uid="{00000000-0005-0000-0000-00004B330000}"/>
    <cellStyle name="Normal 19 8 3 6" xfId="13920" xr:uid="{00000000-0005-0000-0000-00004C330000}"/>
    <cellStyle name="Normal 19 8 4" xfId="13921" xr:uid="{00000000-0005-0000-0000-00004D330000}"/>
    <cellStyle name="Normal 19 8 4 2" xfId="13922" xr:uid="{00000000-0005-0000-0000-00004E330000}"/>
    <cellStyle name="Normal 19 8 4 3" xfId="13923" xr:uid="{00000000-0005-0000-0000-00004F330000}"/>
    <cellStyle name="Normal 19 8 4 4" xfId="13924" xr:uid="{00000000-0005-0000-0000-000050330000}"/>
    <cellStyle name="Normal 19 8 4 5" xfId="13925" xr:uid="{00000000-0005-0000-0000-000051330000}"/>
    <cellStyle name="Normal 19 8 4 6" xfId="13926" xr:uid="{00000000-0005-0000-0000-000052330000}"/>
    <cellStyle name="Normal 19 8 5" xfId="13927" xr:uid="{00000000-0005-0000-0000-000053330000}"/>
    <cellStyle name="Normal 19 8 5 2" xfId="13928" xr:uid="{00000000-0005-0000-0000-000054330000}"/>
    <cellStyle name="Normal 19 8 5 3" xfId="13929" xr:uid="{00000000-0005-0000-0000-000055330000}"/>
    <cellStyle name="Normal 19 8 5 4" xfId="13930" xr:uid="{00000000-0005-0000-0000-000056330000}"/>
    <cellStyle name="Normal 19 8 5 5" xfId="13931" xr:uid="{00000000-0005-0000-0000-000057330000}"/>
    <cellStyle name="Normal 19 8 5 6" xfId="13932" xr:uid="{00000000-0005-0000-0000-000058330000}"/>
    <cellStyle name="Normal 19 8 6" xfId="13933" xr:uid="{00000000-0005-0000-0000-000059330000}"/>
    <cellStyle name="Normal 19 8 6 2" xfId="13934" xr:uid="{00000000-0005-0000-0000-00005A330000}"/>
    <cellStyle name="Normal 19 8 6 3" xfId="13935" xr:uid="{00000000-0005-0000-0000-00005B330000}"/>
    <cellStyle name="Normal 19 8 6 4" xfId="13936" xr:uid="{00000000-0005-0000-0000-00005C330000}"/>
    <cellStyle name="Normal 19 8 6 5" xfId="13937" xr:uid="{00000000-0005-0000-0000-00005D330000}"/>
    <cellStyle name="Normal 19 8 6 6" xfId="13938" xr:uid="{00000000-0005-0000-0000-00005E330000}"/>
    <cellStyle name="Normal 19 8 7" xfId="13939" xr:uid="{00000000-0005-0000-0000-00005F330000}"/>
    <cellStyle name="Normal 19 8 7 2" xfId="13940" xr:uid="{00000000-0005-0000-0000-000060330000}"/>
    <cellStyle name="Normal 19 8 7 3" xfId="13941" xr:uid="{00000000-0005-0000-0000-000061330000}"/>
    <cellStyle name="Normal 19 8 7 4" xfId="13942" xr:uid="{00000000-0005-0000-0000-000062330000}"/>
    <cellStyle name="Normal 19 8 7 5" xfId="13943" xr:uid="{00000000-0005-0000-0000-000063330000}"/>
    <cellStyle name="Normal 19 8 7 6" xfId="13944" xr:uid="{00000000-0005-0000-0000-000064330000}"/>
    <cellStyle name="Normal 19 8 8" xfId="13945" xr:uid="{00000000-0005-0000-0000-000065330000}"/>
    <cellStyle name="Normal 19 8 8 2" xfId="13946" xr:uid="{00000000-0005-0000-0000-000066330000}"/>
    <cellStyle name="Normal 19 8 8 3" xfId="13947" xr:uid="{00000000-0005-0000-0000-000067330000}"/>
    <cellStyle name="Normal 19 8 8 4" xfId="13948" xr:uid="{00000000-0005-0000-0000-000068330000}"/>
    <cellStyle name="Normal 19 8 8 5" xfId="13949" xr:uid="{00000000-0005-0000-0000-000069330000}"/>
    <cellStyle name="Normal 19 8 8 6" xfId="13950" xr:uid="{00000000-0005-0000-0000-00006A330000}"/>
    <cellStyle name="Normal 19 8 9" xfId="13951" xr:uid="{00000000-0005-0000-0000-00006B330000}"/>
    <cellStyle name="Normal 19 9" xfId="13952" xr:uid="{00000000-0005-0000-0000-00006C330000}"/>
    <cellStyle name="Normal 19 9 10" xfId="13953" xr:uid="{00000000-0005-0000-0000-00006D330000}"/>
    <cellStyle name="Normal 19 9 11" xfId="13954" xr:uid="{00000000-0005-0000-0000-00006E330000}"/>
    <cellStyle name="Normal 19 9 12" xfId="13955" xr:uid="{00000000-0005-0000-0000-00006F330000}"/>
    <cellStyle name="Normal 19 9 13" xfId="13956" xr:uid="{00000000-0005-0000-0000-000070330000}"/>
    <cellStyle name="Normal 19 9 2" xfId="13957" xr:uid="{00000000-0005-0000-0000-000071330000}"/>
    <cellStyle name="Normal 19 9 2 2" xfId="13958" xr:uid="{00000000-0005-0000-0000-000072330000}"/>
    <cellStyle name="Normal 19 9 2 3" xfId="13959" xr:uid="{00000000-0005-0000-0000-000073330000}"/>
    <cellStyle name="Normal 19 9 2 4" xfId="13960" xr:uid="{00000000-0005-0000-0000-000074330000}"/>
    <cellStyle name="Normal 19 9 2 5" xfId="13961" xr:uid="{00000000-0005-0000-0000-000075330000}"/>
    <cellStyle name="Normal 19 9 2 6" xfId="13962" xr:uid="{00000000-0005-0000-0000-000076330000}"/>
    <cellStyle name="Normal 19 9 3" xfId="13963" xr:uid="{00000000-0005-0000-0000-000077330000}"/>
    <cellStyle name="Normal 19 9 3 2" xfId="13964" xr:uid="{00000000-0005-0000-0000-000078330000}"/>
    <cellStyle name="Normal 19 9 3 3" xfId="13965" xr:uid="{00000000-0005-0000-0000-000079330000}"/>
    <cellStyle name="Normal 19 9 3 4" xfId="13966" xr:uid="{00000000-0005-0000-0000-00007A330000}"/>
    <cellStyle name="Normal 19 9 3 5" xfId="13967" xr:uid="{00000000-0005-0000-0000-00007B330000}"/>
    <cellStyle name="Normal 19 9 3 6" xfId="13968" xr:uid="{00000000-0005-0000-0000-00007C330000}"/>
    <cellStyle name="Normal 19 9 4" xfId="13969" xr:uid="{00000000-0005-0000-0000-00007D330000}"/>
    <cellStyle name="Normal 19 9 4 2" xfId="13970" xr:uid="{00000000-0005-0000-0000-00007E330000}"/>
    <cellStyle name="Normal 19 9 4 3" xfId="13971" xr:uid="{00000000-0005-0000-0000-00007F330000}"/>
    <cellStyle name="Normal 19 9 4 4" xfId="13972" xr:uid="{00000000-0005-0000-0000-000080330000}"/>
    <cellStyle name="Normal 19 9 4 5" xfId="13973" xr:uid="{00000000-0005-0000-0000-000081330000}"/>
    <cellStyle name="Normal 19 9 4 6" xfId="13974" xr:uid="{00000000-0005-0000-0000-000082330000}"/>
    <cellStyle name="Normal 19 9 5" xfId="13975" xr:uid="{00000000-0005-0000-0000-000083330000}"/>
    <cellStyle name="Normal 19 9 5 2" xfId="13976" xr:uid="{00000000-0005-0000-0000-000084330000}"/>
    <cellStyle name="Normal 19 9 5 3" xfId="13977" xr:uid="{00000000-0005-0000-0000-000085330000}"/>
    <cellStyle name="Normal 19 9 5 4" xfId="13978" xr:uid="{00000000-0005-0000-0000-000086330000}"/>
    <cellStyle name="Normal 19 9 5 5" xfId="13979" xr:uid="{00000000-0005-0000-0000-000087330000}"/>
    <cellStyle name="Normal 19 9 5 6" xfId="13980" xr:uid="{00000000-0005-0000-0000-000088330000}"/>
    <cellStyle name="Normal 19 9 6" xfId="13981" xr:uid="{00000000-0005-0000-0000-000089330000}"/>
    <cellStyle name="Normal 19 9 6 2" xfId="13982" xr:uid="{00000000-0005-0000-0000-00008A330000}"/>
    <cellStyle name="Normal 19 9 6 3" xfId="13983" xr:uid="{00000000-0005-0000-0000-00008B330000}"/>
    <cellStyle name="Normal 19 9 6 4" xfId="13984" xr:uid="{00000000-0005-0000-0000-00008C330000}"/>
    <cellStyle name="Normal 19 9 6 5" xfId="13985" xr:uid="{00000000-0005-0000-0000-00008D330000}"/>
    <cellStyle name="Normal 19 9 6 6" xfId="13986" xr:uid="{00000000-0005-0000-0000-00008E330000}"/>
    <cellStyle name="Normal 19 9 7" xfId="13987" xr:uid="{00000000-0005-0000-0000-00008F330000}"/>
    <cellStyle name="Normal 19 9 7 2" xfId="13988" xr:uid="{00000000-0005-0000-0000-000090330000}"/>
    <cellStyle name="Normal 19 9 7 3" xfId="13989" xr:uid="{00000000-0005-0000-0000-000091330000}"/>
    <cellStyle name="Normal 19 9 7 4" xfId="13990" xr:uid="{00000000-0005-0000-0000-000092330000}"/>
    <cellStyle name="Normal 19 9 7 5" xfId="13991" xr:uid="{00000000-0005-0000-0000-000093330000}"/>
    <cellStyle name="Normal 19 9 7 6" xfId="13992" xr:uid="{00000000-0005-0000-0000-000094330000}"/>
    <cellStyle name="Normal 19 9 8" xfId="13993" xr:uid="{00000000-0005-0000-0000-000095330000}"/>
    <cellStyle name="Normal 19 9 8 2" xfId="13994" xr:uid="{00000000-0005-0000-0000-000096330000}"/>
    <cellStyle name="Normal 19 9 8 3" xfId="13995" xr:uid="{00000000-0005-0000-0000-000097330000}"/>
    <cellStyle name="Normal 19 9 8 4" xfId="13996" xr:uid="{00000000-0005-0000-0000-000098330000}"/>
    <cellStyle name="Normal 19 9 8 5" xfId="13997" xr:uid="{00000000-0005-0000-0000-000099330000}"/>
    <cellStyle name="Normal 19 9 8 6" xfId="13998" xr:uid="{00000000-0005-0000-0000-00009A330000}"/>
    <cellStyle name="Normal 19 9 9" xfId="13999" xr:uid="{00000000-0005-0000-0000-00009B330000}"/>
    <cellStyle name="Normal 2" xfId="826" xr:uid="{00000000-0005-0000-0000-00009C330000}"/>
    <cellStyle name="Normal 2 10" xfId="14000" xr:uid="{00000000-0005-0000-0000-00009D330000}"/>
    <cellStyle name="Normal 2 10 10" xfId="14001" xr:uid="{00000000-0005-0000-0000-00009E330000}"/>
    <cellStyle name="Normal 2 10 11" xfId="14002" xr:uid="{00000000-0005-0000-0000-00009F330000}"/>
    <cellStyle name="Normal 2 10 12" xfId="14003" xr:uid="{00000000-0005-0000-0000-0000A0330000}"/>
    <cellStyle name="Normal 2 10 13" xfId="14004" xr:uid="{00000000-0005-0000-0000-0000A1330000}"/>
    <cellStyle name="Normal 2 10 14" xfId="14005" xr:uid="{00000000-0005-0000-0000-0000A2330000}"/>
    <cellStyle name="Normal 2 10 15" xfId="14006" xr:uid="{00000000-0005-0000-0000-0000A3330000}"/>
    <cellStyle name="Normal 2 10 16" xfId="14007" xr:uid="{00000000-0005-0000-0000-0000A4330000}"/>
    <cellStyle name="Normal 2 10 17" xfId="14008" xr:uid="{00000000-0005-0000-0000-0000A5330000}"/>
    <cellStyle name="Normal 2 10 18" xfId="14009" xr:uid="{00000000-0005-0000-0000-0000A6330000}"/>
    <cellStyle name="Normal 2 10 19" xfId="14010" xr:uid="{00000000-0005-0000-0000-0000A7330000}"/>
    <cellStyle name="Normal 2 10 2" xfId="14011" xr:uid="{00000000-0005-0000-0000-0000A8330000}"/>
    <cellStyle name="Normal 2 10 2 2" xfId="14012" xr:uid="{00000000-0005-0000-0000-0000A9330000}"/>
    <cellStyle name="Normal 2 10 2 2 2" xfId="14013" xr:uid="{00000000-0005-0000-0000-0000AA330000}"/>
    <cellStyle name="Normal 2 10 2 2 2 2" xfId="14014" xr:uid="{00000000-0005-0000-0000-0000AB330000}"/>
    <cellStyle name="Normal 2 10 2 2 2 3" xfId="14015" xr:uid="{00000000-0005-0000-0000-0000AC330000}"/>
    <cellStyle name="Normal 2 10 20" xfId="14016" xr:uid="{00000000-0005-0000-0000-0000AD330000}"/>
    <cellStyle name="Normal 2 10 21" xfId="14017" xr:uid="{00000000-0005-0000-0000-0000AE330000}"/>
    <cellStyle name="Normal 2 10 22" xfId="14018" xr:uid="{00000000-0005-0000-0000-0000AF330000}"/>
    <cellStyle name="Normal 2 10 23" xfId="14019" xr:uid="{00000000-0005-0000-0000-0000B0330000}"/>
    <cellStyle name="Normal 2 10 24" xfId="14020" xr:uid="{00000000-0005-0000-0000-0000B1330000}"/>
    <cellStyle name="Normal 2 10 25" xfId="14021" xr:uid="{00000000-0005-0000-0000-0000B2330000}"/>
    <cellStyle name="Normal 2 10 26" xfId="14022" xr:uid="{00000000-0005-0000-0000-0000B3330000}"/>
    <cellStyle name="Normal 2 10 27" xfId="14023" xr:uid="{00000000-0005-0000-0000-0000B4330000}"/>
    <cellStyle name="Normal 2 10 28" xfId="14024" xr:uid="{00000000-0005-0000-0000-0000B5330000}"/>
    <cellStyle name="Normal 2 10 29" xfId="14025" xr:uid="{00000000-0005-0000-0000-0000B6330000}"/>
    <cellStyle name="Normal 2 10 3" xfId="14026" xr:uid="{00000000-0005-0000-0000-0000B7330000}"/>
    <cellStyle name="Normal 2 10 30" xfId="14027" xr:uid="{00000000-0005-0000-0000-0000B8330000}"/>
    <cellStyle name="Normal 2 10 31" xfId="14028" xr:uid="{00000000-0005-0000-0000-0000B9330000}"/>
    <cellStyle name="Normal 2 10 32" xfId="14029" xr:uid="{00000000-0005-0000-0000-0000BA330000}"/>
    <cellStyle name="Normal 2 10 33" xfId="14030" xr:uid="{00000000-0005-0000-0000-0000BB330000}"/>
    <cellStyle name="Normal 2 10 34" xfId="14031" xr:uid="{00000000-0005-0000-0000-0000BC330000}"/>
    <cellStyle name="Normal 2 10 35" xfId="14032" xr:uid="{00000000-0005-0000-0000-0000BD330000}"/>
    <cellStyle name="Normal 2 10 36" xfId="14033" xr:uid="{00000000-0005-0000-0000-0000BE330000}"/>
    <cellStyle name="Normal 2 10 37" xfId="14034" xr:uid="{00000000-0005-0000-0000-0000BF330000}"/>
    <cellStyle name="Normal 2 10 38" xfId="14035" xr:uid="{00000000-0005-0000-0000-0000C0330000}"/>
    <cellStyle name="Normal 2 10 39" xfId="14036" xr:uid="{00000000-0005-0000-0000-0000C1330000}"/>
    <cellStyle name="Normal 2 10 4" xfId="14037" xr:uid="{00000000-0005-0000-0000-0000C2330000}"/>
    <cellStyle name="Normal 2 10 40" xfId="14038" xr:uid="{00000000-0005-0000-0000-0000C3330000}"/>
    <cellStyle name="Normal 2 10 41" xfId="14039" xr:uid="{00000000-0005-0000-0000-0000C4330000}"/>
    <cellStyle name="Normal 2 10 42" xfId="14040" xr:uid="{00000000-0005-0000-0000-0000C5330000}"/>
    <cellStyle name="Normal 2 10 43" xfId="14041" xr:uid="{00000000-0005-0000-0000-0000C6330000}"/>
    <cellStyle name="Normal 2 10 44" xfId="14042" xr:uid="{00000000-0005-0000-0000-0000C7330000}"/>
    <cellStyle name="Normal 2 10 45" xfId="14043" xr:uid="{00000000-0005-0000-0000-0000C8330000}"/>
    <cellStyle name="Normal 2 10 46" xfId="14044" xr:uid="{00000000-0005-0000-0000-0000C9330000}"/>
    <cellStyle name="Normal 2 10 47" xfId="14045" xr:uid="{00000000-0005-0000-0000-0000CA330000}"/>
    <cellStyle name="Normal 2 10 48" xfId="14046" xr:uid="{00000000-0005-0000-0000-0000CB330000}"/>
    <cellStyle name="Normal 2 10 49" xfId="14047" xr:uid="{00000000-0005-0000-0000-0000CC330000}"/>
    <cellStyle name="Normal 2 10 5" xfId="14048" xr:uid="{00000000-0005-0000-0000-0000CD330000}"/>
    <cellStyle name="Normal 2 10 50" xfId="14049" xr:uid="{00000000-0005-0000-0000-0000CE330000}"/>
    <cellStyle name="Normal 2 10 51" xfId="14050" xr:uid="{00000000-0005-0000-0000-0000CF330000}"/>
    <cellStyle name="Normal 2 10 52" xfId="14051" xr:uid="{00000000-0005-0000-0000-0000D0330000}"/>
    <cellStyle name="Normal 2 10 53" xfId="14052" xr:uid="{00000000-0005-0000-0000-0000D1330000}"/>
    <cellStyle name="Normal 2 10 6" xfId="14053" xr:uid="{00000000-0005-0000-0000-0000D2330000}"/>
    <cellStyle name="Normal 2 10 7" xfId="14054" xr:uid="{00000000-0005-0000-0000-0000D3330000}"/>
    <cellStyle name="Normal 2 10 8" xfId="14055" xr:uid="{00000000-0005-0000-0000-0000D4330000}"/>
    <cellStyle name="Normal 2 10 9" xfId="14056" xr:uid="{00000000-0005-0000-0000-0000D5330000}"/>
    <cellStyle name="Normal 2 100" xfId="43193" xr:uid="{00000000-0005-0000-0000-0000D6330000}"/>
    <cellStyle name="Normal 2 11" xfId="14057" xr:uid="{00000000-0005-0000-0000-0000D7330000}"/>
    <cellStyle name="Normal 2 11 10" xfId="14058" xr:uid="{00000000-0005-0000-0000-0000D8330000}"/>
    <cellStyle name="Normal 2 11 11" xfId="14059" xr:uid="{00000000-0005-0000-0000-0000D9330000}"/>
    <cellStyle name="Normal 2 11 12" xfId="14060" xr:uid="{00000000-0005-0000-0000-0000DA330000}"/>
    <cellStyle name="Normal 2 11 13" xfId="14061" xr:uid="{00000000-0005-0000-0000-0000DB330000}"/>
    <cellStyle name="Normal 2 11 14" xfId="14062" xr:uid="{00000000-0005-0000-0000-0000DC330000}"/>
    <cellStyle name="Normal 2 11 15" xfId="14063" xr:uid="{00000000-0005-0000-0000-0000DD330000}"/>
    <cellStyle name="Normal 2 11 16" xfId="14064" xr:uid="{00000000-0005-0000-0000-0000DE330000}"/>
    <cellStyle name="Normal 2 11 17" xfId="14065" xr:uid="{00000000-0005-0000-0000-0000DF330000}"/>
    <cellStyle name="Normal 2 11 18" xfId="14066" xr:uid="{00000000-0005-0000-0000-0000E0330000}"/>
    <cellStyle name="Normal 2 11 19" xfId="14067" xr:uid="{00000000-0005-0000-0000-0000E1330000}"/>
    <cellStyle name="Normal 2 11 2" xfId="14068" xr:uid="{00000000-0005-0000-0000-0000E2330000}"/>
    <cellStyle name="Normal 2 11 20" xfId="14069" xr:uid="{00000000-0005-0000-0000-0000E3330000}"/>
    <cellStyle name="Normal 2 11 21" xfId="14070" xr:uid="{00000000-0005-0000-0000-0000E4330000}"/>
    <cellStyle name="Normal 2 11 22" xfId="14071" xr:uid="{00000000-0005-0000-0000-0000E5330000}"/>
    <cellStyle name="Normal 2 11 23" xfId="14072" xr:uid="{00000000-0005-0000-0000-0000E6330000}"/>
    <cellStyle name="Normal 2 11 24" xfId="14073" xr:uid="{00000000-0005-0000-0000-0000E7330000}"/>
    <cellStyle name="Normal 2 11 25" xfId="14074" xr:uid="{00000000-0005-0000-0000-0000E8330000}"/>
    <cellStyle name="Normal 2 11 26" xfId="14075" xr:uid="{00000000-0005-0000-0000-0000E9330000}"/>
    <cellStyle name="Normal 2 11 27" xfId="14076" xr:uid="{00000000-0005-0000-0000-0000EA330000}"/>
    <cellStyle name="Normal 2 11 28" xfId="14077" xr:uid="{00000000-0005-0000-0000-0000EB330000}"/>
    <cellStyle name="Normal 2 11 29" xfId="14078" xr:uid="{00000000-0005-0000-0000-0000EC330000}"/>
    <cellStyle name="Normal 2 11 3" xfId="14079" xr:uid="{00000000-0005-0000-0000-0000ED330000}"/>
    <cellStyle name="Normal 2 11 30" xfId="14080" xr:uid="{00000000-0005-0000-0000-0000EE330000}"/>
    <cellStyle name="Normal 2 11 31" xfId="14081" xr:uid="{00000000-0005-0000-0000-0000EF330000}"/>
    <cellStyle name="Normal 2 11 32" xfId="14082" xr:uid="{00000000-0005-0000-0000-0000F0330000}"/>
    <cellStyle name="Normal 2 11 33" xfId="14083" xr:uid="{00000000-0005-0000-0000-0000F1330000}"/>
    <cellStyle name="Normal 2 11 34" xfId="14084" xr:uid="{00000000-0005-0000-0000-0000F2330000}"/>
    <cellStyle name="Normal 2 11 35" xfId="14085" xr:uid="{00000000-0005-0000-0000-0000F3330000}"/>
    <cellStyle name="Normal 2 11 36" xfId="14086" xr:uid="{00000000-0005-0000-0000-0000F4330000}"/>
    <cellStyle name="Normal 2 11 37" xfId="14087" xr:uid="{00000000-0005-0000-0000-0000F5330000}"/>
    <cellStyle name="Normal 2 11 38" xfId="14088" xr:uid="{00000000-0005-0000-0000-0000F6330000}"/>
    <cellStyle name="Normal 2 11 39" xfId="14089" xr:uid="{00000000-0005-0000-0000-0000F7330000}"/>
    <cellStyle name="Normal 2 11 4" xfId="14090" xr:uid="{00000000-0005-0000-0000-0000F8330000}"/>
    <cellStyle name="Normal 2 11 40" xfId="14091" xr:uid="{00000000-0005-0000-0000-0000F9330000}"/>
    <cellStyle name="Normal 2 11 41" xfId="14092" xr:uid="{00000000-0005-0000-0000-0000FA330000}"/>
    <cellStyle name="Normal 2 11 42" xfId="14093" xr:uid="{00000000-0005-0000-0000-0000FB330000}"/>
    <cellStyle name="Normal 2 11 43" xfId="14094" xr:uid="{00000000-0005-0000-0000-0000FC330000}"/>
    <cellStyle name="Normal 2 11 44" xfId="14095" xr:uid="{00000000-0005-0000-0000-0000FD330000}"/>
    <cellStyle name="Normal 2 11 45" xfId="14096" xr:uid="{00000000-0005-0000-0000-0000FE330000}"/>
    <cellStyle name="Normal 2 11 46" xfId="14097" xr:uid="{00000000-0005-0000-0000-0000FF330000}"/>
    <cellStyle name="Normal 2 11 47" xfId="14098" xr:uid="{00000000-0005-0000-0000-000000340000}"/>
    <cellStyle name="Normal 2 11 48" xfId="14099" xr:uid="{00000000-0005-0000-0000-000001340000}"/>
    <cellStyle name="Normal 2 11 49" xfId="14100" xr:uid="{00000000-0005-0000-0000-000002340000}"/>
    <cellStyle name="Normal 2 11 5" xfId="14101" xr:uid="{00000000-0005-0000-0000-000003340000}"/>
    <cellStyle name="Normal 2 11 50" xfId="14102" xr:uid="{00000000-0005-0000-0000-000004340000}"/>
    <cellStyle name="Normal 2 11 51" xfId="14103" xr:uid="{00000000-0005-0000-0000-000005340000}"/>
    <cellStyle name="Normal 2 11 52" xfId="14104" xr:uid="{00000000-0005-0000-0000-000006340000}"/>
    <cellStyle name="Normal 2 11 53" xfId="14105" xr:uid="{00000000-0005-0000-0000-000007340000}"/>
    <cellStyle name="Normal 2 11 6" xfId="14106" xr:uid="{00000000-0005-0000-0000-000008340000}"/>
    <cellStyle name="Normal 2 11 7" xfId="14107" xr:uid="{00000000-0005-0000-0000-000009340000}"/>
    <cellStyle name="Normal 2 11 8" xfId="14108" xr:uid="{00000000-0005-0000-0000-00000A340000}"/>
    <cellStyle name="Normal 2 11 9" xfId="14109" xr:uid="{00000000-0005-0000-0000-00000B340000}"/>
    <cellStyle name="Normal 2 12" xfId="14110" xr:uid="{00000000-0005-0000-0000-00000C340000}"/>
    <cellStyle name="Normal 2 12 10" xfId="14111" xr:uid="{00000000-0005-0000-0000-00000D340000}"/>
    <cellStyle name="Normal 2 12 11" xfId="14112" xr:uid="{00000000-0005-0000-0000-00000E340000}"/>
    <cellStyle name="Normal 2 12 12" xfId="14113" xr:uid="{00000000-0005-0000-0000-00000F340000}"/>
    <cellStyle name="Normal 2 12 13" xfId="14114" xr:uid="{00000000-0005-0000-0000-000010340000}"/>
    <cellStyle name="Normal 2 12 14" xfId="14115" xr:uid="{00000000-0005-0000-0000-000011340000}"/>
    <cellStyle name="Normal 2 12 15" xfId="14116" xr:uid="{00000000-0005-0000-0000-000012340000}"/>
    <cellStyle name="Normal 2 12 16" xfId="14117" xr:uid="{00000000-0005-0000-0000-000013340000}"/>
    <cellStyle name="Normal 2 12 17" xfId="14118" xr:uid="{00000000-0005-0000-0000-000014340000}"/>
    <cellStyle name="Normal 2 12 18" xfId="14119" xr:uid="{00000000-0005-0000-0000-000015340000}"/>
    <cellStyle name="Normal 2 12 19" xfId="14120" xr:uid="{00000000-0005-0000-0000-000016340000}"/>
    <cellStyle name="Normal 2 12 2" xfId="14121" xr:uid="{00000000-0005-0000-0000-000017340000}"/>
    <cellStyle name="Normal 2 12 20" xfId="14122" xr:uid="{00000000-0005-0000-0000-000018340000}"/>
    <cellStyle name="Normal 2 12 21" xfId="14123" xr:uid="{00000000-0005-0000-0000-000019340000}"/>
    <cellStyle name="Normal 2 12 22" xfId="14124" xr:uid="{00000000-0005-0000-0000-00001A340000}"/>
    <cellStyle name="Normal 2 12 23" xfId="14125" xr:uid="{00000000-0005-0000-0000-00001B340000}"/>
    <cellStyle name="Normal 2 12 24" xfId="14126" xr:uid="{00000000-0005-0000-0000-00001C340000}"/>
    <cellStyle name="Normal 2 12 25" xfId="14127" xr:uid="{00000000-0005-0000-0000-00001D340000}"/>
    <cellStyle name="Normal 2 12 26" xfId="14128" xr:uid="{00000000-0005-0000-0000-00001E340000}"/>
    <cellStyle name="Normal 2 12 27" xfId="14129" xr:uid="{00000000-0005-0000-0000-00001F340000}"/>
    <cellStyle name="Normal 2 12 28" xfId="14130" xr:uid="{00000000-0005-0000-0000-000020340000}"/>
    <cellStyle name="Normal 2 12 29" xfId="14131" xr:uid="{00000000-0005-0000-0000-000021340000}"/>
    <cellStyle name="Normal 2 12 3" xfId="14132" xr:uid="{00000000-0005-0000-0000-000022340000}"/>
    <cellStyle name="Normal 2 12 30" xfId="14133" xr:uid="{00000000-0005-0000-0000-000023340000}"/>
    <cellStyle name="Normal 2 12 31" xfId="14134" xr:uid="{00000000-0005-0000-0000-000024340000}"/>
    <cellStyle name="Normal 2 12 32" xfId="14135" xr:uid="{00000000-0005-0000-0000-000025340000}"/>
    <cellStyle name="Normal 2 12 33" xfId="14136" xr:uid="{00000000-0005-0000-0000-000026340000}"/>
    <cellStyle name="Normal 2 12 34" xfId="14137" xr:uid="{00000000-0005-0000-0000-000027340000}"/>
    <cellStyle name="Normal 2 12 35" xfId="14138" xr:uid="{00000000-0005-0000-0000-000028340000}"/>
    <cellStyle name="Normal 2 12 36" xfId="14139" xr:uid="{00000000-0005-0000-0000-000029340000}"/>
    <cellStyle name="Normal 2 12 37" xfId="14140" xr:uid="{00000000-0005-0000-0000-00002A340000}"/>
    <cellStyle name="Normal 2 12 38" xfId="14141" xr:uid="{00000000-0005-0000-0000-00002B340000}"/>
    <cellStyle name="Normal 2 12 39" xfId="14142" xr:uid="{00000000-0005-0000-0000-00002C340000}"/>
    <cellStyle name="Normal 2 12 4" xfId="14143" xr:uid="{00000000-0005-0000-0000-00002D340000}"/>
    <cellStyle name="Normal 2 12 40" xfId="14144" xr:uid="{00000000-0005-0000-0000-00002E340000}"/>
    <cellStyle name="Normal 2 12 41" xfId="14145" xr:uid="{00000000-0005-0000-0000-00002F340000}"/>
    <cellStyle name="Normal 2 12 42" xfId="14146" xr:uid="{00000000-0005-0000-0000-000030340000}"/>
    <cellStyle name="Normal 2 12 43" xfId="14147" xr:uid="{00000000-0005-0000-0000-000031340000}"/>
    <cellStyle name="Normal 2 12 44" xfId="14148" xr:uid="{00000000-0005-0000-0000-000032340000}"/>
    <cellStyle name="Normal 2 12 45" xfId="14149" xr:uid="{00000000-0005-0000-0000-000033340000}"/>
    <cellStyle name="Normal 2 12 46" xfId="14150" xr:uid="{00000000-0005-0000-0000-000034340000}"/>
    <cellStyle name="Normal 2 12 47" xfId="14151" xr:uid="{00000000-0005-0000-0000-000035340000}"/>
    <cellStyle name="Normal 2 12 48" xfId="14152" xr:uid="{00000000-0005-0000-0000-000036340000}"/>
    <cellStyle name="Normal 2 12 49" xfId="14153" xr:uid="{00000000-0005-0000-0000-000037340000}"/>
    <cellStyle name="Normal 2 12 5" xfId="14154" xr:uid="{00000000-0005-0000-0000-000038340000}"/>
    <cellStyle name="Normal 2 12 50" xfId="14155" xr:uid="{00000000-0005-0000-0000-000039340000}"/>
    <cellStyle name="Normal 2 12 51" xfId="14156" xr:uid="{00000000-0005-0000-0000-00003A340000}"/>
    <cellStyle name="Normal 2 12 52" xfId="14157" xr:uid="{00000000-0005-0000-0000-00003B340000}"/>
    <cellStyle name="Normal 2 12 53" xfId="14158" xr:uid="{00000000-0005-0000-0000-00003C340000}"/>
    <cellStyle name="Normal 2 12 6" xfId="14159" xr:uid="{00000000-0005-0000-0000-00003D340000}"/>
    <cellStyle name="Normal 2 12 7" xfId="14160" xr:uid="{00000000-0005-0000-0000-00003E340000}"/>
    <cellStyle name="Normal 2 12 8" xfId="14161" xr:uid="{00000000-0005-0000-0000-00003F340000}"/>
    <cellStyle name="Normal 2 12 9" xfId="14162" xr:uid="{00000000-0005-0000-0000-000040340000}"/>
    <cellStyle name="Normal 2 13" xfId="14163" xr:uid="{00000000-0005-0000-0000-000041340000}"/>
    <cellStyle name="Normal 2 13 10" xfId="14164" xr:uid="{00000000-0005-0000-0000-000042340000}"/>
    <cellStyle name="Normal 2 13 11" xfId="14165" xr:uid="{00000000-0005-0000-0000-000043340000}"/>
    <cellStyle name="Normal 2 13 12" xfId="14166" xr:uid="{00000000-0005-0000-0000-000044340000}"/>
    <cellStyle name="Normal 2 13 13" xfId="14167" xr:uid="{00000000-0005-0000-0000-000045340000}"/>
    <cellStyle name="Normal 2 13 14" xfId="14168" xr:uid="{00000000-0005-0000-0000-000046340000}"/>
    <cellStyle name="Normal 2 13 15" xfId="14169" xr:uid="{00000000-0005-0000-0000-000047340000}"/>
    <cellStyle name="Normal 2 13 16" xfId="14170" xr:uid="{00000000-0005-0000-0000-000048340000}"/>
    <cellStyle name="Normal 2 13 17" xfId="14171" xr:uid="{00000000-0005-0000-0000-000049340000}"/>
    <cellStyle name="Normal 2 13 18" xfId="14172" xr:uid="{00000000-0005-0000-0000-00004A340000}"/>
    <cellStyle name="Normal 2 13 19" xfId="14173" xr:uid="{00000000-0005-0000-0000-00004B340000}"/>
    <cellStyle name="Normal 2 13 2" xfId="14174" xr:uid="{00000000-0005-0000-0000-00004C340000}"/>
    <cellStyle name="Normal 2 13 20" xfId="14175" xr:uid="{00000000-0005-0000-0000-00004D340000}"/>
    <cellStyle name="Normal 2 13 21" xfId="14176" xr:uid="{00000000-0005-0000-0000-00004E340000}"/>
    <cellStyle name="Normal 2 13 22" xfId="14177" xr:uid="{00000000-0005-0000-0000-00004F340000}"/>
    <cellStyle name="Normal 2 13 23" xfId="14178" xr:uid="{00000000-0005-0000-0000-000050340000}"/>
    <cellStyle name="Normal 2 13 24" xfId="14179" xr:uid="{00000000-0005-0000-0000-000051340000}"/>
    <cellStyle name="Normal 2 13 25" xfId="14180" xr:uid="{00000000-0005-0000-0000-000052340000}"/>
    <cellStyle name="Normal 2 13 26" xfId="14181" xr:uid="{00000000-0005-0000-0000-000053340000}"/>
    <cellStyle name="Normal 2 13 27" xfId="14182" xr:uid="{00000000-0005-0000-0000-000054340000}"/>
    <cellStyle name="Normal 2 13 28" xfId="14183" xr:uid="{00000000-0005-0000-0000-000055340000}"/>
    <cellStyle name="Normal 2 13 29" xfId="14184" xr:uid="{00000000-0005-0000-0000-000056340000}"/>
    <cellStyle name="Normal 2 13 3" xfId="14185" xr:uid="{00000000-0005-0000-0000-000057340000}"/>
    <cellStyle name="Normal 2 13 30" xfId="14186" xr:uid="{00000000-0005-0000-0000-000058340000}"/>
    <cellStyle name="Normal 2 13 31" xfId="14187" xr:uid="{00000000-0005-0000-0000-000059340000}"/>
    <cellStyle name="Normal 2 13 32" xfId="14188" xr:uid="{00000000-0005-0000-0000-00005A340000}"/>
    <cellStyle name="Normal 2 13 33" xfId="14189" xr:uid="{00000000-0005-0000-0000-00005B340000}"/>
    <cellStyle name="Normal 2 13 34" xfId="14190" xr:uid="{00000000-0005-0000-0000-00005C340000}"/>
    <cellStyle name="Normal 2 13 35" xfId="14191" xr:uid="{00000000-0005-0000-0000-00005D340000}"/>
    <cellStyle name="Normal 2 13 36" xfId="14192" xr:uid="{00000000-0005-0000-0000-00005E340000}"/>
    <cellStyle name="Normal 2 13 37" xfId="14193" xr:uid="{00000000-0005-0000-0000-00005F340000}"/>
    <cellStyle name="Normal 2 13 38" xfId="14194" xr:uid="{00000000-0005-0000-0000-000060340000}"/>
    <cellStyle name="Normal 2 13 39" xfId="14195" xr:uid="{00000000-0005-0000-0000-000061340000}"/>
    <cellStyle name="Normal 2 13 4" xfId="14196" xr:uid="{00000000-0005-0000-0000-000062340000}"/>
    <cellStyle name="Normal 2 13 40" xfId="14197" xr:uid="{00000000-0005-0000-0000-000063340000}"/>
    <cellStyle name="Normal 2 13 41" xfId="14198" xr:uid="{00000000-0005-0000-0000-000064340000}"/>
    <cellStyle name="Normal 2 13 42" xfId="14199" xr:uid="{00000000-0005-0000-0000-000065340000}"/>
    <cellStyle name="Normal 2 13 43" xfId="14200" xr:uid="{00000000-0005-0000-0000-000066340000}"/>
    <cellStyle name="Normal 2 13 44" xfId="14201" xr:uid="{00000000-0005-0000-0000-000067340000}"/>
    <cellStyle name="Normal 2 13 45" xfId="14202" xr:uid="{00000000-0005-0000-0000-000068340000}"/>
    <cellStyle name="Normal 2 13 46" xfId="14203" xr:uid="{00000000-0005-0000-0000-000069340000}"/>
    <cellStyle name="Normal 2 13 47" xfId="14204" xr:uid="{00000000-0005-0000-0000-00006A340000}"/>
    <cellStyle name="Normal 2 13 48" xfId="14205" xr:uid="{00000000-0005-0000-0000-00006B340000}"/>
    <cellStyle name="Normal 2 13 49" xfId="14206" xr:uid="{00000000-0005-0000-0000-00006C340000}"/>
    <cellStyle name="Normal 2 13 5" xfId="14207" xr:uid="{00000000-0005-0000-0000-00006D340000}"/>
    <cellStyle name="Normal 2 13 50" xfId="14208" xr:uid="{00000000-0005-0000-0000-00006E340000}"/>
    <cellStyle name="Normal 2 13 51" xfId="14209" xr:uid="{00000000-0005-0000-0000-00006F340000}"/>
    <cellStyle name="Normal 2 13 52" xfId="14210" xr:uid="{00000000-0005-0000-0000-000070340000}"/>
    <cellStyle name="Normal 2 13 53" xfId="14211" xr:uid="{00000000-0005-0000-0000-000071340000}"/>
    <cellStyle name="Normal 2 13 54" xfId="14212" xr:uid="{00000000-0005-0000-0000-000072340000}"/>
    <cellStyle name="Normal 2 13 6" xfId="14213" xr:uid="{00000000-0005-0000-0000-000073340000}"/>
    <cellStyle name="Normal 2 13 7" xfId="14214" xr:uid="{00000000-0005-0000-0000-000074340000}"/>
    <cellStyle name="Normal 2 13 8" xfId="14215" xr:uid="{00000000-0005-0000-0000-000075340000}"/>
    <cellStyle name="Normal 2 13 9" xfId="14216" xr:uid="{00000000-0005-0000-0000-000076340000}"/>
    <cellStyle name="Normal 2 14" xfId="14217" xr:uid="{00000000-0005-0000-0000-000077340000}"/>
    <cellStyle name="Normal 2 14 10" xfId="14218" xr:uid="{00000000-0005-0000-0000-000078340000}"/>
    <cellStyle name="Normal 2 14 11" xfId="14219" xr:uid="{00000000-0005-0000-0000-000079340000}"/>
    <cellStyle name="Normal 2 14 12" xfId="14220" xr:uid="{00000000-0005-0000-0000-00007A340000}"/>
    <cellStyle name="Normal 2 14 13" xfId="14221" xr:uid="{00000000-0005-0000-0000-00007B340000}"/>
    <cellStyle name="Normal 2 14 14" xfId="14222" xr:uid="{00000000-0005-0000-0000-00007C340000}"/>
    <cellStyle name="Normal 2 14 15" xfId="14223" xr:uid="{00000000-0005-0000-0000-00007D340000}"/>
    <cellStyle name="Normal 2 14 16" xfId="14224" xr:uid="{00000000-0005-0000-0000-00007E340000}"/>
    <cellStyle name="Normal 2 14 17" xfId="14225" xr:uid="{00000000-0005-0000-0000-00007F340000}"/>
    <cellStyle name="Normal 2 14 18" xfId="14226" xr:uid="{00000000-0005-0000-0000-000080340000}"/>
    <cellStyle name="Normal 2 14 19" xfId="14227" xr:uid="{00000000-0005-0000-0000-000081340000}"/>
    <cellStyle name="Normal 2 14 2" xfId="14228" xr:uid="{00000000-0005-0000-0000-000082340000}"/>
    <cellStyle name="Normal 2 14 20" xfId="14229" xr:uid="{00000000-0005-0000-0000-000083340000}"/>
    <cellStyle name="Normal 2 14 21" xfId="14230" xr:uid="{00000000-0005-0000-0000-000084340000}"/>
    <cellStyle name="Normal 2 14 22" xfId="14231" xr:uid="{00000000-0005-0000-0000-000085340000}"/>
    <cellStyle name="Normal 2 14 23" xfId="14232" xr:uid="{00000000-0005-0000-0000-000086340000}"/>
    <cellStyle name="Normal 2 14 24" xfId="14233" xr:uid="{00000000-0005-0000-0000-000087340000}"/>
    <cellStyle name="Normal 2 14 25" xfId="14234" xr:uid="{00000000-0005-0000-0000-000088340000}"/>
    <cellStyle name="Normal 2 14 26" xfId="14235" xr:uid="{00000000-0005-0000-0000-000089340000}"/>
    <cellStyle name="Normal 2 14 27" xfId="14236" xr:uid="{00000000-0005-0000-0000-00008A340000}"/>
    <cellStyle name="Normal 2 14 28" xfId="14237" xr:uid="{00000000-0005-0000-0000-00008B340000}"/>
    <cellStyle name="Normal 2 14 29" xfId="14238" xr:uid="{00000000-0005-0000-0000-00008C340000}"/>
    <cellStyle name="Normal 2 14 3" xfId="14239" xr:uid="{00000000-0005-0000-0000-00008D340000}"/>
    <cellStyle name="Normal 2 14 30" xfId="14240" xr:uid="{00000000-0005-0000-0000-00008E340000}"/>
    <cellStyle name="Normal 2 14 31" xfId="14241" xr:uid="{00000000-0005-0000-0000-00008F340000}"/>
    <cellStyle name="Normal 2 14 32" xfId="14242" xr:uid="{00000000-0005-0000-0000-000090340000}"/>
    <cellStyle name="Normal 2 14 33" xfId="14243" xr:uid="{00000000-0005-0000-0000-000091340000}"/>
    <cellStyle name="Normal 2 14 34" xfId="14244" xr:uid="{00000000-0005-0000-0000-000092340000}"/>
    <cellStyle name="Normal 2 14 35" xfId="14245" xr:uid="{00000000-0005-0000-0000-000093340000}"/>
    <cellStyle name="Normal 2 14 36" xfId="14246" xr:uid="{00000000-0005-0000-0000-000094340000}"/>
    <cellStyle name="Normal 2 14 37" xfId="14247" xr:uid="{00000000-0005-0000-0000-000095340000}"/>
    <cellStyle name="Normal 2 14 38" xfId="14248" xr:uid="{00000000-0005-0000-0000-000096340000}"/>
    <cellStyle name="Normal 2 14 39" xfId="14249" xr:uid="{00000000-0005-0000-0000-000097340000}"/>
    <cellStyle name="Normal 2 14 4" xfId="14250" xr:uid="{00000000-0005-0000-0000-000098340000}"/>
    <cellStyle name="Normal 2 14 40" xfId="14251" xr:uid="{00000000-0005-0000-0000-000099340000}"/>
    <cellStyle name="Normal 2 14 41" xfId="14252" xr:uid="{00000000-0005-0000-0000-00009A340000}"/>
    <cellStyle name="Normal 2 14 42" xfId="14253" xr:uid="{00000000-0005-0000-0000-00009B340000}"/>
    <cellStyle name="Normal 2 14 43" xfId="14254" xr:uid="{00000000-0005-0000-0000-00009C340000}"/>
    <cellStyle name="Normal 2 14 44" xfId="14255" xr:uid="{00000000-0005-0000-0000-00009D340000}"/>
    <cellStyle name="Normal 2 14 45" xfId="14256" xr:uid="{00000000-0005-0000-0000-00009E340000}"/>
    <cellStyle name="Normal 2 14 46" xfId="14257" xr:uid="{00000000-0005-0000-0000-00009F340000}"/>
    <cellStyle name="Normal 2 14 5" xfId="14258" xr:uid="{00000000-0005-0000-0000-0000A0340000}"/>
    <cellStyle name="Normal 2 14 6" xfId="14259" xr:uid="{00000000-0005-0000-0000-0000A1340000}"/>
    <cellStyle name="Normal 2 14 7" xfId="14260" xr:uid="{00000000-0005-0000-0000-0000A2340000}"/>
    <cellStyle name="Normal 2 14 8" xfId="14261" xr:uid="{00000000-0005-0000-0000-0000A3340000}"/>
    <cellStyle name="Normal 2 14 9" xfId="14262" xr:uid="{00000000-0005-0000-0000-0000A4340000}"/>
    <cellStyle name="Normal 2 15" xfId="14263" xr:uid="{00000000-0005-0000-0000-0000A5340000}"/>
    <cellStyle name="Normal 2 15 10" xfId="14264" xr:uid="{00000000-0005-0000-0000-0000A6340000}"/>
    <cellStyle name="Normal 2 15 11" xfId="14265" xr:uid="{00000000-0005-0000-0000-0000A7340000}"/>
    <cellStyle name="Normal 2 15 12" xfId="14266" xr:uid="{00000000-0005-0000-0000-0000A8340000}"/>
    <cellStyle name="Normal 2 15 13" xfId="14267" xr:uid="{00000000-0005-0000-0000-0000A9340000}"/>
    <cellStyle name="Normal 2 15 14" xfId="14268" xr:uid="{00000000-0005-0000-0000-0000AA340000}"/>
    <cellStyle name="Normal 2 15 15" xfId="14269" xr:uid="{00000000-0005-0000-0000-0000AB340000}"/>
    <cellStyle name="Normal 2 15 16" xfId="14270" xr:uid="{00000000-0005-0000-0000-0000AC340000}"/>
    <cellStyle name="Normal 2 15 17" xfId="14271" xr:uid="{00000000-0005-0000-0000-0000AD340000}"/>
    <cellStyle name="Normal 2 15 18" xfId="14272" xr:uid="{00000000-0005-0000-0000-0000AE340000}"/>
    <cellStyle name="Normal 2 15 19" xfId="14273" xr:uid="{00000000-0005-0000-0000-0000AF340000}"/>
    <cellStyle name="Normal 2 15 2" xfId="14274" xr:uid="{00000000-0005-0000-0000-0000B0340000}"/>
    <cellStyle name="Normal 2 15 20" xfId="14275" xr:uid="{00000000-0005-0000-0000-0000B1340000}"/>
    <cellStyle name="Normal 2 15 21" xfId="14276" xr:uid="{00000000-0005-0000-0000-0000B2340000}"/>
    <cellStyle name="Normal 2 15 22" xfId="14277" xr:uid="{00000000-0005-0000-0000-0000B3340000}"/>
    <cellStyle name="Normal 2 15 23" xfId="14278" xr:uid="{00000000-0005-0000-0000-0000B4340000}"/>
    <cellStyle name="Normal 2 15 24" xfId="14279" xr:uid="{00000000-0005-0000-0000-0000B5340000}"/>
    <cellStyle name="Normal 2 15 25" xfId="14280" xr:uid="{00000000-0005-0000-0000-0000B6340000}"/>
    <cellStyle name="Normal 2 15 26" xfId="14281" xr:uid="{00000000-0005-0000-0000-0000B7340000}"/>
    <cellStyle name="Normal 2 15 27" xfId="14282" xr:uid="{00000000-0005-0000-0000-0000B8340000}"/>
    <cellStyle name="Normal 2 15 28" xfId="14283" xr:uid="{00000000-0005-0000-0000-0000B9340000}"/>
    <cellStyle name="Normal 2 15 29" xfId="14284" xr:uid="{00000000-0005-0000-0000-0000BA340000}"/>
    <cellStyle name="Normal 2 15 3" xfId="14285" xr:uid="{00000000-0005-0000-0000-0000BB340000}"/>
    <cellStyle name="Normal 2 15 30" xfId="14286" xr:uid="{00000000-0005-0000-0000-0000BC340000}"/>
    <cellStyle name="Normal 2 15 31" xfId="14287" xr:uid="{00000000-0005-0000-0000-0000BD340000}"/>
    <cellStyle name="Normal 2 15 32" xfId="14288" xr:uid="{00000000-0005-0000-0000-0000BE340000}"/>
    <cellStyle name="Normal 2 15 33" xfId="14289" xr:uid="{00000000-0005-0000-0000-0000BF340000}"/>
    <cellStyle name="Normal 2 15 34" xfId="14290" xr:uid="{00000000-0005-0000-0000-0000C0340000}"/>
    <cellStyle name="Normal 2 15 35" xfId="14291" xr:uid="{00000000-0005-0000-0000-0000C1340000}"/>
    <cellStyle name="Normal 2 15 36" xfId="14292" xr:uid="{00000000-0005-0000-0000-0000C2340000}"/>
    <cellStyle name="Normal 2 15 37" xfId="14293" xr:uid="{00000000-0005-0000-0000-0000C3340000}"/>
    <cellStyle name="Normal 2 15 38" xfId="14294" xr:uid="{00000000-0005-0000-0000-0000C4340000}"/>
    <cellStyle name="Normal 2 15 39" xfId="14295" xr:uid="{00000000-0005-0000-0000-0000C5340000}"/>
    <cellStyle name="Normal 2 15 4" xfId="14296" xr:uid="{00000000-0005-0000-0000-0000C6340000}"/>
    <cellStyle name="Normal 2 15 40" xfId="14297" xr:uid="{00000000-0005-0000-0000-0000C7340000}"/>
    <cellStyle name="Normal 2 15 41" xfId="14298" xr:uid="{00000000-0005-0000-0000-0000C8340000}"/>
    <cellStyle name="Normal 2 15 42" xfId="14299" xr:uid="{00000000-0005-0000-0000-0000C9340000}"/>
    <cellStyle name="Normal 2 15 43" xfId="14300" xr:uid="{00000000-0005-0000-0000-0000CA340000}"/>
    <cellStyle name="Normal 2 15 44" xfId="14301" xr:uid="{00000000-0005-0000-0000-0000CB340000}"/>
    <cellStyle name="Normal 2 15 45" xfId="14302" xr:uid="{00000000-0005-0000-0000-0000CC340000}"/>
    <cellStyle name="Normal 2 15 46" xfId="14303" xr:uid="{00000000-0005-0000-0000-0000CD340000}"/>
    <cellStyle name="Normal 2 15 5" xfId="14304" xr:uid="{00000000-0005-0000-0000-0000CE340000}"/>
    <cellStyle name="Normal 2 15 6" xfId="14305" xr:uid="{00000000-0005-0000-0000-0000CF340000}"/>
    <cellStyle name="Normal 2 15 7" xfId="14306" xr:uid="{00000000-0005-0000-0000-0000D0340000}"/>
    <cellStyle name="Normal 2 15 8" xfId="14307" xr:uid="{00000000-0005-0000-0000-0000D1340000}"/>
    <cellStyle name="Normal 2 15 9" xfId="14308" xr:uid="{00000000-0005-0000-0000-0000D2340000}"/>
    <cellStyle name="Normal 2 16" xfId="14309" xr:uid="{00000000-0005-0000-0000-0000D3340000}"/>
    <cellStyle name="Normal 2 16 10" xfId="14310" xr:uid="{00000000-0005-0000-0000-0000D4340000}"/>
    <cellStyle name="Normal 2 16 11" xfId="14311" xr:uid="{00000000-0005-0000-0000-0000D5340000}"/>
    <cellStyle name="Normal 2 16 12" xfId="14312" xr:uid="{00000000-0005-0000-0000-0000D6340000}"/>
    <cellStyle name="Normal 2 16 13" xfId="14313" xr:uid="{00000000-0005-0000-0000-0000D7340000}"/>
    <cellStyle name="Normal 2 16 14" xfId="14314" xr:uid="{00000000-0005-0000-0000-0000D8340000}"/>
    <cellStyle name="Normal 2 16 15" xfId="14315" xr:uid="{00000000-0005-0000-0000-0000D9340000}"/>
    <cellStyle name="Normal 2 16 16" xfId="14316" xr:uid="{00000000-0005-0000-0000-0000DA340000}"/>
    <cellStyle name="Normal 2 16 17" xfId="14317" xr:uid="{00000000-0005-0000-0000-0000DB340000}"/>
    <cellStyle name="Normal 2 16 18" xfId="14318" xr:uid="{00000000-0005-0000-0000-0000DC340000}"/>
    <cellStyle name="Normal 2 16 19" xfId="14319" xr:uid="{00000000-0005-0000-0000-0000DD340000}"/>
    <cellStyle name="Normal 2 16 2" xfId="14320" xr:uid="{00000000-0005-0000-0000-0000DE340000}"/>
    <cellStyle name="Normal 2 16 20" xfId="14321" xr:uid="{00000000-0005-0000-0000-0000DF340000}"/>
    <cellStyle name="Normal 2 16 21" xfId="14322" xr:uid="{00000000-0005-0000-0000-0000E0340000}"/>
    <cellStyle name="Normal 2 16 22" xfId="14323" xr:uid="{00000000-0005-0000-0000-0000E1340000}"/>
    <cellStyle name="Normal 2 16 23" xfId="14324" xr:uid="{00000000-0005-0000-0000-0000E2340000}"/>
    <cellStyle name="Normal 2 16 24" xfId="14325" xr:uid="{00000000-0005-0000-0000-0000E3340000}"/>
    <cellStyle name="Normal 2 16 25" xfId="14326" xr:uid="{00000000-0005-0000-0000-0000E4340000}"/>
    <cellStyle name="Normal 2 16 26" xfId="14327" xr:uid="{00000000-0005-0000-0000-0000E5340000}"/>
    <cellStyle name="Normal 2 16 27" xfId="14328" xr:uid="{00000000-0005-0000-0000-0000E6340000}"/>
    <cellStyle name="Normal 2 16 28" xfId="14329" xr:uid="{00000000-0005-0000-0000-0000E7340000}"/>
    <cellStyle name="Normal 2 16 29" xfId="14330" xr:uid="{00000000-0005-0000-0000-0000E8340000}"/>
    <cellStyle name="Normal 2 16 3" xfId="14331" xr:uid="{00000000-0005-0000-0000-0000E9340000}"/>
    <cellStyle name="Normal 2 16 30" xfId="14332" xr:uid="{00000000-0005-0000-0000-0000EA340000}"/>
    <cellStyle name="Normal 2 16 31" xfId="14333" xr:uid="{00000000-0005-0000-0000-0000EB340000}"/>
    <cellStyle name="Normal 2 16 32" xfId="14334" xr:uid="{00000000-0005-0000-0000-0000EC340000}"/>
    <cellStyle name="Normal 2 16 33" xfId="14335" xr:uid="{00000000-0005-0000-0000-0000ED340000}"/>
    <cellStyle name="Normal 2 16 34" xfId="14336" xr:uid="{00000000-0005-0000-0000-0000EE340000}"/>
    <cellStyle name="Normal 2 16 35" xfId="14337" xr:uid="{00000000-0005-0000-0000-0000EF340000}"/>
    <cellStyle name="Normal 2 16 36" xfId="14338" xr:uid="{00000000-0005-0000-0000-0000F0340000}"/>
    <cellStyle name="Normal 2 16 37" xfId="14339" xr:uid="{00000000-0005-0000-0000-0000F1340000}"/>
    <cellStyle name="Normal 2 16 38" xfId="14340" xr:uid="{00000000-0005-0000-0000-0000F2340000}"/>
    <cellStyle name="Normal 2 16 39" xfId="14341" xr:uid="{00000000-0005-0000-0000-0000F3340000}"/>
    <cellStyle name="Normal 2 16 4" xfId="14342" xr:uid="{00000000-0005-0000-0000-0000F4340000}"/>
    <cellStyle name="Normal 2 16 40" xfId="14343" xr:uid="{00000000-0005-0000-0000-0000F5340000}"/>
    <cellStyle name="Normal 2 16 41" xfId="14344" xr:uid="{00000000-0005-0000-0000-0000F6340000}"/>
    <cellStyle name="Normal 2 16 42" xfId="14345" xr:uid="{00000000-0005-0000-0000-0000F7340000}"/>
    <cellStyle name="Normal 2 16 43" xfId="14346" xr:uid="{00000000-0005-0000-0000-0000F8340000}"/>
    <cellStyle name="Normal 2 16 44" xfId="14347" xr:uid="{00000000-0005-0000-0000-0000F9340000}"/>
    <cellStyle name="Normal 2 16 45" xfId="14348" xr:uid="{00000000-0005-0000-0000-0000FA340000}"/>
    <cellStyle name="Normal 2 16 46" xfId="14349" xr:uid="{00000000-0005-0000-0000-0000FB340000}"/>
    <cellStyle name="Normal 2 16 5" xfId="14350" xr:uid="{00000000-0005-0000-0000-0000FC340000}"/>
    <cellStyle name="Normal 2 16 6" xfId="14351" xr:uid="{00000000-0005-0000-0000-0000FD340000}"/>
    <cellStyle name="Normal 2 16 7" xfId="14352" xr:uid="{00000000-0005-0000-0000-0000FE340000}"/>
    <cellStyle name="Normal 2 16 8" xfId="14353" xr:uid="{00000000-0005-0000-0000-0000FF340000}"/>
    <cellStyle name="Normal 2 16 9" xfId="14354" xr:uid="{00000000-0005-0000-0000-000000350000}"/>
    <cellStyle name="Normal 2 17" xfId="14355" xr:uid="{00000000-0005-0000-0000-000001350000}"/>
    <cellStyle name="Normal 2 17 10" xfId="14356" xr:uid="{00000000-0005-0000-0000-000002350000}"/>
    <cellStyle name="Normal 2 17 11" xfId="14357" xr:uid="{00000000-0005-0000-0000-000003350000}"/>
    <cellStyle name="Normal 2 17 12" xfId="14358" xr:uid="{00000000-0005-0000-0000-000004350000}"/>
    <cellStyle name="Normal 2 17 13" xfId="14359" xr:uid="{00000000-0005-0000-0000-000005350000}"/>
    <cellStyle name="Normal 2 17 14" xfId="14360" xr:uid="{00000000-0005-0000-0000-000006350000}"/>
    <cellStyle name="Normal 2 17 15" xfId="14361" xr:uid="{00000000-0005-0000-0000-000007350000}"/>
    <cellStyle name="Normal 2 17 16" xfId="14362" xr:uid="{00000000-0005-0000-0000-000008350000}"/>
    <cellStyle name="Normal 2 17 17" xfId="14363" xr:uid="{00000000-0005-0000-0000-000009350000}"/>
    <cellStyle name="Normal 2 17 18" xfId="14364" xr:uid="{00000000-0005-0000-0000-00000A350000}"/>
    <cellStyle name="Normal 2 17 19" xfId="14365" xr:uid="{00000000-0005-0000-0000-00000B350000}"/>
    <cellStyle name="Normal 2 17 2" xfId="14366" xr:uid="{00000000-0005-0000-0000-00000C350000}"/>
    <cellStyle name="Normal 2 17 20" xfId="14367" xr:uid="{00000000-0005-0000-0000-00000D350000}"/>
    <cellStyle name="Normal 2 17 21" xfId="14368" xr:uid="{00000000-0005-0000-0000-00000E350000}"/>
    <cellStyle name="Normal 2 17 22" xfId="14369" xr:uid="{00000000-0005-0000-0000-00000F350000}"/>
    <cellStyle name="Normal 2 17 23" xfId="14370" xr:uid="{00000000-0005-0000-0000-000010350000}"/>
    <cellStyle name="Normal 2 17 24" xfId="14371" xr:uid="{00000000-0005-0000-0000-000011350000}"/>
    <cellStyle name="Normal 2 17 25" xfId="14372" xr:uid="{00000000-0005-0000-0000-000012350000}"/>
    <cellStyle name="Normal 2 17 26" xfId="14373" xr:uid="{00000000-0005-0000-0000-000013350000}"/>
    <cellStyle name="Normal 2 17 27" xfId="14374" xr:uid="{00000000-0005-0000-0000-000014350000}"/>
    <cellStyle name="Normal 2 17 28" xfId="14375" xr:uid="{00000000-0005-0000-0000-000015350000}"/>
    <cellStyle name="Normal 2 17 29" xfId="14376" xr:uid="{00000000-0005-0000-0000-000016350000}"/>
    <cellStyle name="Normal 2 17 3" xfId="14377" xr:uid="{00000000-0005-0000-0000-000017350000}"/>
    <cellStyle name="Normal 2 17 30" xfId="14378" xr:uid="{00000000-0005-0000-0000-000018350000}"/>
    <cellStyle name="Normal 2 17 31" xfId="14379" xr:uid="{00000000-0005-0000-0000-000019350000}"/>
    <cellStyle name="Normal 2 17 32" xfId="14380" xr:uid="{00000000-0005-0000-0000-00001A350000}"/>
    <cellStyle name="Normal 2 17 33" xfId="14381" xr:uid="{00000000-0005-0000-0000-00001B350000}"/>
    <cellStyle name="Normal 2 17 34" xfId="14382" xr:uid="{00000000-0005-0000-0000-00001C350000}"/>
    <cellStyle name="Normal 2 17 35" xfId="14383" xr:uid="{00000000-0005-0000-0000-00001D350000}"/>
    <cellStyle name="Normal 2 17 36" xfId="14384" xr:uid="{00000000-0005-0000-0000-00001E350000}"/>
    <cellStyle name="Normal 2 17 37" xfId="14385" xr:uid="{00000000-0005-0000-0000-00001F350000}"/>
    <cellStyle name="Normal 2 17 38" xfId="14386" xr:uid="{00000000-0005-0000-0000-000020350000}"/>
    <cellStyle name="Normal 2 17 39" xfId="14387" xr:uid="{00000000-0005-0000-0000-000021350000}"/>
    <cellStyle name="Normal 2 17 4" xfId="14388" xr:uid="{00000000-0005-0000-0000-000022350000}"/>
    <cellStyle name="Normal 2 17 40" xfId="14389" xr:uid="{00000000-0005-0000-0000-000023350000}"/>
    <cellStyle name="Normal 2 17 41" xfId="14390" xr:uid="{00000000-0005-0000-0000-000024350000}"/>
    <cellStyle name="Normal 2 17 42" xfId="14391" xr:uid="{00000000-0005-0000-0000-000025350000}"/>
    <cellStyle name="Normal 2 17 43" xfId="14392" xr:uid="{00000000-0005-0000-0000-000026350000}"/>
    <cellStyle name="Normal 2 17 44" xfId="14393" xr:uid="{00000000-0005-0000-0000-000027350000}"/>
    <cellStyle name="Normal 2 17 45" xfId="14394" xr:uid="{00000000-0005-0000-0000-000028350000}"/>
    <cellStyle name="Normal 2 17 46" xfId="14395" xr:uid="{00000000-0005-0000-0000-000029350000}"/>
    <cellStyle name="Normal 2 17 5" xfId="14396" xr:uid="{00000000-0005-0000-0000-00002A350000}"/>
    <cellStyle name="Normal 2 17 6" xfId="14397" xr:uid="{00000000-0005-0000-0000-00002B350000}"/>
    <cellStyle name="Normal 2 17 7" xfId="14398" xr:uid="{00000000-0005-0000-0000-00002C350000}"/>
    <cellStyle name="Normal 2 17 8" xfId="14399" xr:uid="{00000000-0005-0000-0000-00002D350000}"/>
    <cellStyle name="Normal 2 17 9" xfId="14400" xr:uid="{00000000-0005-0000-0000-00002E350000}"/>
    <cellStyle name="Normal 2 18" xfId="14401" xr:uid="{00000000-0005-0000-0000-00002F350000}"/>
    <cellStyle name="Normal 2 18 10" xfId="14402" xr:uid="{00000000-0005-0000-0000-000030350000}"/>
    <cellStyle name="Normal 2 18 11" xfId="14403" xr:uid="{00000000-0005-0000-0000-000031350000}"/>
    <cellStyle name="Normal 2 18 12" xfId="14404" xr:uid="{00000000-0005-0000-0000-000032350000}"/>
    <cellStyle name="Normal 2 18 13" xfId="14405" xr:uid="{00000000-0005-0000-0000-000033350000}"/>
    <cellStyle name="Normal 2 18 14" xfId="14406" xr:uid="{00000000-0005-0000-0000-000034350000}"/>
    <cellStyle name="Normal 2 18 15" xfId="14407" xr:uid="{00000000-0005-0000-0000-000035350000}"/>
    <cellStyle name="Normal 2 18 16" xfId="14408" xr:uid="{00000000-0005-0000-0000-000036350000}"/>
    <cellStyle name="Normal 2 18 17" xfId="14409" xr:uid="{00000000-0005-0000-0000-000037350000}"/>
    <cellStyle name="Normal 2 18 18" xfId="14410" xr:uid="{00000000-0005-0000-0000-000038350000}"/>
    <cellStyle name="Normal 2 18 19" xfId="14411" xr:uid="{00000000-0005-0000-0000-000039350000}"/>
    <cellStyle name="Normal 2 18 2" xfId="14412" xr:uid="{00000000-0005-0000-0000-00003A350000}"/>
    <cellStyle name="Normal 2 18 20" xfId="14413" xr:uid="{00000000-0005-0000-0000-00003B350000}"/>
    <cellStyle name="Normal 2 18 21" xfId="14414" xr:uid="{00000000-0005-0000-0000-00003C350000}"/>
    <cellStyle name="Normal 2 18 22" xfId="14415" xr:uid="{00000000-0005-0000-0000-00003D350000}"/>
    <cellStyle name="Normal 2 18 23" xfId="14416" xr:uid="{00000000-0005-0000-0000-00003E350000}"/>
    <cellStyle name="Normal 2 18 24" xfId="14417" xr:uid="{00000000-0005-0000-0000-00003F350000}"/>
    <cellStyle name="Normal 2 18 25" xfId="14418" xr:uid="{00000000-0005-0000-0000-000040350000}"/>
    <cellStyle name="Normal 2 18 26" xfId="14419" xr:uid="{00000000-0005-0000-0000-000041350000}"/>
    <cellStyle name="Normal 2 18 27" xfId="14420" xr:uid="{00000000-0005-0000-0000-000042350000}"/>
    <cellStyle name="Normal 2 18 28" xfId="14421" xr:uid="{00000000-0005-0000-0000-000043350000}"/>
    <cellStyle name="Normal 2 18 29" xfId="14422" xr:uid="{00000000-0005-0000-0000-000044350000}"/>
    <cellStyle name="Normal 2 18 3" xfId="14423" xr:uid="{00000000-0005-0000-0000-000045350000}"/>
    <cellStyle name="Normal 2 18 30" xfId="14424" xr:uid="{00000000-0005-0000-0000-000046350000}"/>
    <cellStyle name="Normal 2 18 31" xfId="14425" xr:uid="{00000000-0005-0000-0000-000047350000}"/>
    <cellStyle name="Normal 2 18 32" xfId="14426" xr:uid="{00000000-0005-0000-0000-000048350000}"/>
    <cellStyle name="Normal 2 18 33" xfId="14427" xr:uid="{00000000-0005-0000-0000-000049350000}"/>
    <cellStyle name="Normal 2 18 34" xfId="14428" xr:uid="{00000000-0005-0000-0000-00004A350000}"/>
    <cellStyle name="Normal 2 18 35" xfId="14429" xr:uid="{00000000-0005-0000-0000-00004B350000}"/>
    <cellStyle name="Normal 2 18 36" xfId="14430" xr:uid="{00000000-0005-0000-0000-00004C350000}"/>
    <cellStyle name="Normal 2 18 37" xfId="14431" xr:uid="{00000000-0005-0000-0000-00004D350000}"/>
    <cellStyle name="Normal 2 18 38" xfId="14432" xr:uid="{00000000-0005-0000-0000-00004E350000}"/>
    <cellStyle name="Normal 2 18 39" xfId="14433" xr:uid="{00000000-0005-0000-0000-00004F350000}"/>
    <cellStyle name="Normal 2 18 4" xfId="14434" xr:uid="{00000000-0005-0000-0000-000050350000}"/>
    <cellStyle name="Normal 2 18 40" xfId="14435" xr:uid="{00000000-0005-0000-0000-000051350000}"/>
    <cellStyle name="Normal 2 18 41" xfId="14436" xr:uid="{00000000-0005-0000-0000-000052350000}"/>
    <cellStyle name="Normal 2 18 42" xfId="14437" xr:uid="{00000000-0005-0000-0000-000053350000}"/>
    <cellStyle name="Normal 2 18 43" xfId="14438" xr:uid="{00000000-0005-0000-0000-000054350000}"/>
    <cellStyle name="Normal 2 18 44" xfId="14439" xr:uid="{00000000-0005-0000-0000-000055350000}"/>
    <cellStyle name="Normal 2 18 45" xfId="14440" xr:uid="{00000000-0005-0000-0000-000056350000}"/>
    <cellStyle name="Normal 2 18 46" xfId="14441" xr:uid="{00000000-0005-0000-0000-000057350000}"/>
    <cellStyle name="Normal 2 18 5" xfId="14442" xr:uid="{00000000-0005-0000-0000-000058350000}"/>
    <cellStyle name="Normal 2 18 6" xfId="14443" xr:uid="{00000000-0005-0000-0000-000059350000}"/>
    <cellStyle name="Normal 2 18 7" xfId="14444" xr:uid="{00000000-0005-0000-0000-00005A350000}"/>
    <cellStyle name="Normal 2 18 8" xfId="14445" xr:uid="{00000000-0005-0000-0000-00005B350000}"/>
    <cellStyle name="Normal 2 18 9" xfId="14446" xr:uid="{00000000-0005-0000-0000-00005C350000}"/>
    <cellStyle name="Normal 2 19" xfId="14447" xr:uid="{00000000-0005-0000-0000-00005D350000}"/>
    <cellStyle name="Normal 2 19 10" xfId="14448" xr:uid="{00000000-0005-0000-0000-00005E350000}"/>
    <cellStyle name="Normal 2 19 11" xfId="14449" xr:uid="{00000000-0005-0000-0000-00005F350000}"/>
    <cellStyle name="Normal 2 19 12" xfId="14450" xr:uid="{00000000-0005-0000-0000-000060350000}"/>
    <cellStyle name="Normal 2 19 13" xfId="14451" xr:uid="{00000000-0005-0000-0000-000061350000}"/>
    <cellStyle name="Normal 2 19 14" xfId="14452" xr:uid="{00000000-0005-0000-0000-000062350000}"/>
    <cellStyle name="Normal 2 19 15" xfId="14453" xr:uid="{00000000-0005-0000-0000-000063350000}"/>
    <cellStyle name="Normal 2 19 16" xfId="14454" xr:uid="{00000000-0005-0000-0000-000064350000}"/>
    <cellStyle name="Normal 2 19 17" xfId="14455" xr:uid="{00000000-0005-0000-0000-000065350000}"/>
    <cellStyle name="Normal 2 19 18" xfId="14456" xr:uid="{00000000-0005-0000-0000-000066350000}"/>
    <cellStyle name="Normal 2 19 19" xfId="14457" xr:uid="{00000000-0005-0000-0000-000067350000}"/>
    <cellStyle name="Normal 2 19 2" xfId="14458" xr:uid="{00000000-0005-0000-0000-000068350000}"/>
    <cellStyle name="Normal 2 19 20" xfId="14459" xr:uid="{00000000-0005-0000-0000-000069350000}"/>
    <cellStyle name="Normal 2 19 21" xfId="14460" xr:uid="{00000000-0005-0000-0000-00006A350000}"/>
    <cellStyle name="Normal 2 19 22" xfId="14461" xr:uid="{00000000-0005-0000-0000-00006B350000}"/>
    <cellStyle name="Normal 2 19 23" xfId="14462" xr:uid="{00000000-0005-0000-0000-00006C350000}"/>
    <cellStyle name="Normal 2 19 24" xfId="14463" xr:uid="{00000000-0005-0000-0000-00006D350000}"/>
    <cellStyle name="Normal 2 19 25" xfId="14464" xr:uid="{00000000-0005-0000-0000-00006E350000}"/>
    <cellStyle name="Normal 2 19 26" xfId="14465" xr:uid="{00000000-0005-0000-0000-00006F350000}"/>
    <cellStyle name="Normal 2 19 27" xfId="14466" xr:uid="{00000000-0005-0000-0000-000070350000}"/>
    <cellStyle name="Normal 2 19 28" xfId="14467" xr:uid="{00000000-0005-0000-0000-000071350000}"/>
    <cellStyle name="Normal 2 19 29" xfId="14468" xr:uid="{00000000-0005-0000-0000-000072350000}"/>
    <cellStyle name="Normal 2 19 3" xfId="14469" xr:uid="{00000000-0005-0000-0000-000073350000}"/>
    <cellStyle name="Normal 2 19 30" xfId="14470" xr:uid="{00000000-0005-0000-0000-000074350000}"/>
    <cellStyle name="Normal 2 19 31" xfId="14471" xr:uid="{00000000-0005-0000-0000-000075350000}"/>
    <cellStyle name="Normal 2 19 32" xfId="14472" xr:uid="{00000000-0005-0000-0000-000076350000}"/>
    <cellStyle name="Normal 2 19 33" xfId="14473" xr:uid="{00000000-0005-0000-0000-000077350000}"/>
    <cellStyle name="Normal 2 19 34" xfId="14474" xr:uid="{00000000-0005-0000-0000-000078350000}"/>
    <cellStyle name="Normal 2 19 35" xfId="14475" xr:uid="{00000000-0005-0000-0000-000079350000}"/>
    <cellStyle name="Normal 2 19 36" xfId="14476" xr:uid="{00000000-0005-0000-0000-00007A350000}"/>
    <cellStyle name="Normal 2 19 37" xfId="14477" xr:uid="{00000000-0005-0000-0000-00007B350000}"/>
    <cellStyle name="Normal 2 19 38" xfId="14478" xr:uid="{00000000-0005-0000-0000-00007C350000}"/>
    <cellStyle name="Normal 2 19 39" xfId="14479" xr:uid="{00000000-0005-0000-0000-00007D350000}"/>
    <cellStyle name="Normal 2 19 4" xfId="14480" xr:uid="{00000000-0005-0000-0000-00007E350000}"/>
    <cellStyle name="Normal 2 19 40" xfId="14481" xr:uid="{00000000-0005-0000-0000-00007F350000}"/>
    <cellStyle name="Normal 2 19 41" xfId="14482" xr:uid="{00000000-0005-0000-0000-000080350000}"/>
    <cellStyle name="Normal 2 19 42" xfId="14483" xr:uid="{00000000-0005-0000-0000-000081350000}"/>
    <cellStyle name="Normal 2 19 43" xfId="14484" xr:uid="{00000000-0005-0000-0000-000082350000}"/>
    <cellStyle name="Normal 2 19 44" xfId="14485" xr:uid="{00000000-0005-0000-0000-000083350000}"/>
    <cellStyle name="Normal 2 19 45" xfId="14486" xr:uid="{00000000-0005-0000-0000-000084350000}"/>
    <cellStyle name="Normal 2 19 46" xfId="14487" xr:uid="{00000000-0005-0000-0000-000085350000}"/>
    <cellStyle name="Normal 2 19 5" xfId="14488" xr:uid="{00000000-0005-0000-0000-000086350000}"/>
    <cellStyle name="Normal 2 19 6" xfId="14489" xr:uid="{00000000-0005-0000-0000-000087350000}"/>
    <cellStyle name="Normal 2 19 7" xfId="14490" xr:uid="{00000000-0005-0000-0000-000088350000}"/>
    <cellStyle name="Normal 2 19 8" xfId="14491" xr:uid="{00000000-0005-0000-0000-000089350000}"/>
    <cellStyle name="Normal 2 19 9" xfId="14492" xr:uid="{00000000-0005-0000-0000-00008A350000}"/>
    <cellStyle name="Normal 2 2" xfId="1052" xr:uid="{00000000-0005-0000-0000-00008B350000}"/>
    <cellStyle name="Normal 2 2 10" xfId="2242" xr:uid="{00000000-0005-0000-0000-00008C350000}"/>
    <cellStyle name="Normal 2 2 10 10" xfId="14493" xr:uid="{00000000-0005-0000-0000-00008D350000}"/>
    <cellStyle name="Normal 2 2 10 11" xfId="14494" xr:uid="{00000000-0005-0000-0000-00008E350000}"/>
    <cellStyle name="Normal 2 2 10 12" xfId="14495" xr:uid="{00000000-0005-0000-0000-00008F350000}"/>
    <cellStyle name="Normal 2 2 10 13" xfId="14496" xr:uid="{00000000-0005-0000-0000-000090350000}"/>
    <cellStyle name="Normal 2 2 10 14" xfId="14497" xr:uid="{00000000-0005-0000-0000-000091350000}"/>
    <cellStyle name="Normal 2 2 10 2" xfId="14498" xr:uid="{00000000-0005-0000-0000-000092350000}"/>
    <cellStyle name="Normal 2 2 10 2 2" xfId="14499" xr:uid="{00000000-0005-0000-0000-000093350000}"/>
    <cellStyle name="Normal 2 2 10 2 3" xfId="14500" xr:uid="{00000000-0005-0000-0000-000094350000}"/>
    <cellStyle name="Normal 2 2 10 2 4" xfId="14501" xr:uid="{00000000-0005-0000-0000-000095350000}"/>
    <cellStyle name="Normal 2 2 10 2 5" xfId="14502" xr:uid="{00000000-0005-0000-0000-000096350000}"/>
    <cellStyle name="Normal 2 2 10 2 6" xfId="14503" xr:uid="{00000000-0005-0000-0000-000097350000}"/>
    <cellStyle name="Normal 2 2 10 3" xfId="14504" xr:uid="{00000000-0005-0000-0000-000098350000}"/>
    <cellStyle name="Normal 2 2 10 3 2" xfId="14505" xr:uid="{00000000-0005-0000-0000-000099350000}"/>
    <cellStyle name="Normal 2 2 10 3 3" xfId="14506" xr:uid="{00000000-0005-0000-0000-00009A350000}"/>
    <cellStyle name="Normal 2 2 10 3 4" xfId="14507" xr:uid="{00000000-0005-0000-0000-00009B350000}"/>
    <cellStyle name="Normal 2 2 10 3 5" xfId="14508" xr:uid="{00000000-0005-0000-0000-00009C350000}"/>
    <cellStyle name="Normal 2 2 10 3 6" xfId="14509" xr:uid="{00000000-0005-0000-0000-00009D350000}"/>
    <cellStyle name="Normal 2 2 10 4" xfId="14510" xr:uid="{00000000-0005-0000-0000-00009E350000}"/>
    <cellStyle name="Normal 2 2 10 4 2" xfId="14511" xr:uid="{00000000-0005-0000-0000-00009F350000}"/>
    <cellStyle name="Normal 2 2 10 4 3" xfId="14512" xr:uid="{00000000-0005-0000-0000-0000A0350000}"/>
    <cellStyle name="Normal 2 2 10 4 4" xfId="14513" xr:uid="{00000000-0005-0000-0000-0000A1350000}"/>
    <cellStyle name="Normal 2 2 10 4 5" xfId="14514" xr:uid="{00000000-0005-0000-0000-0000A2350000}"/>
    <cellStyle name="Normal 2 2 10 4 6" xfId="14515" xr:uid="{00000000-0005-0000-0000-0000A3350000}"/>
    <cellStyle name="Normal 2 2 10 5" xfId="14516" xr:uid="{00000000-0005-0000-0000-0000A4350000}"/>
    <cellStyle name="Normal 2 2 10 5 2" xfId="14517" xr:uid="{00000000-0005-0000-0000-0000A5350000}"/>
    <cellStyle name="Normal 2 2 10 5 3" xfId="14518" xr:uid="{00000000-0005-0000-0000-0000A6350000}"/>
    <cellStyle name="Normal 2 2 10 5 4" xfId="14519" xr:uid="{00000000-0005-0000-0000-0000A7350000}"/>
    <cellStyle name="Normal 2 2 10 5 5" xfId="14520" xr:uid="{00000000-0005-0000-0000-0000A8350000}"/>
    <cellStyle name="Normal 2 2 10 5 6" xfId="14521" xr:uid="{00000000-0005-0000-0000-0000A9350000}"/>
    <cellStyle name="Normal 2 2 10 6" xfId="14522" xr:uid="{00000000-0005-0000-0000-0000AA350000}"/>
    <cellStyle name="Normal 2 2 10 6 2" xfId="14523" xr:uid="{00000000-0005-0000-0000-0000AB350000}"/>
    <cellStyle name="Normal 2 2 10 6 3" xfId="14524" xr:uid="{00000000-0005-0000-0000-0000AC350000}"/>
    <cellStyle name="Normal 2 2 10 6 4" xfId="14525" xr:uid="{00000000-0005-0000-0000-0000AD350000}"/>
    <cellStyle name="Normal 2 2 10 6 5" xfId="14526" xr:uid="{00000000-0005-0000-0000-0000AE350000}"/>
    <cellStyle name="Normal 2 2 10 6 6" xfId="14527" xr:uid="{00000000-0005-0000-0000-0000AF350000}"/>
    <cellStyle name="Normal 2 2 10 7" xfId="14528" xr:uid="{00000000-0005-0000-0000-0000B0350000}"/>
    <cellStyle name="Normal 2 2 10 7 2" xfId="14529" xr:uid="{00000000-0005-0000-0000-0000B1350000}"/>
    <cellStyle name="Normal 2 2 10 7 3" xfId="14530" xr:uid="{00000000-0005-0000-0000-0000B2350000}"/>
    <cellStyle name="Normal 2 2 10 7 4" xfId="14531" xr:uid="{00000000-0005-0000-0000-0000B3350000}"/>
    <cellStyle name="Normal 2 2 10 7 5" xfId="14532" xr:uid="{00000000-0005-0000-0000-0000B4350000}"/>
    <cellStyle name="Normal 2 2 10 7 6" xfId="14533" xr:uid="{00000000-0005-0000-0000-0000B5350000}"/>
    <cellStyle name="Normal 2 2 10 8" xfId="14534" xr:uid="{00000000-0005-0000-0000-0000B6350000}"/>
    <cellStyle name="Normal 2 2 10 8 2" xfId="14535" xr:uid="{00000000-0005-0000-0000-0000B7350000}"/>
    <cellStyle name="Normal 2 2 10 8 3" xfId="14536" xr:uid="{00000000-0005-0000-0000-0000B8350000}"/>
    <cellStyle name="Normal 2 2 10 8 4" xfId="14537" xr:uid="{00000000-0005-0000-0000-0000B9350000}"/>
    <cellStyle name="Normal 2 2 10 8 5" xfId="14538" xr:uid="{00000000-0005-0000-0000-0000BA350000}"/>
    <cellStyle name="Normal 2 2 10 8 6" xfId="14539" xr:uid="{00000000-0005-0000-0000-0000BB350000}"/>
    <cellStyle name="Normal 2 2 10 9" xfId="14540" xr:uid="{00000000-0005-0000-0000-0000BC350000}"/>
    <cellStyle name="Normal 2 2 11" xfId="14541" xr:uid="{00000000-0005-0000-0000-0000BD350000}"/>
    <cellStyle name="Normal 2 2 11 10" xfId="14542" xr:uid="{00000000-0005-0000-0000-0000BE350000}"/>
    <cellStyle name="Normal 2 2 11 11" xfId="14543" xr:uid="{00000000-0005-0000-0000-0000BF350000}"/>
    <cellStyle name="Normal 2 2 11 12" xfId="14544" xr:uid="{00000000-0005-0000-0000-0000C0350000}"/>
    <cellStyle name="Normal 2 2 11 13" xfId="14545" xr:uid="{00000000-0005-0000-0000-0000C1350000}"/>
    <cellStyle name="Normal 2 2 11 14" xfId="14546" xr:uid="{00000000-0005-0000-0000-0000C2350000}"/>
    <cellStyle name="Normal 2 2 11 2" xfId="14547" xr:uid="{00000000-0005-0000-0000-0000C3350000}"/>
    <cellStyle name="Normal 2 2 11 2 2" xfId="14548" xr:uid="{00000000-0005-0000-0000-0000C4350000}"/>
    <cellStyle name="Normal 2 2 11 2 3" xfId="14549" xr:uid="{00000000-0005-0000-0000-0000C5350000}"/>
    <cellStyle name="Normal 2 2 11 2 4" xfId="14550" xr:uid="{00000000-0005-0000-0000-0000C6350000}"/>
    <cellStyle name="Normal 2 2 11 2 5" xfId="14551" xr:uid="{00000000-0005-0000-0000-0000C7350000}"/>
    <cellStyle name="Normal 2 2 11 2 6" xfId="14552" xr:uid="{00000000-0005-0000-0000-0000C8350000}"/>
    <cellStyle name="Normal 2 2 11 3" xfId="14553" xr:uid="{00000000-0005-0000-0000-0000C9350000}"/>
    <cellStyle name="Normal 2 2 11 3 2" xfId="14554" xr:uid="{00000000-0005-0000-0000-0000CA350000}"/>
    <cellStyle name="Normal 2 2 11 3 3" xfId="14555" xr:uid="{00000000-0005-0000-0000-0000CB350000}"/>
    <cellStyle name="Normal 2 2 11 3 4" xfId="14556" xr:uid="{00000000-0005-0000-0000-0000CC350000}"/>
    <cellStyle name="Normal 2 2 11 3 5" xfId="14557" xr:uid="{00000000-0005-0000-0000-0000CD350000}"/>
    <cellStyle name="Normal 2 2 11 3 6" xfId="14558" xr:uid="{00000000-0005-0000-0000-0000CE350000}"/>
    <cellStyle name="Normal 2 2 11 4" xfId="14559" xr:uid="{00000000-0005-0000-0000-0000CF350000}"/>
    <cellStyle name="Normal 2 2 11 4 2" xfId="14560" xr:uid="{00000000-0005-0000-0000-0000D0350000}"/>
    <cellStyle name="Normal 2 2 11 4 3" xfId="14561" xr:uid="{00000000-0005-0000-0000-0000D1350000}"/>
    <cellStyle name="Normal 2 2 11 4 4" xfId="14562" xr:uid="{00000000-0005-0000-0000-0000D2350000}"/>
    <cellStyle name="Normal 2 2 11 4 5" xfId="14563" xr:uid="{00000000-0005-0000-0000-0000D3350000}"/>
    <cellStyle name="Normal 2 2 11 4 6" xfId="14564" xr:uid="{00000000-0005-0000-0000-0000D4350000}"/>
    <cellStyle name="Normal 2 2 11 5" xfId="14565" xr:uid="{00000000-0005-0000-0000-0000D5350000}"/>
    <cellStyle name="Normal 2 2 11 5 2" xfId="14566" xr:uid="{00000000-0005-0000-0000-0000D6350000}"/>
    <cellStyle name="Normal 2 2 11 5 3" xfId="14567" xr:uid="{00000000-0005-0000-0000-0000D7350000}"/>
    <cellStyle name="Normal 2 2 11 5 4" xfId="14568" xr:uid="{00000000-0005-0000-0000-0000D8350000}"/>
    <cellStyle name="Normal 2 2 11 5 5" xfId="14569" xr:uid="{00000000-0005-0000-0000-0000D9350000}"/>
    <cellStyle name="Normal 2 2 11 5 6" xfId="14570" xr:uid="{00000000-0005-0000-0000-0000DA350000}"/>
    <cellStyle name="Normal 2 2 11 6" xfId="14571" xr:uid="{00000000-0005-0000-0000-0000DB350000}"/>
    <cellStyle name="Normal 2 2 11 6 2" xfId="14572" xr:uid="{00000000-0005-0000-0000-0000DC350000}"/>
    <cellStyle name="Normal 2 2 11 6 3" xfId="14573" xr:uid="{00000000-0005-0000-0000-0000DD350000}"/>
    <cellStyle name="Normal 2 2 11 6 4" xfId="14574" xr:uid="{00000000-0005-0000-0000-0000DE350000}"/>
    <cellStyle name="Normal 2 2 11 6 5" xfId="14575" xr:uid="{00000000-0005-0000-0000-0000DF350000}"/>
    <cellStyle name="Normal 2 2 11 6 6" xfId="14576" xr:uid="{00000000-0005-0000-0000-0000E0350000}"/>
    <cellStyle name="Normal 2 2 11 7" xfId="14577" xr:uid="{00000000-0005-0000-0000-0000E1350000}"/>
    <cellStyle name="Normal 2 2 11 7 2" xfId="14578" xr:uid="{00000000-0005-0000-0000-0000E2350000}"/>
    <cellStyle name="Normal 2 2 11 7 3" xfId="14579" xr:uid="{00000000-0005-0000-0000-0000E3350000}"/>
    <cellStyle name="Normal 2 2 11 7 4" xfId="14580" xr:uid="{00000000-0005-0000-0000-0000E4350000}"/>
    <cellStyle name="Normal 2 2 11 7 5" xfId="14581" xr:uid="{00000000-0005-0000-0000-0000E5350000}"/>
    <cellStyle name="Normal 2 2 11 7 6" xfId="14582" xr:uid="{00000000-0005-0000-0000-0000E6350000}"/>
    <cellStyle name="Normal 2 2 11 8" xfId="14583" xr:uid="{00000000-0005-0000-0000-0000E7350000}"/>
    <cellStyle name="Normal 2 2 11 8 2" xfId="14584" xr:uid="{00000000-0005-0000-0000-0000E8350000}"/>
    <cellStyle name="Normal 2 2 11 8 3" xfId="14585" xr:uid="{00000000-0005-0000-0000-0000E9350000}"/>
    <cellStyle name="Normal 2 2 11 8 4" xfId="14586" xr:uid="{00000000-0005-0000-0000-0000EA350000}"/>
    <cellStyle name="Normal 2 2 11 8 5" xfId="14587" xr:uid="{00000000-0005-0000-0000-0000EB350000}"/>
    <cellStyle name="Normal 2 2 11 8 6" xfId="14588" xr:uid="{00000000-0005-0000-0000-0000EC350000}"/>
    <cellStyle name="Normal 2 2 11 9" xfId="14589" xr:uid="{00000000-0005-0000-0000-0000ED350000}"/>
    <cellStyle name="Normal 2 2 12" xfId="14590" xr:uid="{00000000-0005-0000-0000-0000EE350000}"/>
    <cellStyle name="Normal 2 2 12 10" xfId="14591" xr:uid="{00000000-0005-0000-0000-0000EF350000}"/>
    <cellStyle name="Normal 2 2 12 11" xfId="14592" xr:uid="{00000000-0005-0000-0000-0000F0350000}"/>
    <cellStyle name="Normal 2 2 12 12" xfId="14593" xr:uid="{00000000-0005-0000-0000-0000F1350000}"/>
    <cellStyle name="Normal 2 2 12 13" xfId="14594" xr:uid="{00000000-0005-0000-0000-0000F2350000}"/>
    <cellStyle name="Normal 2 2 12 14" xfId="14595" xr:uid="{00000000-0005-0000-0000-0000F3350000}"/>
    <cellStyle name="Normal 2 2 12 2" xfId="14596" xr:uid="{00000000-0005-0000-0000-0000F4350000}"/>
    <cellStyle name="Normal 2 2 12 2 2" xfId="14597" xr:uid="{00000000-0005-0000-0000-0000F5350000}"/>
    <cellStyle name="Normal 2 2 12 2 3" xfId="14598" xr:uid="{00000000-0005-0000-0000-0000F6350000}"/>
    <cellStyle name="Normal 2 2 12 2 4" xfId="14599" xr:uid="{00000000-0005-0000-0000-0000F7350000}"/>
    <cellStyle name="Normal 2 2 12 2 5" xfId="14600" xr:uid="{00000000-0005-0000-0000-0000F8350000}"/>
    <cellStyle name="Normal 2 2 12 2 6" xfId="14601" xr:uid="{00000000-0005-0000-0000-0000F9350000}"/>
    <cellStyle name="Normal 2 2 12 3" xfId="14602" xr:uid="{00000000-0005-0000-0000-0000FA350000}"/>
    <cellStyle name="Normal 2 2 12 3 2" xfId="14603" xr:uid="{00000000-0005-0000-0000-0000FB350000}"/>
    <cellStyle name="Normal 2 2 12 3 3" xfId="14604" xr:uid="{00000000-0005-0000-0000-0000FC350000}"/>
    <cellStyle name="Normal 2 2 12 3 4" xfId="14605" xr:uid="{00000000-0005-0000-0000-0000FD350000}"/>
    <cellStyle name="Normal 2 2 12 3 5" xfId="14606" xr:uid="{00000000-0005-0000-0000-0000FE350000}"/>
    <cellStyle name="Normal 2 2 12 3 6" xfId="14607" xr:uid="{00000000-0005-0000-0000-0000FF350000}"/>
    <cellStyle name="Normal 2 2 12 4" xfId="14608" xr:uid="{00000000-0005-0000-0000-000000360000}"/>
    <cellStyle name="Normal 2 2 12 4 2" xfId="14609" xr:uid="{00000000-0005-0000-0000-000001360000}"/>
    <cellStyle name="Normal 2 2 12 4 3" xfId="14610" xr:uid="{00000000-0005-0000-0000-000002360000}"/>
    <cellStyle name="Normal 2 2 12 4 4" xfId="14611" xr:uid="{00000000-0005-0000-0000-000003360000}"/>
    <cellStyle name="Normal 2 2 12 4 5" xfId="14612" xr:uid="{00000000-0005-0000-0000-000004360000}"/>
    <cellStyle name="Normal 2 2 12 4 6" xfId="14613" xr:uid="{00000000-0005-0000-0000-000005360000}"/>
    <cellStyle name="Normal 2 2 12 5" xfId="14614" xr:uid="{00000000-0005-0000-0000-000006360000}"/>
    <cellStyle name="Normal 2 2 12 5 2" xfId="14615" xr:uid="{00000000-0005-0000-0000-000007360000}"/>
    <cellStyle name="Normal 2 2 12 5 3" xfId="14616" xr:uid="{00000000-0005-0000-0000-000008360000}"/>
    <cellStyle name="Normal 2 2 12 5 4" xfId="14617" xr:uid="{00000000-0005-0000-0000-000009360000}"/>
    <cellStyle name="Normal 2 2 12 5 5" xfId="14618" xr:uid="{00000000-0005-0000-0000-00000A360000}"/>
    <cellStyle name="Normal 2 2 12 5 6" xfId="14619" xr:uid="{00000000-0005-0000-0000-00000B360000}"/>
    <cellStyle name="Normal 2 2 12 6" xfId="14620" xr:uid="{00000000-0005-0000-0000-00000C360000}"/>
    <cellStyle name="Normal 2 2 12 6 2" xfId="14621" xr:uid="{00000000-0005-0000-0000-00000D360000}"/>
    <cellStyle name="Normal 2 2 12 6 3" xfId="14622" xr:uid="{00000000-0005-0000-0000-00000E360000}"/>
    <cellStyle name="Normal 2 2 12 6 4" xfId="14623" xr:uid="{00000000-0005-0000-0000-00000F360000}"/>
    <cellStyle name="Normal 2 2 12 6 5" xfId="14624" xr:uid="{00000000-0005-0000-0000-000010360000}"/>
    <cellStyle name="Normal 2 2 12 6 6" xfId="14625" xr:uid="{00000000-0005-0000-0000-000011360000}"/>
    <cellStyle name="Normal 2 2 12 7" xfId="14626" xr:uid="{00000000-0005-0000-0000-000012360000}"/>
    <cellStyle name="Normal 2 2 12 7 2" xfId="14627" xr:uid="{00000000-0005-0000-0000-000013360000}"/>
    <cellStyle name="Normal 2 2 12 7 3" xfId="14628" xr:uid="{00000000-0005-0000-0000-000014360000}"/>
    <cellStyle name="Normal 2 2 12 7 4" xfId="14629" xr:uid="{00000000-0005-0000-0000-000015360000}"/>
    <cellStyle name="Normal 2 2 12 7 5" xfId="14630" xr:uid="{00000000-0005-0000-0000-000016360000}"/>
    <cellStyle name="Normal 2 2 12 7 6" xfId="14631" xr:uid="{00000000-0005-0000-0000-000017360000}"/>
    <cellStyle name="Normal 2 2 12 8" xfId="14632" xr:uid="{00000000-0005-0000-0000-000018360000}"/>
    <cellStyle name="Normal 2 2 12 8 2" xfId="14633" xr:uid="{00000000-0005-0000-0000-000019360000}"/>
    <cellStyle name="Normal 2 2 12 8 3" xfId="14634" xr:uid="{00000000-0005-0000-0000-00001A360000}"/>
    <cellStyle name="Normal 2 2 12 8 4" xfId="14635" xr:uid="{00000000-0005-0000-0000-00001B360000}"/>
    <cellStyle name="Normal 2 2 12 8 5" xfId="14636" xr:uid="{00000000-0005-0000-0000-00001C360000}"/>
    <cellStyle name="Normal 2 2 12 8 6" xfId="14637" xr:uid="{00000000-0005-0000-0000-00001D360000}"/>
    <cellStyle name="Normal 2 2 12 9" xfId="14638" xr:uid="{00000000-0005-0000-0000-00001E360000}"/>
    <cellStyle name="Normal 2 2 13" xfId="14639" xr:uid="{00000000-0005-0000-0000-00001F360000}"/>
    <cellStyle name="Normal 2 2 13 10" xfId="14640" xr:uid="{00000000-0005-0000-0000-000020360000}"/>
    <cellStyle name="Normal 2 2 13 11" xfId="14641" xr:uid="{00000000-0005-0000-0000-000021360000}"/>
    <cellStyle name="Normal 2 2 13 12" xfId="14642" xr:uid="{00000000-0005-0000-0000-000022360000}"/>
    <cellStyle name="Normal 2 2 13 13" xfId="14643" xr:uid="{00000000-0005-0000-0000-000023360000}"/>
    <cellStyle name="Normal 2 2 13 14" xfId="14644" xr:uid="{00000000-0005-0000-0000-000024360000}"/>
    <cellStyle name="Normal 2 2 13 2" xfId="14645" xr:uid="{00000000-0005-0000-0000-000025360000}"/>
    <cellStyle name="Normal 2 2 13 2 2" xfId="14646" xr:uid="{00000000-0005-0000-0000-000026360000}"/>
    <cellStyle name="Normal 2 2 13 2 3" xfId="14647" xr:uid="{00000000-0005-0000-0000-000027360000}"/>
    <cellStyle name="Normal 2 2 13 2 4" xfId="14648" xr:uid="{00000000-0005-0000-0000-000028360000}"/>
    <cellStyle name="Normal 2 2 13 2 5" xfId="14649" xr:uid="{00000000-0005-0000-0000-000029360000}"/>
    <cellStyle name="Normal 2 2 13 2 6" xfId="14650" xr:uid="{00000000-0005-0000-0000-00002A360000}"/>
    <cellStyle name="Normal 2 2 13 3" xfId="14651" xr:uid="{00000000-0005-0000-0000-00002B360000}"/>
    <cellStyle name="Normal 2 2 13 3 2" xfId="14652" xr:uid="{00000000-0005-0000-0000-00002C360000}"/>
    <cellStyle name="Normal 2 2 13 3 3" xfId="14653" xr:uid="{00000000-0005-0000-0000-00002D360000}"/>
    <cellStyle name="Normal 2 2 13 3 4" xfId="14654" xr:uid="{00000000-0005-0000-0000-00002E360000}"/>
    <cellStyle name="Normal 2 2 13 3 5" xfId="14655" xr:uid="{00000000-0005-0000-0000-00002F360000}"/>
    <cellStyle name="Normal 2 2 13 3 6" xfId="14656" xr:uid="{00000000-0005-0000-0000-000030360000}"/>
    <cellStyle name="Normal 2 2 13 4" xfId="14657" xr:uid="{00000000-0005-0000-0000-000031360000}"/>
    <cellStyle name="Normal 2 2 13 4 2" xfId="14658" xr:uid="{00000000-0005-0000-0000-000032360000}"/>
    <cellStyle name="Normal 2 2 13 4 3" xfId="14659" xr:uid="{00000000-0005-0000-0000-000033360000}"/>
    <cellStyle name="Normal 2 2 13 4 4" xfId="14660" xr:uid="{00000000-0005-0000-0000-000034360000}"/>
    <cellStyle name="Normal 2 2 13 4 5" xfId="14661" xr:uid="{00000000-0005-0000-0000-000035360000}"/>
    <cellStyle name="Normal 2 2 13 4 6" xfId="14662" xr:uid="{00000000-0005-0000-0000-000036360000}"/>
    <cellStyle name="Normal 2 2 13 5" xfId="14663" xr:uid="{00000000-0005-0000-0000-000037360000}"/>
    <cellStyle name="Normal 2 2 13 5 2" xfId="14664" xr:uid="{00000000-0005-0000-0000-000038360000}"/>
    <cellStyle name="Normal 2 2 13 5 3" xfId="14665" xr:uid="{00000000-0005-0000-0000-000039360000}"/>
    <cellStyle name="Normal 2 2 13 5 4" xfId="14666" xr:uid="{00000000-0005-0000-0000-00003A360000}"/>
    <cellStyle name="Normal 2 2 13 5 5" xfId="14667" xr:uid="{00000000-0005-0000-0000-00003B360000}"/>
    <cellStyle name="Normal 2 2 13 5 6" xfId="14668" xr:uid="{00000000-0005-0000-0000-00003C360000}"/>
    <cellStyle name="Normal 2 2 13 6" xfId="14669" xr:uid="{00000000-0005-0000-0000-00003D360000}"/>
    <cellStyle name="Normal 2 2 13 6 2" xfId="14670" xr:uid="{00000000-0005-0000-0000-00003E360000}"/>
    <cellStyle name="Normal 2 2 13 6 3" xfId="14671" xr:uid="{00000000-0005-0000-0000-00003F360000}"/>
    <cellStyle name="Normal 2 2 13 6 4" xfId="14672" xr:uid="{00000000-0005-0000-0000-000040360000}"/>
    <cellStyle name="Normal 2 2 13 6 5" xfId="14673" xr:uid="{00000000-0005-0000-0000-000041360000}"/>
    <cellStyle name="Normal 2 2 13 6 6" xfId="14674" xr:uid="{00000000-0005-0000-0000-000042360000}"/>
    <cellStyle name="Normal 2 2 13 7" xfId="14675" xr:uid="{00000000-0005-0000-0000-000043360000}"/>
    <cellStyle name="Normal 2 2 13 7 2" xfId="14676" xr:uid="{00000000-0005-0000-0000-000044360000}"/>
    <cellStyle name="Normal 2 2 13 7 3" xfId="14677" xr:uid="{00000000-0005-0000-0000-000045360000}"/>
    <cellStyle name="Normal 2 2 13 7 4" xfId="14678" xr:uid="{00000000-0005-0000-0000-000046360000}"/>
    <cellStyle name="Normal 2 2 13 7 5" xfId="14679" xr:uid="{00000000-0005-0000-0000-000047360000}"/>
    <cellStyle name="Normal 2 2 13 7 6" xfId="14680" xr:uid="{00000000-0005-0000-0000-000048360000}"/>
    <cellStyle name="Normal 2 2 13 8" xfId="14681" xr:uid="{00000000-0005-0000-0000-000049360000}"/>
    <cellStyle name="Normal 2 2 13 8 2" xfId="14682" xr:uid="{00000000-0005-0000-0000-00004A360000}"/>
    <cellStyle name="Normal 2 2 13 8 3" xfId="14683" xr:uid="{00000000-0005-0000-0000-00004B360000}"/>
    <cellStyle name="Normal 2 2 13 8 4" xfId="14684" xr:uid="{00000000-0005-0000-0000-00004C360000}"/>
    <cellStyle name="Normal 2 2 13 8 5" xfId="14685" xr:uid="{00000000-0005-0000-0000-00004D360000}"/>
    <cellStyle name="Normal 2 2 13 8 6" xfId="14686" xr:uid="{00000000-0005-0000-0000-00004E360000}"/>
    <cellStyle name="Normal 2 2 13 9" xfId="14687" xr:uid="{00000000-0005-0000-0000-00004F360000}"/>
    <cellStyle name="Normal 2 2 14" xfId="14688" xr:uid="{00000000-0005-0000-0000-000050360000}"/>
    <cellStyle name="Normal 2 2 14 10" xfId="14689" xr:uid="{00000000-0005-0000-0000-000051360000}"/>
    <cellStyle name="Normal 2 2 14 11" xfId="14690" xr:uid="{00000000-0005-0000-0000-000052360000}"/>
    <cellStyle name="Normal 2 2 14 12" xfId="14691" xr:uid="{00000000-0005-0000-0000-000053360000}"/>
    <cellStyle name="Normal 2 2 14 13" xfId="14692" xr:uid="{00000000-0005-0000-0000-000054360000}"/>
    <cellStyle name="Normal 2 2 14 14" xfId="14693" xr:uid="{00000000-0005-0000-0000-000055360000}"/>
    <cellStyle name="Normal 2 2 14 2" xfId="14694" xr:uid="{00000000-0005-0000-0000-000056360000}"/>
    <cellStyle name="Normal 2 2 14 2 2" xfId="14695" xr:uid="{00000000-0005-0000-0000-000057360000}"/>
    <cellStyle name="Normal 2 2 14 2 3" xfId="14696" xr:uid="{00000000-0005-0000-0000-000058360000}"/>
    <cellStyle name="Normal 2 2 14 2 4" xfId="14697" xr:uid="{00000000-0005-0000-0000-000059360000}"/>
    <cellStyle name="Normal 2 2 14 2 5" xfId="14698" xr:uid="{00000000-0005-0000-0000-00005A360000}"/>
    <cellStyle name="Normal 2 2 14 2 6" xfId="14699" xr:uid="{00000000-0005-0000-0000-00005B360000}"/>
    <cellStyle name="Normal 2 2 14 3" xfId="14700" xr:uid="{00000000-0005-0000-0000-00005C360000}"/>
    <cellStyle name="Normal 2 2 14 3 2" xfId="14701" xr:uid="{00000000-0005-0000-0000-00005D360000}"/>
    <cellStyle name="Normal 2 2 14 3 3" xfId="14702" xr:uid="{00000000-0005-0000-0000-00005E360000}"/>
    <cellStyle name="Normal 2 2 14 3 4" xfId="14703" xr:uid="{00000000-0005-0000-0000-00005F360000}"/>
    <cellStyle name="Normal 2 2 14 3 5" xfId="14704" xr:uid="{00000000-0005-0000-0000-000060360000}"/>
    <cellStyle name="Normal 2 2 14 3 6" xfId="14705" xr:uid="{00000000-0005-0000-0000-000061360000}"/>
    <cellStyle name="Normal 2 2 14 4" xfId="14706" xr:uid="{00000000-0005-0000-0000-000062360000}"/>
    <cellStyle name="Normal 2 2 14 4 2" xfId="14707" xr:uid="{00000000-0005-0000-0000-000063360000}"/>
    <cellStyle name="Normal 2 2 14 4 3" xfId="14708" xr:uid="{00000000-0005-0000-0000-000064360000}"/>
    <cellStyle name="Normal 2 2 14 4 4" xfId="14709" xr:uid="{00000000-0005-0000-0000-000065360000}"/>
    <cellStyle name="Normal 2 2 14 4 5" xfId="14710" xr:uid="{00000000-0005-0000-0000-000066360000}"/>
    <cellStyle name="Normal 2 2 14 4 6" xfId="14711" xr:uid="{00000000-0005-0000-0000-000067360000}"/>
    <cellStyle name="Normal 2 2 14 5" xfId="14712" xr:uid="{00000000-0005-0000-0000-000068360000}"/>
    <cellStyle name="Normal 2 2 14 5 2" xfId="14713" xr:uid="{00000000-0005-0000-0000-000069360000}"/>
    <cellStyle name="Normal 2 2 14 5 3" xfId="14714" xr:uid="{00000000-0005-0000-0000-00006A360000}"/>
    <cellStyle name="Normal 2 2 14 5 4" xfId="14715" xr:uid="{00000000-0005-0000-0000-00006B360000}"/>
    <cellStyle name="Normal 2 2 14 5 5" xfId="14716" xr:uid="{00000000-0005-0000-0000-00006C360000}"/>
    <cellStyle name="Normal 2 2 14 5 6" xfId="14717" xr:uid="{00000000-0005-0000-0000-00006D360000}"/>
    <cellStyle name="Normal 2 2 14 6" xfId="14718" xr:uid="{00000000-0005-0000-0000-00006E360000}"/>
    <cellStyle name="Normal 2 2 14 6 2" xfId="14719" xr:uid="{00000000-0005-0000-0000-00006F360000}"/>
    <cellStyle name="Normal 2 2 14 6 3" xfId="14720" xr:uid="{00000000-0005-0000-0000-000070360000}"/>
    <cellStyle name="Normal 2 2 14 6 4" xfId="14721" xr:uid="{00000000-0005-0000-0000-000071360000}"/>
    <cellStyle name="Normal 2 2 14 6 5" xfId="14722" xr:uid="{00000000-0005-0000-0000-000072360000}"/>
    <cellStyle name="Normal 2 2 14 6 6" xfId="14723" xr:uid="{00000000-0005-0000-0000-000073360000}"/>
    <cellStyle name="Normal 2 2 14 7" xfId="14724" xr:uid="{00000000-0005-0000-0000-000074360000}"/>
    <cellStyle name="Normal 2 2 14 7 2" xfId="14725" xr:uid="{00000000-0005-0000-0000-000075360000}"/>
    <cellStyle name="Normal 2 2 14 7 3" xfId="14726" xr:uid="{00000000-0005-0000-0000-000076360000}"/>
    <cellStyle name="Normal 2 2 14 7 4" xfId="14727" xr:uid="{00000000-0005-0000-0000-000077360000}"/>
    <cellStyle name="Normal 2 2 14 7 5" xfId="14728" xr:uid="{00000000-0005-0000-0000-000078360000}"/>
    <cellStyle name="Normal 2 2 14 7 6" xfId="14729" xr:uid="{00000000-0005-0000-0000-000079360000}"/>
    <cellStyle name="Normal 2 2 14 8" xfId="14730" xr:uid="{00000000-0005-0000-0000-00007A360000}"/>
    <cellStyle name="Normal 2 2 14 8 2" xfId="14731" xr:uid="{00000000-0005-0000-0000-00007B360000}"/>
    <cellStyle name="Normal 2 2 14 8 3" xfId="14732" xr:uid="{00000000-0005-0000-0000-00007C360000}"/>
    <cellStyle name="Normal 2 2 14 8 4" xfId="14733" xr:uid="{00000000-0005-0000-0000-00007D360000}"/>
    <cellStyle name="Normal 2 2 14 8 5" xfId="14734" xr:uid="{00000000-0005-0000-0000-00007E360000}"/>
    <cellStyle name="Normal 2 2 14 8 6" xfId="14735" xr:uid="{00000000-0005-0000-0000-00007F360000}"/>
    <cellStyle name="Normal 2 2 14 9" xfId="14736" xr:uid="{00000000-0005-0000-0000-000080360000}"/>
    <cellStyle name="Normal 2 2 15" xfId="14737" xr:uid="{00000000-0005-0000-0000-000081360000}"/>
    <cellStyle name="Normal 2 2 15 10" xfId="14738" xr:uid="{00000000-0005-0000-0000-000082360000}"/>
    <cellStyle name="Normal 2 2 15 11" xfId="14739" xr:uid="{00000000-0005-0000-0000-000083360000}"/>
    <cellStyle name="Normal 2 2 15 12" xfId="14740" xr:uid="{00000000-0005-0000-0000-000084360000}"/>
    <cellStyle name="Normal 2 2 15 13" xfId="14741" xr:uid="{00000000-0005-0000-0000-000085360000}"/>
    <cellStyle name="Normal 2 2 15 14" xfId="14742" xr:uid="{00000000-0005-0000-0000-000086360000}"/>
    <cellStyle name="Normal 2 2 15 2" xfId="14743" xr:uid="{00000000-0005-0000-0000-000087360000}"/>
    <cellStyle name="Normal 2 2 15 2 2" xfId="14744" xr:uid="{00000000-0005-0000-0000-000088360000}"/>
    <cellStyle name="Normal 2 2 15 2 3" xfId="14745" xr:uid="{00000000-0005-0000-0000-000089360000}"/>
    <cellStyle name="Normal 2 2 15 2 4" xfId="14746" xr:uid="{00000000-0005-0000-0000-00008A360000}"/>
    <cellStyle name="Normal 2 2 15 2 5" xfId="14747" xr:uid="{00000000-0005-0000-0000-00008B360000}"/>
    <cellStyle name="Normal 2 2 15 2 6" xfId="14748" xr:uid="{00000000-0005-0000-0000-00008C360000}"/>
    <cellStyle name="Normal 2 2 15 3" xfId="14749" xr:uid="{00000000-0005-0000-0000-00008D360000}"/>
    <cellStyle name="Normal 2 2 15 3 2" xfId="14750" xr:uid="{00000000-0005-0000-0000-00008E360000}"/>
    <cellStyle name="Normal 2 2 15 3 3" xfId="14751" xr:uid="{00000000-0005-0000-0000-00008F360000}"/>
    <cellStyle name="Normal 2 2 15 3 4" xfId="14752" xr:uid="{00000000-0005-0000-0000-000090360000}"/>
    <cellStyle name="Normal 2 2 15 3 5" xfId="14753" xr:uid="{00000000-0005-0000-0000-000091360000}"/>
    <cellStyle name="Normal 2 2 15 3 6" xfId="14754" xr:uid="{00000000-0005-0000-0000-000092360000}"/>
    <cellStyle name="Normal 2 2 15 4" xfId="14755" xr:uid="{00000000-0005-0000-0000-000093360000}"/>
    <cellStyle name="Normal 2 2 15 4 2" xfId="14756" xr:uid="{00000000-0005-0000-0000-000094360000}"/>
    <cellStyle name="Normal 2 2 15 4 3" xfId="14757" xr:uid="{00000000-0005-0000-0000-000095360000}"/>
    <cellStyle name="Normal 2 2 15 4 4" xfId="14758" xr:uid="{00000000-0005-0000-0000-000096360000}"/>
    <cellStyle name="Normal 2 2 15 4 5" xfId="14759" xr:uid="{00000000-0005-0000-0000-000097360000}"/>
    <cellStyle name="Normal 2 2 15 4 6" xfId="14760" xr:uid="{00000000-0005-0000-0000-000098360000}"/>
    <cellStyle name="Normal 2 2 15 5" xfId="14761" xr:uid="{00000000-0005-0000-0000-000099360000}"/>
    <cellStyle name="Normal 2 2 15 5 2" xfId="14762" xr:uid="{00000000-0005-0000-0000-00009A360000}"/>
    <cellStyle name="Normal 2 2 15 5 3" xfId="14763" xr:uid="{00000000-0005-0000-0000-00009B360000}"/>
    <cellStyle name="Normal 2 2 15 5 4" xfId="14764" xr:uid="{00000000-0005-0000-0000-00009C360000}"/>
    <cellStyle name="Normal 2 2 15 5 5" xfId="14765" xr:uid="{00000000-0005-0000-0000-00009D360000}"/>
    <cellStyle name="Normal 2 2 15 5 6" xfId="14766" xr:uid="{00000000-0005-0000-0000-00009E360000}"/>
    <cellStyle name="Normal 2 2 15 6" xfId="14767" xr:uid="{00000000-0005-0000-0000-00009F360000}"/>
    <cellStyle name="Normal 2 2 15 6 2" xfId="14768" xr:uid="{00000000-0005-0000-0000-0000A0360000}"/>
    <cellStyle name="Normal 2 2 15 6 3" xfId="14769" xr:uid="{00000000-0005-0000-0000-0000A1360000}"/>
    <cellStyle name="Normal 2 2 15 6 4" xfId="14770" xr:uid="{00000000-0005-0000-0000-0000A2360000}"/>
    <cellStyle name="Normal 2 2 15 6 5" xfId="14771" xr:uid="{00000000-0005-0000-0000-0000A3360000}"/>
    <cellStyle name="Normal 2 2 15 6 6" xfId="14772" xr:uid="{00000000-0005-0000-0000-0000A4360000}"/>
    <cellStyle name="Normal 2 2 15 7" xfId="14773" xr:uid="{00000000-0005-0000-0000-0000A5360000}"/>
    <cellStyle name="Normal 2 2 15 7 2" xfId="14774" xr:uid="{00000000-0005-0000-0000-0000A6360000}"/>
    <cellStyle name="Normal 2 2 15 7 3" xfId="14775" xr:uid="{00000000-0005-0000-0000-0000A7360000}"/>
    <cellStyle name="Normal 2 2 15 7 4" xfId="14776" xr:uid="{00000000-0005-0000-0000-0000A8360000}"/>
    <cellStyle name="Normal 2 2 15 7 5" xfId="14777" xr:uid="{00000000-0005-0000-0000-0000A9360000}"/>
    <cellStyle name="Normal 2 2 15 7 6" xfId="14778" xr:uid="{00000000-0005-0000-0000-0000AA360000}"/>
    <cellStyle name="Normal 2 2 15 8" xfId="14779" xr:uid="{00000000-0005-0000-0000-0000AB360000}"/>
    <cellStyle name="Normal 2 2 15 8 2" xfId="14780" xr:uid="{00000000-0005-0000-0000-0000AC360000}"/>
    <cellStyle name="Normal 2 2 15 8 3" xfId="14781" xr:uid="{00000000-0005-0000-0000-0000AD360000}"/>
    <cellStyle name="Normal 2 2 15 8 4" xfId="14782" xr:uid="{00000000-0005-0000-0000-0000AE360000}"/>
    <cellStyle name="Normal 2 2 15 8 5" xfId="14783" xr:uid="{00000000-0005-0000-0000-0000AF360000}"/>
    <cellStyle name="Normal 2 2 15 8 6" xfId="14784" xr:uid="{00000000-0005-0000-0000-0000B0360000}"/>
    <cellStyle name="Normal 2 2 15 9" xfId="14785" xr:uid="{00000000-0005-0000-0000-0000B1360000}"/>
    <cellStyle name="Normal 2 2 16" xfId="14786" xr:uid="{00000000-0005-0000-0000-0000B2360000}"/>
    <cellStyle name="Normal 2 2 16 10" xfId="14787" xr:uid="{00000000-0005-0000-0000-0000B3360000}"/>
    <cellStyle name="Normal 2 2 16 11" xfId="14788" xr:uid="{00000000-0005-0000-0000-0000B4360000}"/>
    <cellStyle name="Normal 2 2 16 12" xfId="14789" xr:uid="{00000000-0005-0000-0000-0000B5360000}"/>
    <cellStyle name="Normal 2 2 16 13" xfId="14790" xr:uid="{00000000-0005-0000-0000-0000B6360000}"/>
    <cellStyle name="Normal 2 2 16 14" xfId="14791" xr:uid="{00000000-0005-0000-0000-0000B7360000}"/>
    <cellStyle name="Normal 2 2 16 2" xfId="14792" xr:uid="{00000000-0005-0000-0000-0000B8360000}"/>
    <cellStyle name="Normal 2 2 16 2 2" xfId="14793" xr:uid="{00000000-0005-0000-0000-0000B9360000}"/>
    <cellStyle name="Normal 2 2 16 2 3" xfId="14794" xr:uid="{00000000-0005-0000-0000-0000BA360000}"/>
    <cellStyle name="Normal 2 2 16 2 4" xfId="14795" xr:uid="{00000000-0005-0000-0000-0000BB360000}"/>
    <cellStyle name="Normal 2 2 16 2 5" xfId="14796" xr:uid="{00000000-0005-0000-0000-0000BC360000}"/>
    <cellStyle name="Normal 2 2 16 2 6" xfId="14797" xr:uid="{00000000-0005-0000-0000-0000BD360000}"/>
    <cellStyle name="Normal 2 2 16 3" xfId="14798" xr:uid="{00000000-0005-0000-0000-0000BE360000}"/>
    <cellStyle name="Normal 2 2 16 3 2" xfId="14799" xr:uid="{00000000-0005-0000-0000-0000BF360000}"/>
    <cellStyle name="Normal 2 2 16 3 3" xfId="14800" xr:uid="{00000000-0005-0000-0000-0000C0360000}"/>
    <cellStyle name="Normal 2 2 16 3 4" xfId="14801" xr:uid="{00000000-0005-0000-0000-0000C1360000}"/>
    <cellStyle name="Normal 2 2 16 3 5" xfId="14802" xr:uid="{00000000-0005-0000-0000-0000C2360000}"/>
    <cellStyle name="Normal 2 2 16 3 6" xfId="14803" xr:uid="{00000000-0005-0000-0000-0000C3360000}"/>
    <cellStyle name="Normal 2 2 16 4" xfId="14804" xr:uid="{00000000-0005-0000-0000-0000C4360000}"/>
    <cellStyle name="Normal 2 2 16 4 2" xfId="14805" xr:uid="{00000000-0005-0000-0000-0000C5360000}"/>
    <cellStyle name="Normal 2 2 16 4 3" xfId="14806" xr:uid="{00000000-0005-0000-0000-0000C6360000}"/>
    <cellStyle name="Normal 2 2 16 4 4" xfId="14807" xr:uid="{00000000-0005-0000-0000-0000C7360000}"/>
    <cellStyle name="Normal 2 2 16 4 5" xfId="14808" xr:uid="{00000000-0005-0000-0000-0000C8360000}"/>
    <cellStyle name="Normal 2 2 16 4 6" xfId="14809" xr:uid="{00000000-0005-0000-0000-0000C9360000}"/>
    <cellStyle name="Normal 2 2 16 5" xfId="14810" xr:uid="{00000000-0005-0000-0000-0000CA360000}"/>
    <cellStyle name="Normal 2 2 16 5 2" xfId="14811" xr:uid="{00000000-0005-0000-0000-0000CB360000}"/>
    <cellStyle name="Normal 2 2 16 5 3" xfId="14812" xr:uid="{00000000-0005-0000-0000-0000CC360000}"/>
    <cellStyle name="Normal 2 2 16 5 4" xfId="14813" xr:uid="{00000000-0005-0000-0000-0000CD360000}"/>
    <cellStyle name="Normal 2 2 16 5 5" xfId="14814" xr:uid="{00000000-0005-0000-0000-0000CE360000}"/>
    <cellStyle name="Normal 2 2 16 5 6" xfId="14815" xr:uid="{00000000-0005-0000-0000-0000CF360000}"/>
    <cellStyle name="Normal 2 2 16 6" xfId="14816" xr:uid="{00000000-0005-0000-0000-0000D0360000}"/>
    <cellStyle name="Normal 2 2 16 6 2" xfId="14817" xr:uid="{00000000-0005-0000-0000-0000D1360000}"/>
    <cellStyle name="Normal 2 2 16 6 3" xfId="14818" xr:uid="{00000000-0005-0000-0000-0000D2360000}"/>
    <cellStyle name="Normal 2 2 16 6 4" xfId="14819" xr:uid="{00000000-0005-0000-0000-0000D3360000}"/>
    <cellStyle name="Normal 2 2 16 6 5" xfId="14820" xr:uid="{00000000-0005-0000-0000-0000D4360000}"/>
    <cellStyle name="Normal 2 2 16 6 6" xfId="14821" xr:uid="{00000000-0005-0000-0000-0000D5360000}"/>
    <cellStyle name="Normal 2 2 16 7" xfId="14822" xr:uid="{00000000-0005-0000-0000-0000D6360000}"/>
    <cellStyle name="Normal 2 2 16 7 2" xfId="14823" xr:uid="{00000000-0005-0000-0000-0000D7360000}"/>
    <cellStyle name="Normal 2 2 16 7 3" xfId="14824" xr:uid="{00000000-0005-0000-0000-0000D8360000}"/>
    <cellStyle name="Normal 2 2 16 7 4" xfId="14825" xr:uid="{00000000-0005-0000-0000-0000D9360000}"/>
    <cellStyle name="Normal 2 2 16 7 5" xfId="14826" xr:uid="{00000000-0005-0000-0000-0000DA360000}"/>
    <cellStyle name="Normal 2 2 16 7 6" xfId="14827" xr:uid="{00000000-0005-0000-0000-0000DB360000}"/>
    <cellStyle name="Normal 2 2 16 8" xfId="14828" xr:uid="{00000000-0005-0000-0000-0000DC360000}"/>
    <cellStyle name="Normal 2 2 16 8 2" xfId="14829" xr:uid="{00000000-0005-0000-0000-0000DD360000}"/>
    <cellStyle name="Normal 2 2 16 8 3" xfId="14830" xr:uid="{00000000-0005-0000-0000-0000DE360000}"/>
    <cellStyle name="Normal 2 2 16 8 4" xfId="14831" xr:uid="{00000000-0005-0000-0000-0000DF360000}"/>
    <cellStyle name="Normal 2 2 16 8 5" xfId="14832" xr:uid="{00000000-0005-0000-0000-0000E0360000}"/>
    <cellStyle name="Normal 2 2 16 8 6" xfId="14833" xr:uid="{00000000-0005-0000-0000-0000E1360000}"/>
    <cellStyle name="Normal 2 2 16 9" xfId="14834" xr:uid="{00000000-0005-0000-0000-0000E2360000}"/>
    <cellStyle name="Normal 2 2 17" xfId="14835" xr:uid="{00000000-0005-0000-0000-0000E3360000}"/>
    <cellStyle name="Normal 2 2 17 10" xfId="14836" xr:uid="{00000000-0005-0000-0000-0000E4360000}"/>
    <cellStyle name="Normal 2 2 17 11" xfId="14837" xr:uid="{00000000-0005-0000-0000-0000E5360000}"/>
    <cellStyle name="Normal 2 2 17 12" xfId="14838" xr:uid="{00000000-0005-0000-0000-0000E6360000}"/>
    <cellStyle name="Normal 2 2 17 13" xfId="14839" xr:uid="{00000000-0005-0000-0000-0000E7360000}"/>
    <cellStyle name="Normal 2 2 17 14" xfId="14840" xr:uid="{00000000-0005-0000-0000-0000E8360000}"/>
    <cellStyle name="Normal 2 2 17 2" xfId="14841" xr:uid="{00000000-0005-0000-0000-0000E9360000}"/>
    <cellStyle name="Normal 2 2 17 2 2" xfId="14842" xr:uid="{00000000-0005-0000-0000-0000EA360000}"/>
    <cellStyle name="Normal 2 2 17 2 3" xfId="14843" xr:uid="{00000000-0005-0000-0000-0000EB360000}"/>
    <cellStyle name="Normal 2 2 17 2 4" xfId="14844" xr:uid="{00000000-0005-0000-0000-0000EC360000}"/>
    <cellStyle name="Normal 2 2 17 2 5" xfId="14845" xr:uid="{00000000-0005-0000-0000-0000ED360000}"/>
    <cellStyle name="Normal 2 2 17 2 6" xfId="14846" xr:uid="{00000000-0005-0000-0000-0000EE360000}"/>
    <cellStyle name="Normal 2 2 17 3" xfId="14847" xr:uid="{00000000-0005-0000-0000-0000EF360000}"/>
    <cellStyle name="Normal 2 2 17 3 2" xfId="14848" xr:uid="{00000000-0005-0000-0000-0000F0360000}"/>
    <cellStyle name="Normal 2 2 17 3 3" xfId="14849" xr:uid="{00000000-0005-0000-0000-0000F1360000}"/>
    <cellStyle name="Normal 2 2 17 3 4" xfId="14850" xr:uid="{00000000-0005-0000-0000-0000F2360000}"/>
    <cellStyle name="Normal 2 2 17 3 5" xfId="14851" xr:uid="{00000000-0005-0000-0000-0000F3360000}"/>
    <cellStyle name="Normal 2 2 17 3 6" xfId="14852" xr:uid="{00000000-0005-0000-0000-0000F4360000}"/>
    <cellStyle name="Normal 2 2 17 4" xfId="14853" xr:uid="{00000000-0005-0000-0000-0000F5360000}"/>
    <cellStyle name="Normal 2 2 17 4 2" xfId="14854" xr:uid="{00000000-0005-0000-0000-0000F6360000}"/>
    <cellStyle name="Normal 2 2 17 4 3" xfId="14855" xr:uid="{00000000-0005-0000-0000-0000F7360000}"/>
    <cellStyle name="Normal 2 2 17 4 4" xfId="14856" xr:uid="{00000000-0005-0000-0000-0000F8360000}"/>
    <cellStyle name="Normal 2 2 17 4 5" xfId="14857" xr:uid="{00000000-0005-0000-0000-0000F9360000}"/>
    <cellStyle name="Normal 2 2 17 4 6" xfId="14858" xr:uid="{00000000-0005-0000-0000-0000FA360000}"/>
    <cellStyle name="Normal 2 2 17 5" xfId="14859" xr:uid="{00000000-0005-0000-0000-0000FB360000}"/>
    <cellStyle name="Normal 2 2 17 5 2" xfId="14860" xr:uid="{00000000-0005-0000-0000-0000FC360000}"/>
    <cellStyle name="Normal 2 2 17 5 3" xfId="14861" xr:uid="{00000000-0005-0000-0000-0000FD360000}"/>
    <cellStyle name="Normal 2 2 17 5 4" xfId="14862" xr:uid="{00000000-0005-0000-0000-0000FE360000}"/>
    <cellStyle name="Normal 2 2 17 5 5" xfId="14863" xr:uid="{00000000-0005-0000-0000-0000FF360000}"/>
    <cellStyle name="Normal 2 2 17 5 6" xfId="14864" xr:uid="{00000000-0005-0000-0000-000000370000}"/>
    <cellStyle name="Normal 2 2 17 6" xfId="14865" xr:uid="{00000000-0005-0000-0000-000001370000}"/>
    <cellStyle name="Normal 2 2 17 6 2" xfId="14866" xr:uid="{00000000-0005-0000-0000-000002370000}"/>
    <cellStyle name="Normal 2 2 17 6 3" xfId="14867" xr:uid="{00000000-0005-0000-0000-000003370000}"/>
    <cellStyle name="Normal 2 2 17 6 4" xfId="14868" xr:uid="{00000000-0005-0000-0000-000004370000}"/>
    <cellStyle name="Normal 2 2 17 6 5" xfId="14869" xr:uid="{00000000-0005-0000-0000-000005370000}"/>
    <cellStyle name="Normal 2 2 17 6 6" xfId="14870" xr:uid="{00000000-0005-0000-0000-000006370000}"/>
    <cellStyle name="Normal 2 2 17 7" xfId="14871" xr:uid="{00000000-0005-0000-0000-000007370000}"/>
    <cellStyle name="Normal 2 2 17 7 2" xfId="14872" xr:uid="{00000000-0005-0000-0000-000008370000}"/>
    <cellStyle name="Normal 2 2 17 7 3" xfId="14873" xr:uid="{00000000-0005-0000-0000-000009370000}"/>
    <cellStyle name="Normal 2 2 17 7 4" xfId="14874" xr:uid="{00000000-0005-0000-0000-00000A370000}"/>
    <cellStyle name="Normal 2 2 17 7 5" xfId="14875" xr:uid="{00000000-0005-0000-0000-00000B370000}"/>
    <cellStyle name="Normal 2 2 17 7 6" xfId="14876" xr:uid="{00000000-0005-0000-0000-00000C370000}"/>
    <cellStyle name="Normal 2 2 17 8" xfId="14877" xr:uid="{00000000-0005-0000-0000-00000D370000}"/>
    <cellStyle name="Normal 2 2 17 8 2" xfId="14878" xr:uid="{00000000-0005-0000-0000-00000E370000}"/>
    <cellStyle name="Normal 2 2 17 8 3" xfId="14879" xr:uid="{00000000-0005-0000-0000-00000F370000}"/>
    <cellStyle name="Normal 2 2 17 8 4" xfId="14880" xr:uid="{00000000-0005-0000-0000-000010370000}"/>
    <cellStyle name="Normal 2 2 17 8 5" xfId="14881" xr:uid="{00000000-0005-0000-0000-000011370000}"/>
    <cellStyle name="Normal 2 2 17 8 6" xfId="14882" xr:uid="{00000000-0005-0000-0000-000012370000}"/>
    <cellStyle name="Normal 2 2 17 9" xfId="14883" xr:uid="{00000000-0005-0000-0000-000013370000}"/>
    <cellStyle name="Normal 2 2 18" xfId="14884" xr:uid="{00000000-0005-0000-0000-000014370000}"/>
    <cellStyle name="Normal 2 2 18 10" xfId="14885" xr:uid="{00000000-0005-0000-0000-000015370000}"/>
    <cellStyle name="Normal 2 2 18 10 2" xfId="14886" xr:uid="{00000000-0005-0000-0000-000016370000}"/>
    <cellStyle name="Normal 2 2 18 10 3" xfId="14887" xr:uid="{00000000-0005-0000-0000-000017370000}"/>
    <cellStyle name="Normal 2 2 18 10 4" xfId="14888" xr:uid="{00000000-0005-0000-0000-000018370000}"/>
    <cellStyle name="Normal 2 2 18 10 5" xfId="14889" xr:uid="{00000000-0005-0000-0000-000019370000}"/>
    <cellStyle name="Normal 2 2 18 10 6" xfId="14890" xr:uid="{00000000-0005-0000-0000-00001A370000}"/>
    <cellStyle name="Normal 2 2 18 11" xfId="14891" xr:uid="{00000000-0005-0000-0000-00001B370000}"/>
    <cellStyle name="Normal 2 2 18 11 2" xfId="14892" xr:uid="{00000000-0005-0000-0000-00001C370000}"/>
    <cellStyle name="Normal 2 2 18 11 3" xfId="14893" xr:uid="{00000000-0005-0000-0000-00001D370000}"/>
    <cellStyle name="Normal 2 2 18 11 4" xfId="14894" xr:uid="{00000000-0005-0000-0000-00001E370000}"/>
    <cellStyle name="Normal 2 2 18 11 5" xfId="14895" xr:uid="{00000000-0005-0000-0000-00001F370000}"/>
    <cellStyle name="Normal 2 2 18 11 6" xfId="14896" xr:uid="{00000000-0005-0000-0000-000020370000}"/>
    <cellStyle name="Normal 2 2 18 12" xfId="14897" xr:uid="{00000000-0005-0000-0000-000021370000}"/>
    <cellStyle name="Normal 2 2 18 12 2" xfId="14898" xr:uid="{00000000-0005-0000-0000-000022370000}"/>
    <cellStyle name="Normal 2 2 18 12 3" xfId="14899" xr:uid="{00000000-0005-0000-0000-000023370000}"/>
    <cellStyle name="Normal 2 2 18 12 4" xfId="14900" xr:uid="{00000000-0005-0000-0000-000024370000}"/>
    <cellStyle name="Normal 2 2 18 12 5" xfId="14901" xr:uid="{00000000-0005-0000-0000-000025370000}"/>
    <cellStyle name="Normal 2 2 18 12 6" xfId="14902" xr:uid="{00000000-0005-0000-0000-000026370000}"/>
    <cellStyle name="Normal 2 2 18 13" xfId="14903" xr:uid="{00000000-0005-0000-0000-000027370000}"/>
    <cellStyle name="Normal 2 2 18 13 2" xfId="14904" xr:uid="{00000000-0005-0000-0000-000028370000}"/>
    <cellStyle name="Normal 2 2 18 13 3" xfId="14905" xr:uid="{00000000-0005-0000-0000-000029370000}"/>
    <cellStyle name="Normal 2 2 18 13 4" xfId="14906" xr:uid="{00000000-0005-0000-0000-00002A370000}"/>
    <cellStyle name="Normal 2 2 18 13 5" xfId="14907" xr:uid="{00000000-0005-0000-0000-00002B370000}"/>
    <cellStyle name="Normal 2 2 18 13 6" xfId="14908" xr:uid="{00000000-0005-0000-0000-00002C370000}"/>
    <cellStyle name="Normal 2 2 18 14" xfId="14909" xr:uid="{00000000-0005-0000-0000-00002D370000}"/>
    <cellStyle name="Normal 2 2 18 14 2" xfId="14910" xr:uid="{00000000-0005-0000-0000-00002E370000}"/>
    <cellStyle name="Normal 2 2 18 14 3" xfId="14911" xr:uid="{00000000-0005-0000-0000-00002F370000}"/>
    <cellStyle name="Normal 2 2 18 14 4" xfId="14912" xr:uid="{00000000-0005-0000-0000-000030370000}"/>
    <cellStyle name="Normal 2 2 18 14 5" xfId="14913" xr:uid="{00000000-0005-0000-0000-000031370000}"/>
    <cellStyle name="Normal 2 2 18 14 6" xfId="14914" xr:uid="{00000000-0005-0000-0000-000032370000}"/>
    <cellStyle name="Normal 2 2 18 15" xfId="14915" xr:uid="{00000000-0005-0000-0000-000033370000}"/>
    <cellStyle name="Normal 2 2 18 16" xfId="14916" xr:uid="{00000000-0005-0000-0000-000034370000}"/>
    <cellStyle name="Normal 2 2 18 17" xfId="14917" xr:uid="{00000000-0005-0000-0000-000035370000}"/>
    <cellStyle name="Normal 2 2 18 18" xfId="14918" xr:uid="{00000000-0005-0000-0000-000036370000}"/>
    <cellStyle name="Normal 2 2 18 19" xfId="14919" xr:uid="{00000000-0005-0000-0000-000037370000}"/>
    <cellStyle name="Normal 2 2 18 2" xfId="14920" xr:uid="{00000000-0005-0000-0000-000038370000}"/>
    <cellStyle name="Normal 2 2 18 2 10" xfId="14921" xr:uid="{00000000-0005-0000-0000-000039370000}"/>
    <cellStyle name="Normal 2 2 18 2 11" xfId="14922" xr:uid="{00000000-0005-0000-0000-00003A370000}"/>
    <cellStyle name="Normal 2 2 18 2 12" xfId="14923" xr:uid="{00000000-0005-0000-0000-00003B370000}"/>
    <cellStyle name="Normal 2 2 18 2 13" xfId="14924" xr:uid="{00000000-0005-0000-0000-00003C370000}"/>
    <cellStyle name="Normal 2 2 18 2 14" xfId="14925" xr:uid="{00000000-0005-0000-0000-00003D370000}"/>
    <cellStyle name="Normal 2 2 18 2 15" xfId="14926" xr:uid="{00000000-0005-0000-0000-00003E370000}"/>
    <cellStyle name="Normal 2 2 18 2 16" xfId="14927" xr:uid="{00000000-0005-0000-0000-00003F370000}"/>
    <cellStyle name="Normal 2 2 18 2 17" xfId="14928" xr:uid="{00000000-0005-0000-0000-000040370000}"/>
    <cellStyle name="Normal 2 2 18 2 18" xfId="14929" xr:uid="{00000000-0005-0000-0000-000041370000}"/>
    <cellStyle name="Normal 2 2 18 2 19" xfId="14930" xr:uid="{00000000-0005-0000-0000-000042370000}"/>
    <cellStyle name="Normal 2 2 18 2 2" xfId="14931" xr:uid="{00000000-0005-0000-0000-000043370000}"/>
    <cellStyle name="Normal 2 2 18 2 20" xfId="14932" xr:uid="{00000000-0005-0000-0000-000044370000}"/>
    <cellStyle name="Normal 2 2 18 2 21" xfId="14933" xr:uid="{00000000-0005-0000-0000-000045370000}"/>
    <cellStyle name="Normal 2 2 18 2 22" xfId="14934" xr:uid="{00000000-0005-0000-0000-000046370000}"/>
    <cellStyle name="Normal 2 2 18 2 23" xfId="14935" xr:uid="{00000000-0005-0000-0000-000047370000}"/>
    <cellStyle name="Normal 2 2 18 2 24" xfId="14936" xr:uid="{00000000-0005-0000-0000-000048370000}"/>
    <cellStyle name="Normal 2 2 18 2 25" xfId="14937" xr:uid="{00000000-0005-0000-0000-000049370000}"/>
    <cellStyle name="Normal 2 2 18 2 26" xfId="14938" xr:uid="{00000000-0005-0000-0000-00004A370000}"/>
    <cellStyle name="Normal 2 2 18 2 27" xfId="14939" xr:uid="{00000000-0005-0000-0000-00004B370000}"/>
    <cellStyle name="Normal 2 2 18 2 28" xfId="14940" xr:uid="{00000000-0005-0000-0000-00004C370000}"/>
    <cellStyle name="Normal 2 2 18 2 29" xfId="14941" xr:uid="{00000000-0005-0000-0000-00004D370000}"/>
    <cellStyle name="Normal 2 2 18 2 3" xfId="14942" xr:uid="{00000000-0005-0000-0000-00004E370000}"/>
    <cellStyle name="Normal 2 2 18 2 30" xfId="14943" xr:uid="{00000000-0005-0000-0000-00004F370000}"/>
    <cellStyle name="Normal 2 2 18 2 31" xfId="14944" xr:uid="{00000000-0005-0000-0000-000050370000}"/>
    <cellStyle name="Normal 2 2 18 2 32" xfId="14945" xr:uid="{00000000-0005-0000-0000-000051370000}"/>
    <cellStyle name="Normal 2 2 18 2 33" xfId="14946" xr:uid="{00000000-0005-0000-0000-000052370000}"/>
    <cellStyle name="Normal 2 2 18 2 34" xfId="14947" xr:uid="{00000000-0005-0000-0000-000053370000}"/>
    <cellStyle name="Normal 2 2 18 2 35" xfId="14948" xr:uid="{00000000-0005-0000-0000-000054370000}"/>
    <cellStyle name="Normal 2 2 18 2 36" xfId="14949" xr:uid="{00000000-0005-0000-0000-000055370000}"/>
    <cellStyle name="Normal 2 2 18 2 37" xfId="14950" xr:uid="{00000000-0005-0000-0000-000056370000}"/>
    <cellStyle name="Normal 2 2 18 2 38" xfId="14951" xr:uid="{00000000-0005-0000-0000-000057370000}"/>
    <cellStyle name="Normal 2 2 18 2 39" xfId="14952" xr:uid="{00000000-0005-0000-0000-000058370000}"/>
    <cellStyle name="Normal 2 2 18 2 4" xfId="14953" xr:uid="{00000000-0005-0000-0000-000059370000}"/>
    <cellStyle name="Normal 2 2 18 2 40" xfId="14954" xr:uid="{00000000-0005-0000-0000-00005A370000}"/>
    <cellStyle name="Normal 2 2 18 2 41" xfId="14955" xr:uid="{00000000-0005-0000-0000-00005B370000}"/>
    <cellStyle name="Normal 2 2 18 2 42" xfId="14956" xr:uid="{00000000-0005-0000-0000-00005C370000}"/>
    <cellStyle name="Normal 2 2 18 2 43" xfId="14957" xr:uid="{00000000-0005-0000-0000-00005D370000}"/>
    <cellStyle name="Normal 2 2 18 2 44" xfId="14958" xr:uid="{00000000-0005-0000-0000-00005E370000}"/>
    <cellStyle name="Normal 2 2 18 2 45" xfId="14959" xr:uid="{00000000-0005-0000-0000-00005F370000}"/>
    <cellStyle name="Normal 2 2 18 2 5" xfId="14960" xr:uid="{00000000-0005-0000-0000-000060370000}"/>
    <cellStyle name="Normal 2 2 18 2 6" xfId="14961" xr:uid="{00000000-0005-0000-0000-000061370000}"/>
    <cellStyle name="Normal 2 2 18 2 7" xfId="14962" xr:uid="{00000000-0005-0000-0000-000062370000}"/>
    <cellStyle name="Normal 2 2 18 2 8" xfId="14963" xr:uid="{00000000-0005-0000-0000-000063370000}"/>
    <cellStyle name="Normal 2 2 18 2 9" xfId="14964" xr:uid="{00000000-0005-0000-0000-000064370000}"/>
    <cellStyle name="Normal 2 2 18 20" xfId="14965" xr:uid="{00000000-0005-0000-0000-000065370000}"/>
    <cellStyle name="Normal 2 2 18 3" xfId="14966" xr:uid="{00000000-0005-0000-0000-000066370000}"/>
    <cellStyle name="Normal 2 2 18 3 10" xfId="14967" xr:uid="{00000000-0005-0000-0000-000067370000}"/>
    <cellStyle name="Normal 2 2 18 3 11" xfId="14968" xr:uid="{00000000-0005-0000-0000-000068370000}"/>
    <cellStyle name="Normal 2 2 18 3 12" xfId="14969" xr:uid="{00000000-0005-0000-0000-000069370000}"/>
    <cellStyle name="Normal 2 2 18 3 13" xfId="14970" xr:uid="{00000000-0005-0000-0000-00006A370000}"/>
    <cellStyle name="Normal 2 2 18 3 14" xfId="14971" xr:uid="{00000000-0005-0000-0000-00006B370000}"/>
    <cellStyle name="Normal 2 2 18 3 15" xfId="14972" xr:uid="{00000000-0005-0000-0000-00006C370000}"/>
    <cellStyle name="Normal 2 2 18 3 16" xfId="14973" xr:uid="{00000000-0005-0000-0000-00006D370000}"/>
    <cellStyle name="Normal 2 2 18 3 17" xfId="14974" xr:uid="{00000000-0005-0000-0000-00006E370000}"/>
    <cellStyle name="Normal 2 2 18 3 18" xfId="14975" xr:uid="{00000000-0005-0000-0000-00006F370000}"/>
    <cellStyle name="Normal 2 2 18 3 19" xfId="14976" xr:uid="{00000000-0005-0000-0000-000070370000}"/>
    <cellStyle name="Normal 2 2 18 3 2" xfId="14977" xr:uid="{00000000-0005-0000-0000-000071370000}"/>
    <cellStyle name="Normal 2 2 18 3 20" xfId="14978" xr:uid="{00000000-0005-0000-0000-000072370000}"/>
    <cellStyle name="Normal 2 2 18 3 21" xfId="14979" xr:uid="{00000000-0005-0000-0000-000073370000}"/>
    <cellStyle name="Normal 2 2 18 3 22" xfId="14980" xr:uid="{00000000-0005-0000-0000-000074370000}"/>
    <cellStyle name="Normal 2 2 18 3 23" xfId="14981" xr:uid="{00000000-0005-0000-0000-000075370000}"/>
    <cellStyle name="Normal 2 2 18 3 24" xfId="14982" xr:uid="{00000000-0005-0000-0000-000076370000}"/>
    <cellStyle name="Normal 2 2 18 3 25" xfId="14983" xr:uid="{00000000-0005-0000-0000-000077370000}"/>
    <cellStyle name="Normal 2 2 18 3 26" xfId="14984" xr:uid="{00000000-0005-0000-0000-000078370000}"/>
    <cellStyle name="Normal 2 2 18 3 27" xfId="14985" xr:uid="{00000000-0005-0000-0000-000079370000}"/>
    <cellStyle name="Normal 2 2 18 3 28" xfId="14986" xr:uid="{00000000-0005-0000-0000-00007A370000}"/>
    <cellStyle name="Normal 2 2 18 3 29" xfId="14987" xr:uid="{00000000-0005-0000-0000-00007B370000}"/>
    <cellStyle name="Normal 2 2 18 3 3" xfId="14988" xr:uid="{00000000-0005-0000-0000-00007C370000}"/>
    <cellStyle name="Normal 2 2 18 3 30" xfId="14989" xr:uid="{00000000-0005-0000-0000-00007D370000}"/>
    <cellStyle name="Normal 2 2 18 3 31" xfId="14990" xr:uid="{00000000-0005-0000-0000-00007E370000}"/>
    <cellStyle name="Normal 2 2 18 3 32" xfId="14991" xr:uid="{00000000-0005-0000-0000-00007F370000}"/>
    <cellStyle name="Normal 2 2 18 3 33" xfId="14992" xr:uid="{00000000-0005-0000-0000-000080370000}"/>
    <cellStyle name="Normal 2 2 18 3 34" xfId="14993" xr:uid="{00000000-0005-0000-0000-000081370000}"/>
    <cellStyle name="Normal 2 2 18 3 35" xfId="14994" xr:uid="{00000000-0005-0000-0000-000082370000}"/>
    <cellStyle name="Normal 2 2 18 3 36" xfId="14995" xr:uid="{00000000-0005-0000-0000-000083370000}"/>
    <cellStyle name="Normal 2 2 18 3 37" xfId="14996" xr:uid="{00000000-0005-0000-0000-000084370000}"/>
    <cellStyle name="Normal 2 2 18 3 38" xfId="14997" xr:uid="{00000000-0005-0000-0000-000085370000}"/>
    <cellStyle name="Normal 2 2 18 3 39" xfId="14998" xr:uid="{00000000-0005-0000-0000-000086370000}"/>
    <cellStyle name="Normal 2 2 18 3 4" xfId="14999" xr:uid="{00000000-0005-0000-0000-000087370000}"/>
    <cellStyle name="Normal 2 2 18 3 40" xfId="15000" xr:uid="{00000000-0005-0000-0000-000088370000}"/>
    <cellStyle name="Normal 2 2 18 3 41" xfId="15001" xr:uid="{00000000-0005-0000-0000-000089370000}"/>
    <cellStyle name="Normal 2 2 18 3 42" xfId="15002" xr:uid="{00000000-0005-0000-0000-00008A370000}"/>
    <cellStyle name="Normal 2 2 18 3 43" xfId="15003" xr:uid="{00000000-0005-0000-0000-00008B370000}"/>
    <cellStyle name="Normal 2 2 18 3 44" xfId="15004" xr:uid="{00000000-0005-0000-0000-00008C370000}"/>
    <cellStyle name="Normal 2 2 18 3 45" xfId="15005" xr:uid="{00000000-0005-0000-0000-00008D370000}"/>
    <cellStyle name="Normal 2 2 18 3 5" xfId="15006" xr:uid="{00000000-0005-0000-0000-00008E370000}"/>
    <cellStyle name="Normal 2 2 18 3 6" xfId="15007" xr:uid="{00000000-0005-0000-0000-00008F370000}"/>
    <cellStyle name="Normal 2 2 18 3 7" xfId="15008" xr:uid="{00000000-0005-0000-0000-000090370000}"/>
    <cellStyle name="Normal 2 2 18 3 8" xfId="15009" xr:uid="{00000000-0005-0000-0000-000091370000}"/>
    <cellStyle name="Normal 2 2 18 3 9" xfId="15010" xr:uid="{00000000-0005-0000-0000-000092370000}"/>
    <cellStyle name="Normal 2 2 18 4" xfId="15011" xr:uid="{00000000-0005-0000-0000-000093370000}"/>
    <cellStyle name="Normal 2 2 18 4 10" xfId="15012" xr:uid="{00000000-0005-0000-0000-000094370000}"/>
    <cellStyle name="Normal 2 2 18 4 11" xfId="15013" xr:uid="{00000000-0005-0000-0000-000095370000}"/>
    <cellStyle name="Normal 2 2 18 4 12" xfId="15014" xr:uid="{00000000-0005-0000-0000-000096370000}"/>
    <cellStyle name="Normal 2 2 18 4 13" xfId="15015" xr:uid="{00000000-0005-0000-0000-000097370000}"/>
    <cellStyle name="Normal 2 2 18 4 14" xfId="15016" xr:uid="{00000000-0005-0000-0000-000098370000}"/>
    <cellStyle name="Normal 2 2 18 4 15" xfId="15017" xr:uid="{00000000-0005-0000-0000-000099370000}"/>
    <cellStyle name="Normal 2 2 18 4 16" xfId="15018" xr:uid="{00000000-0005-0000-0000-00009A370000}"/>
    <cellStyle name="Normal 2 2 18 4 17" xfId="15019" xr:uid="{00000000-0005-0000-0000-00009B370000}"/>
    <cellStyle name="Normal 2 2 18 4 18" xfId="15020" xr:uid="{00000000-0005-0000-0000-00009C370000}"/>
    <cellStyle name="Normal 2 2 18 4 19" xfId="15021" xr:uid="{00000000-0005-0000-0000-00009D370000}"/>
    <cellStyle name="Normal 2 2 18 4 2" xfId="15022" xr:uid="{00000000-0005-0000-0000-00009E370000}"/>
    <cellStyle name="Normal 2 2 18 4 20" xfId="15023" xr:uid="{00000000-0005-0000-0000-00009F370000}"/>
    <cellStyle name="Normal 2 2 18 4 21" xfId="15024" xr:uid="{00000000-0005-0000-0000-0000A0370000}"/>
    <cellStyle name="Normal 2 2 18 4 22" xfId="15025" xr:uid="{00000000-0005-0000-0000-0000A1370000}"/>
    <cellStyle name="Normal 2 2 18 4 23" xfId="15026" xr:uid="{00000000-0005-0000-0000-0000A2370000}"/>
    <cellStyle name="Normal 2 2 18 4 24" xfId="15027" xr:uid="{00000000-0005-0000-0000-0000A3370000}"/>
    <cellStyle name="Normal 2 2 18 4 25" xfId="15028" xr:uid="{00000000-0005-0000-0000-0000A4370000}"/>
    <cellStyle name="Normal 2 2 18 4 26" xfId="15029" xr:uid="{00000000-0005-0000-0000-0000A5370000}"/>
    <cellStyle name="Normal 2 2 18 4 27" xfId="15030" xr:uid="{00000000-0005-0000-0000-0000A6370000}"/>
    <cellStyle name="Normal 2 2 18 4 28" xfId="15031" xr:uid="{00000000-0005-0000-0000-0000A7370000}"/>
    <cellStyle name="Normal 2 2 18 4 29" xfId="15032" xr:uid="{00000000-0005-0000-0000-0000A8370000}"/>
    <cellStyle name="Normal 2 2 18 4 3" xfId="15033" xr:uid="{00000000-0005-0000-0000-0000A9370000}"/>
    <cellStyle name="Normal 2 2 18 4 30" xfId="15034" xr:uid="{00000000-0005-0000-0000-0000AA370000}"/>
    <cellStyle name="Normal 2 2 18 4 31" xfId="15035" xr:uid="{00000000-0005-0000-0000-0000AB370000}"/>
    <cellStyle name="Normal 2 2 18 4 32" xfId="15036" xr:uid="{00000000-0005-0000-0000-0000AC370000}"/>
    <cellStyle name="Normal 2 2 18 4 33" xfId="15037" xr:uid="{00000000-0005-0000-0000-0000AD370000}"/>
    <cellStyle name="Normal 2 2 18 4 34" xfId="15038" xr:uid="{00000000-0005-0000-0000-0000AE370000}"/>
    <cellStyle name="Normal 2 2 18 4 35" xfId="15039" xr:uid="{00000000-0005-0000-0000-0000AF370000}"/>
    <cellStyle name="Normal 2 2 18 4 36" xfId="15040" xr:uid="{00000000-0005-0000-0000-0000B0370000}"/>
    <cellStyle name="Normal 2 2 18 4 37" xfId="15041" xr:uid="{00000000-0005-0000-0000-0000B1370000}"/>
    <cellStyle name="Normal 2 2 18 4 38" xfId="15042" xr:uid="{00000000-0005-0000-0000-0000B2370000}"/>
    <cellStyle name="Normal 2 2 18 4 39" xfId="15043" xr:uid="{00000000-0005-0000-0000-0000B3370000}"/>
    <cellStyle name="Normal 2 2 18 4 4" xfId="15044" xr:uid="{00000000-0005-0000-0000-0000B4370000}"/>
    <cellStyle name="Normal 2 2 18 4 40" xfId="15045" xr:uid="{00000000-0005-0000-0000-0000B5370000}"/>
    <cellStyle name="Normal 2 2 18 4 41" xfId="15046" xr:uid="{00000000-0005-0000-0000-0000B6370000}"/>
    <cellStyle name="Normal 2 2 18 4 42" xfId="15047" xr:uid="{00000000-0005-0000-0000-0000B7370000}"/>
    <cellStyle name="Normal 2 2 18 4 43" xfId="15048" xr:uid="{00000000-0005-0000-0000-0000B8370000}"/>
    <cellStyle name="Normal 2 2 18 4 44" xfId="15049" xr:uid="{00000000-0005-0000-0000-0000B9370000}"/>
    <cellStyle name="Normal 2 2 18 4 45" xfId="15050" xr:uid="{00000000-0005-0000-0000-0000BA370000}"/>
    <cellStyle name="Normal 2 2 18 4 5" xfId="15051" xr:uid="{00000000-0005-0000-0000-0000BB370000}"/>
    <cellStyle name="Normal 2 2 18 4 6" xfId="15052" xr:uid="{00000000-0005-0000-0000-0000BC370000}"/>
    <cellStyle name="Normal 2 2 18 4 7" xfId="15053" xr:uid="{00000000-0005-0000-0000-0000BD370000}"/>
    <cellStyle name="Normal 2 2 18 4 8" xfId="15054" xr:uid="{00000000-0005-0000-0000-0000BE370000}"/>
    <cellStyle name="Normal 2 2 18 4 9" xfId="15055" xr:uid="{00000000-0005-0000-0000-0000BF370000}"/>
    <cellStyle name="Normal 2 2 18 5" xfId="15056" xr:uid="{00000000-0005-0000-0000-0000C0370000}"/>
    <cellStyle name="Normal 2 2 18 5 10" xfId="15057" xr:uid="{00000000-0005-0000-0000-0000C1370000}"/>
    <cellStyle name="Normal 2 2 18 5 11" xfId="15058" xr:uid="{00000000-0005-0000-0000-0000C2370000}"/>
    <cellStyle name="Normal 2 2 18 5 12" xfId="15059" xr:uid="{00000000-0005-0000-0000-0000C3370000}"/>
    <cellStyle name="Normal 2 2 18 5 13" xfId="15060" xr:uid="{00000000-0005-0000-0000-0000C4370000}"/>
    <cellStyle name="Normal 2 2 18 5 14" xfId="15061" xr:uid="{00000000-0005-0000-0000-0000C5370000}"/>
    <cellStyle name="Normal 2 2 18 5 15" xfId="15062" xr:uid="{00000000-0005-0000-0000-0000C6370000}"/>
    <cellStyle name="Normal 2 2 18 5 16" xfId="15063" xr:uid="{00000000-0005-0000-0000-0000C7370000}"/>
    <cellStyle name="Normal 2 2 18 5 17" xfId="15064" xr:uid="{00000000-0005-0000-0000-0000C8370000}"/>
    <cellStyle name="Normal 2 2 18 5 18" xfId="15065" xr:uid="{00000000-0005-0000-0000-0000C9370000}"/>
    <cellStyle name="Normal 2 2 18 5 19" xfId="15066" xr:uid="{00000000-0005-0000-0000-0000CA370000}"/>
    <cellStyle name="Normal 2 2 18 5 2" xfId="15067" xr:uid="{00000000-0005-0000-0000-0000CB370000}"/>
    <cellStyle name="Normal 2 2 18 5 20" xfId="15068" xr:uid="{00000000-0005-0000-0000-0000CC370000}"/>
    <cellStyle name="Normal 2 2 18 5 21" xfId="15069" xr:uid="{00000000-0005-0000-0000-0000CD370000}"/>
    <cellStyle name="Normal 2 2 18 5 22" xfId="15070" xr:uid="{00000000-0005-0000-0000-0000CE370000}"/>
    <cellStyle name="Normal 2 2 18 5 23" xfId="15071" xr:uid="{00000000-0005-0000-0000-0000CF370000}"/>
    <cellStyle name="Normal 2 2 18 5 24" xfId="15072" xr:uid="{00000000-0005-0000-0000-0000D0370000}"/>
    <cellStyle name="Normal 2 2 18 5 25" xfId="15073" xr:uid="{00000000-0005-0000-0000-0000D1370000}"/>
    <cellStyle name="Normal 2 2 18 5 26" xfId="15074" xr:uid="{00000000-0005-0000-0000-0000D2370000}"/>
    <cellStyle name="Normal 2 2 18 5 27" xfId="15075" xr:uid="{00000000-0005-0000-0000-0000D3370000}"/>
    <cellStyle name="Normal 2 2 18 5 28" xfId="15076" xr:uid="{00000000-0005-0000-0000-0000D4370000}"/>
    <cellStyle name="Normal 2 2 18 5 29" xfId="15077" xr:uid="{00000000-0005-0000-0000-0000D5370000}"/>
    <cellStyle name="Normal 2 2 18 5 3" xfId="15078" xr:uid="{00000000-0005-0000-0000-0000D6370000}"/>
    <cellStyle name="Normal 2 2 18 5 30" xfId="15079" xr:uid="{00000000-0005-0000-0000-0000D7370000}"/>
    <cellStyle name="Normal 2 2 18 5 31" xfId="15080" xr:uid="{00000000-0005-0000-0000-0000D8370000}"/>
    <cellStyle name="Normal 2 2 18 5 32" xfId="15081" xr:uid="{00000000-0005-0000-0000-0000D9370000}"/>
    <cellStyle name="Normal 2 2 18 5 33" xfId="15082" xr:uid="{00000000-0005-0000-0000-0000DA370000}"/>
    <cellStyle name="Normal 2 2 18 5 34" xfId="15083" xr:uid="{00000000-0005-0000-0000-0000DB370000}"/>
    <cellStyle name="Normal 2 2 18 5 35" xfId="15084" xr:uid="{00000000-0005-0000-0000-0000DC370000}"/>
    <cellStyle name="Normal 2 2 18 5 36" xfId="15085" xr:uid="{00000000-0005-0000-0000-0000DD370000}"/>
    <cellStyle name="Normal 2 2 18 5 37" xfId="15086" xr:uid="{00000000-0005-0000-0000-0000DE370000}"/>
    <cellStyle name="Normal 2 2 18 5 38" xfId="15087" xr:uid="{00000000-0005-0000-0000-0000DF370000}"/>
    <cellStyle name="Normal 2 2 18 5 39" xfId="15088" xr:uid="{00000000-0005-0000-0000-0000E0370000}"/>
    <cellStyle name="Normal 2 2 18 5 4" xfId="15089" xr:uid="{00000000-0005-0000-0000-0000E1370000}"/>
    <cellStyle name="Normal 2 2 18 5 40" xfId="15090" xr:uid="{00000000-0005-0000-0000-0000E2370000}"/>
    <cellStyle name="Normal 2 2 18 5 41" xfId="15091" xr:uid="{00000000-0005-0000-0000-0000E3370000}"/>
    <cellStyle name="Normal 2 2 18 5 42" xfId="15092" xr:uid="{00000000-0005-0000-0000-0000E4370000}"/>
    <cellStyle name="Normal 2 2 18 5 43" xfId="15093" xr:uid="{00000000-0005-0000-0000-0000E5370000}"/>
    <cellStyle name="Normal 2 2 18 5 44" xfId="15094" xr:uid="{00000000-0005-0000-0000-0000E6370000}"/>
    <cellStyle name="Normal 2 2 18 5 45" xfId="15095" xr:uid="{00000000-0005-0000-0000-0000E7370000}"/>
    <cellStyle name="Normal 2 2 18 5 5" xfId="15096" xr:uid="{00000000-0005-0000-0000-0000E8370000}"/>
    <cellStyle name="Normal 2 2 18 5 6" xfId="15097" xr:uid="{00000000-0005-0000-0000-0000E9370000}"/>
    <cellStyle name="Normal 2 2 18 5 7" xfId="15098" xr:uid="{00000000-0005-0000-0000-0000EA370000}"/>
    <cellStyle name="Normal 2 2 18 5 8" xfId="15099" xr:uid="{00000000-0005-0000-0000-0000EB370000}"/>
    <cellStyle name="Normal 2 2 18 5 9" xfId="15100" xr:uid="{00000000-0005-0000-0000-0000EC370000}"/>
    <cellStyle name="Normal 2 2 18 6" xfId="15101" xr:uid="{00000000-0005-0000-0000-0000ED370000}"/>
    <cellStyle name="Normal 2 2 18 6 10" xfId="15102" xr:uid="{00000000-0005-0000-0000-0000EE370000}"/>
    <cellStyle name="Normal 2 2 18 6 11" xfId="15103" xr:uid="{00000000-0005-0000-0000-0000EF370000}"/>
    <cellStyle name="Normal 2 2 18 6 12" xfId="15104" xr:uid="{00000000-0005-0000-0000-0000F0370000}"/>
    <cellStyle name="Normal 2 2 18 6 13" xfId="15105" xr:uid="{00000000-0005-0000-0000-0000F1370000}"/>
    <cellStyle name="Normal 2 2 18 6 14" xfId="15106" xr:uid="{00000000-0005-0000-0000-0000F2370000}"/>
    <cellStyle name="Normal 2 2 18 6 15" xfId="15107" xr:uid="{00000000-0005-0000-0000-0000F3370000}"/>
    <cellStyle name="Normal 2 2 18 6 16" xfId="15108" xr:uid="{00000000-0005-0000-0000-0000F4370000}"/>
    <cellStyle name="Normal 2 2 18 6 17" xfId="15109" xr:uid="{00000000-0005-0000-0000-0000F5370000}"/>
    <cellStyle name="Normal 2 2 18 6 18" xfId="15110" xr:uid="{00000000-0005-0000-0000-0000F6370000}"/>
    <cellStyle name="Normal 2 2 18 6 19" xfId="15111" xr:uid="{00000000-0005-0000-0000-0000F7370000}"/>
    <cellStyle name="Normal 2 2 18 6 2" xfId="15112" xr:uid="{00000000-0005-0000-0000-0000F8370000}"/>
    <cellStyle name="Normal 2 2 18 6 20" xfId="15113" xr:uid="{00000000-0005-0000-0000-0000F9370000}"/>
    <cellStyle name="Normal 2 2 18 6 21" xfId="15114" xr:uid="{00000000-0005-0000-0000-0000FA370000}"/>
    <cellStyle name="Normal 2 2 18 6 22" xfId="15115" xr:uid="{00000000-0005-0000-0000-0000FB370000}"/>
    <cellStyle name="Normal 2 2 18 6 23" xfId="15116" xr:uid="{00000000-0005-0000-0000-0000FC370000}"/>
    <cellStyle name="Normal 2 2 18 6 24" xfId="15117" xr:uid="{00000000-0005-0000-0000-0000FD370000}"/>
    <cellStyle name="Normal 2 2 18 6 25" xfId="15118" xr:uid="{00000000-0005-0000-0000-0000FE370000}"/>
    <cellStyle name="Normal 2 2 18 6 26" xfId="15119" xr:uid="{00000000-0005-0000-0000-0000FF370000}"/>
    <cellStyle name="Normal 2 2 18 6 27" xfId="15120" xr:uid="{00000000-0005-0000-0000-000000380000}"/>
    <cellStyle name="Normal 2 2 18 6 28" xfId="15121" xr:uid="{00000000-0005-0000-0000-000001380000}"/>
    <cellStyle name="Normal 2 2 18 6 29" xfId="15122" xr:uid="{00000000-0005-0000-0000-000002380000}"/>
    <cellStyle name="Normal 2 2 18 6 3" xfId="15123" xr:uid="{00000000-0005-0000-0000-000003380000}"/>
    <cellStyle name="Normal 2 2 18 6 30" xfId="15124" xr:uid="{00000000-0005-0000-0000-000004380000}"/>
    <cellStyle name="Normal 2 2 18 6 31" xfId="15125" xr:uid="{00000000-0005-0000-0000-000005380000}"/>
    <cellStyle name="Normal 2 2 18 6 32" xfId="15126" xr:uid="{00000000-0005-0000-0000-000006380000}"/>
    <cellStyle name="Normal 2 2 18 6 33" xfId="15127" xr:uid="{00000000-0005-0000-0000-000007380000}"/>
    <cellStyle name="Normal 2 2 18 6 34" xfId="15128" xr:uid="{00000000-0005-0000-0000-000008380000}"/>
    <cellStyle name="Normal 2 2 18 6 35" xfId="15129" xr:uid="{00000000-0005-0000-0000-000009380000}"/>
    <cellStyle name="Normal 2 2 18 6 36" xfId="15130" xr:uid="{00000000-0005-0000-0000-00000A380000}"/>
    <cellStyle name="Normal 2 2 18 6 37" xfId="15131" xr:uid="{00000000-0005-0000-0000-00000B380000}"/>
    <cellStyle name="Normal 2 2 18 6 38" xfId="15132" xr:uid="{00000000-0005-0000-0000-00000C380000}"/>
    <cellStyle name="Normal 2 2 18 6 39" xfId="15133" xr:uid="{00000000-0005-0000-0000-00000D380000}"/>
    <cellStyle name="Normal 2 2 18 6 4" xfId="15134" xr:uid="{00000000-0005-0000-0000-00000E380000}"/>
    <cellStyle name="Normal 2 2 18 6 40" xfId="15135" xr:uid="{00000000-0005-0000-0000-00000F380000}"/>
    <cellStyle name="Normal 2 2 18 6 41" xfId="15136" xr:uid="{00000000-0005-0000-0000-000010380000}"/>
    <cellStyle name="Normal 2 2 18 6 42" xfId="15137" xr:uid="{00000000-0005-0000-0000-000011380000}"/>
    <cellStyle name="Normal 2 2 18 6 43" xfId="15138" xr:uid="{00000000-0005-0000-0000-000012380000}"/>
    <cellStyle name="Normal 2 2 18 6 44" xfId="15139" xr:uid="{00000000-0005-0000-0000-000013380000}"/>
    <cellStyle name="Normal 2 2 18 6 45" xfId="15140" xr:uid="{00000000-0005-0000-0000-000014380000}"/>
    <cellStyle name="Normal 2 2 18 6 5" xfId="15141" xr:uid="{00000000-0005-0000-0000-000015380000}"/>
    <cellStyle name="Normal 2 2 18 6 6" xfId="15142" xr:uid="{00000000-0005-0000-0000-000016380000}"/>
    <cellStyle name="Normal 2 2 18 6 7" xfId="15143" xr:uid="{00000000-0005-0000-0000-000017380000}"/>
    <cellStyle name="Normal 2 2 18 6 8" xfId="15144" xr:uid="{00000000-0005-0000-0000-000018380000}"/>
    <cellStyle name="Normal 2 2 18 6 9" xfId="15145" xr:uid="{00000000-0005-0000-0000-000019380000}"/>
    <cellStyle name="Normal 2 2 18 7" xfId="15146" xr:uid="{00000000-0005-0000-0000-00001A380000}"/>
    <cellStyle name="Normal 2 2 18 7 10" xfId="15147" xr:uid="{00000000-0005-0000-0000-00001B380000}"/>
    <cellStyle name="Normal 2 2 18 7 11" xfId="15148" xr:uid="{00000000-0005-0000-0000-00001C380000}"/>
    <cellStyle name="Normal 2 2 18 7 12" xfId="15149" xr:uid="{00000000-0005-0000-0000-00001D380000}"/>
    <cellStyle name="Normal 2 2 18 7 13" xfId="15150" xr:uid="{00000000-0005-0000-0000-00001E380000}"/>
    <cellStyle name="Normal 2 2 18 7 14" xfId="15151" xr:uid="{00000000-0005-0000-0000-00001F380000}"/>
    <cellStyle name="Normal 2 2 18 7 15" xfId="15152" xr:uid="{00000000-0005-0000-0000-000020380000}"/>
    <cellStyle name="Normal 2 2 18 7 16" xfId="15153" xr:uid="{00000000-0005-0000-0000-000021380000}"/>
    <cellStyle name="Normal 2 2 18 7 17" xfId="15154" xr:uid="{00000000-0005-0000-0000-000022380000}"/>
    <cellStyle name="Normal 2 2 18 7 18" xfId="15155" xr:uid="{00000000-0005-0000-0000-000023380000}"/>
    <cellStyle name="Normal 2 2 18 7 19" xfId="15156" xr:uid="{00000000-0005-0000-0000-000024380000}"/>
    <cellStyle name="Normal 2 2 18 7 2" xfId="15157" xr:uid="{00000000-0005-0000-0000-000025380000}"/>
    <cellStyle name="Normal 2 2 18 7 20" xfId="15158" xr:uid="{00000000-0005-0000-0000-000026380000}"/>
    <cellStyle name="Normal 2 2 18 7 21" xfId="15159" xr:uid="{00000000-0005-0000-0000-000027380000}"/>
    <cellStyle name="Normal 2 2 18 7 22" xfId="15160" xr:uid="{00000000-0005-0000-0000-000028380000}"/>
    <cellStyle name="Normal 2 2 18 7 23" xfId="15161" xr:uid="{00000000-0005-0000-0000-000029380000}"/>
    <cellStyle name="Normal 2 2 18 7 24" xfId="15162" xr:uid="{00000000-0005-0000-0000-00002A380000}"/>
    <cellStyle name="Normal 2 2 18 7 25" xfId="15163" xr:uid="{00000000-0005-0000-0000-00002B380000}"/>
    <cellStyle name="Normal 2 2 18 7 26" xfId="15164" xr:uid="{00000000-0005-0000-0000-00002C380000}"/>
    <cellStyle name="Normal 2 2 18 7 27" xfId="15165" xr:uid="{00000000-0005-0000-0000-00002D380000}"/>
    <cellStyle name="Normal 2 2 18 7 28" xfId="15166" xr:uid="{00000000-0005-0000-0000-00002E380000}"/>
    <cellStyle name="Normal 2 2 18 7 29" xfId="15167" xr:uid="{00000000-0005-0000-0000-00002F380000}"/>
    <cellStyle name="Normal 2 2 18 7 3" xfId="15168" xr:uid="{00000000-0005-0000-0000-000030380000}"/>
    <cellStyle name="Normal 2 2 18 7 30" xfId="15169" xr:uid="{00000000-0005-0000-0000-000031380000}"/>
    <cellStyle name="Normal 2 2 18 7 31" xfId="15170" xr:uid="{00000000-0005-0000-0000-000032380000}"/>
    <cellStyle name="Normal 2 2 18 7 32" xfId="15171" xr:uid="{00000000-0005-0000-0000-000033380000}"/>
    <cellStyle name="Normal 2 2 18 7 33" xfId="15172" xr:uid="{00000000-0005-0000-0000-000034380000}"/>
    <cellStyle name="Normal 2 2 18 7 34" xfId="15173" xr:uid="{00000000-0005-0000-0000-000035380000}"/>
    <cellStyle name="Normal 2 2 18 7 35" xfId="15174" xr:uid="{00000000-0005-0000-0000-000036380000}"/>
    <cellStyle name="Normal 2 2 18 7 36" xfId="15175" xr:uid="{00000000-0005-0000-0000-000037380000}"/>
    <cellStyle name="Normal 2 2 18 7 37" xfId="15176" xr:uid="{00000000-0005-0000-0000-000038380000}"/>
    <cellStyle name="Normal 2 2 18 7 38" xfId="15177" xr:uid="{00000000-0005-0000-0000-000039380000}"/>
    <cellStyle name="Normal 2 2 18 7 39" xfId="15178" xr:uid="{00000000-0005-0000-0000-00003A380000}"/>
    <cellStyle name="Normal 2 2 18 7 4" xfId="15179" xr:uid="{00000000-0005-0000-0000-00003B380000}"/>
    <cellStyle name="Normal 2 2 18 7 40" xfId="15180" xr:uid="{00000000-0005-0000-0000-00003C380000}"/>
    <cellStyle name="Normal 2 2 18 7 41" xfId="15181" xr:uid="{00000000-0005-0000-0000-00003D380000}"/>
    <cellStyle name="Normal 2 2 18 7 42" xfId="15182" xr:uid="{00000000-0005-0000-0000-00003E380000}"/>
    <cellStyle name="Normal 2 2 18 7 43" xfId="15183" xr:uid="{00000000-0005-0000-0000-00003F380000}"/>
    <cellStyle name="Normal 2 2 18 7 44" xfId="15184" xr:uid="{00000000-0005-0000-0000-000040380000}"/>
    <cellStyle name="Normal 2 2 18 7 45" xfId="15185" xr:uid="{00000000-0005-0000-0000-000041380000}"/>
    <cellStyle name="Normal 2 2 18 7 5" xfId="15186" xr:uid="{00000000-0005-0000-0000-000042380000}"/>
    <cellStyle name="Normal 2 2 18 7 6" xfId="15187" xr:uid="{00000000-0005-0000-0000-000043380000}"/>
    <cellStyle name="Normal 2 2 18 7 7" xfId="15188" xr:uid="{00000000-0005-0000-0000-000044380000}"/>
    <cellStyle name="Normal 2 2 18 7 8" xfId="15189" xr:uid="{00000000-0005-0000-0000-000045380000}"/>
    <cellStyle name="Normal 2 2 18 7 9" xfId="15190" xr:uid="{00000000-0005-0000-0000-000046380000}"/>
    <cellStyle name="Normal 2 2 18 8" xfId="15191" xr:uid="{00000000-0005-0000-0000-000047380000}"/>
    <cellStyle name="Normal 2 2 18 8 2" xfId="15192" xr:uid="{00000000-0005-0000-0000-000048380000}"/>
    <cellStyle name="Normal 2 2 18 8 3" xfId="15193" xr:uid="{00000000-0005-0000-0000-000049380000}"/>
    <cellStyle name="Normal 2 2 18 8 4" xfId="15194" xr:uid="{00000000-0005-0000-0000-00004A380000}"/>
    <cellStyle name="Normal 2 2 18 8 5" xfId="15195" xr:uid="{00000000-0005-0000-0000-00004B380000}"/>
    <cellStyle name="Normal 2 2 18 8 6" xfId="15196" xr:uid="{00000000-0005-0000-0000-00004C380000}"/>
    <cellStyle name="Normal 2 2 18 9" xfId="15197" xr:uid="{00000000-0005-0000-0000-00004D380000}"/>
    <cellStyle name="Normal 2 2 18 9 2" xfId="15198" xr:uid="{00000000-0005-0000-0000-00004E380000}"/>
    <cellStyle name="Normal 2 2 18 9 3" xfId="15199" xr:uid="{00000000-0005-0000-0000-00004F380000}"/>
    <cellStyle name="Normal 2 2 18 9 4" xfId="15200" xr:uid="{00000000-0005-0000-0000-000050380000}"/>
    <cellStyle name="Normal 2 2 18 9 5" xfId="15201" xr:uid="{00000000-0005-0000-0000-000051380000}"/>
    <cellStyle name="Normal 2 2 18 9 6" xfId="15202" xr:uid="{00000000-0005-0000-0000-000052380000}"/>
    <cellStyle name="Normal 2 2 19" xfId="15203" xr:uid="{00000000-0005-0000-0000-000053380000}"/>
    <cellStyle name="Normal 2 2 19 10" xfId="15204" xr:uid="{00000000-0005-0000-0000-000054380000}"/>
    <cellStyle name="Normal 2 2 19 11" xfId="15205" xr:uid="{00000000-0005-0000-0000-000055380000}"/>
    <cellStyle name="Normal 2 2 19 12" xfId="15206" xr:uid="{00000000-0005-0000-0000-000056380000}"/>
    <cellStyle name="Normal 2 2 19 13" xfId="15207" xr:uid="{00000000-0005-0000-0000-000057380000}"/>
    <cellStyle name="Normal 2 2 19 14" xfId="15208" xr:uid="{00000000-0005-0000-0000-000058380000}"/>
    <cellStyle name="Normal 2 2 19 15" xfId="15209" xr:uid="{00000000-0005-0000-0000-000059380000}"/>
    <cellStyle name="Normal 2 2 19 16" xfId="15210" xr:uid="{00000000-0005-0000-0000-00005A380000}"/>
    <cellStyle name="Normal 2 2 19 17" xfId="15211" xr:uid="{00000000-0005-0000-0000-00005B380000}"/>
    <cellStyle name="Normal 2 2 19 18" xfId="15212" xr:uid="{00000000-0005-0000-0000-00005C380000}"/>
    <cellStyle name="Normal 2 2 19 19" xfId="15213" xr:uid="{00000000-0005-0000-0000-00005D380000}"/>
    <cellStyle name="Normal 2 2 19 2" xfId="15214" xr:uid="{00000000-0005-0000-0000-00005E380000}"/>
    <cellStyle name="Normal 2 2 19 20" xfId="15215" xr:uid="{00000000-0005-0000-0000-00005F380000}"/>
    <cellStyle name="Normal 2 2 19 21" xfId="15216" xr:uid="{00000000-0005-0000-0000-000060380000}"/>
    <cellStyle name="Normal 2 2 19 22" xfId="15217" xr:uid="{00000000-0005-0000-0000-000061380000}"/>
    <cellStyle name="Normal 2 2 19 23" xfId="15218" xr:uid="{00000000-0005-0000-0000-000062380000}"/>
    <cellStyle name="Normal 2 2 19 24" xfId="15219" xr:uid="{00000000-0005-0000-0000-000063380000}"/>
    <cellStyle name="Normal 2 2 19 25" xfId="15220" xr:uid="{00000000-0005-0000-0000-000064380000}"/>
    <cellStyle name="Normal 2 2 19 26" xfId="15221" xr:uid="{00000000-0005-0000-0000-000065380000}"/>
    <cellStyle name="Normal 2 2 19 27" xfId="15222" xr:uid="{00000000-0005-0000-0000-000066380000}"/>
    <cellStyle name="Normal 2 2 19 28" xfId="15223" xr:uid="{00000000-0005-0000-0000-000067380000}"/>
    <cellStyle name="Normal 2 2 19 29" xfId="15224" xr:uid="{00000000-0005-0000-0000-000068380000}"/>
    <cellStyle name="Normal 2 2 19 3" xfId="15225" xr:uid="{00000000-0005-0000-0000-000069380000}"/>
    <cellStyle name="Normal 2 2 19 30" xfId="15226" xr:uid="{00000000-0005-0000-0000-00006A380000}"/>
    <cellStyle name="Normal 2 2 19 31" xfId="15227" xr:uid="{00000000-0005-0000-0000-00006B380000}"/>
    <cellStyle name="Normal 2 2 19 32" xfId="15228" xr:uid="{00000000-0005-0000-0000-00006C380000}"/>
    <cellStyle name="Normal 2 2 19 33" xfId="15229" xr:uid="{00000000-0005-0000-0000-00006D380000}"/>
    <cellStyle name="Normal 2 2 19 34" xfId="15230" xr:uid="{00000000-0005-0000-0000-00006E380000}"/>
    <cellStyle name="Normal 2 2 19 35" xfId="15231" xr:uid="{00000000-0005-0000-0000-00006F380000}"/>
    <cellStyle name="Normal 2 2 19 36" xfId="15232" xr:uid="{00000000-0005-0000-0000-000070380000}"/>
    <cellStyle name="Normal 2 2 19 37" xfId="15233" xr:uid="{00000000-0005-0000-0000-000071380000}"/>
    <cellStyle name="Normal 2 2 19 38" xfId="15234" xr:uid="{00000000-0005-0000-0000-000072380000}"/>
    <cellStyle name="Normal 2 2 19 39" xfId="15235" xr:uid="{00000000-0005-0000-0000-000073380000}"/>
    <cellStyle name="Normal 2 2 19 4" xfId="15236" xr:uid="{00000000-0005-0000-0000-000074380000}"/>
    <cellStyle name="Normal 2 2 19 40" xfId="15237" xr:uid="{00000000-0005-0000-0000-000075380000}"/>
    <cellStyle name="Normal 2 2 19 41" xfId="15238" xr:uid="{00000000-0005-0000-0000-000076380000}"/>
    <cellStyle name="Normal 2 2 19 42" xfId="15239" xr:uid="{00000000-0005-0000-0000-000077380000}"/>
    <cellStyle name="Normal 2 2 19 43" xfId="15240" xr:uid="{00000000-0005-0000-0000-000078380000}"/>
    <cellStyle name="Normal 2 2 19 44" xfId="15241" xr:uid="{00000000-0005-0000-0000-000079380000}"/>
    <cellStyle name="Normal 2 2 19 45" xfId="15242" xr:uid="{00000000-0005-0000-0000-00007A380000}"/>
    <cellStyle name="Normal 2 2 19 46" xfId="15243" xr:uid="{00000000-0005-0000-0000-00007B380000}"/>
    <cellStyle name="Normal 2 2 19 5" xfId="15244" xr:uid="{00000000-0005-0000-0000-00007C380000}"/>
    <cellStyle name="Normal 2 2 19 6" xfId="15245" xr:uid="{00000000-0005-0000-0000-00007D380000}"/>
    <cellStyle name="Normal 2 2 19 7" xfId="15246" xr:uid="{00000000-0005-0000-0000-00007E380000}"/>
    <cellStyle name="Normal 2 2 19 8" xfId="15247" xr:uid="{00000000-0005-0000-0000-00007F380000}"/>
    <cellStyle name="Normal 2 2 19 9" xfId="15248" xr:uid="{00000000-0005-0000-0000-000080380000}"/>
    <cellStyle name="Normal 2 2 2" xfId="1053" xr:uid="{00000000-0005-0000-0000-000081380000}"/>
    <cellStyle name="Normal 2 2 2 10" xfId="15249" xr:uid="{00000000-0005-0000-0000-000082380000}"/>
    <cellStyle name="Normal 2 2 2 10 10" xfId="15250" xr:uid="{00000000-0005-0000-0000-000083380000}"/>
    <cellStyle name="Normal 2 2 2 10 11" xfId="15251" xr:uid="{00000000-0005-0000-0000-000084380000}"/>
    <cellStyle name="Normal 2 2 2 10 12" xfId="15252" xr:uid="{00000000-0005-0000-0000-000085380000}"/>
    <cellStyle name="Normal 2 2 2 10 13" xfId="15253" xr:uid="{00000000-0005-0000-0000-000086380000}"/>
    <cellStyle name="Normal 2 2 2 10 14" xfId="15254" xr:uid="{00000000-0005-0000-0000-000087380000}"/>
    <cellStyle name="Normal 2 2 2 10 2" xfId="15255" xr:uid="{00000000-0005-0000-0000-000088380000}"/>
    <cellStyle name="Normal 2 2 2 10 2 2" xfId="15256" xr:uid="{00000000-0005-0000-0000-000089380000}"/>
    <cellStyle name="Normal 2 2 2 10 2 3" xfId="15257" xr:uid="{00000000-0005-0000-0000-00008A380000}"/>
    <cellStyle name="Normal 2 2 2 10 2 4" xfId="15258" xr:uid="{00000000-0005-0000-0000-00008B380000}"/>
    <cellStyle name="Normal 2 2 2 10 2 5" xfId="15259" xr:uid="{00000000-0005-0000-0000-00008C380000}"/>
    <cellStyle name="Normal 2 2 2 10 2 6" xfId="15260" xr:uid="{00000000-0005-0000-0000-00008D380000}"/>
    <cellStyle name="Normal 2 2 2 10 3" xfId="15261" xr:uid="{00000000-0005-0000-0000-00008E380000}"/>
    <cellStyle name="Normal 2 2 2 10 3 2" xfId="15262" xr:uid="{00000000-0005-0000-0000-00008F380000}"/>
    <cellStyle name="Normal 2 2 2 10 3 3" xfId="15263" xr:uid="{00000000-0005-0000-0000-000090380000}"/>
    <cellStyle name="Normal 2 2 2 10 3 4" xfId="15264" xr:uid="{00000000-0005-0000-0000-000091380000}"/>
    <cellStyle name="Normal 2 2 2 10 3 5" xfId="15265" xr:uid="{00000000-0005-0000-0000-000092380000}"/>
    <cellStyle name="Normal 2 2 2 10 3 6" xfId="15266" xr:uid="{00000000-0005-0000-0000-000093380000}"/>
    <cellStyle name="Normal 2 2 2 10 4" xfId="15267" xr:uid="{00000000-0005-0000-0000-000094380000}"/>
    <cellStyle name="Normal 2 2 2 10 4 2" xfId="15268" xr:uid="{00000000-0005-0000-0000-000095380000}"/>
    <cellStyle name="Normal 2 2 2 10 4 3" xfId="15269" xr:uid="{00000000-0005-0000-0000-000096380000}"/>
    <cellStyle name="Normal 2 2 2 10 4 4" xfId="15270" xr:uid="{00000000-0005-0000-0000-000097380000}"/>
    <cellStyle name="Normal 2 2 2 10 4 5" xfId="15271" xr:uid="{00000000-0005-0000-0000-000098380000}"/>
    <cellStyle name="Normal 2 2 2 10 4 6" xfId="15272" xr:uid="{00000000-0005-0000-0000-000099380000}"/>
    <cellStyle name="Normal 2 2 2 10 5" xfId="15273" xr:uid="{00000000-0005-0000-0000-00009A380000}"/>
    <cellStyle name="Normal 2 2 2 10 5 2" xfId="15274" xr:uid="{00000000-0005-0000-0000-00009B380000}"/>
    <cellStyle name="Normal 2 2 2 10 5 3" xfId="15275" xr:uid="{00000000-0005-0000-0000-00009C380000}"/>
    <cellStyle name="Normal 2 2 2 10 5 4" xfId="15276" xr:uid="{00000000-0005-0000-0000-00009D380000}"/>
    <cellStyle name="Normal 2 2 2 10 5 5" xfId="15277" xr:uid="{00000000-0005-0000-0000-00009E380000}"/>
    <cellStyle name="Normal 2 2 2 10 5 6" xfId="15278" xr:uid="{00000000-0005-0000-0000-00009F380000}"/>
    <cellStyle name="Normal 2 2 2 10 6" xfId="15279" xr:uid="{00000000-0005-0000-0000-0000A0380000}"/>
    <cellStyle name="Normal 2 2 2 10 6 2" xfId="15280" xr:uid="{00000000-0005-0000-0000-0000A1380000}"/>
    <cellStyle name="Normal 2 2 2 10 6 3" xfId="15281" xr:uid="{00000000-0005-0000-0000-0000A2380000}"/>
    <cellStyle name="Normal 2 2 2 10 6 4" xfId="15282" xr:uid="{00000000-0005-0000-0000-0000A3380000}"/>
    <cellStyle name="Normal 2 2 2 10 6 5" xfId="15283" xr:uid="{00000000-0005-0000-0000-0000A4380000}"/>
    <cellStyle name="Normal 2 2 2 10 6 6" xfId="15284" xr:uid="{00000000-0005-0000-0000-0000A5380000}"/>
    <cellStyle name="Normal 2 2 2 10 7" xfId="15285" xr:uid="{00000000-0005-0000-0000-0000A6380000}"/>
    <cellStyle name="Normal 2 2 2 10 7 2" xfId="15286" xr:uid="{00000000-0005-0000-0000-0000A7380000}"/>
    <cellStyle name="Normal 2 2 2 10 7 3" xfId="15287" xr:uid="{00000000-0005-0000-0000-0000A8380000}"/>
    <cellStyle name="Normal 2 2 2 10 7 4" xfId="15288" xr:uid="{00000000-0005-0000-0000-0000A9380000}"/>
    <cellStyle name="Normal 2 2 2 10 7 5" xfId="15289" xr:uid="{00000000-0005-0000-0000-0000AA380000}"/>
    <cellStyle name="Normal 2 2 2 10 7 6" xfId="15290" xr:uid="{00000000-0005-0000-0000-0000AB380000}"/>
    <cellStyle name="Normal 2 2 2 10 8" xfId="15291" xr:uid="{00000000-0005-0000-0000-0000AC380000}"/>
    <cellStyle name="Normal 2 2 2 10 8 2" xfId="15292" xr:uid="{00000000-0005-0000-0000-0000AD380000}"/>
    <cellStyle name="Normal 2 2 2 10 8 3" xfId="15293" xr:uid="{00000000-0005-0000-0000-0000AE380000}"/>
    <cellStyle name="Normal 2 2 2 10 8 4" xfId="15294" xr:uid="{00000000-0005-0000-0000-0000AF380000}"/>
    <cellStyle name="Normal 2 2 2 10 8 5" xfId="15295" xr:uid="{00000000-0005-0000-0000-0000B0380000}"/>
    <cellStyle name="Normal 2 2 2 10 8 6" xfId="15296" xr:uid="{00000000-0005-0000-0000-0000B1380000}"/>
    <cellStyle name="Normal 2 2 2 10 9" xfId="15297" xr:uid="{00000000-0005-0000-0000-0000B2380000}"/>
    <cellStyle name="Normal 2 2 2 11" xfId="15298" xr:uid="{00000000-0005-0000-0000-0000B3380000}"/>
    <cellStyle name="Normal 2 2 2 11 10" xfId="15299" xr:uid="{00000000-0005-0000-0000-0000B4380000}"/>
    <cellStyle name="Normal 2 2 2 11 11" xfId="15300" xr:uid="{00000000-0005-0000-0000-0000B5380000}"/>
    <cellStyle name="Normal 2 2 2 11 12" xfId="15301" xr:uid="{00000000-0005-0000-0000-0000B6380000}"/>
    <cellStyle name="Normal 2 2 2 11 13" xfId="15302" xr:uid="{00000000-0005-0000-0000-0000B7380000}"/>
    <cellStyle name="Normal 2 2 2 11 14" xfId="15303" xr:uid="{00000000-0005-0000-0000-0000B8380000}"/>
    <cellStyle name="Normal 2 2 2 11 2" xfId="15304" xr:uid="{00000000-0005-0000-0000-0000B9380000}"/>
    <cellStyle name="Normal 2 2 2 11 2 2" xfId="15305" xr:uid="{00000000-0005-0000-0000-0000BA380000}"/>
    <cellStyle name="Normal 2 2 2 11 2 3" xfId="15306" xr:uid="{00000000-0005-0000-0000-0000BB380000}"/>
    <cellStyle name="Normal 2 2 2 11 2 4" xfId="15307" xr:uid="{00000000-0005-0000-0000-0000BC380000}"/>
    <cellStyle name="Normal 2 2 2 11 2 5" xfId="15308" xr:uid="{00000000-0005-0000-0000-0000BD380000}"/>
    <cellStyle name="Normal 2 2 2 11 2 6" xfId="15309" xr:uid="{00000000-0005-0000-0000-0000BE380000}"/>
    <cellStyle name="Normal 2 2 2 11 3" xfId="15310" xr:uid="{00000000-0005-0000-0000-0000BF380000}"/>
    <cellStyle name="Normal 2 2 2 11 3 2" xfId="15311" xr:uid="{00000000-0005-0000-0000-0000C0380000}"/>
    <cellStyle name="Normal 2 2 2 11 3 3" xfId="15312" xr:uid="{00000000-0005-0000-0000-0000C1380000}"/>
    <cellStyle name="Normal 2 2 2 11 3 4" xfId="15313" xr:uid="{00000000-0005-0000-0000-0000C2380000}"/>
    <cellStyle name="Normal 2 2 2 11 3 5" xfId="15314" xr:uid="{00000000-0005-0000-0000-0000C3380000}"/>
    <cellStyle name="Normal 2 2 2 11 3 6" xfId="15315" xr:uid="{00000000-0005-0000-0000-0000C4380000}"/>
    <cellStyle name="Normal 2 2 2 11 4" xfId="15316" xr:uid="{00000000-0005-0000-0000-0000C5380000}"/>
    <cellStyle name="Normal 2 2 2 11 4 2" xfId="15317" xr:uid="{00000000-0005-0000-0000-0000C6380000}"/>
    <cellStyle name="Normal 2 2 2 11 4 3" xfId="15318" xr:uid="{00000000-0005-0000-0000-0000C7380000}"/>
    <cellStyle name="Normal 2 2 2 11 4 4" xfId="15319" xr:uid="{00000000-0005-0000-0000-0000C8380000}"/>
    <cellStyle name="Normal 2 2 2 11 4 5" xfId="15320" xr:uid="{00000000-0005-0000-0000-0000C9380000}"/>
    <cellStyle name="Normal 2 2 2 11 4 6" xfId="15321" xr:uid="{00000000-0005-0000-0000-0000CA380000}"/>
    <cellStyle name="Normal 2 2 2 11 5" xfId="15322" xr:uid="{00000000-0005-0000-0000-0000CB380000}"/>
    <cellStyle name="Normal 2 2 2 11 5 2" xfId="15323" xr:uid="{00000000-0005-0000-0000-0000CC380000}"/>
    <cellStyle name="Normal 2 2 2 11 5 3" xfId="15324" xr:uid="{00000000-0005-0000-0000-0000CD380000}"/>
    <cellStyle name="Normal 2 2 2 11 5 4" xfId="15325" xr:uid="{00000000-0005-0000-0000-0000CE380000}"/>
    <cellStyle name="Normal 2 2 2 11 5 5" xfId="15326" xr:uid="{00000000-0005-0000-0000-0000CF380000}"/>
    <cellStyle name="Normal 2 2 2 11 5 6" xfId="15327" xr:uid="{00000000-0005-0000-0000-0000D0380000}"/>
    <cellStyle name="Normal 2 2 2 11 6" xfId="15328" xr:uid="{00000000-0005-0000-0000-0000D1380000}"/>
    <cellStyle name="Normal 2 2 2 11 6 2" xfId="15329" xr:uid="{00000000-0005-0000-0000-0000D2380000}"/>
    <cellStyle name="Normal 2 2 2 11 6 3" xfId="15330" xr:uid="{00000000-0005-0000-0000-0000D3380000}"/>
    <cellStyle name="Normal 2 2 2 11 6 4" xfId="15331" xr:uid="{00000000-0005-0000-0000-0000D4380000}"/>
    <cellStyle name="Normal 2 2 2 11 6 5" xfId="15332" xr:uid="{00000000-0005-0000-0000-0000D5380000}"/>
    <cellStyle name="Normal 2 2 2 11 6 6" xfId="15333" xr:uid="{00000000-0005-0000-0000-0000D6380000}"/>
    <cellStyle name="Normal 2 2 2 11 7" xfId="15334" xr:uid="{00000000-0005-0000-0000-0000D7380000}"/>
    <cellStyle name="Normal 2 2 2 11 7 2" xfId="15335" xr:uid="{00000000-0005-0000-0000-0000D8380000}"/>
    <cellStyle name="Normal 2 2 2 11 7 3" xfId="15336" xr:uid="{00000000-0005-0000-0000-0000D9380000}"/>
    <cellStyle name="Normal 2 2 2 11 7 4" xfId="15337" xr:uid="{00000000-0005-0000-0000-0000DA380000}"/>
    <cellStyle name="Normal 2 2 2 11 7 5" xfId="15338" xr:uid="{00000000-0005-0000-0000-0000DB380000}"/>
    <cellStyle name="Normal 2 2 2 11 7 6" xfId="15339" xr:uid="{00000000-0005-0000-0000-0000DC380000}"/>
    <cellStyle name="Normal 2 2 2 11 8" xfId="15340" xr:uid="{00000000-0005-0000-0000-0000DD380000}"/>
    <cellStyle name="Normal 2 2 2 11 8 2" xfId="15341" xr:uid="{00000000-0005-0000-0000-0000DE380000}"/>
    <cellStyle name="Normal 2 2 2 11 8 3" xfId="15342" xr:uid="{00000000-0005-0000-0000-0000DF380000}"/>
    <cellStyle name="Normal 2 2 2 11 8 4" xfId="15343" xr:uid="{00000000-0005-0000-0000-0000E0380000}"/>
    <cellStyle name="Normal 2 2 2 11 8 5" xfId="15344" xr:uid="{00000000-0005-0000-0000-0000E1380000}"/>
    <cellStyle name="Normal 2 2 2 11 8 6" xfId="15345" xr:uid="{00000000-0005-0000-0000-0000E2380000}"/>
    <cellStyle name="Normal 2 2 2 11 9" xfId="15346" xr:uid="{00000000-0005-0000-0000-0000E3380000}"/>
    <cellStyle name="Normal 2 2 2 12" xfId="15347" xr:uid="{00000000-0005-0000-0000-0000E4380000}"/>
    <cellStyle name="Normal 2 2 2 12 10" xfId="15348" xr:uid="{00000000-0005-0000-0000-0000E5380000}"/>
    <cellStyle name="Normal 2 2 2 12 11" xfId="15349" xr:uid="{00000000-0005-0000-0000-0000E6380000}"/>
    <cellStyle name="Normal 2 2 2 12 12" xfId="15350" xr:uid="{00000000-0005-0000-0000-0000E7380000}"/>
    <cellStyle name="Normal 2 2 2 12 13" xfId="15351" xr:uid="{00000000-0005-0000-0000-0000E8380000}"/>
    <cellStyle name="Normal 2 2 2 12 14" xfId="15352" xr:uid="{00000000-0005-0000-0000-0000E9380000}"/>
    <cellStyle name="Normal 2 2 2 12 15" xfId="15353" xr:uid="{00000000-0005-0000-0000-0000EA380000}"/>
    <cellStyle name="Normal 2 2 2 12 16" xfId="15354" xr:uid="{00000000-0005-0000-0000-0000EB380000}"/>
    <cellStyle name="Normal 2 2 2 12 17" xfId="15355" xr:uid="{00000000-0005-0000-0000-0000EC380000}"/>
    <cellStyle name="Normal 2 2 2 12 18" xfId="15356" xr:uid="{00000000-0005-0000-0000-0000ED380000}"/>
    <cellStyle name="Normal 2 2 2 12 19" xfId="15357" xr:uid="{00000000-0005-0000-0000-0000EE380000}"/>
    <cellStyle name="Normal 2 2 2 12 2" xfId="15358" xr:uid="{00000000-0005-0000-0000-0000EF380000}"/>
    <cellStyle name="Normal 2 2 2 12 20" xfId="15359" xr:uid="{00000000-0005-0000-0000-0000F0380000}"/>
    <cellStyle name="Normal 2 2 2 12 21" xfId="15360" xr:uid="{00000000-0005-0000-0000-0000F1380000}"/>
    <cellStyle name="Normal 2 2 2 12 22" xfId="15361" xr:uid="{00000000-0005-0000-0000-0000F2380000}"/>
    <cellStyle name="Normal 2 2 2 12 23" xfId="15362" xr:uid="{00000000-0005-0000-0000-0000F3380000}"/>
    <cellStyle name="Normal 2 2 2 12 24" xfId="15363" xr:uid="{00000000-0005-0000-0000-0000F4380000}"/>
    <cellStyle name="Normal 2 2 2 12 25" xfId="15364" xr:uid="{00000000-0005-0000-0000-0000F5380000}"/>
    <cellStyle name="Normal 2 2 2 12 26" xfId="15365" xr:uid="{00000000-0005-0000-0000-0000F6380000}"/>
    <cellStyle name="Normal 2 2 2 12 27" xfId="15366" xr:uid="{00000000-0005-0000-0000-0000F7380000}"/>
    <cellStyle name="Normal 2 2 2 12 28" xfId="15367" xr:uid="{00000000-0005-0000-0000-0000F8380000}"/>
    <cellStyle name="Normal 2 2 2 12 29" xfId="15368" xr:uid="{00000000-0005-0000-0000-0000F9380000}"/>
    <cellStyle name="Normal 2 2 2 12 3" xfId="15369" xr:uid="{00000000-0005-0000-0000-0000FA380000}"/>
    <cellStyle name="Normal 2 2 2 12 30" xfId="15370" xr:uid="{00000000-0005-0000-0000-0000FB380000}"/>
    <cellStyle name="Normal 2 2 2 12 31" xfId="15371" xr:uid="{00000000-0005-0000-0000-0000FC380000}"/>
    <cellStyle name="Normal 2 2 2 12 32" xfId="15372" xr:uid="{00000000-0005-0000-0000-0000FD380000}"/>
    <cellStyle name="Normal 2 2 2 12 33" xfId="15373" xr:uid="{00000000-0005-0000-0000-0000FE380000}"/>
    <cellStyle name="Normal 2 2 2 12 34" xfId="15374" xr:uid="{00000000-0005-0000-0000-0000FF380000}"/>
    <cellStyle name="Normal 2 2 2 12 35" xfId="15375" xr:uid="{00000000-0005-0000-0000-000000390000}"/>
    <cellStyle name="Normal 2 2 2 12 36" xfId="15376" xr:uid="{00000000-0005-0000-0000-000001390000}"/>
    <cellStyle name="Normal 2 2 2 12 37" xfId="15377" xr:uid="{00000000-0005-0000-0000-000002390000}"/>
    <cellStyle name="Normal 2 2 2 12 38" xfId="15378" xr:uid="{00000000-0005-0000-0000-000003390000}"/>
    <cellStyle name="Normal 2 2 2 12 39" xfId="15379" xr:uid="{00000000-0005-0000-0000-000004390000}"/>
    <cellStyle name="Normal 2 2 2 12 4" xfId="15380" xr:uid="{00000000-0005-0000-0000-000005390000}"/>
    <cellStyle name="Normal 2 2 2 12 40" xfId="15381" xr:uid="{00000000-0005-0000-0000-000006390000}"/>
    <cellStyle name="Normal 2 2 2 12 41" xfId="15382" xr:uid="{00000000-0005-0000-0000-000007390000}"/>
    <cellStyle name="Normal 2 2 2 12 42" xfId="15383" xr:uid="{00000000-0005-0000-0000-000008390000}"/>
    <cellStyle name="Normal 2 2 2 12 43" xfId="15384" xr:uid="{00000000-0005-0000-0000-000009390000}"/>
    <cellStyle name="Normal 2 2 2 12 44" xfId="15385" xr:uid="{00000000-0005-0000-0000-00000A390000}"/>
    <cellStyle name="Normal 2 2 2 12 45" xfId="15386" xr:uid="{00000000-0005-0000-0000-00000B390000}"/>
    <cellStyle name="Normal 2 2 2 12 46" xfId="15387" xr:uid="{00000000-0005-0000-0000-00000C390000}"/>
    <cellStyle name="Normal 2 2 2 12 5" xfId="15388" xr:uid="{00000000-0005-0000-0000-00000D390000}"/>
    <cellStyle name="Normal 2 2 2 12 6" xfId="15389" xr:uid="{00000000-0005-0000-0000-00000E390000}"/>
    <cellStyle name="Normal 2 2 2 12 7" xfId="15390" xr:uid="{00000000-0005-0000-0000-00000F390000}"/>
    <cellStyle name="Normal 2 2 2 12 8" xfId="15391" xr:uid="{00000000-0005-0000-0000-000010390000}"/>
    <cellStyle name="Normal 2 2 2 12 9" xfId="15392" xr:uid="{00000000-0005-0000-0000-000011390000}"/>
    <cellStyle name="Normal 2 2 2 13" xfId="15393" xr:uid="{00000000-0005-0000-0000-000012390000}"/>
    <cellStyle name="Normal 2 2 2 13 10" xfId="15394" xr:uid="{00000000-0005-0000-0000-000013390000}"/>
    <cellStyle name="Normal 2 2 2 13 11" xfId="15395" xr:uid="{00000000-0005-0000-0000-000014390000}"/>
    <cellStyle name="Normal 2 2 2 13 12" xfId="15396" xr:uid="{00000000-0005-0000-0000-000015390000}"/>
    <cellStyle name="Normal 2 2 2 13 13" xfId="15397" xr:uid="{00000000-0005-0000-0000-000016390000}"/>
    <cellStyle name="Normal 2 2 2 13 14" xfId="15398" xr:uid="{00000000-0005-0000-0000-000017390000}"/>
    <cellStyle name="Normal 2 2 2 13 15" xfId="15399" xr:uid="{00000000-0005-0000-0000-000018390000}"/>
    <cellStyle name="Normal 2 2 2 13 16" xfId="15400" xr:uid="{00000000-0005-0000-0000-000019390000}"/>
    <cellStyle name="Normal 2 2 2 13 17" xfId="15401" xr:uid="{00000000-0005-0000-0000-00001A390000}"/>
    <cellStyle name="Normal 2 2 2 13 18" xfId="15402" xr:uid="{00000000-0005-0000-0000-00001B390000}"/>
    <cellStyle name="Normal 2 2 2 13 19" xfId="15403" xr:uid="{00000000-0005-0000-0000-00001C390000}"/>
    <cellStyle name="Normal 2 2 2 13 2" xfId="15404" xr:uid="{00000000-0005-0000-0000-00001D390000}"/>
    <cellStyle name="Normal 2 2 2 13 20" xfId="15405" xr:uid="{00000000-0005-0000-0000-00001E390000}"/>
    <cellStyle name="Normal 2 2 2 13 21" xfId="15406" xr:uid="{00000000-0005-0000-0000-00001F390000}"/>
    <cellStyle name="Normal 2 2 2 13 22" xfId="15407" xr:uid="{00000000-0005-0000-0000-000020390000}"/>
    <cellStyle name="Normal 2 2 2 13 23" xfId="15408" xr:uid="{00000000-0005-0000-0000-000021390000}"/>
    <cellStyle name="Normal 2 2 2 13 24" xfId="15409" xr:uid="{00000000-0005-0000-0000-000022390000}"/>
    <cellStyle name="Normal 2 2 2 13 25" xfId="15410" xr:uid="{00000000-0005-0000-0000-000023390000}"/>
    <cellStyle name="Normal 2 2 2 13 26" xfId="15411" xr:uid="{00000000-0005-0000-0000-000024390000}"/>
    <cellStyle name="Normal 2 2 2 13 27" xfId="15412" xr:uid="{00000000-0005-0000-0000-000025390000}"/>
    <cellStyle name="Normal 2 2 2 13 28" xfId="15413" xr:uid="{00000000-0005-0000-0000-000026390000}"/>
    <cellStyle name="Normal 2 2 2 13 29" xfId="15414" xr:uid="{00000000-0005-0000-0000-000027390000}"/>
    <cellStyle name="Normal 2 2 2 13 3" xfId="15415" xr:uid="{00000000-0005-0000-0000-000028390000}"/>
    <cellStyle name="Normal 2 2 2 13 30" xfId="15416" xr:uid="{00000000-0005-0000-0000-000029390000}"/>
    <cellStyle name="Normal 2 2 2 13 31" xfId="15417" xr:uid="{00000000-0005-0000-0000-00002A390000}"/>
    <cellStyle name="Normal 2 2 2 13 32" xfId="15418" xr:uid="{00000000-0005-0000-0000-00002B390000}"/>
    <cellStyle name="Normal 2 2 2 13 33" xfId="15419" xr:uid="{00000000-0005-0000-0000-00002C390000}"/>
    <cellStyle name="Normal 2 2 2 13 34" xfId="15420" xr:uid="{00000000-0005-0000-0000-00002D390000}"/>
    <cellStyle name="Normal 2 2 2 13 35" xfId="15421" xr:uid="{00000000-0005-0000-0000-00002E390000}"/>
    <cellStyle name="Normal 2 2 2 13 36" xfId="15422" xr:uid="{00000000-0005-0000-0000-00002F390000}"/>
    <cellStyle name="Normal 2 2 2 13 37" xfId="15423" xr:uid="{00000000-0005-0000-0000-000030390000}"/>
    <cellStyle name="Normal 2 2 2 13 38" xfId="15424" xr:uid="{00000000-0005-0000-0000-000031390000}"/>
    <cellStyle name="Normal 2 2 2 13 39" xfId="15425" xr:uid="{00000000-0005-0000-0000-000032390000}"/>
    <cellStyle name="Normal 2 2 2 13 4" xfId="15426" xr:uid="{00000000-0005-0000-0000-000033390000}"/>
    <cellStyle name="Normal 2 2 2 13 40" xfId="15427" xr:uid="{00000000-0005-0000-0000-000034390000}"/>
    <cellStyle name="Normal 2 2 2 13 41" xfId="15428" xr:uid="{00000000-0005-0000-0000-000035390000}"/>
    <cellStyle name="Normal 2 2 2 13 42" xfId="15429" xr:uid="{00000000-0005-0000-0000-000036390000}"/>
    <cellStyle name="Normal 2 2 2 13 43" xfId="15430" xr:uid="{00000000-0005-0000-0000-000037390000}"/>
    <cellStyle name="Normal 2 2 2 13 44" xfId="15431" xr:uid="{00000000-0005-0000-0000-000038390000}"/>
    <cellStyle name="Normal 2 2 2 13 45" xfId="15432" xr:uid="{00000000-0005-0000-0000-000039390000}"/>
    <cellStyle name="Normal 2 2 2 13 46" xfId="15433" xr:uid="{00000000-0005-0000-0000-00003A390000}"/>
    <cellStyle name="Normal 2 2 2 13 5" xfId="15434" xr:uid="{00000000-0005-0000-0000-00003B390000}"/>
    <cellStyle name="Normal 2 2 2 13 6" xfId="15435" xr:uid="{00000000-0005-0000-0000-00003C390000}"/>
    <cellStyle name="Normal 2 2 2 13 7" xfId="15436" xr:uid="{00000000-0005-0000-0000-00003D390000}"/>
    <cellStyle name="Normal 2 2 2 13 8" xfId="15437" xr:uid="{00000000-0005-0000-0000-00003E390000}"/>
    <cellStyle name="Normal 2 2 2 13 9" xfId="15438" xr:uid="{00000000-0005-0000-0000-00003F390000}"/>
    <cellStyle name="Normal 2 2 2 14" xfId="15439" xr:uid="{00000000-0005-0000-0000-000040390000}"/>
    <cellStyle name="Normal 2 2 2 14 10" xfId="15440" xr:uid="{00000000-0005-0000-0000-000041390000}"/>
    <cellStyle name="Normal 2 2 2 14 11" xfId="15441" xr:uid="{00000000-0005-0000-0000-000042390000}"/>
    <cellStyle name="Normal 2 2 2 14 12" xfId="15442" xr:uid="{00000000-0005-0000-0000-000043390000}"/>
    <cellStyle name="Normal 2 2 2 14 13" xfId="15443" xr:uid="{00000000-0005-0000-0000-000044390000}"/>
    <cellStyle name="Normal 2 2 2 14 14" xfId="15444" xr:uid="{00000000-0005-0000-0000-000045390000}"/>
    <cellStyle name="Normal 2 2 2 14 15" xfId="15445" xr:uid="{00000000-0005-0000-0000-000046390000}"/>
    <cellStyle name="Normal 2 2 2 14 16" xfId="15446" xr:uid="{00000000-0005-0000-0000-000047390000}"/>
    <cellStyle name="Normal 2 2 2 14 17" xfId="15447" xr:uid="{00000000-0005-0000-0000-000048390000}"/>
    <cellStyle name="Normal 2 2 2 14 18" xfId="15448" xr:uid="{00000000-0005-0000-0000-000049390000}"/>
    <cellStyle name="Normal 2 2 2 14 19" xfId="15449" xr:uid="{00000000-0005-0000-0000-00004A390000}"/>
    <cellStyle name="Normal 2 2 2 14 2" xfId="15450" xr:uid="{00000000-0005-0000-0000-00004B390000}"/>
    <cellStyle name="Normal 2 2 2 14 20" xfId="15451" xr:uid="{00000000-0005-0000-0000-00004C390000}"/>
    <cellStyle name="Normal 2 2 2 14 21" xfId="15452" xr:uid="{00000000-0005-0000-0000-00004D390000}"/>
    <cellStyle name="Normal 2 2 2 14 22" xfId="15453" xr:uid="{00000000-0005-0000-0000-00004E390000}"/>
    <cellStyle name="Normal 2 2 2 14 23" xfId="15454" xr:uid="{00000000-0005-0000-0000-00004F390000}"/>
    <cellStyle name="Normal 2 2 2 14 24" xfId="15455" xr:uid="{00000000-0005-0000-0000-000050390000}"/>
    <cellStyle name="Normal 2 2 2 14 25" xfId="15456" xr:uid="{00000000-0005-0000-0000-000051390000}"/>
    <cellStyle name="Normal 2 2 2 14 26" xfId="15457" xr:uid="{00000000-0005-0000-0000-000052390000}"/>
    <cellStyle name="Normal 2 2 2 14 27" xfId="15458" xr:uid="{00000000-0005-0000-0000-000053390000}"/>
    <cellStyle name="Normal 2 2 2 14 28" xfId="15459" xr:uid="{00000000-0005-0000-0000-000054390000}"/>
    <cellStyle name="Normal 2 2 2 14 29" xfId="15460" xr:uid="{00000000-0005-0000-0000-000055390000}"/>
    <cellStyle name="Normal 2 2 2 14 3" xfId="15461" xr:uid="{00000000-0005-0000-0000-000056390000}"/>
    <cellStyle name="Normal 2 2 2 14 30" xfId="15462" xr:uid="{00000000-0005-0000-0000-000057390000}"/>
    <cellStyle name="Normal 2 2 2 14 31" xfId="15463" xr:uid="{00000000-0005-0000-0000-000058390000}"/>
    <cellStyle name="Normal 2 2 2 14 32" xfId="15464" xr:uid="{00000000-0005-0000-0000-000059390000}"/>
    <cellStyle name="Normal 2 2 2 14 33" xfId="15465" xr:uid="{00000000-0005-0000-0000-00005A390000}"/>
    <cellStyle name="Normal 2 2 2 14 34" xfId="15466" xr:uid="{00000000-0005-0000-0000-00005B390000}"/>
    <cellStyle name="Normal 2 2 2 14 35" xfId="15467" xr:uid="{00000000-0005-0000-0000-00005C390000}"/>
    <cellStyle name="Normal 2 2 2 14 36" xfId="15468" xr:uid="{00000000-0005-0000-0000-00005D390000}"/>
    <cellStyle name="Normal 2 2 2 14 37" xfId="15469" xr:uid="{00000000-0005-0000-0000-00005E390000}"/>
    <cellStyle name="Normal 2 2 2 14 38" xfId="15470" xr:uid="{00000000-0005-0000-0000-00005F390000}"/>
    <cellStyle name="Normal 2 2 2 14 39" xfId="15471" xr:uid="{00000000-0005-0000-0000-000060390000}"/>
    <cellStyle name="Normal 2 2 2 14 4" xfId="15472" xr:uid="{00000000-0005-0000-0000-000061390000}"/>
    <cellStyle name="Normal 2 2 2 14 40" xfId="15473" xr:uid="{00000000-0005-0000-0000-000062390000}"/>
    <cellStyle name="Normal 2 2 2 14 41" xfId="15474" xr:uid="{00000000-0005-0000-0000-000063390000}"/>
    <cellStyle name="Normal 2 2 2 14 42" xfId="15475" xr:uid="{00000000-0005-0000-0000-000064390000}"/>
    <cellStyle name="Normal 2 2 2 14 43" xfId="15476" xr:uid="{00000000-0005-0000-0000-000065390000}"/>
    <cellStyle name="Normal 2 2 2 14 44" xfId="15477" xr:uid="{00000000-0005-0000-0000-000066390000}"/>
    <cellStyle name="Normal 2 2 2 14 45" xfId="15478" xr:uid="{00000000-0005-0000-0000-000067390000}"/>
    <cellStyle name="Normal 2 2 2 14 46" xfId="15479" xr:uid="{00000000-0005-0000-0000-000068390000}"/>
    <cellStyle name="Normal 2 2 2 14 5" xfId="15480" xr:uid="{00000000-0005-0000-0000-000069390000}"/>
    <cellStyle name="Normal 2 2 2 14 6" xfId="15481" xr:uid="{00000000-0005-0000-0000-00006A390000}"/>
    <cellStyle name="Normal 2 2 2 14 7" xfId="15482" xr:uid="{00000000-0005-0000-0000-00006B390000}"/>
    <cellStyle name="Normal 2 2 2 14 8" xfId="15483" xr:uid="{00000000-0005-0000-0000-00006C390000}"/>
    <cellStyle name="Normal 2 2 2 14 9" xfId="15484" xr:uid="{00000000-0005-0000-0000-00006D390000}"/>
    <cellStyle name="Normal 2 2 2 15" xfId="15485" xr:uid="{00000000-0005-0000-0000-00006E390000}"/>
    <cellStyle name="Normal 2 2 2 15 10" xfId="15486" xr:uid="{00000000-0005-0000-0000-00006F390000}"/>
    <cellStyle name="Normal 2 2 2 15 11" xfId="15487" xr:uid="{00000000-0005-0000-0000-000070390000}"/>
    <cellStyle name="Normal 2 2 2 15 12" xfId="15488" xr:uid="{00000000-0005-0000-0000-000071390000}"/>
    <cellStyle name="Normal 2 2 2 15 13" xfId="15489" xr:uid="{00000000-0005-0000-0000-000072390000}"/>
    <cellStyle name="Normal 2 2 2 15 14" xfId="15490" xr:uid="{00000000-0005-0000-0000-000073390000}"/>
    <cellStyle name="Normal 2 2 2 15 15" xfId="15491" xr:uid="{00000000-0005-0000-0000-000074390000}"/>
    <cellStyle name="Normal 2 2 2 15 16" xfId="15492" xr:uid="{00000000-0005-0000-0000-000075390000}"/>
    <cellStyle name="Normal 2 2 2 15 17" xfId="15493" xr:uid="{00000000-0005-0000-0000-000076390000}"/>
    <cellStyle name="Normal 2 2 2 15 18" xfId="15494" xr:uid="{00000000-0005-0000-0000-000077390000}"/>
    <cellStyle name="Normal 2 2 2 15 19" xfId="15495" xr:uid="{00000000-0005-0000-0000-000078390000}"/>
    <cellStyle name="Normal 2 2 2 15 2" xfId="15496" xr:uid="{00000000-0005-0000-0000-000079390000}"/>
    <cellStyle name="Normal 2 2 2 15 20" xfId="15497" xr:uid="{00000000-0005-0000-0000-00007A390000}"/>
    <cellStyle name="Normal 2 2 2 15 21" xfId="15498" xr:uid="{00000000-0005-0000-0000-00007B390000}"/>
    <cellStyle name="Normal 2 2 2 15 22" xfId="15499" xr:uid="{00000000-0005-0000-0000-00007C390000}"/>
    <cellStyle name="Normal 2 2 2 15 23" xfId="15500" xr:uid="{00000000-0005-0000-0000-00007D390000}"/>
    <cellStyle name="Normal 2 2 2 15 24" xfId="15501" xr:uid="{00000000-0005-0000-0000-00007E390000}"/>
    <cellStyle name="Normal 2 2 2 15 25" xfId="15502" xr:uid="{00000000-0005-0000-0000-00007F390000}"/>
    <cellStyle name="Normal 2 2 2 15 26" xfId="15503" xr:uid="{00000000-0005-0000-0000-000080390000}"/>
    <cellStyle name="Normal 2 2 2 15 27" xfId="15504" xr:uid="{00000000-0005-0000-0000-000081390000}"/>
    <cellStyle name="Normal 2 2 2 15 28" xfId="15505" xr:uid="{00000000-0005-0000-0000-000082390000}"/>
    <cellStyle name="Normal 2 2 2 15 29" xfId="15506" xr:uid="{00000000-0005-0000-0000-000083390000}"/>
    <cellStyle name="Normal 2 2 2 15 3" xfId="15507" xr:uid="{00000000-0005-0000-0000-000084390000}"/>
    <cellStyle name="Normal 2 2 2 15 30" xfId="15508" xr:uid="{00000000-0005-0000-0000-000085390000}"/>
    <cellStyle name="Normal 2 2 2 15 31" xfId="15509" xr:uid="{00000000-0005-0000-0000-000086390000}"/>
    <cellStyle name="Normal 2 2 2 15 32" xfId="15510" xr:uid="{00000000-0005-0000-0000-000087390000}"/>
    <cellStyle name="Normal 2 2 2 15 33" xfId="15511" xr:uid="{00000000-0005-0000-0000-000088390000}"/>
    <cellStyle name="Normal 2 2 2 15 34" xfId="15512" xr:uid="{00000000-0005-0000-0000-000089390000}"/>
    <cellStyle name="Normal 2 2 2 15 35" xfId="15513" xr:uid="{00000000-0005-0000-0000-00008A390000}"/>
    <cellStyle name="Normal 2 2 2 15 36" xfId="15514" xr:uid="{00000000-0005-0000-0000-00008B390000}"/>
    <cellStyle name="Normal 2 2 2 15 37" xfId="15515" xr:uid="{00000000-0005-0000-0000-00008C390000}"/>
    <cellStyle name="Normal 2 2 2 15 38" xfId="15516" xr:uid="{00000000-0005-0000-0000-00008D390000}"/>
    <cellStyle name="Normal 2 2 2 15 39" xfId="15517" xr:uid="{00000000-0005-0000-0000-00008E390000}"/>
    <cellStyle name="Normal 2 2 2 15 4" xfId="15518" xr:uid="{00000000-0005-0000-0000-00008F390000}"/>
    <cellStyle name="Normal 2 2 2 15 40" xfId="15519" xr:uid="{00000000-0005-0000-0000-000090390000}"/>
    <cellStyle name="Normal 2 2 2 15 41" xfId="15520" xr:uid="{00000000-0005-0000-0000-000091390000}"/>
    <cellStyle name="Normal 2 2 2 15 42" xfId="15521" xr:uid="{00000000-0005-0000-0000-000092390000}"/>
    <cellStyle name="Normal 2 2 2 15 43" xfId="15522" xr:uid="{00000000-0005-0000-0000-000093390000}"/>
    <cellStyle name="Normal 2 2 2 15 44" xfId="15523" xr:uid="{00000000-0005-0000-0000-000094390000}"/>
    <cellStyle name="Normal 2 2 2 15 45" xfId="15524" xr:uid="{00000000-0005-0000-0000-000095390000}"/>
    <cellStyle name="Normal 2 2 2 15 46" xfId="15525" xr:uid="{00000000-0005-0000-0000-000096390000}"/>
    <cellStyle name="Normal 2 2 2 15 5" xfId="15526" xr:uid="{00000000-0005-0000-0000-000097390000}"/>
    <cellStyle name="Normal 2 2 2 15 6" xfId="15527" xr:uid="{00000000-0005-0000-0000-000098390000}"/>
    <cellStyle name="Normal 2 2 2 15 7" xfId="15528" xr:uid="{00000000-0005-0000-0000-000099390000}"/>
    <cellStyle name="Normal 2 2 2 15 8" xfId="15529" xr:uid="{00000000-0005-0000-0000-00009A390000}"/>
    <cellStyle name="Normal 2 2 2 15 9" xfId="15530" xr:uid="{00000000-0005-0000-0000-00009B390000}"/>
    <cellStyle name="Normal 2 2 2 16" xfId="15531" xr:uid="{00000000-0005-0000-0000-00009C390000}"/>
    <cellStyle name="Normal 2 2 2 16 10" xfId="15532" xr:uid="{00000000-0005-0000-0000-00009D390000}"/>
    <cellStyle name="Normal 2 2 2 16 11" xfId="15533" xr:uid="{00000000-0005-0000-0000-00009E390000}"/>
    <cellStyle name="Normal 2 2 2 16 12" xfId="15534" xr:uid="{00000000-0005-0000-0000-00009F390000}"/>
    <cellStyle name="Normal 2 2 2 16 13" xfId="15535" xr:uid="{00000000-0005-0000-0000-0000A0390000}"/>
    <cellStyle name="Normal 2 2 2 16 14" xfId="15536" xr:uid="{00000000-0005-0000-0000-0000A1390000}"/>
    <cellStyle name="Normal 2 2 2 16 15" xfId="15537" xr:uid="{00000000-0005-0000-0000-0000A2390000}"/>
    <cellStyle name="Normal 2 2 2 16 16" xfId="15538" xr:uid="{00000000-0005-0000-0000-0000A3390000}"/>
    <cellStyle name="Normal 2 2 2 16 17" xfId="15539" xr:uid="{00000000-0005-0000-0000-0000A4390000}"/>
    <cellStyle name="Normal 2 2 2 16 18" xfId="15540" xr:uid="{00000000-0005-0000-0000-0000A5390000}"/>
    <cellStyle name="Normal 2 2 2 16 19" xfId="15541" xr:uid="{00000000-0005-0000-0000-0000A6390000}"/>
    <cellStyle name="Normal 2 2 2 16 2" xfId="15542" xr:uid="{00000000-0005-0000-0000-0000A7390000}"/>
    <cellStyle name="Normal 2 2 2 16 20" xfId="15543" xr:uid="{00000000-0005-0000-0000-0000A8390000}"/>
    <cellStyle name="Normal 2 2 2 16 21" xfId="15544" xr:uid="{00000000-0005-0000-0000-0000A9390000}"/>
    <cellStyle name="Normal 2 2 2 16 22" xfId="15545" xr:uid="{00000000-0005-0000-0000-0000AA390000}"/>
    <cellStyle name="Normal 2 2 2 16 23" xfId="15546" xr:uid="{00000000-0005-0000-0000-0000AB390000}"/>
    <cellStyle name="Normal 2 2 2 16 24" xfId="15547" xr:uid="{00000000-0005-0000-0000-0000AC390000}"/>
    <cellStyle name="Normal 2 2 2 16 25" xfId="15548" xr:uid="{00000000-0005-0000-0000-0000AD390000}"/>
    <cellStyle name="Normal 2 2 2 16 26" xfId="15549" xr:uid="{00000000-0005-0000-0000-0000AE390000}"/>
    <cellStyle name="Normal 2 2 2 16 27" xfId="15550" xr:uid="{00000000-0005-0000-0000-0000AF390000}"/>
    <cellStyle name="Normal 2 2 2 16 28" xfId="15551" xr:uid="{00000000-0005-0000-0000-0000B0390000}"/>
    <cellStyle name="Normal 2 2 2 16 29" xfId="15552" xr:uid="{00000000-0005-0000-0000-0000B1390000}"/>
    <cellStyle name="Normal 2 2 2 16 3" xfId="15553" xr:uid="{00000000-0005-0000-0000-0000B2390000}"/>
    <cellStyle name="Normal 2 2 2 16 30" xfId="15554" xr:uid="{00000000-0005-0000-0000-0000B3390000}"/>
    <cellStyle name="Normal 2 2 2 16 31" xfId="15555" xr:uid="{00000000-0005-0000-0000-0000B4390000}"/>
    <cellStyle name="Normal 2 2 2 16 32" xfId="15556" xr:uid="{00000000-0005-0000-0000-0000B5390000}"/>
    <cellStyle name="Normal 2 2 2 16 33" xfId="15557" xr:uid="{00000000-0005-0000-0000-0000B6390000}"/>
    <cellStyle name="Normal 2 2 2 16 34" xfId="15558" xr:uid="{00000000-0005-0000-0000-0000B7390000}"/>
    <cellStyle name="Normal 2 2 2 16 35" xfId="15559" xr:uid="{00000000-0005-0000-0000-0000B8390000}"/>
    <cellStyle name="Normal 2 2 2 16 36" xfId="15560" xr:uid="{00000000-0005-0000-0000-0000B9390000}"/>
    <cellStyle name="Normal 2 2 2 16 37" xfId="15561" xr:uid="{00000000-0005-0000-0000-0000BA390000}"/>
    <cellStyle name="Normal 2 2 2 16 38" xfId="15562" xr:uid="{00000000-0005-0000-0000-0000BB390000}"/>
    <cellStyle name="Normal 2 2 2 16 39" xfId="15563" xr:uid="{00000000-0005-0000-0000-0000BC390000}"/>
    <cellStyle name="Normal 2 2 2 16 4" xfId="15564" xr:uid="{00000000-0005-0000-0000-0000BD390000}"/>
    <cellStyle name="Normal 2 2 2 16 40" xfId="15565" xr:uid="{00000000-0005-0000-0000-0000BE390000}"/>
    <cellStyle name="Normal 2 2 2 16 41" xfId="15566" xr:uid="{00000000-0005-0000-0000-0000BF390000}"/>
    <cellStyle name="Normal 2 2 2 16 42" xfId="15567" xr:uid="{00000000-0005-0000-0000-0000C0390000}"/>
    <cellStyle name="Normal 2 2 2 16 43" xfId="15568" xr:uid="{00000000-0005-0000-0000-0000C1390000}"/>
    <cellStyle name="Normal 2 2 2 16 44" xfId="15569" xr:uid="{00000000-0005-0000-0000-0000C2390000}"/>
    <cellStyle name="Normal 2 2 2 16 45" xfId="15570" xr:uid="{00000000-0005-0000-0000-0000C3390000}"/>
    <cellStyle name="Normal 2 2 2 16 46" xfId="15571" xr:uid="{00000000-0005-0000-0000-0000C4390000}"/>
    <cellStyle name="Normal 2 2 2 16 5" xfId="15572" xr:uid="{00000000-0005-0000-0000-0000C5390000}"/>
    <cellStyle name="Normal 2 2 2 16 6" xfId="15573" xr:uid="{00000000-0005-0000-0000-0000C6390000}"/>
    <cellStyle name="Normal 2 2 2 16 7" xfId="15574" xr:uid="{00000000-0005-0000-0000-0000C7390000}"/>
    <cellStyle name="Normal 2 2 2 16 8" xfId="15575" xr:uid="{00000000-0005-0000-0000-0000C8390000}"/>
    <cellStyle name="Normal 2 2 2 16 9" xfId="15576" xr:uid="{00000000-0005-0000-0000-0000C9390000}"/>
    <cellStyle name="Normal 2 2 2 17" xfId="15577" xr:uid="{00000000-0005-0000-0000-0000CA390000}"/>
    <cellStyle name="Normal 2 2 2 17 10" xfId="15578" xr:uid="{00000000-0005-0000-0000-0000CB390000}"/>
    <cellStyle name="Normal 2 2 2 17 10 10" xfId="15579" xr:uid="{00000000-0005-0000-0000-0000CC390000}"/>
    <cellStyle name="Normal 2 2 2 17 10 11" xfId="15580" xr:uid="{00000000-0005-0000-0000-0000CD390000}"/>
    <cellStyle name="Normal 2 2 2 17 10 12" xfId="15581" xr:uid="{00000000-0005-0000-0000-0000CE390000}"/>
    <cellStyle name="Normal 2 2 2 17 10 13" xfId="15582" xr:uid="{00000000-0005-0000-0000-0000CF390000}"/>
    <cellStyle name="Normal 2 2 2 17 10 2" xfId="15583" xr:uid="{00000000-0005-0000-0000-0000D0390000}"/>
    <cellStyle name="Normal 2 2 2 17 10 2 2" xfId="15584" xr:uid="{00000000-0005-0000-0000-0000D1390000}"/>
    <cellStyle name="Normal 2 2 2 17 10 2 3" xfId="15585" xr:uid="{00000000-0005-0000-0000-0000D2390000}"/>
    <cellStyle name="Normal 2 2 2 17 10 2 4" xfId="15586" xr:uid="{00000000-0005-0000-0000-0000D3390000}"/>
    <cellStyle name="Normal 2 2 2 17 10 2 5" xfId="15587" xr:uid="{00000000-0005-0000-0000-0000D4390000}"/>
    <cellStyle name="Normal 2 2 2 17 10 2 6" xfId="15588" xr:uid="{00000000-0005-0000-0000-0000D5390000}"/>
    <cellStyle name="Normal 2 2 2 17 10 3" xfId="15589" xr:uid="{00000000-0005-0000-0000-0000D6390000}"/>
    <cellStyle name="Normal 2 2 2 17 10 3 2" xfId="15590" xr:uid="{00000000-0005-0000-0000-0000D7390000}"/>
    <cellStyle name="Normal 2 2 2 17 10 3 3" xfId="15591" xr:uid="{00000000-0005-0000-0000-0000D8390000}"/>
    <cellStyle name="Normal 2 2 2 17 10 3 4" xfId="15592" xr:uid="{00000000-0005-0000-0000-0000D9390000}"/>
    <cellStyle name="Normal 2 2 2 17 10 3 5" xfId="15593" xr:uid="{00000000-0005-0000-0000-0000DA390000}"/>
    <cellStyle name="Normal 2 2 2 17 10 3 6" xfId="15594" xr:uid="{00000000-0005-0000-0000-0000DB390000}"/>
    <cellStyle name="Normal 2 2 2 17 10 4" xfId="15595" xr:uid="{00000000-0005-0000-0000-0000DC390000}"/>
    <cellStyle name="Normal 2 2 2 17 10 4 2" xfId="15596" xr:uid="{00000000-0005-0000-0000-0000DD390000}"/>
    <cellStyle name="Normal 2 2 2 17 10 4 3" xfId="15597" xr:uid="{00000000-0005-0000-0000-0000DE390000}"/>
    <cellStyle name="Normal 2 2 2 17 10 4 4" xfId="15598" xr:uid="{00000000-0005-0000-0000-0000DF390000}"/>
    <cellStyle name="Normal 2 2 2 17 10 4 5" xfId="15599" xr:uid="{00000000-0005-0000-0000-0000E0390000}"/>
    <cellStyle name="Normal 2 2 2 17 10 4 6" xfId="15600" xr:uid="{00000000-0005-0000-0000-0000E1390000}"/>
    <cellStyle name="Normal 2 2 2 17 10 5" xfId="15601" xr:uid="{00000000-0005-0000-0000-0000E2390000}"/>
    <cellStyle name="Normal 2 2 2 17 10 5 2" xfId="15602" xr:uid="{00000000-0005-0000-0000-0000E3390000}"/>
    <cellStyle name="Normal 2 2 2 17 10 5 3" xfId="15603" xr:uid="{00000000-0005-0000-0000-0000E4390000}"/>
    <cellStyle name="Normal 2 2 2 17 10 5 4" xfId="15604" xr:uid="{00000000-0005-0000-0000-0000E5390000}"/>
    <cellStyle name="Normal 2 2 2 17 10 5 5" xfId="15605" xr:uid="{00000000-0005-0000-0000-0000E6390000}"/>
    <cellStyle name="Normal 2 2 2 17 10 5 6" xfId="15606" xr:uid="{00000000-0005-0000-0000-0000E7390000}"/>
    <cellStyle name="Normal 2 2 2 17 10 6" xfId="15607" xr:uid="{00000000-0005-0000-0000-0000E8390000}"/>
    <cellStyle name="Normal 2 2 2 17 10 6 2" xfId="15608" xr:uid="{00000000-0005-0000-0000-0000E9390000}"/>
    <cellStyle name="Normal 2 2 2 17 10 6 3" xfId="15609" xr:uid="{00000000-0005-0000-0000-0000EA390000}"/>
    <cellStyle name="Normal 2 2 2 17 10 6 4" xfId="15610" xr:uid="{00000000-0005-0000-0000-0000EB390000}"/>
    <cellStyle name="Normal 2 2 2 17 10 6 5" xfId="15611" xr:uid="{00000000-0005-0000-0000-0000EC390000}"/>
    <cellStyle name="Normal 2 2 2 17 10 6 6" xfId="15612" xr:uid="{00000000-0005-0000-0000-0000ED390000}"/>
    <cellStyle name="Normal 2 2 2 17 10 7" xfId="15613" xr:uid="{00000000-0005-0000-0000-0000EE390000}"/>
    <cellStyle name="Normal 2 2 2 17 10 7 2" xfId="15614" xr:uid="{00000000-0005-0000-0000-0000EF390000}"/>
    <cellStyle name="Normal 2 2 2 17 10 7 3" xfId="15615" xr:uid="{00000000-0005-0000-0000-0000F0390000}"/>
    <cellStyle name="Normal 2 2 2 17 10 7 4" xfId="15616" xr:uid="{00000000-0005-0000-0000-0000F1390000}"/>
    <cellStyle name="Normal 2 2 2 17 10 7 5" xfId="15617" xr:uid="{00000000-0005-0000-0000-0000F2390000}"/>
    <cellStyle name="Normal 2 2 2 17 10 7 6" xfId="15618" xr:uid="{00000000-0005-0000-0000-0000F3390000}"/>
    <cellStyle name="Normal 2 2 2 17 10 8" xfId="15619" xr:uid="{00000000-0005-0000-0000-0000F4390000}"/>
    <cellStyle name="Normal 2 2 2 17 10 8 2" xfId="15620" xr:uid="{00000000-0005-0000-0000-0000F5390000}"/>
    <cellStyle name="Normal 2 2 2 17 10 8 3" xfId="15621" xr:uid="{00000000-0005-0000-0000-0000F6390000}"/>
    <cellStyle name="Normal 2 2 2 17 10 8 4" xfId="15622" xr:uid="{00000000-0005-0000-0000-0000F7390000}"/>
    <cellStyle name="Normal 2 2 2 17 10 8 5" xfId="15623" xr:uid="{00000000-0005-0000-0000-0000F8390000}"/>
    <cellStyle name="Normal 2 2 2 17 10 8 6" xfId="15624" xr:uid="{00000000-0005-0000-0000-0000F9390000}"/>
    <cellStyle name="Normal 2 2 2 17 10 9" xfId="15625" xr:uid="{00000000-0005-0000-0000-0000FA390000}"/>
    <cellStyle name="Normal 2 2 2 17 11" xfId="15626" xr:uid="{00000000-0005-0000-0000-0000FB390000}"/>
    <cellStyle name="Normal 2 2 2 17 11 10" xfId="15627" xr:uid="{00000000-0005-0000-0000-0000FC390000}"/>
    <cellStyle name="Normal 2 2 2 17 11 11" xfId="15628" xr:uid="{00000000-0005-0000-0000-0000FD390000}"/>
    <cellStyle name="Normal 2 2 2 17 11 12" xfId="15629" xr:uid="{00000000-0005-0000-0000-0000FE390000}"/>
    <cellStyle name="Normal 2 2 2 17 11 13" xfId="15630" xr:uid="{00000000-0005-0000-0000-0000FF390000}"/>
    <cellStyle name="Normal 2 2 2 17 11 2" xfId="15631" xr:uid="{00000000-0005-0000-0000-0000003A0000}"/>
    <cellStyle name="Normal 2 2 2 17 11 2 2" xfId="15632" xr:uid="{00000000-0005-0000-0000-0000013A0000}"/>
    <cellStyle name="Normal 2 2 2 17 11 2 3" xfId="15633" xr:uid="{00000000-0005-0000-0000-0000023A0000}"/>
    <cellStyle name="Normal 2 2 2 17 11 2 4" xfId="15634" xr:uid="{00000000-0005-0000-0000-0000033A0000}"/>
    <cellStyle name="Normal 2 2 2 17 11 2 5" xfId="15635" xr:uid="{00000000-0005-0000-0000-0000043A0000}"/>
    <cellStyle name="Normal 2 2 2 17 11 2 6" xfId="15636" xr:uid="{00000000-0005-0000-0000-0000053A0000}"/>
    <cellStyle name="Normal 2 2 2 17 11 3" xfId="15637" xr:uid="{00000000-0005-0000-0000-0000063A0000}"/>
    <cellStyle name="Normal 2 2 2 17 11 3 2" xfId="15638" xr:uid="{00000000-0005-0000-0000-0000073A0000}"/>
    <cellStyle name="Normal 2 2 2 17 11 3 3" xfId="15639" xr:uid="{00000000-0005-0000-0000-0000083A0000}"/>
    <cellStyle name="Normal 2 2 2 17 11 3 4" xfId="15640" xr:uid="{00000000-0005-0000-0000-0000093A0000}"/>
    <cellStyle name="Normal 2 2 2 17 11 3 5" xfId="15641" xr:uid="{00000000-0005-0000-0000-00000A3A0000}"/>
    <cellStyle name="Normal 2 2 2 17 11 3 6" xfId="15642" xr:uid="{00000000-0005-0000-0000-00000B3A0000}"/>
    <cellStyle name="Normal 2 2 2 17 11 4" xfId="15643" xr:uid="{00000000-0005-0000-0000-00000C3A0000}"/>
    <cellStyle name="Normal 2 2 2 17 11 4 2" xfId="15644" xr:uid="{00000000-0005-0000-0000-00000D3A0000}"/>
    <cellStyle name="Normal 2 2 2 17 11 4 3" xfId="15645" xr:uid="{00000000-0005-0000-0000-00000E3A0000}"/>
    <cellStyle name="Normal 2 2 2 17 11 4 4" xfId="15646" xr:uid="{00000000-0005-0000-0000-00000F3A0000}"/>
    <cellStyle name="Normal 2 2 2 17 11 4 5" xfId="15647" xr:uid="{00000000-0005-0000-0000-0000103A0000}"/>
    <cellStyle name="Normal 2 2 2 17 11 4 6" xfId="15648" xr:uid="{00000000-0005-0000-0000-0000113A0000}"/>
    <cellStyle name="Normal 2 2 2 17 11 5" xfId="15649" xr:uid="{00000000-0005-0000-0000-0000123A0000}"/>
    <cellStyle name="Normal 2 2 2 17 11 5 2" xfId="15650" xr:uid="{00000000-0005-0000-0000-0000133A0000}"/>
    <cellStyle name="Normal 2 2 2 17 11 5 3" xfId="15651" xr:uid="{00000000-0005-0000-0000-0000143A0000}"/>
    <cellStyle name="Normal 2 2 2 17 11 5 4" xfId="15652" xr:uid="{00000000-0005-0000-0000-0000153A0000}"/>
    <cellStyle name="Normal 2 2 2 17 11 5 5" xfId="15653" xr:uid="{00000000-0005-0000-0000-0000163A0000}"/>
    <cellStyle name="Normal 2 2 2 17 11 5 6" xfId="15654" xr:uid="{00000000-0005-0000-0000-0000173A0000}"/>
    <cellStyle name="Normal 2 2 2 17 11 6" xfId="15655" xr:uid="{00000000-0005-0000-0000-0000183A0000}"/>
    <cellStyle name="Normal 2 2 2 17 11 6 2" xfId="15656" xr:uid="{00000000-0005-0000-0000-0000193A0000}"/>
    <cellStyle name="Normal 2 2 2 17 11 6 3" xfId="15657" xr:uid="{00000000-0005-0000-0000-00001A3A0000}"/>
    <cellStyle name="Normal 2 2 2 17 11 6 4" xfId="15658" xr:uid="{00000000-0005-0000-0000-00001B3A0000}"/>
    <cellStyle name="Normal 2 2 2 17 11 6 5" xfId="15659" xr:uid="{00000000-0005-0000-0000-00001C3A0000}"/>
    <cellStyle name="Normal 2 2 2 17 11 6 6" xfId="15660" xr:uid="{00000000-0005-0000-0000-00001D3A0000}"/>
    <cellStyle name="Normal 2 2 2 17 11 7" xfId="15661" xr:uid="{00000000-0005-0000-0000-00001E3A0000}"/>
    <cellStyle name="Normal 2 2 2 17 11 7 2" xfId="15662" xr:uid="{00000000-0005-0000-0000-00001F3A0000}"/>
    <cellStyle name="Normal 2 2 2 17 11 7 3" xfId="15663" xr:uid="{00000000-0005-0000-0000-0000203A0000}"/>
    <cellStyle name="Normal 2 2 2 17 11 7 4" xfId="15664" xr:uid="{00000000-0005-0000-0000-0000213A0000}"/>
    <cellStyle name="Normal 2 2 2 17 11 7 5" xfId="15665" xr:uid="{00000000-0005-0000-0000-0000223A0000}"/>
    <cellStyle name="Normal 2 2 2 17 11 7 6" xfId="15666" xr:uid="{00000000-0005-0000-0000-0000233A0000}"/>
    <cellStyle name="Normal 2 2 2 17 11 8" xfId="15667" xr:uid="{00000000-0005-0000-0000-0000243A0000}"/>
    <cellStyle name="Normal 2 2 2 17 11 8 2" xfId="15668" xr:uid="{00000000-0005-0000-0000-0000253A0000}"/>
    <cellStyle name="Normal 2 2 2 17 11 8 3" xfId="15669" xr:uid="{00000000-0005-0000-0000-0000263A0000}"/>
    <cellStyle name="Normal 2 2 2 17 11 8 4" xfId="15670" xr:uid="{00000000-0005-0000-0000-0000273A0000}"/>
    <cellStyle name="Normal 2 2 2 17 11 8 5" xfId="15671" xr:uid="{00000000-0005-0000-0000-0000283A0000}"/>
    <cellStyle name="Normal 2 2 2 17 11 8 6" xfId="15672" xr:uid="{00000000-0005-0000-0000-0000293A0000}"/>
    <cellStyle name="Normal 2 2 2 17 11 9" xfId="15673" xr:uid="{00000000-0005-0000-0000-00002A3A0000}"/>
    <cellStyle name="Normal 2 2 2 17 12" xfId="15674" xr:uid="{00000000-0005-0000-0000-00002B3A0000}"/>
    <cellStyle name="Normal 2 2 2 17 13" xfId="15675" xr:uid="{00000000-0005-0000-0000-00002C3A0000}"/>
    <cellStyle name="Normal 2 2 2 17 14" xfId="15676" xr:uid="{00000000-0005-0000-0000-00002D3A0000}"/>
    <cellStyle name="Normal 2 2 2 17 15" xfId="15677" xr:uid="{00000000-0005-0000-0000-00002E3A0000}"/>
    <cellStyle name="Normal 2 2 2 17 16" xfId="15678" xr:uid="{00000000-0005-0000-0000-00002F3A0000}"/>
    <cellStyle name="Normal 2 2 2 17 17" xfId="15679" xr:uid="{00000000-0005-0000-0000-0000303A0000}"/>
    <cellStyle name="Normal 2 2 2 17 18" xfId="15680" xr:uid="{00000000-0005-0000-0000-0000313A0000}"/>
    <cellStyle name="Normal 2 2 2 17 19" xfId="15681" xr:uid="{00000000-0005-0000-0000-0000323A0000}"/>
    <cellStyle name="Normal 2 2 2 17 2" xfId="15682" xr:uid="{00000000-0005-0000-0000-0000333A0000}"/>
    <cellStyle name="Normal 2 2 2 17 2 10" xfId="15683" xr:uid="{00000000-0005-0000-0000-0000343A0000}"/>
    <cellStyle name="Normal 2 2 2 17 2 11" xfId="15684" xr:uid="{00000000-0005-0000-0000-0000353A0000}"/>
    <cellStyle name="Normal 2 2 2 17 2 12" xfId="15685" xr:uid="{00000000-0005-0000-0000-0000363A0000}"/>
    <cellStyle name="Normal 2 2 2 17 2 13" xfId="15686" xr:uid="{00000000-0005-0000-0000-0000373A0000}"/>
    <cellStyle name="Normal 2 2 2 17 2 2" xfId="15687" xr:uid="{00000000-0005-0000-0000-0000383A0000}"/>
    <cellStyle name="Normal 2 2 2 17 2 2 2" xfId="15688" xr:uid="{00000000-0005-0000-0000-0000393A0000}"/>
    <cellStyle name="Normal 2 2 2 17 2 2 3" xfId="15689" xr:uid="{00000000-0005-0000-0000-00003A3A0000}"/>
    <cellStyle name="Normal 2 2 2 17 2 2 4" xfId="15690" xr:uid="{00000000-0005-0000-0000-00003B3A0000}"/>
    <cellStyle name="Normal 2 2 2 17 2 2 5" xfId="15691" xr:uid="{00000000-0005-0000-0000-00003C3A0000}"/>
    <cellStyle name="Normal 2 2 2 17 2 2 6" xfId="15692" xr:uid="{00000000-0005-0000-0000-00003D3A0000}"/>
    <cellStyle name="Normal 2 2 2 17 2 3" xfId="15693" xr:uid="{00000000-0005-0000-0000-00003E3A0000}"/>
    <cellStyle name="Normal 2 2 2 17 2 3 2" xfId="15694" xr:uid="{00000000-0005-0000-0000-00003F3A0000}"/>
    <cellStyle name="Normal 2 2 2 17 2 3 3" xfId="15695" xr:uid="{00000000-0005-0000-0000-0000403A0000}"/>
    <cellStyle name="Normal 2 2 2 17 2 3 4" xfId="15696" xr:uid="{00000000-0005-0000-0000-0000413A0000}"/>
    <cellStyle name="Normal 2 2 2 17 2 3 5" xfId="15697" xr:uid="{00000000-0005-0000-0000-0000423A0000}"/>
    <cellStyle name="Normal 2 2 2 17 2 3 6" xfId="15698" xr:uid="{00000000-0005-0000-0000-0000433A0000}"/>
    <cellStyle name="Normal 2 2 2 17 2 4" xfId="15699" xr:uid="{00000000-0005-0000-0000-0000443A0000}"/>
    <cellStyle name="Normal 2 2 2 17 2 4 2" xfId="15700" xr:uid="{00000000-0005-0000-0000-0000453A0000}"/>
    <cellStyle name="Normal 2 2 2 17 2 4 3" xfId="15701" xr:uid="{00000000-0005-0000-0000-0000463A0000}"/>
    <cellStyle name="Normal 2 2 2 17 2 4 4" xfId="15702" xr:uid="{00000000-0005-0000-0000-0000473A0000}"/>
    <cellStyle name="Normal 2 2 2 17 2 4 5" xfId="15703" xr:uid="{00000000-0005-0000-0000-0000483A0000}"/>
    <cellStyle name="Normal 2 2 2 17 2 4 6" xfId="15704" xr:uid="{00000000-0005-0000-0000-0000493A0000}"/>
    <cellStyle name="Normal 2 2 2 17 2 5" xfId="15705" xr:uid="{00000000-0005-0000-0000-00004A3A0000}"/>
    <cellStyle name="Normal 2 2 2 17 2 5 2" xfId="15706" xr:uid="{00000000-0005-0000-0000-00004B3A0000}"/>
    <cellStyle name="Normal 2 2 2 17 2 5 3" xfId="15707" xr:uid="{00000000-0005-0000-0000-00004C3A0000}"/>
    <cellStyle name="Normal 2 2 2 17 2 5 4" xfId="15708" xr:uid="{00000000-0005-0000-0000-00004D3A0000}"/>
    <cellStyle name="Normal 2 2 2 17 2 5 5" xfId="15709" xr:uid="{00000000-0005-0000-0000-00004E3A0000}"/>
    <cellStyle name="Normal 2 2 2 17 2 5 6" xfId="15710" xr:uid="{00000000-0005-0000-0000-00004F3A0000}"/>
    <cellStyle name="Normal 2 2 2 17 2 6" xfId="15711" xr:uid="{00000000-0005-0000-0000-0000503A0000}"/>
    <cellStyle name="Normal 2 2 2 17 2 6 2" xfId="15712" xr:uid="{00000000-0005-0000-0000-0000513A0000}"/>
    <cellStyle name="Normal 2 2 2 17 2 6 3" xfId="15713" xr:uid="{00000000-0005-0000-0000-0000523A0000}"/>
    <cellStyle name="Normal 2 2 2 17 2 6 4" xfId="15714" xr:uid="{00000000-0005-0000-0000-0000533A0000}"/>
    <cellStyle name="Normal 2 2 2 17 2 6 5" xfId="15715" xr:uid="{00000000-0005-0000-0000-0000543A0000}"/>
    <cellStyle name="Normal 2 2 2 17 2 6 6" xfId="15716" xr:uid="{00000000-0005-0000-0000-0000553A0000}"/>
    <cellStyle name="Normal 2 2 2 17 2 7" xfId="15717" xr:uid="{00000000-0005-0000-0000-0000563A0000}"/>
    <cellStyle name="Normal 2 2 2 17 2 7 2" xfId="15718" xr:uid="{00000000-0005-0000-0000-0000573A0000}"/>
    <cellStyle name="Normal 2 2 2 17 2 7 3" xfId="15719" xr:uid="{00000000-0005-0000-0000-0000583A0000}"/>
    <cellStyle name="Normal 2 2 2 17 2 7 4" xfId="15720" xr:uid="{00000000-0005-0000-0000-0000593A0000}"/>
    <cellStyle name="Normal 2 2 2 17 2 7 5" xfId="15721" xr:uid="{00000000-0005-0000-0000-00005A3A0000}"/>
    <cellStyle name="Normal 2 2 2 17 2 7 6" xfId="15722" xr:uid="{00000000-0005-0000-0000-00005B3A0000}"/>
    <cellStyle name="Normal 2 2 2 17 2 8" xfId="15723" xr:uid="{00000000-0005-0000-0000-00005C3A0000}"/>
    <cellStyle name="Normal 2 2 2 17 2 8 2" xfId="15724" xr:uid="{00000000-0005-0000-0000-00005D3A0000}"/>
    <cellStyle name="Normal 2 2 2 17 2 8 3" xfId="15725" xr:uid="{00000000-0005-0000-0000-00005E3A0000}"/>
    <cellStyle name="Normal 2 2 2 17 2 8 4" xfId="15726" xr:uid="{00000000-0005-0000-0000-00005F3A0000}"/>
    <cellStyle name="Normal 2 2 2 17 2 8 5" xfId="15727" xr:uid="{00000000-0005-0000-0000-0000603A0000}"/>
    <cellStyle name="Normal 2 2 2 17 2 8 6" xfId="15728" xr:uid="{00000000-0005-0000-0000-0000613A0000}"/>
    <cellStyle name="Normal 2 2 2 17 2 9" xfId="15729" xr:uid="{00000000-0005-0000-0000-0000623A0000}"/>
    <cellStyle name="Normal 2 2 2 17 20" xfId="15730" xr:uid="{00000000-0005-0000-0000-0000633A0000}"/>
    <cellStyle name="Normal 2 2 2 17 21" xfId="15731" xr:uid="{00000000-0005-0000-0000-0000643A0000}"/>
    <cellStyle name="Normal 2 2 2 17 22" xfId="15732" xr:uid="{00000000-0005-0000-0000-0000653A0000}"/>
    <cellStyle name="Normal 2 2 2 17 23" xfId="15733" xr:uid="{00000000-0005-0000-0000-0000663A0000}"/>
    <cellStyle name="Normal 2 2 2 17 24" xfId="15734" xr:uid="{00000000-0005-0000-0000-0000673A0000}"/>
    <cellStyle name="Normal 2 2 2 17 25" xfId="15735" xr:uid="{00000000-0005-0000-0000-0000683A0000}"/>
    <cellStyle name="Normal 2 2 2 17 26" xfId="15736" xr:uid="{00000000-0005-0000-0000-0000693A0000}"/>
    <cellStyle name="Normal 2 2 2 17 27" xfId="15737" xr:uid="{00000000-0005-0000-0000-00006A3A0000}"/>
    <cellStyle name="Normal 2 2 2 17 28" xfId="15738" xr:uid="{00000000-0005-0000-0000-00006B3A0000}"/>
    <cellStyle name="Normal 2 2 2 17 29" xfId="15739" xr:uid="{00000000-0005-0000-0000-00006C3A0000}"/>
    <cellStyle name="Normal 2 2 2 17 3" xfId="15740" xr:uid="{00000000-0005-0000-0000-00006D3A0000}"/>
    <cellStyle name="Normal 2 2 2 17 3 10" xfId="15741" xr:uid="{00000000-0005-0000-0000-00006E3A0000}"/>
    <cellStyle name="Normal 2 2 2 17 3 11" xfId="15742" xr:uid="{00000000-0005-0000-0000-00006F3A0000}"/>
    <cellStyle name="Normal 2 2 2 17 3 12" xfId="15743" xr:uid="{00000000-0005-0000-0000-0000703A0000}"/>
    <cellStyle name="Normal 2 2 2 17 3 13" xfId="15744" xr:uid="{00000000-0005-0000-0000-0000713A0000}"/>
    <cellStyle name="Normal 2 2 2 17 3 2" xfId="15745" xr:uid="{00000000-0005-0000-0000-0000723A0000}"/>
    <cellStyle name="Normal 2 2 2 17 3 2 2" xfId="15746" xr:uid="{00000000-0005-0000-0000-0000733A0000}"/>
    <cellStyle name="Normal 2 2 2 17 3 2 3" xfId="15747" xr:uid="{00000000-0005-0000-0000-0000743A0000}"/>
    <cellStyle name="Normal 2 2 2 17 3 2 4" xfId="15748" xr:uid="{00000000-0005-0000-0000-0000753A0000}"/>
    <cellStyle name="Normal 2 2 2 17 3 2 5" xfId="15749" xr:uid="{00000000-0005-0000-0000-0000763A0000}"/>
    <cellStyle name="Normal 2 2 2 17 3 2 6" xfId="15750" xr:uid="{00000000-0005-0000-0000-0000773A0000}"/>
    <cellStyle name="Normal 2 2 2 17 3 3" xfId="15751" xr:uid="{00000000-0005-0000-0000-0000783A0000}"/>
    <cellStyle name="Normal 2 2 2 17 3 3 2" xfId="15752" xr:uid="{00000000-0005-0000-0000-0000793A0000}"/>
    <cellStyle name="Normal 2 2 2 17 3 3 3" xfId="15753" xr:uid="{00000000-0005-0000-0000-00007A3A0000}"/>
    <cellStyle name="Normal 2 2 2 17 3 3 4" xfId="15754" xr:uid="{00000000-0005-0000-0000-00007B3A0000}"/>
    <cellStyle name="Normal 2 2 2 17 3 3 5" xfId="15755" xr:uid="{00000000-0005-0000-0000-00007C3A0000}"/>
    <cellStyle name="Normal 2 2 2 17 3 3 6" xfId="15756" xr:uid="{00000000-0005-0000-0000-00007D3A0000}"/>
    <cellStyle name="Normal 2 2 2 17 3 4" xfId="15757" xr:uid="{00000000-0005-0000-0000-00007E3A0000}"/>
    <cellStyle name="Normal 2 2 2 17 3 4 2" xfId="15758" xr:uid="{00000000-0005-0000-0000-00007F3A0000}"/>
    <cellStyle name="Normal 2 2 2 17 3 4 3" xfId="15759" xr:uid="{00000000-0005-0000-0000-0000803A0000}"/>
    <cellStyle name="Normal 2 2 2 17 3 4 4" xfId="15760" xr:uid="{00000000-0005-0000-0000-0000813A0000}"/>
    <cellStyle name="Normal 2 2 2 17 3 4 5" xfId="15761" xr:uid="{00000000-0005-0000-0000-0000823A0000}"/>
    <cellStyle name="Normal 2 2 2 17 3 4 6" xfId="15762" xr:uid="{00000000-0005-0000-0000-0000833A0000}"/>
    <cellStyle name="Normal 2 2 2 17 3 5" xfId="15763" xr:uid="{00000000-0005-0000-0000-0000843A0000}"/>
    <cellStyle name="Normal 2 2 2 17 3 5 2" xfId="15764" xr:uid="{00000000-0005-0000-0000-0000853A0000}"/>
    <cellStyle name="Normal 2 2 2 17 3 5 3" xfId="15765" xr:uid="{00000000-0005-0000-0000-0000863A0000}"/>
    <cellStyle name="Normal 2 2 2 17 3 5 4" xfId="15766" xr:uid="{00000000-0005-0000-0000-0000873A0000}"/>
    <cellStyle name="Normal 2 2 2 17 3 5 5" xfId="15767" xr:uid="{00000000-0005-0000-0000-0000883A0000}"/>
    <cellStyle name="Normal 2 2 2 17 3 5 6" xfId="15768" xr:uid="{00000000-0005-0000-0000-0000893A0000}"/>
    <cellStyle name="Normal 2 2 2 17 3 6" xfId="15769" xr:uid="{00000000-0005-0000-0000-00008A3A0000}"/>
    <cellStyle name="Normal 2 2 2 17 3 6 2" xfId="15770" xr:uid="{00000000-0005-0000-0000-00008B3A0000}"/>
    <cellStyle name="Normal 2 2 2 17 3 6 3" xfId="15771" xr:uid="{00000000-0005-0000-0000-00008C3A0000}"/>
    <cellStyle name="Normal 2 2 2 17 3 6 4" xfId="15772" xr:uid="{00000000-0005-0000-0000-00008D3A0000}"/>
    <cellStyle name="Normal 2 2 2 17 3 6 5" xfId="15773" xr:uid="{00000000-0005-0000-0000-00008E3A0000}"/>
    <cellStyle name="Normal 2 2 2 17 3 6 6" xfId="15774" xr:uid="{00000000-0005-0000-0000-00008F3A0000}"/>
    <cellStyle name="Normal 2 2 2 17 3 7" xfId="15775" xr:uid="{00000000-0005-0000-0000-0000903A0000}"/>
    <cellStyle name="Normal 2 2 2 17 3 7 2" xfId="15776" xr:uid="{00000000-0005-0000-0000-0000913A0000}"/>
    <cellStyle name="Normal 2 2 2 17 3 7 3" xfId="15777" xr:uid="{00000000-0005-0000-0000-0000923A0000}"/>
    <cellStyle name="Normal 2 2 2 17 3 7 4" xfId="15778" xr:uid="{00000000-0005-0000-0000-0000933A0000}"/>
    <cellStyle name="Normal 2 2 2 17 3 7 5" xfId="15779" xr:uid="{00000000-0005-0000-0000-0000943A0000}"/>
    <cellStyle name="Normal 2 2 2 17 3 7 6" xfId="15780" xr:uid="{00000000-0005-0000-0000-0000953A0000}"/>
    <cellStyle name="Normal 2 2 2 17 3 8" xfId="15781" xr:uid="{00000000-0005-0000-0000-0000963A0000}"/>
    <cellStyle name="Normal 2 2 2 17 3 8 2" xfId="15782" xr:uid="{00000000-0005-0000-0000-0000973A0000}"/>
    <cellStyle name="Normal 2 2 2 17 3 8 3" xfId="15783" xr:uid="{00000000-0005-0000-0000-0000983A0000}"/>
    <cellStyle name="Normal 2 2 2 17 3 8 4" xfId="15784" xr:uid="{00000000-0005-0000-0000-0000993A0000}"/>
    <cellStyle name="Normal 2 2 2 17 3 8 5" xfId="15785" xr:uid="{00000000-0005-0000-0000-00009A3A0000}"/>
    <cellStyle name="Normal 2 2 2 17 3 8 6" xfId="15786" xr:uid="{00000000-0005-0000-0000-00009B3A0000}"/>
    <cellStyle name="Normal 2 2 2 17 3 9" xfId="15787" xr:uid="{00000000-0005-0000-0000-00009C3A0000}"/>
    <cellStyle name="Normal 2 2 2 17 30" xfId="15788" xr:uid="{00000000-0005-0000-0000-00009D3A0000}"/>
    <cellStyle name="Normal 2 2 2 17 31" xfId="15789" xr:uid="{00000000-0005-0000-0000-00009E3A0000}"/>
    <cellStyle name="Normal 2 2 2 17 32" xfId="15790" xr:uid="{00000000-0005-0000-0000-00009F3A0000}"/>
    <cellStyle name="Normal 2 2 2 17 33" xfId="15791" xr:uid="{00000000-0005-0000-0000-0000A03A0000}"/>
    <cellStyle name="Normal 2 2 2 17 34" xfId="15792" xr:uid="{00000000-0005-0000-0000-0000A13A0000}"/>
    <cellStyle name="Normal 2 2 2 17 35" xfId="15793" xr:uid="{00000000-0005-0000-0000-0000A23A0000}"/>
    <cellStyle name="Normal 2 2 2 17 36" xfId="15794" xr:uid="{00000000-0005-0000-0000-0000A33A0000}"/>
    <cellStyle name="Normal 2 2 2 17 37" xfId="15795" xr:uid="{00000000-0005-0000-0000-0000A43A0000}"/>
    <cellStyle name="Normal 2 2 2 17 38" xfId="15796" xr:uid="{00000000-0005-0000-0000-0000A53A0000}"/>
    <cellStyle name="Normal 2 2 2 17 39" xfId="15797" xr:uid="{00000000-0005-0000-0000-0000A63A0000}"/>
    <cellStyle name="Normal 2 2 2 17 4" xfId="15798" xr:uid="{00000000-0005-0000-0000-0000A73A0000}"/>
    <cellStyle name="Normal 2 2 2 17 4 10" xfId="15799" xr:uid="{00000000-0005-0000-0000-0000A83A0000}"/>
    <cellStyle name="Normal 2 2 2 17 4 11" xfId="15800" xr:uid="{00000000-0005-0000-0000-0000A93A0000}"/>
    <cellStyle name="Normal 2 2 2 17 4 12" xfId="15801" xr:uid="{00000000-0005-0000-0000-0000AA3A0000}"/>
    <cellStyle name="Normal 2 2 2 17 4 13" xfId="15802" xr:uid="{00000000-0005-0000-0000-0000AB3A0000}"/>
    <cellStyle name="Normal 2 2 2 17 4 2" xfId="15803" xr:uid="{00000000-0005-0000-0000-0000AC3A0000}"/>
    <cellStyle name="Normal 2 2 2 17 4 2 2" xfId="15804" xr:uid="{00000000-0005-0000-0000-0000AD3A0000}"/>
    <cellStyle name="Normal 2 2 2 17 4 2 3" xfId="15805" xr:uid="{00000000-0005-0000-0000-0000AE3A0000}"/>
    <cellStyle name="Normal 2 2 2 17 4 2 4" xfId="15806" xr:uid="{00000000-0005-0000-0000-0000AF3A0000}"/>
    <cellStyle name="Normal 2 2 2 17 4 2 5" xfId="15807" xr:uid="{00000000-0005-0000-0000-0000B03A0000}"/>
    <cellStyle name="Normal 2 2 2 17 4 2 6" xfId="15808" xr:uid="{00000000-0005-0000-0000-0000B13A0000}"/>
    <cellStyle name="Normal 2 2 2 17 4 3" xfId="15809" xr:uid="{00000000-0005-0000-0000-0000B23A0000}"/>
    <cellStyle name="Normal 2 2 2 17 4 3 2" xfId="15810" xr:uid="{00000000-0005-0000-0000-0000B33A0000}"/>
    <cellStyle name="Normal 2 2 2 17 4 3 3" xfId="15811" xr:uid="{00000000-0005-0000-0000-0000B43A0000}"/>
    <cellStyle name="Normal 2 2 2 17 4 3 4" xfId="15812" xr:uid="{00000000-0005-0000-0000-0000B53A0000}"/>
    <cellStyle name="Normal 2 2 2 17 4 3 5" xfId="15813" xr:uid="{00000000-0005-0000-0000-0000B63A0000}"/>
    <cellStyle name="Normal 2 2 2 17 4 3 6" xfId="15814" xr:uid="{00000000-0005-0000-0000-0000B73A0000}"/>
    <cellStyle name="Normal 2 2 2 17 4 4" xfId="15815" xr:uid="{00000000-0005-0000-0000-0000B83A0000}"/>
    <cellStyle name="Normal 2 2 2 17 4 4 2" xfId="15816" xr:uid="{00000000-0005-0000-0000-0000B93A0000}"/>
    <cellStyle name="Normal 2 2 2 17 4 4 3" xfId="15817" xr:uid="{00000000-0005-0000-0000-0000BA3A0000}"/>
    <cellStyle name="Normal 2 2 2 17 4 4 4" xfId="15818" xr:uid="{00000000-0005-0000-0000-0000BB3A0000}"/>
    <cellStyle name="Normal 2 2 2 17 4 4 5" xfId="15819" xr:uid="{00000000-0005-0000-0000-0000BC3A0000}"/>
    <cellStyle name="Normal 2 2 2 17 4 4 6" xfId="15820" xr:uid="{00000000-0005-0000-0000-0000BD3A0000}"/>
    <cellStyle name="Normal 2 2 2 17 4 5" xfId="15821" xr:uid="{00000000-0005-0000-0000-0000BE3A0000}"/>
    <cellStyle name="Normal 2 2 2 17 4 5 2" xfId="15822" xr:uid="{00000000-0005-0000-0000-0000BF3A0000}"/>
    <cellStyle name="Normal 2 2 2 17 4 5 3" xfId="15823" xr:uid="{00000000-0005-0000-0000-0000C03A0000}"/>
    <cellStyle name="Normal 2 2 2 17 4 5 4" xfId="15824" xr:uid="{00000000-0005-0000-0000-0000C13A0000}"/>
    <cellStyle name="Normal 2 2 2 17 4 5 5" xfId="15825" xr:uid="{00000000-0005-0000-0000-0000C23A0000}"/>
    <cellStyle name="Normal 2 2 2 17 4 5 6" xfId="15826" xr:uid="{00000000-0005-0000-0000-0000C33A0000}"/>
    <cellStyle name="Normal 2 2 2 17 4 6" xfId="15827" xr:uid="{00000000-0005-0000-0000-0000C43A0000}"/>
    <cellStyle name="Normal 2 2 2 17 4 6 2" xfId="15828" xr:uid="{00000000-0005-0000-0000-0000C53A0000}"/>
    <cellStyle name="Normal 2 2 2 17 4 6 3" xfId="15829" xr:uid="{00000000-0005-0000-0000-0000C63A0000}"/>
    <cellStyle name="Normal 2 2 2 17 4 6 4" xfId="15830" xr:uid="{00000000-0005-0000-0000-0000C73A0000}"/>
    <cellStyle name="Normal 2 2 2 17 4 6 5" xfId="15831" xr:uid="{00000000-0005-0000-0000-0000C83A0000}"/>
    <cellStyle name="Normal 2 2 2 17 4 6 6" xfId="15832" xr:uid="{00000000-0005-0000-0000-0000C93A0000}"/>
    <cellStyle name="Normal 2 2 2 17 4 7" xfId="15833" xr:uid="{00000000-0005-0000-0000-0000CA3A0000}"/>
    <cellStyle name="Normal 2 2 2 17 4 7 2" xfId="15834" xr:uid="{00000000-0005-0000-0000-0000CB3A0000}"/>
    <cellStyle name="Normal 2 2 2 17 4 7 3" xfId="15835" xr:uid="{00000000-0005-0000-0000-0000CC3A0000}"/>
    <cellStyle name="Normal 2 2 2 17 4 7 4" xfId="15836" xr:uid="{00000000-0005-0000-0000-0000CD3A0000}"/>
    <cellStyle name="Normal 2 2 2 17 4 7 5" xfId="15837" xr:uid="{00000000-0005-0000-0000-0000CE3A0000}"/>
    <cellStyle name="Normal 2 2 2 17 4 7 6" xfId="15838" xr:uid="{00000000-0005-0000-0000-0000CF3A0000}"/>
    <cellStyle name="Normal 2 2 2 17 4 8" xfId="15839" xr:uid="{00000000-0005-0000-0000-0000D03A0000}"/>
    <cellStyle name="Normal 2 2 2 17 4 8 2" xfId="15840" xr:uid="{00000000-0005-0000-0000-0000D13A0000}"/>
    <cellStyle name="Normal 2 2 2 17 4 8 3" xfId="15841" xr:uid="{00000000-0005-0000-0000-0000D23A0000}"/>
    <cellStyle name="Normal 2 2 2 17 4 8 4" xfId="15842" xr:uid="{00000000-0005-0000-0000-0000D33A0000}"/>
    <cellStyle name="Normal 2 2 2 17 4 8 5" xfId="15843" xr:uid="{00000000-0005-0000-0000-0000D43A0000}"/>
    <cellStyle name="Normal 2 2 2 17 4 8 6" xfId="15844" xr:uid="{00000000-0005-0000-0000-0000D53A0000}"/>
    <cellStyle name="Normal 2 2 2 17 4 9" xfId="15845" xr:uid="{00000000-0005-0000-0000-0000D63A0000}"/>
    <cellStyle name="Normal 2 2 2 17 40" xfId="15846" xr:uid="{00000000-0005-0000-0000-0000D73A0000}"/>
    <cellStyle name="Normal 2 2 2 17 41" xfId="15847" xr:uid="{00000000-0005-0000-0000-0000D83A0000}"/>
    <cellStyle name="Normal 2 2 2 17 42" xfId="15848" xr:uid="{00000000-0005-0000-0000-0000D93A0000}"/>
    <cellStyle name="Normal 2 2 2 17 43" xfId="15849" xr:uid="{00000000-0005-0000-0000-0000DA3A0000}"/>
    <cellStyle name="Normal 2 2 2 17 44" xfId="15850" xr:uid="{00000000-0005-0000-0000-0000DB3A0000}"/>
    <cellStyle name="Normal 2 2 2 17 45" xfId="15851" xr:uid="{00000000-0005-0000-0000-0000DC3A0000}"/>
    <cellStyle name="Normal 2 2 2 17 46" xfId="15852" xr:uid="{00000000-0005-0000-0000-0000DD3A0000}"/>
    <cellStyle name="Normal 2 2 2 17 47" xfId="15853" xr:uid="{00000000-0005-0000-0000-0000DE3A0000}"/>
    <cellStyle name="Normal 2 2 2 17 48" xfId="15854" xr:uid="{00000000-0005-0000-0000-0000DF3A0000}"/>
    <cellStyle name="Normal 2 2 2 17 5" xfId="15855" xr:uid="{00000000-0005-0000-0000-0000E03A0000}"/>
    <cellStyle name="Normal 2 2 2 17 5 10" xfId="15856" xr:uid="{00000000-0005-0000-0000-0000E13A0000}"/>
    <cellStyle name="Normal 2 2 2 17 5 11" xfId="15857" xr:uid="{00000000-0005-0000-0000-0000E23A0000}"/>
    <cellStyle name="Normal 2 2 2 17 5 12" xfId="15858" xr:uid="{00000000-0005-0000-0000-0000E33A0000}"/>
    <cellStyle name="Normal 2 2 2 17 5 13" xfId="15859" xr:uid="{00000000-0005-0000-0000-0000E43A0000}"/>
    <cellStyle name="Normal 2 2 2 17 5 2" xfId="15860" xr:uid="{00000000-0005-0000-0000-0000E53A0000}"/>
    <cellStyle name="Normal 2 2 2 17 5 2 2" xfId="15861" xr:uid="{00000000-0005-0000-0000-0000E63A0000}"/>
    <cellStyle name="Normal 2 2 2 17 5 2 3" xfId="15862" xr:uid="{00000000-0005-0000-0000-0000E73A0000}"/>
    <cellStyle name="Normal 2 2 2 17 5 2 4" xfId="15863" xr:uid="{00000000-0005-0000-0000-0000E83A0000}"/>
    <cellStyle name="Normal 2 2 2 17 5 2 5" xfId="15864" xr:uid="{00000000-0005-0000-0000-0000E93A0000}"/>
    <cellStyle name="Normal 2 2 2 17 5 2 6" xfId="15865" xr:uid="{00000000-0005-0000-0000-0000EA3A0000}"/>
    <cellStyle name="Normal 2 2 2 17 5 3" xfId="15866" xr:uid="{00000000-0005-0000-0000-0000EB3A0000}"/>
    <cellStyle name="Normal 2 2 2 17 5 3 2" xfId="15867" xr:uid="{00000000-0005-0000-0000-0000EC3A0000}"/>
    <cellStyle name="Normal 2 2 2 17 5 3 3" xfId="15868" xr:uid="{00000000-0005-0000-0000-0000ED3A0000}"/>
    <cellStyle name="Normal 2 2 2 17 5 3 4" xfId="15869" xr:uid="{00000000-0005-0000-0000-0000EE3A0000}"/>
    <cellStyle name="Normal 2 2 2 17 5 3 5" xfId="15870" xr:uid="{00000000-0005-0000-0000-0000EF3A0000}"/>
    <cellStyle name="Normal 2 2 2 17 5 3 6" xfId="15871" xr:uid="{00000000-0005-0000-0000-0000F03A0000}"/>
    <cellStyle name="Normal 2 2 2 17 5 4" xfId="15872" xr:uid="{00000000-0005-0000-0000-0000F13A0000}"/>
    <cellStyle name="Normal 2 2 2 17 5 4 2" xfId="15873" xr:uid="{00000000-0005-0000-0000-0000F23A0000}"/>
    <cellStyle name="Normal 2 2 2 17 5 4 3" xfId="15874" xr:uid="{00000000-0005-0000-0000-0000F33A0000}"/>
    <cellStyle name="Normal 2 2 2 17 5 4 4" xfId="15875" xr:uid="{00000000-0005-0000-0000-0000F43A0000}"/>
    <cellStyle name="Normal 2 2 2 17 5 4 5" xfId="15876" xr:uid="{00000000-0005-0000-0000-0000F53A0000}"/>
    <cellStyle name="Normal 2 2 2 17 5 4 6" xfId="15877" xr:uid="{00000000-0005-0000-0000-0000F63A0000}"/>
    <cellStyle name="Normal 2 2 2 17 5 5" xfId="15878" xr:uid="{00000000-0005-0000-0000-0000F73A0000}"/>
    <cellStyle name="Normal 2 2 2 17 5 5 2" xfId="15879" xr:uid="{00000000-0005-0000-0000-0000F83A0000}"/>
    <cellStyle name="Normal 2 2 2 17 5 5 3" xfId="15880" xr:uid="{00000000-0005-0000-0000-0000F93A0000}"/>
    <cellStyle name="Normal 2 2 2 17 5 5 4" xfId="15881" xr:uid="{00000000-0005-0000-0000-0000FA3A0000}"/>
    <cellStyle name="Normal 2 2 2 17 5 5 5" xfId="15882" xr:uid="{00000000-0005-0000-0000-0000FB3A0000}"/>
    <cellStyle name="Normal 2 2 2 17 5 5 6" xfId="15883" xr:uid="{00000000-0005-0000-0000-0000FC3A0000}"/>
    <cellStyle name="Normal 2 2 2 17 5 6" xfId="15884" xr:uid="{00000000-0005-0000-0000-0000FD3A0000}"/>
    <cellStyle name="Normal 2 2 2 17 5 6 2" xfId="15885" xr:uid="{00000000-0005-0000-0000-0000FE3A0000}"/>
    <cellStyle name="Normal 2 2 2 17 5 6 3" xfId="15886" xr:uid="{00000000-0005-0000-0000-0000FF3A0000}"/>
    <cellStyle name="Normal 2 2 2 17 5 6 4" xfId="15887" xr:uid="{00000000-0005-0000-0000-0000003B0000}"/>
    <cellStyle name="Normal 2 2 2 17 5 6 5" xfId="15888" xr:uid="{00000000-0005-0000-0000-0000013B0000}"/>
    <cellStyle name="Normal 2 2 2 17 5 6 6" xfId="15889" xr:uid="{00000000-0005-0000-0000-0000023B0000}"/>
    <cellStyle name="Normal 2 2 2 17 5 7" xfId="15890" xr:uid="{00000000-0005-0000-0000-0000033B0000}"/>
    <cellStyle name="Normal 2 2 2 17 5 7 2" xfId="15891" xr:uid="{00000000-0005-0000-0000-0000043B0000}"/>
    <cellStyle name="Normal 2 2 2 17 5 7 3" xfId="15892" xr:uid="{00000000-0005-0000-0000-0000053B0000}"/>
    <cellStyle name="Normal 2 2 2 17 5 7 4" xfId="15893" xr:uid="{00000000-0005-0000-0000-0000063B0000}"/>
    <cellStyle name="Normal 2 2 2 17 5 7 5" xfId="15894" xr:uid="{00000000-0005-0000-0000-0000073B0000}"/>
    <cellStyle name="Normal 2 2 2 17 5 7 6" xfId="15895" xr:uid="{00000000-0005-0000-0000-0000083B0000}"/>
    <cellStyle name="Normal 2 2 2 17 5 8" xfId="15896" xr:uid="{00000000-0005-0000-0000-0000093B0000}"/>
    <cellStyle name="Normal 2 2 2 17 5 8 2" xfId="15897" xr:uid="{00000000-0005-0000-0000-00000A3B0000}"/>
    <cellStyle name="Normal 2 2 2 17 5 8 3" xfId="15898" xr:uid="{00000000-0005-0000-0000-00000B3B0000}"/>
    <cellStyle name="Normal 2 2 2 17 5 8 4" xfId="15899" xr:uid="{00000000-0005-0000-0000-00000C3B0000}"/>
    <cellStyle name="Normal 2 2 2 17 5 8 5" xfId="15900" xr:uid="{00000000-0005-0000-0000-00000D3B0000}"/>
    <cellStyle name="Normal 2 2 2 17 5 8 6" xfId="15901" xr:uid="{00000000-0005-0000-0000-00000E3B0000}"/>
    <cellStyle name="Normal 2 2 2 17 5 9" xfId="15902" xr:uid="{00000000-0005-0000-0000-00000F3B0000}"/>
    <cellStyle name="Normal 2 2 2 17 6" xfId="15903" xr:uid="{00000000-0005-0000-0000-0000103B0000}"/>
    <cellStyle name="Normal 2 2 2 17 6 10" xfId="15904" xr:uid="{00000000-0005-0000-0000-0000113B0000}"/>
    <cellStyle name="Normal 2 2 2 17 6 11" xfId="15905" xr:uid="{00000000-0005-0000-0000-0000123B0000}"/>
    <cellStyle name="Normal 2 2 2 17 6 12" xfId="15906" xr:uid="{00000000-0005-0000-0000-0000133B0000}"/>
    <cellStyle name="Normal 2 2 2 17 6 13" xfId="15907" xr:uid="{00000000-0005-0000-0000-0000143B0000}"/>
    <cellStyle name="Normal 2 2 2 17 6 2" xfId="15908" xr:uid="{00000000-0005-0000-0000-0000153B0000}"/>
    <cellStyle name="Normal 2 2 2 17 6 2 2" xfId="15909" xr:uid="{00000000-0005-0000-0000-0000163B0000}"/>
    <cellStyle name="Normal 2 2 2 17 6 2 3" xfId="15910" xr:uid="{00000000-0005-0000-0000-0000173B0000}"/>
    <cellStyle name="Normal 2 2 2 17 6 2 4" xfId="15911" xr:uid="{00000000-0005-0000-0000-0000183B0000}"/>
    <cellStyle name="Normal 2 2 2 17 6 2 5" xfId="15912" xr:uid="{00000000-0005-0000-0000-0000193B0000}"/>
    <cellStyle name="Normal 2 2 2 17 6 2 6" xfId="15913" xr:uid="{00000000-0005-0000-0000-00001A3B0000}"/>
    <cellStyle name="Normal 2 2 2 17 6 3" xfId="15914" xr:uid="{00000000-0005-0000-0000-00001B3B0000}"/>
    <cellStyle name="Normal 2 2 2 17 6 3 2" xfId="15915" xr:uid="{00000000-0005-0000-0000-00001C3B0000}"/>
    <cellStyle name="Normal 2 2 2 17 6 3 3" xfId="15916" xr:uid="{00000000-0005-0000-0000-00001D3B0000}"/>
    <cellStyle name="Normal 2 2 2 17 6 3 4" xfId="15917" xr:uid="{00000000-0005-0000-0000-00001E3B0000}"/>
    <cellStyle name="Normal 2 2 2 17 6 3 5" xfId="15918" xr:uid="{00000000-0005-0000-0000-00001F3B0000}"/>
    <cellStyle name="Normal 2 2 2 17 6 3 6" xfId="15919" xr:uid="{00000000-0005-0000-0000-0000203B0000}"/>
    <cellStyle name="Normal 2 2 2 17 6 4" xfId="15920" xr:uid="{00000000-0005-0000-0000-0000213B0000}"/>
    <cellStyle name="Normal 2 2 2 17 6 4 2" xfId="15921" xr:uid="{00000000-0005-0000-0000-0000223B0000}"/>
    <cellStyle name="Normal 2 2 2 17 6 4 3" xfId="15922" xr:uid="{00000000-0005-0000-0000-0000233B0000}"/>
    <cellStyle name="Normal 2 2 2 17 6 4 4" xfId="15923" xr:uid="{00000000-0005-0000-0000-0000243B0000}"/>
    <cellStyle name="Normal 2 2 2 17 6 4 5" xfId="15924" xr:uid="{00000000-0005-0000-0000-0000253B0000}"/>
    <cellStyle name="Normal 2 2 2 17 6 4 6" xfId="15925" xr:uid="{00000000-0005-0000-0000-0000263B0000}"/>
    <cellStyle name="Normal 2 2 2 17 6 5" xfId="15926" xr:uid="{00000000-0005-0000-0000-0000273B0000}"/>
    <cellStyle name="Normal 2 2 2 17 6 5 2" xfId="15927" xr:uid="{00000000-0005-0000-0000-0000283B0000}"/>
    <cellStyle name="Normal 2 2 2 17 6 5 3" xfId="15928" xr:uid="{00000000-0005-0000-0000-0000293B0000}"/>
    <cellStyle name="Normal 2 2 2 17 6 5 4" xfId="15929" xr:uid="{00000000-0005-0000-0000-00002A3B0000}"/>
    <cellStyle name="Normal 2 2 2 17 6 5 5" xfId="15930" xr:uid="{00000000-0005-0000-0000-00002B3B0000}"/>
    <cellStyle name="Normal 2 2 2 17 6 5 6" xfId="15931" xr:uid="{00000000-0005-0000-0000-00002C3B0000}"/>
    <cellStyle name="Normal 2 2 2 17 6 6" xfId="15932" xr:uid="{00000000-0005-0000-0000-00002D3B0000}"/>
    <cellStyle name="Normal 2 2 2 17 6 6 2" xfId="15933" xr:uid="{00000000-0005-0000-0000-00002E3B0000}"/>
    <cellStyle name="Normal 2 2 2 17 6 6 3" xfId="15934" xr:uid="{00000000-0005-0000-0000-00002F3B0000}"/>
    <cellStyle name="Normal 2 2 2 17 6 6 4" xfId="15935" xr:uid="{00000000-0005-0000-0000-0000303B0000}"/>
    <cellStyle name="Normal 2 2 2 17 6 6 5" xfId="15936" xr:uid="{00000000-0005-0000-0000-0000313B0000}"/>
    <cellStyle name="Normal 2 2 2 17 6 6 6" xfId="15937" xr:uid="{00000000-0005-0000-0000-0000323B0000}"/>
    <cellStyle name="Normal 2 2 2 17 6 7" xfId="15938" xr:uid="{00000000-0005-0000-0000-0000333B0000}"/>
    <cellStyle name="Normal 2 2 2 17 6 7 2" xfId="15939" xr:uid="{00000000-0005-0000-0000-0000343B0000}"/>
    <cellStyle name="Normal 2 2 2 17 6 7 3" xfId="15940" xr:uid="{00000000-0005-0000-0000-0000353B0000}"/>
    <cellStyle name="Normal 2 2 2 17 6 7 4" xfId="15941" xr:uid="{00000000-0005-0000-0000-0000363B0000}"/>
    <cellStyle name="Normal 2 2 2 17 6 7 5" xfId="15942" xr:uid="{00000000-0005-0000-0000-0000373B0000}"/>
    <cellStyle name="Normal 2 2 2 17 6 7 6" xfId="15943" xr:uid="{00000000-0005-0000-0000-0000383B0000}"/>
    <cellStyle name="Normal 2 2 2 17 6 8" xfId="15944" xr:uid="{00000000-0005-0000-0000-0000393B0000}"/>
    <cellStyle name="Normal 2 2 2 17 6 8 2" xfId="15945" xr:uid="{00000000-0005-0000-0000-00003A3B0000}"/>
    <cellStyle name="Normal 2 2 2 17 6 8 3" xfId="15946" xr:uid="{00000000-0005-0000-0000-00003B3B0000}"/>
    <cellStyle name="Normal 2 2 2 17 6 8 4" xfId="15947" xr:uid="{00000000-0005-0000-0000-00003C3B0000}"/>
    <cellStyle name="Normal 2 2 2 17 6 8 5" xfId="15948" xr:uid="{00000000-0005-0000-0000-00003D3B0000}"/>
    <cellStyle name="Normal 2 2 2 17 6 8 6" xfId="15949" xr:uid="{00000000-0005-0000-0000-00003E3B0000}"/>
    <cellStyle name="Normal 2 2 2 17 6 9" xfId="15950" xr:uid="{00000000-0005-0000-0000-00003F3B0000}"/>
    <cellStyle name="Normal 2 2 2 17 7" xfId="15951" xr:uid="{00000000-0005-0000-0000-0000403B0000}"/>
    <cellStyle name="Normal 2 2 2 17 7 10" xfId="15952" xr:uid="{00000000-0005-0000-0000-0000413B0000}"/>
    <cellStyle name="Normal 2 2 2 17 7 11" xfId="15953" xr:uid="{00000000-0005-0000-0000-0000423B0000}"/>
    <cellStyle name="Normal 2 2 2 17 7 12" xfId="15954" xr:uid="{00000000-0005-0000-0000-0000433B0000}"/>
    <cellStyle name="Normal 2 2 2 17 7 13" xfId="15955" xr:uid="{00000000-0005-0000-0000-0000443B0000}"/>
    <cellStyle name="Normal 2 2 2 17 7 2" xfId="15956" xr:uid="{00000000-0005-0000-0000-0000453B0000}"/>
    <cellStyle name="Normal 2 2 2 17 7 2 2" xfId="15957" xr:uid="{00000000-0005-0000-0000-0000463B0000}"/>
    <cellStyle name="Normal 2 2 2 17 7 2 3" xfId="15958" xr:uid="{00000000-0005-0000-0000-0000473B0000}"/>
    <cellStyle name="Normal 2 2 2 17 7 2 4" xfId="15959" xr:uid="{00000000-0005-0000-0000-0000483B0000}"/>
    <cellStyle name="Normal 2 2 2 17 7 2 5" xfId="15960" xr:uid="{00000000-0005-0000-0000-0000493B0000}"/>
    <cellStyle name="Normal 2 2 2 17 7 2 6" xfId="15961" xr:uid="{00000000-0005-0000-0000-00004A3B0000}"/>
    <cellStyle name="Normal 2 2 2 17 7 3" xfId="15962" xr:uid="{00000000-0005-0000-0000-00004B3B0000}"/>
    <cellStyle name="Normal 2 2 2 17 7 3 2" xfId="15963" xr:uid="{00000000-0005-0000-0000-00004C3B0000}"/>
    <cellStyle name="Normal 2 2 2 17 7 3 3" xfId="15964" xr:uid="{00000000-0005-0000-0000-00004D3B0000}"/>
    <cellStyle name="Normal 2 2 2 17 7 3 4" xfId="15965" xr:uid="{00000000-0005-0000-0000-00004E3B0000}"/>
    <cellStyle name="Normal 2 2 2 17 7 3 5" xfId="15966" xr:uid="{00000000-0005-0000-0000-00004F3B0000}"/>
    <cellStyle name="Normal 2 2 2 17 7 3 6" xfId="15967" xr:uid="{00000000-0005-0000-0000-0000503B0000}"/>
    <cellStyle name="Normal 2 2 2 17 7 4" xfId="15968" xr:uid="{00000000-0005-0000-0000-0000513B0000}"/>
    <cellStyle name="Normal 2 2 2 17 7 4 2" xfId="15969" xr:uid="{00000000-0005-0000-0000-0000523B0000}"/>
    <cellStyle name="Normal 2 2 2 17 7 4 3" xfId="15970" xr:uid="{00000000-0005-0000-0000-0000533B0000}"/>
    <cellStyle name="Normal 2 2 2 17 7 4 4" xfId="15971" xr:uid="{00000000-0005-0000-0000-0000543B0000}"/>
    <cellStyle name="Normal 2 2 2 17 7 4 5" xfId="15972" xr:uid="{00000000-0005-0000-0000-0000553B0000}"/>
    <cellStyle name="Normal 2 2 2 17 7 4 6" xfId="15973" xr:uid="{00000000-0005-0000-0000-0000563B0000}"/>
    <cellStyle name="Normal 2 2 2 17 7 5" xfId="15974" xr:uid="{00000000-0005-0000-0000-0000573B0000}"/>
    <cellStyle name="Normal 2 2 2 17 7 5 2" xfId="15975" xr:uid="{00000000-0005-0000-0000-0000583B0000}"/>
    <cellStyle name="Normal 2 2 2 17 7 5 3" xfId="15976" xr:uid="{00000000-0005-0000-0000-0000593B0000}"/>
    <cellStyle name="Normal 2 2 2 17 7 5 4" xfId="15977" xr:uid="{00000000-0005-0000-0000-00005A3B0000}"/>
    <cellStyle name="Normal 2 2 2 17 7 5 5" xfId="15978" xr:uid="{00000000-0005-0000-0000-00005B3B0000}"/>
    <cellStyle name="Normal 2 2 2 17 7 5 6" xfId="15979" xr:uid="{00000000-0005-0000-0000-00005C3B0000}"/>
    <cellStyle name="Normal 2 2 2 17 7 6" xfId="15980" xr:uid="{00000000-0005-0000-0000-00005D3B0000}"/>
    <cellStyle name="Normal 2 2 2 17 7 6 2" xfId="15981" xr:uid="{00000000-0005-0000-0000-00005E3B0000}"/>
    <cellStyle name="Normal 2 2 2 17 7 6 3" xfId="15982" xr:uid="{00000000-0005-0000-0000-00005F3B0000}"/>
    <cellStyle name="Normal 2 2 2 17 7 6 4" xfId="15983" xr:uid="{00000000-0005-0000-0000-0000603B0000}"/>
    <cellStyle name="Normal 2 2 2 17 7 6 5" xfId="15984" xr:uid="{00000000-0005-0000-0000-0000613B0000}"/>
    <cellStyle name="Normal 2 2 2 17 7 6 6" xfId="15985" xr:uid="{00000000-0005-0000-0000-0000623B0000}"/>
    <cellStyle name="Normal 2 2 2 17 7 7" xfId="15986" xr:uid="{00000000-0005-0000-0000-0000633B0000}"/>
    <cellStyle name="Normal 2 2 2 17 7 7 2" xfId="15987" xr:uid="{00000000-0005-0000-0000-0000643B0000}"/>
    <cellStyle name="Normal 2 2 2 17 7 7 3" xfId="15988" xr:uid="{00000000-0005-0000-0000-0000653B0000}"/>
    <cellStyle name="Normal 2 2 2 17 7 7 4" xfId="15989" xr:uid="{00000000-0005-0000-0000-0000663B0000}"/>
    <cellStyle name="Normal 2 2 2 17 7 7 5" xfId="15990" xr:uid="{00000000-0005-0000-0000-0000673B0000}"/>
    <cellStyle name="Normal 2 2 2 17 7 7 6" xfId="15991" xr:uid="{00000000-0005-0000-0000-0000683B0000}"/>
    <cellStyle name="Normal 2 2 2 17 7 8" xfId="15992" xr:uid="{00000000-0005-0000-0000-0000693B0000}"/>
    <cellStyle name="Normal 2 2 2 17 7 8 2" xfId="15993" xr:uid="{00000000-0005-0000-0000-00006A3B0000}"/>
    <cellStyle name="Normal 2 2 2 17 7 8 3" xfId="15994" xr:uid="{00000000-0005-0000-0000-00006B3B0000}"/>
    <cellStyle name="Normal 2 2 2 17 7 8 4" xfId="15995" xr:uid="{00000000-0005-0000-0000-00006C3B0000}"/>
    <cellStyle name="Normal 2 2 2 17 7 8 5" xfId="15996" xr:uid="{00000000-0005-0000-0000-00006D3B0000}"/>
    <cellStyle name="Normal 2 2 2 17 7 8 6" xfId="15997" xr:uid="{00000000-0005-0000-0000-00006E3B0000}"/>
    <cellStyle name="Normal 2 2 2 17 7 9" xfId="15998" xr:uid="{00000000-0005-0000-0000-00006F3B0000}"/>
    <cellStyle name="Normal 2 2 2 17 8" xfId="15999" xr:uid="{00000000-0005-0000-0000-0000703B0000}"/>
    <cellStyle name="Normal 2 2 2 17 8 10" xfId="16000" xr:uid="{00000000-0005-0000-0000-0000713B0000}"/>
    <cellStyle name="Normal 2 2 2 17 8 11" xfId="16001" xr:uid="{00000000-0005-0000-0000-0000723B0000}"/>
    <cellStyle name="Normal 2 2 2 17 8 12" xfId="16002" xr:uid="{00000000-0005-0000-0000-0000733B0000}"/>
    <cellStyle name="Normal 2 2 2 17 8 13" xfId="16003" xr:uid="{00000000-0005-0000-0000-0000743B0000}"/>
    <cellStyle name="Normal 2 2 2 17 8 2" xfId="16004" xr:uid="{00000000-0005-0000-0000-0000753B0000}"/>
    <cellStyle name="Normal 2 2 2 17 8 2 2" xfId="16005" xr:uid="{00000000-0005-0000-0000-0000763B0000}"/>
    <cellStyle name="Normal 2 2 2 17 8 2 3" xfId="16006" xr:uid="{00000000-0005-0000-0000-0000773B0000}"/>
    <cellStyle name="Normal 2 2 2 17 8 2 4" xfId="16007" xr:uid="{00000000-0005-0000-0000-0000783B0000}"/>
    <cellStyle name="Normal 2 2 2 17 8 2 5" xfId="16008" xr:uid="{00000000-0005-0000-0000-0000793B0000}"/>
    <cellStyle name="Normal 2 2 2 17 8 2 6" xfId="16009" xr:uid="{00000000-0005-0000-0000-00007A3B0000}"/>
    <cellStyle name="Normal 2 2 2 17 8 3" xfId="16010" xr:uid="{00000000-0005-0000-0000-00007B3B0000}"/>
    <cellStyle name="Normal 2 2 2 17 8 3 2" xfId="16011" xr:uid="{00000000-0005-0000-0000-00007C3B0000}"/>
    <cellStyle name="Normal 2 2 2 17 8 3 3" xfId="16012" xr:uid="{00000000-0005-0000-0000-00007D3B0000}"/>
    <cellStyle name="Normal 2 2 2 17 8 3 4" xfId="16013" xr:uid="{00000000-0005-0000-0000-00007E3B0000}"/>
    <cellStyle name="Normal 2 2 2 17 8 3 5" xfId="16014" xr:uid="{00000000-0005-0000-0000-00007F3B0000}"/>
    <cellStyle name="Normal 2 2 2 17 8 3 6" xfId="16015" xr:uid="{00000000-0005-0000-0000-0000803B0000}"/>
    <cellStyle name="Normal 2 2 2 17 8 4" xfId="16016" xr:uid="{00000000-0005-0000-0000-0000813B0000}"/>
    <cellStyle name="Normal 2 2 2 17 8 4 2" xfId="16017" xr:uid="{00000000-0005-0000-0000-0000823B0000}"/>
    <cellStyle name="Normal 2 2 2 17 8 4 3" xfId="16018" xr:uid="{00000000-0005-0000-0000-0000833B0000}"/>
    <cellStyle name="Normal 2 2 2 17 8 4 4" xfId="16019" xr:uid="{00000000-0005-0000-0000-0000843B0000}"/>
    <cellStyle name="Normal 2 2 2 17 8 4 5" xfId="16020" xr:uid="{00000000-0005-0000-0000-0000853B0000}"/>
    <cellStyle name="Normal 2 2 2 17 8 4 6" xfId="16021" xr:uid="{00000000-0005-0000-0000-0000863B0000}"/>
    <cellStyle name="Normal 2 2 2 17 8 5" xfId="16022" xr:uid="{00000000-0005-0000-0000-0000873B0000}"/>
    <cellStyle name="Normal 2 2 2 17 8 5 2" xfId="16023" xr:uid="{00000000-0005-0000-0000-0000883B0000}"/>
    <cellStyle name="Normal 2 2 2 17 8 5 3" xfId="16024" xr:uid="{00000000-0005-0000-0000-0000893B0000}"/>
    <cellStyle name="Normal 2 2 2 17 8 5 4" xfId="16025" xr:uid="{00000000-0005-0000-0000-00008A3B0000}"/>
    <cellStyle name="Normal 2 2 2 17 8 5 5" xfId="16026" xr:uid="{00000000-0005-0000-0000-00008B3B0000}"/>
    <cellStyle name="Normal 2 2 2 17 8 5 6" xfId="16027" xr:uid="{00000000-0005-0000-0000-00008C3B0000}"/>
    <cellStyle name="Normal 2 2 2 17 8 6" xfId="16028" xr:uid="{00000000-0005-0000-0000-00008D3B0000}"/>
    <cellStyle name="Normal 2 2 2 17 8 6 2" xfId="16029" xr:uid="{00000000-0005-0000-0000-00008E3B0000}"/>
    <cellStyle name="Normal 2 2 2 17 8 6 3" xfId="16030" xr:uid="{00000000-0005-0000-0000-00008F3B0000}"/>
    <cellStyle name="Normal 2 2 2 17 8 6 4" xfId="16031" xr:uid="{00000000-0005-0000-0000-0000903B0000}"/>
    <cellStyle name="Normal 2 2 2 17 8 6 5" xfId="16032" xr:uid="{00000000-0005-0000-0000-0000913B0000}"/>
    <cellStyle name="Normal 2 2 2 17 8 6 6" xfId="16033" xr:uid="{00000000-0005-0000-0000-0000923B0000}"/>
    <cellStyle name="Normal 2 2 2 17 8 7" xfId="16034" xr:uid="{00000000-0005-0000-0000-0000933B0000}"/>
    <cellStyle name="Normal 2 2 2 17 8 7 2" xfId="16035" xr:uid="{00000000-0005-0000-0000-0000943B0000}"/>
    <cellStyle name="Normal 2 2 2 17 8 7 3" xfId="16036" xr:uid="{00000000-0005-0000-0000-0000953B0000}"/>
    <cellStyle name="Normal 2 2 2 17 8 7 4" xfId="16037" xr:uid="{00000000-0005-0000-0000-0000963B0000}"/>
    <cellStyle name="Normal 2 2 2 17 8 7 5" xfId="16038" xr:uid="{00000000-0005-0000-0000-0000973B0000}"/>
    <cellStyle name="Normal 2 2 2 17 8 7 6" xfId="16039" xr:uid="{00000000-0005-0000-0000-0000983B0000}"/>
    <cellStyle name="Normal 2 2 2 17 8 8" xfId="16040" xr:uid="{00000000-0005-0000-0000-0000993B0000}"/>
    <cellStyle name="Normal 2 2 2 17 8 8 2" xfId="16041" xr:uid="{00000000-0005-0000-0000-00009A3B0000}"/>
    <cellStyle name="Normal 2 2 2 17 8 8 3" xfId="16042" xr:uid="{00000000-0005-0000-0000-00009B3B0000}"/>
    <cellStyle name="Normal 2 2 2 17 8 8 4" xfId="16043" xr:uid="{00000000-0005-0000-0000-00009C3B0000}"/>
    <cellStyle name="Normal 2 2 2 17 8 8 5" xfId="16044" xr:uid="{00000000-0005-0000-0000-00009D3B0000}"/>
    <cellStyle name="Normal 2 2 2 17 8 8 6" xfId="16045" xr:uid="{00000000-0005-0000-0000-00009E3B0000}"/>
    <cellStyle name="Normal 2 2 2 17 8 9" xfId="16046" xr:uid="{00000000-0005-0000-0000-00009F3B0000}"/>
    <cellStyle name="Normal 2 2 2 17 9" xfId="16047" xr:uid="{00000000-0005-0000-0000-0000A03B0000}"/>
    <cellStyle name="Normal 2 2 2 17 9 10" xfId="16048" xr:uid="{00000000-0005-0000-0000-0000A13B0000}"/>
    <cellStyle name="Normal 2 2 2 17 9 11" xfId="16049" xr:uid="{00000000-0005-0000-0000-0000A23B0000}"/>
    <cellStyle name="Normal 2 2 2 17 9 12" xfId="16050" xr:uid="{00000000-0005-0000-0000-0000A33B0000}"/>
    <cellStyle name="Normal 2 2 2 17 9 13" xfId="16051" xr:uid="{00000000-0005-0000-0000-0000A43B0000}"/>
    <cellStyle name="Normal 2 2 2 17 9 2" xfId="16052" xr:uid="{00000000-0005-0000-0000-0000A53B0000}"/>
    <cellStyle name="Normal 2 2 2 17 9 2 2" xfId="16053" xr:uid="{00000000-0005-0000-0000-0000A63B0000}"/>
    <cellStyle name="Normal 2 2 2 17 9 2 3" xfId="16054" xr:uid="{00000000-0005-0000-0000-0000A73B0000}"/>
    <cellStyle name="Normal 2 2 2 17 9 2 4" xfId="16055" xr:uid="{00000000-0005-0000-0000-0000A83B0000}"/>
    <cellStyle name="Normal 2 2 2 17 9 2 5" xfId="16056" xr:uid="{00000000-0005-0000-0000-0000A93B0000}"/>
    <cellStyle name="Normal 2 2 2 17 9 2 6" xfId="16057" xr:uid="{00000000-0005-0000-0000-0000AA3B0000}"/>
    <cellStyle name="Normal 2 2 2 17 9 3" xfId="16058" xr:uid="{00000000-0005-0000-0000-0000AB3B0000}"/>
    <cellStyle name="Normal 2 2 2 17 9 3 2" xfId="16059" xr:uid="{00000000-0005-0000-0000-0000AC3B0000}"/>
    <cellStyle name="Normal 2 2 2 17 9 3 3" xfId="16060" xr:uid="{00000000-0005-0000-0000-0000AD3B0000}"/>
    <cellStyle name="Normal 2 2 2 17 9 3 4" xfId="16061" xr:uid="{00000000-0005-0000-0000-0000AE3B0000}"/>
    <cellStyle name="Normal 2 2 2 17 9 3 5" xfId="16062" xr:uid="{00000000-0005-0000-0000-0000AF3B0000}"/>
    <cellStyle name="Normal 2 2 2 17 9 3 6" xfId="16063" xr:uid="{00000000-0005-0000-0000-0000B03B0000}"/>
    <cellStyle name="Normal 2 2 2 17 9 4" xfId="16064" xr:uid="{00000000-0005-0000-0000-0000B13B0000}"/>
    <cellStyle name="Normal 2 2 2 17 9 4 2" xfId="16065" xr:uid="{00000000-0005-0000-0000-0000B23B0000}"/>
    <cellStyle name="Normal 2 2 2 17 9 4 3" xfId="16066" xr:uid="{00000000-0005-0000-0000-0000B33B0000}"/>
    <cellStyle name="Normal 2 2 2 17 9 4 4" xfId="16067" xr:uid="{00000000-0005-0000-0000-0000B43B0000}"/>
    <cellStyle name="Normal 2 2 2 17 9 4 5" xfId="16068" xr:uid="{00000000-0005-0000-0000-0000B53B0000}"/>
    <cellStyle name="Normal 2 2 2 17 9 4 6" xfId="16069" xr:uid="{00000000-0005-0000-0000-0000B63B0000}"/>
    <cellStyle name="Normal 2 2 2 17 9 5" xfId="16070" xr:uid="{00000000-0005-0000-0000-0000B73B0000}"/>
    <cellStyle name="Normal 2 2 2 17 9 5 2" xfId="16071" xr:uid="{00000000-0005-0000-0000-0000B83B0000}"/>
    <cellStyle name="Normal 2 2 2 17 9 5 3" xfId="16072" xr:uid="{00000000-0005-0000-0000-0000B93B0000}"/>
    <cellStyle name="Normal 2 2 2 17 9 5 4" xfId="16073" xr:uid="{00000000-0005-0000-0000-0000BA3B0000}"/>
    <cellStyle name="Normal 2 2 2 17 9 5 5" xfId="16074" xr:uid="{00000000-0005-0000-0000-0000BB3B0000}"/>
    <cellStyle name="Normal 2 2 2 17 9 5 6" xfId="16075" xr:uid="{00000000-0005-0000-0000-0000BC3B0000}"/>
    <cellStyle name="Normal 2 2 2 17 9 6" xfId="16076" xr:uid="{00000000-0005-0000-0000-0000BD3B0000}"/>
    <cellStyle name="Normal 2 2 2 17 9 6 2" xfId="16077" xr:uid="{00000000-0005-0000-0000-0000BE3B0000}"/>
    <cellStyle name="Normal 2 2 2 17 9 6 3" xfId="16078" xr:uid="{00000000-0005-0000-0000-0000BF3B0000}"/>
    <cellStyle name="Normal 2 2 2 17 9 6 4" xfId="16079" xr:uid="{00000000-0005-0000-0000-0000C03B0000}"/>
    <cellStyle name="Normal 2 2 2 17 9 6 5" xfId="16080" xr:uid="{00000000-0005-0000-0000-0000C13B0000}"/>
    <cellStyle name="Normal 2 2 2 17 9 6 6" xfId="16081" xr:uid="{00000000-0005-0000-0000-0000C23B0000}"/>
    <cellStyle name="Normal 2 2 2 17 9 7" xfId="16082" xr:uid="{00000000-0005-0000-0000-0000C33B0000}"/>
    <cellStyle name="Normal 2 2 2 17 9 7 2" xfId="16083" xr:uid="{00000000-0005-0000-0000-0000C43B0000}"/>
    <cellStyle name="Normal 2 2 2 17 9 7 3" xfId="16084" xr:uid="{00000000-0005-0000-0000-0000C53B0000}"/>
    <cellStyle name="Normal 2 2 2 17 9 7 4" xfId="16085" xr:uid="{00000000-0005-0000-0000-0000C63B0000}"/>
    <cellStyle name="Normal 2 2 2 17 9 7 5" xfId="16086" xr:uid="{00000000-0005-0000-0000-0000C73B0000}"/>
    <cellStyle name="Normal 2 2 2 17 9 7 6" xfId="16087" xr:uid="{00000000-0005-0000-0000-0000C83B0000}"/>
    <cellStyle name="Normal 2 2 2 17 9 8" xfId="16088" xr:uid="{00000000-0005-0000-0000-0000C93B0000}"/>
    <cellStyle name="Normal 2 2 2 17 9 8 2" xfId="16089" xr:uid="{00000000-0005-0000-0000-0000CA3B0000}"/>
    <cellStyle name="Normal 2 2 2 17 9 8 3" xfId="16090" xr:uid="{00000000-0005-0000-0000-0000CB3B0000}"/>
    <cellStyle name="Normal 2 2 2 17 9 8 4" xfId="16091" xr:uid="{00000000-0005-0000-0000-0000CC3B0000}"/>
    <cellStyle name="Normal 2 2 2 17 9 8 5" xfId="16092" xr:uid="{00000000-0005-0000-0000-0000CD3B0000}"/>
    <cellStyle name="Normal 2 2 2 17 9 8 6" xfId="16093" xr:uid="{00000000-0005-0000-0000-0000CE3B0000}"/>
    <cellStyle name="Normal 2 2 2 17 9 9" xfId="16094" xr:uid="{00000000-0005-0000-0000-0000CF3B0000}"/>
    <cellStyle name="Normal 2 2 2 18" xfId="16095" xr:uid="{00000000-0005-0000-0000-0000D03B0000}"/>
    <cellStyle name="Normal 2 2 2 18 10" xfId="16096" xr:uid="{00000000-0005-0000-0000-0000D13B0000}"/>
    <cellStyle name="Normal 2 2 2 18 11" xfId="16097" xr:uid="{00000000-0005-0000-0000-0000D23B0000}"/>
    <cellStyle name="Normal 2 2 2 18 12" xfId="16098" xr:uid="{00000000-0005-0000-0000-0000D33B0000}"/>
    <cellStyle name="Normal 2 2 2 18 13" xfId="16099" xr:uid="{00000000-0005-0000-0000-0000D43B0000}"/>
    <cellStyle name="Normal 2 2 2 18 14" xfId="16100" xr:uid="{00000000-0005-0000-0000-0000D53B0000}"/>
    <cellStyle name="Normal 2 2 2 18 2" xfId="16101" xr:uid="{00000000-0005-0000-0000-0000D63B0000}"/>
    <cellStyle name="Normal 2 2 2 18 2 2" xfId="16102" xr:uid="{00000000-0005-0000-0000-0000D73B0000}"/>
    <cellStyle name="Normal 2 2 2 18 2 3" xfId="16103" xr:uid="{00000000-0005-0000-0000-0000D83B0000}"/>
    <cellStyle name="Normal 2 2 2 18 2 4" xfId="16104" xr:uid="{00000000-0005-0000-0000-0000D93B0000}"/>
    <cellStyle name="Normal 2 2 2 18 2 5" xfId="16105" xr:uid="{00000000-0005-0000-0000-0000DA3B0000}"/>
    <cellStyle name="Normal 2 2 2 18 2 6" xfId="16106" xr:uid="{00000000-0005-0000-0000-0000DB3B0000}"/>
    <cellStyle name="Normal 2 2 2 18 3" xfId="16107" xr:uid="{00000000-0005-0000-0000-0000DC3B0000}"/>
    <cellStyle name="Normal 2 2 2 18 3 2" xfId="16108" xr:uid="{00000000-0005-0000-0000-0000DD3B0000}"/>
    <cellStyle name="Normal 2 2 2 18 3 3" xfId="16109" xr:uid="{00000000-0005-0000-0000-0000DE3B0000}"/>
    <cellStyle name="Normal 2 2 2 18 3 4" xfId="16110" xr:uid="{00000000-0005-0000-0000-0000DF3B0000}"/>
    <cellStyle name="Normal 2 2 2 18 3 5" xfId="16111" xr:uid="{00000000-0005-0000-0000-0000E03B0000}"/>
    <cellStyle name="Normal 2 2 2 18 3 6" xfId="16112" xr:uid="{00000000-0005-0000-0000-0000E13B0000}"/>
    <cellStyle name="Normal 2 2 2 18 4" xfId="16113" xr:uid="{00000000-0005-0000-0000-0000E23B0000}"/>
    <cellStyle name="Normal 2 2 2 18 4 2" xfId="16114" xr:uid="{00000000-0005-0000-0000-0000E33B0000}"/>
    <cellStyle name="Normal 2 2 2 18 4 3" xfId="16115" xr:uid="{00000000-0005-0000-0000-0000E43B0000}"/>
    <cellStyle name="Normal 2 2 2 18 4 4" xfId="16116" xr:uid="{00000000-0005-0000-0000-0000E53B0000}"/>
    <cellStyle name="Normal 2 2 2 18 4 5" xfId="16117" xr:uid="{00000000-0005-0000-0000-0000E63B0000}"/>
    <cellStyle name="Normal 2 2 2 18 4 6" xfId="16118" xr:uid="{00000000-0005-0000-0000-0000E73B0000}"/>
    <cellStyle name="Normal 2 2 2 18 5" xfId="16119" xr:uid="{00000000-0005-0000-0000-0000E83B0000}"/>
    <cellStyle name="Normal 2 2 2 18 5 2" xfId="16120" xr:uid="{00000000-0005-0000-0000-0000E93B0000}"/>
    <cellStyle name="Normal 2 2 2 18 5 3" xfId="16121" xr:uid="{00000000-0005-0000-0000-0000EA3B0000}"/>
    <cellStyle name="Normal 2 2 2 18 5 4" xfId="16122" xr:uid="{00000000-0005-0000-0000-0000EB3B0000}"/>
    <cellStyle name="Normal 2 2 2 18 5 5" xfId="16123" xr:uid="{00000000-0005-0000-0000-0000EC3B0000}"/>
    <cellStyle name="Normal 2 2 2 18 5 6" xfId="16124" xr:uid="{00000000-0005-0000-0000-0000ED3B0000}"/>
    <cellStyle name="Normal 2 2 2 18 6" xfId="16125" xr:uid="{00000000-0005-0000-0000-0000EE3B0000}"/>
    <cellStyle name="Normal 2 2 2 18 6 2" xfId="16126" xr:uid="{00000000-0005-0000-0000-0000EF3B0000}"/>
    <cellStyle name="Normal 2 2 2 18 6 3" xfId="16127" xr:uid="{00000000-0005-0000-0000-0000F03B0000}"/>
    <cellStyle name="Normal 2 2 2 18 6 4" xfId="16128" xr:uid="{00000000-0005-0000-0000-0000F13B0000}"/>
    <cellStyle name="Normal 2 2 2 18 6 5" xfId="16129" xr:uid="{00000000-0005-0000-0000-0000F23B0000}"/>
    <cellStyle name="Normal 2 2 2 18 6 6" xfId="16130" xr:uid="{00000000-0005-0000-0000-0000F33B0000}"/>
    <cellStyle name="Normal 2 2 2 18 7" xfId="16131" xr:uid="{00000000-0005-0000-0000-0000F43B0000}"/>
    <cellStyle name="Normal 2 2 2 18 7 2" xfId="16132" xr:uid="{00000000-0005-0000-0000-0000F53B0000}"/>
    <cellStyle name="Normal 2 2 2 18 7 3" xfId="16133" xr:uid="{00000000-0005-0000-0000-0000F63B0000}"/>
    <cellStyle name="Normal 2 2 2 18 7 4" xfId="16134" xr:uid="{00000000-0005-0000-0000-0000F73B0000}"/>
    <cellStyle name="Normal 2 2 2 18 7 5" xfId="16135" xr:uid="{00000000-0005-0000-0000-0000F83B0000}"/>
    <cellStyle name="Normal 2 2 2 18 7 6" xfId="16136" xr:uid="{00000000-0005-0000-0000-0000F93B0000}"/>
    <cellStyle name="Normal 2 2 2 18 8" xfId="16137" xr:uid="{00000000-0005-0000-0000-0000FA3B0000}"/>
    <cellStyle name="Normal 2 2 2 18 8 2" xfId="16138" xr:uid="{00000000-0005-0000-0000-0000FB3B0000}"/>
    <cellStyle name="Normal 2 2 2 18 8 3" xfId="16139" xr:uid="{00000000-0005-0000-0000-0000FC3B0000}"/>
    <cellStyle name="Normal 2 2 2 18 8 4" xfId="16140" xr:uid="{00000000-0005-0000-0000-0000FD3B0000}"/>
    <cellStyle name="Normal 2 2 2 18 8 5" xfId="16141" xr:uid="{00000000-0005-0000-0000-0000FE3B0000}"/>
    <cellStyle name="Normal 2 2 2 18 8 6" xfId="16142" xr:uid="{00000000-0005-0000-0000-0000FF3B0000}"/>
    <cellStyle name="Normal 2 2 2 18 9" xfId="16143" xr:uid="{00000000-0005-0000-0000-0000003C0000}"/>
    <cellStyle name="Normal 2 2 2 19" xfId="16144" xr:uid="{00000000-0005-0000-0000-0000013C0000}"/>
    <cellStyle name="Normal 2 2 2 19 10" xfId="16145" xr:uid="{00000000-0005-0000-0000-0000023C0000}"/>
    <cellStyle name="Normal 2 2 2 19 11" xfId="16146" xr:uid="{00000000-0005-0000-0000-0000033C0000}"/>
    <cellStyle name="Normal 2 2 2 19 12" xfId="16147" xr:uid="{00000000-0005-0000-0000-0000043C0000}"/>
    <cellStyle name="Normal 2 2 2 19 13" xfId="16148" xr:uid="{00000000-0005-0000-0000-0000053C0000}"/>
    <cellStyle name="Normal 2 2 2 19 14" xfId="16149" xr:uid="{00000000-0005-0000-0000-0000063C0000}"/>
    <cellStyle name="Normal 2 2 2 19 2" xfId="16150" xr:uid="{00000000-0005-0000-0000-0000073C0000}"/>
    <cellStyle name="Normal 2 2 2 19 2 2" xfId="16151" xr:uid="{00000000-0005-0000-0000-0000083C0000}"/>
    <cellStyle name="Normal 2 2 2 19 2 3" xfId="16152" xr:uid="{00000000-0005-0000-0000-0000093C0000}"/>
    <cellStyle name="Normal 2 2 2 19 2 4" xfId="16153" xr:uid="{00000000-0005-0000-0000-00000A3C0000}"/>
    <cellStyle name="Normal 2 2 2 19 2 5" xfId="16154" xr:uid="{00000000-0005-0000-0000-00000B3C0000}"/>
    <cellStyle name="Normal 2 2 2 19 2 6" xfId="16155" xr:uid="{00000000-0005-0000-0000-00000C3C0000}"/>
    <cellStyle name="Normal 2 2 2 19 3" xfId="16156" xr:uid="{00000000-0005-0000-0000-00000D3C0000}"/>
    <cellStyle name="Normal 2 2 2 19 3 2" xfId="16157" xr:uid="{00000000-0005-0000-0000-00000E3C0000}"/>
    <cellStyle name="Normal 2 2 2 19 3 3" xfId="16158" xr:uid="{00000000-0005-0000-0000-00000F3C0000}"/>
    <cellStyle name="Normal 2 2 2 19 3 4" xfId="16159" xr:uid="{00000000-0005-0000-0000-0000103C0000}"/>
    <cellStyle name="Normal 2 2 2 19 3 5" xfId="16160" xr:uid="{00000000-0005-0000-0000-0000113C0000}"/>
    <cellStyle name="Normal 2 2 2 19 3 6" xfId="16161" xr:uid="{00000000-0005-0000-0000-0000123C0000}"/>
    <cellStyle name="Normal 2 2 2 19 4" xfId="16162" xr:uid="{00000000-0005-0000-0000-0000133C0000}"/>
    <cellStyle name="Normal 2 2 2 19 4 2" xfId="16163" xr:uid="{00000000-0005-0000-0000-0000143C0000}"/>
    <cellStyle name="Normal 2 2 2 19 4 3" xfId="16164" xr:uid="{00000000-0005-0000-0000-0000153C0000}"/>
    <cellStyle name="Normal 2 2 2 19 4 4" xfId="16165" xr:uid="{00000000-0005-0000-0000-0000163C0000}"/>
    <cellStyle name="Normal 2 2 2 19 4 5" xfId="16166" xr:uid="{00000000-0005-0000-0000-0000173C0000}"/>
    <cellStyle name="Normal 2 2 2 19 4 6" xfId="16167" xr:uid="{00000000-0005-0000-0000-0000183C0000}"/>
    <cellStyle name="Normal 2 2 2 19 5" xfId="16168" xr:uid="{00000000-0005-0000-0000-0000193C0000}"/>
    <cellStyle name="Normal 2 2 2 19 5 2" xfId="16169" xr:uid="{00000000-0005-0000-0000-00001A3C0000}"/>
    <cellStyle name="Normal 2 2 2 19 5 3" xfId="16170" xr:uid="{00000000-0005-0000-0000-00001B3C0000}"/>
    <cellStyle name="Normal 2 2 2 19 5 4" xfId="16171" xr:uid="{00000000-0005-0000-0000-00001C3C0000}"/>
    <cellStyle name="Normal 2 2 2 19 5 5" xfId="16172" xr:uid="{00000000-0005-0000-0000-00001D3C0000}"/>
    <cellStyle name="Normal 2 2 2 19 5 6" xfId="16173" xr:uid="{00000000-0005-0000-0000-00001E3C0000}"/>
    <cellStyle name="Normal 2 2 2 19 6" xfId="16174" xr:uid="{00000000-0005-0000-0000-00001F3C0000}"/>
    <cellStyle name="Normal 2 2 2 19 6 2" xfId="16175" xr:uid="{00000000-0005-0000-0000-0000203C0000}"/>
    <cellStyle name="Normal 2 2 2 19 6 3" xfId="16176" xr:uid="{00000000-0005-0000-0000-0000213C0000}"/>
    <cellStyle name="Normal 2 2 2 19 6 4" xfId="16177" xr:uid="{00000000-0005-0000-0000-0000223C0000}"/>
    <cellStyle name="Normal 2 2 2 19 6 5" xfId="16178" xr:uid="{00000000-0005-0000-0000-0000233C0000}"/>
    <cellStyle name="Normal 2 2 2 19 6 6" xfId="16179" xr:uid="{00000000-0005-0000-0000-0000243C0000}"/>
    <cellStyle name="Normal 2 2 2 19 7" xfId="16180" xr:uid="{00000000-0005-0000-0000-0000253C0000}"/>
    <cellStyle name="Normal 2 2 2 19 7 2" xfId="16181" xr:uid="{00000000-0005-0000-0000-0000263C0000}"/>
    <cellStyle name="Normal 2 2 2 19 7 3" xfId="16182" xr:uid="{00000000-0005-0000-0000-0000273C0000}"/>
    <cellStyle name="Normal 2 2 2 19 7 4" xfId="16183" xr:uid="{00000000-0005-0000-0000-0000283C0000}"/>
    <cellStyle name="Normal 2 2 2 19 7 5" xfId="16184" xr:uid="{00000000-0005-0000-0000-0000293C0000}"/>
    <cellStyle name="Normal 2 2 2 19 7 6" xfId="16185" xr:uid="{00000000-0005-0000-0000-00002A3C0000}"/>
    <cellStyle name="Normal 2 2 2 19 8" xfId="16186" xr:uid="{00000000-0005-0000-0000-00002B3C0000}"/>
    <cellStyle name="Normal 2 2 2 19 8 2" xfId="16187" xr:uid="{00000000-0005-0000-0000-00002C3C0000}"/>
    <cellStyle name="Normal 2 2 2 19 8 3" xfId="16188" xr:uid="{00000000-0005-0000-0000-00002D3C0000}"/>
    <cellStyle name="Normal 2 2 2 19 8 4" xfId="16189" xr:uid="{00000000-0005-0000-0000-00002E3C0000}"/>
    <cellStyle name="Normal 2 2 2 19 8 5" xfId="16190" xr:uid="{00000000-0005-0000-0000-00002F3C0000}"/>
    <cellStyle name="Normal 2 2 2 19 8 6" xfId="16191" xr:uid="{00000000-0005-0000-0000-0000303C0000}"/>
    <cellStyle name="Normal 2 2 2 19 9" xfId="16192" xr:uid="{00000000-0005-0000-0000-0000313C0000}"/>
    <cellStyle name="Normal 2 2 2 2" xfId="16193" xr:uid="{00000000-0005-0000-0000-0000323C0000}"/>
    <cellStyle name="Normal 2 2 2 2 10" xfId="16194" xr:uid="{00000000-0005-0000-0000-0000333C0000}"/>
    <cellStyle name="Normal 2 2 2 2 11" xfId="16195" xr:uid="{00000000-0005-0000-0000-0000343C0000}"/>
    <cellStyle name="Normal 2 2 2 2 12" xfId="16196" xr:uid="{00000000-0005-0000-0000-0000353C0000}"/>
    <cellStyle name="Normal 2 2 2 2 12 10" xfId="16197" xr:uid="{00000000-0005-0000-0000-0000363C0000}"/>
    <cellStyle name="Normal 2 2 2 2 12 11" xfId="16198" xr:uid="{00000000-0005-0000-0000-0000373C0000}"/>
    <cellStyle name="Normal 2 2 2 2 12 12" xfId="16199" xr:uid="{00000000-0005-0000-0000-0000383C0000}"/>
    <cellStyle name="Normal 2 2 2 2 12 13" xfId="16200" xr:uid="{00000000-0005-0000-0000-0000393C0000}"/>
    <cellStyle name="Normal 2 2 2 2 12 2" xfId="16201" xr:uid="{00000000-0005-0000-0000-00003A3C0000}"/>
    <cellStyle name="Normal 2 2 2 2 12 2 2" xfId="16202" xr:uid="{00000000-0005-0000-0000-00003B3C0000}"/>
    <cellStyle name="Normal 2 2 2 2 12 2 3" xfId="16203" xr:uid="{00000000-0005-0000-0000-00003C3C0000}"/>
    <cellStyle name="Normal 2 2 2 2 12 2 4" xfId="16204" xr:uid="{00000000-0005-0000-0000-00003D3C0000}"/>
    <cellStyle name="Normal 2 2 2 2 12 2 5" xfId="16205" xr:uid="{00000000-0005-0000-0000-00003E3C0000}"/>
    <cellStyle name="Normal 2 2 2 2 12 2 6" xfId="16206" xr:uid="{00000000-0005-0000-0000-00003F3C0000}"/>
    <cellStyle name="Normal 2 2 2 2 12 3" xfId="16207" xr:uid="{00000000-0005-0000-0000-0000403C0000}"/>
    <cellStyle name="Normal 2 2 2 2 12 3 2" xfId="16208" xr:uid="{00000000-0005-0000-0000-0000413C0000}"/>
    <cellStyle name="Normal 2 2 2 2 12 3 3" xfId="16209" xr:uid="{00000000-0005-0000-0000-0000423C0000}"/>
    <cellStyle name="Normal 2 2 2 2 12 3 4" xfId="16210" xr:uid="{00000000-0005-0000-0000-0000433C0000}"/>
    <cellStyle name="Normal 2 2 2 2 12 3 5" xfId="16211" xr:uid="{00000000-0005-0000-0000-0000443C0000}"/>
    <cellStyle name="Normal 2 2 2 2 12 3 6" xfId="16212" xr:uid="{00000000-0005-0000-0000-0000453C0000}"/>
    <cellStyle name="Normal 2 2 2 2 12 4" xfId="16213" xr:uid="{00000000-0005-0000-0000-0000463C0000}"/>
    <cellStyle name="Normal 2 2 2 2 12 4 2" xfId="16214" xr:uid="{00000000-0005-0000-0000-0000473C0000}"/>
    <cellStyle name="Normal 2 2 2 2 12 4 3" xfId="16215" xr:uid="{00000000-0005-0000-0000-0000483C0000}"/>
    <cellStyle name="Normal 2 2 2 2 12 4 4" xfId="16216" xr:uid="{00000000-0005-0000-0000-0000493C0000}"/>
    <cellStyle name="Normal 2 2 2 2 12 4 5" xfId="16217" xr:uid="{00000000-0005-0000-0000-00004A3C0000}"/>
    <cellStyle name="Normal 2 2 2 2 12 4 6" xfId="16218" xr:uid="{00000000-0005-0000-0000-00004B3C0000}"/>
    <cellStyle name="Normal 2 2 2 2 12 5" xfId="16219" xr:uid="{00000000-0005-0000-0000-00004C3C0000}"/>
    <cellStyle name="Normal 2 2 2 2 12 5 2" xfId="16220" xr:uid="{00000000-0005-0000-0000-00004D3C0000}"/>
    <cellStyle name="Normal 2 2 2 2 12 5 3" xfId="16221" xr:uid="{00000000-0005-0000-0000-00004E3C0000}"/>
    <cellStyle name="Normal 2 2 2 2 12 5 4" xfId="16222" xr:uid="{00000000-0005-0000-0000-00004F3C0000}"/>
    <cellStyle name="Normal 2 2 2 2 12 5 5" xfId="16223" xr:uid="{00000000-0005-0000-0000-0000503C0000}"/>
    <cellStyle name="Normal 2 2 2 2 12 5 6" xfId="16224" xr:uid="{00000000-0005-0000-0000-0000513C0000}"/>
    <cellStyle name="Normal 2 2 2 2 12 6" xfId="16225" xr:uid="{00000000-0005-0000-0000-0000523C0000}"/>
    <cellStyle name="Normal 2 2 2 2 12 6 2" xfId="16226" xr:uid="{00000000-0005-0000-0000-0000533C0000}"/>
    <cellStyle name="Normal 2 2 2 2 12 6 3" xfId="16227" xr:uid="{00000000-0005-0000-0000-0000543C0000}"/>
    <cellStyle name="Normal 2 2 2 2 12 6 4" xfId="16228" xr:uid="{00000000-0005-0000-0000-0000553C0000}"/>
    <cellStyle name="Normal 2 2 2 2 12 6 5" xfId="16229" xr:uid="{00000000-0005-0000-0000-0000563C0000}"/>
    <cellStyle name="Normal 2 2 2 2 12 6 6" xfId="16230" xr:uid="{00000000-0005-0000-0000-0000573C0000}"/>
    <cellStyle name="Normal 2 2 2 2 12 7" xfId="16231" xr:uid="{00000000-0005-0000-0000-0000583C0000}"/>
    <cellStyle name="Normal 2 2 2 2 12 7 2" xfId="16232" xr:uid="{00000000-0005-0000-0000-0000593C0000}"/>
    <cellStyle name="Normal 2 2 2 2 12 7 3" xfId="16233" xr:uid="{00000000-0005-0000-0000-00005A3C0000}"/>
    <cellStyle name="Normal 2 2 2 2 12 7 4" xfId="16234" xr:uid="{00000000-0005-0000-0000-00005B3C0000}"/>
    <cellStyle name="Normal 2 2 2 2 12 7 5" xfId="16235" xr:uid="{00000000-0005-0000-0000-00005C3C0000}"/>
    <cellStyle name="Normal 2 2 2 2 12 7 6" xfId="16236" xr:uid="{00000000-0005-0000-0000-00005D3C0000}"/>
    <cellStyle name="Normal 2 2 2 2 12 8" xfId="16237" xr:uid="{00000000-0005-0000-0000-00005E3C0000}"/>
    <cellStyle name="Normal 2 2 2 2 12 8 2" xfId="16238" xr:uid="{00000000-0005-0000-0000-00005F3C0000}"/>
    <cellStyle name="Normal 2 2 2 2 12 8 3" xfId="16239" xr:uid="{00000000-0005-0000-0000-0000603C0000}"/>
    <cellStyle name="Normal 2 2 2 2 12 8 4" xfId="16240" xr:uid="{00000000-0005-0000-0000-0000613C0000}"/>
    <cellStyle name="Normal 2 2 2 2 12 8 5" xfId="16241" xr:uid="{00000000-0005-0000-0000-0000623C0000}"/>
    <cellStyle name="Normal 2 2 2 2 12 8 6" xfId="16242" xr:uid="{00000000-0005-0000-0000-0000633C0000}"/>
    <cellStyle name="Normal 2 2 2 2 12 9" xfId="16243" xr:uid="{00000000-0005-0000-0000-0000643C0000}"/>
    <cellStyle name="Normal 2 2 2 2 13" xfId="16244" xr:uid="{00000000-0005-0000-0000-0000653C0000}"/>
    <cellStyle name="Normal 2 2 2 2 13 10" xfId="16245" xr:uid="{00000000-0005-0000-0000-0000663C0000}"/>
    <cellStyle name="Normal 2 2 2 2 13 11" xfId="16246" xr:uid="{00000000-0005-0000-0000-0000673C0000}"/>
    <cellStyle name="Normal 2 2 2 2 13 12" xfId="16247" xr:uid="{00000000-0005-0000-0000-0000683C0000}"/>
    <cellStyle name="Normal 2 2 2 2 13 13" xfId="16248" xr:uid="{00000000-0005-0000-0000-0000693C0000}"/>
    <cellStyle name="Normal 2 2 2 2 13 2" xfId="16249" xr:uid="{00000000-0005-0000-0000-00006A3C0000}"/>
    <cellStyle name="Normal 2 2 2 2 13 2 2" xfId="16250" xr:uid="{00000000-0005-0000-0000-00006B3C0000}"/>
    <cellStyle name="Normal 2 2 2 2 13 2 3" xfId="16251" xr:uid="{00000000-0005-0000-0000-00006C3C0000}"/>
    <cellStyle name="Normal 2 2 2 2 13 2 4" xfId="16252" xr:uid="{00000000-0005-0000-0000-00006D3C0000}"/>
    <cellStyle name="Normal 2 2 2 2 13 2 5" xfId="16253" xr:uid="{00000000-0005-0000-0000-00006E3C0000}"/>
    <cellStyle name="Normal 2 2 2 2 13 2 6" xfId="16254" xr:uid="{00000000-0005-0000-0000-00006F3C0000}"/>
    <cellStyle name="Normal 2 2 2 2 13 3" xfId="16255" xr:uid="{00000000-0005-0000-0000-0000703C0000}"/>
    <cellStyle name="Normal 2 2 2 2 13 3 2" xfId="16256" xr:uid="{00000000-0005-0000-0000-0000713C0000}"/>
    <cellStyle name="Normal 2 2 2 2 13 3 3" xfId="16257" xr:uid="{00000000-0005-0000-0000-0000723C0000}"/>
    <cellStyle name="Normal 2 2 2 2 13 3 4" xfId="16258" xr:uid="{00000000-0005-0000-0000-0000733C0000}"/>
    <cellStyle name="Normal 2 2 2 2 13 3 5" xfId="16259" xr:uid="{00000000-0005-0000-0000-0000743C0000}"/>
    <cellStyle name="Normal 2 2 2 2 13 3 6" xfId="16260" xr:uid="{00000000-0005-0000-0000-0000753C0000}"/>
    <cellStyle name="Normal 2 2 2 2 13 4" xfId="16261" xr:uid="{00000000-0005-0000-0000-0000763C0000}"/>
    <cellStyle name="Normal 2 2 2 2 13 4 2" xfId="16262" xr:uid="{00000000-0005-0000-0000-0000773C0000}"/>
    <cellStyle name="Normal 2 2 2 2 13 4 3" xfId="16263" xr:uid="{00000000-0005-0000-0000-0000783C0000}"/>
    <cellStyle name="Normal 2 2 2 2 13 4 4" xfId="16264" xr:uid="{00000000-0005-0000-0000-0000793C0000}"/>
    <cellStyle name="Normal 2 2 2 2 13 4 5" xfId="16265" xr:uid="{00000000-0005-0000-0000-00007A3C0000}"/>
    <cellStyle name="Normal 2 2 2 2 13 4 6" xfId="16266" xr:uid="{00000000-0005-0000-0000-00007B3C0000}"/>
    <cellStyle name="Normal 2 2 2 2 13 5" xfId="16267" xr:uid="{00000000-0005-0000-0000-00007C3C0000}"/>
    <cellStyle name="Normal 2 2 2 2 13 5 2" xfId="16268" xr:uid="{00000000-0005-0000-0000-00007D3C0000}"/>
    <cellStyle name="Normal 2 2 2 2 13 5 3" xfId="16269" xr:uid="{00000000-0005-0000-0000-00007E3C0000}"/>
    <cellStyle name="Normal 2 2 2 2 13 5 4" xfId="16270" xr:uid="{00000000-0005-0000-0000-00007F3C0000}"/>
    <cellStyle name="Normal 2 2 2 2 13 5 5" xfId="16271" xr:uid="{00000000-0005-0000-0000-0000803C0000}"/>
    <cellStyle name="Normal 2 2 2 2 13 5 6" xfId="16272" xr:uid="{00000000-0005-0000-0000-0000813C0000}"/>
    <cellStyle name="Normal 2 2 2 2 13 6" xfId="16273" xr:uid="{00000000-0005-0000-0000-0000823C0000}"/>
    <cellStyle name="Normal 2 2 2 2 13 6 2" xfId="16274" xr:uid="{00000000-0005-0000-0000-0000833C0000}"/>
    <cellStyle name="Normal 2 2 2 2 13 6 3" xfId="16275" xr:uid="{00000000-0005-0000-0000-0000843C0000}"/>
    <cellStyle name="Normal 2 2 2 2 13 6 4" xfId="16276" xr:uid="{00000000-0005-0000-0000-0000853C0000}"/>
    <cellStyle name="Normal 2 2 2 2 13 6 5" xfId="16277" xr:uid="{00000000-0005-0000-0000-0000863C0000}"/>
    <cellStyle name="Normal 2 2 2 2 13 6 6" xfId="16278" xr:uid="{00000000-0005-0000-0000-0000873C0000}"/>
    <cellStyle name="Normal 2 2 2 2 13 7" xfId="16279" xr:uid="{00000000-0005-0000-0000-0000883C0000}"/>
    <cellStyle name="Normal 2 2 2 2 13 7 2" xfId="16280" xr:uid="{00000000-0005-0000-0000-0000893C0000}"/>
    <cellStyle name="Normal 2 2 2 2 13 7 3" xfId="16281" xr:uid="{00000000-0005-0000-0000-00008A3C0000}"/>
    <cellStyle name="Normal 2 2 2 2 13 7 4" xfId="16282" xr:uid="{00000000-0005-0000-0000-00008B3C0000}"/>
    <cellStyle name="Normal 2 2 2 2 13 7 5" xfId="16283" xr:uid="{00000000-0005-0000-0000-00008C3C0000}"/>
    <cellStyle name="Normal 2 2 2 2 13 7 6" xfId="16284" xr:uid="{00000000-0005-0000-0000-00008D3C0000}"/>
    <cellStyle name="Normal 2 2 2 2 13 8" xfId="16285" xr:uid="{00000000-0005-0000-0000-00008E3C0000}"/>
    <cellStyle name="Normal 2 2 2 2 13 8 2" xfId="16286" xr:uid="{00000000-0005-0000-0000-00008F3C0000}"/>
    <cellStyle name="Normal 2 2 2 2 13 8 3" xfId="16287" xr:uid="{00000000-0005-0000-0000-0000903C0000}"/>
    <cellStyle name="Normal 2 2 2 2 13 8 4" xfId="16288" xr:uid="{00000000-0005-0000-0000-0000913C0000}"/>
    <cellStyle name="Normal 2 2 2 2 13 8 5" xfId="16289" xr:uid="{00000000-0005-0000-0000-0000923C0000}"/>
    <cellStyle name="Normal 2 2 2 2 13 8 6" xfId="16290" xr:uid="{00000000-0005-0000-0000-0000933C0000}"/>
    <cellStyle name="Normal 2 2 2 2 13 9" xfId="16291" xr:uid="{00000000-0005-0000-0000-0000943C0000}"/>
    <cellStyle name="Normal 2 2 2 2 14" xfId="16292" xr:uid="{00000000-0005-0000-0000-0000953C0000}"/>
    <cellStyle name="Normal 2 2 2 2 14 10" xfId="16293" xr:uid="{00000000-0005-0000-0000-0000963C0000}"/>
    <cellStyle name="Normal 2 2 2 2 14 11" xfId="16294" xr:uid="{00000000-0005-0000-0000-0000973C0000}"/>
    <cellStyle name="Normal 2 2 2 2 14 12" xfId="16295" xr:uid="{00000000-0005-0000-0000-0000983C0000}"/>
    <cellStyle name="Normal 2 2 2 2 14 13" xfId="16296" xr:uid="{00000000-0005-0000-0000-0000993C0000}"/>
    <cellStyle name="Normal 2 2 2 2 14 2" xfId="16297" xr:uid="{00000000-0005-0000-0000-00009A3C0000}"/>
    <cellStyle name="Normal 2 2 2 2 14 2 2" xfId="16298" xr:uid="{00000000-0005-0000-0000-00009B3C0000}"/>
    <cellStyle name="Normal 2 2 2 2 14 2 3" xfId="16299" xr:uid="{00000000-0005-0000-0000-00009C3C0000}"/>
    <cellStyle name="Normal 2 2 2 2 14 2 4" xfId="16300" xr:uid="{00000000-0005-0000-0000-00009D3C0000}"/>
    <cellStyle name="Normal 2 2 2 2 14 2 5" xfId="16301" xr:uid="{00000000-0005-0000-0000-00009E3C0000}"/>
    <cellStyle name="Normal 2 2 2 2 14 2 6" xfId="16302" xr:uid="{00000000-0005-0000-0000-00009F3C0000}"/>
    <cellStyle name="Normal 2 2 2 2 14 3" xfId="16303" xr:uid="{00000000-0005-0000-0000-0000A03C0000}"/>
    <cellStyle name="Normal 2 2 2 2 14 3 2" xfId="16304" xr:uid="{00000000-0005-0000-0000-0000A13C0000}"/>
    <cellStyle name="Normal 2 2 2 2 14 3 3" xfId="16305" xr:uid="{00000000-0005-0000-0000-0000A23C0000}"/>
    <cellStyle name="Normal 2 2 2 2 14 3 4" xfId="16306" xr:uid="{00000000-0005-0000-0000-0000A33C0000}"/>
    <cellStyle name="Normal 2 2 2 2 14 3 5" xfId="16307" xr:uid="{00000000-0005-0000-0000-0000A43C0000}"/>
    <cellStyle name="Normal 2 2 2 2 14 3 6" xfId="16308" xr:uid="{00000000-0005-0000-0000-0000A53C0000}"/>
    <cellStyle name="Normal 2 2 2 2 14 4" xfId="16309" xr:uid="{00000000-0005-0000-0000-0000A63C0000}"/>
    <cellStyle name="Normal 2 2 2 2 14 4 2" xfId="16310" xr:uid="{00000000-0005-0000-0000-0000A73C0000}"/>
    <cellStyle name="Normal 2 2 2 2 14 4 3" xfId="16311" xr:uid="{00000000-0005-0000-0000-0000A83C0000}"/>
    <cellStyle name="Normal 2 2 2 2 14 4 4" xfId="16312" xr:uid="{00000000-0005-0000-0000-0000A93C0000}"/>
    <cellStyle name="Normal 2 2 2 2 14 4 5" xfId="16313" xr:uid="{00000000-0005-0000-0000-0000AA3C0000}"/>
    <cellStyle name="Normal 2 2 2 2 14 4 6" xfId="16314" xr:uid="{00000000-0005-0000-0000-0000AB3C0000}"/>
    <cellStyle name="Normal 2 2 2 2 14 5" xfId="16315" xr:uid="{00000000-0005-0000-0000-0000AC3C0000}"/>
    <cellStyle name="Normal 2 2 2 2 14 5 2" xfId="16316" xr:uid="{00000000-0005-0000-0000-0000AD3C0000}"/>
    <cellStyle name="Normal 2 2 2 2 14 5 3" xfId="16317" xr:uid="{00000000-0005-0000-0000-0000AE3C0000}"/>
    <cellStyle name="Normal 2 2 2 2 14 5 4" xfId="16318" xr:uid="{00000000-0005-0000-0000-0000AF3C0000}"/>
    <cellStyle name="Normal 2 2 2 2 14 5 5" xfId="16319" xr:uid="{00000000-0005-0000-0000-0000B03C0000}"/>
    <cellStyle name="Normal 2 2 2 2 14 5 6" xfId="16320" xr:uid="{00000000-0005-0000-0000-0000B13C0000}"/>
    <cellStyle name="Normal 2 2 2 2 14 6" xfId="16321" xr:uid="{00000000-0005-0000-0000-0000B23C0000}"/>
    <cellStyle name="Normal 2 2 2 2 14 6 2" xfId="16322" xr:uid="{00000000-0005-0000-0000-0000B33C0000}"/>
    <cellStyle name="Normal 2 2 2 2 14 6 3" xfId="16323" xr:uid="{00000000-0005-0000-0000-0000B43C0000}"/>
    <cellStyle name="Normal 2 2 2 2 14 6 4" xfId="16324" xr:uid="{00000000-0005-0000-0000-0000B53C0000}"/>
    <cellStyle name="Normal 2 2 2 2 14 6 5" xfId="16325" xr:uid="{00000000-0005-0000-0000-0000B63C0000}"/>
    <cellStyle name="Normal 2 2 2 2 14 6 6" xfId="16326" xr:uid="{00000000-0005-0000-0000-0000B73C0000}"/>
    <cellStyle name="Normal 2 2 2 2 14 7" xfId="16327" xr:uid="{00000000-0005-0000-0000-0000B83C0000}"/>
    <cellStyle name="Normal 2 2 2 2 14 7 2" xfId="16328" xr:uid="{00000000-0005-0000-0000-0000B93C0000}"/>
    <cellStyle name="Normal 2 2 2 2 14 7 3" xfId="16329" xr:uid="{00000000-0005-0000-0000-0000BA3C0000}"/>
    <cellStyle name="Normal 2 2 2 2 14 7 4" xfId="16330" xr:uid="{00000000-0005-0000-0000-0000BB3C0000}"/>
    <cellStyle name="Normal 2 2 2 2 14 7 5" xfId="16331" xr:uid="{00000000-0005-0000-0000-0000BC3C0000}"/>
    <cellStyle name="Normal 2 2 2 2 14 7 6" xfId="16332" xr:uid="{00000000-0005-0000-0000-0000BD3C0000}"/>
    <cellStyle name="Normal 2 2 2 2 14 8" xfId="16333" xr:uid="{00000000-0005-0000-0000-0000BE3C0000}"/>
    <cellStyle name="Normal 2 2 2 2 14 8 2" xfId="16334" xr:uid="{00000000-0005-0000-0000-0000BF3C0000}"/>
    <cellStyle name="Normal 2 2 2 2 14 8 3" xfId="16335" xr:uid="{00000000-0005-0000-0000-0000C03C0000}"/>
    <cellStyle name="Normal 2 2 2 2 14 8 4" xfId="16336" xr:uid="{00000000-0005-0000-0000-0000C13C0000}"/>
    <cellStyle name="Normal 2 2 2 2 14 8 5" xfId="16337" xr:uid="{00000000-0005-0000-0000-0000C23C0000}"/>
    <cellStyle name="Normal 2 2 2 2 14 8 6" xfId="16338" xr:uid="{00000000-0005-0000-0000-0000C33C0000}"/>
    <cellStyle name="Normal 2 2 2 2 14 9" xfId="16339" xr:uid="{00000000-0005-0000-0000-0000C43C0000}"/>
    <cellStyle name="Normal 2 2 2 2 15" xfId="16340" xr:uid="{00000000-0005-0000-0000-0000C53C0000}"/>
    <cellStyle name="Normal 2 2 2 2 15 10" xfId="16341" xr:uid="{00000000-0005-0000-0000-0000C63C0000}"/>
    <cellStyle name="Normal 2 2 2 2 15 11" xfId="16342" xr:uid="{00000000-0005-0000-0000-0000C73C0000}"/>
    <cellStyle name="Normal 2 2 2 2 15 12" xfId="16343" xr:uid="{00000000-0005-0000-0000-0000C83C0000}"/>
    <cellStyle name="Normal 2 2 2 2 15 13" xfId="16344" xr:uid="{00000000-0005-0000-0000-0000C93C0000}"/>
    <cellStyle name="Normal 2 2 2 2 15 2" xfId="16345" xr:uid="{00000000-0005-0000-0000-0000CA3C0000}"/>
    <cellStyle name="Normal 2 2 2 2 15 2 2" xfId="16346" xr:uid="{00000000-0005-0000-0000-0000CB3C0000}"/>
    <cellStyle name="Normal 2 2 2 2 15 2 3" xfId="16347" xr:uid="{00000000-0005-0000-0000-0000CC3C0000}"/>
    <cellStyle name="Normal 2 2 2 2 15 2 4" xfId="16348" xr:uid="{00000000-0005-0000-0000-0000CD3C0000}"/>
    <cellStyle name="Normal 2 2 2 2 15 2 5" xfId="16349" xr:uid="{00000000-0005-0000-0000-0000CE3C0000}"/>
    <cellStyle name="Normal 2 2 2 2 15 2 6" xfId="16350" xr:uid="{00000000-0005-0000-0000-0000CF3C0000}"/>
    <cellStyle name="Normal 2 2 2 2 15 3" xfId="16351" xr:uid="{00000000-0005-0000-0000-0000D03C0000}"/>
    <cellStyle name="Normal 2 2 2 2 15 3 2" xfId="16352" xr:uid="{00000000-0005-0000-0000-0000D13C0000}"/>
    <cellStyle name="Normal 2 2 2 2 15 3 3" xfId="16353" xr:uid="{00000000-0005-0000-0000-0000D23C0000}"/>
    <cellStyle name="Normal 2 2 2 2 15 3 4" xfId="16354" xr:uid="{00000000-0005-0000-0000-0000D33C0000}"/>
    <cellStyle name="Normal 2 2 2 2 15 3 5" xfId="16355" xr:uid="{00000000-0005-0000-0000-0000D43C0000}"/>
    <cellStyle name="Normal 2 2 2 2 15 3 6" xfId="16356" xr:uid="{00000000-0005-0000-0000-0000D53C0000}"/>
    <cellStyle name="Normal 2 2 2 2 15 4" xfId="16357" xr:uid="{00000000-0005-0000-0000-0000D63C0000}"/>
    <cellStyle name="Normal 2 2 2 2 15 4 2" xfId="16358" xr:uid="{00000000-0005-0000-0000-0000D73C0000}"/>
    <cellStyle name="Normal 2 2 2 2 15 4 3" xfId="16359" xr:uid="{00000000-0005-0000-0000-0000D83C0000}"/>
    <cellStyle name="Normal 2 2 2 2 15 4 4" xfId="16360" xr:uid="{00000000-0005-0000-0000-0000D93C0000}"/>
    <cellStyle name="Normal 2 2 2 2 15 4 5" xfId="16361" xr:uid="{00000000-0005-0000-0000-0000DA3C0000}"/>
    <cellStyle name="Normal 2 2 2 2 15 4 6" xfId="16362" xr:uid="{00000000-0005-0000-0000-0000DB3C0000}"/>
    <cellStyle name="Normal 2 2 2 2 15 5" xfId="16363" xr:uid="{00000000-0005-0000-0000-0000DC3C0000}"/>
    <cellStyle name="Normal 2 2 2 2 15 5 2" xfId="16364" xr:uid="{00000000-0005-0000-0000-0000DD3C0000}"/>
    <cellStyle name="Normal 2 2 2 2 15 5 3" xfId="16365" xr:uid="{00000000-0005-0000-0000-0000DE3C0000}"/>
    <cellStyle name="Normal 2 2 2 2 15 5 4" xfId="16366" xr:uid="{00000000-0005-0000-0000-0000DF3C0000}"/>
    <cellStyle name="Normal 2 2 2 2 15 5 5" xfId="16367" xr:uid="{00000000-0005-0000-0000-0000E03C0000}"/>
    <cellStyle name="Normal 2 2 2 2 15 5 6" xfId="16368" xr:uid="{00000000-0005-0000-0000-0000E13C0000}"/>
    <cellStyle name="Normal 2 2 2 2 15 6" xfId="16369" xr:uid="{00000000-0005-0000-0000-0000E23C0000}"/>
    <cellStyle name="Normal 2 2 2 2 15 6 2" xfId="16370" xr:uid="{00000000-0005-0000-0000-0000E33C0000}"/>
    <cellStyle name="Normal 2 2 2 2 15 6 3" xfId="16371" xr:uid="{00000000-0005-0000-0000-0000E43C0000}"/>
    <cellStyle name="Normal 2 2 2 2 15 6 4" xfId="16372" xr:uid="{00000000-0005-0000-0000-0000E53C0000}"/>
    <cellStyle name="Normal 2 2 2 2 15 6 5" xfId="16373" xr:uid="{00000000-0005-0000-0000-0000E63C0000}"/>
    <cellStyle name="Normal 2 2 2 2 15 6 6" xfId="16374" xr:uid="{00000000-0005-0000-0000-0000E73C0000}"/>
    <cellStyle name="Normal 2 2 2 2 15 7" xfId="16375" xr:uid="{00000000-0005-0000-0000-0000E83C0000}"/>
    <cellStyle name="Normal 2 2 2 2 15 7 2" xfId="16376" xr:uid="{00000000-0005-0000-0000-0000E93C0000}"/>
    <cellStyle name="Normal 2 2 2 2 15 7 3" xfId="16377" xr:uid="{00000000-0005-0000-0000-0000EA3C0000}"/>
    <cellStyle name="Normal 2 2 2 2 15 7 4" xfId="16378" xr:uid="{00000000-0005-0000-0000-0000EB3C0000}"/>
    <cellStyle name="Normal 2 2 2 2 15 7 5" xfId="16379" xr:uid="{00000000-0005-0000-0000-0000EC3C0000}"/>
    <cellStyle name="Normal 2 2 2 2 15 7 6" xfId="16380" xr:uid="{00000000-0005-0000-0000-0000ED3C0000}"/>
    <cellStyle name="Normal 2 2 2 2 15 8" xfId="16381" xr:uid="{00000000-0005-0000-0000-0000EE3C0000}"/>
    <cellStyle name="Normal 2 2 2 2 15 8 2" xfId="16382" xr:uid="{00000000-0005-0000-0000-0000EF3C0000}"/>
    <cellStyle name="Normal 2 2 2 2 15 8 3" xfId="16383" xr:uid="{00000000-0005-0000-0000-0000F03C0000}"/>
    <cellStyle name="Normal 2 2 2 2 15 8 4" xfId="16384" xr:uid="{00000000-0005-0000-0000-0000F13C0000}"/>
    <cellStyle name="Normal 2 2 2 2 15 8 5" xfId="16385" xr:uid="{00000000-0005-0000-0000-0000F23C0000}"/>
    <cellStyle name="Normal 2 2 2 2 15 8 6" xfId="16386" xr:uid="{00000000-0005-0000-0000-0000F33C0000}"/>
    <cellStyle name="Normal 2 2 2 2 15 9" xfId="16387" xr:uid="{00000000-0005-0000-0000-0000F43C0000}"/>
    <cellStyle name="Normal 2 2 2 2 16" xfId="16388" xr:uid="{00000000-0005-0000-0000-0000F53C0000}"/>
    <cellStyle name="Normal 2 2 2 2 16 10" xfId="16389" xr:uid="{00000000-0005-0000-0000-0000F63C0000}"/>
    <cellStyle name="Normal 2 2 2 2 16 11" xfId="16390" xr:uid="{00000000-0005-0000-0000-0000F73C0000}"/>
    <cellStyle name="Normal 2 2 2 2 16 12" xfId="16391" xr:uid="{00000000-0005-0000-0000-0000F83C0000}"/>
    <cellStyle name="Normal 2 2 2 2 16 13" xfId="16392" xr:uid="{00000000-0005-0000-0000-0000F93C0000}"/>
    <cellStyle name="Normal 2 2 2 2 16 2" xfId="16393" xr:uid="{00000000-0005-0000-0000-0000FA3C0000}"/>
    <cellStyle name="Normal 2 2 2 2 16 2 2" xfId="16394" xr:uid="{00000000-0005-0000-0000-0000FB3C0000}"/>
    <cellStyle name="Normal 2 2 2 2 16 2 3" xfId="16395" xr:uid="{00000000-0005-0000-0000-0000FC3C0000}"/>
    <cellStyle name="Normal 2 2 2 2 16 2 4" xfId="16396" xr:uid="{00000000-0005-0000-0000-0000FD3C0000}"/>
    <cellStyle name="Normal 2 2 2 2 16 2 5" xfId="16397" xr:uid="{00000000-0005-0000-0000-0000FE3C0000}"/>
    <cellStyle name="Normal 2 2 2 2 16 2 6" xfId="16398" xr:uid="{00000000-0005-0000-0000-0000FF3C0000}"/>
    <cellStyle name="Normal 2 2 2 2 16 3" xfId="16399" xr:uid="{00000000-0005-0000-0000-0000003D0000}"/>
    <cellStyle name="Normal 2 2 2 2 16 3 2" xfId="16400" xr:uid="{00000000-0005-0000-0000-0000013D0000}"/>
    <cellStyle name="Normal 2 2 2 2 16 3 3" xfId="16401" xr:uid="{00000000-0005-0000-0000-0000023D0000}"/>
    <cellStyle name="Normal 2 2 2 2 16 3 4" xfId="16402" xr:uid="{00000000-0005-0000-0000-0000033D0000}"/>
    <cellStyle name="Normal 2 2 2 2 16 3 5" xfId="16403" xr:uid="{00000000-0005-0000-0000-0000043D0000}"/>
    <cellStyle name="Normal 2 2 2 2 16 3 6" xfId="16404" xr:uid="{00000000-0005-0000-0000-0000053D0000}"/>
    <cellStyle name="Normal 2 2 2 2 16 4" xfId="16405" xr:uid="{00000000-0005-0000-0000-0000063D0000}"/>
    <cellStyle name="Normal 2 2 2 2 16 4 2" xfId="16406" xr:uid="{00000000-0005-0000-0000-0000073D0000}"/>
    <cellStyle name="Normal 2 2 2 2 16 4 3" xfId="16407" xr:uid="{00000000-0005-0000-0000-0000083D0000}"/>
    <cellStyle name="Normal 2 2 2 2 16 4 4" xfId="16408" xr:uid="{00000000-0005-0000-0000-0000093D0000}"/>
    <cellStyle name="Normal 2 2 2 2 16 4 5" xfId="16409" xr:uid="{00000000-0005-0000-0000-00000A3D0000}"/>
    <cellStyle name="Normal 2 2 2 2 16 4 6" xfId="16410" xr:uid="{00000000-0005-0000-0000-00000B3D0000}"/>
    <cellStyle name="Normal 2 2 2 2 16 5" xfId="16411" xr:uid="{00000000-0005-0000-0000-00000C3D0000}"/>
    <cellStyle name="Normal 2 2 2 2 16 5 2" xfId="16412" xr:uid="{00000000-0005-0000-0000-00000D3D0000}"/>
    <cellStyle name="Normal 2 2 2 2 16 5 3" xfId="16413" xr:uid="{00000000-0005-0000-0000-00000E3D0000}"/>
    <cellStyle name="Normal 2 2 2 2 16 5 4" xfId="16414" xr:uid="{00000000-0005-0000-0000-00000F3D0000}"/>
    <cellStyle name="Normal 2 2 2 2 16 5 5" xfId="16415" xr:uid="{00000000-0005-0000-0000-0000103D0000}"/>
    <cellStyle name="Normal 2 2 2 2 16 5 6" xfId="16416" xr:uid="{00000000-0005-0000-0000-0000113D0000}"/>
    <cellStyle name="Normal 2 2 2 2 16 6" xfId="16417" xr:uid="{00000000-0005-0000-0000-0000123D0000}"/>
    <cellStyle name="Normal 2 2 2 2 16 6 2" xfId="16418" xr:uid="{00000000-0005-0000-0000-0000133D0000}"/>
    <cellStyle name="Normal 2 2 2 2 16 6 3" xfId="16419" xr:uid="{00000000-0005-0000-0000-0000143D0000}"/>
    <cellStyle name="Normal 2 2 2 2 16 6 4" xfId="16420" xr:uid="{00000000-0005-0000-0000-0000153D0000}"/>
    <cellStyle name="Normal 2 2 2 2 16 6 5" xfId="16421" xr:uid="{00000000-0005-0000-0000-0000163D0000}"/>
    <cellStyle name="Normal 2 2 2 2 16 6 6" xfId="16422" xr:uid="{00000000-0005-0000-0000-0000173D0000}"/>
    <cellStyle name="Normal 2 2 2 2 16 7" xfId="16423" xr:uid="{00000000-0005-0000-0000-0000183D0000}"/>
    <cellStyle name="Normal 2 2 2 2 16 7 2" xfId="16424" xr:uid="{00000000-0005-0000-0000-0000193D0000}"/>
    <cellStyle name="Normal 2 2 2 2 16 7 3" xfId="16425" xr:uid="{00000000-0005-0000-0000-00001A3D0000}"/>
    <cellStyle name="Normal 2 2 2 2 16 7 4" xfId="16426" xr:uid="{00000000-0005-0000-0000-00001B3D0000}"/>
    <cellStyle name="Normal 2 2 2 2 16 7 5" xfId="16427" xr:uid="{00000000-0005-0000-0000-00001C3D0000}"/>
    <cellStyle name="Normal 2 2 2 2 16 7 6" xfId="16428" xr:uid="{00000000-0005-0000-0000-00001D3D0000}"/>
    <cellStyle name="Normal 2 2 2 2 16 8" xfId="16429" xr:uid="{00000000-0005-0000-0000-00001E3D0000}"/>
    <cellStyle name="Normal 2 2 2 2 16 8 2" xfId="16430" xr:uid="{00000000-0005-0000-0000-00001F3D0000}"/>
    <cellStyle name="Normal 2 2 2 2 16 8 3" xfId="16431" xr:uid="{00000000-0005-0000-0000-0000203D0000}"/>
    <cellStyle name="Normal 2 2 2 2 16 8 4" xfId="16432" xr:uid="{00000000-0005-0000-0000-0000213D0000}"/>
    <cellStyle name="Normal 2 2 2 2 16 8 5" xfId="16433" xr:uid="{00000000-0005-0000-0000-0000223D0000}"/>
    <cellStyle name="Normal 2 2 2 2 16 8 6" xfId="16434" xr:uid="{00000000-0005-0000-0000-0000233D0000}"/>
    <cellStyle name="Normal 2 2 2 2 16 9" xfId="16435" xr:uid="{00000000-0005-0000-0000-0000243D0000}"/>
    <cellStyle name="Normal 2 2 2 2 17" xfId="16436" xr:uid="{00000000-0005-0000-0000-0000253D0000}"/>
    <cellStyle name="Normal 2 2 2 2 17 10" xfId="16437" xr:uid="{00000000-0005-0000-0000-0000263D0000}"/>
    <cellStyle name="Normal 2 2 2 2 17 11" xfId="16438" xr:uid="{00000000-0005-0000-0000-0000273D0000}"/>
    <cellStyle name="Normal 2 2 2 2 17 12" xfId="16439" xr:uid="{00000000-0005-0000-0000-0000283D0000}"/>
    <cellStyle name="Normal 2 2 2 2 17 12 2" xfId="16440" xr:uid="{00000000-0005-0000-0000-0000293D0000}"/>
    <cellStyle name="Normal 2 2 2 2 17 12 3" xfId="16441" xr:uid="{00000000-0005-0000-0000-00002A3D0000}"/>
    <cellStyle name="Normal 2 2 2 2 17 12 4" xfId="16442" xr:uid="{00000000-0005-0000-0000-00002B3D0000}"/>
    <cellStyle name="Normal 2 2 2 2 17 12 5" xfId="16443" xr:uid="{00000000-0005-0000-0000-00002C3D0000}"/>
    <cellStyle name="Normal 2 2 2 2 17 12 6" xfId="16444" xr:uid="{00000000-0005-0000-0000-00002D3D0000}"/>
    <cellStyle name="Normal 2 2 2 2 17 13" xfId="16445" xr:uid="{00000000-0005-0000-0000-00002E3D0000}"/>
    <cellStyle name="Normal 2 2 2 2 17 13 2" xfId="16446" xr:uid="{00000000-0005-0000-0000-00002F3D0000}"/>
    <cellStyle name="Normal 2 2 2 2 17 13 3" xfId="16447" xr:uid="{00000000-0005-0000-0000-0000303D0000}"/>
    <cellStyle name="Normal 2 2 2 2 17 13 4" xfId="16448" xr:uid="{00000000-0005-0000-0000-0000313D0000}"/>
    <cellStyle name="Normal 2 2 2 2 17 13 5" xfId="16449" xr:uid="{00000000-0005-0000-0000-0000323D0000}"/>
    <cellStyle name="Normal 2 2 2 2 17 13 6" xfId="16450" xr:uid="{00000000-0005-0000-0000-0000333D0000}"/>
    <cellStyle name="Normal 2 2 2 2 17 14" xfId="16451" xr:uid="{00000000-0005-0000-0000-0000343D0000}"/>
    <cellStyle name="Normal 2 2 2 2 17 14 2" xfId="16452" xr:uid="{00000000-0005-0000-0000-0000353D0000}"/>
    <cellStyle name="Normal 2 2 2 2 17 14 3" xfId="16453" xr:uid="{00000000-0005-0000-0000-0000363D0000}"/>
    <cellStyle name="Normal 2 2 2 2 17 14 4" xfId="16454" xr:uid="{00000000-0005-0000-0000-0000373D0000}"/>
    <cellStyle name="Normal 2 2 2 2 17 14 5" xfId="16455" xr:uid="{00000000-0005-0000-0000-0000383D0000}"/>
    <cellStyle name="Normal 2 2 2 2 17 14 6" xfId="16456" xr:uid="{00000000-0005-0000-0000-0000393D0000}"/>
    <cellStyle name="Normal 2 2 2 2 17 15" xfId="16457" xr:uid="{00000000-0005-0000-0000-00003A3D0000}"/>
    <cellStyle name="Normal 2 2 2 2 17 15 2" xfId="16458" xr:uid="{00000000-0005-0000-0000-00003B3D0000}"/>
    <cellStyle name="Normal 2 2 2 2 17 15 3" xfId="16459" xr:uid="{00000000-0005-0000-0000-00003C3D0000}"/>
    <cellStyle name="Normal 2 2 2 2 17 15 4" xfId="16460" xr:uid="{00000000-0005-0000-0000-00003D3D0000}"/>
    <cellStyle name="Normal 2 2 2 2 17 15 5" xfId="16461" xr:uid="{00000000-0005-0000-0000-00003E3D0000}"/>
    <cellStyle name="Normal 2 2 2 2 17 15 6" xfId="16462" xr:uid="{00000000-0005-0000-0000-00003F3D0000}"/>
    <cellStyle name="Normal 2 2 2 2 17 16" xfId="16463" xr:uid="{00000000-0005-0000-0000-0000403D0000}"/>
    <cellStyle name="Normal 2 2 2 2 17 16 2" xfId="16464" xr:uid="{00000000-0005-0000-0000-0000413D0000}"/>
    <cellStyle name="Normal 2 2 2 2 17 16 3" xfId="16465" xr:uid="{00000000-0005-0000-0000-0000423D0000}"/>
    <cellStyle name="Normal 2 2 2 2 17 16 4" xfId="16466" xr:uid="{00000000-0005-0000-0000-0000433D0000}"/>
    <cellStyle name="Normal 2 2 2 2 17 16 5" xfId="16467" xr:uid="{00000000-0005-0000-0000-0000443D0000}"/>
    <cellStyle name="Normal 2 2 2 2 17 16 6" xfId="16468" xr:uid="{00000000-0005-0000-0000-0000453D0000}"/>
    <cellStyle name="Normal 2 2 2 2 17 17" xfId="16469" xr:uid="{00000000-0005-0000-0000-0000463D0000}"/>
    <cellStyle name="Normal 2 2 2 2 17 17 2" xfId="16470" xr:uid="{00000000-0005-0000-0000-0000473D0000}"/>
    <cellStyle name="Normal 2 2 2 2 17 17 3" xfId="16471" xr:uid="{00000000-0005-0000-0000-0000483D0000}"/>
    <cellStyle name="Normal 2 2 2 2 17 17 4" xfId="16472" xr:uid="{00000000-0005-0000-0000-0000493D0000}"/>
    <cellStyle name="Normal 2 2 2 2 17 17 5" xfId="16473" xr:uid="{00000000-0005-0000-0000-00004A3D0000}"/>
    <cellStyle name="Normal 2 2 2 2 17 17 6" xfId="16474" xr:uid="{00000000-0005-0000-0000-00004B3D0000}"/>
    <cellStyle name="Normal 2 2 2 2 17 18" xfId="16475" xr:uid="{00000000-0005-0000-0000-00004C3D0000}"/>
    <cellStyle name="Normal 2 2 2 2 17 18 2" xfId="16476" xr:uid="{00000000-0005-0000-0000-00004D3D0000}"/>
    <cellStyle name="Normal 2 2 2 2 17 18 3" xfId="16477" xr:uid="{00000000-0005-0000-0000-00004E3D0000}"/>
    <cellStyle name="Normal 2 2 2 2 17 18 4" xfId="16478" xr:uid="{00000000-0005-0000-0000-00004F3D0000}"/>
    <cellStyle name="Normal 2 2 2 2 17 18 5" xfId="16479" xr:uid="{00000000-0005-0000-0000-0000503D0000}"/>
    <cellStyle name="Normal 2 2 2 2 17 18 6" xfId="16480" xr:uid="{00000000-0005-0000-0000-0000513D0000}"/>
    <cellStyle name="Normal 2 2 2 2 17 19" xfId="16481" xr:uid="{00000000-0005-0000-0000-0000523D0000}"/>
    <cellStyle name="Normal 2 2 2 2 17 2" xfId="16482" xr:uid="{00000000-0005-0000-0000-0000533D0000}"/>
    <cellStyle name="Normal 2 2 2 2 17 20" xfId="16483" xr:uid="{00000000-0005-0000-0000-0000543D0000}"/>
    <cellStyle name="Normal 2 2 2 2 17 21" xfId="16484" xr:uid="{00000000-0005-0000-0000-0000553D0000}"/>
    <cellStyle name="Normal 2 2 2 2 17 22" xfId="16485" xr:uid="{00000000-0005-0000-0000-0000563D0000}"/>
    <cellStyle name="Normal 2 2 2 2 17 23" xfId="16486" xr:uid="{00000000-0005-0000-0000-0000573D0000}"/>
    <cellStyle name="Normal 2 2 2 2 17 3" xfId="16487" xr:uid="{00000000-0005-0000-0000-0000583D0000}"/>
    <cellStyle name="Normal 2 2 2 2 17 4" xfId="16488" xr:uid="{00000000-0005-0000-0000-0000593D0000}"/>
    <cellStyle name="Normal 2 2 2 2 17 5" xfId="16489" xr:uid="{00000000-0005-0000-0000-00005A3D0000}"/>
    <cellStyle name="Normal 2 2 2 2 17 6" xfId="16490" xr:uid="{00000000-0005-0000-0000-00005B3D0000}"/>
    <cellStyle name="Normal 2 2 2 2 17 7" xfId="16491" xr:uid="{00000000-0005-0000-0000-00005C3D0000}"/>
    <cellStyle name="Normal 2 2 2 2 17 8" xfId="16492" xr:uid="{00000000-0005-0000-0000-00005D3D0000}"/>
    <cellStyle name="Normal 2 2 2 2 17 9" xfId="16493" xr:uid="{00000000-0005-0000-0000-00005E3D0000}"/>
    <cellStyle name="Normal 2 2 2 2 18" xfId="16494" xr:uid="{00000000-0005-0000-0000-00005F3D0000}"/>
    <cellStyle name="Normal 2 2 2 2 18 2" xfId="16495" xr:uid="{00000000-0005-0000-0000-0000603D0000}"/>
    <cellStyle name="Normal 2 2 2 2 18 2 2" xfId="16496" xr:uid="{00000000-0005-0000-0000-0000613D0000}"/>
    <cellStyle name="Normal 2 2 2 2 18 2 2 2" xfId="16497" xr:uid="{00000000-0005-0000-0000-0000623D0000}"/>
    <cellStyle name="Normal 2 2 2 2 18 2 3" xfId="16498" xr:uid="{00000000-0005-0000-0000-0000633D0000}"/>
    <cellStyle name="Normal 2 2 2 2 18 3" xfId="16499" xr:uid="{00000000-0005-0000-0000-0000643D0000}"/>
    <cellStyle name="Normal 2 2 2 2 18 3 2" xfId="16500" xr:uid="{00000000-0005-0000-0000-0000653D0000}"/>
    <cellStyle name="Normal 2 2 2 2 19" xfId="16501" xr:uid="{00000000-0005-0000-0000-0000663D0000}"/>
    <cellStyle name="Normal 2 2 2 2 19 2" xfId="16502" xr:uid="{00000000-0005-0000-0000-0000673D0000}"/>
    <cellStyle name="Normal 2 2 2 2 2" xfId="16503" xr:uid="{00000000-0005-0000-0000-0000683D0000}"/>
    <cellStyle name="Normal 2 2 2 2 2 10" xfId="16504" xr:uid="{00000000-0005-0000-0000-0000693D0000}"/>
    <cellStyle name="Normal 2 2 2 2 2 11" xfId="16505" xr:uid="{00000000-0005-0000-0000-00006A3D0000}"/>
    <cellStyle name="Normal 2 2 2 2 2 11 10" xfId="16506" xr:uid="{00000000-0005-0000-0000-00006B3D0000}"/>
    <cellStyle name="Normal 2 2 2 2 2 11 10 10" xfId="16507" xr:uid="{00000000-0005-0000-0000-00006C3D0000}"/>
    <cellStyle name="Normal 2 2 2 2 2 11 10 11" xfId="16508" xr:uid="{00000000-0005-0000-0000-00006D3D0000}"/>
    <cellStyle name="Normal 2 2 2 2 2 11 10 12" xfId="16509" xr:uid="{00000000-0005-0000-0000-00006E3D0000}"/>
    <cellStyle name="Normal 2 2 2 2 2 11 10 13" xfId="16510" xr:uid="{00000000-0005-0000-0000-00006F3D0000}"/>
    <cellStyle name="Normal 2 2 2 2 2 11 10 2" xfId="16511" xr:uid="{00000000-0005-0000-0000-0000703D0000}"/>
    <cellStyle name="Normal 2 2 2 2 2 11 10 2 2" xfId="16512" xr:uid="{00000000-0005-0000-0000-0000713D0000}"/>
    <cellStyle name="Normal 2 2 2 2 2 11 10 2 3" xfId="16513" xr:uid="{00000000-0005-0000-0000-0000723D0000}"/>
    <cellStyle name="Normal 2 2 2 2 2 11 10 2 4" xfId="16514" xr:uid="{00000000-0005-0000-0000-0000733D0000}"/>
    <cellStyle name="Normal 2 2 2 2 2 11 10 2 5" xfId="16515" xr:uid="{00000000-0005-0000-0000-0000743D0000}"/>
    <cellStyle name="Normal 2 2 2 2 2 11 10 2 6" xfId="16516" xr:uid="{00000000-0005-0000-0000-0000753D0000}"/>
    <cellStyle name="Normal 2 2 2 2 2 11 10 3" xfId="16517" xr:uid="{00000000-0005-0000-0000-0000763D0000}"/>
    <cellStyle name="Normal 2 2 2 2 2 11 10 3 2" xfId="16518" xr:uid="{00000000-0005-0000-0000-0000773D0000}"/>
    <cellStyle name="Normal 2 2 2 2 2 11 10 3 3" xfId="16519" xr:uid="{00000000-0005-0000-0000-0000783D0000}"/>
    <cellStyle name="Normal 2 2 2 2 2 11 10 3 4" xfId="16520" xr:uid="{00000000-0005-0000-0000-0000793D0000}"/>
    <cellStyle name="Normal 2 2 2 2 2 11 10 3 5" xfId="16521" xr:uid="{00000000-0005-0000-0000-00007A3D0000}"/>
    <cellStyle name="Normal 2 2 2 2 2 11 10 3 6" xfId="16522" xr:uid="{00000000-0005-0000-0000-00007B3D0000}"/>
    <cellStyle name="Normal 2 2 2 2 2 11 10 4" xfId="16523" xr:uid="{00000000-0005-0000-0000-00007C3D0000}"/>
    <cellStyle name="Normal 2 2 2 2 2 11 10 4 2" xfId="16524" xr:uid="{00000000-0005-0000-0000-00007D3D0000}"/>
    <cellStyle name="Normal 2 2 2 2 2 11 10 4 3" xfId="16525" xr:uid="{00000000-0005-0000-0000-00007E3D0000}"/>
    <cellStyle name="Normal 2 2 2 2 2 11 10 4 4" xfId="16526" xr:uid="{00000000-0005-0000-0000-00007F3D0000}"/>
    <cellStyle name="Normal 2 2 2 2 2 11 10 4 5" xfId="16527" xr:uid="{00000000-0005-0000-0000-0000803D0000}"/>
    <cellStyle name="Normal 2 2 2 2 2 11 10 4 6" xfId="16528" xr:uid="{00000000-0005-0000-0000-0000813D0000}"/>
    <cellStyle name="Normal 2 2 2 2 2 11 10 5" xfId="16529" xr:uid="{00000000-0005-0000-0000-0000823D0000}"/>
    <cellStyle name="Normal 2 2 2 2 2 11 10 5 2" xfId="16530" xr:uid="{00000000-0005-0000-0000-0000833D0000}"/>
    <cellStyle name="Normal 2 2 2 2 2 11 10 5 3" xfId="16531" xr:uid="{00000000-0005-0000-0000-0000843D0000}"/>
    <cellStyle name="Normal 2 2 2 2 2 11 10 5 4" xfId="16532" xr:uid="{00000000-0005-0000-0000-0000853D0000}"/>
    <cellStyle name="Normal 2 2 2 2 2 11 10 5 5" xfId="16533" xr:uid="{00000000-0005-0000-0000-0000863D0000}"/>
    <cellStyle name="Normal 2 2 2 2 2 11 10 5 6" xfId="16534" xr:uid="{00000000-0005-0000-0000-0000873D0000}"/>
    <cellStyle name="Normal 2 2 2 2 2 11 10 6" xfId="16535" xr:uid="{00000000-0005-0000-0000-0000883D0000}"/>
    <cellStyle name="Normal 2 2 2 2 2 11 10 6 2" xfId="16536" xr:uid="{00000000-0005-0000-0000-0000893D0000}"/>
    <cellStyle name="Normal 2 2 2 2 2 11 10 6 3" xfId="16537" xr:uid="{00000000-0005-0000-0000-00008A3D0000}"/>
    <cellStyle name="Normal 2 2 2 2 2 11 10 6 4" xfId="16538" xr:uid="{00000000-0005-0000-0000-00008B3D0000}"/>
    <cellStyle name="Normal 2 2 2 2 2 11 10 6 5" xfId="16539" xr:uid="{00000000-0005-0000-0000-00008C3D0000}"/>
    <cellStyle name="Normal 2 2 2 2 2 11 10 6 6" xfId="16540" xr:uid="{00000000-0005-0000-0000-00008D3D0000}"/>
    <cellStyle name="Normal 2 2 2 2 2 11 10 7" xfId="16541" xr:uid="{00000000-0005-0000-0000-00008E3D0000}"/>
    <cellStyle name="Normal 2 2 2 2 2 11 10 7 2" xfId="16542" xr:uid="{00000000-0005-0000-0000-00008F3D0000}"/>
    <cellStyle name="Normal 2 2 2 2 2 11 10 7 3" xfId="16543" xr:uid="{00000000-0005-0000-0000-0000903D0000}"/>
    <cellStyle name="Normal 2 2 2 2 2 11 10 7 4" xfId="16544" xr:uid="{00000000-0005-0000-0000-0000913D0000}"/>
    <cellStyle name="Normal 2 2 2 2 2 11 10 7 5" xfId="16545" xr:uid="{00000000-0005-0000-0000-0000923D0000}"/>
    <cellStyle name="Normal 2 2 2 2 2 11 10 7 6" xfId="16546" xr:uid="{00000000-0005-0000-0000-0000933D0000}"/>
    <cellStyle name="Normal 2 2 2 2 2 11 10 8" xfId="16547" xr:uid="{00000000-0005-0000-0000-0000943D0000}"/>
    <cellStyle name="Normal 2 2 2 2 2 11 10 8 2" xfId="16548" xr:uid="{00000000-0005-0000-0000-0000953D0000}"/>
    <cellStyle name="Normal 2 2 2 2 2 11 10 8 3" xfId="16549" xr:uid="{00000000-0005-0000-0000-0000963D0000}"/>
    <cellStyle name="Normal 2 2 2 2 2 11 10 8 4" xfId="16550" xr:uid="{00000000-0005-0000-0000-0000973D0000}"/>
    <cellStyle name="Normal 2 2 2 2 2 11 10 8 5" xfId="16551" xr:uid="{00000000-0005-0000-0000-0000983D0000}"/>
    <cellStyle name="Normal 2 2 2 2 2 11 10 8 6" xfId="16552" xr:uid="{00000000-0005-0000-0000-0000993D0000}"/>
    <cellStyle name="Normal 2 2 2 2 2 11 10 9" xfId="16553" xr:uid="{00000000-0005-0000-0000-00009A3D0000}"/>
    <cellStyle name="Normal 2 2 2 2 2 11 11" xfId="16554" xr:uid="{00000000-0005-0000-0000-00009B3D0000}"/>
    <cellStyle name="Normal 2 2 2 2 2 11 11 10" xfId="16555" xr:uid="{00000000-0005-0000-0000-00009C3D0000}"/>
    <cellStyle name="Normal 2 2 2 2 2 11 11 11" xfId="16556" xr:uid="{00000000-0005-0000-0000-00009D3D0000}"/>
    <cellStyle name="Normal 2 2 2 2 2 11 11 12" xfId="16557" xr:uid="{00000000-0005-0000-0000-00009E3D0000}"/>
    <cellStyle name="Normal 2 2 2 2 2 11 11 13" xfId="16558" xr:uid="{00000000-0005-0000-0000-00009F3D0000}"/>
    <cellStyle name="Normal 2 2 2 2 2 11 11 2" xfId="16559" xr:uid="{00000000-0005-0000-0000-0000A03D0000}"/>
    <cellStyle name="Normal 2 2 2 2 2 11 11 2 2" xfId="16560" xr:uid="{00000000-0005-0000-0000-0000A13D0000}"/>
    <cellStyle name="Normal 2 2 2 2 2 11 11 2 3" xfId="16561" xr:uid="{00000000-0005-0000-0000-0000A23D0000}"/>
    <cellStyle name="Normal 2 2 2 2 2 11 11 2 4" xfId="16562" xr:uid="{00000000-0005-0000-0000-0000A33D0000}"/>
    <cellStyle name="Normal 2 2 2 2 2 11 11 2 5" xfId="16563" xr:uid="{00000000-0005-0000-0000-0000A43D0000}"/>
    <cellStyle name="Normal 2 2 2 2 2 11 11 2 6" xfId="16564" xr:uid="{00000000-0005-0000-0000-0000A53D0000}"/>
    <cellStyle name="Normal 2 2 2 2 2 11 11 3" xfId="16565" xr:uid="{00000000-0005-0000-0000-0000A63D0000}"/>
    <cellStyle name="Normal 2 2 2 2 2 11 11 3 2" xfId="16566" xr:uid="{00000000-0005-0000-0000-0000A73D0000}"/>
    <cellStyle name="Normal 2 2 2 2 2 11 11 3 3" xfId="16567" xr:uid="{00000000-0005-0000-0000-0000A83D0000}"/>
    <cellStyle name="Normal 2 2 2 2 2 11 11 3 4" xfId="16568" xr:uid="{00000000-0005-0000-0000-0000A93D0000}"/>
    <cellStyle name="Normal 2 2 2 2 2 11 11 3 5" xfId="16569" xr:uid="{00000000-0005-0000-0000-0000AA3D0000}"/>
    <cellStyle name="Normal 2 2 2 2 2 11 11 3 6" xfId="16570" xr:uid="{00000000-0005-0000-0000-0000AB3D0000}"/>
    <cellStyle name="Normal 2 2 2 2 2 11 11 4" xfId="16571" xr:uid="{00000000-0005-0000-0000-0000AC3D0000}"/>
    <cellStyle name="Normal 2 2 2 2 2 11 11 4 2" xfId="16572" xr:uid="{00000000-0005-0000-0000-0000AD3D0000}"/>
    <cellStyle name="Normal 2 2 2 2 2 11 11 4 3" xfId="16573" xr:uid="{00000000-0005-0000-0000-0000AE3D0000}"/>
    <cellStyle name="Normal 2 2 2 2 2 11 11 4 4" xfId="16574" xr:uid="{00000000-0005-0000-0000-0000AF3D0000}"/>
    <cellStyle name="Normal 2 2 2 2 2 11 11 4 5" xfId="16575" xr:uid="{00000000-0005-0000-0000-0000B03D0000}"/>
    <cellStyle name="Normal 2 2 2 2 2 11 11 4 6" xfId="16576" xr:uid="{00000000-0005-0000-0000-0000B13D0000}"/>
    <cellStyle name="Normal 2 2 2 2 2 11 11 5" xfId="16577" xr:uid="{00000000-0005-0000-0000-0000B23D0000}"/>
    <cellStyle name="Normal 2 2 2 2 2 11 11 5 2" xfId="16578" xr:uid="{00000000-0005-0000-0000-0000B33D0000}"/>
    <cellStyle name="Normal 2 2 2 2 2 11 11 5 3" xfId="16579" xr:uid="{00000000-0005-0000-0000-0000B43D0000}"/>
    <cellStyle name="Normal 2 2 2 2 2 11 11 5 4" xfId="16580" xr:uid="{00000000-0005-0000-0000-0000B53D0000}"/>
    <cellStyle name="Normal 2 2 2 2 2 11 11 5 5" xfId="16581" xr:uid="{00000000-0005-0000-0000-0000B63D0000}"/>
    <cellStyle name="Normal 2 2 2 2 2 11 11 5 6" xfId="16582" xr:uid="{00000000-0005-0000-0000-0000B73D0000}"/>
    <cellStyle name="Normal 2 2 2 2 2 11 11 6" xfId="16583" xr:uid="{00000000-0005-0000-0000-0000B83D0000}"/>
    <cellStyle name="Normal 2 2 2 2 2 11 11 6 2" xfId="16584" xr:uid="{00000000-0005-0000-0000-0000B93D0000}"/>
    <cellStyle name="Normal 2 2 2 2 2 11 11 6 3" xfId="16585" xr:uid="{00000000-0005-0000-0000-0000BA3D0000}"/>
    <cellStyle name="Normal 2 2 2 2 2 11 11 6 4" xfId="16586" xr:uid="{00000000-0005-0000-0000-0000BB3D0000}"/>
    <cellStyle name="Normal 2 2 2 2 2 11 11 6 5" xfId="16587" xr:uid="{00000000-0005-0000-0000-0000BC3D0000}"/>
    <cellStyle name="Normal 2 2 2 2 2 11 11 6 6" xfId="16588" xr:uid="{00000000-0005-0000-0000-0000BD3D0000}"/>
    <cellStyle name="Normal 2 2 2 2 2 11 11 7" xfId="16589" xr:uid="{00000000-0005-0000-0000-0000BE3D0000}"/>
    <cellStyle name="Normal 2 2 2 2 2 11 11 7 2" xfId="16590" xr:uid="{00000000-0005-0000-0000-0000BF3D0000}"/>
    <cellStyle name="Normal 2 2 2 2 2 11 11 7 3" xfId="16591" xr:uid="{00000000-0005-0000-0000-0000C03D0000}"/>
    <cellStyle name="Normal 2 2 2 2 2 11 11 7 4" xfId="16592" xr:uid="{00000000-0005-0000-0000-0000C13D0000}"/>
    <cellStyle name="Normal 2 2 2 2 2 11 11 7 5" xfId="16593" xr:uid="{00000000-0005-0000-0000-0000C23D0000}"/>
    <cellStyle name="Normal 2 2 2 2 2 11 11 7 6" xfId="16594" xr:uid="{00000000-0005-0000-0000-0000C33D0000}"/>
    <cellStyle name="Normal 2 2 2 2 2 11 11 8" xfId="16595" xr:uid="{00000000-0005-0000-0000-0000C43D0000}"/>
    <cellStyle name="Normal 2 2 2 2 2 11 11 8 2" xfId="16596" xr:uid="{00000000-0005-0000-0000-0000C53D0000}"/>
    <cellStyle name="Normal 2 2 2 2 2 11 11 8 3" xfId="16597" xr:uid="{00000000-0005-0000-0000-0000C63D0000}"/>
    <cellStyle name="Normal 2 2 2 2 2 11 11 8 4" xfId="16598" xr:uid="{00000000-0005-0000-0000-0000C73D0000}"/>
    <cellStyle name="Normal 2 2 2 2 2 11 11 8 5" xfId="16599" xr:uid="{00000000-0005-0000-0000-0000C83D0000}"/>
    <cellStyle name="Normal 2 2 2 2 2 11 11 8 6" xfId="16600" xr:uid="{00000000-0005-0000-0000-0000C93D0000}"/>
    <cellStyle name="Normal 2 2 2 2 2 11 11 9" xfId="16601" xr:uid="{00000000-0005-0000-0000-0000CA3D0000}"/>
    <cellStyle name="Normal 2 2 2 2 2 11 2" xfId="16602" xr:uid="{00000000-0005-0000-0000-0000CB3D0000}"/>
    <cellStyle name="Normal 2 2 2 2 2 11 2 10" xfId="16603" xr:uid="{00000000-0005-0000-0000-0000CC3D0000}"/>
    <cellStyle name="Normal 2 2 2 2 2 11 2 11" xfId="16604" xr:uid="{00000000-0005-0000-0000-0000CD3D0000}"/>
    <cellStyle name="Normal 2 2 2 2 2 11 2 12" xfId="16605" xr:uid="{00000000-0005-0000-0000-0000CE3D0000}"/>
    <cellStyle name="Normal 2 2 2 2 2 11 2 13" xfId="16606" xr:uid="{00000000-0005-0000-0000-0000CF3D0000}"/>
    <cellStyle name="Normal 2 2 2 2 2 11 2 2" xfId="16607" xr:uid="{00000000-0005-0000-0000-0000D03D0000}"/>
    <cellStyle name="Normal 2 2 2 2 2 11 2 2 2" xfId="16608" xr:uid="{00000000-0005-0000-0000-0000D13D0000}"/>
    <cellStyle name="Normal 2 2 2 2 2 11 2 2 3" xfId="16609" xr:uid="{00000000-0005-0000-0000-0000D23D0000}"/>
    <cellStyle name="Normal 2 2 2 2 2 11 2 2 4" xfId="16610" xr:uid="{00000000-0005-0000-0000-0000D33D0000}"/>
    <cellStyle name="Normal 2 2 2 2 2 11 2 2 5" xfId="16611" xr:uid="{00000000-0005-0000-0000-0000D43D0000}"/>
    <cellStyle name="Normal 2 2 2 2 2 11 2 2 6" xfId="16612" xr:uid="{00000000-0005-0000-0000-0000D53D0000}"/>
    <cellStyle name="Normal 2 2 2 2 2 11 2 3" xfId="16613" xr:uid="{00000000-0005-0000-0000-0000D63D0000}"/>
    <cellStyle name="Normal 2 2 2 2 2 11 2 3 2" xfId="16614" xr:uid="{00000000-0005-0000-0000-0000D73D0000}"/>
    <cellStyle name="Normal 2 2 2 2 2 11 2 3 3" xfId="16615" xr:uid="{00000000-0005-0000-0000-0000D83D0000}"/>
    <cellStyle name="Normal 2 2 2 2 2 11 2 3 4" xfId="16616" xr:uid="{00000000-0005-0000-0000-0000D93D0000}"/>
    <cellStyle name="Normal 2 2 2 2 2 11 2 3 5" xfId="16617" xr:uid="{00000000-0005-0000-0000-0000DA3D0000}"/>
    <cellStyle name="Normal 2 2 2 2 2 11 2 3 6" xfId="16618" xr:uid="{00000000-0005-0000-0000-0000DB3D0000}"/>
    <cellStyle name="Normal 2 2 2 2 2 11 2 4" xfId="16619" xr:uid="{00000000-0005-0000-0000-0000DC3D0000}"/>
    <cellStyle name="Normal 2 2 2 2 2 11 2 4 2" xfId="16620" xr:uid="{00000000-0005-0000-0000-0000DD3D0000}"/>
    <cellStyle name="Normal 2 2 2 2 2 11 2 4 3" xfId="16621" xr:uid="{00000000-0005-0000-0000-0000DE3D0000}"/>
    <cellStyle name="Normal 2 2 2 2 2 11 2 4 4" xfId="16622" xr:uid="{00000000-0005-0000-0000-0000DF3D0000}"/>
    <cellStyle name="Normal 2 2 2 2 2 11 2 4 5" xfId="16623" xr:uid="{00000000-0005-0000-0000-0000E03D0000}"/>
    <cellStyle name="Normal 2 2 2 2 2 11 2 4 6" xfId="16624" xr:uid="{00000000-0005-0000-0000-0000E13D0000}"/>
    <cellStyle name="Normal 2 2 2 2 2 11 2 5" xfId="16625" xr:uid="{00000000-0005-0000-0000-0000E23D0000}"/>
    <cellStyle name="Normal 2 2 2 2 2 11 2 5 2" xfId="16626" xr:uid="{00000000-0005-0000-0000-0000E33D0000}"/>
    <cellStyle name="Normal 2 2 2 2 2 11 2 5 3" xfId="16627" xr:uid="{00000000-0005-0000-0000-0000E43D0000}"/>
    <cellStyle name="Normal 2 2 2 2 2 11 2 5 4" xfId="16628" xr:uid="{00000000-0005-0000-0000-0000E53D0000}"/>
    <cellStyle name="Normal 2 2 2 2 2 11 2 5 5" xfId="16629" xr:uid="{00000000-0005-0000-0000-0000E63D0000}"/>
    <cellStyle name="Normal 2 2 2 2 2 11 2 5 6" xfId="16630" xr:uid="{00000000-0005-0000-0000-0000E73D0000}"/>
    <cellStyle name="Normal 2 2 2 2 2 11 2 6" xfId="16631" xr:uid="{00000000-0005-0000-0000-0000E83D0000}"/>
    <cellStyle name="Normal 2 2 2 2 2 11 2 6 2" xfId="16632" xr:uid="{00000000-0005-0000-0000-0000E93D0000}"/>
    <cellStyle name="Normal 2 2 2 2 2 11 2 6 3" xfId="16633" xr:uid="{00000000-0005-0000-0000-0000EA3D0000}"/>
    <cellStyle name="Normal 2 2 2 2 2 11 2 6 4" xfId="16634" xr:uid="{00000000-0005-0000-0000-0000EB3D0000}"/>
    <cellStyle name="Normal 2 2 2 2 2 11 2 6 5" xfId="16635" xr:uid="{00000000-0005-0000-0000-0000EC3D0000}"/>
    <cellStyle name="Normal 2 2 2 2 2 11 2 6 6" xfId="16636" xr:uid="{00000000-0005-0000-0000-0000ED3D0000}"/>
    <cellStyle name="Normal 2 2 2 2 2 11 2 7" xfId="16637" xr:uid="{00000000-0005-0000-0000-0000EE3D0000}"/>
    <cellStyle name="Normal 2 2 2 2 2 11 2 7 2" xfId="16638" xr:uid="{00000000-0005-0000-0000-0000EF3D0000}"/>
    <cellStyle name="Normal 2 2 2 2 2 11 2 7 3" xfId="16639" xr:uid="{00000000-0005-0000-0000-0000F03D0000}"/>
    <cellStyle name="Normal 2 2 2 2 2 11 2 7 4" xfId="16640" xr:uid="{00000000-0005-0000-0000-0000F13D0000}"/>
    <cellStyle name="Normal 2 2 2 2 2 11 2 7 5" xfId="16641" xr:uid="{00000000-0005-0000-0000-0000F23D0000}"/>
    <cellStyle name="Normal 2 2 2 2 2 11 2 7 6" xfId="16642" xr:uid="{00000000-0005-0000-0000-0000F33D0000}"/>
    <cellStyle name="Normal 2 2 2 2 2 11 2 8" xfId="16643" xr:uid="{00000000-0005-0000-0000-0000F43D0000}"/>
    <cellStyle name="Normal 2 2 2 2 2 11 2 8 2" xfId="16644" xr:uid="{00000000-0005-0000-0000-0000F53D0000}"/>
    <cellStyle name="Normal 2 2 2 2 2 11 2 8 3" xfId="16645" xr:uid="{00000000-0005-0000-0000-0000F63D0000}"/>
    <cellStyle name="Normal 2 2 2 2 2 11 2 8 4" xfId="16646" xr:uid="{00000000-0005-0000-0000-0000F73D0000}"/>
    <cellStyle name="Normal 2 2 2 2 2 11 2 8 5" xfId="16647" xr:uid="{00000000-0005-0000-0000-0000F83D0000}"/>
    <cellStyle name="Normal 2 2 2 2 2 11 2 8 6" xfId="16648" xr:uid="{00000000-0005-0000-0000-0000F93D0000}"/>
    <cellStyle name="Normal 2 2 2 2 2 11 2 9" xfId="16649" xr:uid="{00000000-0005-0000-0000-0000FA3D0000}"/>
    <cellStyle name="Normal 2 2 2 2 2 11 3" xfId="16650" xr:uid="{00000000-0005-0000-0000-0000FB3D0000}"/>
    <cellStyle name="Normal 2 2 2 2 2 11 3 10" xfId="16651" xr:uid="{00000000-0005-0000-0000-0000FC3D0000}"/>
    <cellStyle name="Normal 2 2 2 2 2 11 3 11" xfId="16652" xr:uid="{00000000-0005-0000-0000-0000FD3D0000}"/>
    <cellStyle name="Normal 2 2 2 2 2 11 3 12" xfId="16653" xr:uid="{00000000-0005-0000-0000-0000FE3D0000}"/>
    <cellStyle name="Normal 2 2 2 2 2 11 3 13" xfId="16654" xr:uid="{00000000-0005-0000-0000-0000FF3D0000}"/>
    <cellStyle name="Normal 2 2 2 2 2 11 3 2" xfId="16655" xr:uid="{00000000-0005-0000-0000-0000003E0000}"/>
    <cellStyle name="Normal 2 2 2 2 2 11 3 2 2" xfId="16656" xr:uid="{00000000-0005-0000-0000-0000013E0000}"/>
    <cellStyle name="Normal 2 2 2 2 2 11 3 2 3" xfId="16657" xr:uid="{00000000-0005-0000-0000-0000023E0000}"/>
    <cellStyle name="Normal 2 2 2 2 2 11 3 2 4" xfId="16658" xr:uid="{00000000-0005-0000-0000-0000033E0000}"/>
    <cellStyle name="Normal 2 2 2 2 2 11 3 2 5" xfId="16659" xr:uid="{00000000-0005-0000-0000-0000043E0000}"/>
    <cellStyle name="Normal 2 2 2 2 2 11 3 2 6" xfId="16660" xr:uid="{00000000-0005-0000-0000-0000053E0000}"/>
    <cellStyle name="Normal 2 2 2 2 2 11 3 3" xfId="16661" xr:uid="{00000000-0005-0000-0000-0000063E0000}"/>
    <cellStyle name="Normal 2 2 2 2 2 11 3 3 2" xfId="16662" xr:uid="{00000000-0005-0000-0000-0000073E0000}"/>
    <cellStyle name="Normal 2 2 2 2 2 11 3 3 3" xfId="16663" xr:uid="{00000000-0005-0000-0000-0000083E0000}"/>
    <cellStyle name="Normal 2 2 2 2 2 11 3 3 4" xfId="16664" xr:uid="{00000000-0005-0000-0000-0000093E0000}"/>
    <cellStyle name="Normal 2 2 2 2 2 11 3 3 5" xfId="16665" xr:uid="{00000000-0005-0000-0000-00000A3E0000}"/>
    <cellStyle name="Normal 2 2 2 2 2 11 3 3 6" xfId="16666" xr:uid="{00000000-0005-0000-0000-00000B3E0000}"/>
    <cellStyle name="Normal 2 2 2 2 2 11 3 4" xfId="16667" xr:uid="{00000000-0005-0000-0000-00000C3E0000}"/>
    <cellStyle name="Normal 2 2 2 2 2 11 3 4 2" xfId="16668" xr:uid="{00000000-0005-0000-0000-00000D3E0000}"/>
    <cellStyle name="Normal 2 2 2 2 2 11 3 4 3" xfId="16669" xr:uid="{00000000-0005-0000-0000-00000E3E0000}"/>
    <cellStyle name="Normal 2 2 2 2 2 11 3 4 4" xfId="16670" xr:uid="{00000000-0005-0000-0000-00000F3E0000}"/>
    <cellStyle name="Normal 2 2 2 2 2 11 3 4 5" xfId="16671" xr:uid="{00000000-0005-0000-0000-0000103E0000}"/>
    <cellStyle name="Normal 2 2 2 2 2 11 3 4 6" xfId="16672" xr:uid="{00000000-0005-0000-0000-0000113E0000}"/>
    <cellStyle name="Normal 2 2 2 2 2 11 3 5" xfId="16673" xr:uid="{00000000-0005-0000-0000-0000123E0000}"/>
    <cellStyle name="Normal 2 2 2 2 2 11 3 5 2" xfId="16674" xr:uid="{00000000-0005-0000-0000-0000133E0000}"/>
    <cellStyle name="Normal 2 2 2 2 2 11 3 5 3" xfId="16675" xr:uid="{00000000-0005-0000-0000-0000143E0000}"/>
    <cellStyle name="Normal 2 2 2 2 2 11 3 5 4" xfId="16676" xr:uid="{00000000-0005-0000-0000-0000153E0000}"/>
    <cellStyle name="Normal 2 2 2 2 2 11 3 5 5" xfId="16677" xr:uid="{00000000-0005-0000-0000-0000163E0000}"/>
    <cellStyle name="Normal 2 2 2 2 2 11 3 5 6" xfId="16678" xr:uid="{00000000-0005-0000-0000-0000173E0000}"/>
    <cellStyle name="Normal 2 2 2 2 2 11 3 6" xfId="16679" xr:uid="{00000000-0005-0000-0000-0000183E0000}"/>
    <cellStyle name="Normal 2 2 2 2 2 11 3 6 2" xfId="16680" xr:uid="{00000000-0005-0000-0000-0000193E0000}"/>
    <cellStyle name="Normal 2 2 2 2 2 11 3 6 3" xfId="16681" xr:uid="{00000000-0005-0000-0000-00001A3E0000}"/>
    <cellStyle name="Normal 2 2 2 2 2 11 3 6 4" xfId="16682" xr:uid="{00000000-0005-0000-0000-00001B3E0000}"/>
    <cellStyle name="Normal 2 2 2 2 2 11 3 6 5" xfId="16683" xr:uid="{00000000-0005-0000-0000-00001C3E0000}"/>
    <cellStyle name="Normal 2 2 2 2 2 11 3 6 6" xfId="16684" xr:uid="{00000000-0005-0000-0000-00001D3E0000}"/>
    <cellStyle name="Normal 2 2 2 2 2 11 3 7" xfId="16685" xr:uid="{00000000-0005-0000-0000-00001E3E0000}"/>
    <cellStyle name="Normal 2 2 2 2 2 11 3 7 2" xfId="16686" xr:uid="{00000000-0005-0000-0000-00001F3E0000}"/>
    <cellStyle name="Normal 2 2 2 2 2 11 3 7 3" xfId="16687" xr:uid="{00000000-0005-0000-0000-0000203E0000}"/>
    <cellStyle name="Normal 2 2 2 2 2 11 3 7 4" xfId="16688" xr:uid="{00000000-0005-0000-0000-0000213E0000}"/>
    <cellStyle name="Normal 2 2 2 2 2 11 3 7 5" xfId="16689" xr:uid="{00000000-0005-0000-0000-0000223E0000}"/>
    <cellStyle name="Normal 2 2 2 2 2 11 3 7 6" xfId="16690" xr:uid="{00000000-0005-0000-0000-0000233E0000}"/>
    <cellStyle name="Normal 2 2 2 2 2 11 3 8" xfId="16691" xr:uid="{00000000-0005-0000-0000-0000243E0000}"/>
    <cellStyle name="Normal 2 2 2 2 2 11 3 8 2" xfId="16692" xr:uid="{00000000-0005-0000-0000-0000253E0000}"/>
    <cellStyle name="Normal 2 2 2 2 2 11 3 8 3" xfId="16693" xr:uid="{00000000-0005-0000-0000-0000263E0000}"/>
    <cellStyle name="Normal 2 2 2 2 2 11 3 8 4" xfId="16694" xr:uid="{00000000-0005-0000-0000-0000273E0000}"/>
    <cellStyle name="Normal 2 2 2 2 2 11 3 8 5" xfId="16695" xr:uid="{00000000-0005-0000-0000-0000283E0000}"/>
    <cellStyle name="Normal 2 2 2 2 2 11 3 8 6" xfId="16696" xr:uid="{00000000-0005-0000-0000-0000293E0000}"/>
    <cellStyle name="Normal 2 2 2 2 2 11 3 9" xfId="16697" xr:uid="{00000000-0005-0000-0000-00002A3E0000}"/>
    <cellStyle name="Normal 2 2 2 2 2 11 4" xfId="16698" xr:uid="{00000000-0005-0000-0000-00002B3E0000}"/>
    <cellStyle name="Normal 2 2 2 2 2 11 4 10" xfId="16699" xr:uid="{00000000-0005-0000-0000-00002C3E0000}"/>
    <cellStyle name="Normal 2 2 2 2 2 11 4 11" xfId="16700" xr:uid="{00000000-0005-0000-0000-00002D3E0000}"/>
    <cellStyle name="Normal 2 2 2 2 2 11 4 12" xfId="16701" xr:uid="{00000000-0005-0000-0000-00002E3E0000}"/>
    <cellStyle name="Normal 2 2 2 2 2 11 4 13" xfId="16702" xr:uid="{00000000-0005-0000-0000-00002F3E0000}"/>
    <cellStyle name="Normal 2 2 2 2 2 11 4 2" xfId="16703" xr:uid="{00000000-0005-0000-0000-0000303E0000}"/>
    <cellStyle name="Normal 2 2 2 2 2 11 4 2 2" xfId="16704" xr:uid="{00000000-0005-0000-0000-0000313E0000}"/>
    <cellStyle name="Normal 2 2 2 2 2 11 4 2 3" xfId="16705" xr:uid="{00000000-0005-0000-0000-0000323E0000}"/>
    <cellStyle name="Normal 2 2 2 2 2 11 4 2 4" xfId="16706" xr:uid="{00000000-0005-0000-0000-0000333E0000}"/>
    <cellStyle name="Normal 2 2 2 2 2 11 4 2 5" xfId="16707" xr:uid="{00000000-0005-0000-0000-0000343E0000}"/>
    <cellStyle name="Normal 2 2 2 2 2 11 4 2 6" xfId="16708" xr:uid="{00000000-0005-0000-0000-0000353E0000}"/>
    <cellStyle name="Normal 2 2 2 2 2 11 4 3" xfId="16709" xr:uid="{00000000-0005-0000-0000-0000363E0000}"/>
    <cellStyle name="Normal 2 2 2 2 2 11 4 3 2" xfId="16710" xr:uid="{00000000-0005-0000-0000-0000373E0000}"/>
    <cellStyle name="Normal 2 2 2 2 2 11 4 3 3" xfId="16711" xr:uid="{00000000-0005-0000-0000-0000383E0000}"/>
    <cellStyle name="Normal 2 2 2 2 2 11 4 3 4" xfId="16712" xr:uid="{00000000-0005-0000-0000-0000393E0000}"/>
    <cellStyle name="Normal 2 2 2 2 2 11 4 3 5" xfId="16713" xr:uid="{00000000-0005-0000-0000-00003A3E0000}"/>
    <cellStyle name="Normal 2 2 2 2 2 11 4 3 6" xfId="16714" xr:uid="{00000000-0005-0000-0000-00003B3E0000}"/>
    <cellStyle name="Normal 2 2 2 2 2 11 4 4" xfId="16715" xr:uid="{00000000-0005-0000-0000-00003C3E0000}"/>
    <cellStyle name="Normal 2 2 2 2 2 11 4 4 2" xfId="16716" xr:uid="{00000000-0005-0000-0000-00003D3E0000}"/>
    <cellStyle name="Normal 2 2 2 2 2 11 4 4 3" xfId="16717" xr:uid="{00000000-0005-0000-0000-00003E3E0000}"/>
    <cellStyle name="Normal 2 2 2 2 2 11 4 4 4" xfId="16718" xr:uid="{00000000-0005-0000-0000-00003F3E0000}"/>
    <cellStyle name="Normal 2 2 2 2 2 11 4 4 5" xfId="16719" xr:uid="{00000000-0005-0000-0000-0000403E0000}"/>
    <cellStyle name="Normal 2 2 2 2 2 11 4 4 6" xfId="16720" xr:uid="{00000000-0005-0000-0000-0000413E0000}"/>
    <cellStyle name="Normal 2 2 2 2 2 11 4 5" xfId="16721" xr:uid="{00000000-0005-0000-0000-0000423E0000}"/>
    <cellStyle name="Normal 2 2 2 2 2 11 4 5 2" xfId="16722" xr:uid="{00000000-0005-0000-0000-0000433E0000}"/>
    <cellStyle name="Normal 2 2 2 2 2 11 4 5 3" xfId="16723" xr:uid="{00000000-0005-0000-0000-0000443E0000}"/>
    <cellStyle name="Normal 2 2 2 2 2 11 4 5 4" xfId="16724" xr:uid="{00000000-0005-0000-0000-0000453E0000}"/>
    <cellStyle name="Normal 2 2 2 2 2 11 4 5 5" xfId="16725" xr:uid="{00000000-0005-0000-0000-0000463E0000}"/>
    <cellStyle name="Normal 2 2 2 2 2 11 4 5 6" xfId="16726" xr:uid="{00000000-0005-0000-0000-0000473E0000}"/>
    <cellStyle name="Normal 2 2 2 2 2 11 4 6" xfId="16727" xr:uid="{00000000-0005-0000-0000-0000483E0000}"/>
    <cellStyle name="Normal 2 2 2 2 2 11 4 6 2" xfId="16728" xr:uid="{00000000-0005-0000-0000-0000493E0000}"/>
    <cellStyle name="Normal 2 2 2 2 2 11 4 6 3" xfId="16729" xr:uid="{00000000-0005-0000-0000-00004A3E0000}"/>
    <cellStyle name="Normal 2 2 2 2 2 11 4 6 4" xfId="16730" xr:uid="{00000000-0005-0000-0000-00004B3E0000}"/>
    <cellStyle name="Normal 2 2 2 2 2 11 4 6 5" xfId="16731" xr:uid="{00000000-0005-0000-0000-00004C3E0000}"/>
    <cellStyle name="Normal 2 2 2 2 2 11 4 6 6" xfId="16732" xr:uid="{00000000-0005-0000-0000-00004D3E0000}"/>
    <cellStyle name="Normal 2 2 2 2 2 11 4 7" xfId="16733" xr:uid="{00000000-0005-0000-0000-00004E3E0000}"/>
    <cellStyle name="Normal 2 2 2 2 2 11 4 7 2" xfId="16734" xr:uid="{00000000-0005-0000-0000-00004F3E0000}"/>
    <cellStyle name="Normal 2 2 2 2 2 11 4 7 3" xfId="16735" xr:uid="{00000000-0005-0000-0000-0000503E0000}"/>
    <cellStyle name="Normal 2 2 2 2 2 11 4 7 4" xfId="16736" xr:uid="{00000000-0005-0000-0000-0000513E0000}"/>
    <cellStyle name="Normal 2 2 2 2 2 11 4 7 5" xfId="16737" xr:uid="{00000000-0005-0000-0000-0000523E0000}"/>
    <cellStyle name="Normal 2 2 2 2 2 11 4 7 6" xfId="16738" xr:uid="{00000000-0005-0000-0000-0000533E0000}"/>
    <cellStyle name="Normal 2 2 2 2 2 11 4 8" xfId="16739" xr:uid="{00000000-0005-0000-0000-0000543E0000}"/>
    <cellStyle name="Normal 2 2 2 2 2 11 4 8 2" xfId="16740" xr:uid="{00000000-0005-0000-0000-0000553E0000}"/>
    <cellStyle name="Normal 2 2 2 2 2 11 4 8 3" xfId="16741" xr:uid="{00000000-0005-0000-0000-0000563E0000}"/>
    <cellStyle name="Normal 2 2 2 2 2 11 4 8 4" xfId="16742" xr:uid="{00000000-0005-0000-0000-0000573E0000}"/>
    <cellStyle name="Normal 2 2 2 2 2 11 4 8 5" xfId="16743" xr:uid="{00000000-0005-0000-0000-0000583E0000}"/>
    <cellStyle name="Normal 2 2 2 2 2 11 4 8 6" xfId="16744" xr:uid="{00000000-0005-0000-0000-0000593E0000}"/>
    <cellStyle name="Normal 2 2 2 2 2 11 4 9" xfId="16745" xr:uid="{00000000-0005-0000-0000-00005A3E0000}"/>
    <cellStyle name="Normal 2 2 2 2 2 11 5" xfId="16746" xr:uid="{00000000-0005-0000-0000-00005B3E0000}"/>
    <cellStyle name="Normal 2 2 2 2 2 11 5 10" xfId="16747" xr:uid="{00000000-0005-0000-0000-00005C3E0000}"/>
    <cellStyle name="Normal 2 2 2 2 2 11 5 11" xfId="16748" xr:uid="{00000000-0005-0000-0000-00005D3E0000}"/>
    <cellStyle name="Normal 2 2 2 2 2 11 5 12" xfId="16749" xr:uid="{00000000-0005-0000-0000-00005E3E0000}"/>
    <cellStyle name="Normal 2 2 2 2 2 11 5 13" xfId="16750" xr:uid="{00000000-0005-0000-0000-00005F3E0000}"/>
    <cellStyle name="Normal 2 2 2 2 2 11 5 2" xfId="16751" xr:uid="{00000000-0005-0000-0000-0000603E0000}"/>
    <cellStyle name="Normal 2 2 2 2 2 11 5 2 2" xfId="16752" xr:uid="{00000000-0005-0000-0000-0000613E0000}"/>
    <cellStyle name="Normal 2 2 2 2 2 11 5 2 3" xfId="16753" xr:uid="{00000000-0005-0000-0000-0000623E0000}"/>
    <cellStyle name="Normal 2 2 2 2 2 11 5 2 4" xfId="16754" xr:uid="{00000000-0005-0000-0000-0000633E0000}"/>
    <cellStyle name="Normal 2 2 2 2 2 11 5 2 5" xfId="16755" xr:uid="{00000000-0005-0000-0000-0000643E0000}"/>
    <cellStyle name="Normal 2 2 2 2 2 11 5 2 6" xfId="16756" xr:uid="{00000000-0005-0000-0000-0000653E0000}"/>
    <cellStyle name="Normal 2 2 2 2 2 11 5 3" xfId="16757" xr:uid="{00000000-0005-0000-0000-0000663E0000}"/>
    <cellStyle name="Normal 2 2 2 2 2 11 5 3 2" xfId="16758" xr:uid="{00000000-0005-0000-0000-0000673E0000}"/>
    <cellStyle name="Normal 2 2 2 2 2 11 5 3 3" xfId="16759" xr:uid="{00000000-0005-0000-0000-0000683E0000}"/>
    <cellStyle name="Normal 2 2 2 2 2 11 5 3 4" xfId="16760" xr:uid="{00000000-0005-0000-0000-0000693E0000}"/>
    <cellStyle name="Normal 2 2 2 2 2 11 5 3 5" xfId="16761" xr:uid="{00000000-0005-0000-0000-00006A3E0000}"/>
    <cellStyle name="Normal 2 2 2 2 2 11 5 3 6" xfId="16762" xr:uid="{00000000-0005-0000-0000-00006B3E0000}"/>
    <cellStyle name="Normal 2 2 2 2 2 11 5 4" xfId="16763" xr:uid="{00000000-0005-0000-0000-00006C3E0000}"/>
    <cellStyle name="Normal 2 2 2 2 2 11 5 4 2" xfId="16764" xr:uid="{00000000-0005-0000-0000-00006D3E0000}"/>
    <cellStyle name="Normal 2 2 2 2 2 11 5 4 3" xfId="16765" xr:uid="{00000000-0005-0000-0000-00006E3E0000}"/>
    <cellStyle name="Normal 2 2 2 2 2 11 5 4 4" xfId="16766" xr:uid="{00000000-0005-0000-0000-00006F3E0000}"/>
    <cellStyle name="Normal 2 2 2 2 2 11 5 4 5" xfId="16767" xr:uid="{00000000-0005-0000-0000-0000703E0000}"/>
    <cellStyle name="Normal 2 2 2 2 2 11 5 4 6" xfId="16768" xr:uid="{00000000-0005-0000-0000-0000713E0000}"/>
    <cellStyle name="Normal 2 2 2 2 2 11 5 5" xfId="16769" xr:uid="{00000000-0005-0000-0000-0000723E0000}"/>
    <cellStyle name="Normal 2 2 2 2 2 11 5 5 2" xfId="16770" xr:uid="{00000000-0005-0000-0000-0000733E0000}"/>
    <cellStyle name="Normal 2 2 2 2 2 11 5 5 3" xfId="16771" xr:uid="{00000000-0005-0000-0000-0000743E0000}"/>
    <cellStyle name="Normal 2 2 2 2 2 11 5 5 4" xfId="16772" xr:uid="{00000000-0005-0000-0000-0000753E0000}"/>
    <cellStyle name="Normal 2 2 2 2 2 11 5 5 5" xfId="16773" xr:uid="{00000000-0005-0000-0000-0000763E0000}"/>
    <cellStyle name="Normal 2 2 2 2 2 11 5 5 6" xfId="16774" xr:uid="{00000000-0005-0000-0000-0000773E0000}"/>
    <cellStyle name="Normal 2 2 2 2 2 11 5 6" xfId="16775" xr:uid="{00000000-0005-0000-0000-0000783E0000}"/>
    <cellStyle name="Normal 2 2 2 2 2 11 5 6 2" xfId="16776" xr:uid="{00000000-0005-0000-0000-0000793E0000}"/>
    <cellStyle name="Normal 2 2 2 2 2 11 5 6 3" xfId="16777" xr:uid="{00000000-0005-0000-0000-00007A3E0000}"/>
    <cellStyle name="Normal 2 2 2 2 2 11 5 6 4" xfId="16778" xr:uid="{00000000-0005-0000-0000-00007B3E0000}"/>
    <cellStyle name="Normal 2 2 2 2 2 11 5 6 5" xfId="16779" xr:uid="{00000000-0005-0000-0000-00007C3E0000}"/>
    <cellStyle name="Normal 2 2 2 2 2 11 5 6 6" xfId="16780" xr:uid="{00000000-0005-0000-0000-00007D3E0000}"/>
    <cellStyle name="Normal 2 2 2 2 2 11 5 7" xfId="16781" xr:uid="{00000000-0005-0000-0000-00007E3E0000}"/>
    <cellStyle name="Normal 2 2 2 2 2 11 5 7 2" xfId="16782" xr:uid="{00000000-0005-0000-0000-00007F3E0000}"/>
    <cellStyle name="Normal 2 2 2 2 2 11 5 7 3" xfId="16783" xr:uid="{00000000-0005-0000-0000-0000803E0000}"/>
    <cellStyle name="Normal 2 2 2 2 2 11 5 7 4" xfId="16784" xr:uid="{00000000-0005-0000-0000-0000813E0000}"/>
    <cellStyle name="Normal 2 2 2 2 2 11 5 7 5" xfId="16785" xr:uid="{00000000-0005-0000-0000-0000823E0000}"/>
    <cellStyle name="Normal 2 2 2 2 2 11 5 7 6" xfId="16786" xr:uid="{00000000-0005-0000-0000-0000833E0000}"/>
    <cellStyle name="Normal 2 2 2 2 2 11 5 8" xfId="16787" xr:uid="{00000000-0005-0000-0000-0000843E0000}"/>
    <cellStyle name="Normal 2 2 2 2 2 11 5 8 2" xfId="16788" xr:uid="{00000000-0005-0000-0000-0000853E0000}"/>
    <cellStyle name="Normal 2 2 2 2 2 11 5 8 3" xfId="16789" xr:uid="{00000000-0005-0000-0000-0000863E0000}"/>
    <cellStyle name="Normal 2 2 2 2 2 11 5 8 4" xfId="16790" xr:uid="{00000000-0005-0000-0000-0000873E0000}"/>
    <cellStyle name="Normal 2 2 2 2 2 11 5 8 5" xfId="16791" xr:uid="{00000000-0005-0000-0000-0000883E0000}"/>
    <cellStyle name="Normal 2 2 2 2 2 11 5 8 6" xfId="16792" xr:uid="{00000000-0005-0000-0000-0000893E0000}"/>
    <cellStyle name="Normal 2 2 2 2 2 11 5 9" xfId="16793" xr:uid="{00000000-0005-0000-0000-00008A3E0000}"/>
    <cellStyle name="Normal 2 2 2 2 2 11 6" xfId="16794" xr:uid="{00000000-0005-0000-0000-00008B3E0000}"/>
    <cellStyle name="Normal 2 2 2 2 2 11 6 10" xfId="16795" xr:uid="{00000000-0005-0000-0000-00008C3E0000}"/>
    <cellStyle name="Normal 2 2 2 2 2 11 6 11" xfId="16796" xr:uid="{00000000-0005-0000-0000-00008D3E0000}"/>
    <cellStyle name="Normal 2 2 2 2 2 11 6 12" xfId="16797" xr:uid="{00000000-0005-0000-0000-00008E3E0000}"/>
    <cellStyle name="Normal 2 2 2 2 2 11 6 13" xfId="16798" xr:uid="{00000000-0005-0000-0000-00008F3E0000}"/>
    <cellStyle name="Normal 2 2 2 2 2 11 6 2" xfId="16799" xr:uid="{00000000-0005-0000-0000-0000903E0000}"/>
    <cellStyle name="Normal 2 2 2 2 2 11 6 2 2" xfId="16800" xr:uid="{00000000-0005-0000-0000-0000913E0000}"/>
    <cellStyle name="Normal 2 2 2 2 2 11 6 2 3" xfId="16801" xr:uid="{00000000-0005-0000-0000-0000923E0000}"/>
    <cellStyle name="Normal 2 2 2 2 2 11 6 2 4" xfId="16802" xr:uid="{00000000-0005-0000-0000-0000933E0000}"/>
    <cellStyle name="Normal 2 2 2 2 2 11 6 2 5" xfId="16803" xr:uid="{00000000-0005-0000-0000-0000943E0000}"/>
    <cellStyle name="Normal 2 2 2 2 2 11 6 2 6" xfId="16804" xr:uid="{00000000-0005-0000-0000-0000953E0000}"/>
    <cellStyle name="Normal 2 2 2 2 2 11 6 3" xfId="16805" xr:uid="{00000000-0005-0000-0000-0000963E0000}"/>
    <cellStyle name="Normal 2 2 2 2 2 11 6 3 2" xfId="16806" xr:uid="{00000000-0005-0000-0000-0000973E0000}"/>
    <cellStyle name="Normal 2 2 2 2 2 11 6 3 3" xfId="16807" xr:uid="{00000000-0005-0000-0000-0000983E0000}"/>
    <cellStyle name="Normal 2 2 2 2 2 11 6 3 4" xfId="16808" xr:uid="{00000000-0005-0000-0000-0000993E0000}"/>
    <cellStyle name="Normal 2 2 2 2 2 11 6 3 5" xfId="16809" xr:uid="{00000000-0005-0000-0000-00009A3E0000}"/>
    <cellStyle name="Normal 2 2 2 2 2 11 6 3 6" xfId="16810" xr:uid="{00000000-0005-0000-0000-00009B3E0000}"/>
    <cellStyle name="Normal 2 2 2 2 2 11 6 4" xfId="16811" xr:uid="{00000000-0005-0000-0000-00009C3E0000}"/>
    <cellStyle name="Normal 2 2 2 2 2 11 6 4 2" xfId="16812" xr:uid="{00000000-0005-0000-0000-00009D3E0000}"/>
    <cellStyle name="Normal 2 2 2 2 2 11 6 4 3" xfId="16813" xr:uid="{00000000-0005-0000-0000-00009E3E0000}"/>
    <cellStyle name="Normal 2 2 2 2 2 11 6 4 4" xfId="16814" xr:uid="{00000000-0005-0000-0000-00009F3E0000}"/>
    <cellStyle name="Normal 2 2 2 2 2 11 6 4 5" xfId="16815" xr:uid="{00000000-0005-0000-0000-0000A03E0000}"/>
    <cellStyle name="Normal 2 2 2 2 2 11 6 4 6" xfId="16816" xr:uid="{00000000-0005-0000-0000-0000A13E0000}"/>
    <cellStyle name="Normal 2 2 2 2 2 11 6 5" xfId="16817" xr:uid="{00000000-0005-0000-0000-0000A23E0000}"/>
    <cellStyle name="Normal 2 2 2 2 2 11 6 5 2" xfId="16818" xr:uid="{00000000-0005-0000-0000-0000A33E0000}"/>
    <cellStyle name="Normal 2 2 2 2 2 11 6 5 3" xfId="16819" xr:uid="{00000000-0005-0000-0000-0000A43E0000}"/>
    <cellStyle name="Normal 2 2 2 2 2 11 6 5 4" xfId="16820" xr:uid="{00000000-0005-0000-0000-0000A53E0000}"/>
    <cellStyle name="Normal 2 2 2 2 2 11 6 5 5" xfId="16821" xr:uid="{00000000-0005-0000-0000-0000A63E0000}"/>
    <cellStyle name="Normal 2 2 2 2 2 11 6 5 6" xfId="16822" xr:uid="{00000000-0005-0000-0000-0000A73E0000}"/>
    <cellStyle name="Normal 2 2 2 2 2 11 6 6" xfId="16823" xr:uid="{00000000-0005-0000-0000-0000A83E0000}"/>
    <cellStyle name="Normal 2 2 2 2 2 11 6 6 2" xfId="16824" xr:uid="{00000000-0005-0000-0000-0000A93E0000}"/>
    <cellStyle name="Normal 2 2 2 2 2 11 6 6 3" xfId="16825" xr:uid="{00000000-0005-0000-0000-0000AA3E0000}"/>
    <cellStyle name="Normal 2 2 2 2 2 11 6 6 4" xfId="16826" xr:uid="{00000000-0005-0000-0000-0000AB3E0000}"/>
    <cellStyle name="Normal 2 2 2 2 2 11 6 6 5" xfId="16827" xr:uid="{00000000-0005-0000-0000-0000AC3E0000}"/>
    <cellStyle name="Normal 2 2 2 2 2 11 6 6 6" xfId="16828" xr:uid="{00000000-0005-0000-0000-0000AD3E0000}"/>
    <cellStyle name="Normal 2 2 2 2 2 11 6 7" xfId="16829" xr:uid="{00000000-0005-0000-0000-0000AE3E0000}"/>
    <cellStyle name="Normal 2 2 2 2 2 11 6 7 2" xfId="16830" xr:uid="{00000000-0005-0000-0000-0000AF3E0000}"/>
    <cellStyle name="Normal 2 2 2 2 2 11 6 7 3" xfId="16831" xr:uid="{00000000-0005-0000-0000-0000B03E0000}"/>
    <cellStyle name="Normal 2 2 2 2 2 11 6 7 4" xfId="16832" xr:uid="{00000000-0005-0000-0000-0000B13E0000}"/>
    <cellStyle name="Normal 2 2 2 2 2 11 6 7 5" xfId="16833" xr:uid="{00000000-0005-0000-0000-0000B23E0000}"/>
    <cellStyle name="Normal 2 2 2 2 2 11 6 7 6" xfId="16834" xr:uid="{00000000-0005-0000-0000-0000B33E0000}"/>
    <cellStyle name="Normal 2 2 2 2 2 11 6 8" xfId="16835" xr:uid="{00000000-0005-0000-0000-0000B43E0000}"/>
    <cellStyle name="Normal 2 2 2 2 2 11 6 8 2" xfId="16836" xr:uid="{00000000-0005-0000-0000-0000B53E0000}"/>
    <cellStyle name="Normal 2 2 2 2 2 11 6 8 3" xfId="16837" xr:uid="{00000000-0005-0000-0000-0000B63E0000}"/>
    <cellStyle name="Normal 2 2 2 2 2 11 6 8 4" xfId="16838" xr:uid="{00000000-0005-0000-0000-0000B73E0000}"/>
    <cellStyle name="Normal 2 2 2 2 2 11 6 8 5" xfId="16839" xr:uid="{00000000-0005-0000-0000-0000B83E0000}"/>
    <cellStyle name="Normal 2 2 2 2 2 11 6 8 6" xfId="16840" xr:uid="{00000000-0005-0000-0000-0000B93E0000}"/>
    <cellStyle name="Normal 2 2 2 2 2 11 6 9" xfId="16841" xr:uid="{00000000-0005-0000-0000-0000BA3E0000}"/>
    <cellStyle name="Normal 2 2 2 2 2 11 7" xfId="16842" xr:uid="{00000000-0005-0000-0000-0000BB3E0000}"/>
    <cellStyle name="Normal 2 2 2 2 2 11 7 10" xfId="16843" xr:uid="{00000000-0005-0000-0000-0000BC3E0000}"/>
    <cellStyle name="Normal 2 2 2 2 2 11 7 11" xfId="16844" xr:uid="{00000000-0005-0000-0000-0000BD3E0000}"/>
    <cellStyle name="Normal 2 2 2 2 2 11 7 12" xfId="16845" xr:uid="{00000000-0005-0000-0000-0000BE3E0000}"/>
    <cellStyle name="Normal 2 2 2 2 2 11 7 13" xfId="16846" xr:uid="{00000000-0005-0000-0000-0000BF3E0000}"/>
    <cellStyle name="Normal 2 2 2 2 2 11 7 2" xfId="16847" xr:uid="{00000000-0005-0000-0000-0000C03E0000}"/>
    <cellStyle name="Normal 2 2 2 2 2 11 7 2 2" xfId="16848" xr:uid="{00000000-0005-0000-0000-0000C13E0000}"/>
    <cellStyle name="Normal 2 2 2 2 2 11 7 2 3" xfId="16849" xr:uid="{00000000-0005-0000-0000-0000C23E0000}"/>
    <cellStyle name="Normal 2 2 2 2 2 11 7 2 4" xfId="16850" xr:uid="{00000000-0005-0000-0000-0000C33E0000}"/>
    <cellStyle name="Normal 2 2 2 2 2 11 7 2 5" xfId="16851" xr:uid="{00000000-0005-0000-0000-0000C43E0000}"/>
    <cellStyle name="Normal 2 2 2 2 2 11 7 2 6" xfId="16852" xr:uid="{00000000-0005-0000-0000-0000C53E0000}"/>
    <cellStyle name="Normal 2 2 2 2 2 11 7 3" xfId="16853" xr:uid="{00000000-0005-0000-0000-0000C63E0000}"/>
    <cellStyle name="Normal 2 2 2 2 2 11 7 3 2" xfId="16854" xr:uid="{00000000-0005-0000-0000-0000C73E0000}"/>
    <cellStyle name="Normal 2 2 2 2 2 11 7 3 3" xfId="16855" xr:uid="{00000000-0005-0000-0000-0000C83E0000}"/>
    <cellStyle name="Normal 2 2 2 2 2 11 7 3 4" xfId="16856" xr:uid="{00000000-0005-0000-0000-0000C93E0000}"/>
    <cellStyle name="Normal 2 2 2 2 2 11 7 3 5" xfId="16857" xr:uid="{00000000-0005-0000-0000-0000CA3E0000}"/>
    <cellStyle name="Normal 2 2 2 2 2 11 7 3 6" xfId="16858" xr:uid="{00000000-0005-0000-0000-0000CB3E0000}"/>
    <cellStyle name="Normal 2 2 2 2 2 11 7 4" xfId="16859" xr:uid="{00000000-0005-0000-0000-0000CC3E0000}"/>
    <cellStyle name="Normal 2 2 2 2 2 11 7 4 2" xfId="16860" xr:uid="{00000000-0005-0000-0000-0000CD3E0000}"/>
    <cellStyle name="Normal 2 2 2 2 2 11 7 4 3" xfId="16861" xr:uid="{00000000-0005-0000-0000-0000CE3E0000}"/>
    <cellStyle name="Normal 2 2 2 2 2 11 7 4 4" xfId="16862" xr:uid="{00000000-0005-0000-0000-0000CF3E0000}"/>
    <cellStyle name="Normal 2 2 2 2 2 11 7 4 5" xfId="16863" xr:uid="{00000000-0005-0000-0000-0000D03E0000}"/>
    <cellStyle name="Normal 2 2 2 2 2 11 7 4 6" xfId="16864" xr:uid="{00000000-0005-0000-0000-0000D13E0000}"/>
    <cellStyle name="Normal 2 2 2 2 2 11 7 5" xfId="16865" xr:uid="{00000000-0005-0000-0000-0000D23E0000}"/>
    <cellStyle name="Normal 2 2 2 2 2 11 7 5 2" xfId="16866" xr:uid="{00000000-0005-0000-0000-0000D33E0000}"/>
    <cellStyle name="Normal 2 2 2 2 2 11 7 5 3" xfId="16867" xr:uid="{00000000-0005-0000-0000-0000D43E0000}"/>
    <cellStyle name="Normal 2 2 2 2 2 11 7 5 4" xfId="16868" xr:uid="{00000000-0005-0000-0000-0000D53E0000}"/>
    <cellStyle name="Normal 2 2 2 2 2 11 7 5 5" xfId="16869" xr:uid="{00000000-0005-0000-0000-0000D63E0000}"/>
    <cellStyle name="Normal 2 2 2 2 2 11 7 5 6" xfId="16870" xr:uid="{00000000-0005-0000-0000-0000D73E0000}"/>
    <cellStyle name="Normal 2 2 2 2 2 11 7 6" xfId="16871" xr:uid="{00000000-0005-0000-0000-0000D83E0000}"/>
    <cellStyle name="Normal 2 2 2 2 2 11 7 6 2" xfId="16872" xr:uid="{00000000-0005-0000-0000-0000D93E0000}"/>
    <cellStyle name="Normal 2 2 2 2 2 11 7 6 3" xfId="16873" xr:uid="{00000000-0005-0000-0000-0000DA3E0000}"/>
    <cellStyle name="Normal 2 2 2 2 2 11 7 6 4" xfId="16874" xr:uid="{00000000-0005-0000-0000-0000DB3E0000}"/>
    <cellStyle name="Normal 2 2 2 2 2 11 7 6 5" xfId="16875" xr:uid="{00000000-0005-0000-0000-0000DC3E0000}"/>
    <cellStyle name="Normal 2 2 2 2 2 11 7 6 6" xfId="16876" xr:uid="{00000000-0005-0000-0000-0000DD3E0000}"/>
    <cellStyle name="Normal 2 2 2 2 2 11 7 7" xfId="16877" xr:uid="{00000000-0005-0000-0000-0000DE3E0000}"/>
    <cellStyle name="Normal 2 2 2 2 2 11 7 7 2" xfId="16878" xr:uid="{00000000-0005-0000-0000-0000DF3E0000}"/>
    <cellStyle name="Normal 2 2 2 2 2 11 7 7 3" xfId="16879" xr:uid="{00000000-0005-0000-0000-0000E03E0000}"/>
    <cellStyle name="Normal 2 2 2 2 2 11 7 7 4" xfId="16880" xr:uid="{00000000-0005-0000-0000-0000E13E0000}"/>
    <cellStyle name="Normal 2 2 2 2 2 11 7 7 5" xfId="16881" xr:uid="{00000000-0005-0000-0000-0000E23E0000}"/>
    <cellStyle name="Normal 2 2 2 2 2 11 7 7 6" xfId="16882" xr:uid="{00000000-0005-0000-0000-0000E33E0000}"/>
    <cellStyle name="Normal 2 2 2 2 2 11 7 8" xfId="16883" xr:uid="{00000000-0005-0000-0000-0000E43E0000}"/>
    <cellStyle name="Normal 2 2 2 2 2 11 7 8 2" xfId="16884" xr:uid="{00000000-0005-0000-0000-0000E53E0000}"/>
    <cellStyle name="Normal 2 2 2 2 2 11 7 8 3" xfId="16885" xr:uid="{00000000-0005-0000-0000-0000E63E0000}"/>
    <cellStyle name="Normal 2 2 2 2 2 11 7 8 4" xfId="16886" xr:uid="{00000000-0005-0000-0000-0000E73E0000}"/>
    <cellStyle name="Normal 2 2 2 2 2 11 7 8 5" xfId="16887" xr:uid="{00000000-0005-0000-0000-0000E83E0000}"/>
    <cellStyle name="Normal 2 2 2 2 2 11 7 8 6" xfId="16888" xr:uid="{00000000-0005-0000-0000-0000E93E0000}"/>
    <cellStyle name="Normal 2 2 2 2 2 11 7 9" xfId="16889" xr:uid="{00000000-0005-0000-0000-0000EA3E0000}"/>
    <cellStyle name="Normal 2 2 2 2 2 11 8" xfId="16890" xr:uid="{00000000-0005-0000-0000-0000EB3E0000}"/>
    <cellStyle name="Normal 2 2 2 2 2 11 8 10" xfId="16891" xr:uid="{00000000-0005-0000-0000-0000EC3E0000}"/>
    <cellStyle name="Normal 2 2 2 2 2 11 8 11" xfId="16892" xr:uid="{00000000-0005-0000-0000-0000ED3E0000}"/>
    <cellStyle name="Normal 2 2 2 2 2 11 8 12" xfId="16893" xr:uid="{00000000-0005-0000-0000-0000EE3E0000}"/>
    <cellStyle name="Normal 2 2 2 2 2 11 8 13" xfId="16894" xr:uid="{00000000-0005-0000-0000-0000EF3E0000}"/>
    <cellStyle name="Normal 2 2 2 2 2 11 8 2" xfId="16895" xr:uid="{00000000-0005-0000-0000-0000F03E0000}"/>
    <cellStyle name="Normal 2 2 2 2 2 11 8 2 2" xfId="16896" xr:uid="{00000000-0005-0000-0000-0000F13E0000}"/>
    <cellStyle name="Normal 2 2 2 2 2 11 8 2 3" xfId="16897" xr:uid="{00000000-0005-0000-0000-0000F23E0000}"/>
    <cellStyle name="Normal 2 2 2 2 2 11 8 2 4" xfId="16898" xr:uid="{00000000-0005-0000-0000-0000F33E0000}"/>
    <cellStyle name="Normal 2 2 2 2 2 11 8 2 5" xfId="16899" xr:uid="{00000000-0005-0000-0000-0000F43E0000}"/>
    <cellStyle name="Normal 2 2 2 2 2 11 8 2 6" xfId="16900" xr:uid="{00000000-0005-0000-0000-0000F53E0000}"/>
    <cellStyle name="Normal 2 2 2 2 2 11 8 3" xfId="16901" xr:uid="{00000000-0005-0000-0000-0000F63E0000}"/>
    <cellStyle name="Normal 2 2 2 2 2 11 8 3 2" xfId="16902" xr:uid="{00000000-0005-0000-0000-0000F73E0000}"/>
    <cellStyle name="Normal 2 2 2 2 2 11 8 3 3" xfId="16903" xr:uid="{00000000-0005-0000-0000-0000F83E0000}"/>
    <cellStyle name="Normal 2 2 2 2 2 11 8 3 4" xfId="16904" xr:uid="{00000000-0005-0000-0000-0000F93E0000}"/>
    <cellStyle name="Normal 2 2 2 2 2 11 8 3 5" xfId="16905" xr:uid="{00000000-0005-0000-0000-0000FA3E0000}"/>
    <cellStyle name="Normal 2 2 2 2 2 11 8 3 6" xfId="16906" xr:uid="{00000000-0005-0000-0000-0000FB3E0000}"/>
    <cellStyle name="Normal 2 2 2 2 2 11 8 4" xfId="16907" xr:uid="{00000000-0005-0000-0000-0000FC3E0000}"/>
    <cellStyle name="Normal 2 2 2 2 2 11 8 4 2" xfId="16908" xr:uid="{00000000-0005-0000-0000-0000FD3E0000}"/>
    <cellStyle name="Normal 2 2 2 2 2 11 8 4 3" xfId="16909" xr:uid="{00000000-0005-0000-0000-0000FE3E0000}"/>
    <cellStyle name="Normal 2 2 2 2 2 11 8 4 4" xfId="16910" xr:uid="{00000000-0005-0000-0000-0000FF3E0000}"/>
    <cellStyle name="Normal 2 2 2 2 2 11 8 4 5" xfId="16911" xr:uid="{00000000-0005-0000-0000-0000003F0000}"/>
    <cellStyle name="Normal 2 2 2 2 2 11 8 4 6" xfId="16912" xr:uid="{00000000-0005-0000-0000-0000013F0000}"/>
    <cellStyle name="Normal 2 2 2 2 2 11 8 5" xfId="16913" xr:uid="{00000000-0005-0000-0000-0000023F0000}"/>
    <cellStyle name="Normal 2 2 2 2 2 11 8 5 2" xfId="16914" xr:uid="{00000000-0005-0000-0000-0000033F0000}"/>
    <cellStyle name="Normal 2 2 2 2 2 11 8 5 3" xfId="16915" xr:uid="{00000000-0005-0000-0000-0000043F0000}"/>
    <cellStyle name="Normal 2 2 2 2 2 11 8 5 4" xfId="16916" xr:uid="{00000000-0005-0000-0000-0000053F0000}"/>
    <cellStyle name="Normal 2 2 2 2 2 11 8 5 5" xfId="16917" xr:uid="{00000000-0005-0000-0000-0000063F0000}"/>
    <cellStyle name="Normal 2 2 2 2 2 11 8 5 6" xfId="16918" xr:uid="{00000000-0005-0000-0000-0000073F0000}"/>
    <cellStyle name="Normal 2 2 2 2 2 11 8 6" xfId="16919" xr:uid="{00000000-0005-0000-0000-0000083F0000}"/>
    <cellStyle name="Normal 2 2 2 2 2 11 8 6 2" xfId="16920" xr:uid="{00000000-0005-0000-0000-0000093F0000}"/>
    <cellStyle name="Normal 2 2 2 2 2 11 8 6 3" xfId="16921" xr:uid="{00000000-0005-0000-0000-00000A3F0000}"/>
    <cellStyle name="Normal 2 2 2 2 2 11 8 6 4" xfId="16922" xr:uid="{00000000-0005-0000-0000-00000B3F0000}"/>
    <cellStyle name="Normal 2 2 2 2 2 11 8 6 5" xfId="16923" xr:uid="{00000000-0005-0000-0000-00000C3F0000}"/>
    <cellStyle name="Normal 2 2 2 2 2 11 8 6 6" xfId="16924" xr:uid="{00000000-0005-0000-0000-00000D3F0000}"/>
    <cellStyle name="Normal 2 2 2 2 2 11 8 7" xfId="16925" xr:uid="{00000000-0005-0000-0000-00000E3F0000}"/>
    <cellStyle name="Normal 2 2 2 2 2 11 8 7 2" xfId="16926" xr:uid="{00000000-0005-0000-0000-00000F3F0000}"/>
    <cellStyle name="Normal 2 2 2 2 2 11 8 7 3" xfId="16927" xr:uid="{00000000-0005-0000-0000-0000103F0000}"/>
    <cellStyle name="Normal 2 2 2 2 2 11 8 7 4" xfId="16928" xr:uid="{00000000-0005-0000-0000-0000113F0000}"/>
    <cellStyle name="Normal 2 2 2 2 2 11 8 7 5" xfId="16929" xr:uid="{00000000-0005-0000-0000-0000123F0000}"/>
    <cellStyle name="Normal 2 2 2 2 2 11 8 7 6" xfId="16930" xr:uid="{00000000-0005-0000-0000-0000133F0000}"/>
    <cellStyle name="Normal 2 2 2 2 2 11 8 8" xfId="16931" xr:uid="{00000000-0005-0000-0000-0000143F0000}"/>
    <cellStyle name="Normal 2 2 2 2 2 11 8 8 2" xfId="16932" xr:uid="{00000000-0005-0000-0000-0000153F0000}"/>
    <cellStyle name="Normal 2 2 2 2 2 11 8 8 3" xfId="16933" xr:uid="{00000000-0005-0000-0000-0000163F0000}"/>
    <cellStyle name="Normal 2 2 2 2 2 11 8 8 4" xfId="16934" xr:uid="{00000000-0005-0000-0000-0000173F0000}"/>
    <cellStyle name="Normal 2 2 2 2 2 11 8 8 5" xfId="16935" xr:uid="{00000000-0005-0000-0000-0000183F0000}"/>
    <cellStyle name="Normal 2 2 2 2 2 11 8 8 6" xfId="16936" xr:uid="{00000000-0005-0000-0000-0000193F0000}"/>
    <cellStyle name="Normal 2 2 2 2 2 11 8 9" xfId="16937" xr:uid="{00000000-0005-0000-0000-00001A3F0000}"/>
    <cellStyle name="Normal 2 2 2 2 2 11 9" xfId="16938" xr:uid="{00000000-0005-0000-0000-00001B3F0000}"/>
    <cellStyle name="Normal 2 2 2 2 2 11 9 10" xfId="16939" xr:uid="{00000000-0005-0000-0000-00001C3F0000}"/>
    <cellStyle name="Normal 2 2 2 2 2 11 9 11" xfId="16940" xr:uid="{00000000-0005-0000-0000-00001D3F0000}"/>
    <cellStyle name="Normal 2 2 2 2 2 11 9 12" xfId="16941" xr:uid="{00000000-0005-0000-0000-00001E3F0000}"/>
    <cellStyle name="Normal 2 2 2 2 2 11 9 13" xfId="16942" xr:uid="{00000000-0005-0000-0000-00001F3F0000}"/>
    <cellStyle name="Normal 2 2 2 2 2 11 9 2" xfId="16943" xr:uid="{00000000-0005-0000-0000-0000203F0000}"/>
    <cellStyle name="Normal 2 2 2 2 2 11 9 2 2" xfId="16944" xr:uid="{00000000-0005-0000-0000-0000213F0000}"/>
    <cellStyle name="Normal 2 2 2 2 2 11 9 2 3" xfId="16945" xr:uid="{00000000-0005-0000-0000-0000223F0000}"/>
    <cellStyle name="Normal 2 2 2 2 2 11 9 2 4" xfId="16946" xr:uid="{00000000-0005-0000-0000-0000233F0000}"/>
    <cellStyle name="Normal 2 2 2 2 2 11 9 2 5" xfId="16947" xr:uid="{00000000-0005-0000-0000-0000243F0000}"/>
    <cellStyle name="Normal 2 2 2 2 2 11 9 2 6" xfId="16948" xr:uid="{00000000-0005-0000-0000-0000253F0000}"/>
    <cellStyle name="Normal 2 2 2 2 2 11 9 3" xfId="16949" xr:uid="{00000000-0005-0000-0000-0000263F0000}"/>
    <cellStyle name="Normal 2 2 2 2 2 11 9 3 2" xfId="16950" xr:uid="{00000000-0005-0000-0000-0000273F0000}"/>
    <cellStyle name="Normal 2 2 2 2 2 11 9 3 3" xfId="16951" xr:uid="{00000000-0005-0000-0000-0000283F0000}"/>
    <cellStyle name="Normal 2 2 2 2 2 11 9 3 4" xfId="16952" xr:uid="{00000000-0005-0000-0000-0000293F0000}"/>
    <cellStyle name="Normal 2 2 2 2 2 11 9 3 5" xfId="16953" xr:uid="{00000000-0005-0000-0000-00002A3F0000}"/>
    <cellStyle name="Normal 2 2 2 2 2 11 9 3 6" xfId="16954" xr:uid="{00000000-0005-0000-0000-00002B3F0000}"/>
    <cellStyle name="Normal 2 2 2 2 2 11 9 4" xfId="16955" xr:uid="{00000000-0005-0000-0000-00002C3F0000}"/>
    <cellStyle name="Normal 2 2 2 2 2 11 9 4 2" xfId="16956" xr:uid="{00000000-0005-0000-0000-00002D3F0000}"/>
    <cellStyle name="Normal 2 2 2 2 2 11 9 4 3" xfId="16957" xr:uid="{00000000-0005-0000-0000-00002E3F0000}"/>
    <cellStyle name="Normal 2 2 2 2 2 11 9 4 4" xfId="16958" xr:uid="{00000000-0005-0000-0000-00002F3F0000}"/>
    <cellStyle name="Normal 2 2 2 2 2 11 9 4 5" xfId="16959" xr:uid="{00000000-0005-0000-0000-0000303F0000}"/>
    <cellStyle name="Normal 2 2 2 2 2 11 9 4 6" xfId="16960" xr:uid="{00000000-0005-0000-0000-0000313F0000}"/>
    <cellStyle name="Normal 2 2 2 2 2 11 9 5" xfId="16961" xr:uid="{00000000-0005-0000-0000-0000323F0000}"/>
    <cellStyle name="Normal 2 2 2 2 2 11 9 5 2" xfId="16962" xr:uid="{00000000-0005-0000-0000-0000333F0000}"/>
    <cellStyle name="Normal 2 2 2 2 2 11 9 5 3" xfId="16963" xr:uid="{00000000-0005-0000-0000-0000343F0000}"/>
    <cellStyle name="Normal 2 2 2 2 2 11 9 5 4" xfId="16964" xr:uid="{00000000-0005-0000-0000-0000353F0000}"/>
    <cellStyle name="Normal 2 2 2 2 2 11 9 5 5" xfId="16965" xr:uid="{00000000-0005-0000-0000-0000363F0000}"/>
    <cellStyle name="Normal 2 2 2 2 2 11 9 5 6" xfId="16966" xr:uid="{00000000-0005-0000-0000-0000373F0000}"/>
    <cellStyle name="Normal 2 2 2 2 2 11 9 6" xfId="16967" xr:uid="{00000000-0005-0000-0000-0000383F0000}"/>
    <cellStyle name="Normal 2 2 2 2 2 11 9 6 2" xfId="16968" xr:uid="{00000000-0005-0000-0000-0000393F0000}"/>
    <cellStyle name="Normal 2 2 2 2 2 11 9 6 3" xfId="16969" xr:uid="{00000000-0005-0000-0000-00003A3F0000}"/>
    <cellStyle name="Normal 2 2 2 2 2 11 9 6 4" xfId="16970" xr:uid="{00000000-0005-0000-0000-00003B3F0000}"/>
    <cellStyle name="Normal 2 2 2 2 2 11 9 6 5" xfId="16971" xr:uid="{00000000-0005-0000-0000-00003C3F0000}"/>
    <cellStyle name="Normal 2 2 2 2 2 11 9 6 6" xfId="16972" xr:uid="{00000000-0005-0000-0000-00003D3F0000}"/>
    <cellStyle name="Normal 2 2 2 2 2 11 9 7" xfId="16973" xr:uid="{00000000-0005-0000-0000-00003E3F0000}"/>
    <cellStyle name="Normal 2 2 2 2 2 11 9 7 2" xfId="16974" xr:uid="{00000000-0005-0000-0000-00003F3F0000}"/>
    <cellStyle name="Normal 2 2 2 2 2 11 9 7 3" xfId="16975" xr:uid="{00000000-0005-0000-0000-0000403F0000}"/>
    <cellStyle name="Normal 2 2 2 2 2 11 9 7 4" xfId="16976" xr:uid="{00000000-0005-0000-0000-0000413F0000}"/>
    <cellStyle name="Normal 2 2 2 2 2 11 9 7 5" xfId="16977" xr:uid="{00000000-0005-0000-0000-0000423F0000}"/>
    <cellStyle name="Normal 2 2 2 2 2 11 9 7 6" xfId="16978" xr:uid="{00000000-0005-0000-0000-0000433F0000}"/>
    <cellStyle name="Normal 2 2 2 2 2 11 9 8" xfId="16979" xr:uid="{00000000-0005-0000-0000-0000443F0000}"/>
    <cellStyle name="Normal 2 2 2 2 2 11 9 8 2" xfId="16980" xr:uid="{00000000-0005-0000-0000-0000453F0000}"/>
    <cellStyle name="Normal 2 2 2 2 2 11 9 8 3" xfId="16981" xr:uid="{00000000-0005-0000-0000-0000463F0000}"/>
    <cellStyle name="Normal 2 2 2 2 2 11 9 8 4" xfId="16982" xr:uid="{00000000-0005-0000-0000-0000473F0000}"/>
    <cellStyle name="Normal 2 2 2 2 2 11 9 8 5" xfId="16983" xr:uid="{00000000-0005-0000-0000-0000483F0000}"/>
    <cellStyle name="Normal 2 2 2 2 2 11 9 8 6" xfId="16984" xr:uid="{00000000-0005-0000-0000-0000493F0000}"/>
    <cellStyle name="Normal 2 2 2 2 2 11 9 9" xfId="16985" xr:uid="{00000000-0005-0000-0000-00004A3F0000}"/>
    <cellStyle name="Normal 2 2 2 2 2 12" xfId="16986" xr:uid="{00000000-0005-0000-0000-00004B3F0000}"/>
    <cellStyle name="Normal 2 2 2 2 2 12 10" xfId="16987" xr:uid="{00000000-0005-0000-0000-00004C3F0000}"/>
    <cellStyle name="Normal 2 2 2 2 2 12 11" xfId="16988" xr:uid="{00000000-0005-0000-0000-00004D3F0000}"/>
    <cellStyle name="Normal 2 2 2 2 2 12 12" xfId="16989" xr:uid="{00000000-0005-0000-0000-00004E3F0000}"/>
    <cellStyle name="Normal 2 2 2 2 2 12 13" xfId="16990" xr:uid="{00000000-0005-0000-0000-00004F3F0000}"/>
    <cellStyle name="Normal 2 2 2 2 2 12 2" xfId="16991" xr:uid="{00000000-0005-0000-0000-0000503F0000}"/>
    <cellStyle name="Normal 2 2 2 2 2 12 2 2" xfId="16992" xr:uid="{00000000-0005-0000-0000-0000513F0000}"/>
    <cellStyle name="Normal 2 2 2 2 2 12 2 3" xfId="16993" xr:uid="{00000000-0005-0000-0000-0000523F0000}"/>
    <cellStyle name="Normal 2 2 2 2 2 12 2 4" xfId="16994" xr:uid="{00000000-0005-0000-0000-0000533F0000}"/>
    <cellStyle name="Normal 2 2 2 2 2 12 2 5" xfId="16995" xr:uid="{00000000-0005-0000-0000-0000543F0000}"/>
    <cellStyle name="Normal 2 2 2 2 2 12 2 6" xfId="16996" xr:uid="{00000000-0005-0000-0000-0000553F0000}"/>
    <cellStyle name="Normal 2 2 2 2 2 12 3" xfId="16997" xr:uid="{00000000-0005-0000-0000-0000563F0000}"/>
    <cellStyle name="Normal 2 2 2 2 2 12 3 2" xfId="16998" xr:uid="{00000000-0005-0000-0000-0000573F0000}"/>
    <cellStyle name="Normal 2 2 2 2 2 12 3 3" xfId="16999" xr:uid="{00000000-0005-0000-0000-0000583F0000}"/>
    <cellStyle name="Normal 2 2 2 2 2 12 3 4" xfId="17000" xr:uid="{00000000-0005-0000-0000-0000593F0000}"/>
    <cellStyle name="Normal 2 2 2 2 2 12 3 5" xfId="17001" xr:uid="{00000000-0005-0000-0000-00005A3F0000}"/>
    <cellStyle name="Normal 2 2 2 2 2 12 3 6" xfId="17002" xr:uid="{00000000-0005-0000-0000-00005B3F0000}"/>
    <cellStyle name="Normal 2 2 2 2 2 12 4" xfId="17003" xr:uid="{00000000-0005-0000-0000-00005C3F0000}"/>
    <cellStyle name="Normal 2 2 2 2 2 12 4 2" xfId="17004" xr:uid="{00000000-0005-0000-0000-00005D3F0000}"/>
    <cellStyle name="Normal 2 2 2 2 2 12 4 3" xfId="17005" xr:uid="{00000000-0005-0000-0000-00005E3F0000}"/>
    <cellStyle name="Normal 2 2 2 2 2 12 4 4" xfId="17006" xr:uid="{00000000-0005-0000-0000-00005F3F0000}"/>
    <cellStyle name="Normal 2 2 2 2 2 12 4 5" xfId="17007" xr:uid="{00000000-0005-0000-0000-0000603F0000}"/>
    <cellStyle name="Normal 2 2 2 2 2 12 4 6" xfId="17008" xr:uid="{00000000-0005-0000-0000-0000613F0000}"/>
    <cellStyle name="Normal 2 2 2 2 2 12 5" xfId="17009" xr:uid="{00000000-0005-0000-0000-0000623F0000}"/>
    <cellStyle name="Normal 2 2 2 2 2 12 5 2" xfId="17010" xr:uid="{00000000-0005-0000-0000-0000633F0000}"/>
    <cellStyle name="Normal 2 2 2 2 2 12 5 3" xfId="17011" xr:uid="{00000000-0005-0000-0000-0000643F0000}"/>
    <cellStyle name="Normal 2 2 2 2 2 12 5 4" xfId="17012" xr:uid="{00000000-0005-0000-0000-0000653F0000}"/>
    <cellStyle name="Normal 2 2 2 2 2 12 5 5" xfId="17013" xr:uid="{00000000-0005-0000-0000-0000663F0000}"/>
    <cellStyle name="Normal 2 2 2 2 2 12 5 6" xfId="17014" xr:uid="{00000000-0005-0000-0000-0000673F0000}"/>
    <cellStyle name="Normal 2 2 2 2 2 12 6" xfId="17015" xr:uid="{00000000-0005-0000-0000-0000683F0000}"/>
    <cellStyle name="Normal 2 2 2 2 2 12 6 2" xfId="17016" xr:uid="{00000000-0005-0000-0000-0000693F0000}"/>
    <cellStyle name="Normal 2 2 2 2 2 12 6 3" xfId="17017" xr:uid="{00000000-0005-0000-0000-00006A3F0000}"/>
    <cellStyle name="Normal 2 2 2 2 2 12 6 4" xfId="17018" xr:uid="{00000000-0005-0000-0000-00006B3F0000}"/>
    <cellStyle name="Normal 2 2 2 2 2 12 6 5" xfId="17019" xr:uid="{00000000-0005-0000-0000-00006C3F0000}"/>
    <cellStyle name="Normal 2 2 2 2 2 12 6 6" xfId="17020" xr:uid="{00000000-0005-0000-0000-00006D3F0000}"/>
    <cellStyle name="Normal 2 2 2 2 2 12 7" xfId="17021" xr:uid="{00000000-0005-0000-0000-00006E3F0000}"/>
    <cellStyle name="Normal 2 2 2 2 2 12 7 2" xfId="17022" xr:uid="{00000000-0005-0000-0000-00006F3F0000}"/>
    <cellStyle name="Normal 2 2 2 2 2 12 7 3" xfId="17023" xr:uid="{00000000-0005-0000-0000-0000703F0000}"/>
    <cellStyle name="Normal 2 2 2 2 2 12 7 4" xfId="17024" xr:uid="{00000000-0005-0000-0000-0000713F0000}"/>
    <cellStyle name="Normal 2 2 2 2 2 12 7 5" xfId="17025" xr:uid="{00000000-0005-0000-0000-0000723F0000}"/>
    <cellStyle name="Normal 2 2 2 2 2 12 7 6" xfId="17026" xr:uid="{00000000-0005-0000-0000-0000733F0000}"/>
    <cellStyle name="Normal 2 2 2 2 2 12 8" xfId="17027" xr:uid="{00000000-0005-0000-0000-0000743F0000}"/>
    <cellStyle name="Normal 2 2 2 2 2 12 8 2" xfId="17028" xr:uid="{00000000-0005-0000-0000-0000753F0000}"/>
    <cellStyle name="Normal 2 2 2 2 2 12 8 3" xfId="17029" xr:uid="{00000000-0005-0000-0000-0000763F0000}"/>
    <cellStyle name="Normal 2 2 2 2 2 12 8 4" xfId="17030" xr:uid="{00000000-0005-0000-0000-0000773F0000}"/>
    <cellStyle name="Normal 2 2 2 2 2 12 8 5" xfId="17031" xr:uid="{00000000-0005-0000-0000-0000783F0000}"/>
    <cellStyle name="Normal 2 2 2 2 2 12 8 6" xfId="17032" xr:uid="{00000000-0005-0000-0000-0000793F0000}"/>
    <cellStyle name="Normal 2 2 2 2 2 12 9" xfId="17033" xr:uid="{00000000-0005-0000-0000-00007A3F0000}"/>
    <cellStyle name="Normal 2 2 2 2 2 13" xfId="17034" xr:uid="{00000000-0005-0000-0000-00007B3F0000}"/>
    <cellStyle name="Normal 2 2 2 2 2 13 10" xfId="17035" xr:uid="{00000000-0005-0000-0000-00007C3F0000}"/>
    <cellStyle name="Normal 2 2 2 2 2 13 11" xfId="17036" xr:uid="{00000000-0005-0000-0000-00007D3F0000}"/>
    <cellStyle name="Normal 2 2 2 2 2 13 12" xfId="17037" xr:uid="{00000000-0005-0000-0000-00007E3F0000}"/>
    <cellStyle name="Normal 2 2 2 2 2 13 13" xfId="17038" xr:uid="{00000000-0005-0000-0000-00007F3F0000}"/>
    <cellStyle name="Normal 2 2 2 2 2 13 2" xfId="17039" xr:uid="{00000000-0005-0000-0000-0000803F0000}"/>
    <cellStyle name="Normal 2 2 2 2 2 13 2 2" xfId="17040" xr:uid="{00000000-0005-0000-0000-0000813F0000}"/>
    <cellStyle name="Normal 2 2 2 2 2 13 2 3" xfId="17041" xr:uid="{00000000-0005-0000-0000-0000823F0000}"/>
    <cellStyle name="Normal 2 2 2 2 2 13 2 4" xfId="17042" xr:uid="{00000000-0005-0000-0000-0000833F0000}"/>
    <cellStyle name="Normal 2 2 2 2 2 13 2 5" xfId="17043" xr:uid="{00000000-0005-0000-0000-0000843F0000}"/>
    <cellStyle name="Normal 2 2 2 2 2 13 2 6" xfId="17044" xr:uid="{00000000-0005-0000-0000-0000853F0000}"/>
    <cellStyle name="Normal 2 2 2 2 2 13 3" xfId="17045" xr:uid="{00000000-0005-0000-0000-0000863F0000}"/>
    <cellStyle name="Normal 2 2 2 2 2 13 3 2" xfId="17046" xr:uid="{00000000-0005-0000-0000-0000873F0000}"/>
    <cellStyle name="Normal 2 2 2 2 2 13 3 3" xfId="17047" xr:uid="{00000000-0005-0000-0000-0000883F0000}"/>
    <cellStyle name="Normal 2 2 2 2 2 13 3 4" xfId="17048" xr:uid="{00000000-0005-0000-0000-0000893F0000}"/>
    <cellStyle name="Normal 2 2 2 2 2 13 3 5" xfId="17049" xr:uid="{00000000-0005-0000-0000-00008A3F0000}"/>
    <cellStyle name="Normal 2 2 2 2 2 13 3 6" xfId="17050" xr:uid="{00000000-0005-0000-0000-00008B3F0000}"/>
    <cellStyle name="Normal 2 2 2 2 2 13 4" xfId="17051" xr:uid="{00000000-0005-0000-0000-00008C3F0000}"/>
    <cellStyle name="Normal 2 2 2 2 2 13 4 2" xfId="17052" xr:uid="{00000000-0005-0000-0000-00008D3F0000}"/>
    <cellStyle name="Normal 2 2 2 2 2 13 4 3" xfId="17053" xr:uid="{00000000-0005-0000-0000-00008E3F0000}"/>
    <cellStyle name="Normal 2 2 2 2 2 13 4 4" xfId="17054" xr:uid="{00000000-0005-0000-0000-00008F3F0000}"/>
    <cellStyle name="Normal 2 2 2 2 2 13 4 5" xfId="17055" xr:uid="{00000000-0005-0000-0000-0000903F0000}"/>
    <cellStyle name="Normal 2 2 2 2 2 13 4 6" xfId="17056" xr:uid="{00000000-0005-0000-0000-0000913F0000}"/>
    <cellStyle name="Normal 2 2 2 2 2 13 5" xfId="17057" xr:uid="{00000000-0005-0000-0000-0000923F0000}"/>
    <cellStyle name="Normal 2 2 2 2 2 13 5 2" xfId="17058" xr:uid="{00000000-0005-0000-0000-0000933F0000}"/>
    <cellStyle name="Normal 2 2 2 2 2 13 5 3" xfId="17059" xr:uid="{00000000-0005-0000-0000-0000943F0000}"/>
    <cellStyle name="Normal 2 2 2 2 2 13 5 4" xfId="17060" xr:uid="{00000000-0005-0000-0000-0000953F0000}"/>
    <cellStyle name="Normal 2 2 2 2 2 13 5 5" xfId="17061" xr:uid="{00000000-0005-0000-0000-0000963F0000}"/>
    <cellStyle name="Normal 2 2 2 2 2 13 5 6" xfId="17062" xr:uid="{00000000-0005-0000-0000-0000973F0000}"/>
    <cellStyle name="Normal 2 2 2 2 2 13 6" xfId="17063" xr:uid="{00000000-0005-0000-0000-0000983F0000}"/>
    <cellStyle name="Normal 2 2 2 2 2 13 6 2" xfId="17064" xr:uid="{00000000-0005-0000-0000-0000993F0000}"/>
    <cellStyle name="Normal 2 2 2 2 2 13 6 3" xfId="17065" xr:uid="{00000000-0005-0000-0000-00009A3F0000}"/>
    <cellStyle name="Normal 2 2 2 2 2 13 6 4" xfId="17066" xr:uid="{00000000-0005-0000-0000-00009B3F0000}"/>
    <cellStyle name="Normal 2 2 2 2 2 13 6 5" xfId="17067" xr:uid="{00000000-0005-0000-0000-00009C3F0000}"/>
    <cellStyle name="Normal 2 2 2 2 2 13 6 6" xfId="17068" xr:uid="{00000000-0005-0000-0000-00009D3F0000}"/>
    <cellStyle name="Normal 2 2 2 2 2 13 7" xfId="17069" xr:uid="{00000000-0005-0000-0000-00009E3F0000}"/>
    <cellStyle name="Normal 2 2 2 2 2 13 7 2" xfId="17070" xr:uid="{00000000-0005-0000-0000-00009F3F0000}"/>
    <cellStyle name="Normal 2 2 2 2 2 13 7 3" xfId="17071" xr:uid="{00000000-0005-0000-0000-0000A03F0000}"/>
    <cellStyle name="Normal 2 2 2 2 2 13 7 4" xfId="17072" xr:uid="{00000000-0005-0000-0000-0000A13F0000}"/>
    <cellStyle name="Normal 2 2 2 2 2 13 7 5" xfId="17073" xr:uid="{00000000-0005-0000-0000-0000A23F0000}"/>
    <cellStyle name="Normal 2 2 2 2 2 13 7 6" xfId="17074" xr:uid="{00000000-0005-0000-0000-0000A33F0000}"/>
    <cellStyle name="Normal 2 2 2 2 2 13 8" xfId="17075" xr:uid="{00000000-0005-0000-0000-0000A43F0000}"/>
    <cellStyle name="Normal 2 2 2 2 2 13 8 2" xfId="17076" xr:uid="{00000000-0005-0000-0000-0000A53F0000}"/>
    <cellStyle name="Normal 2 2 2 2 2 13 8 3" xfId="17077" xr:uid="{00000000-0005-0000-0000-0000A63F0000}"/>
    <cellStyle name="Normal 2 2 2 2 2 13 8 4" xfId="17078" xr:uid="{00000000-0005-0000-0000-0000A73F0000}"/>
    <cellStyle name="Normal 2 2 2 2 2 13 8 5" xfId="17079" xr:uid="{00000000-0005-0000-0000-0000A83F0000}"/>
    <cellStyle name="Normal 2 2 2 2 2 13 8 6" xfId="17080" xr:uid="{00000000-0005-0000-0000-0000A93F0000}"/>
    <cellStyle name="Normal 2 2 2 2 2 13 9" xfId="17081" xr:uid="{00000000-0005-0000-0000-0000AA3F0000}"/>
    <cellStyle name="Normal 2 2 2 2 2 14" xfId="17082" xr:uid="{00000000-0005-0000-0000-0000AB3F0000}"/>
    <cellStyle name="Normal 2 2 2 2 2 14 10" xfId="17083" xr:uid="{00000000-0005-0000-0000-0000AC3F0000}"/>
    <cellStyle name="Normal 2 2 2 2 2 14 11" xfId="17084" xr:uid="{00000000-0005-0000-0000-0000AD3F0000}"/>
    <cellStyle name="Normal 2 2 2 2 2 14 12" xfId="17085" xr:uid="{00000000-0005-0000-0000-0000AE3F0000}"/>
    <cellStyle name="Normal 2 2 2 2 2 14 13" xfId="17086" xr:uid="{00000000-0005-0000-0000-0000AF3F0000}"/>
    <cellStyle name="Normal 2 2 2 2 2 14 2" xfId="17087" xr:uid="{00000000-0005-0000-0000-0000B03F0000}"/>
    <cellStyle name="Normal 2 2 2 2 2 14 2 2" xfId="17088" xr:uid="{00000000-0005-0000-0000-0000B13F0000}"/>
    <cellStyle name="Normal 2 2 2 2 2 14 2 3" xfId="17089" xr:uid="{00000000-0005-0000-0000-0000B23F0000}"/>
    <cellStyle name="Normal 2 2 2 2 2 14 2 4" xfId="17090" xr:uid="{00000000-0005-0000-0000-0000B33F0000}"/>
    <cellStyle name="Normal 2 2 2 2 2 14 2 5" xfId="17091" xr:uid="{00000000-0005-0000-0000-0000B43F0000}"/>
    <cellStyle name="Normal 2 2 2 2 2 14 2 6" xfId="17092" xr:uid="{00000000-0005-0000-0000-0000B53F0000}"/>
    <cellStyle name="Normal 2 2 2 2 2 14 3" xfId="17093" xr:uid="{00000000-0005-0000-0000-0000B63F0000}"/>
    <cellStyle name="Normal 2 2 2 2 2 14 3 2" xfId="17094" xr:uid="{00000000-0005-0000-0000-0000B73F0000}"/>
    <cellStyle name="Normal 2 2 2 2 2 14 3 3" xfId="17095" xr:uid="{00000000-0005-0000-0000-0000B83F0000}"/>
    <cellStyle name="Normal 2 2 2 2 2 14 3 4" xfId="17096" xr:uid="{00000000-0005-0000-0000-0000B93F0000}"/>
    <cellStyle name="Normal 2 2 2 2 2 14 3 5" xfId="17097" xr:uid="{00000000-0005-0000-0000-0000BA3F0000}"/>
    <cellStyle name="Normal 2 2 2 2 2 14 3 6" xfId="17098" xr:uid="{00000000-0005-0000-0000-0000BB3F0000}"/>
    <cellStyle name="Normal 2 2 2 2 2 14 4" xfId="17099" xr:uid="{00000000-0005-0000-0000-0000BC3F0000}"/>
    <cellStyle name="Normal 2 2 2 2 2 14 4 2" xfId="17100" xr:uid="{00000000-0005-0000-0000-0000BD3F0000}"/>
    <cellStyle name="Normal 2 2 2 2 2 14 4 3" xfId="17101" xr:uid="{00000000-0005-0000-0000-0000BE3F0000}"/>
    <cellStyle name="Normal 2 2 2 2 2 14 4 4" xfId="17102" xr:uid="{00000000-0005-0000-0000-0000BF3F0000}"/>
    <cellStyle name="Normal 2 2 2 2 2 14 4 5" xfId="17103" xr:uid="{00000000-0005-0000-0000-0000C03F0000}"/>
    <cellStyle name="Normal 2 2 2 2 2 14 4 6" xfId="17104" xr:uid="{00000000-0005-0000-0000-0000C13F0000}"/>
    <cellStyle name="Normal 2 2 2 2 2 14 5" xfId="17105" xr:uid="{00000000-0005-0000-0000-0000C23F0000}"/>
    <cellStyle name="Normal 2 2 2 2 2 14 5 2" xfId="17106" xr:uid="{00000000-0005-0000-0000-0000C33F0000}"/>
    <cellStyle name="Normal 2 2 2 2 2 14 5 3" xfId="17107" xr:uid="{00000000-0005-0000-0000-0000C43F0000}"/>
    <cellStyle name="Normal 2 2 2 2 2 14 5 4" xfId="17108" xr:uid="{00000000-0005-0000-0000-0000C53F0000}"/>
    <cellStyle name="Normal 2 2 2 2 2 14 5 5" xfId="17109" xr:uid="{00000000-0005-0000-0000-0000C63F0000}"/>
    <cellStyle name="Normal 2 2 2 2 2 14 5 6" xfId="17110" xr:uid="{00000000-0005-0000-0000-0000C73F0000}"/>
    <cellStyle name="Normal 2 2 2 2 2 14 6" xfId="17111" xr:uid="{00000000-0005-0000-0000-0000C83F0000}"/>
    <cellStyle name="Normal 2 2 2 2 2 14 6 2" xfId="17112" xr:uid="{00000000-0005-0000-0000-0000C93F0000}"/>
    <cellStyle name="Normal 2 2 2 2 2 14 6 3" xfId="17113" xr:uid="{00000000-0005-0000-0000-0000CA3F0000}"/>
    <cellStyle name="Normal 2 2 2 2 2 14 6 4" xfId="17114" xr:uid="{00000000-0005-0000-0000-0000CB3F0000}"/>
    <cellStyle name="Normal 2 2 2 2 2 14 6 5" xfId="17115" xr:uid="{00000000-0005-0000-0000-0000CC3F0000}"/>
    <cellStyle name="Normal 2 2 2 2 2 14 6 6" xfId="17116" xr:uid="{00000000-0005-0000-0000-0000CD3F0000}"/>
    <cellStyle name="Normal 2 2 2 2 2 14 7" xfId="17117" xr:uid="{00000000-0005-0000-0000-0000CE3F0000}"/>
    <cellStyle name="Normal 2 2 2 2 2 14 7 2" xfId="17118" xr:uid="{00000000-0005-0000-0000-0000CF3F0000}"/>
    <cellStyle name="Normal 2 2 2 2 2 14 7 3" xfId="17119" xr:uid="{00000000-0005-0000-0000-0000D03F0000}"/>
    <cellStyle name="Normal 2 2 2 2 2 14 7 4" xfId="17120" xr:uid="{00000000-0005-0000-0000-0000D13F0000}"/>
    <cellStyle name="Normal 2 2 2 2 2 14 7 5" xfId="17121" xr:uid="{00000000-0005-0000-0000-0000D23F0000}"/>
    <cellStyle name="Normal 2 2 2 2 2 14 7 6" xfId="17122" xr:uid="{00000000-0005-0000-0000-0000D33F0000}"/>
    <cellStyle name="Normal 2 2 2 2 2 14 8" xfId="17123" xr:uid="{00000000-0005-0000-0000-0000D43F0000}"/>
    <cellStyle name="Normal 2 2 2 2 2 14 8 2" xfId="17124" xr:uid="{00000000-0005-0000-0000-0000D53F0000}"/>
    <cellStyle name="Normal 2 2 2 2 2 14 8 3" xfId="17125" xr:uid="{00000000-0005-0000-0000-0000D63F0000}"/>
    <cellStyle name="Normal 2 2 2 2 2 14 8 4" xfId="17126" xr:uid="{00000000-0005-0000-0000-0000D73F0000}"/>
    <cellStyle name="Normal 2 2 2 2 2 14 8 5" xfId="17127" xr:uid="{00000000-0005-0000-0000-0000D83F0000}"/>
    <cellStyle name="Normal 2 2 2 2 2 14 8 6" xfId="17128" xr:uid="{00000000-0005-0000-0000-0000D93F0000}"/>
    <cellStyle name="Normal 2 2 2 2 2 14 9" xfId="17129" xr:uid="{00000000-0005-0000-0000-0000DA3F0000}"/>
    <cellStyle name="Normal 2 2 2 2 2 15" xfId="17130" xr:uid="{00000000-0005-0000-0000-0000DB3F0000}"/>
    <cellStyle name="Normal 2 2 2 2 2 15 10" xfId="17131" xr:uid="{00000000-0005-0000-0000-0000DC3F0000}"/>
    <cellStyle name="Normal 2 2 2 2 2 15 11" xfId="17132" xr:uid="{00000000-0005-0000-0000-0000DD3F0000}"/>
    <cellStyle name="Normal 2 2 2 2 2 15 12" xfId="17133" xr:uid="{00000000-0005-0000-0000-0000DE3F0000}"/>
    <cellStyle name="Normal 2 2 2 2 2 15 13" xfId="17134" xr:uid="{00000000-0005-0000-0000-0000DF3F0000}"/>
    <cellStyle name="Normal 2 2 2 2 2 15 2" xfId="17135" xr:uid="{00000000-0005-0000-0000-0000E03F0000}"/>
    <cellStyle name="Normal 2 2 2 2 2 15 2 2" xfId="17136" xr:uid="{00000000-0005-0000-0000-0000E13F0000}"/>
    <cellStyle name="Normal 2 2 2 2 2 15 2 3" xfId="17137" xr:uid="{00000000-0005-0000-0000-0000E23F0000}"/>
    <cellStyle name="Normal 2 2 2 2 2 15 2 4" xfId="17138" xr:uid="{00000000-0005-0000-0000-0000E33F0000}"/>
    <cellStyle name="Normal 2 2 2 2 2 15 2 5" xfId="17139" xr:uid="{00000000-0005-0000-0000-0000E43F0000}"/>
    <cellStyle name="Normal 2 2 2 2 2 15 2 6" xfId="17140" xr:uid="{00000000-0005-0000-0000-0000E53F0000}"/>
    <cellStyle name="Normal 2 2 2 2 2 15 3" xfId="17141" xr:uid="{00000000-0005-0000-0000-0000E63F0000}"/>
    <cellStyle name="Normal 2 2 2 2 2 15 3 2" xfId="17142" xr:uid="{00000000-0005-0000-0000-0000E73F0000}"/>
    <cellStyle name="Normal 2 2 2 2 2 15 3 3" xfId="17143" xr:uid="{00000000-0005-0000-0000-0000E83F0000}"/>
    <cellStyle name="Normal 2 2 2 2 2 15 3 4" xfId="17144" xr:uid="{00000000-0005-0000-0000-0000E93F0000}"/>
    <cellStyle name="Normal 2 2 2 2 2 15 3 5" xfId="17145" xr:uid="{00000000-0005-0000-0000-0000EA3F0000}"/>
    <cellStyle name="Normal 2 2 2 2 2 15 3 6" xfId="17146" xr:uid="{00000000-0005-0000-0000-0000EB3F0000}"/>
    <cellStyle name="Normal 2 2 2 2 2 15 4" xfId="17147" xr:uid="{00000000-0005-0000-0000-0000EC3F0000}"/>
    <cellStyle name="Normal 2 2 2 2 2 15 4 2" xfId="17148" xr:uid="{00000000-0005-0000-0000-0000ED3F0000}"/>
    <cellStyle name="Normal 2 2 2 2 2 15 4 3" xfId="17149" xr:uid="{00000000-0005-0000-0000-0000EE3F0000}"/>
    <cellStyle name="Normal 2 2 2 2 2 15 4 4" xfId="17150" xr:uid="{00000000-0005-0000-0000-0000EF3F0000}"/>
    <cellStyle name="Normal 2 2 2 2 2 15 4 5" xfId="17151" xr:uid="{00000000-0005-0000-0000-0000F03F0000}"/>
    <cellStyle name="Normal 2 2 2 2 2 15 4 6" xfId="17152" xr:uid="{00000000-0005-0000-0000-0000F13F0000}"/>
    <cellStyle name="Normal 2 2 2 2 2 15 5" xfId="17153" xr:uid="{00000000-0005-0000-0000-0000F23F0000}"/>
    <cellStyle name="Normal 2 2 2 2 2 15 5 2" xfId="17154" xr:uid="{00000000-0005-0000-0000-0000F33F0000}"/>
    <cellStyle name="Normal 2 2 2 2 2 15 5 3" xfId="17155" xr:uid="{00000000-0005-0000-0000-0000F43F0000}"/>
    <cellStyle name="Normal 2 2 2 2 2 15 5 4" xfId="17156" xr:uid="{00000000-0005-0000-0000-0000F53F0000}"/>
    <cellStyle name="Normal 2 2 2 2 2 15 5 5" xfId="17157" xr:uid="{00000000-0005-0000-0000-0000F63F0000}"/>
    <cellStyle name="Normal 2 2 2 2 2 15 5 6" xfId="17158" xr:uid="{00000000-0005-0000-0000-0000F73F0000}"/>
    <cellStyle name="Normal 2 2 2 2 2 15 6" xfId="17159" xr:uid="{00000000-0005-0000-0000-0000F83F0000}"/>
    <cellStyle name="Normal 2 2 2 2 2 15 6 2" xfId="17160" xr:uid="{00000000-0005-0000-0000-0000F93F0000}"/>
    <cellStyle name="Normal 2 2 2 2 2 15 6 3" xfId="17161" xr:uid="{00000000-0005-0000-0000-0000FA3F0000}"/>
    <cellStyle name="Normal 2 2 2 2 2 15 6 4" xfId="17162" xr:uid="{00000000-0005-0000-0000-0000FB3F0000}"/>
    <cellStyle name="Normal 2 2 2 2 2 15 6 5" xfId="17163" xr:uid="{00000000-0005-0000-0000-0000FC3F0000}"/>
    <cellStyle name="Normal 2 2 2 2 2 15 6 6" xfId="17164" xr:uid="{00000000-0005-0000-0000-0000FD3F0000}"/>
    <cellStyle name="Normal 2 2 2 2 2 15 7" xfId="17165" xr:uid="{00000000-0005-0000-0000-0000FE3F0000}"/>
    <cellStyle name="Normal 2 2 2 2 2 15 7 2" xfId="17166" xr:uid="{00000000-0005-0000-0000-0000FF3F0000}"/>
    <cellStyle name="Normal 2 2 2 2 2 15 7 3" xfId="17167" xr:uid="{00000000-0005-0000-0000-000000400000}"/>
    <cellStyle name="Normal 2 2 2 2 2 15 7 4" xfId="17168" xr:uid="{00000000-0005-0000-0000-000001400000}"/>
    <cellStyle name="Normal 2 2 2 2 2 15 7 5" xfId="17169" xr:uid="{00000000-0005-0000-0000-000002400000}"/>
    <cellStyle name="Normal 2 2 2 2 2 15 7 6" xfId="17170" xr:uid="{00000000-0005-0000-0000-000003400000}"/>
    <cellStyle name="Normal 2 2 2 2 2 15 8" xfId="17171" xr:uid="{00000000-0005-0000-0000-000004400000}"/>
    <cellStyle name="Normal 2 2 2 2 2 15 8 2" xfId="17172" xr:uid="{00000000-0005-0000-0000-000005400000}"/>
    <cellStyle name="Normal 2 2 2 2 2 15 8 3" xfId="17173" xr:uid="{00000000-0005-0000-0000-000006400000}"/>
    <cellStyle name="Normal 2 2 2 2 2 15 8 4" xfId="17174" xr:uid="{00000000-0005-0000-0000-000007400000}"/>
    <cellStyle name="Normal 2 2 2 2 2 15 8 5" xfId="17175" xr:uid="{00000000-0005-0000-0000-000008400000}"/>
    <cellStyle name="Normal 2 2 2 2 2 15 8 6" xfId="17176" xr:uid="{00000000-0005-0000-0000-000009400000}"/>
    <cellStyle name="Normal 2 2 2 2 2 15 9" xfId="17177" xr:uid="{00000000-0005-0000-0000-00000A400000}"/>
    <cellStyle name="Normal 2 2 2 2 2 16" xfId="17178" xr:uid="{00000000-0005-0000-0000-00000B400000}"/>
    <cellStyle name="Normal 2 2 2 2 2 16 10" xfId="17179" xr:uid="{00000000-0005-0000-0000-00000C400000}"/>
    <cellStyle name="Normal 2 2 2 2 2 16 11" xfId="17180" xr:uid="{00000000-0005-0000-0000-00000D400000}"/>
    <cellStyle name="Normal 2 2 2 2 2 16 12" xfId="17181" xr:uid="{00000000-0005-0000-0000-00000E400000}"/>
    <cellStyle name="Normal 2 2 2 2 2 16 13" xfId="17182" xr:uid="{00000000-0005-0000-0000-00000F400000}"/>
    <cellStyle name="Normal 2 2 2 2 2 16 2" xfId="17183" xr:uid="{00000000-0005-0000-0000-000010400000}"/>
    <cellStyle name="Normal 2 2 2 2 2 16 2 2" xfId="17184" xr:uid="{00000000-0005-0000-0000-000011400000}"/>
    <cellStyle name="Normal 2 2 2 2 2 16 2 3" xfId="17185" xr:uid="{00000000-0005-0000-0000-000012400000}"/>
    <cellStyle name="Normal 2 2 2 2 2 16 2 4" xfId="17186" xr:uid="{00000000-0005-0000-0000-000013400000}"/>
    <cellStyle name="Normal 2 2 2 2 2 16 2 5" xfId="17187" xr:uid="{00000000-0005-0000-0000-000014400000}"/>
    <cellStyle name="Normal 2 2 2 2 2 16 2 6" xfId="17188" xr:uid="{00000000-0005-0000-0000-000015400000}"/>
    <cellStyle name="Normal 2 2 2 2 2 16 3" xfId="17189" xr:uid="{00000000-0005-0000-0000-000016400000}"/>
    <cellStyle name="Normal 2 2 2 2 2 16 3 2" xfId="17190" xr:uid="{00000000-0005-0000-0000-000017400000}"/>
    <cellStyle name="Normal 2 2 2 2 2 16 3 3" xfId="17191" xr:uid="{00000000-0005-0000-0000-000018400000}"/>
    <cellStyle name="Normal 2 2 2 2 2 16 3 4" xfId="17192" xr:uid="{00000000-0005-0000-0000-000019400000}"/>
    <cellStyle name="Normal 2 2 2 2 2 16 3 5" xfId="17193" xr:uid="{00000000-0005-0000-0000-00001A400000}"/>
    <cellStyle name="Normal 2 2 2 2 2 16 3 6" xfId="17194" xr:uid="{00000000-0005-0000-0000-00001B400000}"/>
    <cellStyle name="Normal 2 2 2 2 2 16 4" xfId="17195" xr:uid="{00000000-0005-0000-0000-00001C400000}"/>
    <cellStyle name="Normal 2 2 2 2 2 16 4 2" xfId="17196" xr:uid="{00000000-0005-0000-0000-00001D400000}"/>
    <cellStyle name="Normal 2 2 2 2 2 16 4 3" xfId="17197" xr:uid="{00000000-0005-0000-0000-00001E400000}"/>
    <cellStyle name="Normal 2 2 2 2 2 16 4 4" xfId="17198" xr:uid="{00000000-0005-0000-0000-00001F400000}"/>
    <cellStyle name="Normal 2 2 2 2 2 16 4 5" xfId="17199" xr:uid="{00000000-0005-0000-0000-000020400000}"/>
    <cellStyle name="Normal 2 2 2 2 2 16 4 6" xfId="17200" xr:uid="{00000000-0005-0000-0000-000021400000}"/>
    <cellStyle name="Normal 2 2 2 2 2 16 5" xfId="17201" xr:uid="{00000000-0005-0000-0000-000022400000}"/>
    <cellStyle name="Normal 2 2 2 2 2 16 5 2" xfId="17202" xr:uid="{00000000-0005-0000-0000-000023400000}"/>
    <cellStyle name="Normal 2 2 2 2 2 16 5 3" xfId="17203" xr:uid="{00000000-0005-0000-0000-000024400000}"/>
    <cellStyle name="Normal 2 2 2 2 2 16 5 4" xfId="17204" xr:uid="{00000000-0005-0000-0000-000025400000}"/>
    <cellStyle name="Normal 2 2 2 2 2 16 5 5" xfId="17205" xr:uid="{00000000-0005-0000-0000-000026400000}"/>
    <cellStyle name="Normal 2 2 2 2 2 16 5 6" xfId="17206" xr:uid="{00000000-0005-0000-0000-000027400000}"/>
    <cellStyle name="Normal 2 2 2 2 2 16 6" xfId="17207" xr:uid="{00000000-0005-0000-0000-000028400000}"/>
    <cellStyle name="Normal 2 2 2 2 2 16 6 2" xfId="17208" xr:uid="{00000000-0005-0000-0000-000029400000}"/>
    <cellStyle name="Normal 2 2 2 2 2 16 6 3" xfId="17209" xr:uid="{00000000-0005-0000-0000-00002A400000}"/>
    <cellStyle name="Normal 2 2 2 2 2 16 6 4" xfId="17210" xr:uid="{00000000-0005-0000-0000-00002B400000}"/>
    <cellStyle name="Normal 2 2 2 2 2 16 6 5" xfId="17211" xr:uid="{00000000-0005-0000-0000-00002C400000}"/>
    <cellStyle name="Normal 2 2 2 2 2 16 6 6" xfId="17212" xr:uid="{00000000-0005-0000-0000-00002D400000}"/>
    <cellStyle name="Normal 2 2 2 2 2 16 7" xfId="17213" xr:uid="{00000000-0005-0000-0000-00002E400000}"/>
    <cellStyle name="Normal 2 2 2 2 2 16 7 2" xfId="17214" xr:uid="{00000000-0005-0000-0000-00002F400000}"/>
    <cellStyle name="Normal 2 2 2 2 2 16 7 3" xfId="17215" xr:uid="{00000000-0005-0000-0000-000030400000}"/>
    <cellStyle name="Normal 2 2 2 2 2 16 7 4" xfId="17216" xr:uid="{00000000-0005-0000-0000-000031400000}"/>
    <cellStyle name="Normal 2 2 2 2 2 16 7 5" xfId="17217" xr:uid="{00000000-0005-0000-0000-000032400000}"/>
    <cellStyle name="Normal 2 2 2 2 2 16 7 6" xfId="17218" xr:uid="{00000000-0005-0000-0000-000033400000}"/>
    <cellStyle name="Normal 2 2 2 2 2 16 8" xfId="17219" xr:uid="{00000000-0005-0000-0000-000034400000}"/>
    <cellStyle name="Normal 2 2 2 2 2 16 8 2" xfId="17220" xr:uid="{00000000-0005-0000-0000-000035400000}"/>
    <cellStyle name="Normal 2 2 2 2 2 16 8 3" xfId="17221" xr:uid="{00000000-0005-0000-0000-000036400000}"/>
    <cellStyle name="Normal 2 2 2 2 2 16 8 4" xfId="17222" xr:uid="{00000000-0005-0000-0000-000037400000}"/>
    <cellStyle name="Normal 2 2 2 2 2 16 8 5" xfId="17223" xr:uid="{00000000-0005-0000-0000-000038400000}"/>
    <cellStyle name="Normal 2 2 2 2 2 16 8 6" xfId="17224" xr:uid="{00000000-0005-0000-0000-000039400000}"/>
    <cellStyle name="Normal 2 2 2 2 2 16 9" xfId="17225" xr:uid="{00000000-0005-0000-0000-00003A400000}"/>
    <cellStyle name="Normal 2 2 2 2 2 17" xfId="17226" xr:uid="{00000000-0005-0000-0000-00003B400000}"/>
    <cellStyle name="Normal 2 2 2 2 2 17 10" xfId="17227" xr:uid="{00000000-0005-0000-0000-00003C400000}"/>
    <cellStyle name="Normal 2 2 2 2 2 17 11" xfId="17228" xr:uid="{00000000-0005-0000-0000-00003D400000}"/>
    <cellStyle name="Normal 2 2 2 2 2 17 12" xfId="17229" xr:uid="{00000000-0005-0000-0000-00003E400000}"/>
    <cellStyle name="Normal 2 2 2 2 2 17 13" xfId="17230" xr:uid="{00000000-0005-0000-0000-00003F400000}"/>
    <cellStyle name="Normal 2 2 2 2 2 17 2" xfId="17231" xr:uid="{00000000-0005-0000-0000-000040400000}"/>
    <cellStyle name="Normal 2 2 2 2 2 17 2 2" xfId="17232" xr:uid="{00000000-0005-0000-0000-000041400000}"/>
    <cellStyle name="Normal 2 2 2 2 2 17 2 3" xfId="17233" xr:uid="{00000000-0005-0000-0000-000042400000}"/>
    <cellStyle name="Normal 2 2 2 2 2 17 2 4" xfId="17234" xr:uid="{00000000-0005-0000-0000-000043400000}"/>
    <cellStyle name="Normal 2 2 2 2 2 17 2 5" xfId="17235" xr:uid="{00000000-0005-0000-0000-000044400000}"/>
    <cellStyle name="Normal 2 2 2 2 2 17 2 6" xfId="17236" xr:uid="{00000000-0005-0000-0000-000045400000}"/>
    <cellStyle name="Normal 2 2 2 2 2 17 3" xfId="17237" xr:uid="{00000000-0005-0000-0000-000046400000}"/>
    <cellStyle name="Normal 2 2 2 2 2 17 3 2" xfId="17238" xr:uid="{00000000-0005-0000-0000-000047400000}"/>
    <cellStyle name="Normal 2 2 2 2 2 17 3 3" xfId="17239" xr:uid="{00000000-0005-0000-0000-000048400000}"/>
    <cellStyle name="Normal 2 2 2 2 2 17 3 4" xfId="17240" xr:uid="{00000000-0005-0000-0000-000049400000}"/>
    <cellStyle name="Normal 2 2 2 2 2 17 3 5" xfId="17241" xr:uid="{00000000-0005-0000-0000-00004A400000}"/>
    <cellStyle name="Normal 2 2 2 2 2 17 3 6" xfId="17242" xr:uid="{00000000-0005-0000-0000-00004B400000}"/>
    <cellStyle name="Normal 2 2 2 2 2 17 4" xfId="17243" xr:uid="{00000000-0005-0000-0000-00004C400000}"/>
    <cellStyle name="Normal 2 2 2 2 2 17 4 2" xfId="17244" xr:uid="{00000000-0005-0000-0000-00004D400000}"/>
    <cellStyle name="Normal 2 2 2 2 2 17 4 3" xfId="17245" xr:uid="{00000000-0005-0000-0000-00004E400000}"/>
    <cellStyle name="Normal 2 2 2 2 2 17 4 4" xfId="17246" xr:uid="{00000000-0005-0000-0000-00004F400000}"/>
    <cellStyle name="Normal 2 2 2 2 2 17 4 5" xfId="17247" xr:uid="{00000000-0005-0000-0000-000050400000}"/>
    <cellStyle name="Normal 2 2 2 2 2 17 4 6" xfId="17248" xr:uid="{00000000-0005-0000-0000-000051400000}"/>
    <cellStyle name="Normal 2 2 2 2 2 17 5" xfId="17249" xr:uid="{00000000-0005-0000-0000-000052400000}"/>
    <cellStyle name="Normal 2 2 2 2 2 17 5 2" xfId="17250" xr:uid="{00000000-0005-0000-0000-000053400000}"/>
    <cellStyle name="Normal 2 2 2 2 2 17 5 3" xfId="17251" xr:uid="{00000000-0005-0000-0000-000054400000}"/>
    <cellStyle name="Normal 2 2 2 2 2 17 5 4" xfId="17252" xr:uid="{00000000-0005-0000-0000-000055400000}"/>
    <cellStyle name="Normal 2 2 2 2 2 17 5 5" xfId="17253" xr:uid="{00000000-0005-0000-0000-000056400000}"/>
    <cellStyle name="Normal 2 2 2 2 2 17 5 6" xfId="17254" xr:uid="{00000000-0005-0000-0000-000057400000}"/>
    <cellStyle name="Normal 2 2 2 2 2 17 6" xfId="17255" xr:uid="{00000000-0005-0000-0000-000058400000}"/>
    <cellStyle name="Normal 2 2 2 2 2 17 6 2" xfId="17256" xr:uid="{00000000-0005-0000-0000-000059400000}"/>
    <cellStyle name="Normal 2 2 2 2 2 17 6 3" xfId="17257" xr:uid="{00000000-0005-0000-0000-00005A400000}"/>
    <cellStyle name="Normal 2 2 2 2 2 17 6 4" xfId="17258" xr:uid="{00000000-0005-0000-0000-00005B400000}"/>
    <cellStyle name="Normal 2 2 2 2 2 17 6 5" xfId="17259" xr:uid="{00000000-0005-0000-0000-00005C400000}"/>
    <cellStyle name="Normal 2 2 2 2 2 17 6 6" xfId="17260" xr:uid="{00000000-0005-0000-0000-00005D400000}"/>
    <cellStyle name="Normal 2 2 2 2 2 17 7" xfId="17261" xr:uid="{00000000-0005-0000-0000-00005E400000}"/>
    <cellStyle name="Normal 2 2 2 2 2 17 7 2" xfId="17262" xr:uid="{00000000-0005-0000-0000-00005F400000}"/>
    <cellStyle name="Normal 2 2 2 2 2 17 7 3" xfId="17263" xr:uid="{00000000-0005-0000-0000-000060400000}"/>
    <cellStyle name="Normal 2 2 2 2 2 17 7 4" xfId="17264" xr:uid="{00000000-0005-0000-0000-000061400000}"/>
    <cellStyle name="Normal 2 2 2 2 2 17 7 5" xfId="17265" xr:uid="{00000000-0005-0000-0000-000062400000}"/>
    <cellStyle name="Normal 2 2 2 2 2 17 7 6" xfId="17266" xr:uid="{00000000-0005-0000-0000-000063400000}"/>
    <cellStyle name="Normal 2 2 2 2 2 17 8" xfId="17267" xr:uid="{00000000-0005-0000-0000-000064400000}"/>
    <cellStyle name="Normal 2 2 2 2 2 17 8 2" xfId="17268" xr:uid="{00000000-0005-0000-0000-000065400000}"/>
    <cellStyle name="Normal 2 2 2 2 2 17 8 3" xfId="17269" xr:uid="{00000000-0005-0000-0000-000066400000}"/>
    <cellStyle name="Normal 2 2 2 2 2 17 8 4" xfId="17270" xr:uid="{00000000-0005-0000-0000-000067400000}"/>
    <cellStyle name="Normal 2 2 2 2 2 17 8 5" xfId="17271" xr:uid="{00000000-0005-0000-0000-000068400000}"/>
    <cellStyle name="Normal 2 2 2 2 2 17 8 6" xfId="17272" xr:uid="{00000000-0005-0000-0000-000069400000}"/>
    <cellStyle name="Normal 2 2 2 2 2 17 9" xfId="17273" xr:uid="{00000000-0005-0000-0000-00006A400000}"/>
    <cellStyle name="Normal 2 2 2 2 2 18" xfId="17274" xr:uid="{00000000-0005-0000-0000-00006B400000}"/>
    <cellStyle name="Normal 2 2 2 2 2 18 10" xfId="17275" xr:uid="{00000000-0005-0000-0000-00006C400000}"/>
    <cellStyle name="Normal 2 2 2 2 2 18 11" xfId="17276" xr:uid="{00000000-0005-0000-0000-00006D400000}"/>
    <cellStyle name="Normal 2 2 2 2 2 18 12" xfId="17277" xr:uid="{00000000-0005-0000-0000-00006E400000}"/>
    <cellStyle name="Normal 2 2 2 2 2 18 13" xfId="17278" xr:uid="{00000000-0005-0000-0000-00006F400000}"/>
    <cellStyle name="Normal 2 2 2 2 2 18 2" xfId="17279" xr:uid="{00000000-0005-0000-0000-000070400000}"/>
    <cellStyle name="Normal 2 2 2 2 2 18 2 2" xfId="17280" xr:uid="{00000000-0005-0000-0000-000071400000}"/>
    <cellStyle name="Normal 2 2 2 2 2 18 2 2 2" xfId="17281" xr:uid="{00000000-0005-0000-0000-000072400000}"/>
    <cellStyle name="Normal 2 2 2 2 2 18 2 3" xfId="17282" xr:uid="{00000000-0005-0000-0000-000073400000}"/>
    <cellStyle name="Normal 2 2 2 2 2 18 2 4" xfId="17283" xr:uid="{00000000-0005-0000-0000-000074400000}"/>
    <cellStyle name="Normal 2 2 2 2 2 18 2 5" xfId="17284" xr:uid="{00000000-0005-0000-0000-000075400000}"/>
    <cellStyle name="Normal 2 2 2 2 2 18 2 6" xfId="17285" xr:uid="{00000000-0005-0000-0000-000076400000}"/>
    <cellStyle name="Normal 2 2 2 2 2 18 3" xfId="17286" xr:uid="{00000000-0005-0000-0000-000077400000}"/>
    <cellStyle name="Normal 2 2 2 2 2 18 3 2" xfId="17287" xr:uid="{00000000-0005-0000-0000-000078400000}"/>
    <cellStyle name="Normal 2 2 2 2 2 18 3 3" xfId="17288" xr:uid="{00000000-0005-0000-0000-000079400000}"/>
    <cellStyle name="Normal 2 2 2 2 2 18 3 4" xfId="17289" xr:uid="{00000000-0005-0000-0000-00007A400000}"/>
    <cellStyle name="Normal 2 2 2 2 2 18 3 5" xfId="17290" xr:uid="{00000000-0005-0000-0000-00007B400000}"/>
    <cellStyle name="Normal 2 2 2 2 2 18 3 6" xfId="17291" xr:uid="{00000000-0005-0000-0000-00007C400000}"/>
    <cellStyle name="Normal 2 2 2 2 2 18 4" xfId="17292" xr:uid="{00000000-0005-0000-0000-00007D400000}"/>
    <cellStyle name="Normal 2 2 2 2 2 18 4 2" xfId="17293" xr:uid="{00000000-0005-0000-0000-00007E400000}"/>
    <cellStyle name="Normal 2 2 2 2 2 18 4 3" xfId="17294" xr:uid="{00000000-0005-0000-0000-00007F400000}"/>
    <cellStyle name="Normal 2 2 2 2 2 18 4 4" xfId="17295" xr:uid="{00000000-0005-0000-0000-000080400000}"/>
    <cellStyle name="Normal 2 2 2 2 2 18 4 5" xfId="17296" xr:uid="{00000000-0005-0000-0000-000081400000}"/>
    <cellStyle name="Normal 2 2 2 2 2 18 4 6" xfId="17297" xr:uid="{00000000-0005-0000-0000-000082400000}"/>
    <cellStyle name="Normal 2 2 2 2 2 18 5" xfId="17298" xr:uid="{00000000-0005-0000-0000-000083400000}"/>
    <cellStyle name="Normal 2 2 2 2 2 18 5 2" xfId="17299" xr:uid="{00000000-0005-0000-0000-000084400000}"/>
    <cellStyle name="Normal 2 2 2 2 2 18 5 3" xfId="17300" xr:uid="{00000000-0005-0000-0000-000085400000}"/>
    <cellStyle name="Normal 2 2 2 2 2 18 5 4" xfId="17301" xr:uid="{00000000-0005-0000-0000-000086400000}"/>
    <cellStyle name="Normal 2 2 2 2 2 18 5 5" xfId="17302" xr:uid="{00000000-0005-0000-0000-000087400000}"/>
    <cellStyle name="Normal 2 2 2 2 2 18 5 6" xfId="17303" xr:uid="{00000000-0005-0000-0000-000088400000}"/>
    <cellStyle name="Normal 2 2 2 2 2 18 6" xfId="17304" xr:uid="{00000000-0005-0000-0000-000089400000}"/>
    <cellStyle name="Normal 2 2 2 2 2 18 6 2" xfId="17305" xr:uid="{00000000-0005-0000-0000-00008A400000}"/>
    <cellStyle name="Normal 2 2 2 2 2 18 6 3" xfId="17306" xr:uid="{00000000-0005-0000-0000-00008B400000}"/>
    <cellStyle name="Normal 2 2 2 2 2 18 6 4" xfId="17307" xr:uid="{00000000-0005-0000-0000-00008C400000}"/>
    <cellStyle name="Normal 2 2 2 2 2 18 6 5" xfId="17308" xr:uid="{00000000-0005-0000-0000-00008D400000}"/>
    <cellStyle name="Normal 2 2 2 2 2 18 6 6" xfId="17309" xr:uid="{00000000-0005-0000-0000-00008E400000}"/>
    <cellStyle name="Normal 2 2 2 2 2 18 7" xfId="17310" xr:uid="{00000000-0005-0000-0000-00008F400000}"/>
    <cellStyle name="Normal 2 2 2 2 2 18 7 2" xfId="17311" xr:uid="{00000000-0005-0000-0000-000090400000}"/>
    <cellStyle name="Normal 2 2 2 2 2 18 7 3" xfId="17312" xr:uid="{00000000-0005-0000-0000-000091400000}"/>
    <cellStyle name="Normal 2 2 2 2 2 18 7 4" xfId="17313" xr:uid="{00000000-0005-0000-0000-000092400000}"/>
    <cellStyle name="Normal 2 2 2 2 2 18 7 5" xfId="17314" xr:uid="{00000000-0005-0000-0000-000093400000}"/>
    <cellStyle name="Normal 2 2 2 2 2 18 7 6" xfId="17315" xr:uid="{00000000-0005-0000-0000-000094400000}"/>
    <cellStyle name="Normal 2 2 2 2 2 18 8" xfId="17316" xr:uid="{00000000-0005-0000-0000-000095400000}"/>
    <cellStyle name="Normal 2 2 2 2 2 18 8 2" xfId="17317" xr:uid="{00000000-0005-0000-0000-000096400000}"/>
    <cellStyle name="Normal 2 2 2 2 2 18 8 3" xfId="17318" xr:uid="{00000000-0005-0000-0000-000097400000}"/>
    <cellStyle name="Normal 2 2 2 2 2 18 8 4" xfId="17319" xr:uid="{00000000-0005-0000-0000-000098400000}"/>
    <cellStyle name="Normal 2 2 2 2 2 18 8 5" xfId="17320" xr:uid="{00000000-0005-0000-0000-000099400000}"/>
    <cellStyle name="Normal 2 2 2 2 2 18 8 6" xfId="17321" xr:uid="{00000000-0005-0000-0000-00009A400000}"/>
    <cellStyle name="Normal 2 2 2 2 2 18 9" xfId="17322" xr:uid="{00000000-0005-0000-0000-00009B400000}"/>
    <cellStyle name="Normal 2 2 2 2 2 19" xfId="17323" xr:uid="{00000000-0005-0000-0000-00009C400000}"/>
    <cellStyle name="Normal 2 2 2 2 2 19 10" xfId="17324" xr:uid="{00000000-0005-0000-0000-00009D400000}"/>
    <cellStyle name="Normal 2 2 2 2 2 19 11" xfId="17325" xr:uid="{00000000-0005-0000-0000-00009E400000}"/>
    <cellStyle name="Normal 2 2 2 2 2 19 12" xfId="17326" xr:uid="{00000000-0005-0000-0000-00009F400000}"/>
    <cellStyle name="Normal 2 2 2 2 2 19 13" xfId="17327" xr:uid="{00000000-0005-0000-0000-0000A0400000}"/>
    <cellStyle name="Normal 2 2 2 2 2 19 2" xfId="17328" xr:uid="{00000000-0005-0000-0000-0000A1400000}"/>
    <cellStyle name="Normal 2 2 2 2 2 19 2 2" xfId="17329" xr:uid="{00000000-0005-0000-0000-0000A2400000}"/>
    <cellStyle name="Normal 2 2 2 2 2 19 2 3" xfId="17330" xr:uid="{00000000-0005-0000-0000-0000A3400000}"/>
    <cellStyle name="Normal 2 2 2 2 2 19 2 4" xfId="17331" xr:uid="{00000000-0005-0000-0000-0000A4400000}"/>
    <cellStyle name="Normal 2 2 2 2 2 19 2 5" xfId="17332" xr:uid="{00000000-0005-0000-0000-0000A5400000}"/>
    <cellStyle name="Normal 2 2 2 2 2 19 2 6" xfId="17333" xr:uid="{00000000-0005-0000-0000-0000A6400000}"/>
    <cellStyle name="Normal 2 2 2 2 2 19 3" xfId="17334" xr:uid="{00000000-0005-0000-0000-0000A7400000}"/>
    <cellStyle name="Normal 2 2 2 2 2 19 3 2" xfId="17335" xr:uid="{00000000-0005-0000-0000-0000A8400000}"/>
    <cellStyle name="Normal 2 2 2 2 2 19 3 3" xfId="17336" xr:uid="{00000000-0005-0000-0000-0000A9400000}"/>
    <cellStyle name="Normal 2 2 2 2 2 19 3 4" xfId="17337" xr:uid="{00000000-0005-0000-0000-0000AA400000}"/>
    <cellStyle name="Normal 2 2 2 2 2 19 3 5" xfId="17338" xr:uid="{00000000-0005-0000-0000-0000AB400000}"/>
    <cellStyle name="Normal 2 2 2 2 2 19 3 6" xfId="17339" xr:uid="{00000000-0005-0000-0000-0000AC400000}"/>
    <cellStyle name="Normal 2 2 2 2 2 19 4" xfId="17340" xr:uid="{00000000-0005-0000-0000-0000AD400000}"/>
    <cellStyle name="Normal 2 2 2 2 2 19 4 2" xfId="17341" xr:uid="{00000000-0005-0000-0000-0000AE400000}"/>
    <cellStyle name="Normal 2 2 2 2 2 19 4 3" xfId="17342" xr:uid="{00000000-0005-0000-0000-0000AF400000}"/>
    <cellStyle name="Normal 2 2 2 2 2 19 4 4" xfId="17343" xr:uid="{00000000-0005-0000-0000-0000B0400000}"/>
    <cellStyle name="Normal 2 2 2 2 2 19 4 5" xfId="17344" xr:uid="{00000000-0005-0000-0000-0000B1400000}"/>
    <cellStyle name="Normal 2 2 2 2 2 19 4 6" xfId="17345" xr:uid="{00000000-0005-0000-0000-0000B2400000}"/>
    <cellStyle name="Normal 2 2 2 2 2 19 5" xfId="17346" xr:uid="{00000000-0005-0000-0000-0000B3400000}"/>
    <cellStyle name="Normal 2 2 2 2 2 19 5 2" xfId="17347" xr:uid="{00000000-0005-0000-0000-0000B4400000}"/>
    <cellStyle name="Normal 2 2 2 2 2 19 5 3" xfId="17348" xr:uid="{00000000-0005-0000-0000-0000B5400000}"/>
    <cellStyle name="Normal 2 2 2 2 2 19 5 4" xfId="17349" xr:uid="{00000000-0005-0000-0000-0000B6400000}"/>
    <cellStyle name="Normal 2 2 2 2 2 19 5 5" xfId="17350" xr:uid="{00000000-0005-0000-0000-0000B7400000}"/>
    <cellStyle name="Normal 2 2 2 2 2 19 5 6" xfId="17351" xr:uid="{00000000-0005-0000-0000-0000B8400000}"/>
    <cellStyle name="Normal 2 2 2 2 2 19 6" xfId="17352" xr:uid="{00000000-0005-0000-0000-0000B9400000}"/>
    <cellStyle name="Normal 2 2 2 2 2 19 6 2" xfId="17353" xr:uid="{00000000-0005-0000-0000-0000BA400000}"/>
    <cellStyle name="Normal 2 2 2 2 2 19 6 3" xfId="17354" xr:uid="{00000000-0005-0000-0000-0000BB400000}"/>
    <cellStyle name="Normal 2 2 2 2 2 19 6 4" xfId="17355" xr:uid="{00000000-0005-0000-0000-0000BC400000}"/>
    <cellStyle name="Normal 2 2 2 2 2 19 6 5" xfId="17356" xr:uid="{00000000-0005-0000-0000-0000BD400000}"/>
    <cellStyle name="Normal 2 2 2 2 2 19 6 6" xfId="17357" xr:uid="{00000000-0005-0000-0000-0000BE400000}"/>
    <cellStyle name="Normal 2 2 2 2 2 19 7" xfId="17358" xr:uid="{00000000-0005-0000-0000-0000BF400000}"/>
    <cellStyle name="Normal 2 2 2 2 2 19 7 2" xfId="17359" xr:uid="{00000000-0005-0000-0000-0000C0400000}"/>
    <cellStyle name="Normal 2 2 2 2 2 19 7 3" xfId="17360" xr:uid="{00000000-0005-0000-0000-0000C1400000}"/>
    <cellStyle name="Normal 2 2 2 2 2 19 7 4" xfId="17361" xr:uid="{00000000-0005-0000-0000-0000C2400000}"/>
    <cellStyle name="Normal 2 2 2 2 2 19 7 5" xfId="17362" xr:uid="{00000000-0005-0000-0000-0000C3400000}"/>
    <cellStyle name="Normal 2 2 2 2 2 19 7 6" xfId="17363" xr:uid="{00000000-0005-0000-0000-0000C4400000}"/>
    <cellStyle name="Normal 2 2 2 2 2 19 8" xfId="17364" xr:uid="{00000000-0005-0000-0000-0000C5400000}"/>
    <cellStyle name="Normal 2 2 2 2 2 19 8 2" xfId="17365" xr:uid="{00000000-0005-0000-0000-0000C6400000}"/>
    <cellStyle name="Normal 2 2 2 2 2 19 8 3" xfId="17366" xr:uid="{00000000-0005-0000-0000-0000C7400000}"/>
    <cellStyle name="Normal 2 2 2 2 2 19 8 4" xfId="17367" xr:uid="{00000000-0005-0000-0000-0000C8400000}"/>
    <cellStyle name="Normal 2 2 2 2 2 19 8 5" xfId="17368" xr:uid="{00000000-0005-0000-0000-0000C9400000}"/>
    <cellStyle name="Normal 2 2 2 2 2 19 8 6" xfId="17369" xr:uid="{00000000-0005-0000-0000-0000CA400000}"/>
    <cellStyle name="Normal 2 2 2 2 2 19 9" xfId="17370" xr:uid="{00000000-0005-0000-0000-0000CB400000}"/>
    <cellStyle name="Normal 2 2 2 2 2 2" xfId="17371" xr:uid="{00000000-0005-0000-0000-0000CC400000}"/>
    <cellStyle name="Normal 2 2 2 2 2 2 10" xfId="17372" xr:uid="{00000000-0005-0000-0000-0000CD400000}"/>
    <cellStyle name="Normal 2 2 2 2 2 2 11" xfId="17373" xr:uid="{00000000-0005-0000-0000-0000CE400000}"/>
    <cellStyle name="Normal 2 2 2 2 2 2 12" xfId="17374" xr:uid="{00000000-0005-0000-0000-0000CF400000}"/>
    <cellStyle name="Normal 2 2 2 2 2 2 13" xfId="17375" xr:uid="{00000000-0005-0000-0000-0000D0400000}"/>
    <cellStyle name="Normal 2 2 2 2 2 2 14" xfId="17376" xr:uid="{00000000-0005-0000-0000-0000D1400000}"/>
    <cellStyle name="Normal 2 2 2 2 2 2 15" xfId="17377" xr:uid="{00000000-0005-0000-0000-0000D2400000}"/>
    <cellStyle name="Normal 2 2 2 2 2 2 16" xfId="17378" xr:uid="{00000000-0005-0000-0000-0000D3400000}"/>
    <cellStyle name="Normal 2 2 2 2 2 2 17" xfId="17379" xr:uid="{00000000-0005-0000-0000-0000D4400000}"/>
    <cellStyle name="Normal 2 2 2 2 2 2 18" xfId="17380" xr:uid="{00000000-0005-0000-0000-0000D5400000}"/>
    <cellStyle name="Normal 2 2 2 2 2 2 19" xfId="17381" xr:uid="{00000000-0005-0000-0000-0000D6400000}"/>
    <cellStyle name="Normal 2 2 2 2 2 2 19 10" xfId="17382" xr:uid="{00000000-0005-0000-0000-0000D7400000}"/>
    <cellStyle name="Normal 2 2 2 2 2 2 19 11" xfId="17383" xr:uid="{00000000-0005-0000-0000-0000D8400000}"/>
    <cellStyle name="Normal 2 2 2 2 2 2 19 12" xfId="17384" xr:uid="{00000000-0005-0000-0000-0000D9400000}"/>
    <cellStyle name="Normal 2 2 2 2 2 2 19 13" xfId="17385" xr:uid="{00000000-0005-0000-0000-0000DA400000}"/>
    <cellStyle name="Normal 2 2 2 2 2 2 19 2" xfId="17386" xr:uid="{00000000-0005-0000-0000-0000DB400000}"/>
    <cellStyle name="Normal 2 2 2 2 2 2 19 2 2" xfId="17387" xr:uid="{00000000-0005-0000-0000-0000DC400000}"/>
    <cellStyle name="Normal 2 2 2 2 2 2 19 2 3" xfId="17388" xr:uid="{00000000-0005-0000-0000-0000DD400000}"/>
    <cellStyle name="Normal 2 2 2 2 2 2 19 2 4" xfId="17389" xr:uid="{00000000-0005-0000-0000-0000DE400000}"/>
    <cellStyle name="Normal 2 2 2 2 2 2 19 2 5" xfId="17390" xr:uid="{00000000-0005-0000-0000-0000DF400000}"/>
    <cellStyle name="Normal 2 2 2 2 2 2 19 2 6" xfId="17391" xr:uid="{00000000-0005-0000-0000-0000E0400000}"/>
    <cellStyle name="Normal 2 2 2 2 2 2 19 3" xfId="17392" xr:uid="{00000000-0005-0000-0000-0000E1400000}"/>
    <cellStyle name="Normal 2 2 2 2 2 2 19 3 2" xfId="17393" xr:uid="{00000000-0005-0000-0000-0000E2400000}"/>
    <cellStyle name="Normal 2 2 2 2 2 2 19 3 3" xfId="17394" xr:uid="{00000000-0005-0000-0000-0000E3400000}"/>
    <cellStyle name="Normal 2 2 2 2 2 2 19 3 4" xfId="17395" xr:uid="{00000000-0005-0000-0000-0000E4400000}"/>
    <cellStyle name="Normal 2 2 2 2 2 2 19 3 5" xfId="17396" xr:uid="{00000000-0005-0000-0000-0000E5400000}"/>
    <cellStyle name="Normal 2 2 2 2 2 2 19 3 6" xfId="17397" xr:uid="{00000000-0005-0000-0000-0000E6400000}"/>
    <cellStyle name="Normal 2 2 2 2 2 2 19 4" xfId="17398" xr:uid="{00000000-0005-0000-0000-0000E7400000}"/>
    <cellStyle name="Normal 2 2 2 2 2 2 19 4 2" xfId="17399" xr:uid="{00000000-0005-0000-0000-0000E8400000}"/>
    <cellStyle name="Normal 2 2 2 2 2 2 19 4 3" xfId="17400" xr:uid="{00000000-0005-0000-0000-0000E9400000}"/>
    <cellStyle name="Normal 2 2 2 2 2 2 19 4 4" xfId="17401" xr:uid="{00000000-0005-0000-0000-0000EA400000}"/>
    <cellStyle name="Normal 2 2 2 2 2 2 19 4 5" xfId="17402" xr:uid="{00000000-0005-0000-0000-0000EB400000}"/>
    <cellStyle name="Normal 2 2 2 2 2 2 19 4 6" xfId="17403" xr:uid="{00000000-0005-0000-0000-0000EC400000}"/>
    <cellStyle name="Normal 2 2 2 2 2 2 19 5" xfId="17404" xr:uid="{00000000-0005-0000-0000-0000ED400000}"/>
    <cellStyle name="Normal 2 2 2 2 2 2 19 5 2" xfId="17405" xr:uid="{00000000-0005-0000-0000-0000EE400000}"/>
    <cellStyle name="Normal 2 2 2 2 2 2 19 5 3" xfId="17406" xr:uid="{00000000-0005-0000-0000-0000EF400000}"/>
    <cellStyle name="Normal 2 2 2 2 2 2 19 5 4" xfId="17407" xr:uid="{00000000-0005-0000-0000-0000F0400000}"/>
    <cellStyle name="Normal 2 2 2 2 2 2 19 5 5" xfId="17408" xr:uid="{00000000-0005-0000-0000-0000F1400000}"/>
    <cellStyle name="Normal 2 2 2 2 2 2 19 5 6" xfId="17409" xr:uid="{00000000-0005-0000-0000-0000F2400000}"/>
    <cellStyle name="Normal 2 2 2 2 2 2 19 6" xfId="17410" xr:uid="{00000000-0005-0000-0000-0000F3400000}"/>
    <cellStyle name="Normal 2 2 2 2 2 2 19 6 2" xfId="17411" xr:uid="{00000000-0005-0000-0000-0000F4400000}"/>
    <cellStyle name="Normal 2 2 2 2 2 2 19 6 3" xfId="17412" xr:uid="{00000000-0005-0000-0000-0000F5400000}"/>
    <cellStyle name="Normal 2 2 2 2 2 2 19 6 4" xfId="17413" xr:uid="{00000000-0005-0000-0000-0000F6400000}"/>
    <cellStyle name="Normal 2 2 2 2 2 2 19 6 5" xfId="17414" xr:uid="{00000000-0005-0000-0000-0000F7400000}"/>
    <cellStyle name="Normal 2 2 2 2 2 2 19 6 6" xfId="17415" xr:uid="{00000000-0005-0000-0000-0000F8400000}"/>
    <cellStyle name="Normal 2 2 2 2 2 2 19 7" xfId="17416" xr:uid="{00000000-0005-0000-0000-0000F9400000}"/>
    <cellStyle name="Normal 2 2 2 2 2 2 19 7 2" xfId="17417" xr:uid="{00000000-0005-0000-0000-0000FA400000}"/>
    <cellStyle name="Normal 2 2 2 2 2 2 19 7 3" xfId="17418" xr:uid="{00000000-0005-0000-0000-0000FB400000}"/>
    <cellStyle name="Normal 2 2 2 2 2 2 19 7 4" xfId="17419" xr:uid="{00000000-0005-0000-0000-0000FC400000}"/>
    <cellStyle name="Normal 2 2 2 2 2 2 19 7 5" xfId="17420" xr:uid="{00000000-0005-0000-0000-0000FD400000}"/>
    <cellStyle name="Normal 2 2 2 2 2 2 19 7 6" xfId="17421" xr:uid="{00000000-0005-0000-0000-0000FE400000}"/>
    <cellStyle name="Normal 2 2 2 2 2 2 19 8" xfId="17422" xr:uid="{00000000-0005-0000-0000-0000FF400000}"/>
    <cellStyle name="Normal 2 2 2 2 2 2 19 8 2" xfId="17423" xr:uid="{00000000-0005-0000-0000-000000410000}"/>
    <cellStyle name="Normal 2 2 2 2 2 2 19 8 3" xfId="17424" xr:uid="{00000000-0005-0000-0000-000001410000}"/>
    <cellStyle name="Normal 2 2 2 2 2 2 19 8 4" xfId="17425" xr:uid="{00000000-0005-0000-0000-000002410000}"/>
    <cellStyle name="Normal 2 2 2 2 2 2 19 8 5" xfId="17426" xr:uid="{00000000-0005-0000-0000-000003410000}"/>
    <cellStyle name="Normal 2 2 2 2 2 2 19 8 6" xfId="17427" xr:uid="{00000000-0005-0000-0000-000004410000}"/>
    <cellStyle name="Normal 2 2 2 2 2 2 19 9" xfId="17428" xr:uid="{00000000-0005-0000-0000-000005410000}"/>
    <cellStyle name="Normal 2 2 2 2 2 2 2" xfId="17429" xr:uid="{00000000-0005-0000-0000-000006410000}"/>
    <cellStyle name="Normal 2 2 2 2 2 2 2 10" xfId="17430" xr:uid="{00000000-0005-0000-0000-000007410000}"/>
    <cellStyle name="Normal 2 2 2 2 2 2 2 10 10" xfId="17431" xr:uid="{00000000-0005-0000-0000-000008410000}"/>
    <cellStyle name="Normal 2 2 2 2 2 2 2 10 11" xfId="17432" xr:uid="{00000000-0005-0000-0000-000009410000}"/>
    <cellStyle name="Normal 2 2 2 2 2 2 2 10 12" xfId="17433" xr:uid="{00000000-0005-0000-0000-00000A410000}"/>
    <cellStyle name="Normal 2 2 2 2 2 2 2 10 13" xfId="17434" xr:uid="{00000000-0005-0000-0000-00000B410000}"/>
    <cellStyle name="Normal 2 2 2 2 2 2 2 10 2" xfId="17435" xr:uid="{00000000-0005-0000-0000-00000C410000}"/>
    <cellStyle name="Normal 2 2 2 2 2 2 2 10 2 2" xfId="17436" xr:uid="{00000000-0005-0000-0000-00000D410000}"/>
    <cellStyle name="Normal 2 2 2 2 2 2 2 10 2 3" xfId="17437" xr:uid="{00000000-0005-0000-0000-00000E410000}"/>
    <cellStyle name="Normal 2 2 2 2 2 2 2 10 2 4" xfId="17438" xr:uid="{00000000-0005-0000-0000-00000F410000}"/>
    <cellStyle name="Normal 2 2 2 2 2 2 2 10 2 5" xfId="17439" xr:uid="{00000000-0005-0000-0000-000010410000}"/>
    <cellStyle name="Normal 2 2 2 2 2 2 2 10 2 6" xfId="17440" xr:uid="{00000000-0005-0000-0000-000011410000}"/>
    <cellStyle name="Normal 2 2 2 2 2 2 2 10 3" xfId="17441" xr:uid="{00000000-0005-0000-0000-000012410000}"/>
    <cellStyle name="Normal 2 2 2 2 2 2 2 10 3 2" xfId="17442" xr:uid="{00000000-0005-0000-0000-000013410000}"/>
    <cellStyle name="Normal 2 2 2 2 2 2 2 10 3 3" xfId="17443" xr:uid="{00000000-0005-0000-0000-000014410000}"/>
    <cellStyle name="Normal 2 2 2 2 2 2 2 10 3 4" xfId="17444" xr:uid="{00000000-0005-0000-0000-000015410000}"/>
    <cellStyle name="Normal 2 2 2 2 2 2 2 10 3 5" xfId="17445" xr:uid="{00000000-0005-0000-0000-000016410000}"/>
    <cellStyle name="Normal 2 2 2 2 2 2 2 10 3 6" xfId="17446" xr:uid="{00000000-0005-0000-0000-000017410000}"/>
    <cellStyle name="Normal 2 2 2 2 2 2 2 10 4" xfId="17447" xr:uid="{00000000-0005-0000-0000-000018410000}"/>
    <cellStyle name="Normal 2 2 2 2 2 2 2 10 4 2" xfId="17448" xr:uid="{00000000-0005-0000-0000-000019410000}"/>
    <cellStyle name="Normal 2 2 2 2 2 2 2 10 4 3" xfId="17449" xr:uid="{00000000-0005-0000-0000-00001A410000}"/>
    <cellStyle name="Normal 2 2 2 2 2 2 2 10 4 4" xfId="17450" xr:uid="{00000000-0005-0000-0000-00001B410000}"/>
    <cellStyle name="Normal 2 2 2 2 2 2 2 10 4 5" xfId="17451" xr:uid="{00000000-0005-0000-0000-00001C410000}"/>
    <cellStyle name="Normal 2 2 2 2 2 2 2 10 4 6" xfId="17452" xr:uid="{00000000-0005-0000-0000-00001D410000}"/>
    <cellStyle name="Normal 2 2 2 2 2 2 2 10 5" xfId="17453" xr:uid="{00000000-0005-0000-0000-00001E410000}"/>
    <cellStyle name="Normal 2 2 2 2 2 2 2 10 5 2" xfId="17454" xr:uid="{00000000-0005-0000-0000-00001F410000}"/>
    <cellStyle name="Normal 2 2 2 2 2 2 2 10 5 3" xfId="17455" xr:uid="{00000000-0005-0000-0000-000020410000}"/>
    <cellStyle name="Normal 2 2 2 2 2 2 2 10 5 4" xfId="17456" xr:uid="{00000000-0005-0000-0000-000021410000}"/>
    <cellStyle name="Normal 2 2 2 2 2 2 2 10 5 5" xfId="17457" xr:uid="{00000000-0005-0000-0000-000022410000}"/>
    <cellStyle name="Normal 2 2 2 2 2 2 2 10 5 6" xfId="17458" xr:uid="{00000000-0005-0000-0000-000023410000}"/>
    <cellStyle name="Normal 2 2 2 2 2 2 2 10 6" xfId="17459" xr:uid="{00000000-0005-0000-0000-000024410000}"/>
    <cellStyle name="Normal 2 2 2 2 2 2 2 10 6 2" xfId="17460" xr:uid="{00000000-0005-0000-0000-000025410000}"/>
    <cellStyle name="Normal 2 2 2 2 2 2 2 10 6 3" xfId="17461" xr:uid="{00000000-0005-0000-0000-000026410000}"/>
    <cellStyle name="Normal 2 2 2 2 2 2 2 10 6 4" xfId="17462" xr:uid="{00000000-0005-0000-0000-000027410000}"/>
    <cellStyle name="Normal 2 2 2 2 2 2 2 10 6 5" xfId="17463" xr:uid="{00000000-0005-0000-0000-000028410000}"/>
    <cellStyle name="Normal 2 2 2 2 2 2 2 10 6 6" xfId="17464" xr:uid="{00000000-0005-0000-0000-000029410000}"/>
    <cellStyle name="Normal 2 2 2 2 2 2 2 10 7" xfId="17465" xr:uid="{00000000-0005-0000-0000-00002A410000}"/>
    <cellStyle name="Normal 2 2 2 2 2 2 2 10 7 2" xfId="17466" xr:uid="{00000000-0005-0000-0000-00002B410000}"/>
    <cellStyle name="Normal 2 2 2 2 2 2 2 10 7 3" xfId="17467" xr:uid="{00000000-0005-0000-0000-00002C410000}"/>
    <cellStyle name="Normal 2 2 2 2 2 2 2 10 7 4" xfId="17468" xr:uid="{00000000-0005-0000-0000-00002D410000}"/>
    <cellStyle name="Normal 2 2 2 2 2 2 2 10 7 5" xfId="17469" xr:uid="{00000000-0005-0000-0000-00002E410000}"/>
    <cellStyle name="Normal 2 2 2 2 2 2 2 10 7 6" xfId="17470" xr:uid="{00000000-0005-0000-0000-00002F410000}"/>
    <cellStyle name="Normal 2 2 2 2 2 2 2 10 8" xfId="17471" xr:uid="{00000000-0005-0000-0000-000030410000}"/>
    <cellStyle name="Normal 2 2 2 2 2 2 2 10 8 2" xfId="17472" xr:uid="{00000000-0005-0000-0000-000031410000}"/>
    <cellStyle name="Normal 2 2 2 2 2 2 2 10 8 3" xfId="17473" xr:uid="{00000000-0005-0000-0000-000032410000}"/>
    <cellStyle name="Normal 2 2 2 2 2 2 2 10 8 4" xfId="17474" xr:uid="{00000000-0005-0000-0000-000033410000}"/>
    <cellStyle name="Normal 2 2 2 2 2 2 2 10 8 5" xfId="17475" xr:uid="{00000000-0005-0000-0000-000034410000}"/>
    <cellStyle name="Normal 2 2 2 2 2 2 2 10 8 6" xfId="17476" xr:uid="{00000000-0005-0000-0000-000035410000}"/>
    <cellStyle name="Normal 2 2 2 2 2 2 2 10 9" xfId="17477" xr:uid="{00000000-0005-0000-0000-000036410000}"/>
    <cellStyle name="Normal 2 2 2 2 2 2 2 11" xfId="17478" xr:uid="{00000000-0005-0000-0000-000037410000}"/>
    <cellStyle name="Normal 2 2 2 2 2 2 2 11 10" xfId="17479" xr:uid="{00000000-0005-0000-0000-000038410000}"/>
    <cellStyle name="Normal 2 2 2 2 2 2 2 11 11" xfId="17480" xr:uid="{00000000-0005-0000-0000-000039410000}"/>
    <cellStyle name="Normal 2 2 2 2 2 2 2 11 12" xfId="17481" xr:uid="{00000000-0005-0000-0000-00003A410000}"/>
    <cellStyle name="Normal 2 2 2 2 2 2 2 11 13" xfId="17482" xr:uid="{00000000-0005-0000-0000-00003B410000}"/>
    <cellStyle name="Normal 2 2 2 2 2 2 2 11 2" xfId="17483" xr:uid="{00000000-0005-0000-0000-00003C410000}"/>
    <cellStyle name="Normal 2 2 2 2 2 2 2 11 2 2" xfId="17484" xr:uid="{00000000-0005-0000-0000-00003D410000}"/>
    <cellStyle name="Normal 2 2 2 2 2 2 2 11 2 3" xfId="17485" xr:uid="{00000000-0005-0000-0000-00003E410000}"/>
    <cellStyle name="Normal 2 2 2 2 2 2 2 11 2 4" xfId="17486" xr:uid="{00000000-0005-0000-0000-00003F410000}"/>
    <cellStyle name="Normal 2 2 2 2 2 2 2 11 2 5" xfId="17487" xr:uid="{00000000-0005-0000-0000-000040410000}"/>
    <cellStyle name="Normal 2 2 2 2 2 2 2 11 2 6" xfId="17488" xr:uid="{00000000-0005-0000-0000-000041410000}"/>
    <cellStyle name="Normal 2 2 2 2 2 2 2 11 3" xfId="17489" xr:uid="{00000000-0005-0000-0000-000042410000}"/>
    <cellStyle name="Normal 2 2 2 2 2 2 2 11 3 2" xfId="17490" xr:uid="{00000000-0005-0000-0000-000043410000}"/>
    <cellStyle name="Normal 2 2 2 2 2 2 2 11 3 3" xfId="17491" xr:uid="{00000000-0005-0000-0000-000044410000}"/>
    <cellStyle name="Normal 2 2 2 2 2 2 2 11 3 4" xfId="17492" xr:uid="{00000000-0005-0000-0000-000045410000}"/>
    <cellStyle name="Normal 2 2 2 2 2 2 2 11 3 5" xfId="17493" xr:uid="{00000000-0005-0000-0000-000046410000}"/>
    <cellStyle name="Normal 2 2 2 2 2 2 2 11 3 6" xfId="17494" xr:uid="{00000000-0005-0000-0000-000047410000}"/>
    <cellStyle name="Normal 2 2 2 2 2 2 2 11 4" xfId="17495" xr:uid="{00000000-0005-0000-0000-000048410000}"/>
    <cellStyle name="Normal 2 2 2 2 2 2 2 11 4 2" xfId="17496" xr:uid="{00000000-0005-0000-0000-000049410000}"/>
    <cellStyle name="Normal 2 2 2 2 2 2 2 11 4 3" xfId="17497" xr:uid="{00000000-0005-0000-0000-00004A410000}"/>
    <cellStyle name="Normal 2 2 2 2 2 2 2 11 4 4" xfId="17498" xr:uid="{00000000-0005-0000-0000-00004B410000}"/>
    <cellStyle name="Normal 2 2 2 2 2 2 2 11 4 5" xfId="17499" xr:uid="{00000000-0005-0000-0000-00004C410000}"/>
    <cellStyle name="Normal 2 2 2 2 2 2 2 11 4 6" xfId="17500" xr:uid="{00000000-0005-0000-0000-00004D410000}"/>
    <cellStyle name="Normal 2 2 2 2 2 2 2 11 5" xfId="17501" xr:uid="{00000000-0005-0000-0000-00004E410000}"/>
    <cellStyle name="Normal 2 2 2 2 2 2 2 11 5 2" xfId="17502" xr:uid="{00000000-0005-0000-0000-00004F410000}"/>
    <cellStyle name="Normal 2 2 2 2 2 2 2 11 5 3" xfId="17503" xr:uid="{00000000-0005-0000-0000-000050410000}"/>
    <cellStyle name="Normal 2 2 2 2 2 2 2 11 5 4" xfId="17504" xr:uid="{00000000-0005-0000-0000-000051410000}"/>
    <cellStyle name="Normal 2 2 2 2 2 2 2 11 5 5" xfId="17505" xr:uid="{00000000-0005-0000-0000-000052410000}"/>
    <cellStyle name="Normal 2 2 2 2 2 2 2 11 5 6" xfId="17506" xr:uid="{00000000-0005-0000-0000-000053410000}"/>
    <cellStyle name="Normal 2 2 2 2 2 2 2 11 6" xfId="17507" xr:uid="{00000000-0005-0000-0000-000054410000}"/>
    <cellStyle name="Normal 2 2 2 2 2 2 2 11 6 2" xfId="17508" xr:uid="{00000000-0005-0000-0000-000055410000}"/>
    <cellStyle name="Normal 2 2 2 2 2 2 2 11 6 3" xfId="17509" xr:uid="{00000000-0005-0000-0000-000056410000}"/>
    <cellStyle name="Normal 2 2 2 2 2 2 2 11 6 4" xfId="17510" xr:uid="{00000000-0005-0000-0000-000057410000}"/>
    <cellStyle name="Normal 2 2 2 2 2 2 2 11 6 5" xfId="17511" xr:uid="{00000000-0005-0000-0000-000058410000}"/>
    <cellStyle name="Normal 2 2 2 2 2 2 2 11 6 6" xfId="17512" xr:uid="{00000000-0005-0000-0000-000059410000}"/>
    <cellStyle name="Normal 2 2 2 2 2 2 2 11 7" xfId="17513" xr:uid="{00000000-0005-0000-0000-00005A410000}"/>
    <cellStyle name="Normal 2 2 2 2 2 2 2 11 7 2" xfId="17514" xr:uid="{00000000-0005-0000-0000-00005B410000}"/>
    <cellStyle name="Normal 2 2 2 2 2 2 2 11 7 3" xfId="17515" xr:uid="{00000000-0005-0000-0000-00005C410000}"/>
    <cellStyle name="Normal 2 2 2 2 2 2 2 11 7 4" xfId="17516" xr:uid="{00000000-0005-0000-0000-00005D410000}"/>
    <cellStyle name="Normal 2 2 2 2 2 2 2 11 7 5" xfId="17517" xr:uid="{00000000-0005-0000-0000-00005E410000}"/>
    <cellStyle name="Normal 2 2 2 2 2 2 2 11 7 6" xfId="17518" xr:uid="{00000000-0005-0000-0000-00005F410000}"/>
    <cellStyle name="Normal 2 2 2 2 2 2 2 11 8" xfId="17519" xr:uid="{00000000-0005-0000-0000-000060410000}"/>
    <cellStyle name="Normal 2 2 2 2 2 2 2 11 8 2" xfId="17520" xr:uid="{00000000-0005-0000-0000-000061410000}"/>
    <cellStyle name="Normal 2 2 2 2 2 2 2 11 8 3" xfId="17521" xr:uid="{00000000-0005-0000-0000-000062410000}"/>
    <cellStyle name="Normal 2 2 2 2 2 2 2 11 8 4" xfId="17522" xr:uid="{00000000-0005-0000-0000-000063410000}"/>
    <cellStyle name="Normal 2 2 2 2 2 2 2 11 8 5" xfId="17523" xr:uid="{00000000-0005-0000-0000-000064410000}"/>
    <cellStyle name="Normal 2 2 2 2 2 2 2 11 8 6" xfId="17524" xr:uid="{00000000-0005-0000-0000-000065410000}"/>
    <cellStyle name="Normal 2 2 2 2 2 2 2 11 9" xfId="17525" xr:uid="{00000000-0005-0000-0000-000066410000}"/>
    <cellStyle name="Normal 2 2 2 2 2 2 2 12" xfId="17526" xr:uid="{00000000-0005-0000-0000-000067410000}"/>
    <cellStyle name="Normal 2 2 2 2 2 2 2 12 10" xfId="17527" xr:uid="{00000000-0005-0000-0000-000068410000}"/>
    <cellStyle name="Normal 2 2 2 2 2 2 2 12 11" xfId="17528" xr:uid="{00000000-0005-0000-0000-000069410000}"/>
    <cellStyle name="Normal 2 2 2 2 2 2 2 12 12" xfId="17529" xr:uid="{00000000-0005-0000-0000-00006A410000}"/>
    <cellStyle name="Normal 2 2 2 2 2 2 2 12 13" xfId="17530" xr:uid="{00000000-0005-0000-0000-00006B410000}"/>
    <cellStyle name="Normal 2 2 2 2 2 2 2 12 2" xfId="17531" xr:uid="{00000000-0005-0000-0000-00006C410000}"/>
    <cellStyle name="Normal 2 2 2 2 2 2 2 12 2 2" xfId="17532" xr:uid="{00000000-0005-0000-0000-00006D410000}"/>
    <cellStyle name="Normal 2 2 2 2 2 2 2 12 2 3" xfId="17533" xr:uid="{00000000-0005-0000-0000-00006E410000}"/>
    <cellStyle name="Normal 2 2 2 2 2 2 2 12 2 4" xfId="17534" xr:uid="{00000000-0005-0000-0000-00006F410000}"/>
    <cellStyle name="Normal 2 2 2 2 2 2 2 12 2 5" xfId="17535" xr:uid="{00000000-0005-0000-0000-000070410000}"/>
    <cellStyle name="Normal 2 2 2 2 2 2 2 12 2 6" xfId="17536" xr:uid="{00000000-0005-0000-0000-000071410000}"/>
    <cellStyle name="Normal 2 2 2 2 2 2 2 12 3" xfId="17537" xr:uid="{00000000-0005-0000-0000-000072410000}"/>
    <cellStyle name="Normal 2 2 2 2 2 2 2 12 3 2" xfId="17538" xr:uid="{00000000-0005-0000-0000-000073410000}"/>
    <cellStyle name="Normal 2 2 2 2 2 2 2 12 3 3" xfId="17539" xr:uid="{00000000-0005-0000-0000-000074410000}"/>
    <cellStyle name="Normal 2 2 2 2 2 2 2 12 3 4" xfId="17540" xr:uid="{00000000-0005-0000-0000-000075410000}"/>
    <cellStyle name="Normal 2 2 2 2 2 2 2 12 3 5" xfId="17541" xr:uid="{00000000-0005-0000-0000-000076410000}"/>
    <cellStyle name="Normal 2 2 2 2 2 2 2 12 3 6" xfId="17542" xr:uid="{00000000-0005-0000-0000-000077410000}"/>
    <cellStyle name="Normal 2 2 2 2 2 2 2 12 4" xfId="17543" xr:uid="{00000000-0005-0000-0000-000078410000}"/>
    <cellStyle name="Normal 2 2 2 2 2 2 2 12 4 2" xfId="17544" xr:uid="{00000000-0005-0000-0000-000079410000}"/>
    <cellStyle name="Normal 2 2 2 2 2 2 2 12 4 3" xfId="17545" xr:uid="{00000000-0005-0000-0000-00007A410000}"/>
    <cellStyle name="Normal 2 2 2 2 2 2 2 12 4 4" xfId="17546" xr:uid="{00000000-0005-0000-0000-00007B410000}"/>
    <cellStyle name="Normal 2 2 2 2 2 2 2 12 4 5" xfId="17547" xr:uid="{00000000-0005-0000-0000-00007C410000}"/>
    <cellStyle name="Normal 2 2 2 2 2 2 2 12 4 6" xfId="17548" xr:uid="{00000000-0005-0000-0000-00007D410000}"/>
    <cellStyle name="Normal 2 2 2 2 2 2 2 12 5" xfId="17549" xr:uid="{00000000-0005-0000-0000-00007E410000}"/>
    <cellStyle name="Normal 2 2 2 2 2 2 2 12 5 2" xfId="17550" xr:uid="{00000000-0005-0000-0000-00007F410000}"/>
    <cellStyle name="Normal 2 2 2 2 2 2 2 12 5 3" xfId="17551" xr:uid="{00000000-0005-0000-0000-000080410000}"/>
    <cellStyle name="Normal 2 2 2 2 2 2 2 12 5 4" xfId="17552" xr:uid="{00000000-0005-0000-0000-000081410000}"/>
    <cellStyle name="Normal 2 2 2 2 2 2 2 12 5 5" xfId="17553" xr:uid="{00000000-0005-0000-0000-000082410000}"/>
    <cellStyle name="Normal 2 2 2 2 2 2 2 12 5 6" xfId="17554" xr:uid="{00000000-0005-0000-0000-000083410000}"/>
    <cellStyle name="Normal 2 2 2 2 2 2 2 12 6" xfId="17555" xr:uid="{00000000-0005-0000-0000-000084410000}"/>
    <cellStyle name="Normal 2 2 2 2 2 2 2 12 6 2" xfId="17556" xr:uid="{00000000-0005-0000-0000-000085410000}"/>
    <cellStyle name="Normal 2 2 2 2 2 2 2 12 6 3" xfId="17557" xr:uid="{00000000-0005-0000-0000-000086410000}"/>
    <cellStyle name="Normal 2 2 2 2 2 2 2 12 6 4" xfId="17558" xr:uid="{00000000-0005-0000-0000-000087410000}"/>
    <cellStyle name="Normal 2 2 2 2 2 2 2 12 6 5" xfId="17559" xr:uid="{00000000-0005-0000-0000-000088410000}"/>
    <cellStyle name="Normal 2 2 2 2 2 2 2 12 6 6" xfId="17560" xr:uid="{00000000-0005-0000-0000-000089410000}"/>
    <cellStyle name="Normal 2 2 2 2 2 2 2 12 7" xfId="17561" xr:uid="{00000000-0005-0000-0000-00008A410000}"/>
    <cellStyle name="Normal 2 2 2 2 2 2 2 12 7 2" xfId="17562" xr:uid="{00000000-0005-0000-0000-00008B410000}"/>
    <cellStyle name="Normal 2 2 2 2 2 2 2 12 7 3" xfId="17563" xr:uid="{00000000-0005-0000-0000-00008C410000}"/>
    <cellStyle name="Normal 2 2 2 2 2 2 2 12 7 4" xfId="17564" xr:uid="{00000000-0005-0000-0000-00008D410000}"/>
    <cellStyle name="Normal 2 2 2 2 2 2 2 12 7 5" xfId="17565" xr:uid="{00000000-0005-0000-0000-00008E410000}"/>
    <cellStyle name="Normal 2 2 2 2 2 2 2 12 7 6" xfId="17566" xr:uid="{00000000-0005-0000-0000-00008F410000}"/>
    <cellStyle name="Normal 2 2 2 2 2 2 2 12 8" xfId="17567" xr:uid="{00000000-0005-0000-0000-000090410000}"/>
    <cellStyle name="Normal 2 2 2 2 2 2 2 12 8 2" xfId="17568" xr:uid="{00000000-0005-0000-0000-000091410000}"/>
    <cellStyle name="Normal 2 2 2 2 2 2 2 12 8 3" xfId="17569" xr:uid="{00000000-0005-0000-0000-000092410000}"/>
    <cellStyle name="Normal 2 2 2 2 2 2 2 12 8 4" xfId="17570" xr:uid="{00000000-0005-0000-0000-000093410000}"/>
    <cellStyle name="Normal 2 2 2 2 2 2 2 12 8 5" xfId="17571" xr:uid="{00000000-0005-0000-0000-000094410000}"/>
    <cellStyle name="Normal 2 2 2 2 2 2 2 12 8 6" xfId="17572" xr:uid="{00000000-0005-0000-0000-000095410000}"/>
    <cellStyle name="Normal 2 2 2 2 2 2 2 12 9" xfId="17573" xr:uid="{00000000-0005-0000-0000-000096410000}"/>
    <cellStyle name="Normal 2 2 2 2 2 2 2 13" xfId="17574" xr:uid="{00000000-0005-0000-0000-000097410000}"/>
    <cellStyle name="Normal 2 2 2 2 2 2 2 13 10" xfId="17575" xr:uid="{00000000-0005-0000-0000-000098410000}"/>
    <cellStyle name="Normal 2 2 2 2 2 2 2 13 11" xfId="17576" xr:uid="{00000000-0005-0000-0000-000099410000}"/>
    <cellStyle name="Normal 2 2 2 2 2 2 2 13 12" xfId="17577" xr:uid="{00000000-0005-0000-0000-00009A410000}"/>
    <cellStyle name="Normal 2 2 2 2 2 2 2 13 13" xfId="17578" xr:uid="{00000000-0005-0000-0000-00009B410000}"/>
    <cellStyle name="Normal 2 2 2 2 2 2 2 13 2" xfId="17579" xr:uid="{00000000-0005-0000-0000-00009C410000}"/>
    <cellStyle name="Normal 2 2 2 2 2 2 2 13 2 2" xfId="17580" xr:uid="{00000000-0005-0000-0000-00009D410000}"/>
    <cellStyle name="Normal 2 2 2 2 2 2 2 13 2 3" xfId="17581" xr:uid="{00000000-0005-0000-0000-00009E410000}"/>
    <cellStyle name="Normal 2 2 2 2 2 2 2 13 2 4" xfId="17582" xr:uid="{00000000-0005-0000-0000-00009F410000}"/>
    <cellStyle name="Normal 2 2 2 2 2 2 2 13 2 5" xfId="17583" xr:uid="{00000000-0005-0000-0000-0000A0410000}"/>
    <cellStyle name="Normal 2 2 2 2 2 2 2 13 2 6" xfId="17584" xr:uid="{00000000-0005-0000-0000-0000A1410000}"/>
    <cellStyle name="Normal 2 2 2 2 2 2 2 13 3" xfId="17585" xr:uid="{00000000-0005-0000-0000-0000A2410000}"/>
    <cellStyle name="Normal 2 2 2 2 2 2 2 13 3 2" xfId="17586" xr:uid="{00000000-0005-0000-0000-0000A3410000}"/>
    <cellStyle name="Normal 2 2 2 2 2 2 2 13 3 3" xfId="17587" xr:uid="{00000000-0005-0000-0000-0000A4410000}"/>
    <cellStyle name="Normal 2 2 2 2 2 2 2 13 3 4" xfId="17588" xr:uid="{00000000-0005-0000-0000-0000A5410000}"/>
    <cellStyle name="Normal 2 2 2 2 2 2 2 13 3 5" xfId="17589" xr:uid="{00000000-0005-0000-0000-0000A6410000}"/>
    <cellStyle name="Normal 2 2 2 2 2 2 2 13 3 6" xfId="17590" xr:uid="{00000000-0005-0000-0000-0000A7410000}"/>
    <cellStyle name="Normal 2 2 2 2 2 2 2 13 4" xfId="17591" xr:uid="{00000000-0005-0000-0000-0000A8410000}"/>
    <cellStyle name="Normal 2 2 2 2 2 2 2 13 4 2" xfId="17592" xr:uid="{00000000-0005-0000-0000-0000A9410000}"/>
    <cellStyle name="Normal 2 2 2 2 2 2 2 13 4 3" xfId="17593" xr:uid="{00000000-0005-0000-0000-0000AA410000}"/>
    <cellStyle name="Normal 2 2 2 2 2 2 2 13 4 4" xfId="17594" xr:uid="{00000000-0005-0000-0000-0000AB410000}"/>
    <cellStyle name="Normal 2 2 2 2 2 2 2 13 4 5" xfId="17595" xr:uid="{00000000-0005-0000-0000-0000AC410000}"/>
    <cellStyle name="Normal 2 2 2 2 2 2 2 13 4 6" xfId="17596" xr:uid="{00000000-0005-0000-0000-0000AD410000}"/>
    <cellStyle name="Normal 2 2 2 2 2 2 2 13 5" xfId="17597" xr:uid="{00000000-0005-0000-0000-0000AE410000}"/>
    <cellStyle name="Normal 2 2 2 2 2 2 2 13 5 2" xfId="17598" xr:uid="{00000000-0005-0000-0000-0000AF410000}"/>
    <cellStyle name="Normal 2 2 2 2 2 2 2 13 5 3" xfId="17599" xr:uid="{00000000-0005-0000-0000-0000B0410000}"/>
    <cellStyle name="Normal 2 2 2 2 2 2 2 13 5 4" xfId="17600" xr:uid="{00000000-0005-0000-0000-0000B1410000}"/>
    <cellStyle name="Normal 2 2 2 2 2 2 2 13 5 5" xfId="17601" xr:uid="{00000000-0005-0000-0000-0000B2410000}"/>
    <cellStyle name="Normal 2 2 2 2 2 2 2 13 5 6" xfId="17602" xr:uid="{00000000-0005-0000-0000-0000B3410000}"/>
    <cellStyle name="Normal 2 2 2 2 2 2 2 13 6" xfId="17603" xr:uid="{00000000-0005-0000-0000-0000B4410000}"/>
    <cellStyle name="Normal 2 2 2 2 2 2 2 13 6 2" xfId="17604" xr:uid="{00000000-0005-0000-0000-0000B5410000}"/>
    <cellStyle name="Normal 2 2 2 2 2 2 2 13 6 3" xfId="17605" xr:uid="{00000000-0005-0000-0000-0000B6410000}"/>
    <cellStyle name="Normal 2 2 2 2 2 2 2 13 6 4" xfId="17606" xr:uid="{00000000-0005-0000-0000-0000B7410000}"/>
    <cellStyle name="Normal 2 2 2 2 2 2 2 13 6 5" xfId="17607" xr:uid="{00000000-0005-0000-0000-0000B8410000}"/>
    <cellStyle name="Normal 2 2 2 2 2 2 2 13 6 6" xfId="17608" xr:uid="{00000000-0005-0000-0000-0000B9410000}"/>
    <cellStyle name="Normal 2 2 2 2 2 2 2 13 7" xfId="17609" xr:uid="{00000000-0005-0000-0000-0000BA410000}"/>
    <cellStyle name="Normal 2 2 2 2 2 2 2 13 7 2" xfId="17610" xr:uid="{00000000-0005-0000-0000-0000BB410000}"/>
    <cellStyle name="Normal 2 2 2 2 2 2 2 13 7 3" xfId="17611" xr:uid="{00000000-0005-0000-0000-0000BC410000}"/>
    <cellStyle name="Normal 2 2 2 2 2 2 2 13 7 4" xfId="17612" xr:uid="{00000000-0005-0000-0000-0000BD410000}"/>
    <cellStyle name="Normal 2 2 2 2 2 2 2 13 7 5" xfId="17613" xr:uid="{00000000-0005-0000-0000-0000BE410000}"/>
    <cellStyle name="Normal 2 2 2 2 2 2 2 13 7 6" xfId="17614" xr:uid="{00000000-0005-0000-0000-0000BF410000}"/>
    <cellStyle name="Normal 2 2 2 2 2 2 2 13 8" xfId="17615" xr:uid="{00000000-0005-0000-0000-0000C0410000}"/>
    <cellStyle name="Normal 2 2 2 2 2 2 2 13 8 2" xfId="17616" xr:uid="{00000000-0005-0000-0000-0000C1410000}"/>
    <cellStyle name="Normal 2 2 2 2 2 2 2 13 8 3" xfId="17617" xr:uid="{00000000-0005-0000-0000-0000C2410000}"/>
    <cellStyle name="Normal 2 2 2 2 2 2 2 13 8 4" xfId="17618" xr:uid="{00000000-0005-0000-0000-0000C3410000}"/>
    <cellStyle name="Normal 2 2 2 2 2 2 2 13 8 5" xfId="17619" xr:uid="{00000000-0005-0000-0000-0000C4410000}"/>
    <cellStyle name="Normal 2 2 2 2 2 2 2 13 8 6" xfId="17620" xr:uid="{00000000-0005-0000-0000-0000C5410000}"/>
    <cellStyle name="Normal 2 2 2 2 2 2 2 13 9" xfId="17621" xr:uid="{00000000-0005-0000-0000-0000C6410000}"/>
    <cellStyle name="Normal 2 2 2 2 2 2 2 14" xfId="17622" xr:uid="{00000000-0005-0000-0000-0000C7410000}"/>
    <cellStyle name="Normal 2 2 2 2 2 2 2 15" xfId="17623" xr:uid="{00000000-0005-0000-0000-0000C8410000}"/>
    <cellStyle name="Normal 2 2 2 2 2 2 2 16" xfId="17624" xr:uid="{00000000-0005-0000-0000-0000C9410000}"/>
    <cellStyle name="Normal 2 2 2 2 2 2 2 17" xfId="17625" xr:uid="{00000000-0005-0000-0000-0000CA410000}"/>
    <cellStyle name="Normal 2 2 2 2 2 2 2 18" xfId="17626" xr:uid="{00000000-0005-0000-0000-0000CB410000}"/>
    <cellStyle name="Normal 2 2 2 2 2 2 2 19" xfId="17627" xr:uid="{00000000-0005-0000-0000-0000CC410000}"/>
    <cellStyle name="Normal 2 2 2 2 2 2 2 2" xfId="17628" xr:uid="{00000000-0005-0000-0000-0000CD410000}"/>
    <cellStyle name="Normal 2 2 2 2 2 2 2 2 10" xfId="17629" xr:uid="{00000000-0005-0000-0000-0000CE410000}"/>
    <cellStyle name="Normal 2 2 2 2 2 2 2 2 10 10" xfId="17630" xr:uid="{00000000-0005-0000-0000-0000CF410000}"/>
    <cellStyle name="Normal 2 2 2 2 2 2 2 2 10 11" xfId="17631" xr:uid="{00000000-0005-0000-0000-0000D0410000}"/>
    <cellStyle name="Normal 2 2 2 2 2 2 2 2 10 12" xfId="17632" xr:uid="{00000000-0005-0000-0000-0000D1410000}"/>
    <cellStyle name="Normal 2 2 2 2 2 2 2 2 10 13" xfId="17633" xr:uid="{00000000-0005-0000-0000-0000D2410000}"/>
    <cellStyle name="Normal 2 2 2 2 2 2 2 2 10 2" xfId="17634" xr:uid="{00000000-0005-0000-0000-0000D3410000}"/>
    <cellStyle name="Normal 2 2 2 2 2 2 2 2 10 2 2" xfId="17635" xr:uid="{00000000-0005-0000-0000-0000D4410000}"/>
    <cellStyle name="Normal 2 2 2 2 2 2 2 2 10 2 3" xfId="17636" xr:uid="{00000000-0005-0000-0000-0000D5410000}"/>
    <cellStyle name="Normal 2 2 2 2 2 2 2 2 10 2 4" xfId="17637" xr:uid="{00000000-0005-0000-0000-0000D6410000}"/>
    <cellStyle name="Normal 2 2 2 2 2 2 2 2 10 2 5" xfId="17638" xr:uid="{00000000-0005-0000-0000-0000D7410000}"/>
    <cellStyle name="Normal 2 2 2 2 2 2 2 2 10 2 6" xfId="17639" xr:uid="{00000000-0005-0000-0000-0000D8410000}"/>
    <cellStyle name="Normal 2 2 2 2 2 2 2 2 10 3" xfId="17640" xr:uid="{00000000-0005-0000-0000-0000D9410000}"/>
    <cellStyle name="Normal 2 2 2 2 2 2 2 2 10 3 2" xfId="17641" xr:uid="{00000000-0005-0000-0000-0000DA410000}"/>
    <cellStyle name="Normal 2 2 2 2 2 2 2 2 10 3 3" xfId="17642" xr:uid="{00000000-0005-0000-0000-0000DB410000}"/>
    <cellStyle name="Normal 2 2 2 2 2 2 2 2 10 3 4" xfId="17643" xr:uid="{00000000-0005-0000-0000-0000DC410000}"/>
    <cellStyle name="Normal 2 2 2 2 2 2 2 2 10 3 5" xfId="17644" xr:uid="{00000000-0005-0000-0000-0000DD410000}"/>
    <cellStyle name="Normal 2 2 2 2 2 2 2 2 10 3 6" xfId="17645" xr:uid="{00000000-0005-0000-0000-0000DE410000}"/>
    <cellStyle name="Normal 2 2 2 2 2 2 2 2 10 4" xfId="17646" xr:uid="{00000000-0005-0000-0000-0000DF410000}"/>
    <cellStyle name="Normal 2 2 2 2 2 2 2 2 10 4 2" xfId="17647" xr:uid="{00000000-0005-0000-0000-0000E0410000}"/>
    <cellStyle name="Normal 2 2 2 2 2 2 2 2 10 4 3" xfId="17648" xr:uid="{00000000-0005-0000-0000-0000E1410000}"/>
    <cellStyle name="Normal 2 2 2 2 2 2 2 2 10 4 4" xfId="17649" xr:uid="{00000000-0005-0000-0000-0000E2410000}"/>
    <cellStyle name="Normal 2 2 2 2 2 2 2 2 10 4 5" xfId="17650" xr:uid="{00000000-0005-0000-0000-0000E3410000}"/>
    <cellStyle name="Normal 2 2 2 2 2 2 2 2 10 4 6" xfId="17651" xr:uid="{00000000-0005-0000-0000-0000E4410000}"/>
    <cellStyle name="Normal 2 2 2 2 2 2 2 2 10 5" xfId="17652" xr:uid="{00000000-0005-0000-0000-0000E5410000}"/>
    <cellStyle name="Normal 2 2 2 2 2 2 2 2 10 5 2" xfId="17653" xr:uid="{00000000-0005-0000-0000-0000E6410000}"/>
    <cellStyle name="Normal 2 2 2 2 2 2 2 2 10 5 3" xfId="17654" xr:uid="{00000000-0005-0000-0000-0000E7410000}"/>
    <cellStyle name="Normal 2 2 2 2 2 2 2 2 10 5 4" xfId="17655" xr:uid="{00000000-0005-0000-0000-0000E8410000}"/>
    <cellStyle name="Normal 2 2 2 2 2 2 2 2 10 5 5" xfId="17656" xr:uid="{00000000-0005-0000-0000-0000E9410000}"/>
    <cellStyle name="Normal 2 2 2 2 2 2 2 2 10 5 6" xfId="17657" xr:uid="{00000000-0005-0000-0000-0000EA410000}"/>
    <cellStyle name="Normal 2 2 2 2 2 2 2 2 10 6" xfId="17658" xr:uid="{00000000-0005-0000-0000-0000EB410000}"/>
    <cellStyle name="Normal 2 2 2 2 2 2 2 2 10 6 2" xfId="17659" xr:uid="{00000000-0005-0000-0000-0000EC410000}"/>
    <cellStyle name="Normal 2 2 2 2 2 2 2 2 10 6 3" xfId="17660" xr:uid="{00000000-0005-0000-0000-0000ED410000}"/>
    <cellStyle name="Normal 2 2 2 2 2 2 2 2 10 6 4" xfId="17661" xr:uid="{00000000-0005-0000-0000-0000EE410000}"/>
    <cellStyle name="Normal 2 2 2 2 2 2 2 2 10 6 5" xfId="17662" xr:uid="{00000000-0005-0000-0000-0000EF410000}"/>
    <cellStyle name="Normal 2 2 2 2 2 2 2 2 10 6 6" xfId="17663" xr:uid="{00000000-0005-0000-0000-0000F0410000}"/>
    <cellStyle name="Normal 2 2 2 2 2 2 2 2 10 7" xfId="17664" xr:uid="{00000000-0005-0000-0000-0000F1410000}"/>
    <cellStyle name="Normal 2 2 2 2 2 2 2 2 10 7 2" xfId="17665" xr:uid="{00000000-0005-0000-0000-0000F2410000}"/>
    <cellStyle name="Normal 2 2 2 2 2 2 2 2 10 7 3" xfId="17666" xr:uid="{00000000-0005-0000-0000-0000F3410000}"/>
    <cellStyle name="Normal 2 2 2 2 2 2 2 2 10 7 4" xfId="17667" xr:uid="{00000000-0005-0000-0000-0000F4410000}"/>
    <cellStyle name="Normal 2 2 2 2 2 2 2 2 10 7 5" xfId="17668" xr:uid="{00000000-0005-0000-0000-0000F5410000}"/>
    <cellStyle name="Normal 2 2 2 2 2 2 2 2 10 7 6" xfId="17669" xr:uid="{00000000-0005-0000-0000-0000F6410000}"/>
    <cellStyle name="Normal 2 2 2 2 2 2 2 2 10 8" xfId="17670" xr:uid="{00000000-0005-0000-0000-0000F7410000}"/>
    <cellStyle name="Normal 2 2 2 2 2 2 2 2 10 8 2" xfId="17671" xr:uid="{00000000-0005-0000-0000-0000F8410000}"/>
    <cellStyle name="Normal 2 2 2 2 2 2 2 2 10 8 3" xfId="17672" xr:uid="{00000000-0005-0000-0000-0000F9410000}"/>
    <cellStyle name="Normal 2 2 2 2 2 2 2 2 10 8 4" xfId="17673" xr:uid="{00000000-0005-0000-0000-0000FA410000}"/>
    <cellStyle name="Normal 2 2 2 2 2 2 2 2 10 8 5" xfId="17674" xr:uid="{00000000-0005-0000-0000-0000FB410000}"/>
    <cellStyle name="Normal 2 2 2 2 2 2 2 2 10 8 6" xfId="17675" xr:uid="{00000000-0005-0000-0000-0000FC410000}"/>
    <cellStyle name="Normal 2 2 2 2 2 2 2 2 10 9" xfId="17676" xr:uid="{00000000-0005-0000-0000-0000FD410000}"/>
    <cellStyle name="Normal 2 2 2 2 2 2 2 2 11" xfId="17677" xr:uid="{00000000-0005-0000-0000-0000FE410000}"/>
    <cellStyle name="Normal 2 2 2 2 2 2 2 2 11 10" xfId="17678" xr:uid="{00000000-0005-0000-0000-0000FF410000}"/>
    <cellStyle name="Normal 2 2 2 2 2 2 2 2 11 11" xfId="17679" xr:uid="{00000000-0005-0000-0000-000000420000}"/>
    <cellStyle name="Normal 2 2 2 2 2 2 2 2 11 12" xfId="17680" xr:uid="{00000000-0005-0000-0000-000001420000}"/>
    <cellStyle name="Normal 2 2 2 2 2 2 2 2 11 13" xfId="17681" xr:uid="{00000000-0005-0000-0000-000002420000}"/>
    <cellStyle name="Normal 2 2 2 2 2 2 2 2 11 2" xfId="17682" xr:uid="{00000000-0005-0000-0000-000003420000}"/>
    <cellStyle name="Normal 2 2 2 2 2 2 2 2 11 2 2" xfId="17683" xr:uid="{00000000-0005-0000-0000-000004420000}"/>
    <cellStyle name="Normal 2 2 2 2 2 2 2 2 11 2 3" xfId="17684" xr:uid="{00000000-0005-0000-0000-000005420000}"/>
    <cellStyle name="Normal 2 2 2 2 2 2 2 2 11 2 4" xfId="17685" xr:uid="{00000000-0005-0000-0000-000006420000}"/>
    <cellStyle name="Normal 2 2 2 2 2 2 2 2 11 2 5" xfId="17686" xr:uid="{00000000-0005-0000-0000-000007420000}"/>
    <cellStyle name="Normal 2 2 2 2 2 2 2 2 11 2 6" xfId="17687" xr:uid="{00000000-0005-0000-0000-000008420000}"/>
    <cellStyle name="Normal 2 2 2 2 2 2 2 2 11 3" xfId="17688" xr:uid="{00000000-0005-0000-0000-000009420000}"/>
    <cellStyle name="Normal 2 2 2 2 2 2 2 2 11 3 2" xfId="17689" xr:uid="{00000000-0005-0000-0000-00000A420000}"/>
    <cellStyle name="Normal 2 2 2 2 2 2 2 2 11 3 3" xfId="17690" xr:uid="{00000000-0005-0000-0000-00000B420000}"/>
    <cellStyle name="Normal 2 2 2 2 2 2 2 2 11 3 4" xfId="17691" xr:uid="{00000000-0005-0000-0000-00000C420000}"/>
    <cellStyle name="Normal 2 2 2 2 2 2 2 2 11 3 5" xfId="17692" xr:uid="{00000000-0005-0000-0000-00000D420000}"/>
    <cellStyle name="Normal 2 2 2 2 2 2 2 2 11 3 6" xfId="17693" xr:uid="{00000000-0005-0000-0000-00000E420000}"/>
    <cellStyle name="Normal 2 2 2 2 2 2 2 2 11 4" xfId="17694" xr:uid="{00000000-0005-0000-0000-00000F420000}"/>
    <cellStyle name="Normal 2 2 2 2 2 2 2 2 11 4 2" xfId="17695" xr:uid="{00000000-0005-0000-0000-000010420000}"/>
    <cellStyle name="Normal 2 2 2 2 2 2 2 2 11 4 3" xfId="17696" xr:uid="{00000000-0005-0000-0000-000011420000}"/>
    <cellStyle name="Normal 2 2 2 2 2 2 2 2 11 4 4" xfId="17697" xr:uid="{00000000-0005-0000-0000-000012420000}"/>
    <cellStyle name="Normal 2 2 2 2 2 2 2 2 11 4 5" xfId="17698" xr:uid="{00000000-0005-0000-0000-000013420000}"/>
    <cellStyle name="Normal 2 2 2 2 2 2 2 2 11 4 6" xfId="17699" xr:uid="{00000000-0005-0000-0000-000014420000}"/>
    <cellStyle name="Normal 2 2 2 2 2 2 2 2 11 5" xfId="17700" xr:uid="{00000000-0005-0000-0000-000015420000}"/>
    <cellStyle name="Normal 2 2 2 2 2 2 2 2 11 5 2" xfId="17701" xr:uid="{00000000-0005-0000-0000-000016420000}"/>
    <cellStyle name="Normal 2 2 2 2 2 2 2 2 11 5 3" xfId="17702" xr:uid="{00000000-0005-0000-0000-000017420000}"/>
    <cellStyle name="Normal 2 2 2 2 2 2 2 2 11 5 4" xfId="17703" xr:uid="{00000000-0005-0000-0000-000018420000}"/>
    <cellStyle name="Normal 2 2 2 2 2 2 2 2 11 5 5" xfId="17704" xr:uid="{00000000-0005-0000-0000-000019420000}"/>
    <cellStyle name="Normal 2 2 2 2 2 2 2 2 11 5 6" xfId="17705" xr:uid="{00000000-0005-0000-0000-00001A420000}"/>
    <cellStyle name="Normal 2 2 2 2 2 2 2 2 11 6" xfId="17706" xr:uid="{00000000-0005-0000-0000-00001B420000}"/>
    <cellStyle name="Normal 2 2 2 2 2 2 2 2 11 6 2" xfId="17707" xr:uid="{00000000-0005-0000-0000-00001C420000}"/>
    <cellStyle name="Normal 2 2 2 2 2 2 2 2 11 6 3" xfId="17708" xr:uid="{00000000-0005-0000-0000-00001D420000}"/>
    <cellStyle name="Normal 2 2 2 2 2 2 2 2 11 6 4" xfId="17709" xr:uid="{00000000-0005-0000-0000-00001E420000}"/>
    <cellStyle name="Normal 2 2 2 2 2 2 2 2 11 6 5" xfId="17710" xr:uid="{00000000-0005-0000-0000-00001F420000}"/>
    <cellStyle name="Normal 2 2 2 2 2 2 2 2 11 6 6" xfId="17711" xr:uid="{00000000-0005-0000-0000-000020420000}"/>
    <cellStyle name="Normal 2 2 2 2 2 2 2 2 11 7" xfId="17712" xr:uid="{00000000-0005-0000-0000-000021420000}"/>
    <cellStyle name="Normal 2 2 2 2 2 2 2 2 11 7 2" xfId="17713" xr:uid="{00000000-0005-0000-0000-000022420000}"/>
    <cellStyle name="Normal 2 2 2 2 2 2 2 2 11 7 3" xfId="17714" xr:uid="{00000000-0005-0000-0000-000023420000}"/>
    <cellStyle name="Normal 2 2 2 2 2 2 2 2 11 7 4" xfId="17715" xr:uid="{00000000-0005-0000-0000-000024420000}"/>
    <cellStyle name="Normal 2 2 2 2 2 2 2 2 11 7 5" xfId="17716" xr:uid="{00000000-0005-0000-0000-000025420000}"/>
    <cellStyle name="Normal 2 2 2 2 2 2 2 2 11 7 6" xfId="17717" xr:uid="{00000000-0005-0000-0000-000026420000}"/>
    <cellStyle name="Normal 2 2 2 2 2 2 2 2 11 8" xfId="17718" xr:uid="{00000000-0005-0000-0000-000027420000}"/>
    <cellStyle name="Normal 2 2 2 2 2 2 2 2 11 8 2" xfId="17719" xr:uid="{00000000-0005-0000-0000-000028420000}"/>
    <cellStyle name="Normal 2 2 2 2 2 2 2 2 11 8 3" xfId="17720" xr:uid="{00000000-0005-0000-0000-000029420000}"/>
    <cellStyle name="Normal 2 2 2 2 2 2 2 2 11 8 4" xfId="17721" xr:uid="{00000000-0005-0000-0000-00002A420000}"/>
    <cellStyle name="Normal 2 2 2 2 2 2 2 2 11 8 5" xfId="17722" xr:uid="{00000000-0005-0000-0000-00002B420000}"/>
    <cellStyle name="Normal 2 2 2 2 2 2 2 2 11 8 6" xfId="17723" xr:uid="{00000000-0005-0000-0000-00002C420000}"/>
    <cellStyle name="Normal 2 2 2 2 2 2 2 2 11 9" xfId="17724" xr:uid="{00000000-0005-0000-0000-00002D420000}"/>
    <cellStyle name="Normal 2 2 2 2 2 2 2 2 12" xfId="17725" xr:uid="{00000000-0005-0000-0000-00002E420000}"/>
    <cellStyle name="Normal 2 2 2 2 2 2 2 2 12 10" xfId="17726" xr:uid="{00000000-0005-0000-0000-00002F420000}"/>
    <cellStyle name="Normal 2 2 2 2 2 2 2 2 12 11" xfId="17727" xr:uid="{00000000-0005-0000-0000-000030420000}"/>
    <cellStyle name="Normal 2 2 2 2 2 2 2 2 12 2" xfId="17728" xr:uid="{00000000-0005-0000-0000-000031420000}"/>
    <cellStyle name="Normal 2 2 2 2 2 2 2 2 12 3" xfId="17729" xr:uid="{00000000-0005-0000-0000-000032420000}"/>
    <cellStyle name="Normal 2 2 2 2 2 2 2 2 12 4" xfId="17730" xr:uid="{00000000-0005-0000-0000-000033420000}"/>
    <cellStyle name="Normal 2 2 2 2 2 2 2 2 12 5" xfId="17731" xr:uid="{00000000-0005-0000-0000-000034420000}"/>
    <cellStyle name="Normal 2 2 2 2 2 2 2 2 12 6" xfId="17732" xr:uid="{00000000-0005-0000-0000-000035420000}"/>
    <cellStyle name="Normal 2 2 2 2 2 2 2 2 12 7" xfId="17733" xr:uid="{00000000-0005-0000-0000-000036420000}"/>
    <cellStyle name="Normal 2 2 2 2 2 2 2 2 12 8" xfId="17734" xr:uid="{00000000-0005-0000-0000-000037420000}"/>
    <cellStyle name="Normal 2 2 2 2 2 2 2 2 12 9" xfId="17735" xr:uid="{00000000-0005-0000-0000-000038420000}"/>
    <cellStyle name="Normal 2 2 2 2 2 2 2 2 13" xfId="17736" xr:uid="{00000000-0005-0000-0000-000039420000}"/>
    <cellStyle name="Normal 2 2 2 2 2 2 2 2 14" xfId="17737" xr:uid="{00000000-0005-0000-0000-00003A420000}"/>
    <cellStyle name="Normal 2 2 2 2 2 2 2 2 15" xfId="17738" xr:uid="{00000000-0005-0000-0000-00003B420000}"/>
    <cellStyle name="Normal 2 2 2 2 2 2 2 2 16" xfId="17739" xr:uid="{00000000-0005-0000-0000-00003C420000}"/>
    <cellStyle name="Normal 2 2 2 2 2 2 2 2 17" xfId="17740" xr:uid="{00000000-0005-0000-0000-00003D420000}"/>
    <cellStyle name="Normal 2 2 2 2 2 2 2 2 18" xfId="17741" xr:uid="{00000000-0005-0000-0000-00003E420000}"/>
    <cellStyle name="Normal 2 2 2 2 2 2 2 2 19" xfId="17742" xr:uid="{00000000-0005-0000-0000-00003F420000}"/>
    <cellStyle name="Normal 2 2 2 2 2 2 2 2 2" xfId="17743" xr:uid="{00000000-0005-0000-0000-000040420000}"/>
    <cellStyle name="Normal 2 2 2 2 2 2 2 2 2 10" xfId="17744" xr:uid="{00000000-0005-0000-0000-000041420000}"/>
    <cellStyle name="Normal 2 2 2 2 2 2 2 2 2 10 2" xfId="17745" xr:uid="{00000000-0005-0000-0000-000042420000}"/>
    <cellStyle name="Normal 2 2 2 2 2 2 2 2 2 10 3" xfId="17746" xr:uid="{00000000-0005-0000-0000-000043420000}"/>
    <cellStyle name="Normal 2 2 2 2 2 2 2 2 2 10 4" xfId="17747" xr:uid="{00000000-0005-0000-0000-000044420000}"/>
    <cellStyle name="Normal 2 2 2 2 2 2 2 2 2 10 5" xfId="17748" xr:uid="{00000000-0005-0000-0000-000045420000}"/>
    <cellStyle name="Normal 2 2 2 2 2 2 2 2 2 10 6" xfId="17749" xr:uid="{00000000-0005-0000-0000-000046420000}"/>
    <cellStyle name="Normal 2 2 2 2 2 2 2 2 2 11" xfId="17750" xr:uid="{00000000-0005-0000-0000-000047420000}"/>
    <cellStyle name="Normal 2 2 2 2 2 2 2 2 2 11 2" xfId="17751" xr:uid="{00000000-0005-0000-0000-000048420000}"/>
    <cellStyle name="Normal 2 2 2 2 2 2 2 2 2 11 3" xfId="17752" xr:uid="{00000000-0005-0000-0000-000049420000}"/>
    <cellStyle name="Normal 2 2 2 2 2 2 2 2 2 11 4" xfId="17753" xr:uid="{00000000-0005-0000-0000-00004A420000}"/>
    <cellStyle name="Normal 2 2 2 2 2 2 2 2 2 11 5" xfId="17754" xr:uid="{00000000-0005-0000-0000-00004B420000}"/>
    <cellStyle name="Normal 2 2 2 2 2 2 2 2 2 11 6" xfId="17755" xr:uid="{00000000-0005-0000-0000-00004C420000}"/>
    <cellStyle name="Normal 2 2 2 2 2 2 2 2 2 12" xfId="17756" xr:uid="{00000000-0005-0000-0000-00004D420000}"/>
    <cellStyle name="Normal 2 2 2 2 2 2 2 2 2 12 2" xfId="17757" xr:uid="{00000000-0005-0000-0000-00004E420000}"/>
    <cellStyle name="Normal 2 2 2 2 2 2 2 2 2 12 3" xfId="17758" xr:uid="{00000000-0005-0000-0000-00004F420000}"/>
    <cellStyle name="Normal 2 2 2 2 2 2 2 2 2 12 4" xfId="17759" xr:uid="{00000000-0005-0000-0000-000050420000}"/>
    <cellStyle name="Normal 2 2 2 2 2 2 2 2 2 12 5" xfId="17760" xr:uid="{00000000-0005-0000-0000-000051420000}"/>
    <cellStyle name="Normal 2 2 2 2 2 2 2 2 2 12 6" xfId="17761" xr:uid="{00000000-0005-0000-0000-000052420000}"/>
    <cellStyle name="Normal 2 2 2 2 2 2 2 2 2 13" xfId="17762" xr:uid="{00000000-0005-0000-0000-000053420000}"/>
    <cellStyle name="Normal 2 2 2 2 2 2 2 2 2 13 2" xfId="17763" xr:uid="{00000000-0005-0000-0000-000054420000}"/>
    <cellStyle name="Normal 2 2 2 2 2 2 2 2 2 13 3" xfId="17764" xr:uid="{00000000-0005-0000-0000-000055420000}"/>
    <cellStyle name="Normal 2 2 2 2 2 2 2 2 2 13 4" xfId="17765" xr:uid="{00000000-0005-0000-0000-000056420000}"/>
    <cellStyle name="Normal 2 2 2 2 2 2 2 2 2 13 5" xfId="17766" xr:uid="{00000000-0005-0000-0000-000057420000}"/>
    <cellStyle name="Normal 2 2 2 2 2 2 2 2 2 13 6" xfId="17767" xr:uid="{00000000-0005-0000-0000-000058420000}"/>
    <cellStyle name="Normal 2 2 2 2 2 2 2 2 2 14" xfId="17768" xr:uid="{00000000-0005-0000-0000-000059420000}"/>
    <cellStyle name="Normal 2 2 2 2 2 2 2 2 2 14 2" xfId="17769" xr:uid="{00000000-0005-0000-0000-00005A420000}"/>
    <cellStyle name="Normal 2 2 2 2 2 2 2 2 2 14 3" xfId="17770" xr:uid="{00000000-0005-0000-0000-00005B420000}"/>
    <cellStyle name="Normal 2 2 2 2 2 2 2 2 2 14 4" xfId="17771" xr:uid="{00000000-0005-0000-0000-00005C420000}"/>
    <cellStyle name="Normal 2 2 2 2 2 2 2 2 2 14 5" xfId="17772" xr:uid="{00000000-0005-0000-0000-00005D420000}"/>
    <cellStyle name="Normal 2 2 2 2 2 2 2 2 2 14 6" xfId="17773" xr:uid="{00000000-0005-0000-0000-00005E420000}"/>
    <cellStyle name="Normal 2 2 2 2 2 2 2 2 2 15" xfId="17774" xr:uid="{00000000-0005-0000-0000-00005F420000}"/>
    <cellStyle name="Normal 2 2 2 2 2 2 2 2 2 15 2" xfId="17775" xr:uid="{00000000-0005-0000-0000-000060420000}"/>
    <cellStyle name="Normal 2 2 2 2 2 2 2 2 2 15 3" xfId="17776" xr:uid="{00000000-0005-0000-0000-000061420000}"/>
    <cellStyle name="Normal 2 2 2 2 2 2 2 2 2 15 4" xfId="17777" xr:uid="{00000000-0005-0000-0000-000062420000}"/>
    <cellStyle name="Normal 2 2 2 2 2 2 2 2 2 15 5" xfId="17778" xr:uid="{00000000-0005-0000-0000-000063420000}"/>
    <cellStyle name="Normal 2 2 2 2 2 2 2 2 2 15 6" xfId="17779" xr:uid="{00000000-0005-0000-0000-000064420000}"/>
    <cellStyle name="Normal 2 2 2 2 2 2 2 2 2 16" xfId="17780" xr:uid="{00000000-0005-0000-0000-000065420000}"/>
    <cellStyle name="Normal 2 2 2 2 2 2 2 2 2 16 2" xfId="17781" xr:uid="{00000000-0005-0000-0000-000066420000}"/>
    <cellStyle name="Normal 2 2 2 2 2 2 2 2 2 16 3" xfId="17782" xr:uid="{00000000-0005-0000-0000-000067420000}"/>
    <cellStyle name="Normal 2 2 2 2 2 2 2 2 2 16 4" xfId="17783" xr:uid="{00000000-0005-0000-0000-000068420000}"/>
    <cellStyle name="Normal 2 2 2 2 2 2 2 2 2 16 5" xfId="17784" xr:uid="{00000000-0005-0000-0000-000069420000}"/>
    <cellStyle name="Normal 2 2 2 2 2 2 2 2 2 16 6" xfId="17785" xr:uid="{00000000-0005-0000-0000-00006A420000}"/>
    <cellStyle name="Normal 2 2 2 2 2 2 2 2 2 17" xfId="17786" xr:uid="{00000000-0005-0000-0000-00006B420000}"/>
    <cellStyle name="Normal 2 2 2 2 2 2 2 2 2 17 2" xfId="17787" xr:uid="{00000000-0005-0000-0000-00006C420000}"/>
    <cellStyle name="Normal 2 2 2 2 2 2 2 2 2 17 3" xfId="17788" xr:uid="{00000000-0005-0000-0000-00006D420000}"/>
    <cellStyle name="Normal 2 2 2 2 2 2 2 2 2 17 4" xfId="17789" xr:uid="{00000000-0005-0000-0000-00006E420000}"/>
    <cellStyle name="Normal 2 2 2 2 2 2 2 2 2 17 5" xfId="17790" xr:uid="{00000000-0005-0000-0000-00006F420000}"/>
    <cellStyle name="Normal 2 2 2 2 2 2 2 2 2 17 6" xfId="17791" xr:uid="{00000000-0005-0000-0000-000070420000}"/>
    <cellStyle name="Normal 2 2 2 2 2 2 2 2 2 18" xfId="17792" xr:uid="{00000000-0005-0000-0000-000071420000}"/>
    <cellStyle name="Normal 2 2 2 2 2 2 2 2 2 19" xfId="17793" xr:uid="{00000000-0005-0000-0000-000072420000}"/>
    <cellStyle name="Normal 2 2 2 2 2 2 2 2 2 2" xfId="17794" xr:uid="{00000000-0005-0000-0000-000073420000}"/>
    <cellStyle name="Normal 2 2 2 2 2 2 2 2 2 2 10" xfId="17795" xr:uid="{00000000-0005-0000-0000-000074420000}"/>
    <cellStyle name="Normal 2 2 2 2 2 2 2 2 2 2 11" xfId="17796" xr:uid="{00000000-0005-0000-0000-000075420000}"/>
    <cellStyle name="Normal 2 2 2 2 2 2 2 2 2 2 12" xfId="17797" xr:uid="{00000000-0005-0000-0000-000076420000}"/>
    <cellStyle name="Normal 2 2 2 2 2 2 2 2 2 2 13" xfId="17798" xr:uid="{00000000-0005-0000-0000-000077420000}"/>
    <cellStyle name="Normal 2 2 2 2 2 2 2 2 2 2 14" xfId="17799" xr:uid="{00000000-0005-0000-0000-000078420000}"/>
    <cellStyle name="Normal 2 2 2 2 2 2 2 2 2 2 15" xfId="17800" xr:uid="{00000000-0005-0000-0000-000079420000}"/>
    <cellStyle name="Normal 2 2 2 2 2 2 2 2 2 2 16" xfId="17801" xr:uid="{00000000-0005-0000-0000-00007A420000}"/>
    <cellStyle name="Normal 2 2 2 2 2 2 2 2 2 2 17" xfId="17802" xr:uid="{00000000-0005-0000-0000-00007B420000}"/>
    <cellStyle name="Normal 2 2 2 2 2 2 2 2 2 2 18" xfId="17803" xr:uid="{00000000-0005-0000-0000-00007C420000}"/>
    <cellStyle name="Normal 2 2 2 2 2 2 2 2 2 2 19" xfId="17804" xr:uid="{00000000-0005-0000-0000-00007D420000}"/>
    <cellStyle name="Normal 2 2 2 2 2 2 2 2 2 2 2" xfId="17805" xr:uid="{00000000-0005-0000-0000-00007E420000}"/>
    <cellStyle name="Normal 2 2 2 2 2 2 2 2 2 2 2 10" xfId="17806" xr:uid="{00000000-0005-0000-0000-00007F420000}"/>
    <cellStyle name="Normal 2 2 2 2 2 2 2 2 2 2 2 10 2" xfId="17807" xr:uid="{00000000-0005-0000-0000-000080420000}"/>
    <cellStyle name="Normal 2 2 2 2 2 2 2 2 2 2 2 10 3" xfId="17808" xr:uid="{00000000-0005-0000-0000-000081420000}"/>
    <cellStyle name="Normal 2 2 2 2 2 2 2 2 2 2 2 10 4" xfId="17809" xr:uid="{00000000-0005-0000-0000-000082420000}"/>
    <cellStyle name="Normal 2 2 2 2 2 2 2 2 2 2 2 10 5" xfId="17810" xr:uid="{00000000-0005-0000-0000-000083420000}"/>
    <cellStyle name="Normal 2 2 2 2 2 2 2 2 2 2 2 10 6" xfId="17811" xr:uid="{00000000-0005-0000-0000-000084420000}"/>
    <cellStyle name="Normal 2 2 2 2 2 2 2 2 2 2 2 11" xfId="17812" xr:uid="{00000000-0005-0000-0000-000085420000}"/>
    <cellStyle name="Normal 2 2 2 2 2 2 2 2 2 2 2 11 2" xfId="17813" xr:uid="{00000000-0005-0000-0000-000086420000}"/>
    <cellStyle name="Normal 2 2 2 2 2 2 2 2 2 2 2 11 3" xfId="17814" xr:uid="{00000000-0005-0000-0000-000087420000}"/>
    <cellStyle name="Normal 2 2 2 2 2 2 2 2 2 2 2 11 4" xfId="17815" xr:uid="{00000000-0005-0000-0000-000088420000}"/>
    <cellStyle name="Normal 2 2 2 2 2 2 2 2 2 2 2 11 5" xfId="17816" xr:uid="{00000000-0005-0000-0000-000089420000}"/>
    <cellStyle name="Normal 2 2 2 2 2 2 2 2 2 2 2 11 6" xfId="17817" xr:uid="{00000000-0005-0000-0000-00008A420000}"/>
    <cellStyle name="Normal 2 2 2 2 2 2 2 2 2 2 2 12" xfId="17818" xr:uid="{00000000-0005-0000-0000-00008B420000}"/>
    <cellStyle name="Normal 2 2 2 2 2 2 2 2 2 2 2 12 2" xfId="17819" xr:uid="{00000000-0005-0000-0000-00008C420000}"/>
    <cellStyle name="Normal 2 2 2 2 2 2 2 2 2 2 2 12 3" xfId="17820" xr:uid="{00000000-0005-0000-0000-00008D420000}"/>
    <cellStyle name="Normal 2 2 2 2 2 2 2 2 2 2 2 12 4" xfId="17821" xr:uid="{00000000-0005-0000-0000-00008E420000}"/>
    <cellStyle name="Normal 2 2 2 2 2 2 2 2 2 2 2 12 5" xfId="17822" xr:uid="{00000000-0005-0000-0000-00008F420000}"/>
    <cellStyle name="Normal 2 2 2 2 2 2 2 2 2 2 2 12 6" xfId="17823" xr:uid="{00000000-0005-0000-0000-000090420000}"/>
    <cellStyle name="Normal 2 2 2 2 2 2 2 2 2 2 2 13" xfId="17824" xr:uid="{00000000-0005-0000-0000-000091420000}"/>
    <cellStyle name="Normal 2 2 2 2 2 2 2 2 2 2 2 13 2" xfId="17825" xr:uid="{00000000-0005-0000-0000-000092420000}"/>
    <cellStyle name="Normal 2 2 2 2 2 2 2 2 2 2 2 13 3" xfId="17826" xr:uid="{00000000-0005-0000-0000-000093420000}"/>
    <cellStyle name="Normal 2 2 2 2 2 2 2 2 2 2 2 13 4" xfId="17827" xr:uid="{00000000-0005-0000-0000-000094420000}"/>
    <cellStyle name="Normal 2 2 2 2 2 2 2 2 2 2 2 13 5" xfId="17828" xr:uid="{00000000-0005-0000-0000-000095420000}"/>
    <cellStyle name="Normal 2 2 2 2 2 2 2 2 2 2 2 13 6" xfId="17829" xr:uid="{00000000-0005-0000-0000-000096420000}"/>
    <cellStyle name="Normal 2 2 2 2 2 2 2 2 2 2 2 14" xfId="17830" xr:uid="{00000000-0005-0000-0000-000097420000}"/>
    <cellStyle name="Normal 2 2 2 2 2 2 2 2 2 2 2 14 2" xfId="17831" xr:uid="{00000000-0005-0000-0000-000098420000}"/>
    <cellStyle name="Normal 2 2 2 2 2 2 2 2 2 2 2 14 3" xfId="17832" xr:uid="{00000000-0005-0000-0000-000099420000}"/>
    <cellStyle name="Normal 2 2 2 2 2 2 2 2 2 2 2 14 4" xfId="17833" xr:uid="{00000000-0005-0000-0000-00009A420000}"/>
    <cellStyle name="Normal 2 2 2 2 2 2 2 2 2 2 2 14 5" xfId="17834" xr:uid="{00000000-0005-0000-0000-00009B420000}"/>
    <cellStyle name="Normal 2 2 2 2 2 2 2 2 2 2 2 14 6" xfId="17835" xr:uid="{00000000-0005-0000-0000-00009C420000}"/>
    <cellStyle name="Normal 2 2 2 2 2 2 2 2 2 2 2 15" xfId="17836" xr:uid="{00000000-0005-0000-0000-00009D420000}"/>
    <cellStyle name="Normal 2 2 2 2 2 2 2 2 2 2 2 15 2" xfId="17837" xr:uid="{00000000-0005-0000-0000-00009E420000}"/>
    <cellStyle name="Normal 2 2 2 2 2 2 2 2 2 2 2 15 3" xfId="17838" xr:uid="{00000000-0005-0000-0000-00009F420000}"/>
    <cellStyle name="Normal 2 2 2 2 2 2 2 2 2 2 2 15 4" xfId="17839" xr:uid="{00000000-0005-0000-0000-0000A0420000}"/>
    <cellStyle name="Normal 2 2 2 2 2 2 2 2 2 2 2 15 5" xfId="17840" xr:uid="{00000000-0005-0000-0000-0000A1420000}"/>
    <cellStyle name="Normal 2 2 2 2 2 2 2 2 2 2 2 15 6" xfId="17841" xr:uid="{00000000-0005-0000-0000-0000A2420000}"/>
    <cellStyle name="Normal 2 2 2 2 2 2 2 2 2 2 2 16" xfId="17842" xr:uid="{00000000-0005-0000-0000-0000A3420000}"/>
    <cellStyle name="Normal 2 2 2 2 2 2 2 2 2 2 2 16 2" xfId="17843" xr:uid="{00000000-0005-0000-0000-0000A4420000}"/>
    <cellStyle name="Normal 2 2 2 2 2 2 2 2 2 2 2 16 3" xfId="17844" xr:uid="{00000000-0005-0000-0000-0000A5420000}"/>
    <cellStyle name="Normal 2 2 2 2 2 2 2 2 2 2 2 16 4" xfId="17845" xr:uid="{00000000-0005-0000-0000-0000A6420000}"/>
    <cellStyle name="Normal 2 2 2 2 2 2 2 2 2 2 2 16 5" xfId="17846" xr:uid="{00000000-0005-0000-0000-0000A7420000}"/>
    <cellStyle name="Normal 2 2 2 2 2 2 2 2 2 2 2 16 6" xfId="17847" xr:uid="{00000000-0005-0000-0000-0000A8420000}"/>
    <cellStyle name="Normal 2 2 2 2 2 2 2 2 2 2 2 17" xfId="17848" xr:uid="{00000000-0005-0000-0000-0000A9420000}"/>
    <cellStyle name="Normal 2 2 2 2 2 2 2 2 2 2 2 17 2" xfId="17849" xr:uid="{00000000-0005-0000-0000-0000AA420000}"/>
    <cellStyle name="Normal 2 2 2 2 2 2 2 2 2 2 2 17 3" xfId="17850" xr:uid="{00000000-0005-0000-0000-0000AB420000}"/>
    <cellStyle name="Normal 2 2 2 2 2 2 2 2 2 2 2 17 4" xfId="17851" xr:uid="{00000000-0005-0000-0000-0000AC420000}"/>
    <cellStyle name="Normal 2 2 2 2 2 2 2 2 2 2 2 17 5" xfId="17852" xr:uid="{00000000-0005-0000-0000-0000AD420000}"/>
    <cellStyle name="Normal 2 2 2 2 2 2 2 2 2 2 2 17 6" xfId="17853" xr:uid="{00000000-0005-0000-0000-0000AE420000}"/>
    <cellStyle name="Normal 2 2 2 2 2 2 2 2 2 2 2 18" xfId="17854" xr:uid="{00000000-0005-0000-0000-0000AF420000}"/>
    <cellStyle name="Normal 2 2 2 2 2 2 2 2 2 2 2 18 2" xfId="17855" xr:uid="{00000000-0005-0000-0000-0000B0420000}"/>
    <cellStyle name="Normal 2 2 2 2 2 2 2 2 2 2 2 18 3" xfId="17856" xr:uid="{00000000-0005-0000-0000-0000B1420000}"/>
    <cellStyle name="Normal 2 2 2 2 2 2 2 2 2 2 2 18 4" xfId="17857" xr:uid="{00000000-0005-0000-0000-0000B2420000}"/>
    <cellStyle name="Normal 2 2 2 2 2 2 2 2 2 2 2 18 5" xfId="17858" xr:uid="{00000000-0005-0000-0000-0000B3420000}"/>
    <cellStyle name="Normal 2 2 2 2 2 2 2 2 2 2 2 18 6" xfId="17859" xr:uid="{00000000-0005-0000-0000-0000B4420000}"/>
    <cellStyle name="Normal 2 2 2 2 2 2 2 2 2 2 2 19" xfId="17860" xr:uid="{00000000-0005-0000-0000-0000B5420000}"/>
    <cellStyle name="Normal 2 2 2 2 2 2 2 2 2 2 2 19 2" xfId="17861" xr:uid="{00000000-0005-0000-0000-0000B6420000}"/>
    <cellStyle name="Normal 2 2 2 2 2 2 2 2 2 2 2 19 3" xfId="17862" xr:uid="{00000000-0005-0000-0000-0000B7420000}"/>
    <cellStyle name="Normal 2 2 2 2 2 2 2 2 2 2 2 19 4" xfId="17863" xr:uid="{00000000-0005-0000-0000-0000B8420000}"/>
    <cellStyle name="Normal 2 2 2 2 2 2 2 2 2 2 2 19 5" xfId="17864" xr:uid="{00000000-0005-0000-0000-0000B9420000}"/>
    <cellStyle name="Normal 2 2 2 2 2 2 2 2 2 2 2 19 6" xfId="17865" xr:uid="{00000000-0005-0000-0000-0000BA420000}"/>
    <cellStyle name="Normal 2 2 2 2 2 2 2 2 2 2 2 2" xfId="17866" xr:uid="{00000000-0005-0000-0000-0000BB420000}"/>
    <cellStyle name="Normal 2 2 2 2 2 2 2 2 2 2 2 2 10" xfId="17867" xr:uid="{00000000-0005-0000-0000-0000BC420000}"/>
    <cellStyle name="Normal 2 2 2 2 2 2 2 2 2 2 2 2 11" xfId="17868" xr:uid="{00000000-0005-0000-0000-0000BD420000}"/>
    <cellStyle name="Normal 2 2 2 2 2 2 2 2 2 2 2 2 12" xfId="17869" xr:uid="{00000000-0005-0000-0000-0000BE420000}"/>
    <cellStyle name="Normal 2 2 2 2 2 2 2 2 2 2 2 2 13" xfId="17870" xr:uid="{00000000-0005-0000-0000-0000BF420000}"/>
    <cellStyle name="Normal 2 2 2 2 2 2 2 2 2 2 2 2 14" xfId="17871" xr:uid="{00000000-0005-0000-0000-0000C0420000}"/>
    <cellStyle name="Normal 2 2 2 2 2 2 2 2 2 2 2 2 15" xfId="17872" xr:uid="{00000000-0005-0000-0000-0000C1420000}"/>
    <cellStyle name="Normal 2 2 2 2 2 2 2 2 2 2 2 2 2" xfId="17873" xr:uid="{00000000-0005-0000-0000-0000C2420000}"/>
    <cellStyle name="Normal 2 2 2 2 2 2 2 2 2 2 2 2 2 10" xfId="17874" xr:uid="{00000000-0005-0000-0000-0000C3420000}"/>
    <cellStyle name="Normal 2 2 2 2 2 2 2 2 2 2 2 2 2 11" xfId="17875" xr:uid="{00000000-0005-0000-0000-0000C4420000}"/>
    <cellStyle name="Normal 2 2 2 2 2 2 2 2 2 2 2 2 2 12" xfId="17876" xr:uid="{00000000-0005-0000-0000-0000C5420000}"/>
    <cellStyle name="Normal 2 2 2 2 2 2 2 2 2 2 2 2 2 13" xfId="17877" xr:uid="{00000000-0005-0000-0000-0000C6420000}"/>
    <cellStyle name="Normal 2 2 2 2 2 2 2 2 2 2 2 2 2 14" xfId="17878" xr:uid="{00000000-0005-0000-0000-0000C7420000}"/>
    <cellStyle name="Normal 2 2 2 2 2 2 2 2 2 2 2 2 2 2" xfId="17879" xr:uid="{00000000-0005-0000-0000-0000C8420000}"/>
    <cellStyle name="Normal 2 2 2 2 2 2 2 2 2 2 2 2 2 2 10" xfId="17880" xr:uid="{00000000-0005-0000-0000-0000C9420000}"/>
    <cellStyle name="Normal 2 2 2 2 2 2 2 2 2 2 2 2 2 2 11" xfId="17881" xr:uid="{00000000-0005-0000-0000-0000CA420000}"/>
    <cellStyle name="Normal 2 2 2 2 2 2 2 2 2 2 2 2 2 2 12" xfId="17882" xr:uid="{00000000-0005-0000-0000-0000CB420000}"/>
    <cellStyle name="Normal 2 2 2 2 2 2 2 2 2 2 2 2 2 2 13" xfId="17883" xr:uid="{00000000-0005-0000-0000-0000CC420000}"/>
    <cellStyle name="Normal 2 2 2 2 2 2 2 2 2 2 2 2 2 2 14" xfId="17884" xr:uid="{00000000-0005-0000-0000-0000CD420000}"/>
    <cellStyle name="Normal 2 2 2 2 2 2 2 2 2 2 2 2 2 2 2" xfId="17885" xr:uid="{00000000-0005-0000-0000-0000CE420000}"/>
    <cellStyle name="Normal 2 2 2 2 2 2 2 2 2 2 2 2 2 2 2 10" xfId="17886" xr:uid="{00000000-0005-0000-0000-0000CF420000}"/>
    <cellStyle name="Normal 2 2 2 2 2 2 2 2 2 2 2 2 2 2 2 11" xfId="17887" xr:uid="{00000000-0005-0000-0000-0000D0420000}"/>
    <cellStyle name="Normal 2 2 2 2 2 2 2 2 2 2 2 2 2 2 2 12" xfId="17888" xr:uid="{00000000-0005-0000-0000-0000D1420000}"/>
    <cellStyle name="Normal 2 2 2 2 2 2 2 2 2 2 2 2 2 2 2 13" xfId="17889" xr:uid="{00000000-0005-0000-0000-0000D2420000}"/>
    <cellStyle name="Normal 2 2 2 2 2 2 2 2 2 2 2 2 2 2 2 14" xfId="17890" xr:uid="{00000000-0005-0000-0000-0000D3420000}"/>
    <cellStyle name="Normal 2 2 2 2 2 2 2 2 2 2 2 2 2 2 2 2" xfId="17891" xr:uid="{00000000-0005-0000-0000-0000D4420000}"/>
    <cellStyle name="Normal 2 2 2 2 2 2 2 2 2 2 2 2 2 2 2 2 10" xfId="17892" xr:uid="{00000000-0005-0000-0000-0000D5420000}"/>
    <cellStyle name="Normal 2 2 2 2 2 2 2 2 2 2 2 2 2 2 2 2 11" xfId="17893" xr:uid="{00000000-0005-0000-0000-0000D6420000}"/>
    <cellStyle name="Normal 2 2 2 2 2 2 2 2 2 2 2 2 2 2 2 2 2" xfId="17894" xr:uid="{00000000-0005-0000-0000-0000D7420000}"/>
    <cellStyle name="Normal 2 2 2 2 2 2 2 2 2 2 2 2 2 2 2 2 2 2" xfId="17895" xr:uid="{00000000-0005-0000-0000-0000D8420000}"/>
    <cellStyle name="Normal 2 2 2 2 2 2 2 2 2 2 2 2 2 2 2 2 2 2 2" xfId="17896" xr:uid="{00000000-0005-0000-0000-0000D9420000}"/>
    <cellStyle name="Normal 2 2 2 2 2 2 2 2 2 2 2 2 2 2 2 2 2 2 3" xfId="17897" xr:uid="{00000000-0005-0000-0000-0000DA420000}"/>
    <cellStyle name="Normal 2 2 2 2 2 2 2 2 2 2 2 2 2 2 2 2 2 3" xfId="17898" xr:uid="{00000000-0005-0000-0000-0000DB420000}"/>
    <cellStyle name="Normal 2 2 2 2 2 2 2 2 2 2 2 2 2 2 2 2 2 4" xfId="17899" xr:uid="{00000000-0005-0000-0000-0000DC420000}"/>
    <cellStyle name="Normal 2 2 2 2 2 2 2 2 2 2 2 2 2 2 2 2 2 5" xfId="17900" xr:uid="{00000000-0005-0000-0000-0000DD420000}"/>
    <cellStyle name="Normal 2 2 2 2 2 2 2 2 2 2 2 2 2 2 2 2 2 6" xfId="17901" xr:uid="{00000000-0005-0000-0000-0000DE420000}"/>
    <cellStyle name="Normal 2 2 2 2 2 2 2 2 2 2 2 2 2 2 2 2 2 7" xfId="17902" xr:uid="{00000000-0005-0000-0000-0000DF420000}"/>
    <cellStyle name="Normal 2 2 2 2 2 2 2 2 2 2 2 2 2 2 2 2 2 8" xfId="17903" xr:uid="{00000000-0005-0000-0000-0000E0420000}"/>
    <cellStyle name="Normal 2 2 2 2 2 2 2 2 2 2 2 2 2 2 2 2 2 9" xfId="17904" xr:uid="{00000000-0005-0000-0000-0000E1420000}"/>
    <cellStyle name="Normal 2 2 2 2 2 2 2 2 2 2 2 2 2 2 2 2 3" xfId="17905" xr:uid="{00000000-0005-0000-0000-0000E2420000}"/>
    <cellStyle name="Normal 2 2 2 2 2 2 2 2 2 2 2 2 2 2 2 2 4" xfId="17906" xr:uid="{00000000-0005-0000-0000-0000E3420000}"/>
    <cellStyle name="Normal 2 2 2 2 2 2 2 2 2 2 2 2 2 2 2 2 5" xfId="17907" xr:uid="{00000000-0005-0000-0000-0000E4420000}"/>
    <cellStyle name="Normal 2 2 2 2 2 2 2 2 2 2 2 2 2 2 2 2 5 2" xfId="17908" xr:uid="{00000000-0005-0000-0000-0000E5420000}"/>
    <cellStyle name="Normal 2 2 2 2 2 2 2 2 2 2 2 2 2 2 2 2 5 3" xfId="17909" xr:uid="{00000000-0005-0000-0000-0000E6420000}"/>
    <cellStyle name="Normal 2 2 2 2 2 2 2 2 2 2 2 2 2 2 2 2 6" xfId="17910" xr:uid="{00000000-0005-0000-0000-0000E7420000}"/>
    <cellStyle name="Normal 2 2 2 2 2 2 2 2 2 2 2 2 2 2 2 2 7" xfId="17911" xr:uid="{00000000-0005-0000-0000-0000E8420000}"/>
    <cellStyle name="Normal 2 2 2 2 2 2 2 2 2 2 2 2 2 2 2 2 8" xfId="17912" xr:uid="{00000000-0005-0000-0000-0000E9420000}"/>
    <cellStyle name="Normal 2 2 2 2 2 2 2 2 2 2 2 2 2 2 2 2 9" xfId="17913" xr:uid="{00000000-0005-0000-0000-0000EA420000}"/>
    <cellStyle name="Normal 2 2 2 2 2 2 2 2 2 2 2 2 2 2 2 3" xfId="17914" xr:uid="{00000000-0005-0000-0000-0000EB420000}"/>
    <cellStyle name="Normal 2 2 2 2 2 2 2 2 2 2 2 2 2 2 2 4" xfId="17915" xr:uid="{00000000-0005-0000-0000-0000EC420000}"/>
    <cellStyle name="Normal 2 2 2 2 2 2 2 2 2 2 2 2 2 2 2 5" xfId="17916" xr:uid="{00000000-0005-0000-0000-0000ED420000}"/>
    <cellStyle name="Normal 2 2 2 2 2 2 2 2 2 2 2 2 2 2 2 6" xfId="17917" xr:uid="{00000000-0005-0000-0000-0000EE420000}"/>
    <cellStyle name="Normal 2 2 2 2 2 2 2 2 2 2 2 2 2 2 2 6 2" xfId="17918" xr:uid="{00000000-0005-0000-0000-0000EF420000}"/>
    <cellStyle name="Normal 2 2 2 2 2 2 2 2 2 2 2 2 2 2 2 6 2 2" xfId="17919" xr:uid="{00000000-0005-0000-0000-0000F0420000}"/>
    <cellStyle name="Normal 2 2 2 2 2 2 2 2 2 2 2 2 2 2 2 6 2 3" xfId="17920" xr:uid="{00000000-0005-0000-0000-0000F1420000}"/>
    <cellStyle name="Normal 2 2 2 2 2 2 2 2 2 2 2 2 2 2 2 6 3" xfId="17921" xr:uid="{00000000-0005-0000-0000-0000F2420000}"/>
    <cellStyle name="Normal 2 2 2 2 2 2 2 2 2 2 2 2 2 2 2 6 4" xfId="17922" xr:uid="{00000000-0005-0000-0000-0000F3420000}"/>
    <cellStyle name="Normal 2 2 2 2 2 2 2 2 2 2 2 2 2 2 2 6 5" xfId="17923" xr:uid="{00000000-0005-0000-0000-0000F4420000}"/>
    <cellStyle name="Normal 2 2 2 2 2 2 2 2 2 2 2 2 2 2 2 6 6" xfId="17924" xr:uid="{00000000-0005-0000-0000-0000F5420000}"/>
    <cellStyle name="Normal 2 2 2 2 2 2 2 2 2 2 2 2 2 2 2 6 7" xfId="17925" xr:uid="{00000000-0005-0000-0000-0000F6420000}"/>
    <cellStyle name="Normal 2 2 2 2 2 2 2 2 2 2 2 2 2 2 2 6 8" xfId="17926" xr:uid="{00000000-0005-0000-0000-0000F7420000}"/>
    <cellStyle name="Normal 2 2 2 2 2 2 2 2 2 2 2 2 2 2 2 6 9" xfId="17927" xr:uid="{00000000-0005-0000-0000-0000F8420000}"/>
    <cellStyle name="Normal 2 2 2 2 2 2 2 2 2 2 2 2 2 2 2 7" xfId="17928" xr:uid="{00000000-0005-0000-0000-0000F9420000}"/>
    <cellStyle name="Normal 2 2 2 2 2 2 2 2 2 2 2 2 2 2 2 8" xfId="17929" xr:uid="{00000000-0005-0000-0000-0000FA420000}"/>
    <cellStyle name="Normal 2 2 2 2 2 2 2 2 2 2 2 2 2 2 2 8 2" xfId="17930" xr:uid="{00000000-0005-0000-0000-0000FB420000}"/>
    <cellStyle name="Normal 2 2 2 2 2 2 2 2 2 2 2 2 2 2 2 8 3" xfId="17931" xr:uid="{00000000-0005-0000-0000-0000FC420000}"/>
    <cellStyle name="Normal 2 2 2 2 2 2 2 2 2 2 2 2 2 2 2 9" xfId="17932" xr:uid="{00000000-0005-0000-0000-0000FD420000}"/>
    <cellStyle name="Normal 2 2 2 2 2 2 2 2 2 2 2 2 2 2 3" xfId="17933" xr:uid="{00000000-0005-0000-0000-0000FE420000}"/>
    <cellStyle name="Normal 2 2 2 2 2 2 2 2 2 2 2 2 2 2 3 10" xfId="17934" xr:uid="{00000000-0005-0000-0000-0000FF420000}"/>
    <cellStyle name="Normal 2 2 2 2 2 2 2 2 2 2 2 2 2 2 3 11" xfId="17935" xr:uid="{00000000-0005-0000-0000-000000430000}"/>
    <cellStyle name="Normal 2 2 2 2 2 2 2 2 2 2 2 2 2 2 3 2" xfId="17936" xr:uid="{00000000-0005-0000-0000-000001430000}"/>
    <cellStyle name="Normal 2 2 2 2 2 2 2 2 2 2 2 2 2 2 3 2 2" xfId="17937" xr:uid="{00000000-0005-0000-0000-000002430000}"/>
    <cellStyle name="Normal 2 2 2 2 2 2 2 2 2 2 2 2 2 2 3 2 2 2" xfId="17938" xr:uid="{00000000-0005-0000-0000-000003430000}"/>
    <cellStyle name="Normal 2 2 2 2 2 2 2 2 2 2 2 2 2 2 3 2 2 3" xfId="17939" xr:uid="{00000000-0005-0000-0000-000004430000}"/>
    <cellStyle name="Normal 2 2 2 2 2 2 2 2 2 2 2 2 2 2 3 2 3" xfId="17940" xr:uid="{00000000-0005-0000-0000-000005430000}"/>
    <cellStyle name="Normal 2 2 2 2 2 2 2 2 2 2 2 2 2 2 3 2 4" xfId="17941" xr:uid="{00000000-0005-0000-0000-000006430000}"/>
    <cellStyle name="Normal 2 2 2 2 2 2 2 2 2 2 2 2 2 2 3 2 5" xfId="17942" xr:uid="{00000000-0005-0000-0000-000007430000}"/>
    <cellStyle name="Normal 2 2 2 2 2 2 2 2 2 2 2 2 2 2 3 2 6" xfId="17943" xr:uid="{00000000-0005-0000-0000-000008430000}"/>
    <cellStyle name="Normal 2 2 2 2 2 2 2 2 2 2 2 2 2 2 3 2 7" xfId="17944" xr:uid="{00000000-0005-0000-0000-000009430000}"/>
    <cellStyle name="Normal 2 2 2 2 2 2 2 2 2 2 2 2 2 2 3 2 8" xfId="17945" xr:uid="{00000000-0005-0000-0000-00000A430000}"/>
    <cellStyle name="Normal 2 2 2 2 2 2 2 2 2 2 2 2 2 2 3 2 9" xfId="17946" xr:uid="{00000000-0005-0000-0000-00000B430000}"/>
    <cellStyle name="Normal 2 2 2 2 2 2 2 2 2 2 2 2 2 2 3 3" xfId="17947" xr:uid="{00000000-0005-0000-0000-00000C430000}"/>
    <cellStyle name="Normal 2 2 2 2 2 2 2 2 2 2 2 2 2 2 3 4" xfId="17948" xr:uid="{00000000-0005-0000-0000-00000D430000}"/>
    <cellStyle name="Normal 2 2 2 2 2 2 2 2 2 2 2 2 2 2 3 5" xfId="17949" xr:uid="{00000000-0005-0000-0000-00000E430000}"/>
    <cellStyle name="Normal 2 2 2 2 2 2 2 2 2 2 2 2 2 2 3 5 2" xfId="17950" xr:uid="{00000000-0005-0000-0000-00000F430000}"/>
    <cellStyle name="Normal 2 2 2 2 2 2 2 2 2 2 2 2 2 2 3 5 3" xfId="17951" xr:uid="{00000000-0005-0000-0000-000010430000}"/>
    <cellStyle name="Normal 2 2 2 2 2 2 2 2 2 2 2 2 2 2 3 6" xfId="17952" xr:uid="{00000000-0005-0000-0000-000011430000}"/>
    <cellStyle name="Normal 2 2 2 2 2 2 2 2 2 2 2 2 2 2 3 7" xfId="17953" xr:uid="{00000000-0005-0000-0000-000012430000}"/>
    <cellStyle name="Normal 2 2 2 2 2 2 2 2 2 2 2 2 2 2 3 8" xfId="17954" xr:uid="{00000000-0005-0000-0000-000013430000}"/>
    <cellStyle name="Normal 2 2 2 2 2 2 2 2 2 2 2 2 2 2 3 9" xfId="17955" xr:uid="{00000000-0005-0000-0000-000014430000}"/>
    <cellStyle name="Normal 2 2 2 2 2 2 2 2 2 2 2 2 2 2 4" xfId="17956" xr:uid="{00000000-0005-0000-0000-000015430000}"/>
    <cellStyle name="Normal 2 2 2 2 2 2 2 2 2 2 2 2 2 2 5" xfId="17957" xr:uid="{00000000-0005-0000-0000-000016430000}"/>
    <cellStyle name="Normal 2 2 2 2 2 2 2 2 2 2 2 2 2 2 6" xfId="17958" xr:uid="{00000000-0005-0000-0000-000017430000}"/>
    <cellStyle name="Normal 2 2 2 2 2 2 2 2 2 2 2 2 2 2 6 2" xfId="17959" xr:uid="{00000000-0005-0000-0000-000018430000}"/>
    <cellStyle name="Normal 2 2 2 2 2 2 2 2 2 2 2 2 2 2 6 2 2" xfId="17960" xr:uid="{00000000-0005-0000-0000-000019430000}"/>
    <cellStyle name="Normal 2 2 2 2 2 2 2 2 2 2 2 2 2 2 6 2 3" xfId="17961" xr:uid="{00000000-0005-0000-0000-00001A430000}"/>
    <cellStyle name="Normal 2 2 2 2 2 2 2 2 2 2 2 2 2 2 6 3" xfId="17962" xr:uid="{00000000-0005-0000-0000-00001B430000}"/>
    <cellStyle name="Normal 2 2 2 2 2 2 2 2 2 2 2 2 2 2 6 4" xfId="17963" xr:uid="{00000000-0005-0000-0000-00001C430000}"/>
    <cellStyle name="Normal 2 2 2 2 2 2 2 2 2 2 2 2 2 2 6 5" xfId="17964" xr:uid="{00000000-0005-0000-0000-00001D430000}"/>
    <cellStyle name="Normal 2 2 2 2 2 2 2 2 2 2 2 2 2 2 6 6" xfId="17965" xr:uid="{00000000-0005-0000-0000-00001E430000}"/>
    <cellStyle name="Normal 2 2 2 2 2 2 2 2 2 2 2 2 2 2 6 7" xfId="17966" xr:uid="{00000000-0005-0000-0000-00001F430000}"/>
    <cellStyle name="Normal 2 2 2 2 2 2 2 2 2 2 2 2 2 2 6 8" xfId="17967" xr:uid="{00000000-0005-0000-0000-000020430000}"/>
    <cellStyle name="Normal 2 2 2 2 2 2 2 2 2 2 2 2 2 2 6 9" xfId="17968" xr:uid="{00000000-0005-0000-0000-000021430000}"/>
    <cellStyle name="Normal 2 2 2 2 2 2 2 2 2 2 2 2 2 2 7" xfId="17969" xr:uid="{00000000-0005-0000-0000-000022430000}"/>
    <cellStyle name="Normal 2 2 2 2 2 2 2 2 2 2 2 2 2 2 8" xfId="17970" xr:uid="{00000000-0005-0000-0000-000023430000}"/>
    <cellStyle name="Normal 2 2 2 2 2 2 2 2 2 2 2 2 2 2 8 2" xfId="17971" xr:uid="{00000000-0005-0000-0000-000024430000}"/>
    <cellStyle name="Normal 2 2 2 2 2 2 2 2 2 2 2 2 2 2 8 3" xfId="17972" xr:uid="{00000000-0005-0000-0000-000025430000}"/>
    <cellStyle name="Normal 2 2 2 2 2 2 2 2 2 2 2 2 2 2 9" xfId="17973" xr:uid="{00000000-0005-0000-0000-000026430000}"/>
    <cellStyle name="Normal 2 2 2 2 2 2 2 2 2 2 2 2 2 3" xfId="17974" xr:uid="{00000000-0005-0000-0000-000027430000}"/>
    <cellStyle name="Normal 2 2 2 2 2 2 2 2 2 2 2 2 2 3 10" xfId="17975" xr:uid="{00000000-0005-0000-0000-000028430000}"/>
    <cellStyle name="Normal 2 2 2 2 2 2 2 2 2 2 2 2 2 3 11" xfId="17976" xr:uid="{00000000-0005-0000-0000-000029430000}"/>
    <cellStyle name="Normal 2 2 2 2 2 2 2 2 2 2 2 2 2 3 2" xfId="17977" xr:uid="{00000000-0005-0000-0000-00002A430000}"/>
    <cellStyle name="Normal 2 2 2 2 2 2 2 2 2 2 2 2 2 3 2 2" xfId="17978" xr:uid="{00000000-0005-0000-0000-00002B430000}"/>
    <cellStyle name="Normal 2 2 2 2 2 2 2 2 2 2 2 2 2 3 2 2 2" xfId="17979" xr:uid="{00000000-0005-0000-0000-00002C430000}"/>
    <cellStyle name="Normal 2 2 2 2 2 2 2 2 2 2 2 2 2 3 2 2 3" xfId="17980" xr:uid="{00000000-0005-0000-0000-00002D430000}"/>
    <cellStyle name="Normal 2 2 2 2 2 2 2 2 2 2 2 2 2 3 2 3" xfId="17981" xr:uid="{00000000-0005-0000-0000-00002E430000}"/>
    <cellStyle name="Normal 2 2 2 2 2 2 2 2 2 2 2 2 2 3 2 4" xfId="17982" xr:uid="{00000000-0005-0000-0000-00002F430000}"/>
    <cellStyle name="Normal 2 2 2 2 2 2 2 2 2 2 2 2 2 3 2 5" xfId="17983" xr:uid="{00000000-0005-0000-0000-000030430000}"/>
    <cellStyle name="Normal 2 2 2 2 2 2 2 2 2 2 2 2 2 3 2 6" xfId="17984" xr:uid="{00000000-0005-0000-0000-000031430000}"/>
    <cellStyle name="Normal 2 2 2 2 2 2 2 2 2 2 2 2 2 3 2 7" xfId="17985" xr:uid="{00000000-0005-0000-0000-000032430000}"/>
    <cellStyle name="Normal 2 2 2 2 2 2 2 2 2 2 2 2 2 3 2 8" xfId="17986" xr:uid="{00000000-0005-0000-0000-000033430000}"/>
    <cellStyle name="Normal 2 2 2 2 2 2 2 2 2 2 2 2 2 3 2 9" xfId="17987" xr:uid="{00000000-0005-0000-0000-000034430000}"/>
    <cellStyle name="Normal 2 2 2 2 2 2 2 2 2 2 2 2 2 3 3" xfId="17988" xr:uid="{00000000-0005-0000-0000-000035430000}"/>
    <cellStyle name="Normal 2 2 2 2 2 2 2 2 2 2 2 2 2 3 4" xfId="17989" xr:uid="{00000000-0005-0000-0000-000036430000}"/>
    <cellStyle name="Normal 2 2 2 2 2 2 2 2 2 2 2 2 2 3 5" xfId="17990" xr:uid="{00000000-0005-0000-0000-000037430000}"/>
    <cellStyle name="Normal 2 2 2 2 2 2 2 2 2 2 2 2 2 3 5 2" xfId="17991" xr:uid="{00000000-0005-0000-0000-000038430000}"/>
    <cellStyle name="Normal 2 2 2 2 2 2 2 2 2 2 2 2 2 3 5 3" xfId="17992" xr:uid="{00000000-0005-0000-0000-000039430000}"/>
    <cellStyle name="Normal 2 2 2 2 2 2 2 2 2 2 2 2 2 3 6" xfId="17993" xr:uid="{00000000-0005-0000-0000-00003A430000}"/>
    <cellStyle name="Normal 2 2 2 2 2 2 2 2 2 2 2 2 2 3 7" xfId="17994" xr:uid="{00000000-0005-0000-0000-00003B430000}"/>
    <cellStyle name="Normal 2 2 2 2 2 2 2 2 2 2 2 2 2 3 8" xfId="17995" xr:uid="{00000000-0005-0000-0000-00003C430000}"/>
    <cellStyle name="Normal 2 2 2 2 2 2 2 2 2 2 2 2 2 3 9" xfId="17996" xr:uid="{00000000-0005-0000-0000-00003D430000}"/>
    <cellStyle name="Normal 2 2 2 2 2 2 2 2 2 2 2 2 2 4" xfId="17997" xr:uid="{00000000-0005-0000-0000-00003E430000}"/>
    <cellStyle name="Normal 2 2 2 2 2 2 2 2 2 2 2 2 2 5" xfId="17998" xr:uid="{00000000-0005-0000-0000-00003F430000}"/>
    <cellStyle name="Normal 2 2 2 2 2 2 2 2 2 2 2 2 2 6" xfId="17999" xr:uid="{00000000-0005-0000-0000-000040430000}"/>
    <cellStyle name="Normal 2 2 2 2 2 2 2 2 2 2 2 2 2 6 2" xfId="18000" xr:uid="{00000000-0005-0000-0000-000041430000}"/>
    <cellStyle name="Normal 2 2 2 2 2 2 2 2 2 2 2 2 2 6 2 2" xfId="18001" xr:uid="{00000000-0005-0000-0000-000042430000}"/>
    <cellStyle name="Normal 2 2 2 2 2 2 2 2 2 2 2 2 2 6 2 3" xfId="18002" xr:uid="{00000000-0005-0000-0000-000043430000}"/>
    <cellStyle name="Normal 2 2 2 2 2 2 2 2 2 2 2 2 2 6 3" xfId="18003" xr:uid="{00000000-0005-0000-0000-000044430000}"/>
    <cellStyle name="Normal 2 2 2 2 2 2 2 2 2 2 2 2 2 6 4" xfId="18004" xr:uid="{00000000-0005-0000-0000-000045430000}"/>
    <cellStyle name="Normal 2 2 2 2 2 2 2 2 2 2 2 2 2 6 5" xfId="18005" xr:uid="{00000000-0005-0000-0000-000046430000}"/>
    <cellStyle name="Normal 2 2 2 2 2 2 2 2 2 2 2 2 2 6 6" xfId="18006" xr:uid="{00000000-0005-0000-0000-000047430000}"/>
    <cellStyle name="Normal 2 2 2 2 2 2 2 2 2 2 2 2 2 6 7" xfId="18007" xr:uid="{00000000-0005-0000-0000-000048430000}"/>
    <cellStyle name="Normal 2 2 2 2 2 2 2 2 2 2 2 2 2 6 8" xfId="18008" xr:uid="{00000000-0005-0000-0000-000049430000}"/>
    <cellStyle name="Normal 2 2 2 2 2 2 2 2 2 2 2 2 2 6 9" xfId="18009" xr:uid="{00000000-0005-0000-0000-00004A430000}"/>
    <cellStyle name="Normal 2 2 2 2 2 2 2 2 2 2 2 2 2 7" xfId="18010" xr:uid="{00000000-0005-0000-0000-00004B430000}"/>
    <cellStyle name="Normal 2 2 2 2 2 2 2 2 2 2 2 2 2 8" xfId="18011" xr:uid="{00000000-0005-0000-0000-00004C430000}"/>
    <cellStyle name="Normal 2 2 2 2 2 2 2 2 2 2 2 2 2 8 2" xfId="18012" xr:uid="{00000000-0005-0000-0000-00004D430000}"/>
    <cellStyle name="Normal 2 2 2 2 2 2 2 2 2 2 2 2 2 8 3" xfId="18013" xr:uid="{00000000-0005-0000-0000-00004E430000}"/>
    <cellStyle name="Normal 2 2 2 2 2 2 2 2 2 2 2 2 2 9" xfId="18014" xr:uid="{00000000-0005-0000-0000-00004F430000}"/>
    <cellStyle name="Normal 2 2 2 2 2 2 2 2 2 2 2 2 3" xfId="18015" xr:uid="{00000000-0005-0000-0000-000050430000}"/>
    <cellStyle name="Normal 2 2 2 2 2 2 2 2 2 2 2 2 3 2" xfId="18016" xr:uid="{00000000-0005-0000-0000-000051430000}"/>
    <cellStyle name="Normal 2 2 2 2 2 2 2 2 2 2 2 2 3 3" xfId="18017" xr:uid="{00000000-0005-0000-0000-000052430000}"/>
    <cellStyle name="Normal 2 2 2 2 2 2 2 2 2 2 2 2 3 4" xfId="18018" xr:uid="{00000000-0005-0000-0000-000053430000}"/>
    <cellStyle name="Normal 2 2 2 2 2 2 2 2 2 2 2 2 3 5" xfId="18019" xr:uid="{00000000-0005-0000-0000-000054430000}"/>
    <cellStyle name="Normal 2 2 2 2 2 2 2 2 2 2 2 2 3 6" xfId="18020" xr:uid="{00000000-0005-0000-0000-000055430000}"/>
    <cellStyle name="Normal 2 2 2 2 2 2 2 2 2 2 2 2 4" xfId="18021" xr:uid="{00000000-0005-0000-0000-000056430000}"/>
    <cellStyle name="Normal 2 2 2 2 2 2 2 2 2 2 2 2 4 10" xfId="18022" xr:uid="{00000000-0005-0000-0000-000057430000}"/>
    <cellStyle name="Normal 2 2 2 2 2 2 2 2 2 2 2 2 4 11" xfId="18023" xr:uid="{00000000-0005-0000-0000-000058430000}"/>
    <cellStyle name="Normal 2 2 2 2 2 2 2 2 2 2 2 2 4 2" xfId="18024" xr:uid="{00000000-0005-0000-0000-000059430000}"/>
    <cellStyle name="Normal 2 2 2 2 2 2 2 2 2 2 2 2 4 2 2" xfId="18025" xr:uid="{00000000-0005-0000-0000-00005A430000}"/>
    <cellStyle name="Normal 2 2 2 2 2 2 2 2 2 2 2 2 4 2 2 2" xfId="18026" xr:uid="{00000000-0005-0000-0000-00005B430000}"/>
    <cellStyle name="Normal 2 2 2 2 2 2 2 2 2 2 2 2 4 2 2 3" xfId="18027" xr:uid="{00000000-0005-0000-0000-00005C430000}"/>
    <cellStyle name="Normal 2 2 2 2 2 2 2 2 2 2 2 2 4 2 3" xfId="18028" xr:uid="{00000000-0005-0000-0000-00005D430000}"/>
    <cellStyle name="Normal 2 2 2 2 2 2 2 2 2 2 2 2 4 2 4" xfId="18029" xr:uid="{00000000-0005-0000-0000-00005E430000}"/>
    <cellStyle name="Normal 2 2 2 2 2 2 2 2 2 2 2 2 4 2 5" xfId="18030" xr:uid="{00000000-0005-0000-0000-00005F430000}"/>
    <cellStyle name="Normal 2 2 2 2 2 2 2 2 2 2 2 2 4 2 6" xfId="18031" xr:uid="{00000000-0005-0000-0000-000060430000}"/>
    <cellStyle name="Normal 2 2 2 2 2 2 2 2 2 2 2 2 4 2 7" xfId="18032" xr:uid="{00000000-0005-0000-0000-000061430000}"/>
    <cellStyle name="Normal 2 2 2 2 2 2 2 2 2 2 2 2 4 2 8" xfId="18033" xr:uid="{00000000-0005-0000-0000-000062430000}"/>
    <cellStyle name="Normal 2 2 2 2 2 2 2 2 2 2 2 2 4 2 9" xfId="18034" xr:uid="{00000000-0005-0000-0000-000063430000}"/>
    <cellStyle name="Normal 2 2 2 2 2 2 2 2 2 2 2 2 4 3" xfId="18035" xr:uid="{00000000-0005-0000-0000-000064430000}"/>
    <cellStyle name="Normal 2 2 2 2 2 2 2 2 2 2 2 2 4 4" xfId="18036" xr:uid="{00000000-0005-0000-0000-000065430000}"/>
    <cellStyle name="Normal 2 2 2 2 2 2 2 2 2 2 2 2 4 5" xfId="18037" xr:uid="{00000000-0005-0000-0000-000066430000}"/>
    <cellStyle name="Normal 2 2 2 2 2 2 2 2 2 2 2 2 4 5 2" xfId="18038" xr:uid="{00000000-0005-0000-0000-000067430000}"/>
    <cellStyle name="Normal 2 2 2 2 2 2 2 2 2 2 2 2 4 5 3" xfId="18039" xr:uid="{00000000-0005-0000-0000-000068430000}"/>
    <cellStyle name="Normal 2 2 2 2 2 2 2 2 2 2 2 2 4 6" xfId="18040" xr:uid="{00000000-0005-0000-0000-000069430000}"/>
    <cellStyle name="Normal 2 2 2 2 2 2 2 2 2 2 2 2 4 7" xfId="18041" xr:uid="{00000000-0005-0000-0000-00006A430000}"/>
    <cellStyle name="Normal 2 2 2 2 2 2 2 2 2 2 2 2 4 8" xfId="18042" xr:uid="{00000000-0005-0000-0000-00006B430000}"/>
    <cellStyle name="Normal 2 2 2 2 2 2 2 2 2 2 2 2 4 9" xfId="18043" xr:uid="{00000000-0005-0000-0000-00006C430000}"/>
    <cellStyle name="Normal 2 2 2 2 2 2 2 2 2 2 2 2 5" xfId="18044" xr:uid="{00000000-0005-0000-0000-00006D430000}"/>
    <cellStyle name="Normal 2 2 2 2 2 2 2 2 2 2 2 2 6" xfId="18045" xr:uid="{00000000-0005-0000-0000-00006E430000}"/>
    <cellStyle name="Normal 2 2 2 2 2 2 2 2 2 2 2 2 7" xfId="18046" xr:uid="{00000000-0005-0000-0000-00006F430000}"/>
    <cellStyle name="Normal 2 2 2 2 2 2 2 2 2 2 2 2 7 2" xfId="18047" xr:uid="{00000000-0005-0000-0000-000070430000}"/>
    <cellStyle name="Normal 2 2 2 2 2 2 2 2 2 2 2 2 7 2 2" xfId="18048" xr:uid="{00000000-0005-0000-0000-000071430000}"/>
    <cellStyle name="Normal 2 2 2 2 2 2 2 2 2 2 2 2 7 2 3" xfId="18049" xr:uid="{00000000-0005-0000-0000-000072430000}"/>
    <cellStyle name="Normal 2 2 2 2 2 2 2 2 2 2 2 2 7 3" xfId="18050" xr:uid="{00000000-0005-0000-0000-000073430000}"/>
    <cellStyle name="Normal 2 2 2 2 2 2 2 2 2 2 2 2 7 4" xfId="18051" xr:uid="{00000000-0005-0000-0000-000074430000}"/>
    <cellStyle name="Normal 2 2 2 2 2 2 2 2 2 2 2 2 7 5" xfId="18052" xr:uid="{00000000-0005-0000-0000-000075430000}"/>
    <cellStyle name="Normal 2 2 2 2 2 2 2 2 2 2 2 2 7 6" xfId="18053" xr:uid="{00000000-0005-0000-0000-000076430000}"/>
    <cellStyle name="Normal 2 2 2 2 2 2 2 2 2 2 2 2 7 7" xfId="18054" xr:uid="{00000000-0005-0000-0000-000077430000}"/>
    <cellStyle name="Normal 2 2 2 2 2 2 2 2 2 2 2 2 7 8" xfId="18055" xr:uid="{00000000-0005-0000-0000-000078430000}"/>
    <cellStyle name="Normal 2 2 2 2 2 2 2 2 2 2 2 2 7 9" xfId="18056" xr:uid="{00000000-0005-0000-0000-000079430000}"/>
    <cellStyle name="Normal 2 2 2 2 2 2 2 2 2 2 2 2 8" xfId="18057" xr:uid="{00000000-0005-0000-0000-00007A430000}"/>
    <cellStyle name="Normal 2 2 2 2 2 2 2 2 2 2 2 2 9" xfId="18058" xr:uid="{00000000-0005-0000-0000-00007B430000}"/>
    <cellStyle name="Normal 2 2 2 2 2 2 2 2 2 2 2 2 9 2" xfId="18059" xr:uid="{00000000-0005-0000-0000-00007C430000}"/>
    <cellStyle name="Normal 2 2 2 2 2 2 2 2 2 2 2 2 9 3" xfId="18060" xr:uid="{00000000-0005-0000-0000-00007D430000}"/>
    <cellStyle name="Normal 2 2 2 2 2 2 2 2 2 2 2 20" xfId="18061" xr:uid="{00000000-0005-0000-0000-00007E430000}"/>
    <cellStyle name="Normal 2 2 2 2 2 2 2 2 2 2 2 20 2" xfId="18062" xr:uid="{00000000-0005-0000-0000-00007F430000}"/>
    <cellStyle name="Normal 2 2 2 2 2 2 2 2 2 2 2 20 3" xfId="18063" xr:uid="{00000000-0005-0000-0000-000080430000}"/>
    <cellStyle name="Normal 2 2 2 2 2 2 2 2 2 2 2 20 4" xfId="18064" xr:uid="{00000000-0005-0000-0000-000081430000}"/>
    <cellStyle name="Normal 2 2 2 2 2 2 2 2 2 2 2 20 5" xfId="18065" xr:uid="{00000000-0005-0000-0000-000082430000}"/>
    <cellStyle name="Normal 2 2 2 2 2 2 2 2 2 2 2 20 6" xfId="18066" xr:uid="{00000000-0005-0000-0000-000083430000}"/>
    <cellStyle name="Normal 2 2 2 2 2 2 2 2 2 2 2 21" xfId="18067" xr:uid="{00000000-0005-0000-0000-000084430000}"/>
    <cellStyle name="Normal 2 2 2 2 2 2 2 2 2 2 2 21 2" xfId="18068" xr:uid="{00000000-0005-0000-0000-000085430000}"/>
    <cellStyle name="Normal 2 2 2 2 2 2 2 2 2 2 2 21 3" xfId="18069" xr:uid="{00000000-0005-0000-0000-000086430000}"/>
    <cellStyle name="Normal 2 2 2 2 2 2 2 2 2 2 2 21 4" xfId="18070" xr:uid="{00000000-0005-0000-0000-000087430000}"/>
    <cellStyle name="Normal 2 2 2 2 2 2 2 2 2 2 2 21 5" xfId="18071" xr:uid="{00000000-0005-0000-0000-000088430000}"/>
    <cellStyle name="Normal 2 2 2 2 2 2 2 2 2 2 2 21 6" xfId="18072" xr:uid="{00000000-0005-0000-0000-000089430000}"/>
    <cellStyle name="Normal 2 2 2 2 2 2 2 2 2 2 2 22" xfId="18073" xr:uid="{00000000-0005-0000-0000-00008A430000}"/>
    <cellStyle name="Normal 2 2 2 2 2 2 2 2 2 2 2 22 2" xfId="18074" xr:uid="{00000000-0005-0000-0000-00008B430000}"/>
    <cellStyle name="Normal 2 2 2 2 2 2 2 2 2 2 2 22 3" xfId="18075" xr:uid="{00000000-0005-0000-0000-00008C430000}"/>
    <cellStyle name="Normal 2 2 2 2 2 2 2 2 2 2 2 22 4" xfId="18076" xr:uid="{00000000-0005-0000-0000-00008D430000}"/>
    <cellStyle name="Normal 2 2 2 2 2 2 2 2 2 2 2 22 5" xfId="18077" xr:uid="{00000000-0005-0000-0000-00008E430000}"/>
    <cellStyle name="Normal 2 2 2 2 2 2 2 2 2 2 2 22 6" xfId="18078" xr:uid="{00000000-0005-0000-0000-00008F430000}"/>
    <cellStyle name="Normal 2 2 2 2 2 2 2 2 2 2 2 23" xfId="18079" xr:uid="{00000000-0005-0000-0000-000090430000}"/>
    <cellStyle name="Normal 2 2 2 2 2 2 2 2 2 2 2 23 2" xfId="18080" xr:uid="{00000000-0005-0000-0000-000091430000}"/>
    <cellStyle name="Normal 2 2 2 2 2 2 2 2 2 2 2 23 2 2" xfId="18081" xr:uid="{00000000-0005-0000-0000-000092430000}"/>
    <cellStyle name="Normal 2 2 2 2 2 2 2 2 2 2 2 23 2 3" xfId="18082" xr:uid="{00000000-0005-0000-0000-000093430000}"/>
    <cellStyle name="Normal 2 2 2 2 2 2 2 2 2 2 2 23 2 4" xfId="18083" xr:uid="{00000000-0005-0000-0000-000094430000}"/>
    <cellStyle name="Normal 2 2 2 2 2 2 2 2 2 2 2 23 2 5" xfId="18084" xr:uid="{00000000-0005-0000-0000-000095430000}"/>
    <cellStyle name="Normal 2 2 2 2 2 2 2 2 2 2 2 23 2 6" xfId="18085" xr:uid="{00000000-0005-0000-0000-000096430000}"/>
    <cellStyle name="Normal 2 2 2 2 2 2 2 2 2 2 2 24" xfId="18086" xr:uid="{00000000-0005-0000-0000-000097430000}"/>
    <cellStyle name="Normal 2 2 2 2 2 2 2 2 2 2 2 24 10" xfId="18087" xr:uid="{00000000-0005-0000-0000-000098430000}"/>
    <cellStyle name="Normal 2 2 2 2 2 2 2 2 2 2 2 24 11" xfId="18088" xr:uid="{00000000-0005-0000-0000-000099430000}"/>
    <cellStyle name="Normal 2 2 2 2 2 2 2 2 2 2 2 24 2" xfId="18089" xr:uid="{00000000-0005-0000-0000-00009A430000}"/>
    <cellStyle name="Normal 2 2 2 2 2 2 2 2 2 2 2 24 2 2" xfId="18090" xr:uid="{00000000-0005-0000-0000-00009B430000}"/>
    <cellStyle name="Normal 2 2 2 2 2 2 2 2 2 2 2 24 2 2 2" xfId="18091" xr:uid="{00000000-0005-0000-0000-00009C430000}"/>
    <cellStyle name="Normal 2 2 2 2 2 2 2 2 2 2 2 24 2 2 3" xfId="18092" xr:uid="{00000000-0005-0000-0000-00009D430000}"/>
    <cellStyle name="Normal 2 2 2 2 2 2 2 2 2 2 2 24 2 3" xfId="18093" xr:uid="{00000000-0005-0000-0000-00009E430000}"/>
    <cellStyle name="Normal 2 2 2 2 2 2 2 2 2 2 2 24 2 4" xfId="18094" xr:uid="{00000000-0005-0000-0000-00009F430000}"/>
    <cellStyle name="Normal 2 2 2 2 2 2 2 2 2 2 2 24 2 5" xfId="18095" xr:uid="{00000000-0005-0000-0000-0000A0430000}"/>
    <cellStyle name="Normal 2 2 2 2 2 2 2 2 2 2 2 24 2 6" xfId="18096" xr:uid="{00000000-0005-0000-0000-0000A1430000}"/>
    <cellStyle name="Normal 2 2 2 2 2 2 2 2 2 2 2 24 2 7" xfId="18097" xr:uid="{00000000-0005-0000-0000-0000A2430000}"/>
    <cellStyle name="Normal 2 2 2 2 2 2 2 2 2 2 2 24 2 8" xfId="18098" xr:uid="{00000000-0005-0000-0000-0000A3430000}"/>
    <cellStyle name="Normal 2 2 2 2 2 2 2 2 2 2 2 24 2 9" xfId="18099" xr:uid="{00000000-0005-0000-0000-0000A4430000}"/>
    <cellStyle name="Normal 2 2 2 2 2 2 2 2 2 2 2 24 3" xfId="18100" xr:uid="{00000000-0005-0000-0000-0000A5430000}"/>
    <cellStyle name="Normal 2 2 2 2 2 2 2 2 2 2 2 24 4" xfId="18101" xr:uid="{00000000-0005-0000-0000-0000A6430000}"/>
    <cellStyle name="Normal 2 2 2 2 2 2 2 2 2 2 2 24 5" xfId="18102" xr:uid="{00000000-0005-0000-0000-0000A7430000}"/>
    <cellStyle name="Normal 2 2 2 2 2 2 2 2 2 2 2 24 5 2" xfId="18103" xr:uid="{00000000-0005-0000-0000-0000A8430000}"/>
    <cellStyle name="Normal 2 2 2 2 2 2 2 2 2 2 2 24 5 3" xfId="18104" xr:uid="{00000000-0005-0000-0000-0000A9430000}"/>
    <cellStyle name="Normal 2 2 2 2 2 2 2 2 2 2 2 24 6" xfId="18105" xr:uid="{00000000-0005-0000-0000-0000AA430000}"/>
    <cellStyle name="Normal 2 2 2 2 2 2 2 2 2 2 2 24 7" xfId="18106" xr:uid="{00000000-0005-0000-0000-0000AB430000}"/>
    <cellStyle name="Normal 2 2 2 2 2 2 2 2 2 2 2 24 8" xfId="18107" xr:uid="{00000000-0005-0000-0000-0000AC430000}"/>
    <cellStyle name="Normal 2 2 2 2 2 2 2 2 2 2 2 24 9" xfId="18108" xr:uid="{00000000-0005-0000-0000-0000AD430000}"/>
    <cellStyle name="Normal 2 2 2 2 2 2 2 2 2 2 2 25" xfId="18109" xr:uid="{00000000-0005-0000-0000-0000AE430000}"/>
    <cellStyle name="Normal 2 2 2 2 2 2 2 2 2 2 2 26" xfId="18110" xr:uid="{00000000-0005-0000-0000-0000AF430000}"/>
    <cellStyle name="Normal 2 2 2 2 2 2 2 2 2 2 2 27" xfId="18111" xr:uid="{00000000-0005-0000-0000-0000B0430000}"/>
    <cellStyle name="Normal 2 2 2 2 2 2 2 2 2 2 2 27 2" xfId="18112" xr:uid="{00000000-0005-0000-0000-0000B1430000}"/>
    <cellStyle name="Normal 2 2 2 2 2 2 2 2 2 2 2 27 2 2" xfId="18113" xr:uid="{00000000-0005-0000-0000-0000B2430000}"/>
    <cellStyle name="Normal 2 2 2 2 2 2 2 2 2 2 2 27 2 3" xfId="18114" xr:uid="{00000000-0005-0000-0000-0000B3430000}"/>
    <cellStyle name="Normal 2 2 2 2 2 2 2 2 2 2 2 27 3" xfId="18115" xr:uid="{00000000-0005-0000-0000-0000B4430000}"/>
    <cellStyle name="Normal 2 2 2 2 2 2 2 2 2 2 2 27 4" xfId="18116" xr:uid="{00000000-0005-0000-0000-0000B5430000}"/>
    <cellStyle name="Normal 2 2 2 2 2 2 2 2 2 2 2 27 5" xfId="18117" xr:uid="{00000000-0005-0000-0000-0000B6430000}"/>
    <cellStyle name="Normal 2 2 2 2 2 2 2 2 2 2 2 27 6" xfId="18118" xr:uid="{00000000-0005-0000-0000-0000B7430000}"/>
    <cellStyle name="Normal 2 2 2 2 2 2 2 2 2 2 2 27 7" xfId="18119" xr:uid="{00000000-0005-0000-0000-0000B8430000}"/>
    <cellStyle name="Normal 2 2 2 2 2 2 2 2 2 2 2 27 8" xfId="18120" xr:uid="{00000000-0005-0000-0000-0000B9430000}"/>
    <cellStyle name="Normal 2 2 2 2 2 2 2 2 2 2 2 27 9" xfId="18121" xr:uid="{00000000-0005-0000-0000-0000BA430000}"/>
    <cellStyle name="Normal 2 2 2 2 2 2 2 2 2 2 2 28" xfId="18122" xr:uid="{00000000-0005-0000-0000-0000BB430000}"/>
    <cellStyle name="Normal 2 2 2 2 2 2 2 2 2 2 2 29" xfId="18123" xr:uid="{00000000-0005-0000-0000-0000BC430000}"/>
    <cellStyle name="Normal 2 2 2 2 2 2 2 2 2 2 2 29 2" xfId="18124" xr:uid="{00000000-0005-0000-0000-0000BD430000}"/>
    <cellStyle name="Normal 2 2 2 2 2 2 2 2 2 2 2 29 3" xfId="18125" xr:uid="{00000000-0005-0000-0000-0000BE430000}"/>
    <cellStyle name="Normal 2 2 2 2 2 2 2 2 2 2 2 3" xfId="18126" xr:uid="{00000000-0005-0000-0000-0000BF430000}"/>
    <cellStyle name="Normal 2 2 2 2 2 2 2 2 2 2 2 3 2" xfId="18127" xr:uid="{00000000-0005-0000-0000-0000C0430000}"/>
    <cellStyle name="Normal 2 2 2 2 2 2 2 2 2 2 2 3 3" xfId="18128" xr:uid="{00000000-0005-0000-0000-0000C1430000}"/>
    <cellStyle name="Normal 2 2 2 2 2 2 2 2 2 2 2 3 4" xfId="18129" xr:uid="{00000000-0005-0000-0000-0000C2430000}"/>
    <cellStyle name="Normal 2 2 2 2 2 2 2 2 2 2 2 3 5" xfId="18130" xr:uid="{00000000-0005-0000-0000-0000C3430000}"/>
    <cellStyle name="Normal 2 2 2 2 2 2 2 2 2 2 2 3 6" xfId="18131" xr:uid="{00000000-0005-0000-0000-0000C4430000}"/>
    <cellStyle name="Normal 2 2 2 2 2 2 2 2 2 2 2 30" xfId="18132" xr:uid="{00000000-0005-0000-0000-0000C5430000}"/>
    <cellStyle name="Normal 2 2 2 2 2 2 2 2 2 2 2 31" xfId="18133" xr:uid="{00000000-0005-0000-0000-0000C6430000}"/>
    <cellStyle name="Normal 2 2 2 2 2 2 2 2 2 2 2 32" xfId="18134" xr:uid="{00000000-0005-0000-0000-0000C7430000}"/>
    <cellStyle name="Normal 2 2 2 2 2 2 2 2 2 2 2 33" xfId="18135" xr:uid="{00000000-0005-0000-0000-0000C8430000}"/>
    <cellStyle name="Normal 2 2 2 2 2 2 2 2 2 2 2 34" xfId="18136" xr:uid="{00000000-0005-0000-0000-0000C9430000}"/>
    <cellStyle name="Normal 2 2 2 2 2 2 2 2 2 2 2 35" xfId="18137" xr:uid="{00000000-0005-0000-0000-0000CA430000}"/>
    <cellStyle name="Normal 2 2 2 2 2 2 2 2 2 2 2 4" xfId="18138" xr:uid="{00000000-0005-0000-0000-0000CB430000}"/>
    <cellStyle name="Normal 2 2 2 2 2 2 2 2 2 2 2 4 2" xfId="18139" xr:uid="{00000000-0005-0000-0000-0000CC430000}"/>
    <cellStyle name="Normal 2 2 2 2 2 2 2 2 2 2 2 4 3" xfId="18140" xr:uid="{00000000-0005-0000-0000-0000CD430000}"/>
    <cellStyle name="Normal 2 2 2 2 2 2 2 2 2 2 2 4 4" xfId="18141" xr:uid="{00000000-0005-0000-0000-0000CE430000}"/>
    <cellStyle name="Normal 2 2 2 2 2 2 2 2 2 2 2 4 5" xfId="18142" xr:uid="{00000000-0005-0000-0000-0000CF430000}"/>
    <cellStyle name="Normal 2 2 2 2 2 2 2 2 2 2 2 4 6" xfId="18143" xr:uid="{00000000-0005-0000-0000-0000D0430000}"/>
    <cellStyle name="Normal 2 2 2 2 2 2 2 2 2 2 2 5" xfId="18144" xr:uid="{00000000-0005-0000-0000-0000D1430000}"/>
    <cellStyle name="Normal 2 2 2 2 2 2 2 2 2 2 2 5 2" xfId="18145" xr:uid="{00000000-0005-0000-0000-0000D2430000}"/>
    <cellStyle name="Normal 2 2 2 2 2 2 2 2 2 2 2 5 3" xfId="18146" xr:uid="{00000000-0005-0000-0000-0000D3430000}"/>
    <cellStyle name="Normal 2 2 2 2 2 2 2 2 2 2 2 5 4" xfId="18147" xr:uid="{00000000-0005-0000-0000-0000D4430000}"/>
    <cellStyle name="Normal 2 2 2 2 2 2 2 2 2 2 2 5 5" xfId="18148" xr:uid="{00000000-0005-0000-0000-0000D5430000}"/>
    <cellStyle name="Normal 2 2 2 2 2 2 2 2 2 2 2 5 6" xfId="18149" xr:uid="{00000000-0005-0000-0000-0000D6430000}"/>
    <cellStyle name="Normal 2 2 2 2 2 2 2 2 2 2 2 6" xfId="18150" xr:uid="{00000000-0005-0000-0000-0000D7430000}"/>
    <cellStyle name="Normal 2 2 2 2 2 2 2 2 2 2 2 6 2" xfId="18151" xr:uid="{00000000-0005-0000-0000-0000D8430000}"/>
    <cellStyle name="Normal 2 2 2 2 2 2 2 2 2 2 2 6 3" xfId="18152" xr:uid="{00000000-0005-0000-0000-0000D9430000}"/>
    <cellStyle name="Normal 2 2 2 2 2 2 2 2 2 2 2 6 4" xfId="18153" xr:uid="{00000000-0005-0000-0000-0000DA430000}"/>
    <cellStyle name="Normal 2 2 2 2 2 2 2 2 2 2 2 6 5" xfId="18154" xr:uid="{00000000-0005-0000-0000-0000DB430000}"/>
    <cellStyle name="Normal 2 2 2 2 2 2 2 2 2 2 2 6 6" xfId="18155" xr:uid="{00000000-0005-0000-0000-0000DC430000}"/>
    <cellStyle name="Normal 2 2 2 2 2 2 2 2 2 2 2 7" xfId="18156" xr:uid="{00000000-0005-0000-0000-0000DD430000}"/>
    <cellStyle name="Normal 2 2 2 2 2 2 2 2 2 2 2 7 2" xfId="18157" xr:uid="{00000000-0005-0000-0000-0000DE430000}"/>
    <cellStyle name="Normal 2 2 2 2 2 2 2 2 2 2 2 7 3" xfId="18158" xr:uid="{00000000-0005-0000-0000-0000DF430000}"/>
    <cellStyle name="Normal 2 2 2 2 2 2 2 2 2 2 2 7 4" xfId="18159" xr:uid="{00000000-0005-0000-0000-0000E0430000}"/>
    <cellStyle name="Normal 2 2 2 2 2 2 2 2 2 2 2 7 5" xfId="18160" xr:uid="{00000000-0005-0000-0000-0000E1430000}"/>
    <cellStyle name="Normal 2 2 2 2 2 2 2 2 2 2 2 7 6" xfId="18161" xr:uid="{00000000-0005-0000-0000-0000E2430000}"/>
    <cellStyle name="Normal 2 2 2 2 2 2 2 2 2 2 2 8" xfId="18162" xr:uid="{00000000-0005-0000-0000-0000E3430000}"/>
    <cellStyle name="Normal 2 2 2 2 2 2 2 2 2 2 2 8 2" xfId="18163" xr:uid="{00000000-0005-0000-0000-0000E4430000}"/>
    <cellStyle name="Normal 2 2 2 2 2 2 2 2 2 2 2 8 3" xfId="18164" xr:uid="{00000000-0005-0000-0000-0000E5430000}"/>
    <cellStyle name="Normal 2 2 2 2 2 2 2 2 2 2 2 8 4" xfId="18165" xr:uid="{00000000-0005-0000-0000-0000E6430000}"/>
    <cellStyle name="Normal 2 2 2 2 2 2 2 2 2 2 2 8 5" xfId="18166" xr:uid="{00000000-0005-0000-0000-0000E7430000}"/>
    <cellStyle name="Normal 2 2 2 2 2 2 2 2 2 2 2 8 6" xfId="18167" xr:uid="{00000000-0005-0000-0000-0000E8430000}"/>
    <cellStyle name="Normal 2 2 2 2 2 2 2 2 2 2 2 9" xfId="18168" xr:uid="{00000000-0005-0000-0000-0000E9430000}"/>
    <cellStyle name="Normal 2 2 2 2 2 2 2 2 2 2 2 9 2" xfId="18169" xr:uid="{00000000-0005-0000-0000-0000EA430000}"/>
    <cellStyle name="Normal 2 2 2 2 2 2 2 2 2 2 2 9 3" xfId="18170" xr:uid="{00000000-0005-0000-0000-0000EB430000}"/>
    <cellStyle name="Normal 2 2 2 2 2 2 2 2 2 2 2 9 4" xfId="18171" xr:uid="{00000000-0005-0000-0000-0000EC430000}"/>
    <cellStyle name="Normal 2 2 2 2 2 2 2 2 2 2 2 9 5" xfId="18172" xr:uid="{00000000-0005-0000-0000-0000ED430000}"/>
    <cellStyle name="Normal 2 2 2 2 2 2 2 2 2 2 2 9 6" xfId="18173" xr:uid="{00000000-0005-0000-0000-0000EE430000}"/>
    <cellStyle name="Normal 2 2 2 2 2 2 2 2 2 2 20" xfId="18174" xr:uid="{00000000-0005-0000-0000-0000EF430000}"/>
    <cellStyle name="Normal 2 2 2 2 2 2 2 2 2 2 21" xfId="18175" xr:uid="{00000000-0005-0000-0000-0000F0430000}"/>
    <cellStyle name="Normal 2 2 2 2 2 2 2 2 2 2 22" xfId="18176" xr:uid="{00000000-0005-0000-0000-0000F1430000}"/>
    <cellStyle name="Normal 2 2 2 2 2 2 2 2 2 2 23" xfId="18177" xr:uid="{00000000-0005-0000-0000-0000F2430000}"/>
    <cellStyle name="Normal 2 2 2 2 2 2 2 2 2 2 24" xfId="18178" xr:uid="{00000000-0005-0000-0000-0000F3430000}"/>
    <cellStyle name="Normal 2 2 2 2 2 2 2 2 2 2 25" xfId="18179" xr:uid="{00000000-0005-0000-0000-0000F4430000}"/>
    <cellStyle name="Normal 2 2 2 2 2 2 2 2 2 2 26" xfId="18180" xr:uid="{00000000-0005-0000-0000-0000F5430000}"/>
    <cellStyle name="Normal 2 2 2 2 2 2 2 2 2 2 27" xfId="18181" xr:uid="{00000000-0005-0000-0000-0000F6430000}"/>
    <cellStyle name="Normal 2 2 2 2 2 2 2 2 2 2 27 2" xfId="18182" xr:uid="{00000000-0005-0000-0000-0000F7430000}"/>
    <cellStyle name="Normal 2 2 2 2 2 2 2 2 2 2 27 3" xfId="18183" xr:uid="{00000000-0005-0000-0000-0000F8430000}"/>
    <cellStyle name="Normal 2 2 2 2 2 2 2 2 2 2 27 4" xfId="18184" xr:uid="{00000000-0005-0000-0000-0000F9430000}"/>
    <cellStyle name="Normal 2 2 2 2 2 2 2 2 2 2 27 5" xfId="18185" xr:uid="{00000000-0005-0000-0000-0000FA430000}"/>
    <cellStyle name="Normal 2 2 2 2 2 2 2 2 2 2 27 6" xfId="18186" xr:uid="{00000000-0005-0000-0000-0000FB430000}"/>
    <cellStyle name="Normal 2 2 2 2 2 2 2 2 2 2 27 7" xfId="18187" xr:uid="{00000000-0005-0000-0000-0000FC430000}"/>
    <cellStyle name="Normal 2 2 2 2 2 2 2 2 2 2 28" xfId="18188" xr:uid="{00000000-0005-0000-0000-0000FD430000}"/>
    <cellStyle name="Normal 2 2 2 2 2 2 2 2 2 2 28 10" xfId="18189" xr:uid="{00000000-0005-0000-0000-0000FE430000}"/>
    <cellStyle name="Normal 2 2 2 2 2 2 2 2 2 2 28 11" xfId="18190" xr:uid="{00000000-0005-0000-0000-0000FF430000}"/>
    <cellStyle name="Normal 2 2 2 2 2 2 2 2 2 2 28 2" xfId="18191" xr:uid="{00000000-0005-0000-0000-000000440000}"/>
    <cellStyle name="Normal 2 2 2 2 2 2 2 2 2 2 28 2 2" xfId="18192" xr:uid="{00000000-0005-0000-0000-000001440000}"/>
    <cellStyle name="Normal 2 2 2 2 2 2 2 2 2 2 28 2 2 2" xfId="18193" xr:uid="{00000000-0005-0000-0000-000002440000}"/>
    <cellStyle name="Normal 2 2 2 2 2 2 2 2 2 2 28 2 2 3" xfId="18194" xr:uid="{00000000-0005-0000-0000-000003440000}"/>
    <cellStyle name="Normal 2 2 2 2 2 2 2 2 2 2 28 2 3" xfId="18195" xr:uid="{00000000-0005-0000-0000-000004440000}"/>
    <cellStyle name="Normal 2 2 2 2 2 2 2 2 2 2 28 2 4" xfId="18196" xr:uid="{00000000-0005-0000-0000-000005440000}"/>
    <cellStyle name="Normal 2 2 2 2 2 2 2 2 2 2 28 2 5" xfId="18197" xr:uid="{00000000-0005-0000-0000-000006440000}"/>
    <cellStyle name="Normal 2 2 2 2 2 2 2 2 2 2 28 2 6" xfId="18198" xr:uid="{00000000-0005-0000-0000-000007440000}"/>
    <cellStyle name="Normal 2 2 2 2 2 2 2 2 2 2 28 2 7" xfId="18199" xr:uid="{00000000-0005-0000-0000-000008440000}"/>
    <cellStyle name="Normal 2 2 2 2 2 2 2 2 2 2 28 2 8" xfId="18200" xr:uid="{00000000-0005-0000-0000-000009440000}"/>
    <cellStyle name="Normal 2 2 2 2 2 2 2 2 2 2 28 2 9" xfId="18201" xr:uid="{00000000-0005-0000-0000-00000A440000}"/>
    <cellStyle name="Normal 2 2 2 2 2 2 2 2 2 2 28 3" xfId="18202" xr:uid="{00000000-0005-0000-0000-00000B440000}"/>
    <cellStyle name="Normal 2 2 2 2 2 2 2 2 2 2 28 4" xfId="18203" xr:uid="{00000000-0005-0000-0000-00000C440000}"/>
    <cellStyle name="Normal 2 2 2 2 2 2 2 2 2 2 28 5" xfId="18204" xr:uid="{00000000-0005-0000-0000-00000D440000}"/>
    <cellStyle name="Normal 2 2 2 2 2 2 2 2 2 2 28 5 2" xfId="18205" xr:uid="{00000000-0005-0000-0000-00000E440000}"/>
    <cellStyle name="Normal 2 2 2 2 2 2 2 2 2 2 28 5 3" xfId="18206" xr:uid="{00000000-0005-0000-0000-00000F440000}"/>
    <cellStyle name="Normal 2 2 2 2 2 2 2 2 2 2 28 6" xfId="18207" xr:uid="{00000000-0005-0000-0000-000010440000}"/>
    <cellStyle name="Normal 2 2 2 2 2 2 2 2 2 2 28 7" xfId="18208" xr:uid="{00000000-0005-0000-0000-000011440000}"/>
    <cellStyle name="Normal 2 2 2 2 2 2 2 2 2 2 28 8" xfId="18209" xr:uid="{00000000-0005-0000-0000-000012440000}"/>
    <cellStyle name="Normal 2 2 2 2 2 2 2 2 2 2 28 9" xfId="18210" xr:uid="{00000000-0005-0000-0000-000013440000}"/>
    <cellStyle name="Normal 2 2 2 2 2 2 2 2 2 2 29" xfId="18211" xr:uid="{00000000-0005-0000-0000-000014440000}"/>
    <cellStyle name="Normal 2 2 2 2 2 2 2 2 2 2 3" xfId="18212" xr:uid="{00000000-0005-0000-0000-000015440000}"/>
    <cellStyle name="Normal 2 2 2 2 2 2 2 2 2 2 3 2" xfId="18213" xr:uid="{00000000-0005-0000-0000-000016440000}"/>
    <cellStyle name="Normal 2 2 2 2 2 2 2 2 2 2 3 3" xfId="18214" xr:uid="{00000000-0005-0000-0000-000017440000}"/>
    <cellStyle name="Normal 2 2 2 2 2 2 2 2 2 2 3 4" xfId="18215" xr:uid="{00000000-0005-0000-0000-000018440000}"/>
    <cellStyle name="Normal 2 2 2 2 2 2 2 2 2 2 3 5" xfId="18216" xr:uid="{00000000-0005-0000-0000-000019440000}"/>
    <cellStyle name="Normal 2 2 2 2 2 2 2 2 2 2 3 6" xfId="18217" xr:uid="{00000000-0005-0000-0000-00001A440000}"/>
    <cellStyle name="Normal 2 2 2 2 2 2 2 2 2 2 30" xfId="18218" xr:uid="{00000000-0005-0000-0000-00001B440000}"/>
    <cellStyle name="Normal 2 2 2 2 2 2 2 2 2 2 31" xfId="18219" xr:uid="{00000000-0005-0000-0000-00001C440000}"/>
    <cellStyle name="Normal 2 2 2 2 2 2 2 2 2 2 31 2" xfId="18220" xr:uid="{00000000-0005-0000-0000-00001D440000}"/>
    <cellStyle name="Normal 2 2 2 2 2 2 2 2 2 2 31 2 2" xfId="18221" xr:uid="{00000000-0005-0000-0000-00001E440000}"/>
    <cellStyle name="Normal 2 2 2 2 2 2 2 2 2 2 31 2 3" xfId="18222" xr:uid="{00000000-0005-0000-0000-00001F440000}"/>
    <cellStyle name="Normal 2 2 2 2 2 2 2 2 2 2 31 3" xfId="18223" xr:uid="{00000000-0005-0000-0000-000020440000}"/>
    <cellStyle name="Normal 2 2 2 2 2 2 2 2 2 2 31 4" xfId="18224" xr:uid="{00000000-0005-0000-0000-000021440000}"/>
    <cellStyle name="Normal 2 2 2 2 2 2 2 2 2 2 31 5" xfId="18225" xr:uid="{00000000-0005-0000-0000-000022440000}"/>
    <cellStyle name="Normal 2 2 2 2 2 2 2 2 2 2 31 6" xfId="18226" xr:uid="{00000000-0005-0000-0000-000023440000}"/>
    <cellStyle name="Normal 2 2 2 2 2 2 2 2 2 2 31 7" xfId="18227" xr:uid="{00000000-0005-0000-0000-000024440000}"/>
    <cellStyle name="Normal 2 2 2 2 2 2 2 2 2 2 31 8" xfId="18228" xr:uid="{00000000-0005-0000-0000-000025440000}"/>
    <cellStyle name="Normal 2 2 2 2 2 2 2 2 2 2 31 9" xfId="18229" xr:uid="{00000000-0005-0000-0000-000026440000}"/>
    <cellStyle name="Normal 2 2 2 2 2 2 2 2 2 2 32" xfId="18230" xr:uid="{00000000-0005-0000-0000-000027440000}"/>
    <cellStyle name="Normal 2 2 2 2 2 2 2 2 2 2 33" xfId="18231" xr:uid="{00000000-0005-0000-0000-000028440000}"/>
    <cellStyle name="Normal 2 2 2 2 2 2 2 2 2 2 33 2" xfId="18232" xr:uid="{00000000-0005-0000-0000-000029440000}"/>
    <cellStyle name="Normal 2 2 2 2 2 2 2 2 2 2 33 3" xfId="18233" xr:uid="{00000000-0005-0000-0000-00002A440000}"/>
    <cellStyle name="Normal 2 2 2 2 2 2 2 2 2 2 34" xfId="18234" xr:uid="{00000000-0005-0000-0000-00002B440000}"/>
    <cellStyle name="Normal 2 2 2 2 2 2 2 2 2 2 35" xfId="18235" xr:uid="{00000000-0005-0000-0000-00002C440000}"/>
    <cellStyle name="Normal 2 2 2 2 2 2 2 2 2 2 36" xfId="18236" xr:uid="{00000000-0005-0000-0000-00002D440000}"/>
    <cellStyle name="Normal 2 2 2 2 2 2 2 2 2 2 37" xfId="18237" xr:uid="{00000000-0005-0000-0000-00002E440000}"/>
    <cellStyle name="Normal 2 2 2 2 2 2 2 2 2 2 38" xfId="18238" xr:uid="{00000000-0005-0000-0000-00002F440000}"/>
    <cellStyle name="Normal 2 2 2 2 2 2 2 2 2 2 39" xfId="18239" xr:uid="{00000000-0005-0000-0000-000030440000}"/>
    <cellStyle name="Normal 2 2 2 2 2 2 2 2 2 2 4" xfId="18240" xr:uid="{00000000-0005-0000-0000-000031440000}"/>
    <cellStyle name="Normal 2 2 2 2 2 2 2 2 2 2 4 2" xfId="18241" xr:uid="{00000000-0005-0000-0000-000032440000}"/>
    <cellStyle name="Normal 2 2 2 2 2 2 2 2 2 2 4 3" xfId="18242" xr:uid="{00000000-0005-0000-0000-000033440000}"/>
    <cellStyle name="Normal 2 2 2 2 2 2 2 2 2 2 4 4" xfId="18243" xr:uid="{00000000-0005-0000-0000-000034440000}"/>
    <cellStyle name="Normal 2 2 2 2 2 2 2 2 2 2 4 5" xfId="18244" xr:uid="{00000000-0005-0000-0000-000035440000}"/>
    <cellStyle name="Normal 2 2 2 2 2 2 2 2 2 2 4 6" xfId="18245" xr:uid="{00000000-0005-0000-0000-000036440000}"/>
    <cellStyle name="Normal 2 2 2 2 2 2 2 2 2 2 5" xfId="18246" xr:uid="{00000000-0005-0000-0000-000037440000}"/>
    <cellStyle name="Normal 2 2 2 2 2 2 2 2 2 2 5 2" xfId="18247" xr:uid="{00000000-0005-0000-0000-000038440000}"/>
    <cellStyle name="Normal 2 2 2 2 2 2 2 2 2 2 5 3" xfId="18248" xr:uid="{00000000-0005-0000-0000-000039440000}"/>
    <cellStyle name="Normal 2 2 2 2 2 2 2 2 2 2 5 4" xfId="18249" xr:uid="{00000000-0005-0000-0000-00003A440000}"/>
    <cellStyle name="Normal 2 2 2 2 2 2 2 2 2 2 5 5" xfId="18250" xr:uid="{00000000-0005-0000-0000-00003B440000}"/>
    <cellStyle name="Normal 2 2 2 2 2 2 2 2 2 2 5 6" xfId="18251" xr:uid="{00000000-0005-0000-0000-00003C440000}"/>
    <cellStyle name="Normal 2 2 2 2 2 2 2 2 2 2 6" xfId="18252" xr:uid="{00000000-0005-0000-0000-00003D440000}"/>
    <cellStyle name="Normal 2 2 2 2 2 2 2 2 2 2 6 2" xfId="18253" xr:uid="{00000000-0005-0000-0000-00003E440000}"/>
    <cellStyle name="Normal 2 2 2 2 2 2 2 2 2 2 6 3" xfId="18254" xr:uid="{00000000-0005-0000-0000-00003F440000}"/>
    <cellStyle name="Normal 2 2 2 2 2 2 2 2 2 2 6 4" xfId="18255" xr:uid="{00000000-0005-0000-0000-000040440000}"/>
    <cellStyle name="Normal 2 2 2 2 2 2 2 2 2 2 6 5" xfId="18256" xr:uid="{00000000-0005-0000-0000-000041440000}"/>
    <cellStyle name="Normal 2 2 2 2 2 2 2 2 2 2 6 6" xfId="18257" xr:uid="{00000000-0005-0000-0000-000042440000}"/>
    <cellStyle name="Normal 2 2 2 2 2 2 2 2 2 2 7" xfId="18258" xr:uid="{00000000-0005-0000-0000-000043440000}"/>
    <cellStyle name="Normal 2 2 2 2 2 2 2 2 2 2 7 2" xfId="18259" xr:uid="{00000000-0005-0000-0000-000044440000}"/>
    <cellStyle name="Normal 2 2 2 2 2 2 2 2 2 2 7 2 2" xfId="18260" xr:uid="{00000000-0005-0000-0000-000045440000}"/>
    <cellStyle name="Normal 2 2 2 2 2 2 2 2 2 2 7 2 2 2" xfId="18261" xr:uid="{00000000-0005-0000-0000-000046440000}"/>
    <cellStyle name="Normal 2 2 2 2 2 2 2 2 2 2 7 2 2 3" xfId="18262" xr:uid="{00000000-0005-0000-0000-000047440000}"/>
    <cellStyle name="Normal 2 2 2 2 2 2 2 2 2 2 7 2 2 4" xfId="18263" xr:uid="{00000000-0005-0000-0000-000048440000}"/>
    <cellStyle name="Normal 2 2 2 2 2 2 2 2 2 2 7 2 2 5" xfId="18264" xr:uid="{00000000-0005-0000-0000-000049440000}"/>
    <cellStyle name="Normal 2 2 2 2 2 2 2 2 2 2 7 2 2 6" xfId="18265" xr:uid="{00000000-0005-0000-0000-00004A440000}"/>
    <cellStyle name="Normal 2 2 2 2 2 2 2 2 2 2 7 2 2 7" xfId="18266" xr:uid="{00000000-0005-0000-0000-00004B440000}"/>
    <cellStyle name="Normal 2 2 2 2 2 2 2 2 2 2 7 3" xfId="18267" xr:uid="{00000000-0005-0000-0000-00004C440000}"/>
    <cellStyle name="Normal 2 2 2 2 2 2 2 2 2 2 7 4" xfId="18268" xr:uid="{00000000-0005-0000-0000-00004D440000}"/>
    <cellStyle name="Normal 2 2 2 2 2 2 2 2 2 2 7 5" xfId="18269" xr:uid="{00000000-0005-0000-0000-00004E440000}"/>
    <cellStyle name="Normal 2 2 2 2 2 2 2 2 2 2 7 6" xfId="18270" xr:uid="{00000000-0005-0000-0000-00004F440000}"/>
    <cellStyle name="Normal 2 2 2 2 2 2 2 2 2 2 7 7" xfId="18271" xr:uid="{00000000-0005-0000-0000-000050440000}"/>
    <cellStyle name="Normal 2 2 2 2 2 2 2 2 2 2 7 8" xfId="18272" xr:uid="{00000000-0005-0000-0000-000051440000}"/>
    <cellStyle name="Normal 2 2 2 2 2 2 2 2 2 2 8" xfId="18273" xr:uid="{00000000-0005-0000-0000-000052440000}"/>
    <cellStyle name="Normal 2 2 2 2 2 2 2 2 2 2 9" xfId="18274" xr:uid="{00000000-0005-0000-0000-000053440000}"/>
    <cellStyle name="Normal 2 2 2 2 2 2 2 2 2 20" xfId="18275" xr:uid="{00000000-0005-0000-0000-000054440000}"/>
    <cellStyle name="Normal 2 2 2 2 2 2 2 2 2 21" xfId="18276" xr:uid="{00000000-0005-0000-0000-000055440000}"/>
    <cellStyle name="Normal 2 2 2 2 2 2 2 2 2 22" xfId="18277" xr:uid="{00000000-0005-0000-0000-000056440000}"/>
    <cellStyle name="Normal 2 2 2 2 2 2 2 2 2 22 2" xfId="18278" xr:uid="{00000000-0005-0000-0000-000057440000}"/>
    <cellStyle name="Normal 2 2 2 2 2 2 2 2 2 22 2 2" xfId="18279" xr:uid="{00000000-0005-0000-0000-000058440000}"/>
    <cellStyle name="Normal 2 2 2 2 2 2 2 2 2 22 2 2 2" xfId="18280" xr:uid="{00000000-0005-0000-0000-000059440000}"/>
    <cellStyle name="Normal 2 2 2 2 2 2 2 2 2 22 2 2 2 2" xfId="18281" xr:uid="{00000000-0005-0000-0000-00005A440000}"/>
    <cellStyle name="Normal 2 2 2 2 2 2 2 2 2 22 2 2 2 3" xfId="18282" xr:uid="{00000000-0005-0000-0000-00005B440000}"/>
    <cellStyle name="Normal 2 2 2 2 2 2 2 2 2 22 2 2 2 4" xfId="18283" xr:uid="{00000000-0005-0000-0000-00005C440000}"/>
    <cellStyle name="Normal 2 2 2 2 2 2 2 2 2 22 2 2 2 5" xfId="18284" xr:uid="{00000000-0005-0000-0000-00005D440000}"/>
    <cellStyle name="Normal 2 2 2 2 2 2 2 2 2 22 2 2 2 6" xfId="18285" xr:uid="{00000000-0005-0000-0000-00005E440000}"/>
    <cellStyle name="Normal 2 2 2 2 2 2 2 2 2 22 2 3" xfId="18286" xr:uid="{00000000-0005-0000-0000-00005F440000}"/>
    <cellStyle name="Normal 2 2 2 2 2 2 2 2 2 22 2 4" xfId="18287" xr:uid="{00000000-0005-0000-0000-000060440000}"/>
    <cellStyle name="Normal 2 2 2 2 2 2 2 2 2 22 2 5" xfId="18288" xr:uid="{00000000-0005-0000-0000-000061440000}"/>
    <cellStyle name="Normal 2 2 2 2 2 2 2 2 2 22 2 6" xfId="18289" xr:uid="{00000000-0005-0000-0000-000062440000}"/>
    <cellStyle name="Normal 2 2 2 2 2 2 2 2 2 22 2 7" xfId="18290" xr:uid="{00000000-0005-0000-0000-000063440000}"/>
    <cellStyle name="Normal 2 2 2 2 2 2 2 2 2 22 3" xfId="18291" xr:uid="{00000000-0005-0000-0000-000064440000}"/>
    <cellStyle name="Normal 2 2 2 2 2 2 2 2 2 22 3 2" xfId="18292" xr:uid="{00000000-0005-0000-0000-000065440000}"/>
    <cellStyle name="Normal 2 2 2 2 2 2 2 2 2 22 3 3" xfId="18293" xr:uid="{00000000-0005-0000-0000-000066440000}"/>
    <cellStyle name="Normal 2 2 2 2 2 2 2 2 2 22 3 4" xfId="18294" xr:uid="{00000000-0005-0000-0000-000067440000}"/>
    <cellStyle name="Normal 2 2 2 2 2 2 2 2 2 22 3 5" xfId="18295" xr:uid="{00000000-0005-0000-0000-000068440000}"/>
    <cellStyle name="Normal 2 2 2 2 2 2 2 2 2 22 3 6" xfId="18296" xr:uid="{00000000-0005-0000-0000-000069440000}"/>
    <cellStyle name="Normal 2 2 2 2 2 2 2 2 2 23" xfId="18297" xr:uid="{00000000-0005-0000-0000-00006A440000}"/>
    <cellStyle name="Normal 2 2 2 2 2 2 2 2 2 23 2" xfId="18298" xr:uid="{00000000-0005-0000-0000-00006B440000}"/>
    <cellStyle name="Normal 2 2 2 2 2 2 2 2 2 23 3" xfId="18299" xr:uid="{00000000-0005-0000-0000-00006C440000}"/>
    <cellStyle name="Normal 2 2 2 2 2 2 2 2 2 23 4" xfId="18300" xr:uid="{00000000-0005-0000-0000-00006D440000}"/>
    <cellStyle name="Normal 2 2 2 2 2 2 2 2 2 23 5" xfId="18301" xr:uid="{00000000-0005-0000-0000-00006E440000}"/>
    <cellStyle name="Normal 2 2 2 2 2 2 2 2 2 23 6" xfId="18302" xr:uid="{00000000-0005-0000-0000-00006F440000}"/>
    <cellStyle name="Normal 2 2 2 2 2 2 2 2 2 24" xfId="18303" xr:uid="{00000000-0005-0000-0000-000070440000}"/>
    <cellStyle name="Normal 2 2 2 2 2 2 2 2 2 24 2" xfId="18304" xr:uid="{00000000-0005-0000-0000-000071440000}"/>
    <cellStyle name="Normal 2 2 2 2 2 2 2 2 2 24 3" xfId="18305" xr:uid="{00000000-0005-0000-0000-000072440000}"/>
    <cellStyle name="Normal 2 2 2 2 2 2 2 2 2 24 4" xfId="18306" xr:uid="{00000000-0005-0000-0000-000073440000}"/>
    <cellStyle name="Normal 2 2 2 2 2 2 2 2 2 24 5" xfId="18307" xr:uid="{00000000-0005-0000-0000-000074440000}"/>
    <cellStyle name="Normal 2 2 2 2 2 2 2 2 2 24 6" xfId="18308" xr:uid="{00000000-0005-0000-0000-000075440000}"/>
    <cellStyle name="Normal 2 2 2 2 2 2 2 2 2 25" xfId="18309" xr:uid="{00000000-0005-0000-0000-000076440000}"/>
    <cellStyle name="Normal 2 2 2 2 2 2 2 2 2 25 2" xfId="18310" xr:uid="{00000000-0005-0000-0000-000077440000}"/>
    <cellStyle name="Normal 2 2 2 2 2 2 2 2 2 25 3" xfId="18311" xr:uid="{00000000-0005-0000-0000-000078440000}"/>
    <cellStyle name="Normal 2 2 2 2 2 2 2 2 2 25 4" xfId="18312" xr:uid="{00000000-0005-0000-0000-000079440000}"/>
    <cellStyle name="Normal 2 2 2 2 2 2 2 2 2 25 5" xfId="18313" xr:uid="{00000000-0005-0000-0000-00007A440000}"/>
    <cellStyle name="Normal 2 2 2 2 2 2 2 2 2 25 6" xfId="18314" xr:uid="{00000000-0005-0000-0000-00007B440000}"/>
    <cellStyle name="Normal 2 2 2 2 2 2 2 2 2 26" xfId="18315" xr:uid="{00000000-0005-0000-0000-00007C440000}"/>
    <cellStyle name="Normal 2 2 2 2 2 2 2 2 2 26 2" xfId="18316" xr:uid="{00000000-0005-0000-0000-00007D440000}"/>
    <cellStyle name="Normal 2 2 2 2 2 2 2 2 2 26 3" xfId="18317" xr:uid="{00000000-0005-0000-0000-00007E440000}"/>
    <cellStyle name="Normal 2 2 2 2 2 2 2 2 2 26 4" xfId="18318" xr:uid="{00000000-0005-0000-0000-00007F440000}"/>
    <cellStyle name="Normal 2 2 2 2 2 2 2 2 2 26 5" xfId="18319" xr:uid="{00000000-0005-0000-0000-000080440000}"/>
    <cellStyle name="Normal 2 2 2 2 2 2 2 2 2 26 6" xfId="18320" xr:uid="{00000000-0005-0000-0000-000081440000}"/>
    <cellStyle name="Normal 2 2 2 2 2 2 2 2 2 27" xfId="18321" xr:uid="{00000000-0005-0000-0000-000082440000}"/>
    <cellStyle name="Normal 2 2 2 2 2 2 2 2 2 27 2" xfId="18322" xr:uid="{00000000-0005-0000-0000-000083440000}"/>
    <cellStyle name="Normal 2 2 2 2 2 2 2 2 2 27 3" xfId="18323" xr:uid="{00000000-0005-0000-0000-000084440000}"/>
    <cellStyle name="Normal 2 2 2 2 2 2 2 2 2 27 4" xfId="18324" xr:uid="{00000000-0005-0000-0000-000085440000}"/>
    <cellStyle name="Normal 2 2 2 2 2 2 2 2 2 27 5" xfId="18325" xr:uid="{00000000-0005-0000-0000-000086440000}"/>
    <cellStyle name="Normal 2 2 2 2 2 2 2 2 2 27 6" xfId="18326" xr:uid="{00000000-0005-0000-0000-000087440000}"/>
    <cellStyle name="Normal 2 2 2 2 2 2 2 2 2 28" xfId="18327" xr:uid="{00000000-0005-0000-0000-000088440000}"/>
    <cellStyle name="Normal 2 2 2 2 2 2 2 2 2 28 2" xfId="18328" xr:uid="{00000000-0005-0000-0000-000089440000}"/>
    <cellStyle name="Normal 2 2 2 2 2 2 2 2 2 28 3" xfId="18329" xr:uid="{00000000-0005-0000-0000-00008A440000}"/>
    <cellStyle name="Normal 2 2 2 2 2 2 2 2 2 28 4" xfId="18330" xr:uid="{00000000-0005-0000-0000-00008B440000}"/>
    <cellStyle name="Normal 2 2 2 2 2 2 2 2 2 28 5" xfId="18331" xr:uid="{00000000-0005-0000-0000-00008C440000}"/>
    <cellStyle name="Normal 2 2 2 2 2 2 2 2 2 28 6" xfId="18332" xr:uid="{00000000-0005-0000-0000-00008D440000}"/>
    <cellStyle name="Normal 2 2 2 2 2 2 2 2 2 29" xfId="18333" xr:uid="{00000000-0005-0000-0000-00008E440000}"/>
    <cellStyle name="Normal 2 2 2 2 2 2 2 2 2 29 2" xfId="18334" xr:uid="{00000000-0005-0000-0000-00008F440000}"/>
    <cellStyle name="Normal 2 2 2 2 2 2 2 2 2 29 3" xfId="18335" xr:uid="{00000000-0005-0000-0000-000090440000}"/>
    <cellStyle name="Normal 2 2 2 2 2 2 2 2 2 29 4" xfId="18336" xr:uid="{00000000-0005-0000-0000-000091440000}"/>
    <cellStyle name="Normal 2 2 2 2 2 2 2 2 2 29 5" xfId="18337" xr:uid="{00000000-0005-0000-0000-000092440000}"/>
    <cellStyle name="Normal 2 2 2 2 2 2 2 2 2 29 6" xfId="18338" xr:uid="{00000000-0005-0000-0000-000093440000}"/>
    <cellStyle name="Normal 2 2 2 2 2 2 2 2 2 3" xfId="18339" xr:uid="{00000000-0005-0000-0000-000094440000}"/>
    <cellStyle name="Normal 2 2 2 2 2 2 2 2 2 3 2" xfId="18340" xr:uid="{00000000-0005-0000-0000-000095440000}"/>
    <cellStyle name="Normal 2 2 2 2 2 2 2 2 2 3 3" xfId="18341" xr:uid="{00000000-0005-0000-0000-000096440000}"/>
    <cellStyle name="Normal 2 2 2 2 2 2 2 2 2 3 4" xfId="18342" xr:uid="{00000000-0005-0000-0000-000097440000}"/>
    <cellStyle name="Normal 2 2 2 2 2 2 2 2 2 3 5" xfId="18343" xr:uid="{00000000-0005-0000-0000-000098440000}"/>
    <cellStyle name="Normal 2 2 2 2 2 2 2 2 2 3 6" xfId="18344" xr:uid="{00000000-0005-0000-0000-000099440000}"/>
    <cellStyle name="Normal 2 2 2 2 2 2 2 2 2 30" xfId="18345" xr:uid="{00000000-0005-0000-0000-00009A440000}"/>
    <cellStyle name="Normal 2 2 2 2 2 2 2 2 2 30 2" xfId="18346" xr:uid="{00000000-0005-0000-0000-00009B440000}"/>
    <cellStyle name="Normal 2 2 2 2 2 2 2 2 2 30 3" xfId="18347" xr:uid="{00000000-0005-0000-0000-00009C440000}"/>
    <cellStyle name="Normal 2 2 2 2 2 2 2 2 2 30 4" xfId="18348" xr:uid="{00000000-0005-0000-0000-00009D440000}"/>
    <cellStyle name="Normal 2 2 2 2 2 2 2 2 2 30 5" xfId="18349" xr:uid="{00000000-0005-0000-0000-00009E440000}"/>
    <cellStyle name="Normal 2 2 2 2 2 2 2 2 2 30 6" xfId="18350" xr:uid="{00000000-0005-0000-0000-00009F440000}"/>
    <cellStyle name="Normal 2 2 2 2 2 2 2 2 2 31" xfId="18351" xr:uid="{00000000-0005-0000-0000-0000A0440000}"/>
    <cellStyle name="Normal 2 2 2 2 2 2 2 2 2 31 2" xfId="18352" xr:uid="{00000000-0005-0000-0000-0000A1440000}"/>
    <cellStyle name="Normal 2 2 2 2 2 2 2 2 2 31 3" xfId="18353" xr:uid="{00000000-0005-0000-0000-0000A2440000}"/>
    <cellStyle name="Normal 2 2 2 2 2 2 2 2 2 31 4" xfId="18354" xr:uid="{00000000-0005-0000-0000-0000A3440000}"/>
    <cellStyle name="Normal 2 2 2 2 2 2 2 2 2 31 5" xfId="18355" xr:uid="{00000000-0005-0000-0000-0000A4440000}"/>
    <cellStyle name="Normal 2 2 2 2 2 2 2 2 2 31 6" xfId="18356" xr:uid="{00000000-0005-0000-0000-0000A5440000}"/>
    <cellStyle name="Normal 2 2 2 2 2 2 2 2 2 32" xfId="18357" xr:uid="{00000000-0005-0000-0000-0000A6440000}"/>
    <cellStyle name="Normal 2 2 2 2 2 2 2 2 2 32 2" xfId="18358" xr:uid="{00000000-0005-0000-0000-0000A7440000}"/>
    <cellStyle name="Normal 2 2 2 2 2 2 2 2 2 32 3" xfId="18359" xr:uid="{00000000-0005-0000-0000-0000A8440000}"/>
    <cellStyle name="Normal 2 2 2 2 2 2 2 2 2 32 4" xfId="18360" xr:uid="{00000000-0005-0000-0000-0000A9440000}"/>
    <cellStyle name="Normal 2 2 2 2 2 2 2 2 2 32 5" xfId="18361" xr:uid="{00000000-0005-0000-0000-0000AA440000}"/>
    <cellStyle name="Normal 2 2 2 2 2 2 2 2 2 32 6" xfId="18362" xr:uid="{00000000-0005-0000-0000-0000AB440000}"/>
    <cellStyle name="Normal 2 2 2 2 2 2 2 2 2 33" xfId="18363" xr:uid="{00000000-0005-0000-0000-0000AC440000}"/>
    <cellStyle name="Normal 2 2 2 2 2 2 2 2 2 33 2" xfId="18364" xr:uid="{00000000-0005-0000-0000-0000AD440000}"/>
    <cellStyle name="Normal 2 2 2 2 2 2 2 2 2 33 3" xfId="18365" xr:uid="{00000000-0005-0000-0000-0000AE440000}"/>
    <cellStyle name="Normal 2 2 2 2 2 2 2 2 2 33 4" xfId="18366" xr:uid="{00000000-0005-0000-0000-0000AF440000}"/>
    <cellStyle name="Normal 2 2 2 2 2 2 2 2 2 33 5" xfId="18367" xr:uid="{00000000-0005-0000-0000-0000B0440000}"/>
    <cellStyle name="Normal 2 2 2 2 2 2 2 2 2 33 6" xfId="18368" xr:uid="{00000000-0005-0000-0000-0000B1440000}"/>
    <cellStyle name="Normal 2 2 2 2 2 2 2 2 2 34" xfId="18369" xr:uid="{00000000-0005-0000-0000-0000B2440000}"/>
    <cellStyle name="Normal 2 2 2 2 2 2 2 2 2 34 2" xfId="18370" xr:uid="{00000000-0005-0000-0000-0000B3440000}"/>
    <cellStyle name="Normal 2 2 2 2 2 2 2 2 2 34 3" xfId="18371" xr:uid="{00000000-0005-0000-0000-0000B4440000}"/>
    <cellStyle name="Normal 2 2 2 2 2 2 2 2 2 34 4" xfId="18372" xr:uid="{00000000-0005-0000-0000-0000B5440000}"/>
    <cellStyle name="Normal 2 2 2 2 2 2 2 2 2 34 5" xfId="18373" xr:uid="{00000000-0005-0000-0000-0000B6440000}"/>
    <cellStyle name="Normal 2 2 2 2 2 2 2 2 2 34 6" xfId="18374" xr:uid="{00000000-0005-0000-0000-0000B7440000}"/>
    <cellStyle name="Normal 2 2 2 2 2 2 2 2 2 35" xfId="18375" xr:uid="{00000000-0005-0000-0000-0000B8440000}"/>
    <cellStyle name="Normal 2 2 2 2 2 2 2 2 2 35 2" xfId="18376" xr:uid="{00000000-0005-0000-0000-0000B9440000}"/>
    <cellStyle name="Normal 2 2 2 2 2 2 2 2 2 35 3" xfId="18377" xr:uid="{00000000-0005-0000-0000-0000BA440000}"/>
    <cellStyle name="Normal 2 2 2 2 2 2 2 2 2 35 4" xfId="18378" xr:uid="{00000000-0005-0000-0000-0000BB440000}"/>
    <cellStyle name="Normal 2 2 2 2 2 2 2 2 2 35 5" xfId="18379" xr:uid="{00000000-0005-0000-0000-0000BC440000}"/>
    <cellStyle name="Normal 2 2 2 2 2 2 2 2 2 35 6" xfId="18380" xr:uid="{00000000-0005-0000-0000-0000BD440000}"/>
    <cellStyle name="Normal 2 2 2 2 2 2 2 2 2 36" xfId="18381" xr:uid="{00000000-0005-0000-0000-0000BE440000}"/>
    <cellStyle name="Normal 2 2 2 2 2 2 2 2 2 36 2" xfId="18382" xr:uid="{00000000-0005-0000-0000-0000BF440000}"/>
    <cellStyle name="Normal 2 2 2 2 2 2 2 2 2 36 3" xfId="18383" xr:uid="{00000000-0005-0000-0000-0000C0440000}"/>
    <cellStyle name="Normal 2 2 2 2 2 2 2 2 2 36 4" xfId="18384" xr:uid="{00000000-0005-0000-0000-0000C1440000}"/>
    <cellStyle name="Normal 2 2 2 2 2 2 2 2 2 36 5" xfId="18385" xr:uid="{00000000-0005-0000-0000-0000C2440000}"/>
    <cellStyle name="Normal 2 2 2 2 2 2 2 2 2 36 6" xfId="18386" xr:uid="{00000000-0005-0000-0000-0000C3440000}"/>
    <cellStyle name="Normal 2 2 2 2 2 2 2 2 2 37" xfId="18387" xr:uid="{00000000-0005-0000-0000-0000C4440000}"/>
    <cellStyle name="Normal 2 2 2 2 2 2 2 2 2 37 2" xfId="18388" xr:uid="{00000000-0005-0000-0000-0000C5440000}"/>
    <cellStyle name="Normal 2 2 2 2 2 2 2 2 2 37 3" xfId="18389" xr:uid="{00000000-0005-0000-0000-0000C6440000}"/>
    <cellStyle name="Normal 2 2 2 2 2 2 2 2 2 37 4" xfId="18390" xr:uid="{00000000-0005-0000-0000-0000C7440000}"/>
    <cellStyle name="Normal 2 2 2 2 2 2 2 2 2 37 5" xfId="18391" xr:uid="{00000000-0005-0000-0000-0000C8440000}"/>
    <cellStyle name="Normal 2 2 2 2 2 2 2 2 2 37 6" xfId="18392" xr:uid="{00000000-0005-0000-0000-0000C9440000}"/>
    <cellStyle name="Normal 2 2 2 2 2 2 2 2 2 38" xfId="18393" xr:uid="{00000000-0005-0000-0000-0000CA440000}"/>
    <cellStyle name="Normal 2 2 2 2 2 2 2 2 2 38 2" xfId="18394" xr:uid="{00000000-0005-0000-0000-0000CB440000}"/>
    <cellStyle name="Normal 2 2 2 2 2 2 2 2 2 38 3" xfId="18395" xr:uid="{00000000-0005-0000-0000-0000CC440000}"/>
    <cellStyle name="Normal 2 2 2 2 2 2 2 2 2 38 4" xfId="18396" xr:uid="{00000000-0005-0000-0000-0000CD440000}"/>
    <cellStyle name="Normal 2 2 2 2 2 2 2 2 2 38 5" xfId="18397" xr:uid="{00000000-0005-0000-0000-0000CE440000}"/>
    <cellStyle name="Normal 2 2 2 2 2 2 2 2 2 38 6" xfId="18398" xr:uid="{00000000-0005-0000-0000-0000CF440000}"/>
    <cellStyle name="Normal 2 2 2 2 2 2 2 2 2 39" xfId="18399" xr:uid="{00000000-0005-0000-0000-0000D0440000}"/>
    <cellStyle name="Normal 2 2 2 2 2 2 2 2 2 39 2" xfId="18400" xr:uid="{00000000-0005-0000-0000-0000D1440000}"/>
    <cellStyle name="Normal 2 2 2 2 2 2 2 2 2 39 3" xfId="18401" xr:uid="{00000000-0005-0000-0000-0000D2440000}"/>
    <cellStyle name="Normal 2 2 2 2 2 2 2 2 2 39 4" xfId="18402" xr:uid="{00000000-0005-0000-0000-0000D3440000}"/>
    <cellStyle name="Normal 2 2 2 2 2 2 2 2 2 39 5" xfId="18403" xr:uid="{00000000-0005-0000-0000-0000D4440000}"/>
    <cellStyle name="Normal 2 2 2 2 2 2 2 2 2 39 6" xfId="18404" xr:uid="{00000000-0005-0000-0000-0000D5440000}"/>
    <cellStyle name="Normal 2 2 2 2 2 2 2 2 2 4" xfId="18405" xr:uid="{00000000-0005-0000-0000-0000D6440000}"/>
    <cellStyle name="Normal 2 2 2 2 2 2 2 2 2 4 2" xfId="18406" xr:uid="{00000000-0005-0000-0000-0000D7440000}"/>
    <cellStyle name="Normal 2 2 2 2 2 2 2 2 2 4 3" xfId="18407" xr:uid="{00000000-0005-0000-0000-0000D8440000}"/>
    <cellStyle name="Normal 2 2 2 2 2 2 2 2 2 4 4" xfId="18408" xr:uid="{00000000-0005-0000-0000-0000D9440000}"/>
    <cellStyle name="Normal 2 2 2 2 2 2 2 2 2 4 5" xfId="18409" xr:uid="{00000000-0005-0000-0000-0000DA440000}"/>
    <cellStyle name="Normal 2 2 2 2 2 2 2 2 2 4 6" xfId="18410" xr:uid="{00000000-0005-0000-0000-0000DB440000}"/>
    <cellStyle name="Normal 2 2 2 2 2 2 2 2 2 40" xfId="18411" xr:uid="{00000000-0005-0000-0000-0000DC440000}"/>
    <cellStyle name="Normal 2 2 2 2 2 2 2 2 2 40 2" xfId="18412" xr:uid="{00000000-0005-0000-0000-0000DD440000}"/>
    <cellStyle name="Normal 2 2 2 2 2 2 2 2 2 40 3" xfId="18413" xr:uid="{00000000-0005-0000-0000-0000DE440000}"/>
    <cellStyle name="Normal 2 2 2 2 2 2 2 2 2 40 4" xfId="18414" xr:uid="{00000000-0005-0000-0000-0000DF440000}"/>
    <cellStyle name="Normal 2 2 2 2 2 2 2 2 2 40 5" xfId="18415" xr:uid="{00000000-0005-0000-0000-0000E0440000}"/>
    <cellStyle name="Normal 2 2 2 2 2 2 2 2 2 40 6" xfId="18416" xr:uid="{00000000-0005-0000-0000-0000E1440000}"/>
    <cellStyle name="Normal 2 2 2 2 2 2 2 2 2 41" xfId="18417" xr:uid="{00000000-0005-0000-0000-0000E2440000}"/>
    <cellStyle name="Normal 2 2 2 2 2 2 2 2 2 41 2" xfId="18418" xr:uid="{00000000-0005-0000-0000-0000E3440000}"/>
    <cellStyle name="Normal 2 2 2 2 2 2 2 2 2 41 3" xfId="18419" xr:uid="{00000000-0005-0000-0000-0000E4440000}"/>
    <cellStyle name="Normal 2 2 2 2 2 2 2 2 2 41 4" xfId="18420" xr:uid="{00000000-0005-0000-0000-0000E5440000}"/>
    <cellStyle name="Normal 2 2 2 2 2 2 2 2 2 41 5" xfId="18421" xr:uid="{00000000-0005-0000-0000-0000E6440000}"/>
    <cellStyle name="Normal 2 2 2 2 2 2 2 2 2 41 6" xfId="18422" xr:uid="{00000000-0005-0000-0000-0000E7440000}"/>
    <cellStyle name="Normal 2 2 2 2 2 2 2 2 2 42" xfId="18423" xr:uid="{00000000-0005-0000-0000-0000E8440000}"/>
    <cellStyle name="Normal 2 2 2 2 2 2 2 2 2 42 2" xfId="18424" xr:uid="{00000000-0005-0000-0000-0000E9440000}"/>
    <cellStyle name="Normal 2 2 2 2 2 2 2 2 2 42 2 2" xfId="18425" xr:uid="{00000000-0005-0000-0000-0000EA440000}"/>
    <cellStyle name="Normal 2 2 2 2 2 2 2 2 2 42 2 3" xfId="18426" xr:uid="{00000000-0005-0000-0000-0000EB440000}"/>
    <cellStyle name="Normal 2 2 2 2 2 2 2 2 2 42 2 4" xfId="18427" xr:uid="{00000000-0005-0000-0000-0000EC440000}"/>
    <cellStyle name="Normal 2 2 2 2 2 2 2 2 2 42 2 5" xfId="18428" xr:uid="{00000000-0005-0000-0000-0000ED440000}"/>
    <cellStyle name="Normal 2 2 2 2 2 2 2 2 2 42 2 6" xfId="18429" xr:uid="{00000000-0005-0000-0000-0000EE440000}"/>
    <cellStyle name="Normal 2 2 2 2 2 2 2 2 2 43" xfId="18430" xr:uid="{00000000-0005-0000-0000-0000EF440000}"/>
    <cellStyle name="Normal 2 2 2 2 2 2 2 2 2 43 10" xfId="18431" xr:uid="{00000000-0005-0000-0000-0000F0440000}"/>
    <cellStyle name="Normal 2 2 2 2 2 2 2 2 2 43 11" xfId="18432" xr:uid="{00000000-0005-0000-0000-0000F1440000}"/>
    <cellStyle name="Normal 2 2 2 2 2 2 2 2 2 43 2" xfId="18433" xr:uid="{00000000-0005-0000-0000-0000F2440000}"/>
    <cellStyle name="Normal 2 2 2 2 2 2 2 2 2 43 2 2" xfId="18434" xr:uid="{00000000-0005-0000-0000-0000F3440000}"/>
    <cellStyle name="Normal 2 2 2 2 2 2 2 2 2 43 2 2 2" xfId="18435" xr:uid="{00000000-0005-0000-0000-0000F4440000}"/>
    <cellStyle name="Normal 2 2 2 2 2 2 2 2 2 43 2 2 3" xfId="18436" xr:uid="{00000000-0005-0000-0000-0000F5440000}"/>
    <cellStyle name="Normal 2 2 2 2 2 2 2 2 2 43 2 3" xfId="18437" xr:uid="{00000000-0005-0000-0000-0000F6440000}"/>
    <cellStyle name="Normal 2 2 2 2 2 2 2 2 2 43 2 4" xfId="18438" xr:uid="{00000000-0005-0000-0000-0000F7440000}"/>
    <cellStyle name="Normal 2 2 2 2 2 2 2 2 2 43 2 5" xfId="18439" xr:uid="{00000000-0005-0000-0000-0000F8440000}"/>
    <cellStyle name="Normal 2 2 2 2 2 2 2 2 2 43 2 6" xfId="18440" xr:uid="{00000000-0005-0000-0000-0000F9440000}"/>
    <cellStyle name="Normal 2 2 2 2 2 2 2 2 2 43 2 7" xfId="18441" xr:uid="{00000000-0005-0000-0000-0000FA440000}"/>
    <cellStyle name="Normal 2 2 2 2 2 2 2 2 2 43 2 8" xfId="18442" xr:uid="{00000000-0005-0000-0000-0000FB440000}"/>
    <cellStyle name="Normal 2 2 2 2 2 2 2 2 2 43 2 9" xfId="18443" xr:uid="{00000000-0005-0000-0000-0000FC440000}"/>
    <cellStyle name="Normal 2 2 2 2 2 2 2 2 2 43 3" xfId="18444" xr:uid="{00000000-0005-0000-0000-0000FD440000}"/>
    <cellStyle name="Normal 2 2 2 2 2 2 2 2 2 43 4" xfId="18445" xr:uid="{00000000-0005-0000-0000-0000FE440000}"/>
    <cellStyle name="Normal 2 2 2 2 2 2 2 2 2 43 5" xfId="18446" xr:uid="{00000000-0005-0000-0000-0000FF440000}"/>
    <cellStyle name="Normal 2 2 2 2 2 2 2 2 2 43 5 2" xfId="18447" xr:uid="{00000000-0005-0000-0000-000000450000}"/>
    <cellStyle name="Normal 2 2 2 2 2 2 2 2 2 43 5 3" xfId="18448" xr:uid="{00000000-0005-0000-0000-000001450000}"/>
    <cellStyle name="Normal 2 2 2 2 2 2 2 2 2 43 6" xfId="18449" xr:uid="{00000000-0005-0000-0000-000002450000}"/>
    <cellStyle name="Normal 2 2 2 2 2 2 2 2 2 43 7" xfId="18450" xr:uid="{00000000-0005-0000-0000-000003450000}"/>
    <cellStyle name="Normal 2 2 2 2 2 2 2 2 2 43 8" xfId="18451" xr:uid="{00000000-0005-0000-0000-000004450000}"/>
    <cellStyle name="Normal 2 2 2 2 2 2 2 2 2 43 9" xfId="18452" xr:uid="{00000000-0005-0000-0000-000005450000}"/>
    <cellStyle name="Normal 2 2 2 2 2 2 2 2 2 44" xfId="18453" xr:uid="{00000000-0005-0000-0000-000006450000}"/>
    <cellStyle name="Normal 2 2 2 2 2 2 2 2 2 45" xfId="18454" xr:uid="{00000000-0005-0000-0000-000007450000}"/>
    <cellStyle name="Normal 2 2 2 2 2 2 2 2 2 46" xfId="18455" xr:uid="{00000000-0005-0000-0000-000008450000}"/>
    <cellStyle name="Normal 2 2 2 2 2 2 2 2 2 46 2" xfId="18456" xr:uid="{00000000-0005-0000-0000-000009450000}"/>
    <cellStyle name="Normal 2 2 2 2 2 2 2 2 2 46 2 2" xfId="18457" xr:uid="{00000000-0005-0000-0000-00000A450000}"/>
    <cellStyle name="Normal 2 2 2 2 2 2 2 2 2 46 2 3" xfId="18458" xr:uid="{00000000-0005-0000-0000-00000B450000}"/>
    <cellStyle name="Normal 2 2 2 2 2 2 2 2 2 46 3" xfId="18459" xr:uid="{00000000-0005-0000-0000-00000C450000}"/>
    <cellStyle name="Normal 2 2 2 2 2 2 2 2 2 46 4" xfId="18460" xr:uid="{00000000-0005-0000-0000-00000D450000}"/>
    <cellStyle name="Normal 2 2 2 2 2 2 2 2 2 46 5" xfId="18461" xr:uid="{00000000-0005-0000-0000-00000E450000}"/>
    <cellStyle name="Normal 2 2 2 2 2 2 2 2 2 46 6" xfId="18462" xr:uid="{00000000-0005-0000-0000-00000F450000}"/>
    <cellStyle name="Normal 2 2 2 2 2 2 2 2 2 46 7" xfId="18463" xr:uid="{00000000-0005-0000-0000-000010450000}"/>
    <cellStyle name="Normal 2 2 2 2 2 2 2 2 2 46 8" xfId="18464" xr:uid="{00000000-0005-0000-0000-000011450000}"/>
    <cellStyle name="Normal 2 2 2 2 2 2 2 2 2 46 9" xfId="18465" xr:uid="{00000000-0005-0000-0000-000012450000}"/>
    <cellStyle name="Normal 2 2 2 2 2 2 2 2 2 47" xfId="18466" xr:uid="{00000000-0005-0000-0000-000013450000}"/>
    <cellStyle name="Normal 2 2 2 2 2 2 2 2 2 48" xfId="18467" xr:uid="{00000000-0005-0000-0000-000014450000}"/>
    <cellStyle name="Normal 2 2 2 2 2 2 2 2 2 48 2" xfId="18468" xr:uid="{00000000-0005-0000-0000-000015450000}"/>
    <cellStyle name="Normal 2 2 2 2 2 2 2 2 2 48 3" xfId="18469" xr:uid="{00000000-0005-0000-0000-000016450000}"/>
    <cellStyle name="Normal 2 2 2 2 2 2 2 2 2 49" xfId="18470" xr:uid="{00000000-0005-0000-0000-000017450000}"/>
    <cellStyle name="Normal 2 2 2 2 2 2 2 2 2 5" xfId="18471" xr:uid="{00000000-0005-0000-0000-000018450000}"/>
    <cellStyle name="Normal 2 2 2 2 2 2 2 2 2 5 2" xfId="18472" xr:uid="{00000000-0005-0000-0000-000019450000}"/>
    <cellStyle name="Normal 2 2 2 2 2 2 2 2 2 5 3" xfId="18473" xr:uid="{00000000-0005-0000-0000-00001A450000}"/>
    <cellStyle name="Normal 2 2 2 2 2 2 2 2 2 5 4" xfId="18474" xr:uid="{00000000-0005-0000-0000-00001B450000}"/>
    <cellStyle name="Normal 2 2 2 2 2 2 2 2 2 5 5" xfId="18475" xr:uid="{00000000-0005-0000-0000-00001C450000}"/>
    <cellStyle name="Normal 2 2 2 2 2 2 2 2 2 5 6" xfId="18476" xr:uid="{00000000-0005-0000-0000-00001D450000}"/>
    <cellStyle name="Normal 2 2 2 2 2 2 2 2 2 50" xfId="18477" xr:uid="{00000000-0005-0000-0000-00001E450000}"/>
    <cellStyle name="Normal 2 2 2 2 2 2 2 2 2 51" xfId="18478" xr:uid="{00000000-0005-0000-0000-00001F450000}"/>
    <cellStyle name="Normal 2 2 2 2 2 2 2 2 2 52" xfId="18479" xr:uid="{00000000-0005-0000-0000-000020450000}"/>
    <cellStyle name="Normal 2 2 2 2 2 2 2 2 2 53" xfId="18480" xr:uid="{00000000-0005-0000-0000-000021450000}"/>
    <cellStyle name="Normal 2 2 2 2 2 2 2 2 2 54" xfId="18481" xr:uid="{00000000-0005-0000-0000-000022450000}"/>
    <cellStyle name="Normal 2 2 2 2 2 2 2 2 2 6" xfId="18482" xr:uid="{00000000-0005-0000-0000-000023450000}"/>
    <cellStyle name="Normal 2 2 2 2 2 2 2 2 2 6 2" xfId="18483" xr:uid="{00000000-0005-0000-0000-000024450000}"/>
    <cellStyle name="Normal 2 2 2 2 2 2 2 2 2 6 3" xfId="18484" xr:uid="{00000000-0005-0000-0000-000025450000}"/>
    <cellStyle name="Normal 2 2 2 2 2 2 2 2 2 6 4" xfId="18485" xr:uid="{00000000-0005-0000-0000-000026450000}"/>
    <cellStyle name="Normal 2 2 2 2 2 2 2 2 2 6 5" xfId="18486" xr:uid="{00000000-0005-0000-0000-000027450000}"/>
    <cellStyle name="Normal 2 2 2 2 2 2 2 2 2 6 6" xfId="18487" xr:uid="{00000000-0005-0000-0000-000028450000}"/>
    <cellStyle name="Normal 2 2 2 2 2 2 2 2 2 7" xfId="18488" xr:uid="{00000000-0005-0000-0000-000029450000}"/>
    <cellStyle name="Normal 2 2 2 2 2 2 2 2 2 7 2" xfId="18489" xr:uid="{00000000-0005-0000-0000-00002A450000}"/>
    <cellStyle name="Normal 2 2 2 2 2 2 2 2 2 7 3" xfId="18490" xr:uid="{00000000-0005-0000-0000-00002B450000}"/>
    <cellStyle name="Normal 2 2 2 2 2 2 2 2 2 7 4" xfId="18491" xr:uid="{00000000-0005-0000-0000-00002C450000}"/>
    <cellStyle name="Normal 2 2 2 2 2 2 2 2 2 7 5" xfId="18492" xr:uid="{00000000-0005-0000-0000-00002D450000}"/>
    <cellStyle name="Normal 2 2 2 2 2 2 2 2 2 7 6" xfId="18493" xr:uid="{00000000-0005-0000-0000-00002E450000}"/>
    <cellStyle name="Normal 2 2 2 2 2 2 2 2 2 8" xfId="18494" xr:uid="{00000000-0005-0000-0000-00002F450000}"/>
    <cellStyle name="Normal 2 2 2 2 2 2 2 2 2 8 2" xfId="18495" xr:uid="{00000000-0005-0000-0000-000030450000}"/>
    <cellStyle name="Normal 2 2 2 2 2 2 2 2 2 8 3" xfId="18496" xr:uid="{00000000-0005-0000-0000-000031450000}"/>
    <cellStyle name="Normal 2 2 2 2 2 2 2 2 2 8 4" xfId="18497" xr:uid="{00000000-0005-0000-0000-000032450000}"/>
    <cellStyle name="Normal 2 2 2 2 2 2 2 2 2 8 5" xfId="18498" xr:uid="{00000000-0005-0000-0000-000033450000}"/>
    <cellStyle name="Normal 2 2 2 2 2 2 2 2 2 8 6" xfId="18499" xr:uid="{00000000-0005-0000-0000-000034450000}"/>
    <cellStyle name="Normal 2 2 2 2 2 2 2 2 2 9" xfId="18500" xr:uid="{00000000-0005-0000-0000-000035450000}"/>
    <cellStyle name="Normal 2 2 2 2 2 2 2 2 2 9 2" xfId="18501" xr:uid="{00000000-0005-0000-0000-000036450000}"/>
    <cellStyle name="Normal 2 2 2 2 2 2 2 2 2 9 3" xfId="18502" xr:uid="{00000000-0005-0000-0000-000037450000}"/>
    <cellStyle name="Normal 2 2 2 2 2 2 2 2 2 9 4" xfId="18503" xr:uid="{00000000-0005-0000-0000-000038450000}"/>
    <cellStyle name="Normal 2 2 2 2 2 2 2 2 2 9 5" xfId="18504" xr:uid="{00000000-0005-0000-0000-000039450000}"/>
    <cellStyle name="Normal 2 2 2 2 2 2 2 2 2 9 6" xfId="18505" xr:uid="{00000000-0005-0000-0000-00003A450000}"/>
    <cellStyle name="Normal 2 2 2 2 2 2 2 2 20" xfId="18506" xr:uid="{00000000-0005-0000-0000-00003B450000}"/>
    <cellStyle name="Normal 2 2 2 2 2 2 2 2 21" xfId="18507" xr:uid="{00000000-0005-0000-0000-00003C450000}"/>
    <cellStyle name="Normal 2 2 2 2 2 2 2 2 22" xfId="18508" xr:uid="{00000000-0005-0000-0000-00003D450000}"/>
    <cellStyle name="Normal 2 2 2 2 2 2 2 2 23" xfId="18509" xr:uid="{00000000-0005-0000-0000-00003E450000}"/>
    <cellStyle name="Normal 2 2 2 2 2 2 2 2 24" xfId="18510" xr:uid="{00000000-0005-0000-0000-00003F450000}"/>
    <cellStyle name="Normal 2 2 2 2 2 2 2 2 25" xfId="18511" xr:uid="{00000000-0005-0000-0000-000040450000}"/>
    <cellStyle name="Normal 2 2 2 2 2 2 2 2 26" xfId="18512" xr:uid="{00000000-0005-0000-0000-000041450000}"/>
    <cellStyle name="Normal 2 2 2 2 2 2 2 2 27" xfId="18513" xr:uid="{00000000-0005-0000-0000-000042450000}"/>
    <cellStyle name="Normal 2 2 2 2 2 2 2 2 27 2" xfId="18514" xr:uid="{00000000-0005-0000-0000-000043450000}"/>
    <cellStyle name="Normal 2 2 2 2 2 2 2 2 27 3" xfId="18515" xr:uid="{00000000-0005-0000-0000-000044450000}"/>
    <cellStyle name="Normal 2 2 2 2 2 2 2 2 27 4" xfId="18516" xr:uid="{00000000-0005-0000-0000-000045450000}"/>
    <cellStyle name="Normal 2 2 2 2 2 2 2 2 27 5" xfId="18517" xr:uid="{00000000-0005-0000-0000-000046450000}"/>
    <cellStyle name="Normal 2 2 2 2 2 2 2 2 27 6" xfId="18518" xr:uid="{00000000-0005-0000-0000-000047450000}"/>
    <cellStyle name="Normal 2 2 2 2 2 2 2 2 28" xfId="18519" xr:uid="{00000000-0005-0000-0000-000048450000}"/>
    <cellStyle name="Normal 2 2 2 2 2 2 2 2 28 2" xfId="18520" xr:uid="{00000000-0005-0000-0000-000049450000}"/>
    <cellStyle name="Normal 2 2 2 2 2 2 2 2 28 3" xfId="18521" xr:uid="{00000000-0005-0000-0000-00004A450000}"/>
    <cellStyle name="Normal 2 2 2 2 2 2 2 2 28 4" xfId="18522" xr:uid="{00000000-0005-0000-0000-00004B450000}"/>
    <cellStyle name="Normal 2 2 2 2 2 2 2 2 28 5" xfId="18523" xr:uid="{00000000-0005-0000-0000-00004C450000}"/>
    <cellStyle name="Normal 2 2 2 2 2 2 2 2 28 6" xfId="18524" xr:uid="{00000000-0005-0000-0000-00004D450000}"/>
    <cellStyle name="Normal 2 2 2 2 2 2 2 2 29" xfId="18525" xr:uid="{00000000-0005-0000-0000-00004E450000}"/>
    <cellStyle name="Normal 2 2 2 2 2 2 2 2 29 2" xfId="18526" xr:uid="{00000000-0005-0000-0000-00004F450000}"/>
    <cellStyle name="Normal 2 2 2 2 2 2 2 2 29 3" xfId="18527" xr:uid="{00000000-0005-0000-0000-000050450000}"/>
    <cellStyle name="Normal 2 2 2 2 2 2 2 2 29 4" xfId="18528" xr:uid="{00000000-0005-0000-0000-000051450000}"/>
    <cellStyle name="Normal 2 2 2 2 2 2 2 2 29 5" xfId="18529" xr:uid="{00000000-0005-0000-0000-000052450000}"/>
    <cellStyle name="Normal 2 2 2 2 2 2 2 2 29 6" xfId="18530" xr:uid="{00000000-0005-0000-0000-000053450000}"/>
    <cellStyle name="Normal 2 2 2 2 2 2 2 2 3" xfId="18531" xr:uid="{00000000-0005-0000-0000-000054450000}"/>
    <cellStyle name="Normal 2 2 2 2 2 2 2 2 3 10" xfId="18532" xr:uid="{00000000-0005-0000-0000-000055450000}"/>
    <cellStyle name="Normal 2 2 2 2 2 2 2 2 3 11" xfId="18533" xr:uid="{00000000-0005-0000-0000-000056450000}"/>
    <cellStyle name="Normal 2 2 2 2 2 2 2 2 3 12" xfId="18534" xr:uid="{00000000-0005-0000-0000-000057450000}"/>
    <cellStyle name="Normal 2 2 2 2 2 2 2 2 3 13" xfId="18535" xr:uid="{00000000-0005-0000-0000-000058450000}"/>
    <cellStyle name="Normal 2 2 2 2 2 2 2 2 3 2" xfId="18536" xr:uid="{00000000-0005-0000-0000-000059450000}"/>
    <cellStyle name="Normal 2 2 2 2 2 2 2 2 3 2 2" xfId="18537" xr:uid="{00000000-0005-0000-0000-00005A450000}"/>
    <cellStyle name="Normal 2 2 2 2 2 2 2 2 3 2 3" xfId="18538" xr:uid="{00000000-0005-0000-0000-00005B450000}"/>
    <cellStyle name="Normal 2 2 2 2 2 2 2 2 3 2 4" xfId="18539" xr:uid="{00000000-0005-0000-0000-00005C450000}"/>
    <cellStyle name="Normal 2 2 2 2 2 2 2 2 3 2 5" xfId="18540" xr:uid="{00000000-0005-0000-0000-00005D450000}"/>
    <cellStyle name="Normal 2 2 2 2 2 2 2 2 3 2 6" xfId="18541" xr:uid="{00000000-0005-0000-0000-00005E450000}"/>
    <cellStyle name="Normal 2 2 2 2 2 2 2 2 3 3" xfId="18542" xr:uid="{00000000-0005-0000-0000-00005F450000}"/>
    <cellStyle name="Normal 2 2 2 2 2 2 2 2 3 3 2" xfId="18543" xr:uid="{00000000-0005-0000-0000-000060450000}"/>
    <cellStyle name="Normal 2 2 2 2 2 2 2 2 3 3 3" xfId="18544" xr:uid="{00000000-0005-0000-0000-000061450000}"/>
    <cellStyle name="Normal 2 2 2 2 2 2 2 2 3 3 4" xfId="18545" xr:uid="{00000000-0005-0000-0000-000062450000}"/>
    <cellStyle name="Normal 2 2 2 2 2 2 2 2 3 3 5" xfId="18546" xr:uid="{00000000-0005-0000-0000-000063450000}"/>
    <cellStyle name="Normal 2 2 2 2 2 2 2 2 3 3 6" xfId="18547" xr:uid="{00000000-0005-0000-0000-000064450000}"/>
    <cellStyle name="Normal 2 2 2 2 2 2 2 2 3 4" xfId="18548" xr:uid="{00000000-0005-0000-0000-000065450000}"/>
    <cellStyle name="Normal 2 2 2 2 2 2 2 2 3 4 2" xfId="18549" xr:uid="{00000000-0005-0000-0000-000066450000}"/>
    <cellStyle name="Normal 2 2 2 2 2 2 2 2 3 4 3" xfId="18550" xr:uid="{00000000-0005-0000-0000-000067450000}"/>
    <cellStyle name="Normal 2 2 2 2 2 2 2 2 3 4 4" xfId="18551" xr:uid="{00000000-0005-0000-0000-000068450000}"/>
    <cellStyle name="Normal 2 2 2 2 2 2 2 2 3 4 5" xfId="18552" xr:uid="{00000000-0005-0000-0000-000069450000}"/>
    <cellStyle name="Normal 2 2 2 2 2 2 2 2 3 4 6" xfId="18553" xr:uid="{00000000-0005-0000-0000-00006A450000}"/>
    <cellStyle name="Normal 2 2 2 2 2 2 2 2 3 5" xfId="18554" xr:uid="{00000000-0005-0000-0000-00006B450000}"/>
    <cellStyle name="Normal 2 2 2 2 2 2 2 2 3 5 2" xfId="18555" xr:uid="{00000000-0005-0000-0000-00006C450000}"/>
    <cellStyle name="Normal 2 2 2 2 2 2 2 2 3 5 3" xfId="18556" xr:uid="{00000000-0005-0000-0000-00006D450000}"/>
    <cellStyle name="Normal 2 2 2 2 2 2 2 2 3 5 4" xfId="18557" xr:uid="{00000000-0005-0000-0000-00006E450000}"/>
    <cellStyle name="Normal 2 2 2 2 2 2 2 2 3 5 5" xfId="18558" xr:uid="{00000000-0005-0000-0000-00006F450000}"/>
    <cellStyle name="Normal 2 2 2 2 2 2 2 2 3 5 6" xfId="18559" xr:uid="{00000000-0005-0000-0000-000070450000}"/>
    <cellStyle name="Normal 2 2 2 2 2 2 2 2 3 6" xfId="18560" xr:uid="{00000000-0005-0000-0000-000071450000}"/>
    <cellStyle name="Normal 2 2 2 2 2 2 2 2 3 6 2" xfId="18561" xr:uid="{00000000-0005-0000-0000-000072450000}"/>
    <cellStyle name="Normal 2 2 2 2 2 2 2 2 3 6 3" xfId="18562" xr:uid="{00000000-0005-0000-0000-000073450000}"/>
    <cellStyle name="Normal 2 2 2 2 2 2 2 2 3 6 4" xfId="18563" xr:uid="{00000000-0005-0000-0000-000074450000}"/>
    <cellStyle name="Normal 2 2 2 2 2 2 2 2 3 6 5" xfId="18564" xr:uid="{00000000-0005-0000-0000-000075450000}"/>
    <cellStyle name="Normal 2 2 2 2 2 2 2 2 3 6 6" xfId="18565" xr:uid="{00000000-0005-0000-0000-000076450000}"/>
    <cellStyle name="Normal 2 2 2 2 2 2 2 2 3 7" xfId="18566" xr:uid="{00000000-0005-0000-0000-000077450000}"/>
    <cellStyle name="Normal 2 2 2 2 2 2 2 2 3 7 2" xfId="18567" xr:uid="{00000000-0005-0000-0000-000078450000}"/>
    <cellStyle name="Normal 2 2 2 2 2 2 2 2 3 7 3" xfId="18568" xr:uid="{00000000-0005-0000-0000-000079450000}"/>
    <cellStyle name="Normal 2 2 2 2 2 2 2 2 3 7 4" xfId="18569" xr:uid="{00000000-0005-0000-0000-00007A450000}"/>
    <cellStyle name="Normal 2 2 2 2 2 2 2 2 3 7 5" xfId="18570" xr:uid="{00000000-0005-0000-0000-00007B450000}"/>
    <cellStyle name="Normal 2 2 2 2 2 2 2 2 3 7 6" xfId="18571" xr:uid="{00000000-0005-0000-0000-00007C450000}"/>
    <cellStyle name="Normal 2 2 2 2 2 2 2 2 3 8" xfId="18572" xr:uid="{00000000-0005-0000-0000-00007D450000}"/>
    <cellStyle name="Normal 2 2 2 2 2 2 2 2 3 8 2" xfId="18573" xr:uid="{00000000-0005-0000-0000-00007E450000}"/>
    <cellStyle name="Normal 2 2 2 2 2 2 2 2 3 8 3" xfId="18574" xr:uid="{00000000-0005-0000-0000-00007F450000}"/>
    <cellStyle name="Normal 2 2 2 2 2 2 2 2 3 8 4" xfId="18575" xr:uid="{00000000-0005-0000-0000-000080450000}"/>
    <cellStyle name="Normal 2 2 2 2 2 2 2 2 3 8 5" xfId="18576" xr:uid="{00000000-0005-0000-0000-000081450000}"/>
    <cellStyle name="Normal 2 2 2 2 2 2 2 2 3 8 6" xfId="18577" xr:uid="{00000000-0005-0000-0000-000082450000}"/>
    <cellStyle name="Normal 2 2 2 2 2 2 2 2 3 9" xfId="18578" xr:uid="{00000000-0005-0000-0000-000083450000}"/>
    <cellStyle name="Normal 2 2 2 2 2 2 2 2 30" xfId="18579" xr:uid="{00000000-0005-0000-0000-000084450000}"/>
    <cellStyle name="Normal 2 2 2 2 2 2 2 2 30 2" xfId="18580" xr:uid="{00000000-0005-0000-0000-000085450000}"/>
    <cellStyle name="Normal 2 2 2 2 2 2 2 2 30 3" xfId="18581" xr:uid="{00000000-0005-0000-0000-000086450000}"/>
    <cellStyle name="Normal 2 2 2 2 2 2 2 2 30 4" xfId="18582" xr:uid="{00000000-0005-0000-0000-000087450000}"/>
    <cellStyle name="Normal 2 2 2 2 2 2 2 2 30 5" xfId="18583" xr:uid="{00000000-0005-0000-0000-000088450000}"/>
    <cellStyle name="Normal 2 2 2 2 2 2 2 2 30 6" xfId="18584" xr:uid="{00000000-0005-0000-0000-000089450000}"/>
    <cellStyle name="Normal 2 2 2 2 2 2 2 2 31" xfId="18585" xr:uid="{00000000-0005-0000-0000-00008A450000}"/>
    <cellStyle name="Normal 2 2 2 2 2 2 2 2 31 2" xfId="18586" xr:uid="{00000000-0005-0000-0000-00008B450000}"/>
    <cellStyle name="Normal 2 2 2 2 2 2 2 2 31 2 2" xfId="18587" xr:uid="{00000000-0005-0000-0000-00008C450000}"/>
    <cellStyle name="Normal 2 2 2 2 2 2 2 2 31 2 2 2" xfId="18588" xr:uid="{00000000-0005-0000-0000-00008D450000}"/>
    <cellStyle name="Normal 2 2 2 2 2 2 2 2 31 2 2 3" xfId="18589" xr:uid="{00000000-0005-0000-0000-00008E450000}"/>
    <cellStyle name="Normal 2 2 2 2 2 2 2 2 31 2 2 4" xfId="18590" xr:uid="{00000000-0005-0000-0000-00008F450000}"/>
    <cellStyle name="Normal 2 2 2 2 2 2 2 2 31 2 2 5" xfId="18591" xr:uid="{00000000-0005-0000-0000-000090450000}"/>
    <cellStyle name="Normal 2 2 2 2 2 2 2 2 31 2 2 6" xfId="18592" xr:uid="{00000000-0005-0000-0000-000091450000}"/>
    <cellStyle name="Normal 2 2 2 2 2 2 2 2 31 2 2 7" xfId="18593" xr:uid="{00000000-0005-0000-0000-000092450000}"/>
    <cellStyle name="Normal 2 2 2 2 2 2 2 2 31 3" xfId="18594" xr:uid="{00000000-0005-0000-0000-000093450000}"/>
    <cellStyle name="Normal 2 2 2 2 2 2 2 2 31 4" xfId="18595" xr:uid="{00000000-0005-0000-0000-000094450000}"/>
    <cellStyle name="Normal 2 2 2 2 2 2 2 2 31 5" xfId="18596" xr:uid="{00000000-0005-0000-0000-000095450000}"/>
    <cellStyle name="Normal 2 2 2 2 2 2 2 2 31 6" xfId="18597" xr:uid="{00000000-0005-0000-0000-000096450000}"/>
    <cellStyle name="Normal 2 2 2 2 2 2 2 2 31 7" xfId="18598" xr:uid="{00000000-0005-0000-0000-000097450000}"/>
    <cellStyle name="Normal 2 2 2 2 2 2 2 2 31 8" xfId="18599" xr:uid="{00000000-0005-0000-0000-000098450000}"/>
    <cellStyle name="Normal 2 2 2 2 2 2 2 2 32" xfId="18600" xr:uid="{00000000-0005-0000-0000-000099450000}"/>
    <cellStyle name="Normal 2 2 2 2 2 2 2 2 33" xfId="18601" xr:uid="{00000000-0005-0000-0000-00009A450000}"/>
    <cellStyle name="Normal 2 2 2 2 2 2 2 2 34" xfId="18602" xr:uid="{00000000-0005-0000-0000-00009B450000}"/>
    <cellStyle name="Normal 2 2 2 2 2 2 2 2 35" xfId="18603" xr:uid="{00000000-0005-0000-0000-00009C450000}"/>
    <cellStyle name="Normal 2 2 2 2 2 2 2 2 36" xfId="18604" xr:uid="{00000000-0005-0000-0000-00009D450000}"/>
    <cellStyle name="Normal 2 2 2 2 2 2 2 2 37" xfId="18605" xr:uid="{00000000-0005-0000-0000-00009E450000}"/>
    <cellStyle name="Normal 2 2 2 2 2 2 2 2 38" xfId="18606" xr:uid="{00000000-0005-0000-0000-00009F450000}"/>
    <cellStyle name="Normal 2 2 2 2 2 2 2 2 39" xfId="18607" xr:uid="{00000000-0005-0000-0000-0000A0450000}"/>
    <cellStyle name="Normal 2 2 2 2 2 2 2 2 4" xfId="18608" xr:uid="{00000000-0005-0000-0000-0000A1450000}"/>
    <cellStyle name="Normal 2 2 2 2 2 2 2 2 4 10" xfId="18609" xr:uid="{00000000-0005-0000-0000-0000A2450000}"/>
    <cellStyle name="Normal 2 2 2 2 2 2 2 2 4 11" xfId="18610" xr:uid="{00000000-0005-0000-0000-0000A3450000}"/>
    <cellStyle name="Normal 2 2 2 2 2 2 2 2 4 12" xfId="18611" xr:uid="{00000000-0005-0000-0000-0000A4450000}"/>
    <cellStyle name="Normal 2 2 2 2 2 2 2 2 4 13" xfId="18612" xr:uid="{00000000-0005-0000-0000-0000A5450000}"/>
    <cellStyle name="Normal 2 2 2 2 2 2 2 2 4 2" xfId="18613" xr:uid="{00000000-0005-0000-0000-0000A6450000}"/>
    <cellStyle name="Normal 2 2 2 2 2 2 2 2 4 2 2" xfId="18614" xr:uid="{00000000-0005-0000-0000-0000A7450000}"/>
    <cellStyle name="Normal 2 2 2 2 2 2 2 2 4 2 3" xfId="18615" xr:uid="{00000000-0005-0000-0000-0000A8450000}"/>
    <cellStyle name="Normal 2 2 2 2 2 2 2 2 4 2 4" xfId="18616" xr:uid="{00000000-0005-0000-0000-0000A9450000}"/>
    <cellStyle name="Normal 2 2 2 2 2 2 2 2 4 2 5" xfId="18617" xr:uid="{00000000-0005-0000-0000-0000AA450000}"/>
    <cellStyle name="Normal 2 2 2 2 2 2 2 2 4 2 6" xfId="18618" xr:uid="{00000000-0005-0000-0000-0000AB450000}"/>
    <cellStyle name="Normal 2 2 2 2 2 2 2 2 4 3" xfId="18619" xr:uid="{00000000-0005-0000-0000-0000AC450000}"/>
    <cellStyle name="Normal 2 2 2 2 2 2 2 2 4 3 2" xfId="18620" xr:uid="{00000000-0005-0000-0000-0000AD450000}"/>
    <cellStyle name="Normal 2 2 2 2 2 2 2 2 4 3 3" xfId="18621" xr:uid="{00000000-0005-0000-0000-0000AE450000}"/>
    <cellStyle name="Normal 2 2 2 2 2 2 2 2 4 3 4" xfId="18622" xr:uid="{00000000-0005-0000-0000-0000AF450000}"/>
    <cellStyle name="Normal 2 2 2 2 2 2 2 2 4 3 5" xfId="18623" xr:uid="{00000000-0005-0000-0000-0000B0450000}"/>
    <cellStyle name="Normal 2 2 2 2 2 2 2 2 4 3 6" xfId="18624" xr:uid="{00000000-0005-0000-0000-0000B1450000}"/>
    <cellStyle name="Normal 2 2 2 2 2 2 2 2 4 4" xfId="18625" xr:uid="{00000000-0005-0000-0000-0000B2450000}"/>
    <cellStyle name="Normal 2 2 2 2 2 2 2 2 4 4 2" xfId="18626" xr:uid="{00000000-0005-0000-0000-0000B3450000}"/>
    <cellStyle name="Normal 2 2 2 2 2 2 2 2 4 4 3" xfId="18627" xr:uid="{00000000-0005-0000-0000-0000B4450000}"/>
    <cellStyle name="Normal 2 2 2 2 2 2 2 2 4 4 4" xfId="18628" xr:uid="{00000000-0005-0000-0000-0000B5450000}"/>
    <cellStyle name="Normal 2 2 2 2 2 2 2 2 4 4 5" xfId="18629" xr:uid="{00000000-0005-0000-0000-0000B6450000}"/>
    <cellStyle name="Normal 2 2 2 2 2 2 2 2 4 4 6" xfId="18630" xr:uid="{00000000-0005-0000-0000-0000B7450000}"/>
    <cellStyle name="Normal 2 2 2 2 2 2 2 2 4 5" xfId="18631" xr:uid="{00000000-0005-0000-0000-0000B8450000}"/>
    <cellStyle name="Normal 2 2 2 2 2 2 2 2 4 5 2" xfId="18632" xr:uid="{00000000-0005-0000-0000-0000B9450000}"/>
    <cellStyle name="Normal 2 2 2 2 2 2 2 2 4 5 3" xfId="18633" xr:uid="{00000000-0005-0000-0000-0000BA450000}"/>
    <cellStyle name="Normal 2 2 2 2 2 2 2 2 4 5 4" xfId="18634" xr:uid="{00000000-0005-0000-0000-0000BB450000}"/>
    <cellStyle name="Normal 2 2 2 2 2 2 2 2 4 5 5" xfId="18635" xr:uid="{00000000-0005-0000-0000-0000BC450000}"/>
    <cellStyle name="Normal 2 2 2 2 2 2 2 2 4 5 6" xfId="18636" xr:uid="{00000000-0005-0000-0000-0000BD450000}"/>
    <cellStyle name="Normal 2 2 2 2 2 2 2 2 4 6" xfId="18637" xr:uid="{00000000-0005-0000-0000-0000BE450000}"/>
    <cellStyle name="Normal 2 2 2 2 2 2 2 2 4 6 2" xfId="18638" xr:uid="{00000000-0005-0000-0000-0000BF450000}"/>
    <cellStyle name="Normal 2 2 2 2 2 2 2 2 4 6 3" xfId="18639" xr:uid="{00000000-0005-0000-0000-0000C0450000}"/>
    <cellStyle name="Normal 2 2 2 2 2 2 2 2 4 6 4" xfId="18640" xr:uid="{00000000-0005-0000-0000-0000C1450000}"/>
    <cellStyle name="Normal 2 2 2 2 2 2 2 2 4 6 5" xfId="18641" xr:uid="{00000000-0005-0000-0000-0000C2450000}"/>
    <cellStyle name="Normal 2 2 2 2 2 2 2 2 4 6 6" xfId="18642" xr:uid="{00000000-0005-0000-0000-0000C3450000}"/>
    <cellStyle name="Normal 2 2 2 2 2 2 2 2 4 7" xfId="18643" xr:uid="{00000000-0005-0000-0000-0000C4450000}"/>
    <cellStyle name="Normal 2 2 2 2 2 2 2 2 4 7 2" xfId="18644" xr:uid="{00000000-0005-0000-0000-0000C5450000}"/>
    <cellStyle name="Normal 2 2 2 2 2 2 2 2 4 7 3" xfId="18645" xr:uid="{00000000-0005-0000-0000-0000C6450000}"/>
    <cellStyle name="Normal 2 2 2 2 2 2 2 2 4 7 4" xfId="18646" xr:uid="{00000000-0005-0000-0000-0000C7450000}"/>
    <cellStyle name="Normal 2 2 2 2 2 2 2 2 4 7 5" xfId="18647" xr:uid="{00000000-0005-0000-0000-0000C8450000}"/>
    <cellStyle name="Normal 2 2 2 2 2 2 2 2 4 7 6" xfId="18648" xr:uid="{00000000-0005-0000-0000-0000C9450000}"/>
    <cellStyle name="Normal 2 2 2 2 2 2 2 2 4 8" xfId="18649" xr:uid="{00000000-0005-0000-0000-0000CA450000}"/>
    <cellStyle name="Normal 2 2 2 2 2 2 2 2 4 8 2" xfId="18650" xr:uid="{00000000-0005-0000-0000-0000CB450000}"/>
    <cellStyle name="Normal 2 2 2 2 2 2 2 2 4 8 3" xfId="18651" xr:uid="{00000000-0005-0000-0000-0000CC450000}"/>
    <cellStyle name="Normal 2 2 2 2 2 2 2 2 4 8 4" xfId="18652" xr:uid="{00000000-0005-0000-0000-0000CD450000}"/>
    <cellStyle name="Normal 2 2 2 2 2 2 2 2 4 8 5" xfId="18653" xr:uid="{00000000-0005-0000-0000-0000CE450000}"/>
    <cellStyle name="Normal 2 2 2 2 2 2 2 2 4 8 6" xfId="18654" xr:uid="{00000000-0005-0000-0000-0000CF450000}"/>
    <cellStyle name="Normal 2 2 2 2 2 2 2 2 4 9" xfId="18655" xr:uid="{00000000-0005-0000-0000-0000D0450000}"/>
    <cellStyle name="Normal 2 2 2 2 2 2 2 2 40" xfId="18656" xr:uid="{00000000-0005-0000-0000-0000D1450000}"/>
    <cellStyle name="Normal 2 2 2 2 2 2 2 2 41" xfId="18657" xr:uid="{00000000-0005-0000-0000-0000D2450000}"/>
    <cellStyle name="Normal 2 2 2 2 2 2 2 2 42" xfId="18658" xr:uid="{00000000-0005-0000-0000-0000D3450000}"/>
    <cellStyle name="Normal 2 2 2 2 2 2 2 2 43" xfId="18659" xr:uid="{00000000-0005-0000-0000-0000D4450000}"/>
    <cellStyle name="Normal 2 2 2 2 2 2 2 2 44" xfId="18660" xr:uid="{00000000-0005-0000-0000-0000D5450000}"/>
    <cellStyle name="Normal 2 2 2 2 2 2 2 2 45" xfId="18661" xr:uid="{00000000-0005-0000-0000-0000D6450000}"/>
    <cellStyle name="Normal 2 2 2 2 2 2 2 2 46" xfId="18662" xr:uid="{00000000-0005-0000-0000-0000D7450000}"/>
    <cellStyle name="Normal 2 2 2 2 2 2 2 2 47" xfId="18663" xr:uid="{00000000-0005-0000-0000-0000D8450000}"/>
    <cellStyle name="Normal 2 2 2 2 2 2 2 2 48" xfId="18664" xr:uid="{00000000-0005-0000-0000-0000D9450000}"/>
    <cellStyle name="Normal 2 2 2 2 2 2 2 2 49" xfId="18665" xr:uid="{00000000-0005-0000-0000-0000DA450000}"/>
    <cellStyle name="Normal 2 2 2 2 2 2 2 2 5" xfId="18666" xr:uid="{00000000-0005-0000-0000-0000DB450000}"/>
    <cellStyle name="Normal 2 2 2 2 2 2 2 2 5 10" xfId="18667" xr:uid="{00000000-0005-0000-0000-0000DC450000}"/>
    <cellStyle name="Normal 2 2 2 2 2 2 2 2 5 11" xfId="18668" xr:uid="{00000000-0005-0000-0000-0000DD450000}"/>
    <cellStyle name="Normal 2 2 2 2 2 2 2 2 5 12" xfId="18669" xr:uid="{00000000-0005-0000-0000-0000DE450000}"/>
    <cellStyle name="Normal 2 2 2 2 2 2 2 2 5 13" xfId="18670" xr:uid="{00000000-0005-0000-0000-0000DF450000}"/>
    <cellStyle name="Normal 2 2 2 2 2 2 2 2 5 2" xfId="18671" xr:uid="{00000000-0005-0000-0000-0000E0450000}"/>
    <cellStyle name="Normal 2 2 2 2 2 2 2 2 5 2 2" xfId="18672" xr:uid="{00000000-0005-0000-0000-0000E1450000}"/>
    <cellStyle name="Normal 2 2 2 2 2 2 2 2 5 2 3" xfId="18673" xr:uid="{00000000-0005-0000-0000-0000E2450000}"/>
    <cellStyle name="Normal 2 2 2 2 2 2 2 2 5 2 4" xfId="18674" xr:uid="{00000000-0005-0000-0000-0000E3450000}"/>
    <cellStyle name="Normal 2 2 2 2 2 2 2 2 5 2 5" xfId="18675" xr:uid="{00000000-0005-0000-0000-0000E4450000}"/>
    <cellStyle name="Normal 2 2 2 2 2 2 2 2 5 2 6" xfId="18676" xr:uid="{00000000-0005-0000-0000-0000E5450000}"/>
    <cellStyle name="Normal 2 2 2 2 2 2 2 2 5 3" xfId="18677" xr:uid="{00000000-0005-0000-0000-0000E6450000}"/>
    <cellStyle name="Normal 2 2 2 2 2 2 2 2 5 3 2" xfId="18678" xr:uid="{00000000-0005-0000-0000-0000E7450000}"/>
    <cellStyle name="Normal 2 2 2 2 2 2 2 2 5 3 3" xfId="18679" xr:uid="{00000000-0005-0000-0000-0000E8450000}"/>
    <cellStyle name="Normal 2 2 2 2 2 2 2 2 5 3 4" xfId="18680" xr:uid="{00000000-0005-0000-0000-0000E9450000}"/>
    <cellStyle name="Normal 2 2 2 2 2 2 2 2 5 3 5" xfId="18681" xr:uid="{00000000-0005-0000-0000-0000EA450000}"/>
    <cellStyle name="Normal 2 2 2 2 2 2 2 2 5 3 6" xfId="18682" xr:uid="{00000000-0005-0000-0000-0000EB450000}"/>
    <cellStyle name="Normal 2 2 2 2 2 2 2 2 5 4" xfId="18683" xr:uid="{00000000-0005-0000-0000-0000EC450000}"/>
    <cellStyle name="Normal 2 2 2 2 2 2 2 2 5 4 2" xfId="18684" xr:uid="{00000000-0005-0000-0000-0000ED450000}"/>
    <cellStyle name="Normal 2 2 2 2 2 2 2 2 5 4 3" xfId="18685" xr:uid="{00000000-0005-0000-0000-0000EE450000}"/>
    <cellStyle name="Normal 2 2 2 2 2 2 2 2 5 4 4" xfId="18686" xr:uid="{00000000-0005-0000-0000-0000EF450000}"/>
    <cellStyle name="Normal 2 2 2 2 2 2 2 2 5 4 5" xfId="18687" xr:uid="{00000000-0005-0000-0000-0000F0450000}"/>
    <cellStyle name="Normal 2 2 2 2 2 2 2 2 5 4 6" xfId="18688" xr:uid="{00000000-0005-0000-0000-0000F1450000}"/>
    <cellStyle name="Normal 2 2 2 2 2 2 2 2 5 5" xfId="18689" xr:uid="{00000000-0005-0000-0000-0000F2450000}"/>
    <cellStyle name="Normal 2 2 2 2 2 2 2 2 5 5 2" xfId="18690" xr:uid="{00000000-0005-0000-0000-0000F3450000}"/>
    <cellStyle name="Normal 2 2 2 2 2 2 2 2 5 5 3" xfId="18691" xr:uid="{00000000-0005-0000-0000-0000F4450000}"/>
    <cellStyle name="Normal 2 2 2 2 2 2 2 2 5 5 4" xfId="18692" xr:uid="{00000000-0005-0000-0000-0000F5450000}"/>
    <cellStyle name="Normal 2 2 2 2 2 2 2 2 5 5 5" xfId="18693" xr:uid="{00000000-0005-0000-0000-0000F6450000}"/>
    <cellStyle name="Normal 2 2 2 2 2 2 2 2 5 5 6" xfId="18694" xr:uid="{00000000-0005-0000-0000-0000F7450000}"/>
    <cellStyle name="Normal 2 2 2 2 2 2 2 2 5 6" xfId="18695" xr:uid="{00000000-0005-0000-0000-0000F8450000}"/>
    <cellStyle name="Normal 2 2 2 2 2 2 2 2 5 6 2" xfId="18696" xr:uid="{00000000-0005-0000-0000-0000F9450000}"/>
    <cellStyle name="Normal 2 2 2 2 2 2 2 2 5 6 3" xfId="18697" xr:uid="{00000000-0005-0000-0000-0000FA450000}"/>
    <cellStyle name="Normal 2 2 2 2 2 2 2 2 5 6 4" xfId="18698" xr:uid="{00000000-0005-0000-0000-0000FB450000}"/>
    <cellStyle name="Normal 2 2 2 2 2 2 2 2 5 6 5" xfId="18699" xr:uid="{00000000-0005-0000-0000-0000FC450000}"/>
    <cellStyle name="Normal 2 2 2 2 2 2 2 2 5 6 6" xfId="18700" xr:uid="{00000000-0005-0000-0000-0000FD450000}"/>
    <cellStyle name="Normal 2 2 2 2 2 2 2 2 5 7" xfId="18701" xr:uid="{00000000-0005-0000-0000-0000FE450000}"/>
    <cellStyle name="Normal 2 2 2 2 2 2 2 2 5 7 2" xfId="18702" xr:uid="{00000000-0005-0000-0000-0000FF450000}"/>
    <cellStyle name="Normal 2 2 2 2 2 2 2 2 5 7 3" xfId="18703" xr:uid="{00000000-0005-0000-0000-000000460000}"/>
    <cellStyle name="Normal 2 2 2 2 2 2 2 2 5 7 4" xfId="18704" xr:uid="{00000000-0005-0000-0000-000001460000}"/>
    <cellStyle name="Normal 2 2 2 2 2 2 2 2 5 7 5" xfId="18705" xr:uid="{00000000-0005-0000-0000-000002460000}"/>
    <cellStyle name="Normal 2 2 2 2 2 2 2 2 5 7 6" xfId="18706" xr:uid="{00000000-0005-0000-0000-000003460000}"/>
    <cellStyle name="Normal 2 2 2 2 2 2 2 2 5 8" xfId="18707" xr:uid="{00000000-0005-0000-0000-000004460000}"/>
    <cellStyle name="Normal 2 2 2 2 2 2 2 2 5 8 2" xfId="18708" xr:uid="{00000000-0005-0000-0000-000005460000}"/>
    <cellStyle name="Normal 2 2 2 2 2 2 2 2 5 8 3" xfId="18709" xr:uid="{00000000-0005-0000-0000-000006460000}"/>
    <cellStyle name="Normal 2 2 2 2 2 2 2 2 5 8 4" xfId="18710" xr:uid="{00000000-0005-0000-0000-000007460000}"/>
    <cellStyle name="Normal 2 2 2 2 2 2 2 2 5 8 5" xfId="18711" xr:uid="{00000000-0005-0000-0000-000008460000}"/>
    <cellStyle name="Normal 2 2 2 2 2 2 2 2 5 8 6" xfId="18712" xr:uid="{00000000-0005-0000-0000-000009460000}"/>
    <cellStyle name="Normal 2 2 2 2 2 2 2 2 5 9" xfId="18713" xr:uid="{00000000-0005-0000-0000-00000A460000}"/>
    <cellStyle name="Normal 2 2 2 2 2 2 2 2 50" xfId="18714" xr:uid="{00000000-0005-0000-0000-00000B460000}"/>
    <cellStyle name="Normal 2 2 2 2 2 2 2 2 51" xfId="18715" xr:uid="{00000000-0005-0000-0000-00000C460000}"/>
    <cellStyle name="Normal 2 2 2 2 2 2 2 2 51 2" xfId="18716" xr:uid="{00000000-0005-0000-0000-00000D460000}"/>
    <cellStyle name="Normal 2 2 2 2 2 2 2 2 51 3" xfId="18717" xr:uid="{00000000-0005-0000-0000-00000E460000}"/>
    <cellStyle name="Normal 2 2 2 2 2 2 2 2 51 4" xfId="18718" xr:uid="{00000000-0005-0000-0000-00000F460000}"/>
    <cellStyle name="Normal 2 2 2 2 2 2 2 2 51 5" xfId="18719" xr:uid="{00000000-0005-0000-0000-000010460000}"/>
    <cellStyle name="Normal 2 2 2 2 2 2 2 2 51 6" xfId="18720" xr:uid="{00000000-0005-0000-0000-000011460000}"/>
    <cellStyle name="Normal 2 2 2 2 2 2 2 2 51 7" xfId="18721" xr:uid="{00000000-0005-0000-0000-000012460000}"/>
    <cellStyle name="Normal 2 2 2 2 2 2 2 2 52" xfId="18722" xr:uid="{00000000-0005-0000-0000-000013460000}"/>
    <cellStyle name="Normal 2 2 2 2 2 2 2 2 52 10" xfId="18723" xr:uid="{00000000-0005-0000-0000-000014460000}"/>
    <cellStyle name="Normal 2 2 2 2 2 2 2 2 52 11" xfId="18724" xr:uid="{00000000-0005-0000-0000-000015460000}"/>
    <cellStyle name="Normal 2 2 2 2 2 2 2 2 52 2" xfId="18725" xr:uid="{00000000-0005-0000-0000-000016460000}"/>
    <cellStyle name="Normal 2 2 2 2 2 2 2 2 52 2 2" xfId="18726" xr:uid="{00000000-0005-0000-0000-000017460000}"/>
    <cellStyle name="Normal 2 2 2 2 2 2 2 2 52 2 2 2" xfId="18727" xr:uid="{00000000-0005-0000-0000-000018460000}"/>
    <cellStyle name="Normal 2 2 2 2 2 2 2 2 52 2 2 3" xfId="18728" xr:uid="{00000000-0005-0000-0000-000019460000}"/>
    <cellStyle name="Normal 2 2 2 2 2 2 2 2 52 2 3" xfId="18729" xr:uid="{00000000-0005-0000-0000-00001A460000}"/>
    <cellStyle name="Normal 2 2 2 2 2 2 2 2 52 2 4" xfId="18730" xr:uid="{00000000-0005-0000-0000-00001B460000}"/>
    <cellStyle name="Normal 2 2 2 2 2 2 2 2 52 2 5" xfId="18731" xr:uid="{00000000-0005-0000-0000-00001C460000}"/>
    <cellStyle name="Normal 2 2 2 2 2 2 2 2 52 2 6" xfId="18732" xr:uid="{00000000-0005-0000-0000-00001D460000}"/>
    <cellStyle name="Normal 2 2 2 2 2 2 2 2 52 2 7" xfId="18733" xr:uid="{00000000-0005-0000-0000-00001E460000}"/>
    <cellStyle name="Normal 2 2 2 2 2 2 2 2 52 2 8" xfId="18734" xr:uid="{00000000-0005-0000-0000-00001F460000}"/>
    <cellStyle name="Normal 2 2 2 2 2 2 2 2 52 2 9" xfId="18735" xr:uid="{00000000-0005-0000-0000-000020460000}"/>
    <cellStyle name="Normal 2 2 2 2 2 2 2 2 52 3" xfId="18736" xr:uid="{00000000-0005-0000-0000-000021460000}"/>
    <cellStyle name="Normal 2 2 2 2 2 2 2 2 52 4" xfId="18737" xr:uid="{00000000-0005-0000-0000-000022460000}"/>
    <cellStyle name="Normal 2 2 2 2 2 2 2 2 52 5" xfId="18738" xr:uid="{00000000-0005-0000-0000-000023460000}"/>
    <cellStyle name="Normal 2 2 2 2 2 2 2 2 52 5 2" xfId="18739" xr:uid="{00000000-0005-0000-0000-000024460000}"/>
    <cellStyle name="Normal 2 2 2 2 2 2 2 2 52 5 3" xfId="18740" xr:uid="{00000000-0005-0000-0000-000025460000}"/>
    <cellStyle name="Normal 2 2 2 2 2 2 2 2 52 6" xfId="18741" xr:uid="{00000000-0005-0000-0000-000026460000}"/>
    <cellStyle name="Normal 2 2 2 2 2 2 2 2 52 7" xfId="18742" xr:uid="{00000000-0005-0000-0000-000027460000}"/>
    <cellStyle name="Normal 2 2 2 2 2 2 2 2 52 8" xfId="18743" xr:uid="{00000000-0005-0000-0000-000028460000}"/>
    <cellStyle name="Normal 2 2 2 2 2 2 2 2 52 9" xfId="18744" xr:uid="{00000000-0005-0000-0000-000029460000}"/>
    <cellStyle name="Normal 2 2 2 2 2 2 2 2 53" xfId="18745" xr:uid="{00000000-0005-0000-0000-00002A460000}"/>
    <cellStyle name="Normal 2 2 2 2 2 2 2 2 54" xfId="18746" xr:uid="{00000000-0005-0000-0000-00002B460000}"/>
    <cellStyle name="Normal 2 2 2 2 2 2 2 2 55" xfId="18747" xr:uid="{00000000-0005-0000-0000-00002C460000}"/>
    <cellStyle name="Normal 2 2 2 2 2 2 2 2 55 2" xfId="18748" xr:uid="{00000000-0005-0000-0000-00002D460000}"/>
    <cellStyle name="Normal 2 2 2 2 2 2 2 2 55 2 2" xfId="18749" xr:uid="{00000000-0005-0000-0000-00002E460000}"/>
    <cellStyle name="Normal 2 2 2 2 2 2 2 2 55 2 3" xfId="18750" xr:uid="{00000000-0005-0000-0000-00002F460000}"/>
    <cellStyle name="Normal 2 2 2 2 2 2 2 2 55 3" xfId="18751" xr:uid="{00000000-0005-0000-0000-000030460000}"/>
    <cellStyle name="Normal 2 2 2 2 2 2 2 2 55 4" xfId="18752" xr:uid="{00000000-0005-0000-0000-000031460000}"/>
    <cellStyle name="Normal 2 2 2 2 2 2 2 2 55 5" xfId="18753" xr:uid="{00000000-0005-0000-0000-000032460000}"/>
    <cellStyle name="Normal 2 2 2 2 2 2 2 2 55 6" xfId="18754" xr:uid="{00000000-0005-0000-0000-000033460000}"/>
    <cellStyle name="Normal 2 2 2 2 2 2 2 2 55 7" xfId="18755" xr:uid="{00000000-0005-0000-0000-000034460000}"/>
    <cellStyle name="Normal 2 2 2 2 2 2 2 2 55 8" xfId="18756" xr:uid="{00000000-0005-0000-0000-000035460000}"/>
    <cellStyle name="Normal 2 2 2 2 2 2 2 2 55 9" xfId="18757" xr:uid="{00000000-0005-0000-0000-000036460000}"/>
    <cellStyle name="Normal 2 2 2 2 2 2 2 2 56" xfId="18758" xr:uid="{00000000-0005-0000-0000-000037460000}"/>
    <cellStyle name="Normal 2 2 2 2 2 2 2 2 57" xfId="18759" xr:uid="{00000000-0005-0000-0000-000038460000}"/>
    <cellStyle name="Normal 2 2 2 2 2 2 2 2 57 2" xfId="18760" xr:uid="{00000000-0005-0000-0000-000039460000}"/>
    <cellStyle name="Normal 2 2 2 2 2 2 2 2 57 3" xfId="18761" xr:uid="{00000000-0005-0000-0000-00003A460000}"/>
    <cellStyle name="Normal 2 2 2 2 2 2 2 2 58" xfId="18762" xr:uid="{00000000-0005-0000-0000-00003B460000}"/>
    <cellStyle name="Normal 2 2 2 2 2 2 2 2 59" xfId="18763" xr:uid="{00000000-0005-0000-0000-00003C460000}"/>
    <cellStyle name="Normal 2 2 2 2 2 2 2 2 6" xfId="18764" xr:uid="{00000000-0005-0000-0000-00003D460000}"/>
    <cellStyle name="Normal 2 2 2 2 2 2 2 2 6 10" xfId="18765" xr:uid="{00000000-0005-0000-0000-00003E460000}"/>
    <cellStyle name="Normal 2 2 2 2 2 2 2 2 6 11" xfId="18766" xr:uid="{00000000-0005-0000-0000-00003F460000}"/>
    <cellStyle name="Normal 2 2 2 2 2 2 2 2 6 12" xfId="18767" xr:uid="{00000000-0005-0000-0000-000040460000}"/>
    <cellStyle name="Normal 2 2 2 2 2 2 2 2 6 13" xfId="18768" xr:uid="{00000000-0005-0000-0000-000041460000}"/>
    <cellStyle name="Normal 2 2 2 2 2 2 2 2 6 2" xfId="18769" xr:uid="{00000000-0005-0000-0000-000042460000}"/>
    <cellStyle name="Normal 2 2 2 2 2 2 2 2 6 2 2" xfId="18770" xr:uid="{00000000-0005-0000-0000-000043460000}"/>
    <cellStyle name="Normal 2 2 2 2 2 2 2 2 6 2 3" xfId="18771" xr:uid="{00000000-0005-0000-0000-000044460000}"/>
    <cellStyle name="Normal 2 2 2 2 2 2 2 2 6 2 4" xfId="18772" xr:uid="{00000000-0005-0000-0000-000045460000}"/>
    <cellStyle name="Normal 2 2 2 2 2 2 2 2 6 2 5" xfId="18773" xr:uid="{00000000-0005-0000-0000-000046460000}"/>
    <cellStyle name="Normal 2 2 2 2 2 2 2 2 6 2 6" xfId="18774" xr:uid="{00000000-0005-0000-0000-000047460000}"/>
    <cellStyle name="Normal 2 2 2 2 2 2 2 2 6 3" xfId="18775" xr:uid="{00000000-0005-0000-0000-000048460000}"/>
    <cellStyle name="Normal 2 2 2 2 2 2 2 2 6 3 2" xfId="18776" xr:uid="{00000000-0005-0000-0000-000049460000}"/>
    <cellStyle name="Normal 2 2 2 2 2 2 2 2 6 3 3" xfId="18777" xr:uid="{00000000-0005-0000-0000-00004A460000}"/>
    <cellStyle name="Normal 2 2 2 2 2 2 2 2 6 3 4" xfId="18778" xr:uid="{00000000-0005-0000-0000-00004B460000}"/>
    <cellStyle name="Normal 2 2 2 2 2 2 2 2 6 3 5" xfId="18779" xr:uid="{00000000-0005-0000-0000-00004C460000}"/>
    <cellStyle name="Normal 2 2 2 2 2 2 2 2 6 3 6" xfId="18780" xr:uid="{00000000-0005-0000-0000-00004D460000}"/>
    <cellStyle name="Normal 2 2 2 2 2 2 2 2 6 4" xfId="18781" xr:uid="{00000000-0005-0000-0000-00004E460000}"/>
    <cellStyle name="Normal 2 2 2 2 2 2 2 2 6 4 2" xfId="18782" xr:uid="{00000000-0005-0000-0000-00004F460000}"/>
    <cellStyle name="Normal 2 2 2 2 2 2 2 2 6 4 3" xfId="18783" xr:uid="{00000000-0005-0000-0000-000050460000}"/>
    <cellStyle name="Normal 2 2 2 2 2 2 2 2 6 4 4" xfId="18784" xr:uid="{00000000-0005-0000-0000-000051460000}"/>
    <cellStyle name="Normal 2 2 2 2 2 2 2 2 6 4 5" xfId="18785" xr:uid="{00000000-0005-0000-0000-000052460000}"/>
    <cellStyle name="Normal 2 2 2 2 2 2 2 2 6 4 6" xfId="18786" xr:uid="{00000000-0005-0000-0000-000053460000}"/>
    <cellStyle name="Normal 2 2 2 2 2 2 2 2 6 5" xfId="18787" xr:uid="{00000000-0005-0000-0000-000054460000}"/>
    <cellStyle name="Normal 2 2 2 2 2 2 2 2 6 5 2" xfId="18788" xr:uid="{00000000-0005-0000-0000-000055460000}"/>
    <cellStyle name="Normal 2 2 2 2 2 2 2 2 6 5 3" xfId="18789" xr:uid="{00000000-0005-0000-0000-000056460000}"/>
    <cellStyle name="Normal 2 2 2 2 2 2 2 2 6 5 4" xfId="18790" xr:uid="{00000000-0005-0000-0000-000057460000}"/>
    <cellStyle name="Normal 2 2 2 2 2 2 2 2 6 5 5" xfId="18791" xr:uid="{00000000-0005-0000-0000-000058460000}"/>
    <cellStyle name="Normal 2 2 2 2 2 2 2 2 6 5 6" xfId="18792" xr:uid="{00000000-0005-0000-0000-000059460000}"/>
    <cellStyle name="Normal 2 2 2 2 2 2 2 2 6 6" xfId="18793" xr:uid="{00000000-0005-0000-0000-00005A460000}"/>
    <cellStyle name="Normal 2 2 2 2 2 2 2 2 6 6 2" xfId="18794" xr:uid="{00000000-0005-0000-0000-00005B460000}"/>
    <cellStyle name="Normal 2 2 2 2 2 2 2 2 6 6 3" xfId="18795" xr:uid="{00000000-0005-0000-0000-00005C460000}"/>
    <cellStyle name="Normal 2 2 2 2 2 2 2 2 6 6 4" xfId="18796" xr:uid="{00000000-0005-0000-0000-00005D460000}"/>
    <cellStyle name="Normal 2 2 2 2 2 2 2 2 6 6 5" xfId="18797" xr:uid="{00000000-0005-0000-0000-00005E460000}"/>
    <cellStyle name="Normal 2 2 2 2 2 2 2 2 6 6 6" xfId="18798" xr:uid="{00000000-0005-0000-0000-00005F460000}"/>
    <cellStyle name="Normal 2 2 2 2 2 2 2 2 6 7" xfId="18799" xr:uid="{00000000-0005-0000-0000-000060460000}"/>
    <cellStyle name="Normal 2 2 2 2 2 2 2 2 6 7 2" xfId="18800" xr:uid="{00000000-0005-0000-0000-000061460000}"/>
    <cellStyle name="Normal 2 2 2 2 2 2 2 2 6 7 3" xfId="18801" xr:uid="{00000000-0005-0000-0000-000062460000}"/>
    <cellStyle name="Normal 2 2 2 2 2 2 2 2 6 7 4" xfId="18802" xr:uid="{00000000-0005-0000-0000-000063460000}"/>
    <cellStyle name="Normal 2 2 2 2 2 2 2 2 6 7 5" xfId="18803" xr:uid="{00000000-0005-0000-0000-000064460000}"/>
    <cellStyle name="Normal 2 2 2 2 2 2 2 2 6 7 6" xfId="18804" xr:uid="{00000000-0005-0000-0000-000065460000}"/>
    <cellStyle name="Normal 2 2 2 2 2 2 2 2 6 8" xfId="18805" xr:uid="{00000000-0005-0000-0000-000066460000}"/>
    <cellStyle name="Normal 2 2 2 2 2 2 2 2 6 8 2" xfId="18806" xr:uid="{00000000-0005-0000-0000-000067460000}"/>
    <cellStyle name="Normal 2 2 2 2 2 2 2 2 6 8 3" xfId="18807" xr:uid="{00000000-0005-0000-0000-000068460000}"/>
    <cellStyle name="Normal 2 2 2 2 2 2 2 2 6 8 4" xfId="18808" xr:uid="{00000000-0005-0000-0000-000069460000}"/>
    <cellStyle name="Normal 2 2 2 2 2 2 2 2 6 8 5" xfId="18809" xr:uid="{00000000-0005-0000-0000-00006A460000}"/>
    <cellStyle name="Normal 2 2 2 2 2 2 2 2 6 8 6" xfId="18810" xr:uid="{00000000-0005-0000-0000-00006B460000}"/>
    <cellStyle name="Normal 2 2 2 2 2 2 2 2 6 9" xfId="18811" xr:uid="{00000000-0005-0000-0000-00006C460000}"/>
    <cellStyle name="Normal 2 2 2 2 2 2 2 2 60" xfId="18812" xr:uid="{00000000-0005-0000-0000-00006D460000}"/>
    <cellStyle name="Normal 2 2 2 2 2 2 2 2 61" xfId="18813" xr:uid="{00000000-0005-0000-0000-00006E460000}"/>
    <cellStyle name="Normal 2 2 2 2 2 2 2 2 62" xfId="18814" xr:uid="{00000000-0005-0000-0000-00006F460000}"/>
    <cellStyle name="Normal 2 2 2 2 2 2 2 2 63" xfId="18815" xr:uid="{00000000-0005-0000-0000-000070460000}"/>
    <cellStyle name="Normal 2 2 2 2 2 2 2 2 7" xfId="18816" xr:uid="{00000000-0005-0000-0000-000071460000}"/>
    <cellStyle name="Normal 2 2 2 2 2 2 2 2 7 10" xfId="18817" xr:uid="{00000000-0005-0000-0000-000072460000}"/>
    <cellStyle name="Normal 2 2 2 2 2 2 2 2 7 11" xfId="18818" xr:uid="{00000000-0005-0000-0000-000073460000}"/>
    <cellStyle name="Normal 2 2 2 2 2 2 2 2 7 12" xfId="18819" xr:uid="{00000000-0005-0000-0000-000074460000}"/>
    <cellStyle name="Normal 2 2 2 2 2 2 2 2 7 13" xfId="18820" xr:uid="{00000000-0005-0000-0000-000075460000}"/>
    <cellStyle name="Normal 2 2 2 2 2 2 2 2 7 2" xfId="18821" xr:uid="{00000000-0005-0000-0000-000076460000}"/>
    <cellStyle name="Normal 2 2 2 2 2 2 2 2 7 2 2" xfId="18822" xr:uid="{00000000-0005-0000-0000-000077460000}"/>
    <cellStyle name="Normal 2 2 2 2 2 2 2 2 7 2 3" xfId="18823" xr:uid="{00000000-0005-0000-0000-000078460000}"/>
    <cellStyle name="Normal 2 2 2 2 2 2 2 2 7 2 4" xfId="18824" xr:uid="{00000000-0005-0000-0000-000079460000}"/>
    <cellStyle name="Normal 2 2 2 2 2 2 2 2 7 2 5" xfId="18825" xr:uid="{00000000-0005-0000-0000-00007A460000}"/>
    <cellStyle name="Normal 2 2 2 2 2 2 2 2 7 2 6" xfId="18826" xr:uid="{00000000-0005-0000-0000-00007B460000}"/>
    <cellStyle name="Normal 2 2 2 2 2 2 2 2 7 3" xfId="18827" xr:uid="{00000000-0005-0000-0000-00007C460000}"/>
    <cellStyle name="Normal 2 2 2 2 2 2 2 2 7 3 2" xfId="18828" xr:uid="{00000000-0005-0000-0000-00007D460000}"/>
    <cellStyle name="Normal 2 2 2 2 2 2 2 2 7 3 3" xfId="18829" xr:uid="{00000000-0005-0000-0000-00007E460000}"/>
    <cellStyle name="Normal 2 2 2 2 2 2 2 2 7 3 4" xfId="18830" xr:uid="{00000000-0005-0000-0000-00007F460000}"/>
    <cellStyle name="Normal 2 2 2 2 2 2 2 2 7 3 5" xfId="18831" xr:uid="{00000000-0005-0000-0000-000080460000}"/>
    <cellStyle name="Normal 2 2 2 2 2 2 2 2 7 3 6" xfId="18832" xr:uid="{00000000-0005-0000-0000-000081460000}"/>
    <cellStyle name="Normal 2 2 2 2 2 2 2 2 7 4" xfId="18833" xr:uid="{00000000-0005-0000-0000-000082460000}"/>
    <cellStyle name="Normal 2 2 2 2 2 2 2 2 7 4 2" xfId="18834" xr:uid="{00000000-0005-0000-0000-000083460000}"/>
    <cellStyle name="Normal 2 2 2 2 2 2 2 2 7 4 3" xfId="18835" xr:uid="{00000000-0005-0000-0000-000084460000}"/>
    <cellStyle name="Normal 2 2 2 2 2 2 2 2 7 4 4" xfId="18836" xr:uid="{00000000-0005-0000-0000-000085460000}"/>
    <cellStyle name="Normal 2 2 2 2 2 2 2 2 7 4 5" xfId="18837" xr:uid="{00000000-0005-0000-0000-000086460000}"/>
    <cellStyle name="Normal 2 2 2 2 2 2 2 2 7 4 6" xfId="18838" xr:uid="{00000000-0005-0000-0000-000087460000}"/>
    <cellStyle name="Normal 2 2 2 2 2 2 2 2 7 5" xfId="18839" xr:uid="{00000000-0005-0000-0000-000088460000}"/>
    <cellStyle name="Normal 2 2 2 2 2 2 2 2 7 5 2" xfId="18840" xr:uid="{00000000-0005-0000-0000-000089460000}"/>
    <cellStyle name="Normal 2 2 2 2 2 2 2 2 7 5 3" xfId="18841" xr:uid="{00000000-0005-0000-0000-00008A460000}"/>
    <cellStyle name="Normal 2 2 2 2 2 2 2 2 7 5 4" xfId="18842" xr:uid="{00000000-0005-0000-0000-00008B460000}"/>
    <cellStyle name="Normal 2 2 2 2 2 2 2 2 7 5 5" xfId="18843" xr:uid="{00000000-0005-0000-0000-00008C460000}"/>
    <cellStyle name="Normal 2 2 2 2 2 2 2 2 7 5 6" xfId="18844" xr:uid="{00000000-0005-0000-0000-00008D460000}"/>
    <cellStyle name="Normal 2 2 2 2 2 2 2 2 7 6" xfId="18845" xr:uid="{00000000-0005-0000-0000-00008E460000}"/>
    <cellStyle name="Normal 2 2 2 2 2 2 2 2 7 6 2" xfId="18846" xr:uid="{00000000-0005-0000-0000-00008F460000}"/>
    <cellStyle name="Normal 2 2 2 2 2 2 2 2 7 6 3" xfId="18847" xr:uid="{00000000-0005-0000-0000-000090460000}"/>
    <cellStyle name="Normal 2 2 2 2 2 2 2 2 7 6 4" xfId="18848" xr:uid="{00000000-0005-0000-0000-000091460000}"/>
    <cellStyle name="Normal 2 2 2 2 2 2 2 2 7 6 5" xfId="18849" xr:uid="{00000000-0005-0000-0000-000092460000}"/>
    <cellStyle name="Normal 2 2 2 2 2 2 2 2 7 6 6" xfId="18850" xr:uid="{00000000-0005-0000-0000-000093460000}"/>
    <cellStyle name="Normal 2 2 2 2 2 2 2 2 7 7" xfId="18851" xr:uid="{00000000-0005-0000-0000-000094460000}"/>
    <cellStyle name="Normal 2 2 2 2 2 2 2 2 7 7 2" xfId="18852" xr:uid="{00000000-0005-0000-0000-000095460000}"/>
    <cellStyle name="Normal 2 2 2 2 2 2 2 2 7 7 3" xfId="18853" xr:uid="{00000000-0005-0000-0000-000096460000}"/>
    <cellStyle name="Normal 2 2 2 2 2 2 2 2 7 7 4" xfId="18854" xr:uid="{00000000-0005-0000-0000-000097460000}"/>
    <cellStyle name="Normal 2 2 2 2 2 2 2 2 7 7 5" xfId="18855" xr:uid="{00000000-0005-0000-0000-000098460000}"/>
    <cellStyle name="Normal 2 2 2 2 2 2 2 2 7 7 6" xfId="18856" xr:uid="{00000000-0005-0000-0000-000099460000}"/>
    <cellStyle name="Normal 2 2 2 2 2 2 2 2 7 8" xfId="18857" xr:uid="{00000000-0005-0000-0000-00009A460000}"/>
    <cellStyle name="Normal 2 2 2 2 2 2 2 2 7 8 2" xfId="18858" xr:uid="{00000000-0005-0000-0000-00009B460000}"/>
    <cellStyle name="Normal 2 2 2 2 2 2 2 2 7 8 3" xfId="18859" xr:uid="{00000000-0005-0000-0000-00009C460000}"/>
    <cellStyle name="Normal 2 2 2 2 2 2 2 2 7 8 4" xfId="18860" xr:uid="{00000000-0005-0000-0000-00009D460000}"/>
    <cellStyle name="Normal 2 2 2 2 2 2 2 2 7 8 5" xfId="18861" xr:uid="{00000000-0005-0000-0000-00009E460000}"/>
    <cellStyle name="Normal 2 2 2 2 2 2 2 2 7 8 6" xfId="18862" xr:uid="{00000000-0005-0000-0000-00009F460000}"/>
    <cellStyle name="Normal 2 2 2 2 2 2 2 2 7 9" xfId="18863" xr:uid="{00000000-0005-0000-0000-0000A0460000}"/>
    <cellStyle name="Normal 2 2 2 2 2 2 2 2 8" xfId="18864" xr:uid="{00000000-0005-0000-0000-0000A1460000}"/>
    <cellStyle name="Normal 2 2 2 2 2 2 2 2 8 10" xfId="18865" xr:uid="{00000000-0005-0000-0000-0000A2460000}"/>
    <cellStyle name="Normal 2 2 2 2 2 2 2 2 8 11" xfId="18866" xr:uid="{00000000-0005-0000-0000-0000A3460000}"/>
    <cellStyle name="Normal 2 2 2 2 2 2 2 2 8 12" xfId="18867" xr:uid="{00000000-0005-0000-0000-0000A4460000}"/>
    <cellStyle name="Normal 2 2 2 2 2 2 2 2 8 13" xfId="18868" xr:uid="{00000000-0005-0000-0000-0000A5460000}"/>
    <cellStyle name="Normal 2 2 2 2 2 2 2 2 8 2" xfId="18869" xr:uid="{00000000-0005-0000-0000-0000A6460000}"/>
    <cellStyle name="Normal 2 2 2 2 2 2 2 2 8 2 2" xfId="18870" xr:uid="{00000000-0005-0000-0000-0000A7460000}"/>
    <cellStyle name="Normal 2 2 2 2 2 2 2 2 8 2 3" xfId="18871" xr:uid="{00000000-0005-0000-0000-0000A8460000}"/>
    <cellStyle name="Normal 2 2 2 2 2 2 2 2 8 2 4" xfId="18872" xr:uid="{00000000-0005-0000-0000-0000A9460000}"/>
    <cellStyle name="Normal 2 2 2 2 2 2 2 2 8 2 5" xfId="18873" xr:uid="{00000000-0005-0000-0000-0000AA460000}"/>
    <cellStyle name="Normal 2 2 2 2 2 2 2 2 8 2 6" xfId="18874" xr:uid="{00000000-0005-0000-0000-0000AB460000}"/>
    <cellStyle name="Normal 2 2 2 2 2 2 2 2 8 3" xfId="18875" xr:uid="{00000000-0005-0000-0000-0000AC460000}"/>
    <cellStyle name="Normal 2 2 2 2 2 2 2 2 8 3 2" xfId="18876" xr:uid="{00000000-0005-0000-0000-0000AD460000}"/>
    <cellStyle name="Normal 2 2 2 2 2 2 2 2 8 3 3" xfId="18877" xr:uid="{00000000-0005-0000-0000-0000AE460000}"/>
    <cellStyle name="Normal 2 2 2 2 2 2 2 2 8 3 4" xfId="18878" xr:uid="{00000000-0005-0000-0000-0000AF460000}"/>
    <cellStyle name="Normal 2 2 2 2 2 2 2 2 8 3 5" xfId="18879" xr:uid="{00000000-0005-0000-0000-0000B0460000}"/>
    <cellStyle name="Normal 2 2 2 2 2 2 2 2 8 3 6" xfId="18880" xr:uid="{00000000-0005-0000-0000-0000B1460000}"/>
    <cellStyle name="Normal 2 2 2 2 2 2 2 2 8 4" xfId="18881" xr:uid="{00000000-0005-0000-0000-0000B2460000}"/>
    <cellStyle name="Normal 2 2 2 2 2 2 2 2 8 4 2" xfId="18882" xr:uid="{00000000-0005-0000-0000-0000B3460000}"/>
    <cellStyle name="Normal 2 2 2 2 2 2 2 2 8 4 3" xfId="18883" xr:uid="{00000000-0005-0000-0000-0000B4460000}"/>
    <cellStyle name="Normal 2 2 2 2 2 2 2 2 8 4 4" xfId="18884" xr:uid="{00000000-0005-0000-0000-0000B5460000}"/>
    <cellStyle name="Normal 2 2 2 2 2 2 2 2 8 4 5" xfId="18885" xr:uid="{00000000-0005-0000-0000-0000B6460000}"/>
    <cellStyle name="Normal 2 2 2 2 2 2 2 2 8 4 6" xfId="18886" xr:uid="{00000000-0005-0000-0000-0000B7460000}"/>
    <cellStyle name="Normal 2 2 2 2 2 2 2 2 8 5" xfId="18887" xr:uid="{00000000-0005-0000-0000-0000B8460000}"/>
    <cellStyle name="Normal 2 2 2 2 2 2 2 2 8 5 2" xfId="18888" xr:uid="{00000000-0005-0000-0000-0000B9460000}"/>
    <cellStyle name="Normal 2 2 2 2 2 2 2 2 8 5 3" xfId="18889" xr:uid="{00000000-0005-0000-0000-0000BA460000}"/>
    <cellStyle name="Normal 2 2 2 2 2 2 2 2 8 5 4" xfId="18890" xr:uid="{00000000-0005-0000-0000-0000BB460000}"/>
    <cellStyle name="Normal 2 2 2 2 2 2 2 2 8 5 5" xfId="18891" xr:uid="{00000000-0005-0000-0000-0000BC460000}"/>
    <cellStyle name="Normal 2 2 2 2 2 2 2 2 8 5 6" xfId="18892" xr:uid="{00000000-0005-0000-0000-0000BD460000}"/>
    <cellStyle name="Normal 2 2 2 2 2 2 2 2 8 6" xfId="18893" xr:uid="{00000000-0005-0000-0000-0000BE460000}"/>
    <cellStyle name="Normal 2 2 2 2 2 2 2 2 8 6 2" xfId="18894" xr:uid="{00000000-0005-0000-0000-0000BF460000}"/>
    <cellStyle name="Normal 2 2 2 2 2 2 2 2 8 6 3" xfId="18895" xr:uid="{00000000-0005-0000-0000-0000C0460000}"/>
    <cellStyle name="Normal 2 2 2 2 2 2 2 2 8 6 4" xfId="18896" xr:uid="{00000000-0005-0000-0000-0000C1460000}"/>
    <cellStyle name="Normal 2 2 2 2 2 2 2 2 8 6 5" xfId="18897" xr:uid="{00000000-0005-0000-0000-0000C2460000}"/>
    <cellStyle name="Normal 2 2 2 2 2 2 2 2 8 6 6" xfId="18898" xr:uid="{00000000-0005-0000-0000-0000C3460000}"/>
    <cellStyle name="Normal 2 2 2 2 2 2 2 2 8 7" xfId="18899" xr:uid="{00000000-0005-0000-0000-0000C4460000}"/>
    <cellStyle name="Normal 2 2 2 2 2 2 2 2 8 7 2" xfId="18900" xr:uid="{00000000-0005-0000-0000-0000C5460000}"/>
    <cellStyle name="Normal 2 2 2 2 2 2 2 2 8 7 3" xfId="18901" xr:uid="{00000000-0005-0000-0000-0000C6460000}"/>
    <cellStyle name="Normal 2 2 2 2 2 2 2 2 8 7 4" xfId="18902" xr:uid="{00000000-0005-0000-0000-0000C7460000}"/>
    <cellStyle name="Normal 2 2 2 2 2 2 2 2 8 7 5" xfId="18903" xr:uid="{00000000-0005-0000-0000-0000C8460000}"/>
    <cellStyle name="Normal 2 2 2 2 2 2 2 2 8 7 6" xfId="18904" xr:uid="{00000000-0005-0000-0000-0000C9460000}"/>
    <cellStyle name="Normal 2 2 2 2 2 2 2 2 8 8" xfId="18905" xr:uid="{00000000-0005-0000-0000-0000CA460000}"/>
    <cellStyle name="Normal 2 2 2 2 2 2 2 2 8 8 2" xfId="18906" xr:uid="{00000000-0005-0000-0000-0000CB460000}"/>
    <cellStyle name="Normal 2 2 2 2 2 2 2 2 8 8 3" xfId="18907" xr:uid="{00000000-0005-0000-0000-0000CC460000}"/>
    <cellStyle name="Normal 2 2 2 2 2 2 2 2 8 8 4" xfId="18908" xr:uid="{00000000-0005-0000-0000-0000CD460000}"/>
    <cellStyle name="Normal 2 2 2 2 2 2 2 2 8 8 5" xfId="18909" xr:uid="{00000000-0005-0000-0000-0000CE460000}"/>
    <cellStyle name="Normal 2 2 2 2 2 2 2 2 8 8 6" xfId="18910" xr:uid="{00000000-0005-0000-0000-0000CF460000}"/>
    <cellStyle name="Normal 2 2 2 2 2 2 2 2 8 9" xfId="18911" xr:uid="{00000000-0005-0000-0000-0000D0460000}"/>
    <cellStyle name="Normal 2 2 2 2 2 2 2 2 9" xfId="18912" xr:uid="{00000000-0005-0000-0000-0000D1460000}"/>
    <cellStyle name="Normal 2 2 2 2 2 2 2 2 9 10" xfId="18913" xr:uid="{00000000-0005-0000-0000-0000D2460000}"/>
    <cellStyle name="Normal 2 2 2 2 2 2 2 2 9 11" xfId="18914" xr:uid="{00000000-0005-0000-0000-0000D3460000}"/>
    <cellStyle name="Normal 2 2 2 2 2 2 2 2 9 12" xfId="18915" xr:uid="{00000000-0005-0000-0000-0000D4460000}"/>
    <cellStyle name="Normal 2 2 2 2 2 2 2 2 9 13" xfId="18916" xr:uid="{00000000-0005-0000-0000-0000D5460000}"/>
    <cellStyle name="Normal 2 2 2 2 2 2 2 2 9 2" xfId="18917" xr:uid="{00000000-0005-0000-0000-0000D6460000}"/>
    <cellStyle name="Normal 2 2 2 2 2 2 2 2 9 2 2" xfId="18918" xr:uid="{00000000-0005-0000-0000-0000D7460000}"/>
    <cellStyle name="Normal 2 2 2 2 2 2 2 2 9 2 3" xfId="18919" xr:uid="{00000000-0005-0000-0000-0000D8460000}"/>
    <cellStyle name="Normal 2 2 2 2 2 2 2 2 9 2 4" xfId="18920" xr:uid="{00000000-0005-0000-0000-0000D9460000}"/>
    <cellStyle name="Normal 2 2 2 2 2 2 2 2 9 2 5" xfId="18921" xr:uid="{00000000-0005-0000-0000-0000DA460000}"/>
    <cellStyle name="Normal 2 2 2 2 2 2 2 2 9 2 6" xfId="18922" xr:uid="{00000000-0005-0000-0000-0000DB460000}"/>
    <cellStyle name="Normal 2 2 2 2 2 2 2 2 9 3" xfId="18923" xr:uid="{00000000-0005-0000-0000-0000DC460000}"/>
    <cellStyle name="Normal 2 2 2 2 2 2 2 2 9 3 2" xfId="18924" xr:uid="{00000000-0005-0000-0000-0000DD460000}"/>
    <cellStyle name="Normal 2 2 2 2 2 2 2 2 9 3 3" xfId="18925" xr:uid="{00000000-0005-0000-0000-0000DE460000}"/>
    <cellStyle name="Normal 2 2 2 2 2 2 2 2 9 3 4" xfId="18926" xr:uid="{00000000-0005-0000-0000-0000DF460000}"/>
    <cellStyle name="Normal 2 2 2 2 2 2 2 2 9 3 5" xfId="18927" xr:uid="{00000000-0005-0000-0000-0000E0460000}"/>
    <cellStyle name="Normal 2 2 2 2 2 2 2 2 9 3 6" xfId="18928" xr:uid="{00000000-0005-0000-0000-0000E1460000}"/>
    <cellStyle name="Normal 2 2 2 2 2 2 2 2 9 4" xfId="18929" xr:uid="{00000000-0005-0000-0000-0000E2460000}"/>
    <cellStyle name="Normal 2 2 2 2 2 2 2 2 9 4 2" xfId="18930" xr:uid="{00000000-0005-0000-0000-0000E3460000}"/>
    <cellStyle name="Normal 2 2 2 2 2 2 2 2 9 4 3" xfId="18931" xr:uid="{00000000-0005-0000-0000-0000E4460000}"/>
    <cellStyle name="Normal 2 2 2 2 2 2 2 2 9 4 4" xfId="18932" xr:uid="{00000000-0005-0000-0000-0000E5460000}"/>
    <cellStyle name="Normal 2 2 2 2 2 2 2 2 9 4 5" xfId="18933" xr:uid="{00000000-0005-0000-0000-0000E6460000}"/>
    <cellStyle name="Normal 2 2 2 2 2 2 2 2 9 4 6" xfId="18934" xr:uid="{00000000-0005-0000-0000-0000E7460000}"/>
    <cellStyle name="Normal 2 2 2 2 2 2 2 2 9 5" xfId="18935" xr:uid="{00000000-0005-0000-0000-0000E8460000}"/>
    <cellStyle name="Normal 2 2 2 2 2 2 2 2 9 5 2" xfId="18936" xr:uid="{00000000-0005-0000-0000-0000E9460000}"/>
    <cellStyle name="Normal 2 2 2 2 2 2 2 2 9 5 3" xfId="18937" xr:uid="{00000000-0005-0000-0000-0000EA460000}"/>
    <cellStyle name="Normal 2 2 2 2 2 2 2 2 9 5 4" xfId="18938" xr:uid="{00000000-0005-0000-0000-0000EB460000}"/>
    <cellStyle name="Normal 2 2 2 2 2 2 2 2 9 5 5" xfId="18939" xr:uid="{00000000-0005-0000-0000-0000EC460000}"/>
    <cellStyle name="Normal 2 2 2 2 2 2 2 2 9 5 6" xfId="18940" xr:uid="{00000000-0005-0000-0000-0000ED460000}"/>
    <cellStyle name="Normal 2 2 2 2 2 2 2 2 9 6" xfId="18941" xr:uid="{00000000-0005-0000-0000-0000EE460000}"/>
    <cellStyle name="Normal 2 2 2 2 2 2 2 2 9 6 2" xfId="18942" xr:uid="{00000000-0005-0000-0000-0000EF460000}"/>
    <cellStyle name="Normal 2 2 2 2 2 2 2 2 9 6 3" xfId="18943" xr:uid="{00000000-0005-0000-0000-0000F0460000}"/>
    <cellStyle name="Normal 2 2 2 2 2 2 2 2 9 6 4" xfId="18944" xr:uid="{00000000-0005-0000-0000-0000F1460000}"/>
    <cellStyle name="Normal 2 2 2 2 2 2 2 2 9 6 5" xfId="18945" xr:uid="{00000000-0005-0000-0000-0000F2460000}"/>
    <cellStyle name="Normal 2 2 2 2 2 2 2 2 9 6 6" xfId="18946" xr:uid="{00000000-0005-0000-0000-0000F3460000}"/>
    <cellStyle name="Normal 2 2 2 2 2 2 2 2 9 7" xfId="18947" xr:uid="{00000000-0005-0000-0000-0000F4460000}"/>
    <cellStyle name="Normal 2 2 2 2 2 2 2 2 9 7 2" xfId="18948" xr:uid="{00000000-0005-0000-0000-0000F5460000}"/>
    <cellStyle name="Normal 2 2 2 2 2 2 2 2 9 7 3" xfId="18949" xr:uid="{00000000-0005-0000-0000-0000F6460000}"/>
    <cellStyle name="Normal 2 2 2 2 2 2 2 2 9 7 4" xfId="18950" xr:uid="{00000000-0005-0000-0000-0000F7460000}"/>
    <cellStyle name="Normal 2 2 2 2 2 2 2 2 9 7 5" xfId="18951" xr:uid="{00000000-0005-0000-0000-0000F8460000}"/>
    <cellStyle name="Normal 2 2 2 2 2 2 2 2 9 7 6" xfId="18952" xr:uid="{00000000-0005-0000-0000-0000F9460000}"/>
    <cellStyle name="Normal 2 2 2 2 2 2 2 2 9 8" xfId="18953" xr:uid="{00000000-0005-0000-0000-0000FA460000}"/>
    <cellStyle name="Normal 2 2 2 2 2 2 2 2 9 8 2" xfId="18954" xr:uid="{00000000-0005-0000-0000-0000FB460000}"/>
    <cellStyle name="Normal 2 2 2 2 2 2 2 2 9 8 3" xfId="18955" xr:uid="{00000000-0005-0000-0000-0000FC460000}"/>
    <cellStyle name="Normal 2 2 2 2 2 2 2 2 9 8 4" xfId="18956" xr:uid="{00000000-0005-0000-0000-0000FD460000}"/>
    <cellStyle name="Normal 2 2 2 2 2 2 2 2 9 8 5" xfId="18957" xr:uid="{00000000-0005-0000-0000-0000FE460000}"/>
    <cellStyle name="Normal 2 2 2 2 2 2 2 2 9 8 6" xfId="18958" xr:uid="{00000000-0005-0000-0000-0000FF460000}"/>
    <cellStyle name="Normal 2 2 2 2 2 2 2 2 9 9" xfId="18959" xr:uid="{00000000-0005-0000-0000-000000470000}"/>
    <cellStyle name="Normal 2 2 2 2 2 2 2 20" xfId="18960" xr:uid="{00000000-0005-0000-0000-000001470000}"/>
    <cellStyle name="Normal 2 2 2 2 2 2 2 21" xfId="18961" xr:uid="{00000000-0005-0000-0000-000002470000}"/>
    <cellStyle name="Normal 2 2 2 2 2 2 2 22" xfId="18962" xr:uid="{00000000-0005-0000-0000-000003470000}"/>
    <cellStyle name="Normal 2 2 2 2 2 2 2 23" xfId="18963" xr:uid="{00000000-0005-0000-0000-000004470000}"/>
    <cellStyle name="Normal 2 2 2 2 2 2 2 23 2" xfId="18964" xr:uid="{00000000-0005-0000-0000-000005470000}"/>
    <cellStyle name="Normal 2 2 2 2 2 2 2 23 2 2" xfId="18965" xr:uid="{00000000-0005-0000-0000-000006470000}"/>
    <cellStyle name="Normal 2 2 2 2 2 2 2 23 2 3" xfId="18966" xr:uid="{00000000-0005-0000-0000-000007470000}"/>
    <cellStyle name="Normal 2 2 2 2 2 2 2 23 2 4" xfId="18967" xr:uid="{00000000-0005-0000-0000-000008470000}"/>
    <cellStyle name="Normal 2 2 2 2 2 2 2 23 2 5" xfId="18968" xr:uid="{00000000-0005-0000-0000-000009470000}"/>
    <cellStyle name="Normal 2 2 2 2 2 2 2 23 2 6" xfId="18969" xr:uid="{00000000-0005-0000-0000-00000A470000}"/>
    <cellStyle name="Normal 2 2 2 2 2 2 2 23 3" xfId="18970" xr:uid="{00000000-0005-0000-0000-00000B470000}"/>
    <cellStyle name="Normal 2 2 2 2 2 2 2 23 3 2" xfId="18971" xr:uid="{00000000-0005-0000-0000-00000C470000}"/>
    <cellStyle name="Normal 2 2 2 2 2 2 2 23 3 3" xfId="18972" xr:uid="{00000000-0005-0000-0000-00000D470000}"/>
    <cellStyle name="Normal 2 2 2 2 2 2 2 23 3 4" xfId="18973" xr:uid="{00000000-0005-0000-0000-00000E470000}"/>
    <cellStyle name="Normal 2 2 2 2 2 2 2 23 3 5" xfId="18974" xr:uid="{00000000-0005-0000-0000-00000F470000}"/>
    <cellStyle name="Normal 2 2 2 2 2 2 2 23 3 6" xfId="18975" xr:uid="{00000000-0005-0000-0000-000010470000}"/>
    <cellStyle name="Normal 2 2 2 2 2 2 2 23 4" xfId="18976" xr:uid="{00000000-0005-0000-0000-000011470000}"/>
    <cellStyle name="Normal 2 2 2 2 2 2 2 23 4 2" xfId="18977" xr:uid="{00000000-0005-0000-0000-000012470000}"/>
    <cellStyle name="Normal 2 2 2 2 2 2 2 23 4 3" xfId="18978" xr:uid="{00000000-0005-0000-0000-000013470000}"/>
    <cellStyle name="Normal 2 2 2 2 2 2 2 23 4 4" xfId="18979" xr:uid="{00000000-0005-0000-0000-000014470000}"/>
    <cellStyle name="Normal 2 2 2 2 2 2 2 23 4 5" xfId="18980" xr:uid="{00000000-0005-0000-0000-000015470000}"/>
    <cellStyle name="Normal 2 2 2 2 2 2 2 23 4 6" xfId="18981" xr:uid="{00000000-0005-0000-0000-000016470000}"/>
    <cellStyle name="Normal 2 2 2 2 2 2 2 23 5" xfId="18982" xr:uid="{00000000-0005-0000-0000-000017470000}"/>
    <cellStyle name="Normal 2 2 2 2 2 2 2 23 5 2" xfId="18983" xr:uid="{00000000-0005-0000-0000-000018470000}"/>
    <cellStyle name="Normal 2 2 2 2 2 2 2 23 5 3" xfId="18984" xr:uid="{00000000-0005-0000-0000-000019470000}"/>
    <cellStyle name="Normal 2 2 2 2 2 2 2 23 5 4" xfId="18985" xr:uid="{00000000-0005-0000-0000-00001A470000}"/>
    <cellStyle name="Normal 2 2 2 2 2 2 2 23 5 5" xfId="18986" xr:uid="{00000000-0005-0000-0000-00001B470000}"/>
    <cellStyle name="Normal 2 2 2 2 2 2 2 23 5 6" xfId="18987" xr:uid="{00000000-0005-0000-0000-00001C470000}"/>
    <cellStyle name="Normal 2 2 2 2 2 2 2 23 6" xfId="18988" xr:uid="{00000000-0005-0000-0000-00001D470000}"/>
    <cellStyle name="Normal 2 2 2 2 2 2 2 23 6 2" xfId="18989" xr:uid="{00000000-0005-0000-0000-00001E470000}"/>
    <cellStyle name="Normal 2 2 2 2 2 2 2 23 6 3" xfId="18990" xr:uid="{00000000-0005-0000-0000-00001F470000}"/>
    <cellStyle name="Normal 2 2 2 2 2 2 2 23 6 4" xfId="18991" xr:uid="{00000000-0005-0000-0000-000020470000}"/>
    <cellStyle name="Normal 2 2 2 2 2 2 2 23 6 5" xfId="18992" xr:uid="{00000000-0005-0000-0000-000021470000}"/>
    <cellStyle name="Normal 2 2 2 2 2 2 2 23 6 6" xfId="18993" xr:uid="{00000000-0005-0000-0000-000022470000}"/>
    <cellStyle name="Normal 2 2 2 2 2 2 2 24" xfId="18994" xr:uid="{00000000-0005-0000-0000-000023470000}"/>
    <cellStyle name="Normal 2 2 2 2 2 2 2 24 2" xfId="18995" xr:uid="{00000000-0005-0000-0000-000024470000}"/>
    <cellStyle name="Normal 2 2 2 2 2 2 2 24 3" xfId="18996" xr:uid="{00000000-0005-0000-0000-000025470000}"/>
    <cellStyle name="Normal 2 2 2 2 2 2 2 24 4" xfId="18997" xr:uid="{00000000-0005-0000-0000-000026470000}"/>
    <cellStyle name="Normal 2 2 2 2 2 2 2 24 5" xfId="18998" xr:uid="{00000000-0005-0000-0000-000027470000}"/>
    <cellStyle name="Normal 2 2 2 2 2 2 2 24 6" xfId="18999" xr:uid="{00000000-0005-0000-0000-000028470000}"/>
    <cellStyle name="Normal 2 2 2 2 2 2 2 25" xfId="19000" xr:uid="{00000000-0005-0000-0000-000029470000}"/>
    <cellStyle name="Normal 2 2 2 2 2 2 2 25 2" xfId="19001" xr:uid="{00000000-0005-0000-0000-00002A470000}"/>
    <cellStyle name="Normal 2 2 2 2 2 2 2 25 3" xfId="19002" xr:uid="{00000000-0005-0000-0000-00002B470000}"/>
    <cellStyle name="Normal 2 2 2 2 2 2 2 25 4" xfId="19003" xr:uid="{00000000-0005-0000-0000-00002C470000}"/>
    <cellStyle name="Normal 2 2 2 2 2 2 2 25 5" xfId="19004" xr:uid="{00000000-0005-0000-0000-00002D470000}"/>
    <cellStyle name="Normal 2 2 2 2 2 2 2 25 6" xfId="19005" xr:uid="{00000000-0005-0000-0000-00002E470000}"/>
    <cellStyle name="Normal 2 2 2 2 2 2 2 26" xfId="19006" xr:uid="{00000000-0005-0000-0000-00002F470000}"/>
    <cellStyle name="Normal 2 2 2 2 2 2 2 26 2" xfId="19007" xr:uid="{00000000-0005-0000-0000-000030470000}"/>
    <cellStyle name="Normal 2 2 2 2 2 2 2 26 3" xfId="19008" xr:uid="{00000000-0005-0000-0000-000031470000}"/>
    <cellStyle name="Normal 2 2 2 2 2 2 2 26 4" xfId="19009" xr:uid="{00000000-0005-0000-0000-000032470000}"/>
    <cellStyle name="Normal 2 2 2 2 2 2 2 26 5" xfId="19010" xr:uid="{00000000-0005-0000-0000-000033470000}"/>
    <cellStyle name="Normal 2 2 2 2 2 2 2 26 6" xfId="19011" xr:uid="{00000000-0005-0000-0000-000034470000}"/>
    <cellStyle name="Normal 2 2 2 2 2 2 2 27" xfId="19012" xr:uid="{00000000-0005-0000-0000-000035470000}"/>
    <cellStyle name="Normal 2 2 2 2 2 2 2 27 2" xfId="19013" xr:uid="{00000000-0005-0000-0000-000036470000}"/>
    <cellStyle name="Normal 2 2 2 2 2 2 2 27 3" xfId="19014" xr:uid="{00000000-0005-0000-0000-000037470000}"/>
    <cellStyle name="Normal 2 2 2 2 2 2 2 27 4" xfId="19015" xr:uid="{00000000-0005-0000-0000-000038470000}"/>
    <cellStyle name="Normal 2 2 2 2 2 2 2 27 5" xfId="19016" xr:uid="{00000000-0005-0000-0000-000039470000}"/>
    <cellStyle name="Normal 2 2 2 2 2 2 2 27 6" xfId="19017" xr:uid="{00000000-0005-0000-0000-00003A470000}"/>
    <cellStyle name="Normal 2 2 2 2 2 2 2 28" xfId="19018" xr:uid="{00000000-0005-0000-0000-00003B470000}"/>
    <cellStyle name="Normal 2 2 2 2 2 2 2 28 2" xfId="19019" xr:uid="{00000000-0005-0000-0000-00003C470000}"/>
    <cellStyle name="Normal 2 2 2 2 2 2 2 28 3" xfId="19020" xr:uid="{00000000-0005-0000-0000-00003D470000}"/>
    <cellStyle name="Normal 2 2 2 2 2 2 2 28 4" xfId="19021" xr:uid="{00000000-0005-0000-0000-00003E470000}"/>
    <cellStyle name="Normal 2 2 2 2 2 2 2 28 5" xfId="19022" xr:uid="{00000000-0005-0000-0000-00003F470000}"/>
    <cellStyle name="Normal 2 2 2 2 2 2 2 28 6" xfId="19023" xr:uid="{00000000-0005-0000-0000-000040470000}"/>
    <cellStyle name="Normal 2 2 2 2 2 2 2 29" xfId="19024" xr:uid="{00000000-0005-0000-0000-000041470000}"/>
    <cellStyle name="Normal 2 2 2 2 2 2 2 29 2" xfId="19025" xr:uid="{00000000-0005-0000-0000-000042470000}"/>
    <cellStyle name="Normal 2 2 2 2 2 2 2 29 3" xfId="19026" xr:uid="{00000000-0005-0000-0000-000043470000}"/>
    <cellStyle name="Normal 2 2 2 2 2 2 2 29 4" xfId="19027" xr:uid="{00000000-0005-0000-0000-000044470000}"/>
    <cellStyle name="Normal 2 2 2 2 2 2 2 29 5" xfId="19028" xr:uid="{00000000-0005-0000-0000-000045470000}"/>
    <cellStyle name="Normal 2 2 2 2 2 2 2 29 6" xfId="19029" xr:uid="{00000000-0005-0000-0000-000046470000}"/>
    <cellStyle name="Normal 2 2 2 2 2 2 2 3" xfId="19030" xr:uid="{00000000-0005-0000-0000-000047470000}"/>
    <cellStyle name="Normal 2 2 2 2 2 2 2 3 10" xfId="19031" xr:uid="{00000000-0005-0000-0000-000048470000}"/>
    <cellStyle name="Normal 2 2 2 2 2 2 2 3 11" xfId="19032" xr:uid="{00000000-0005-0000-0000-000049470000}"/>
    <cellStyle name="Normal 2 2 2 2 2 2 2 3 12" xfId="19033" xr:uid="{00000000-0005-0000-0000-00004A470000}"/>
    <cellStyle name="Normal 2 2 2 2 2 2 2 3 13" xfId="19034" xr:uid="{00000000-0005-0000-0000-00004B470000}"/>
    <cellStyle name="Normal 2 2 2 2 2 2 2 3 2" xfId="19035" xr:uid="{00000000-0005-0000-0000-00004C470000}"/>
    <cellStyle name="Normal 2 2 2 2 2 2 2 3 2 2" xfId="19036" xr:uid="{00000000-0005-0000-0000-00004D470000}"/>
    <cellStyle name="Normal 2 2 2 2 2 2 2 3 2 3" xfId="19037" xr:uid="{00000000-0005-0000-0000-00004E470000}"/>
    <cellStyle name="Normal 2 2 2 2 2 2 2 3 2 4" xfId="19038" xr:uid="{00000000-0005-0000-0000-00004F470000}"/>
    <cellStyle name="Normal 2 2 2 2 2 2 2 3 2 5" xfId="19039" xr:uid="{00000000-0005-0000-0000-000050470000}"/>
    <cellStyle name="Normal 2 2 2 2 2 2 2 3 2 6" xfId="19040" xr:uid="{00000000-0005-0000-0000-000051470000}"/>
    <cellStyle name="Normal 2 2 2 2 2 2 2 3 3" xfId="19041" xr:uid="{00000000-0005-0000-0000-000052470000}"/>
    <cellStyle name="Normal 2 2 2 2 2 2 2 3 3 2" xfId="19042" xr:uid="{00000000-0005-0000-0000-000053470000}"/>
    <cellStyle name="Normal 2 2 2 2 2 2 2 3 3 3" xfId="19043" xr:uid="{00000000-0005-0000-0000-000054470000}"/>
    <cellStyle name="Normal 2 2 2 2 2 2 2 3 3 4" xfId="19044" xr:uid="{00000000-0005-0000-0000-000055470000}"/>
    <cellStyle name="Normal 2 2 2 2 2 2 2 3 3 5" xfId="19045" xr:uid="{00000000-0005-0000-0000-000056470000}"/>
    <cellStyle name="Normal 2 2 2 2 2 2 2 3 3 6" xfId="19046" xr:uid="{00000000-0005-0000-0000-000057470000}"/>
    <cellStyle name="Normal 2 2 2 2 2 2 2 3 4" xfId="19047" xr:uid="{00000000-0005-0000-0000-000058470000}"/>
    <cellStyle name="Normal 2 2 2 2 2 2 2 3 4 2" xfId="19048" xr:uid="{00000000-0005-0000-0000-000059470000}"/>
    <cellStyle name="Normal 2 2 2 2 2 2 2 3 4 3" xfId="19049" xr:uid="{00000000-0005-0000-0000-00005A470000}"/>
    <cellStyle name="Normal 2 2 2 2 2 2 2 3 4 4" xfId="19050" xr:uid="{00000000-0005-0000-0000-00005B470000}"/>
    <cellStyle name="Normal 2 2 2 2 2 2 2 3 4 5" xfId="19051" xr:uid="{00000000-0005-0000-0000-00005C470000}"/>
    <cellStyle name="Normal 2 2 2 2 2 2 2 3 4 6" xfId="19052" xr:uid="{00000000-0005-0000-0000-00005D470000}"/>
    <cellStyle name="Normal 2 2 2 2 2 2 2 3 5" xfId="19053" xr:uid="{00000000-0005-0000-0000-00005E470000}"/>
    <cellStyle name="Normal 2 2 2 2 2 2 2 3 5 2" xfId="19054" xr:uid="{00000000-0005-0000-0000-00005F470000}"/>
    <cellStyle name="Normal 2 2 2 2 2 2 2 3 5 3" xfId="19055" xr:uid="{00000000-0005-0000-0000-000060470000}"/>
    <cellStyle name="Normal 2 2 2 2 2 2 2 3 5 4" xfId="19056" xr:uid="{00000000-0005-0000-0000-000061470000}"/>
    <cellStyle name="Normal 2 2 2 2 2 2 2 3 5 5" xfId="19057" xr:uid="{00000000-0005-0000-0000-000062470000}"/>
    <cellStyle name="Normal 2 2 2 2 2 2 2 3 5 6" xfId="19058" xr:uid="{00000000-0005-0000-0000-000063470000}"/>
    <cellStyle name="Normal 2 2 2 2 2 2 2 3 6" xfId="19059" xr:uid="{00000000-0005-0000-0000-000064470000}"/>
    <cellStyle name="Normal 2 2 2 2 2 2 2 3 6 2" xfId="19060" xr:uid="{00000000-0005-0000-0000-000065470000}"/>
    <cellStyle name="Normal 2 2 2 2 2 2 2 3 6 3" xfId="19061" xr:uid="{00000000-0005-0000-0000-000066470000}"/>
    <cellStyle name="Normal 2 2 2 2 2 2 2 3 6 4" xfId="19062" xr:uid="{00000000-0005-0000-0000-000067470000}"/>
    <cellStyle name="Normal 2 2 2 2 2 2 2 3 6 5" xfId="19063" xr:uid="{00000000-0005-0000-0000-000068470000}"/>
    <cellStyle name="Normal 2 2 2 2 2 2 2 3 6 6" xfId="19064" xr:uid="{00000000-0005-0000-0000-000069470000}"/>
    <cellStyle name="Normal 2 2 2 2 2 2 2 3 7" xfId="19065" xr:uid="{00000000-0005-0000-0000-00006A470000}"/>
    <cellStyle name="Normal 2 2 2 2 2 2 2 3 7 2" xfId="19066" xr:uid="{00000000-0005-0000-0000-00006B470000}"/>
    <cellStyle name="Normal 2 2 2 2 2 2 2 3 7 3" xfId="19067" xr:uid="{00000000-0005-0000-0000-00006C470000}"/>
    <cellStyle name="Normal 2 2 2 2 2 2 2 3 7 4" xfId="19068" xr:uid="{00000000-0005-0000-0000-00006D470000}"/>
    <cellStyle name="Normal 2 2 2 2 2 2 2 3 7 5" xfId="19069" xr:uid="{00000000-0005-0000-0000-00006E470000}"/>
    <cellStyle name="Normal 2 2 2 2 2 2 2 3 7 6" xfId="19070" xr:uid="{00000000-0005-0000-0000-00006F470000}"/>
    <cellStyle name="Normal 2 2 2 2 2 2 2 3 8" xfId="19071" xr:uid="{00000000-0005-0000-0000-000070470000}"/>
    <cellStyle name="Normal 2 2 2 2 2 2 2 3 8 2" xfId="19072" xr:uid="{00000000-0005-0000-0000-000071470000}"/>
    <cellStyle name="Normal 2 2 2 2 2 2 2 3 8 3" xfId="19073" xr:uid="{00000000-0005-0000-0000-000072470000}"/>
    <cellStyle name="Normal 2 2 2 2 2 2 2 3 8 4" xfId="19074" xr:uid="{00000000-0005-0000-0000-000073470000}"/>
    <cellStyle name="Normal 2 2 2 2 2 2 2 3 8 5" xfId="19075" xr:uid="{00000000-0005-0000-0000-000074470000}"/>
    <cellStyle name="Normal 2 2 2 2 2 2 2 3 8 6" xfId="19076" xr:uid="{00000000-0005-0000-0000-000075470000}"/>
    <cellStyle name="Normal 2 2 2 2 2 2 2 3 9" xfId="19077" xr:uid="{00000000-0005-0000-0000-000076470000}"/>
    <cellStyle name="Normal 2 2 2 2 2 2 2 30" xfId="19078" xr:uid="{00000000-0005-0000-0000-000077470000}"/>
    <cellStyle name="Normal 2 2 2 2 2 2 2 30 2" xfId="19079" xr:uid="{00000000-0005-0000-0000-000078470000}"/>
    <cellStyle name="Normal 2 2 2 2 2 2 2 30 3" xfId="19080" xr:uid="{00000000-0005-0000-0000-000079470000}"/>
    <cellStyle name="Normal 2 2 2 2 2 2 2 30 4" xfId="19081" xr:uid="{00000000-0005-0000-0000-00007A470000}"/>
    <cellStyle name="Normal 2 2 2 2 2 2 2 30 5" xfId="19082" xr:uid="{00000000-0005-0000-0000-00007B470000}"/>
    <cellStyle name="Normal 2 2 2 2 2 2 2 30 6" xfId="19083" xr:uid="{00000000-0005-0000-0000-00007C470000}"/>
    <cellStyle name="Normal 2 2 2 2 2 2 2 31" xfId="19084" xr:uid="{00000000-0005-0000-0000-00007D470000}"/>
    <cellStyle name="Normal 2 2 2 2 2 2 2 31 2" xfId="19085" xr:uid="{00000000-0005-0000-0000-00007E470000}"/>
    <cellStyle name="Normal 2 2 2 2 2 2 2 31 3" xfId="19086" xr:uid="{00000000-0005-0000-0000-00007F470000}"/>
    <cellStyle name="Normal 2 2 2 2 2 2 2 31 4" xfId="19087" xr:uid="{00000000-0005-0000-0000-000080470000}"/>
    <cellStyle name="Normal 2 2 2 2 2 2 2 31 5" xfId="19088" xr:uid="{00000000-0005-0000-0000-000081470000}"/>
    <cellStyle name="Normal 2 2 2 2 2 2 2 31 6" xfId="19089" xr:uid="{00000000-0005-0000-0000-000082470000}"/>
    <cellStyle name="Normal 2 2 2 2 2 2 2 32" xfId="19090" xr:uid="{00000000-0005-0000-0000-000083470000}"/>
    <cellStyle name="Normal 2 2 2 2 2 2 2 32 2" xfId="19091" xr:uid="{00000000-0005-0000-0000-000084470000}"/>
    <cellStyle name="Normal 2 2 2 2 2 2 2 32 3" xfId="19092" xr:uid="{00000000-0005-0000-0000-000085470000}"/>
    <cellStyle name="Normal 2 2 2 2 2 2 2 32 4" xfId="19093" xr:uid="{00000000-0005-0000-0000-000086470000}"/>
    <cellStyle name="Normal 2 2 2 2 2 2 2 32 5" xfId="19094" xr:uid="{00000000-0005-0000-0000-000087470000}"/>
    <cellStyle name="Normal 2 2 2 2 2 2 2 32 6" xfId="19095" xr:uid="{00000000-0005-0000-0000-000088470000}"/>
    <cellStyle name="Normal 2 2 2 2 2 2 2 33" xfId="19096" xr:uid="{00000000-0005-0000-0000-000089470000}"/>
    <cellStyle name="Normal 2 2 2 2 2 2 2 33 2" xfId="19097" xr:uid="{00000000-0005-0000-0000-00008A470000}"/>
    <cellStyle name="Normal 2 2 2 2 2 2 2 33 3" xfId="19098" xr:uid="{00000000-0005-0000-0000-00008B470000}"/>
    <cellStyle name="Normal 2 2 2 2 2 2 2 33 4" xfId="19099" xr:uid="{00000000-0005-0000-0000-00008C470000}"/>
    <cellStyle name="Normal 2 2 2 2 2 2 2 33 5" xfId="19100" xr:uid="{00000000-0005-0000-0000-00008D470000}"/>
    <cellStyle name="Normal 2 2 2 2 2 2 2 33 6" xfId="19101" xr:uid="{00000000-0005-0000-0000-00008E470000}"/>
    <cellStyle name="Normal 2 2 2 2 2 2 2 34" xfId="19102" xr:uid="{00000000-0005-0000-0000-00008F470000}"/>
    <cellStyle name="Normal 2 2 2 2 2 2 2 34 2" xfId="19103" xr:uid="{00000000-0005-0000-0000-000090470000}"/>
    <cellStyle name="Normal 2 2 2 2 2 2 2 34 3" xfId="19104" xr:uid="{00000000-0005-0000-0000-000091470000}"/>
    <cellStyle name="Normal 2 2 2 2 2 2 2 34 4" xfId="19105" xr:uid="{00000000-0005-0000-0000-000092470000}"/>
    <cellStyle name="Normal 2 2 2 2 2 2 2 34 5" xfId="19106" xr:uid="{00000000-0005-0000-0000-000093470000}"/>
    <cellStyle name="Normal 2 2 2 2 2 2 2 34 6" xfId="19107" xr:uid="{00000000-0005-0000-0000-000094470000}"/>
    <cellStyle name="Normal 2 2 2 2 2 2 2 35" xfId="19108" xr:uid="{00000000-0005-0000-0000-000095470000}"/>
    <cellStyle name="Normal 2 2 2 2 2 2 2 35 2" xfId="19109" xr:uid="{00000000-0005-0000-0000-000096470000}"/>
    <cellStyle name="Normal 2 2 2 2 2 2 2 35 3" xfId="19110" xr:uid="{00000000-0005-0000-0000-000097470000}"/>
    <cellStyle name="Normal 2 2 2 2 2 2 2 35 4" xfId="19111" xr:uid="{00000000-0005-0000-0000-000098470000}"/>
    <cellStyle name="Normal 2 2 2 2 2 2 2 35 5" xfId="19112" xr:uid="{00000000-0005-0000-0000-000099470000}"/>
    <cellStyle name="Normal 2 2 2 2 2 2 2 35 6" xfId="19113" xr:uid="{00000000-0005-0000-0000-00009A470000}"/>
    <cellStyle name="Normal 2 2 2 2 2 2 2 36" xfId="19114" xr:uid="{00000000-0005-0000-0000-00009B470000}"/>
    <cellStyle name="Normal 2 2 2 2 2 2 2 36 2" xfId="19115" xr:uid="{00000000-0005-0000-0000-00009C470000}"/>
    <cellStyle name="Normal 2 2 2 2 2 2 2 36 3" xfId="19116" xr:uid="{00000000-0005-0000-0000-00009D470000}"/>
    <cellStyle name="Normal 2 2 2 2 2 2 2 36 4" xfId="19117" xr:uid="{00000000-0005-0000-0000-00009E470000}"/>
    <cellStyle name="Normal 2 2 2 2 2 2 2 36 5" xfId="19118" xr:uid="{00000000-0005-0000-0000-00009F470000}"/>
    <cellStyle name="Normal 2 2 2 2 2 2 2 36 6" xfId="19119" xr:uid="{00000000-0005-0000-0000-0000A0470000}"/>
    <cellStyle name="Normal 2 2 2 2 2 2 2 37" xfId="19120" xr:uid="{00000000-0005-0000-0000-0000A1470000}"/>
    <cellStyle name="Normal 2 2 2 2 2 2 2 37 2" xfId="19121" xr:uid="{00000000-0005-0000-0000-0000A2470000}"/>
    <cellStyle name="Normal 2 2 2 2 2 2 2 37 3" xfId="19122" xr:uid="{00000000-0005-0000-0000-0000A3470000}"/>
    <cellStyle name="Normal 2 2 2 2 2 2 2 37 4" xfId="19123" xr:uid="{00000000-0005-0000-0000-0000A4470000}"/>
    <cellStyle name="Normal 2 2 2 2 2 2 2 37 5" xfId="19124" xr:uid="{00000000-0005-0000-0000-0000A5470000}"/>
    <cellStyle name="Normal 2 2 2 2 2 2 2 37 6" xfId="19125" xr:uid="{00000000-0005-0000-0000-0000A6470000}"/>
    <cellStyle name="Normal 2 2 2 2 2 2 2 38" xfId="19126" xr:uid="{00000000-0005-0000-0000-0000A7470000}"/>
    <cellStyle name="Normal 2 2 2 2 2 2 2 39" xfId="19127" xr:uid="{00000000-0005-0000-0000-0000A8470000}"/>
    <cellStyle name="Normal 2 2 2 2 2 2 2 4" xfId="19128" xr:uid="{00000000-0005-0000-0000-0000A9470000}"/>
    <cellStyle name="Normal 2 2 2 2 2 2 2 4 10" xfId="19129" xr:uid="{00000000-0005-0000-0000-0000AA470000}"/>
    <cellStyle name="Normal 2 2 2 2 2 2 2 4 11" xfId="19130" xr:uid="{00000000-0005-0000-0000-0000AB470000}"/>
    <cellStyle name="Normal 2 2 2 2 2 2 2 4 12" xfId="19131" xr:uid="{00000000-0005-0000-0000-0000AC470000}"/>
    <cellStyle name="Normal 2 2 2 2 2 2 2 4 13" xfId="19132" xr:uid="{00000000-0005-0000-0000-0000AD470000}"/>
    <cellStyle name="Normal 2 2 2 2 2 2 2 4 2" xfId="19133" xr:uid="{00000000-0005-0000-0000-0000AE470000}"/>
    <cellStyle name="Normal 2 2 2 2 2 2 2 4 2 2" xfId="19134" xr:uid="{00000000-0005-0000-0000-0000AF470000}"/>
    <cellStyle name="Normal 2 2 2 2 2 2 2 4 2 3" xfId="19135" xr:uid="{00000000-0005-0000-0000-0000B0470000}"/>
    <cellStyle name="Normal 2 2 2 2 2 2 2 4 2 4" xfId="19136" xr:uid="{00000000-0005-0000-0000-0000B1470000}"/>
    <cellStyle name="Normal 2 2 2 2 2 2 2 4 2 5" xfId="19137" xr:uid="{00000000-0005-0000-0000-0000B2470000}"/>
    <cellStyle name="Normal 2 2 2 2 2 2 2 4 2 6" xfId="19138" xr:uid="{00000000-0005-0000-0000-0000B3470000}"/>
    <cellStyle name="Normal 2 2 2 2 2 2 2 4 3" xfId="19139" xr:uid="{00000000-0005-0000-0000-0000B4470000}"/>
    <cellStyle name="Normal 2 2 2 2 2 2 2 4 3 2" xfId="19140" xr:uid="{00000000-0005-0000-0000-0000B5470000}"/>
    <cellStyle name="Normal 2 2 2 2 2 2 2 4 3 3" xfId="19141" xr:uid="{00000000-0005-0000-0000-0000B6470000}"/>
    <cellStyle name="Normal 2 2 2 2 2 2 2 4 3 4" xfId="19142" xr:uid="{00000000-0005-0000-0000-0000B7470000}"/>
    <cellStyle name="Normal 2 2 2 2 2 2 2 4 3 5" xfId="19143" xr:uid="{00000000-0005-0000-0000-0000B8470000}"/>
    <cellStyle name="Normal 2 2 2 2 2 2 2 4 3 6" xfId="19144" xr:uid="{00000000-0005-0000-0000-0000B9470000}"/>
    <cellStyle name="Normal 2 2 2 2 2 2 2 4 4" xfId="19145" xr:uid="{00000000-0005-0000-0000-0000BA470000}"/>
    <cellStyle name="Normal 2 2 2 2 2 2 2 4 4 2" xfId="19146" xr:uid="{00000000-0005-0000-0000-0000BB470000}"/>
    <cellStyle name="Normal 2 2 2 2 2 2 2 4 4 3" xfId="19147" xr:uid="{00000000-0005-0000-0000-0000BC470000}"/>
    <cellStyle name="Normal 2 2 2 2 2 2 2 4 4 4" xfId="19148" xr:uid="{00000000-0005-0000-0000-0000BD470000}"/>
    <cellStyle name="Normal 2 2 2 2 2 2 2 4 4 5" xfId="19149" xr:uid="{00000000-0005-0000-0000-0000BE470000}"/>
    <cellStyle name="Normal 2 2 2 2 2 2 2 4 4 6" xfId="19150" xr:uid="{00000000-0005-0000-0000-0000BF470000}"/>
    <cellStyle name="Normal 2 2 2 2 2 2 2 4 5" xfId="19151" xr:uid="{00000000-0005-0000-0000-0000C0470000}"/>
    <cellStyle name="Normal 2 2 2 2 2 2 2 4 5 2" xfId="19152" xr:uid="{00000000-0005-0000-0000-0000C1470000}"/>
    <cellStyle name="Normal 2 2 2 2 2 2 2 4 5 3" xfId="19153" xr:uid="{00000000-0005-0000-0000-0000C2470000}"/>
    <cellStyle name="Normal 2 2 2 2 2 2 2 4 5 4" xfId="19154" xr:uid="{00000000-0005-0000-0000-0000C3470000}"/>
    <cellStyle name="Normal 2 2 2 2 2 2 2 4 5 5" xfId="19155" xr:uid="{00000000-0005-0000-0000-0000C4470000}"/>
    <cellStyle name="Normal 2 2 2 2 2 2 2 4 5 6" xfId="19156" xr:uid="{00000000-0005-0000-0000-0000C5470000}"/>
    <cellStyle name="Normal 2 2 2 2 2 2 2 4 6" xfId="19157" xr:uid="{00000000-0005-0000-0000-0000C6470000}"/>
    <cellStyle name="Normal 2 2 2 2 2 2 2 4 6 2" xfId="19158" xr:uid="{00000000-0005-0000-0000-0000C7470000}"/>
    <cellStyle name="Normal 2 2 2 2 2 2 2 4 6 3" xfId="19159" xr:uid="{00000000-0005-0000-0000-0000C8470000}"/>
    <cellStyle name="Normal 2 2 2 2 2 2 2 4 6 4" xfId="19160" xr:uid="{00000000-0005-0000-0000-0000C9470000}"/>
    <cellStyle name="Normal 2 2 2 2 2 2 2 4 6 5" xfId="19161" xr:uid="{00000000-0005-0000-0000-0000CA470000}"/>
    <cellStyle name="Normal 2 2 2 2 2 2 2 4 6 6" xfId="19162" xr:uid="{00000000-0005-0000-0000-0000CB470000}"/>
    <cellStyle name="Normal 2 2 2 2 2 2 2 4 7" xfId="19163" xr:uid="{00000000-0005-0000-0000-0000CC470000}"/>
    <cellStyle name="Normal 2 2 2 2 2 2 2 4 7 2" xfId="19164" xr:uid="{00000000-0005-0000-0000-0000CD470000}"/>
    <cellStyle name="Normal 2 2 2 2 2 2 2 4 7 3" xfId="19165" xr:uid="{00000000-0005-0000-0000-0000CE470000}"/>
    <cellStyle name="Normal 2 2 2 2 2 2 2 4 7 4" xfId="19166" xr:uid="{00000000-0005-0000-0000-0000CF470000}"/>
    <cellStyle name="Normal 2 2 2 2 2 2 2 4 7 5" xfId="19167" xr:uid="{00000000-0005-0000-0000-0000D0470000}"/>
    <cellStyle name="Normal 2 2 2 2 2 2 2 4 7 6" xfId="19168" xr:uid="{00000000-0005-0000-0000-0000D1470000}"/>
    <cellStyle name="Normal 2 2 2 2 2 2 2 4 8" xfId="19169" xr:uid="{00000000-0005-0000-0000-0000D2470000}"/>
    <cellStyle name="Normal 2 2 2 2 2 2 2 4 8 2" xfId="19170" xr:uid="{00000000-0005-0000-0000-0000D3470000}"/>
    <cellStyle name="Normal 2 2 2 2 2 2 2 4 8 3" xfId="19171" xr:uid="{00000000-0005-0000-0000-0000D4470000}"/>
    <cellStyle name="Normal 2 2 2 2 2 2 2 4 8 4" xfId="19172" xr:uid="{00000000-0005-0000-0000-0000D5470000}"/>
    <cellStyle name="Normal 2 2 2 2 2 2 2 4 8 5" xfId="19173" xr:uid="{00000000-0005-0000-0000-0000D6470000}"/>
    <cellStyle name="Normal 2 2 2 2 2 2 2 4 8 6" xfId="19174" xr:uid="{00000000-0005-0000-0000-0000D7470000}"/>
    <cellStyle name="Normal 2 2 2 2 2 2 2 4 9" xfId="19175" xr:uid="{00000000-0005-0000-0000-0000D8470000}"/>
    <cellStyle name="Normal 2 2 2 2 2 2 2 40" xfId="19176" xr:uid="{00000000-0005-0000-0000-0000D9470000}"/>
    <cellStyle name="Normal 2 2 2 2 2 2 2 41" xfId="19177" xr:uid="{00000000-0005-0000-0000-0000DA470000}"/>
    <cellStyle name="Normal 2 2 2 2 2 2 2 42" xfId="19178" xr:uid="{00000000-0005-0000-0000-0000DB470000}"/>
    <cellStyle name="Normal 2 2 2 2 2 2 2 42 2" xfId="19179" xr:uid="{00000000-0005-0000-0000-0000DC470000}"/>
    <cellStyle name="Normal 2 2 2 2 2 2 2 42 2 2" xfId="19180" xr:uid="{00000000-0005-0000-0000-0000DD470000}"/>
    <cellStyle name="Normal 2 2 2 2 2 2 2 42 2 2 2" xfId="19181" xr:uid="{00000000-0005-0000-0000-0000DE470000}"/>
    <cellStyle name="Normal 2 2 2 2 2 2 2 42 2 2 2 2" xfId="19182" xr:uid="{00000000-0005-0000-0000-0000DF470000}"/>
    <cellStyle name="Normal 2 2 2 2 2 2 2 42 2 2 2 3" xfId="19183" xr:uid="{00000000-0005-0000-0000-0000E0470000}"/>
    <cellStyle name="Normal 2 2 2 2 2 2 2 42 2 2 2 4" xfId="19184" xr:uid="{00000000-0005-0000-0000-0000E1470000}"/>
    <cellStyle name="Normal 2 2 2 2 2 2 2 42 2 2 2 5" xfId="19185" xr:uid="{00000000-0005-0000-0000-0000E2470000}"/>
    <cellStyle name="Normal 2 2 2 2 2 2 2 42 2 2 2 6" xfId="19186" xr:uid="{00000000-0005-0000-0000-0000E3470000}"/>
    <cellStyle name="Normal 2 2 2 2 2 2 2 42 2 3" xfId="19187" xr:uid="{00000000-0005-0000-0000-0000E4470000}"/>
    <cellStyle name="Normal 2 2 2 2 2 2 2 42 2 4" xfId="19188" xr:uid="{00000000-0005-0000-0000-0000E5470000}"/>
    <cellStyle name="Normal 2 2 2 2 2 2 2 42 2 5" xfId="19189" xr:uid="{00000000-0005-0000-0000-0000E6470000}"/>
    <cellStyle name="Normal 2 2 2 2 2 2 2 42 2 6" xfId="19190" xr:uid="{00000000-0005-0000-0000-0000E7470000}"/>
    <cellStyle name="Normal 2 2 2 2 2 2 2 42 2 7" xfId="19191" xr:uid="{00000000-0005-0000-0000-0000E8470000}"/>
    <cellStyle name="Normal 2 2 2 2 2 2 2 42 3" xfId="19192" xr:uid="{00000000-0005-0000-0000-0000E9470000}"/>
    <cellStyle name="Normal 2 2 2 2 2 2 2 42 3 2" xfId="19193" xr:uid="{00000000-0005-0000-0000-0000EA470000}"/>
    <cellStyle name="Normal 2 2 2 2 2 2 2 42 3 3" xfId="19194" xr:uid="{00000000-0005-0000-0000-0000EB470000}"/>
    <cellStyle name="Normal 2 2 2 2 2 2 2 42 3 4" xfId="19195" xr:uid="{00000000-0005-0000-0000-0000EC470000}"/>
    <cellStyle name="Normal 2 2 2 2 2 2 2 42 3 5" xfId="19196" xr:uid="{00000000-0005-0000-0000-0000ED470000}"/>
    <cellStyle name="Normal 2 2 2 2 2 2 2 42 3 6" xfId="19197" xr:uid="{00000000-0005-0000-0000-0000EE470000}"/>
    <cellStyle name="Normal 2 2 2 2 2 2 2 43" xfId="19198" xr:uid="{00000000-0005-0000-0000-0000EF470000}"/>
    <cellStyle name="Normal 2 2 2 2 2 2 2 43 2" xfId="19199" xr:uid="{00000000-0005-0000-0000-0000F0470000}"/>
    <cellStyle name="Normal 2 2 2 2 2 2 2 43 3" xfId="19200" xr:uid="{00000000-0005-0000-0000-0000F1470000}"/>
    <cellStyle name="Normal 2 2 2 2 2 2 2 43 4" xfId="19201" xr:uid="{00000000-0005-0000-0000-0000F2470000}"/>
    <cellStyle name="Normal 2 2 2 2 2 2 2 43 5" xfId="19202" xr:uid="{00000000-0005-0000-0000-0000F3470000}"/>
    <cellStyle name="Normal 2 2 2 2 2 2 2 43 6" xfId="19203" xr:uid="{00000000-0005-0000-0000-0000F4470000}"/>
    <cellStyle name="Normal 2 2 2 2 2 2 2 44" xfId="19204" xr:uid="{00000000-0005-0000-0000-0000F5470000}"/>
    <cellStyle name="Normal 2 2 2 2 2 2 2 44 2" xfId="19205" xr:uid="{00000000-0005-0000-0000-0000F6470000}"/>
    <cellStyle name="Normal 2 2 2 2 2 2 2 44 3" xfId="19206" xr:uid="{00000000-0005-0000-0000-0000F7470000}"/>
    <cellStyle name="Normal 2 2 2 2 2 2 2 44 4" xfId="19207" xr:uid="{00000000-0005-0000-0000-0000F8470000}"/>
    <cellStyle name="Normal 2 2 2 2 2 2 2 44 5" xfId="19208" xr:uid="{00000000-0005-0000-0000-0000F9470000}"/>
    <cellStyle name="Normal 2 2 2 2 2 2 2 44 6" xfId="19209" xr:uid="{00000000-0005-0000-0000-0000FA470000}"/>
    <cellStyle name="Normal 2 2 2 2 2 2 2 45" xfId="19210" xr:uid="{00000000-0005-0000-0000-0000FB470000}"/>
    <cellStyle name="Normal 2 2 2 2 2 2 2 45 2" xfId="19211" xr:uid="{00000000-0005-0000-0000-0000FC470000}"/>
    <cellStyle name="Normal 2 2 2 2 2 2 2 45 3" xfId="19212" xr:uid="{00000000-0005-0000-0000-0000FD470000}"/>
    <cellStyle name="Normal 2 2 2 2 2 2 2 45 4" xfId="19213" xr:uid="{00000000-0005-0000-0000-0000FE470000}"/>
    <cellStyle name="Normal 2 2 2 2 2 2 2 45 5" xfId="19214" xr:uid="{00000000-0005-0000-0000-0000FF470000}"/>
    <cellStyle name="Normal 2 2 2 2 2 2 2 45 6" xfId="19215" xr:uid="{00000000-0005-0000-0000-000000480000}"/>
    <cellStyle name="Normal 2 2 2 2 2 2 2 46" xfId="19216" xr:uid="{00000000-0005-0000-0000-000001480000}"/>
    <cellStyle name="Normal 2 2 2 2 2 2 2 46 2" xfId="19217" xr:uid="{00000000-0005-0000-0000-000002480000}"/>
    <cellStyle name="Normal 2 2 2 2 2 2 2 46 3" xfId="19218" xr:uid="{00000000-0005-0000-0000-000003480000}"/>
    <cellStyle name="Normal 2 2 2 2 2 2 2 46 4" xfId="19219" xr:uid="{00000000-0005-0000-0000-000004480000}"/>
    <cellStyle name="Normal 2 2 2 2 2 2 2 46 5" xfId="19220" xr:uid="{00000000-0005-0000-0000-000005480000}"/>
    <cellStyle name="Normal 2 2 2 2 2 2 2 46 6" xfId="19221" xr:uid="{00000000-0005-0000-0000-000006480000}"/>
    <cellStyle name="Normal 2 2 2 2 2 2 2 47" xfId="19222" xr:uid="{00000000-0005-0000-0000-000007480000}"/>
    <cellStyle name="Normal 2 2 2 2 2 2 2 47 2" xfId="19223" xr:uid="{00000000-0005-0000-0000-000008480000}"/>
    <cellStyle name="Normal 2 2 2 2 2 2 2 47 3" xfId="19224" xr:uid="{00000000-0005-0000-0000-000009480000}"/>
    <cellStyle name="Normal 2 2 2 2 2 2 2 47 4" xfId="19225" xr:uid="{00000000-0005-0000-0000-00000A480000}"/>
    <cellStyle name="Normal 2 2 2 2 2 2 2 47 5" xfId="19226" xr:uid="{00000000-0005-0000-0000-00000B480000}"/>
    <cellStyle name="Normal 2 2 2 2 2 2 2 47 6" xfId="19227" xr:uid="{00000000-0005-0000-0000-00000C480000}"/>
    <cellStyle name="Normal 2 2 2 2 2 2 2 48" xfId="19228" xr:uid="{00000000-0005-0000-0000-00000D480000}"/>
    <cellStyle name="Normal 2 2 2 2 2 2 2 48 2" xfId="19229" xr:uid="{00000000-0005-0000-0000-00000E480000}"/>
    <cellStyle name="Normal 2 2 2 2 2 2 2 48 3" xfId="19230" xr:uid="{00000000-0005-0000-0000-00000F480000}"/>
    <cellStyle name="Normal 2 2 2 2 2 2 2 48 4" xfId="19231" xr:uid="{00000000-0005-0000-0000-000010480000}"/>
    <cellStyle name="Normal 2 2 2 2 2 2 2 48 5" xfId="19232" xr:uid="{00000000-0005-0000-0000-000011480000}"/>
    <cellStyle name="Normal 2 2 2 2 2 2 2 48 6" xfId="19233" xr:uid="{00000000-0005-0000-0000-000012480000}"/>
    <cellStyle name="Normal 2 2 2 2 2 2 2 49" xfId="19234" xr:uid="{00000000-0005-0000-0000-000013480000}"/>
    <cellStyle name="Normal 2 2 2 2 2 2 2 49 2" xfId="19235" xr:uid="{00000000-0005-0000-0000-000014480000}"/>
    <cellStyle name="Normal 2 2 2 2 2 2 2 49 3" xfId="19236" xr:uid="{00000000-0005-0000-0000-000015480000}"/>
    <cellStyle name="Normal 2 2 2 2 2 2 2 49 4" xfId="19237" xr:uid="{00000000-0005-0000-0000-000016480000}"/>
    <cellStyle name="Normal 2 2 2 2 2 2 2 49 5" xfId="19238" xr:uid="{00000000-0005-0000-0000-000017480000}"/>
    <cellStyle name="Normal 2 2 2 2 2 2 2 49 6" xfId="19239" xr:uid="{00000000-0005-0000-0000-000018480000}"/>
    <cellStyle name="Normal 2 2 2 2 2 2 2 5" xfId="19240" xr:uid="{00000000-0005-0000-0000-000019480000}"/>
    <cellStyle name="Normal 2 2 2 2 2 2 2 5 10" xfId="19241" xr:uid="{00000000-0005-0000-0000-00001A480000}"/>
    <cellStyle name="Normal 2 2 2 2 2 2 2 5 11" xfId="19242" xr:uid="{00000000-0005-0000-0000-00001B480000}"/>
    <cellStyle name="Normal 2 2 2 2 2 2 2 5 12" xfId="19243" xr:uid="{00000000-0005-0000-0000-00001C480000}"/>
    <cellStyle name="Normal 2 2 2 2 2 2 2 5 13" xfId="19244" xr:uid="{00000000-0005-0000-0000-00001D480000}"/>
    <cellStyle name="Normal 2 2 2 2 2 2 2 5 2" xfId="19245" xr:uid="{00000000-0005-0000-0000-00001E480000}"/>
    <cellStyle name="Normal 2 2 2 2 2 2 2 5 2 2" xfId="19246" xr:uid="{00000000-0005-0000-0000-00001F480000}"/>
    <cellStyle name="Normal 2 2 2 2 2 2 2 5 2 3" xfId="19247" xr:uid="{00000000-0005-0000-0000-000020480000}"/>
    <cellStyle name="Normal 2 2 2 2 2 2 2 5 2 4" xfId="19248" xr:uid="{00000000-0005-0000-0000-000021480000}"/>
    <cellStyle name="Normal 2 2 2 2 2 2 2 5 2 5" xfId="19249" xr:uid="{00000000-0005-0000-0000-000022480000}"/>
    <cellStyle name="Normal 2 2 2 2 2 2 2 5 2 6" xfId="19250" xr:uid="{00000000-0005-0000-0000-000023480000}"/>
    <cellStyle name="Normal 2 2 2 2 2 2 2 5 3" xfId="19251" xr:uid="{00000000-0005-0000-0000-000024480000}"/>
    <cellStyle name="Normal 2 2 2 2 2 2 2 5 3 2" xfId="19252" xr:uid="{00000000-0005-0000-0000-000025480000}"/>
    <cellStyle name="Normal 2 2 2 2 2 2 2 5 3 3" xfId="19253" xr:uid="{00000000-0005-0000-0000-000026480000}"/>
    <cellStyle name="Normal 2 2 2 2 2 2 2 5 3 4" xfId="19254" xr:uid="{00000000-0005-0000-0000-000027480000}"/>
    <cellStyle name="Normal 2 2 2 2 2 2 2 5 3 5" xfId="19255" xr:uid="{00000000-0005-0000-0000-000028480000}"/>
    <cellStyle name="Normal 2 2 2 2 2 2 2 5 3 6" xfId="19256" xr:uid="{00000000-0005-0000-0000-000029480000}"/>
    <cellStyle name="Normal 2 2 2 2 2 2 2 5 4" xfId="19257" xr:uid="{00000000-0005-0000-0000-00002A480000}"/>
    <cellStyle name="Normal 2 2 2 2 2 2 2 5 4 2" xfId="19258" xr:uid="{00000000-0005-0000-0000-00002B480000}"/>
    <cellStyle name="Normal 2 2 2 2 2 2 2 5 4 3" xfId="19259" xr:uid="{00000000-0005-0000-0000-00002C480000}"/>
    <cellStyle name="Normal 2 2 2 2 2 2 2 5 4 4" xfId="19260" xr:uid="{00000000-0005-0000-0000-00002D480000}"/>
    <cellStyle name="Normal 2 2 2 2 2 2 2 5 4 5" xfId="19261" xr:uid="{00000000-0005-0000-0000-00002E480000}"/>
    <cellStyle name="Normal 2 2 2 2 2 2 2 5 4 6" xfId="19262" xr:uid="{00000000-0005-0000-0000-00002F480000}"/>
    <cellStyle name="Normal 2 2 2 2 2 2 2 5 5" xfId="19263" xr:uid="{00000000-0005-0000-0000-000030480000}"/>
    <cellStyle name="Normal 2 2 2 2 2 2 2 5 5 2" xfId="19264" xr:uid="{00000000-0005-0000-0000-000031480000}"/>
    <cellStyle name="Normal 2 2 2 2 2 2 2 5 5 3" xfId="19265" xr:uid="{00000000-0005-0000-0000-000032480000}"/>
    <cellStyle name="Normal 2 2 2 2 2 2 2 5 5 4" xfId="19266" xr:uid="{00000000-0005-0000-0000-000033480000}"/>
    <cellStyle name="Normal 2 2 2 2 2 2 2 5 5 5" xfId="19267" xr:uid="{00000000-0005-0000-0000-000034480000}"/>
    <cellStyle name="Normal 2 2 2 2 2 2 2 5 5 6" xfId="19268" xr:uid="{00000000-0005-0000-0000-000035480000}"/>
    <cellStyle name="Normal 2 2 2 2 2 2 2 5 6" xfId="19269" xr:uid="{00000000-0005-0000-0000-000036480000}"/>
    <cellStyle name="Normal 2 2 2 2 2 2 2 5 6 2" xfId="19270" xr:uid="{00000000-0005-0000-0000-000037480000}"/>
    <cellStyle name="Normal 2 2 2 2 2 2 2 5 6 3" xfId="19271" xr:uid="{00000000-0005-0000-0000-000038480000}"/>
    <cellStyle name="Normal 2 2 2 2 2 2 2 5 6 4" xfId="19272" xr:uid="{00000000-0005-0000-0000-000039480000}"/>
    <cellStyle name="Normal 2 2 2 2 2 2 2 5 6 5" xfId="19273" xr:uid="{00000000-0005-0000-0000-00003A480000}"/>
    <cellStyle name="Normal 2 2 2 2 2 2 2 5 6 6" xfId="19274" xr:uid="{00000000-0005-0000-0000-00003B480000}"/>
    <cellStyle name="Normal 2 2 2 2 2 2 2 5 7" xfId="19275" xr:uid="{00000000-0005-0000-0000-00003C480000}"/>
    <cellStyle name="Normal 2 2 2 2 2 2 2 5 7 2" xfId="19276" xr:uid="{00000000-0005-0000-0000-00003D480000}"/>
    <cellStyle name="Normal 2 2 2 2 2 2 2 5 7 3" xfId="19277" xr:uid="{00000000-0005-0000-0000-00003E480000}"/>
    <cellStyle name="Normal 2 2 2 2 2 2 2 5 7 4" xfId="19278" xr:uid="{00000000-0005-0000-0000-00003F480000}"/>
    <cellStyle name="Normal 2 2 2 2 2 2 2 5 7 5" xfId="19279" xr:uid="{00000000-0005-0000-0000-000040480000}"/>
    <cellStyle name="Normal 2 2 2 2 2 2 2 5 7 6" xfId="19280" xr:uid="{00000000-0005-0000-0000-000041480000}"/>
    <cellStyle name="Normal 2 2 2 2 2 2 2 5 8" xfId="19281" xr:uid="{00000000-0005-0000-0000-000042480000}"/>
    <cellStyle name="Normal 2 2 2 2 2 2 2 5 8 2" xfId="19282" xr:uid="{00000000-0005-0000-0000-000043480000}"/>
    <cellStyle name="Normal 2 2 2 2 2 2 2 5 8 3" xfId="19283" xr:uid="{00000000-0005-0000-0000-000044480000}"/>
    <cellStyle name="Normal 2 2 2 2 2 2 2 5 8 4" xfId="19284" xr:uid="{00000000-0005-0000-0000-000045480000}"/>
    <cellStyle name="Normal 2 2 2 2 2 2 2 5 8 5" xfId="19285" xr:uid="{00000000-0005-0000-0000-000046480000}"/>
    <cellStyle name="Normal 2 2 2 2 2 2 2 5 8 6" xfId="19286" xr:uid="{00000000-0005-0000-0000-000047480000}"/>
    <cellStyle name="Normal 2 2 2 2 2 2 2 5 9" xfId="19287" xr:uid="{00000000-0005-0000-0000-000048480000}"/>
    <cellStyle name="Normal 2 2 2 2 2 2 2 50" xfId="19288" xr:uid="{00000000-0005-0000-0000-000049480000}"/>
    <cellStyle name="Normal 2 2 2 2 2 2 2 50 2" xfId="19289" xr:uid="{00000000-0005-0000-0000-00004A480000}"/>
    <cellStyle name="Normal 2 2 2 2 2 2 2 50 3" xfId="19290" xr:uid="{00000000-0005-0000-0000-00004B480000}"/>
    <cellStyle name="Normal 2 2 2 2 2 2 2 50 4" xfId="19291" xr:uid="{00000000-0005-0000-0000-00004C480000}"/>
    <cellStyle name="Normal 2 2 2 2 2 2 2 50 5" xfId="19292" xr:uid="{00000000-0005-0000-0000-00004D480000}"/>
    <cellStyle name="Normal 2 2 2 2 2 2 2 50 6" xfId="19293" xr:uid="{00000000-0005-0000-0000-00004E480000}"/>
    <cellStyle name="Normal 2 2 2 2 2 2 2 51" xfId="19294" xr:uid="{00000000-0005-0000-0000-00004F480000}"/>
    <cellStyle name="Normal 2 2 2 2 2 2 2 51 2" xfId="19295" xr:uid="{00000000-0005-0000-0000-000050480000}"/>
    <cellStyle name="Normal 2 2 2 2 2 2 2 51 3" xfId="19296" xr:uid="{00000000-0005-0000-0000-000051480000}"/>
    <cellStyle name="Normal 2 2 2 2 2 2 2 51 4" xfId="19297" xr:uid="{00000000-0005-0000-0000-000052480000}"/>
    <cellStyle name="Normal 2 2 2 2 2 2 2 51 5" xfId="19298" xr:uid="{00000000-0005-0000-0000-000053480000}"/>
    <cellStyle name="Normal 2 2 2 2 2 2 2 51 6" xfId="19299" xr:uid="{00000000-0005-0000-0000-000054480000}"/>
    <cellStyle name="Normal 2 2 2 2 2 2 2 52" xfId="19300" xr:uid="{00000000-0005-0000-0000-000055480000}"/>
    <cellStyle name="Normal 2 2 2 2 2 2 2 52 2" xfId="19301" xr:uid="{00000000-0005-0000-0000-000056480000}"/>
    <cellStyle name="Normal 2 2 2 2 2 2 2 52 3" xfId="19302" xr:uid="{00000000-0005-0000-0000-000057480000}"/>
    <cellStyle name="Normal 2 2 2 2 2 2 2 52 4" xfId="19303" xr:uid="{00000000-0005-0000-0000-000058480000}"/>
    <cellStyle name="Normal 2 2 2 2 2 2 2 52 5" xfId="19304" xr:uid="{00000000-0005-0000-0000-000059480000}"/>
    <cellStyle name="Normal 2 2 2 2 2 2 2 52 6" xfId="19305" xr:uid="{00000000-0005-0000-0000-00005A480000}"/>
    <cellStyle name="Normal 2 2 2 2 2 2 2 53" xfId="19306" xr:uid="{00000000-0005-0000-0000-00005B480000}"/>
    <cellStyle name="Normal 2 2 2 2 2 2 2 53 2" xfId="19307" xr:uid="{00000000-0005-0000-0000-00005C480000}"/>
    <cellStyle name="Normal 2 2 2 2 2 2 2 53 3" xfId="19308" xr:uid="{00000000-0005-0000-0000-00005D480000}"/>
    <cellStyle name="Normal 2 2 2 2 2 2 2 53 4" xfId="19309" xr:uid="{00000000-0005-0000-0000-00005E480000}"/>
    <cellStyle name="Normal 2 2 2 2 2 2 2 53 5" xfId="19310" xr:uid="{00000000-0005-0000-0000-00005F480000}"/>
    <cellStyle name="Normal 2 2 2 2 2 2 2 53 6" xfId="19311" xr:uid="{00000000-0005-0000-0000-000060480000}"/>
    <cellStyle name="Normal 2 2 2 2 2 2 2 54" xfId="19312" xr:uid="{00000000-0005-0000-0000-000061480000}"/>
    <cellStyle name="Normal 2 2 2 2 2 2 2 54 2" xfId="19313" xr:uid="{00000000-0005-0000-0000-000062480000}"/>
    <cellStyle name="Normal 2 2 2 2 2 2 2 54 3" xfId="19314" xr:uid="{00000000-0005-0000-0000-000063480000}"/>
    <cellStyle name="Normal 2 2 2 2 2 2 2 54 4" xfId="19315" xr:uid="{00000000-0005-0000-0000-000064480000}"/>
    <cellStyle name="Normal 2 2 2 2 2 2 2 54 5" xfId="19316" xr:uid="{00000000-0005-0000-0000-000065480000}"/>
    <cellStyle name="Normal 2 2 2 2 2 2 2 54 6" xfId="19317" xr:uid="{00000000-0005-0000-0000-000066480000}"/>
    <cellStyle name="Normal 2 2 2 2 2 2 2 55" xfId="19318" xr:uid="{00000000-0005-0000-0000-000067480000}"/>
    <cellStyle name="Normal 2 2 2 2 2 2 2 55 2" xfId="19319" xr:uid="{00000000-0005-0000-0000-000068480000}"/>
    <cellStyle name="Normal 2 2 2 2 2 2 2 55 3" xfId="19320" xr:uid="{00000000-0005-0000-0000-000069480000}"/>
    <cellStyle name="Normal 2 2 2 2 2 2 2 55 4" xfId="19321" xr:uid="{00000000-0005-0000-0000-00006A480000}"/>
    <cellStyle name="Normal 2 2 2 2 2 2 2 55 5" xfId="19322" xr:uid="{00000000-0005-0000-0000-00006B480000}"/>
    <cellStyle name="Normal 2 2 2 2 2 2 2 55 6" xfId="19323" xr:uid="{00000000-0005-0000-0000-00006C480000}"/>
    <cellStyle name="Normal 2 2 2 2 2 2 2 56" xfId="19324" xr:uid="{00000000-0005-0000-0000-00006D480000}"/>
    <cellStyle name="Normal 2 2 2 2 2 2 2 56 2" xfId="19325" xr:uid="{00000000-0005-0000-0000-00006E480000}"/>
    <cellStyle name="Normal 2 2 2 2 2 2 2 56 3" xfId="19326" xr:uid="{00000000-0005-0000-0000-00006F480000}"/>
    <cellStyle name="Normal 2 2 2 2 2 2 2 56 4" xfId="19327" xr:uid="{00000000-0005-0000-0000-000070480000}"/>
    <cellStyle name="Normal 2 2 2 2 2 2 2 56 5" xfId="19328" xr:uid="{00000000-0005-0000-0000-000071480000}"/>
    <cellStyle name="Normal 2 2 2 2 2 2 2 56 6" xfId="19329" xr:uid="{00000000-0005-0000-0000-000072480000}"/>
    <cellStyle name="Normal 2 2 2 2 2 2 2 57" xfId="19330" xr:uid="{00000000-0005-0000-0000-000073480000}"/>
    <cellStyle name="Normal 2 2 2 2 2 2 2 57 2" xfId="19331" xr:uid="{00000000-0005-0000-0000-000074480000}"/>
    <cellStyle name="Normal 2 2 2 2 2 2 2 57 3" xfId="19332" xr:uid="{00000000-0005-0000-0000-000075480000}"/>
    <cellStyle name="Normal 2 2 2 2 2 2 2 57 4" xfId="19333" xr:uid="{00000000-0005-0000-0000-000076480000}"/>
    <cellStyle name="Normal 2 2 2 2 2 2 2 57 5" xfId="19334" xr:uid="{00000000-0005-0000-0000-000077480000}"/>
    <cellStyle name="Normal 2 2 2 2 2 2 2 57 6" xfId="19335" xr:uid="{00000000-0005-0000-0000-000078480000}"/>
    <cellStyle name="Normal 2 2 2 2 2 2 2 58" xfId="19336" xr:uid="{00000000-0005-0000-0000-000079480000}"/>
    <cellStyle name="Normal 2 2 2 2 2 2 2 58 2" xfId="19337" xr:uid="{00000000-0005-0000-0000-00007A480000}"/>
    <cellStyle name="Normal 2 2 2 2 2 2 2 58 3" xfId="19338" xr:uid="{00000000-0005-0000-0000-00007B480000}"/>
    <cellStyle name="Normal 2 2 2 2 2 2 2 58 4" xfId="19339" xr:uid="{00000000-0005-0000-0000-00007C480000}"/>
    <cellStyle name="Normal 2 2 2 2 2 2 2 58 5" xfId="19340" xr:uid="{00000000-0005-0000-0000-00007D480000}"/>
    <cellStyle name="Normal 2 2 2 2 2 2 2 58 6" xfId="19341" xr:uid="{00000000-0005-0000-0000-00007E480000}"/>
    <cellStyle name="Normal 2 2 2 2 2 2 2 59" xfId="19342" xr:uid="{00000000-0005-0000-0000-00007F480000}"/>
    <cellStyle name="Normal 2 2 2 2 2 2 2 59 2" xfId="19343" xr:uid="{00000000-0005-0000-0000-000080480000}"/>
    <cellStyle name="Normal 2 2 2 2 2 2 2 59 3" xfId="19344" xr:uid="{00000000-0005-0000-0000-000081480000}"/>
    <cellStyle name="Normal 2 2 2 2 2 2 2 59 4" xfId="19345" xr:uid="{00000000-0005-0000-0000-000082480000}"/>
    <cellStyle name="Normal 2 2 2 2 2 2 2 59 5" xfId="19346" xr:uid="{00000000-0005-0000-0000-000083480000}"/>
    <cellStyle name="Normal 2 2 2 2 2 2 2 59 6" xfId="19347" xr:uid="{00000000-0005-0000-0000-000084480000}"/>
    <cellStyle name="Normal 2 2 2 2 2 2 2 6" xfId="19348" xr:uid="{00000000-0005-0000-0000-000085480000}"/>
    <cellStyle name="Normal 2 2 2 2 2 2 2 6 10" xfId="19349" xr:uid="{00000000-0005-0000-0000-000086480000}"/>
    <cellStyle name="Normal 2 2 2 2 2 2 2 6 11" xfId="19350" xr:uid="{00000000-0005-0000-0000-000087480000}"/>
    <cellStyle name="Normal 2 2 2 2 2 2 2 6 12" xfId="19351" xr:uid="{00000000-0005-0000-0000-000088480000}"/>
    <cellStyle name="Normal 2 2 2 2 2 2 2 6 13" xfId="19352" xr:uid="{00000000-0005-0000-0000-000089480000}"/>
    <cellStyle name="Normal 2 2 2 2 2 2 2 6 2" xfId="19353" xr:uid="{00000000-0005-0000-0000-00008A480000}"/>
    <cellStyle name="Normal 2 2 2 2 2 2 2 6 2 2" xfId="19354" xr:uid="{00000000-0005-0000-0000-00008B480000}"/>
    <cellStyle name="Normal 2 2 2 2 2 2 2 6 2 3" xfId="19355" xr:uid="{00000000-0005-0000-0000-00008C480000}"/>
    <cellStyle name="Normal 2 2 2 2 2 2 2 6 2 4" xfId="19356" xr:uid="{00000000-0005-0000-0000-00008D480000}"/>
    <cellStyle name="Normal 2 2 2 2 2 2 2 6 2 5" xfId="19357" xr:uid="{00000000-0005-0000-0000-00008E480000}"/>
    <cellStyle name="Normal 2 2 2 2 2 2 2 6 2 6" xfId="19358" xr:uid="{00000000-0005-0000-0000-00008F480000}"/>
    <cellStyle name="Normal 2 2 2 2 2 2 2 6 3" xfId="19359" xr:uid="{00000000-0005-0000-0000-000090480000}"/>
    <cellStyle name="Normal 2 2 2 2 2 2 2 6 3 2" xfId="19360" xr:uid="{00000000-0005-0000-0000-000091480000}"/>
    <cellStyle name="Normal 2 2 2 2 2 2 2 6 3 3" xfId="19361" xr:uid="{00000000-0005-0000-0000-000092480000}"/>
    <cellStyle name="Normal 2 2 2 2 2 2 2 6 3 4" xfId="19362" xr:uid="{00000000-0005-0000-0000-000093480000}"/>
    <cellStyle name="Normal 2 2 2 2 2 2 2 6 3 5" xfId="19363" xr:uid="{00000000-0005-0000-0000-000094480000}"/>
    <cellStyle name="Normal 2 2 2 2 2 2 2 6 3 6" xfId="19364" xr:uid="{00000000-0005-0000-0000-000095480000}"/>
    <cellStyle name="Normal 2 2 2 2 2 2 2 6 4" xfId="19365" xr:uid="{00000000-0005-0000-0000-000096480000}"/>
    <cellStyle name="Normal 2 2 2 2 2 2 2 6 4 2" xfId="19366" xr:uid="{00000000-0005-0000-0000-000097480000}"/>
    <cellStyle name="Normal 2 2 2 2 2 2 2 6 4 3" xfId="19367" xr:uid="{00000000-0005-0000-0000-000098480000}"/>
    <cellStyle name="Normal 2 2 2 2 2 2 2 6 4 4" xfId="19368" xr:uid="{00000000-0005-0000-0000-000099480000}"/>
    <cellStyle name="Normal 2 2 2 2 2 2 2 6 4 5" xfId="19369" xr:uid="{00000000-0005-0000-0000-00009A480000}"/>
    <cellStyle name="Normal 2 2 2 2 2 2 2 6 4 6" xfId="19370" xr:uid="{00000000-0005-0000-0000-00009B480000}"/>
    <cellStyle name="Normal 2 2 2 2 2 2 2 6 5" xfId="19371" xr:uid="{00000000-0005-0000-0000-00009C480000}"/>
    <cellStyle name="Normal 2 2 2 2 2 2 2 6 5 2" xfId="19372" xr:uid="{00000000-0005-0000-0000-00009D480000}"/>
    <cellStyle name="Normal 2 2 2 2 2 2 2 6 5 3" xfId="19373" xr:uid="{00000000-0005-0000-0000-00009E480000}"/>
    <cellStyle name="Normal 2 2 2 2 2 2 2 6 5 4" xfId="19374" xr:uid="{00000000-0005-0000-0000-00009F480000}"/>
    <cellStyle name="Normal 2 2 2 2 2 2 2 6 5 5" xfId="19375" xr:uid="{00000000-0005-0000-0000-0000A0480000}"/>
    <cellStyle name="Normal 2 2 2 2 2 2 2 6 5 6" xfId="19376" xr:uid="{00000000-0005-0000-0000-0000A1480000}"/>
    <cellStyle name="Normal 2 2 2 2 2 2 2 6 6" xfId="19377" xr:uid="{00000000-0005-0000-0000-0000A2480000}"/>
    <cellStyle name="Normal 2 2 2 2 2 2 2 6 6 2" xfId="19378" xr:uid="{00000000-0005-0000-0000-0000A3480000}"/>
    <cellStyle name="Normal 2 2 2 2 2 2 2 6 6 3" xfId="19379" xr:uid="{00000000-0005-0000-0000-0000A4480000}"/>
    <cellStyle name="Normal 2 2 2 2 2 2 2 6 6 4" xfId="19380" xr:uid="{00000000-0005-0000-0000-0000A5480000}"/>
    <cellStyle name="Normal 2 2 2 2 2 2 2 6 6 5" xfId="19381" xr:uid="{00000000-0005-0000-0000-0000A6480000}"/>
    <cellStyle name="Normal 2 2 2 2 2 2 2 6 6 6" xfId="19382" xr:uid="{00000000-0005-0000-0000-0000A7480000}"/>
    <cellStyle name="Normal 2 2 2 2 2 2 2 6 7" xfId="19383" xr:uid="{00000000-0005-0000-0000-0000A8480000}"/>
    <cellStyle name="Normal 2 2 2 2 2 2 2 6 7 2" xfId="19384" xr:uid="{00000000-0005-0000-0000-0000A9480000}"/>
    <cellStyle name="Normal 2 2 2 2 2 2 2 6 7 3" xfId="19385" xr:uid="{00000000-0005-0000-0000-0000AA480000}"/>
    <cellStyle name="Normal 2 2 2 2 2 2 2 6 7 4" xfId="19386" xr:uid="{00000000-0005-0000-0000-0000AB480000}"/>
    <cellStyle name="Normal 2 2 2 2 2 2 2 6 7 5" xfId="19387" xr:uid="{00000000-0005-0000-0000-0000AC480000}"/>
    <cellStyle name="Normal 2 2 2 2 2 2 2 6 7 6" xfId="19388" xr:uid="{00000000-0005-0000-0000-0000AD480000}"/>
    <cellStyle name="Normal 2 2 2 2 2 2 2 6 8" xfId="19389" xr:uid="{00000000-0005-0000-0000-0000AE480000}"/>
    <cellStyle name="Normal 2 2 2 2 2 2 2 6 8 2" xfId="19390" xr:uid="{00000000-0005-0000-0000-0000AF480000}"/>
    <cellStyle name="Normal 2 2 2 2 2 2 2 6 8 3" xfId="19391" xr:uid="{00000000-0005-0000-0000-0000B0480000}"/>
    <cellStyle name="Normal 2 2 2 2 2 2 2 6 8 4" xfId="19392" xr:uid="{00000000-0005-0000-0000-0000B1480000}"/>
    <cellStyle name="Normal 2 2 2 2 2 2 2 6 8 5" xfId="19393" xr:uid="{00000000-0005-0000-0000-0000B2480000}"/>
    <cellStyle name="Normal 2 2 2 2 2 2 2 6 8 6" xfId="19394" xr:uid="{00000000-0005-0000-0000-0000B3480000}"/>
    <cellStyle name="Normal 2 2 2 2 2 2 2 6 9" xfId="19395" xr:uid="{00000000-0005-0000-0000-0000B4480000}"/>
    <cellStyle name="Normal 2 2 2 2 2 2 2 60" xfId="19396" xr:uid="{00000000-0005-0000-0000-0000B5480000}"/>
    <cellStyle name="Normal 2 2 2 2 2 2 2 60 2" xfId="19397" xr:uid="{00000000-0005-0000-0000-0000B6480000}"/>
    <cellStyle name="Normal 2 2 2 2 2 2 2 60 3" xfId="19398" xr:uid="{00000000-0005-0000-0000-0000B7480000}"/>
    <cellStyle name="Normal 2 2 2 2 2 2 2 60 4" xfId="19399" xr:uid="{00000000-0005-0000-0000-0000B8480000}"/>
    <cellStyle name="Normal 2 2 2 2 2 2 2 60 5" xfId="19400" xr:uid="{00000000-0005-0000-0000-0000B9480000}"/>
    <cellStyle name="Normal 2 2 2 2 2 2 2 60 6" xfId="19401" xr:uid="{00000000-0005-0000-0000-0000BA480000}"/>
    <cellStyle name="Normal 2 2 2 2 2 2 2 61" xfId="19402" xr:uid="{00000000-0005-0000-0000-0000BB480000}"/>
    <cellStyle name="Normal 2 2 2 2 2 2 2 61 2" xfId="19403" xr:uid="{00000000-0005-0000-0000-0000BC480000}"/>
    <cellStyle name="Normal 2 2 2 2 2 2 2 61 3" xfId="19404" xr:uid="{00000000-0005-0000-0000-0000BD480000}"/>
    <cellStyle name="Normal 2 2 2 2 2 2 2 61 4" xfId="19405" xr:uid="{00000000-0005-0000-0000-0000BE480000}"/>
    <cellStyle name="Normal 2 2 2 2 2 2 2 61 5" xfId="19406" xr:uid="{00000000-0005-0000-0000-0000BF480000}"/>
    <cellStyle name="Normal 2 2 2 2 2 2 2 61 6" xfId="19407" xr:uid="{00000000-0005-0000-0000-0000C0480000}"/>
    <cellStyle name="Normal 2 2 2 2 2 2 2 62" xfId="19408" xr:uid="{00000000-0005-0000-0000-0000C1480000}"/>
    <cellStyle name="Normal 2 2 2 2 2 2 2 62 2" xfId="19409" xr:uid="{00000000-0005-0000-0000-0000C2480000}"/>
    <cellStyle name="Normal 2 2 2 2 2 2 2 62 2 2" xfId="19410" xr:uid="{00000000-0005-0000-0000-0000C3480000}"/>
    <cellStyle name="Normal 2 2 2 2 2 2 2 62 2 3" xfId="19411" xr:uid="{00000000-0005-0000-0000-0000C4480000}"/>
    <cellStyle name="Normal 2 2 2 2 2 2 2 62 2 4" xfId="19412" xr:uid="{00000000-0005-0000-0000-0000C5480000}"/>
    <cellStyle name="Normal 2 2 2 2 2 2 2 62 2 5" xfId="19413" xr:uid="{00000000-0005-0000-0000-0000C6480000}"/>
    <cellStyle name="Normal 2 2 2 2 2 2 2 62 2 6" xfId="19414" xr:uid="{00000000-0005-0000-0000-0000C7480000}"/>
    <cellStyle name="Normal 2 2 2 2 2 2 2 63" xfId="19415" xr:uid="{00000000-0005-0000-0000-0000C8480000}"/>
    <cellStyle name="Normal 2 2 2 2 2 2 2 63 10" xfId="19416" xr:uid="{00000000-0005-0000-0000-0000C9480000}"/>
    <cellStyle name="Normal 2 2 2 2 2 2 2 63 11" xfId="19417" xr:uid="{00000000-0005-0000-0000-0000CA480000}"/>
    <cellStyle name="Normal 2 2 2 2 2 2 2 63 2" xfId="19418" xr:uid="{00000000-0005-0000-0000-0000CB480000}"/>
    <cellStyle name="Normal 2 2 2 2 2 2 2 63 2 2" xfId="19419" xr:uid="{00000000-0005-0000-0000-0000CC480000}"/>
    <cellStyle name="Normal 2 2 2 2 2 2 2 63 2 2 2" xfId="19420" xr:uid="{00000000-0005-0000-0000-0000CD480000}"/>
    <cellStyle name="Normal 2 2 2 2 2 2 2 63 2 2 3" xfId="19421" xr:uid="{00000000-0005-0000-0000-0000CE480000}"/>
    <cellStyle name="Normal 2 2 2 2 2 2 2 63 2 3" xfId="19422" xr:uid="{00000000-0005-0000-0000-0000CF480000}"/>
    <cellStyle name="Normal 2 2 2 2 2 2 2 63 2 4" xfId="19423" xr:uid="{00000000-0005-0000-0000-0000D0480000}"/>
    <cellStyle name="Normal 2 2 2 2 2 2 2 63 2 5" xfId="19424" xr:uid="{00000000-0005-0000-0000-0000D1480000}"/>
    <cellStyle name="Normal 2 2 2 2 2 2 2 63 2 6" xfId="19425" xr:uid="{00000000-0005-0000-0000-0000D2480000}"/>
    <cellStyle name="Normal 2 2 2 2 2 2 2 63 2 7" xfId="19426" xr:uid="{00000000-0005-0000-0000-0000D3480000}"/>
    <cellStyle name="Normal 2 2 2 2 2 2 2 63 2 8" xfId="19427" xr:uid="{00000000-0005-0000-0000-0000D4480000}"/>
    <cellStyle name="Normal 2 2 2 2 2 2 2 63 2 9" xfId="19428" xr:uid="{00000000-0005-0000-0000-0000D5480000}"/>
    <cellStyle name="Normal 2 2 2 2 2 2 2 63 3" xfId="19429" xr:uid="{00000000-0005-0000-0000-0000D6480000}"/>
    <cellStyle name="Normal 2 2 2 2 2 2 2 63 4" xfId="19430" xr:uid="{00000000-0005-0000-0000-0000D7480000}"/>
    <cellStyle name="Normal 2 2 2 2 2 2 2 63 5" xfId="19431" xr:uid="{00000000-0005-0000-0000-0000D8480000}"/>
    <cellStyle name="Normal 2 2 2 2 2 2 2 63 5 2" xfId="19432" xr:uid="{00000000-0005-0000-0000-0000D9480000}"/>
    <cellStyle name="Normal 2 2 2 2 2 2 2 63 5 3" xfId="19433" xr:uid="{00000000-0005-0000-0000-0000DA480000}"/>
    <cellStyle name="Normal 2 2 2 2 2 2 2 63 6" xfId="19434" xr:uid="{00000000-0005-0000-0000-0000DB480000}"/>
    <cellStyle name="Normal 2 2 2 2 2 2 2 63 7" xfId="19435" xr:uid="{00000000-0005-0000-0000-0000DC480000}"/>
    <cellStyle name="Normal 2 2 2 2 2 2 2 63 8" xfId="19436" xr:uid="{00000000-0005-0000-0000-0000DD480000}"/>
    <cellStyle name="Normal 2 2 2 2 2 2 2 63 9" xfId="19437" xr:uid="{00000000-0005-0000-0000-0000DE480000}"/>
    <cellStyle name="Normal 2 2 2 2 2 2 2 64" xfId="19438" xr:uid="{00000000-0005-0000-0000-0000DF480000}"/>
    <cellStyle name="Normal 2 2 2 2 2 2 2 65" xfId="19439" xr:uid="{00000000-0005-0000-0000-0000E0480000}"/>
    <cellStyle name="Normal 2 2 2 2 2 2 2 66" xfId="19440" xr:uid="{00000000-0005-0000-0000-0000E1480000}"/>
    <cellStyle name="Normal 2 2 2 2 2 2 2 66 2" xfId="19441" xr:uid="{00000000-0005-0000-0000-0000E2480000}"/>
    <cellStyle name="Normal 2 2 2 2 2 2 2 66 2 2" xfId="19442" xr:uid="{00000000-0005-0000-0000-0000E3480000}"/>
    <cellStyle name="Normal 2 2 2 2 2 2 2 66 2 3" xfId="19443" xr:uid="{00000000-0005-0000-0000-0000E4480000}"/>
    <cellStyle name="Normal 2 2 2 2 2 2 2 66 3" xfId="19444" xr:uid="{00000000-0005-0000-0000-0000E5480000}"/>
    <cellStyle name="Normal 2 2 2 2 2 2 2 66 4" xfId="19445" xr:uid="{00000000-0005-0000-0000-0000E6480000}"/>
    <cellStyle name="Normal 2 2 2 2 2 2 2 66 5" xfId="19446" xr:uid="{00000000-0005-0000-0000-0000E7480000}"/>
    <cellStyle name="Normal 2 2 2 2 2 2 2 66 6" xfId="19447" xr:uid="{00000000-0005-0000-0000-0000E8480000}"/>
    <cellStyle name="Normal 2 2 2 2 2 2 2 66 7" xfId="19448" xr:uid="{00000000-0005-0000-0000-0000E9480000}"/>
    <cellStyle name="Normal 2 2 2 2 2 2 2 66 8" xfId="19449" xr:uid="{00000000-0005-0000-0000-0000EA480000}"/>
    <cellStyle name="Normal 2 2 2 2 2 2 2 66 9" xfId="19450" xr:uid="{00000000-0005-0000-0000-0000EB480000}"/>
    <cellStyle name="Normal 2 2 2 2 2 2 2 67" xfId="19451" xr:uid="{00000000-0005-0000-0000-0000EC480000}"/>
    <cellStyle name="Normal 2 2 2 2 2 2 2 68" xfId="19452" xr:uid="{00000000-0005-0000-0000-0000ED480000}"/>
    <cellStyle name="Normal 2 2 2 2 2 2 2 68 2" xfId="19453" xr:uid="{00000000-0005-0000-0000-0000EE480000}"/>
    <cellStyle name="Normal 2 2 2 2 2 2 2 68 3" xfId="19454" xr:uid="{00000000-0005-0000-0000-0000EF480000}"/>
    <cellStyle name="Normal 2 2 2 2 2 2 2 69" xfId="19455" xr:uid="{00000000-0005-0000-0000-0000F0480000}"/>
    <cellStyle name="Normal 2 2 2 2 2 2 2 7" xfId="19456" xr:uid="{00000000-0005-0000-0000-0000F1480000}"/>
    <cellStyle name="Normal 2 2 2 2 2 2 2 7 10" xfId="19457" xr:uid="{00000000-0005-0000-0000-0000F2480000}"/>
    <cellStyle name="Normal 2 2 2 2 2 2 2 7 11" xfId="19458" xr:uid="{00000000-0005-0000-0000-0000F3480000}"/>
    <cellStyle name="Normal 2 2 2 2 2 2 2 7 12" xfId="19459" xr:uid="{00000000-0005-0000-0000-0000F4480000}"/>
    <cellStyle name="Normal 2 2 2 2 2 2 2 7 13" xfId="19460" xr:uid="{00000000-0005-0000-0000-0000F5480000}"/>
    <cellStyle name="Normal 2 2 2 2 2 2 2 7 2" xfId="19461" xr:uid="{00000000-0005-0000-0000-0000F6480000}"/>
    <cellStyle name="Normal 2 2 2 2 2 2 2 7 2 2" xfId="19462" xr:uid="{00000000-0005-0000-0000-0000F7480000}"/>
    <cellStyle name="Normal 2 2 2 2 2 2 2 7 2 3" xfId="19463" xr:uid="{00000000-0005-0000-0000-0000F8480000}"/>
    <cellStyle name="Normal 2 2 2 2 2 2 2 7 2 4" xfId="19464" xr:uid="{00000000-0005-0000-0000-0000F9480000}"/>
    <cellStyle name="Normal 2 2 2 2 2 2 2 7 2 5" xfId="19465" xr:uid="{00000000-0005-0000-0000-0000FA480000}"/>
    <cellStyle name="Normal 2 2 2 2 2 2 2 7 2 6" xfId="19466" xr:uid="{00000000-0005-0000-0000-0000FB480000}"/>
    <cellStyle name="Normal 2 2 2 2 2 2 2 7 3" xfId="19467" xr:uid="{00000000-0005-0000-0000-0000FC480000}"/>
    <cellStyle name="Normal 2 2 2 2 2 2 2 7 3 2" xfId="19468" xr:uid="{00000000-0005-0000-0000-0000FD480000}"/>
    <cellStyle name="Normal 2 2 2 2 2 2 2 7 3 3" xfId="19469" xr:uid="{00000000-0005-0000-0000-0000FE480000}"/>
    <cellStyle name="Normal 2 2 2 2 2 2 2 7 3 4" xfId="19470" xr:uid="{00000000-0005-0000-0000-0000FF480000}"/>
    <cellStyle name="Normal 2 2 2 2 2 2 2 7 3 5" xfId="19471" xr:uid="{00000000-0005-0000-0000-000000490000}"/>
    <cellStyle name="Normal 2 2 2 2 2 2 2 7 3 6" xfId="19472" xr:uid="{00000000-0005-0000-0000-000001490000}"/>
    <cellStyle name="Normal 2 2 2 2 2 2 2 7 4" xfId="19473" xr:uid="{00000000-0005-0000-0000-000002490000}"/>
    <cellStyle name="Normal 2 2 2 2 2 2 2 7 4 2" xfId="19474" xr:uid="{00000000-0005-0000-0000-000003490000}"/>
    <cellStyle name="Normal 2 2 2 2 2 2 2 7 4 3" xfId="19475" xr:uid="{00000000-0005-0000-0000-000004490000}"/>
    <cellStyle name="Normal 2 2 2 2 2 2 2 7 4 4" xfId="19476" xr:uid="{00000000-0005-0000-0000-000005490000}"/>
    <cellStyle name="Normal 2 2 2 2 2 2 2 7 4 5" xfId="19477" xr:uid="{00000000-0005-0000-0000-000006490000}"/>
    <cellStyle name="Normal 2 2 2 2 2 2 2 7 4 6" xfId="19478" xr:uid="{00000000-0005-0000-0000-000007490000}"/>
    <cellStyle name="Normal 2 2 2 2 2 2 2 7 5" xfId="19479" xr:uid="{00000000-0005-0000-0000-000008490000}"/>
    <cellStyle name="Normal 2 2 2 2 2 2 2 7 5 2" xfId="19480" xr:uid="{00000000-0005-0000-0000-000009490000}"/>
    <cellStyle name="Normal 2 2 2 2 2 2 2 7 5 3" xfId="19481" xr:uid="{00000000-0005-0000-0000-00000A490000}"/>
    <cellStyle name="Normal 2 2 2 2 2 2 2 7 5 4" xfId="19482" xr:uid="{00000000-0005-0000-0000-00000B490000}"/>
    <cellStyle name="Normal 2 2 2 2 2 2 2 7 5 5" xfId="19483" xr:uid="{00000000-0005-0000-0000-00000C490000}"/>
    <cellStyle name="Normal 2 2 2 2 2 2 2 7 5 6" xfId="19484" xr:uid="{00000000-0005-0000-0000-00000D490000}"/>
    <cellStyle name="Normal 2 2 2 2 2 2 2 7 6" xfId="19485" xr:uid="{00000000-0005-0000-0000-00000E490000}"/>
    <cellStyle name="Normal 2 2 2 2 2 2 2 7 6 2" xfId="19486" xr:uid="{00000000-0005-0000-0000-00000F490000}"/>
    <cellStyle name="Normal 2 2 2 2 2 2 2 7 6 3" xfId="19487" xr:uid="{00000000-0005-0000-0000-000010490000}"/>
    <cellStyle name="Normal 2 2 2 2 2 2 2 7 6 4" xfId="19488" xr:uid="{00000000-0005-0000-0000-000011490000}"/>
    <cellStyle name="Normal 2 2 2 2 2 2 2 7 6 5" xfId="19489" xr:uid="{00000000-0005-0000-0000-000012490000}"/>
    <cellStyle name="Normal 2 2 2 2 2 2 2 7 6 6" xfId="19490" xr:uid="{00000000-0005-0000-0000-000013490000}"/>
    <cellStyle name="Normal 2 2 2 2 2 2 2 7 7" xfId="19491" xr:uid="{00000000-0005-0000-0000-000014490000}"/>
    <cellStyle name="Normal 2 2 2 2 2 2 2 7 7 2" xfId="19492" xr:uid="{00000000-0005-0000-0000-000015490000}"/>
    <cellStyle name="Normal 2 2 2 2 2 2 2 7 7 3" xfId="19493" xr:uid="{00000000-0005-0000-0000-000016490000}"/>
    <cellStyle name="Normal 2 2 2 2 2 2 2 7 7 4" xfId="19494" xr:uid="{00000000-0005-0000-0000-000017490000}"/>
    <cellStyle name="Normal 2 2 2 2 2 2 2 7 7 5" xfId="19495" xr:uid="{00000000-0005-0000-0000-000018490000}"/>
    <cellStyle name="Normal 2 2 2 2 2 2 2 7 7 6" xfId="19496" xr:uid="{00000000-0005-0000-0000-000019490000}"/>
    <cellStyle name="Normal 2 2 2 2 2 2 2 7 8" xfId="19497" xr:uid="{00000000-0005-0000-0000-00001A490000}"/>
    <cellStyle name="Normal 2 2 2 2 2 2 2 7 8 2" xfId="19498" xr:uid="{00000000-0005-0000-0000-00001B490000}"/>
    <cellStyle name="Normal 2 2 2 2 2 2 2 7 8 3" xfId="19499" xr:uid="{00000000-0005-0000-0000-00001C490000}"/>
    <cellStyle name="Normal 2 2 2 2 2 2 2 7 8 4" xfId="19500" xr:uid="{00000000-0005-0000-0000-00001D490000}"/>
    <cellStyle name="Normal 2 2 2 2 2 2 2 7 8 5" xfId="19501" xr:uid="{00000000-0005-0000-0000-00001E490000}"/>
    <cellStyle name="Normal 2 2 2 2 2 2 2 7 8 6" xfId="19502" xr:uid="{00000000-0005-0000-0000-00001F490000}"/>
    <cellStyle name="Normal 2 2 2 2 2 2 2 7 9" xfId="19503" xr:uid="{00000000-0005-0000-0000-000020490000}"/>
    <cellStyle name="Normal 2 2 2 2 2 2 2 70" xfId="19504" xr:uid="{00000000-0005-0000-0000-000021490000}"/>
    <cellStyle name="Normal 2 2 2 2 2 2 2 71" xfId="19505" xr:uid="{00000000-0005-0000-0000-000022490000}"/>
    <cellStyle name="Normal 2 2 2 2 2 2 2 72" xfId="19506" xr:uid="{00000000-0005-0000-0000-000023490000}"/>
    <cellStyle name="Normal 2 2 2 2 2 2 2 73" xfId="19507" xr:uid="{00000000-0005-0000-0000-000024490000}"/>
    <cellStyle name="Normal 2 2 2 2 2 2 2 74" xfId="19508" xr:uid="{00000000-0005-0000-0000-000025490000}"/>
    <cellStyle name="Normal 2 2 2 2 2 2 2 75" xfId="19509" xr:uid="{00000000-0005-0000-0000-000026490000}"/>
    <cellStyle name="Normal 2 2 2 2 2 2 2 8" xfId="19510" xr:uid="{00000000-0005-0000-0000-000027490000}"/>
    <cellStyle name="Normal 2 2 2 2 2 2 2 8 10" xfId="19511" xr:uid="{00000000-0005-0000-0000-000028490000}"/>
    <cellStyle name="Normal 2 2 2 2 2 2 2 8 11" xfId="19512" xr:uid="{00000000-0005-0000-0000-000029490000}"/>
    <cellStyle name="Normal 2 2 2 2 2 2 2 8 12" xfId="19513" xr:uid="{00000000-0005-0000-0000-00002A490000}"/>
    <cellStyle name="Normal 2 2 2 2 2 2 2 8 13" xfId="19514" xr:uid="{00000000-0005-0000-0000-00002B490000}"/>
    <cellStyle name="Normal 2 2 2 2 2 2 2 8 2" xfId="19515" xr:uid="{00000000-0005-0000-0000-00002C490000}"/>
    <cellStyle name="Normal 2 2 2 2 2 2 2 8 2 2" xfId="19516" xr:uid="{00000000-0005-0000-0000-00002D490000}"/>
    <cellStyle name="Normal 2 2 2 2 2 2 2 8 2 3" xfId="19517" xr:uid="{00000000-0005-0000-0000-00002E490000}"/>
    <cellStyle name="Normal 2 2 2 2 2 2 2 8 2 4" xfId="19518" xr:uid="{00000000-0005-0000-0000-00002F490000}"/>
    <cellStyle name="Normal 2 2 2 2 2 2 2 8 2 5" xfId="19519" xr:uid="{00000000-0005-0000-0000-000030490000}"/>
    <cellStyle name="Normal 2 2 2 2 2 2 2 8 2 6" xfId="19520" xr:uid="{00000000-0005-0000-0000-000031490000}"/>
    <cellStyle name="Normal 2 2 2 2 2 2 2 8 3" xfId="19521" xr:uid="{00000000-0005-0000-0000-000032490000}"/>
    <cellStyle name="Normal 2 2 2 2 2 2 2 8 3 2" xfId="19522" xr:uid="{00000000-0005-0000-0000-000033490000}"/>
    <cellStyle name="Normal 2 2 2 2 2 2 2 8 3 3" xfId="19523" xr:uid="{00000000-0005-0000-0000-000034490000}"/>
    <cellStyle name="Normal 2 2 2 2 2 2 2 8 3 4" xfId="19524" xr:uid="{00000000-0005-0000-0000-000035490000}"/>
    <cellStyle name="Normal 2 2 2 2 2 2 2 8 3 5" xfId="19525" xr:uid="{00000000-0005-0000-0000-000036490000}"/>
    <cellStyle name="Normal 2 2 2 2 2 2 2 8 3 6" xfId="19526" xr:uid="{00000000-0005-0000-0000-000037490000}"/>
    <cellStyle name="Normal 2 2 2 2 2 2 2 8 4" xfId="19527" xr:uid="{00000000-0005-0000-0000-000038490000}"/>
    <cellStyle name="Normal 2 2 2 2 2 2 2 8 4 2" xfId="19528" xr:uid="{00000000-0005-0000-0000-000039490000}"/>
    <cellStyle name="Normal 2 2 2 2 2 2 2 8 4 3" xfId="19529" xr:uid="{00000000-0005-0000-0000-00003A490000}"/>
    <cellStyle name="Normal 2 2 2 2 2 2 2 8 4 4" xfId="19530" xr:uid="{00000000-0005-0000-0000-00003B490000}"/>
    <cellStyle name="Normal 2 2 2 2 2 2 2 8 4 5" xfId="19531" xr:uid="{00000000-0005-0000-0000-00003C490000}"/>
    <cellStyle name="Normal 2 2 2 2 2 2 2 8 4 6" xfId="19532" xr:uid="{00000000-0005-0000-0000-00003D490000}"/>
    <cellStyle name="Normal 2 2 2 2 2 2 2 8 5" xfId="19533" xr:uid="{00000000-0005-0000-0000-00003E490000}"/>
    <cellStyle name="Normal 2 2 2 2 2 2 2 8 5 2" xfId="19534" xr:uid="{00000000-0005-0000-0000-00003F490000}"/>
    <cellStyle name="Normal 2 2 2 2 2 2 2 8 5 3" xfId="19535" xr:uid="{00000000-0005-0000-0000-000040490000}"/>
    <cellStyle name="Normal 2 2 2 2 2 2 2 8 5 4" xfId="19536" xr:uid="{00000000-0005-0000-0000-000041490000}"/>
    <cellStyle name="Normal 2 2 2 2 2 2 2 8 5 5" xfId="19537" xr:uid="{00000000-0005-0000-0000-000042490000}"/>
    <cellStyle name="Normal 2 2 2 2 2 2 2 8 5 6" xfId="19538" xr:uid="{00000000-0005-0000-0000-000043490000}"/>
    <cellStyle name="Normal 2 2 2 2 2 2 2 8 6" xfId="19539" xr:uid="{00000000-0005-0000-0000-000044490000}"/>
    <cellStyle name="Normal 2 2 2 2 2 2 2 8 6 2" xfId="19540" xr:uid="{00000000-0005-0000-0000-000045490000}"/>
    <cellStyle name="Normal 2 2 2 2 2 2 2 8 6 3" xfId="19541" xr:uid="{00000000-0005-0000-0000-000046490000}"/>
    <cellStyle name="Normal 2 2 2 2 2 2 2 8 6 4" xfId="19542" xr:uid="{00000000-0005-0000-0000-000047490000}"/>
    <cellStyle name="Normal 2 2 2 2 2 2 2 8 6 5" xfId="19543" xr:uid="{00000000-0005-0000-0000-000048490000}"/>
    <cellStyle name="Normal 2 2 2 2 2 2 2 8 6 6" xfId="19544" xr:uid="{00000000-0005-0000-0000-000049490000}"/>
    <cellStyle name="Normal 2 2 2 2 2 2 2 8 7" xfId="19545" xr:uid="{00000000-0005-0000-0000-00004A490000}"/>
    <cellStyle name="Normal 2 2 2 2 2 2 2 8 7 2" xfId="19546" xr:uid="{00000000-0005-0000-0000-00004B490000}"/>
    <cellStyle name="Normal 2 2 2 2 2 2 2 8 7 3" xfId="19547" xr:uid="{00000000-0005-0000-0000-00004C490000}"/>
    <cellStyle name="Normal 2 2 2 2 2 2 2 8 7 4" xfId="19548" xr:uid="{00000000-0005-0000-0000-00004D490000}"/>
    <cellStyle name="Normal 2 2 2 2 2 2 2 8 7 5" xfId="19549" xr:uid="{00000000-0005-0000-0000-00004E490000}"/>
    <cellStyle name="Normal 2 2 2 2 2 2 2 8 7 6" xfId="19550" xr:uid="{00000000-0005-0000-0000-00004F490000}"/>
    <cellStyle name="Normal 2 2 2 2 2 2 2 8 8" xfId="19551" xr:uid="{00000000-0005-0000-0000-000050490000}"/>
    <cellStyle name="Normal 2 2 2 2 2 2 2 8 8 2" xfId="19552" xr:uid="{00000000-0005-0000-0000-000051490000}"/>
    <cellStyle name="Normal 2 2 2 2 2 2 2 8 8 3" xfId="19553" xr:uid="{00000000-0005-0000-0000-000052490000}"/>
    <cellStyle name="Normal 2 2 2 2 2 2 2 8 8 4" xfId="19554" xr:uid="{00000000-0005-0000-0000-000053490000}"/>
    <cellStyle name="Normal 2 2 2 2 2 2 2 8 8 5" xfId="19555" xr:uid="{00000000-0005-0000-0000-000054490000}"/>
    <cellStyle name="Normal 2 2 2 2 2 2 2 8 8 6" xfId="19556" xr:uid="{00000000-0005-0000-0000-000055490000}"/>
    <cellStyle name="Normal 2 2 2 2 2 2 2 8 9" xfId="19557" xr:uid="{00000000-0005-0000-0000-000056490000}"/>
    <cellStyle name="Normal 2 2 2 2 2 2 2 9" xfId="19558" xr:uid="{00000000-0005-0000-0000-000057490000}"/>
    <cellStyle name="Normal 2 2 2 2 2 2 2 9 10" xfId="19559" xr:uid="{00000000-0005-0000-0000-000058490000}"/>
    <cellStyle name="Normal 2 2 2 2 2 2 2 9 11" xfId="19560" xr:uid="{00000000-0005-0000-0000-000059490000}"/>
    <cellStyle name="Normal 2 2 2 2 2 2 2 9 12" xfId="19561" xr:uid="{00000000-0005-0000-0000-00005A490000}"/>
    <cellStyle name="Normal 2 2 2 2 2 2 2 9 13" xfId="19562" xr:uid="{00000000-0005-0000-0000-00005B490000}"/>
    <cellStyle name="Normal 2 2 2 2 2 2 2 9 2" xfId="19563" xr:uid="{00000000-0005-0000-0000-00005C490000}"/>
    <cellStyle name="Normal 2 2 2 2 2 2 2 9 2 2" xfId="19564" xr:uid="{00000000-0005-0000-0000-00005D490000}"/>
    <cellStyle name="Normal 2 2 2 2 2 2 2 9 2 3" xfId="19565" xr:uid="{00000000-0005-0000-0000-00005E490000}"/>
    <cellStyle name="Normal 2 2 2 2 2 2 2 9 2 4" xfId="19566" xr:uid="{00000000-0005-0000-0000-00005F490000}"/>
    <cellStyle name="Normal 2 2 2 2 2 2 2 9 2 5" xfId="19567" xr:uid="{00000000-0005-0000-0000-000060490000}"/>
    <cellStyle name="Normal 2 2 2 2 2 2 2 9 2 6" xfId="19568" xr:uid="{00000000-0005-0000-0000-000061490000}"/>
    <cellStyle name="Normal 2 2 2 2 2 2 2 9 3" xfId="19569" xr:uid="{00000000-0005-0000-0000-000062490000}"/>
    <cellStyle name="Normal 2 2 2 2 2 2 2 9 3 2" xfId="19570" xr:uid="{00000000-0005-0000-0000-000063490000}"/>
    <cellStyle name="Normal 2 2 2 2 2 2 2 9 3 3" xfId="19571" xr:uid="{00000000-0005-0000-0000-000064490000}"/>
    <cellStyle name="Normal 2 2 2 2 2 2 2 9 3 4" xfId="19572" xr:uid="{00000000-0005-0000-0000-000065490000}"/>
    <cellStyle name="Normal 2 2 2 2 2 2 2 9 3 5" xfId="19573" xr:uid="{00000000-0005-0000-0000-000066490000}"/>
    <cellStyle name="Normal 2 2 2 2 2 2 2 9 3 6" xfId="19574" xr:uid="{00000000-0005-0000-0000-000067490000}"/>
    <cellStyle name="Normal 2 2 2 2 2 2 2 9 4" xfId="19575" xr:uid="{00000000-0005-0000-0000-000068490000}"/>
    <cellStyle name="Normal 2 2 2 2 2 2 2 9 4 2" xfId="19576" xr:uid="{00000000-0005-0000-0000-000069490000}"/>
    <cellStyle name="Normal 2 2 2 2 2 2 2 9 4 3" xfId="19577" xr:uid="{00000000-0005-0000-0000-00006A490000}"/>
    <cellStyle name="Normal 2 2 2 2 2 2 2 9 4 4" xfId="19578" xr:uid="{00000000-0005-0000-0000-00006B490000}"/>
    <cellStyle name="Normal 2 2 2 2 2 2 2 9 4 5" xfId="19579" xr:uid="{00000000-0005-0000-0000-00006C490000}"/>
    <cellStyle name="Normal 2 2 2 2 2 2 2 9 4 6" xfId="19580" xr:uid="{00000000-0005-0000-0000-00006D490000}"/>
    <cellStyle name="Normal 2 2 2 2 2 2 2 9 5" xfId="19581" xr:uid="{00000000-0005-0000-0000-00006E490000}"/>
    <cellStyle name="Normal 2 2 2 2 2 2 2 9 5 2" xfId="19582" xr:uid="{00000000-0005-0000-0000-00006F490000}"/>
    <cellStyle name="Normal 2 2 2 2 2 2 2 9 5 3" xfId="19583" xr:uid="{00000000-0005-0000-0000-000070490000}"/>
    <cellStyle name="Normal 2 2 2 2 2 2 2 9 5 4" xfId="19584" xr:uid="{00000000-0005-0000-0000-000071490000}"/>
    <cellStyle name="Normal 2 2 2 2 2 2 2 9 5 5" xfId="19585" xr:uid="{00000000-0005-0000-0000-000072490000}"/>
    <cellStyle name="Normal 2 2 2 2 2 2 2 9 5 6" xfId="19586" xr:uid="{00000000-0005-0000-0000-000073490000}"/>
    <cellStyle name="Normal 2 2 2 2 2 2 2 9 6" xfId="19587" xr:uid="{00000000-0005-0000-0000-000074490000}"/>
    <cellStyle name="Normal 2 2 2 2 2 2 2 9 6 2" xfId="19588" xr:uid="{00000000-0005-0000-0000-000075490000}"/>
    <cellStyle name="Normal 2 2 2 2 2 2 2 9 6 3" xfId="19589" xr:uid="{00000000-0005-0000-0000-000076490000}"/>
    <cellStyle name="Normal 2 2 2 2 2 2 2 9 6 4" xfId="19590" xr:uid="{00000000-0005-0000-0000-000077490000}"/>
    <cellStyle name="Normal 2 2 2 2 2 2 2 9 6 5" xfId="19591" xr:uid="{00000000-0005-0000-0000-000078490000}"/>
    <cellStyle name="Normal 2 2 2 2 2 2 2 9 6 6" xfId="19592" xr:uid="{00000000-0005-0000-0000-000079490000}"/>
    <cellStyle name="Normal 2 2 2 2 2 2 2 9 7" xfId="19593" xr:uid="{00000000-0005-0000-0000-00007A490000}"/>
    <cellStyle name="Normal 2 2 2 2 2 2 2 9 7 2" xfId="19594" xr:uid="{00000000-0005-0000-0000-00007B490000}"/>
    <cellStyle name="Normal 2 2 2 2 2 2 2 9 7 3" xfId="19595" xr:uid="{00000000-0005-0000-0000-00007C490000}"/>
    <cellStyle name="Normal 2 2 2 2 2 2 2 9 7 4" xfId="19596" xr:uid="{00000000-0005-0000-0000-00007D490000}"/>
    <cellStyle name="Normal 2 2 2 2 2 2 2 9 7 5" xfId="19597" xr:uid="{00000000-0005-0000-0000-00007E490000}"/>
    <cellStyle name="Normal 2 2 2 2 2 2 2 9 7 6" xfId="19598" xr:uid="{00000000-0005-0000-0000-00007F490000}"/>
    <cellStyle name="Normal 2 2 2 2 2 2 2 9 8" xfId="19599" xr:uid="{00000000-0005-0000-0000-000080490000}"/>
    <cellStyle name="Normal 2 2 2 2 2 2 2 9 8 2" xfId="19600" xr:uid="{00000000-0005-0000-0000-000081490000}"/>
    <cellStyle name="Normal 2 2 2 2 2 2 2 9 8 3" xfId="19601" xr:uid="{00000000-0005-0000-0000-000082490000}"/>
    <cellStyle name="Normal 2 2 2 2 2 2 2 9 8 4" xfId="19602" xr:uid="{00000000-0005-0000-0000-000083490000}"/>
    <cellStyle name="Normal 2 2 2 2 2 2 2 9 8 5" xfId="19603" xr:uid="{00000000-0005-0000-0000-000084490000}"/>
    <cellStyle name="Normal 2 2 2 2 2 2 2 9 8 6" xfId="19604" xr:uid="{00000000-0005-0000-0000-000085490000}"/>
    <cellStyle name="Normal 2 2 2 2 2 2 2 9 9" xfId="19605" xr:uid="{00000000-0005-0000-0000-000086490000}"/>
    <cellStyle name="Normal 2 2 2 2 2 2 20" xfId="19606" xr:uid="{00000000-0005-0000-0000-000087490000}"/>
    <cellStyle name="Normal 2 2 2 2 2 2 20 10" xfId="19607" xr:uid="{00000000-0005-0000-0000-000088490000}"/>
    <cellStyle name="Normal 2 2 2 2 2 2 20 11" xfId="19608" xr:uid="{00000000-0005-0000-0000-000089490000}"/>
    <cellStyle name="Normal 2 2 2 2 2 2 20 12" xfId="19609" xr:uid="{00000000-0005-0000-0000-00008A490000}"/>
    <cellStyle name="Normal 2 2 2 2 2 2 20 13" xfId="19610" xr:uid="{00000000-0005-0000-0000-00008B490000}"/>
    <cellStyle name="Normal 2 2 2 2 2 2 20 2" xfId="19611" xr:uid="{00000000-0005-0000-0000-00008C490000}"/>
    <cellStyle name="Normal 2 2 2 2 2 2 20 2 2" xfId="19612" xr:uid="{00000000-0005-0000-0000-00008D490000}"/>
    <cellStyle name="Normal 2 2 2 2 2 2 20 2 3" xfId="19613" xr:uid="{00000000-0005-0000-0000-00008E490000}"/>
    <cellStyle name="Normal 2 2 2 2 2 2 20 2 4" xfId="19614" xr:uid="{00000000-0005-0000-0000-00008F490000}"/>
    <cellStyle name="Normal 2 2 2 2 2 2 20 2 5" xfId="19615" xr:uid="{00000000-0005-0000-0000-000090490000}"/>
    <cellStyle name="Normal 2 2 2 2 2 2 20 2 6" xfId="19616" xr:uid="{00000000-0005-0000-0000-000091490000}"/>
    <cellStyle name="Normal 2 2 2 2 2 2 20 3" xfId="19617" xr:uid="{00000000-0005-0000-0000-000092490000}"/>
    <cellStyle name="Normal 2 2 2 2 2 2 20 3 2" xfId="19618" xr:uid="{00000000-0005-0000-0000-000093490000}"/>
    <cellStyle name="Normal 2 2 2 2 2 2 20 3 3" xfId="19619" xr:uid="{00000000-0005-0000-0000-000094490000}"/>
    <cellStyle name="Normal 2 2 2 2 2 2 20 3 4" xfId="19620" xr:uid="{00000000-0005-0000-0000-000095490000}"/>
    <cellStyle name="Normal 2 2 2 2 2 2 20 3 5" xfId="19621" xr:uid="{00000000-0005-0000-0000-000096490000}"/>
    <cellStyle name="Normal 2 2 2 2 2 2 20 3 6" xfId="19622" xr:uid="{00000000-0005-0000-0000-000097490000}"/>
    <cellStyle name="Normal 2 2 2 2 2 2 20 4" xfId="19623" xr:uid="{00000000-0005-0000-0000-000098490000}"/>
    <cellStyle name="Normal 2 2 2 2 2 2 20 4 2" xfId="19624" xr:uid="{00000000-0005-0000-0000-000099490000}"/>
    <cellStyle name="Normal 2 2 2 2 2 2 20 4 3" xfId="19625" xr:uid="{00000000-0005-0000-0000-00009A490000}"/>
    <cellStyle name="Normal 2 2 2 2 2 2 20 4 4" xfId="19626" xr:uid="{00000000-0005-0000-0000-00009B490000}"/>
    <cellStyle name="Normal 2 2 2 2 2 2 20 4 5" xfId="19627" xr:uid="{00000000-0005-0000-0000-00009C490000}"/>
    <cellStyle name="Normal 2 2 2 2 2 2 20 4 6" xfId="19628" xr:uid="{00000000-0005-0000-0000-00009D490000}"/>
    <cellStyle name="Normal 2 2 2 2 2 2 20 5" xfId="19629" xr:uid="{00000000-0005-0000-0000-00009E490000}"/>
    <cellStyle name="Normal 2 2 2 2 2 2 20 5 2" xfId="19630" xr:uid="{00000000-0005-0000-0000-00009F490000}"/>
    <cellStyle name="Normal 2 2 2 2 2 2 20 5 3" xfId="19631" xr:uid="{00000000-0005-0000-0000-0000A0490000}"/>
    <cellStyle name="Normal 2 2 2 2 2 2 20 5 4" xfId="19632" xr:uid="{00000000-0005-0000-0000-0000A1490000}"/>
    <cellStyle name="Normal 2 2 2 2 2 2 20 5 5" xfId="19633" xr:uid="{00000000-0005-0000-0000-0000A2490000}"/>
    <cellStyle name="Normal 2 2 2 2 2 2 20 5 6" xfId="19634" xr:uid="{00000000-0005-0000-0000-0000A3490000}"/>
    <cellStyle name="Normal 2 2 2 2 2 2 20 6" xfId="19635" xr:uid="{00000000-0005-0000-0000-0000A4490000}"/>
    <cellStyle name="Normal 2 2 2 2 2 2 20 6 2" xfId="19636" xr:uid="{00000000-0005-0000-0000-0000A5490000}"/>
    <cellStyle name="Normal 2 2 2 2 2 2 20 6 3" xfId="19637" xr:uid="{00000000-0005-0000-0000-0000A6490000}"/>
    <cellStyle name="Normal 2 2 2 2 2 2 20 6 4" xfId="19638" xr:uid="{00000000-0005-0000-0000-0000A7490000}"/>
    <cellStyle name="Normal 2 2 2 2 2 2 20 6 5" xfId="19639" xr:uid="{00000000-0005-0000-0000-0000A8490000}"/>
    <cellStyle name="Normal 2 2 2 2 2 2 20 6 6" xfId="19640" xr:uid="{00000000-0005-0000-0000-0000A9490000}"/>
    <cellStyle name="Normal 2 2 2 2 2 2 20 7" xfId="19641" xr:uid="{00000000-0005-0000-0000-0000AA490000}"/>
    <cellStyle name="Normal 2 2 2 2 2 2 20 7 2" xfId="19642" xr:uid="{00000000-0005-0000-0000-0000AB490000}"/>
    <cellStyle name="Normal 2 2 2 2 2 2 20 7 3" xfId="19643" xr:uid="{00000000-0005-0000-0000-0000AC490000}"/>
    <cellStyle name="Normal 2 2 2 2 2 2 20 7 4" xfId="19644" xr:uid="{00000000-0005-0000-0000-0000AD490000}"/>
    <cellStyle name="Normal 2 2 2 2 2 2 20 7 5" xfId="19645" xr:uid="{00000000-0005-0000-0000-0000AE490000}"/>
    <cellStyle name="Normal 2 2 2 2 2 2 20 7 6" xfId="19646" xr:uid="{00000000-0005-0000-0000-0000AF490000}"/>
    <cellStyle name="Normal 2 2 2 2 2 2 20 8" xfId="19647" xr:uid="{00000000-0005-0000-0000-0000B0490000}"/>
    <cellStyle name="Normal 2 2 2 2 2 2 20 8 2" xfId="19648" xr:uid="{00000000-0005-0000-0000-0000B1490000}"/>
    <cellStyle name="Normal 2 2 2 2 2 2 20 8 3" xfId="19649" xr:uid="{00000000-0005-0000-0000-0000B2490000}"/>
    <cellStyle name="Normal 2 2 2 2 2 2 20 8 4" xfId="19650" xr:uid="{00000000-0005-0000-0000-0000B3490000}"/>
    <cellStyle name="Normal 2 2 2 2 2 2 20 8 5" xfId="19651" xr:uid="{00000000-0005-0000-0000-0000B4490000}"/>
    <cellStyle name="Normal 2 2 2 2 2 2 20 8 6" xfId="19652" xr:uid="{00000000-0005-0000-0000-0000B5490000}"/>
    <cellStyle name="Normal 2 2 2 2 2 2 20 9" xfId="19653" xr:uid="{00000000-0005-0000-0000-0000B6490000}"/>
    <cellStyle name="Normal 2 2 2 2 2 2 21" xfId="19654" xr:uid="{00000000-0005-0000-0000-0000B7490000}"/>
    <cellStyle name="Normal 2 2 2 2 2 2 21 10" xfId="19655" xr:uid="{00000000-0005-0000-0000-0000B8490000}"/>
    <cellStyle name="Normal 2 2 2 2 2 2 21 11" xfId="19656" xr:uid="{00000000-0005-0000-0000-0000B9490000}"/>
    <cellStyle name="Normal 2 2 2 2 2 2 21 12" xfId="19657" xr:uid="{00000000-0005-0000-0000-0000BA490000}"/>
    <cellStyle name="Normal 2 2 2 2 2 2 21 13" xfId="19658" xr:uid="{00000000-0005-0000-0000-0000BB490000}"/>
    <cellStyle name="Normal 2 2 2 2 2 2 21 2" xfId="19659" xr:uid="{00000000-0005-0000-0000-0000BC490000}"/>
    <cellStyle name="Normal 2 2 2 2 2 2 21 2 2" xfId="19660" xr:uid="{00000000-0005-0000-0000-0000BD490000}"/>
    <cellStyle name="Normal 2 2 2 2 2 2 21 2 3" xfId="19661" xr:uid="{00000000-0005-0000-0000-0000BE490000}"/>
    <cellStyle name="Normal 2 2 2 2 2 2 21 2 4" xfId="19662" xr:uid="{00000000-0005-0000-0000-0000BF490000}"/>
    <cellStyle name="Normal 2 2 2 2 2 2 21 2 5" xfId="19663" xr:uid="{00000000-0005-0000-0000-0000C0490000}"/>
    <cellStyle name="Normal 2 2 2 2 2 2 21 2 6" xfId="19664" xr:uid="{00000000-0005-0000-0000-0000C1490000}"/>
    <cellStyle name="Normal 2 2 2 2 2 2 21 3" xfId="19665" xr:uid="{00000000-0005-0000-0000-0000C2490000}"/>
    <cellStyle name="Normal 2 2 2 2 2 2 21 3 2" xfId="19666" xr:uid="{00000000-0005-0000-0000-0000C3490000}"/>
    <cellStyle name="Normal 2 2 2 2 2 2 21 3 3" xfId="19667" xr:uid="{00000000-0005-0000-0000-0000C4490000}"/>
    <cellStyle name="Normal 2 2 2 2 2 2 21 3 4" xfId="19668" xr:uid="{00000000-0005-0000-0000-0000C5490000}"/>
    <cellStyle name="Normal 2 2 2 2 2 2 21 3 5" xfId="19669" xr:uid="{00000000-0005-0000-0000-0000C6490000}"/>
    <cellStyle name="Normal 2 2 2 2 2 2 21 3 6" xfId="19670" xr:uid="{00000000-0005-0000-0000-0000C7490000}"/>
    <cellStyle name="Normal 2 2 2 2 2 2 21 4" xfId="19671" xr:uid="{00000000-0005-0000-0000-0000C8490000}"/>
    <cellStyle name="Normal 2 2 2 2 2 2 21 4 2" xfId="19672" xr:uid="{00000000-0005-0000-0000-0000C9490000}"/>
    <cellStyle name="Normal 2 2 2 2 2 2 21 4 3" xfId="19673" xr:uid="{00000000-0005-0000-0000-0000CA490000}"/>
    <cellStyle name="Normal 2 2 2 2 2 2 21 4 4" xfId="19674" xr:uid="{00000000-0005-0000-0000-0000CB490000}"/>
    <cellStyle name="Normal 2 2 2 2 2 2 21 4 5" xfId="19675" xr:uid="{00000000-0005-0000-0000-0000CC490000}"/>
    <cellStyle name="Normal 2 2 2 2 2 2 21 4 6" xfId="19676" xr:uid="{00000000-0005-0000-0000-0000CD490000}"/>
    <cellStyle name="Normal 2 2 2 2 2 2 21 5" xfId="19677" xr:uid="{00000000-0005-0000-0000-0000CE490000}"/>
    <cellStyle name="Normal 2 2 2 2 2 2 21 5 2" xfId="19678" xr:uid="{00000000-0005-0000-0000-0000CF490000}"/>
    <cellStyle name="Normal 2 2 2 2 2 2 21 5 3" xfId="19679" xr:uid="{00000000-0005-0000-0000-0000D0490000}"/>
    <cellStyle name="Normal 2 2 2 2 2 2 21 5 4" xfId="19680" xr:uid="{00000000-0005-0000-0000-0000D1490000}"/>
    <cellStyle name="Normal 2 2 2 2 2 2 21 5 5" xfId="19681" xr:uid="{00000000-0005-0000-0000-0000D2490000}"/>
    <cellStyle name="Normal 2 2 2 2 2 2 21 5 6" xfId="19682" xr:uid="{00000000-0005-0000-0000-0000D3490000}"/>
    <cellStyle name="Normal 2 2 2 2 2 2 21 6" xfId="19683" xr:uid="{00000000-0005-0000-0000-0000D4490000}"/>
    <cellStyle name="Normal 2 2 2 2 2 2 21 6 2" xfId="19684" xr:uid="{00000000-0005-0000-0000-0000D5490000}"/>
    <cellStyle name="Normal 2 2 2 2 2 2 21 6 3" xfId="19685" xr:uid="{00000000-0005-0000-0000-0000D6490000}"/>
    <cellStyle name="Normal 2 2 2 2 2 2 21 6 4" xfId="19686" xr:uid="{00000000-0005-0000-0000-0000D7490000}"/>
    <cellStyle name="Normal 2 2 2 2 2 2 21 6 5" xfId="19687" xr:uid="{00000000-0005-0000-0000-0000D8490000}"/>
    <cellStyle name="Normal 2 2 2 2 2 2 21 6 6" xfId="19688" xr:uid="{00000000-0005-0000-0000-0000D9490000}"/>
    <cellStyle name="Normal 2 2 2 2 2 2 21 7" xfId="19689" xr:uid="{00000000-0005-0000-0000-0000DA490000}"/>
    <cellStyle name="Normal 2 2 2 2 2 2 21 7 2" xfId="19690" xr:uid="{00000000-0005-0000-0000-0000DB490000}"/>
    <cellStyle name="Normal 2 2 2 2 2 2 21 7 3" xfId="19691" xr:uid="{00000000-0005-0000-0000-0000DC490000}"/>
    <cellStyle name="Normal 2 2 2 2 2 2 21 7 4" xfId="19692" xr:uid="{00000000-0005-0000-0000-0000DD490000}"/>
    <cellStyle name="Normal 2 2 2 2 2 2 21 7 5" xfId="19693" xr:uid="{00000000-0005-0000-0000-0000DE490000}"/>
    <cellStyle name="Normal 2 2 2 2 2 2 21 7 6" xfId="19694" xr:uid="{00000000-0005-0000-0000-0000DF490000}"/>
    <cellStyle name="Normal 2 2 2 2 2 2 21 8" xfId="19695" xr:uid="{00000000-0005-0000-0000-0000E0490000}"/>
    <cellStyle name="Normal 2 2 2 2 2 2 21 8 2" xfId="19696" xr:uid="{00000000-0005-0000-0000-0000E1490000}"/>
    <cellStyle name="Normal 2 2 2 2 2 2 21 8 3" xfId="19697" xr:uid="{00000000-0005-0000-0000-0000E2490000}"/>
    <cellStyle name="Normal 2 2 2 2 2 2 21 8 4" xfId="19698" xr:uid="{00000000-0005-0000-0000-0000E3490000}"/>
    <cellStyle name="Normal 2 2 2 2 2 2 21 8 5" xfId="19699" xr:uid="{00000000-0005-0000-0000-0000E4490000}"/>
    <cellStyle name="Normal 2 2 2 2 2 2 21 8 6" xfId="19700" xr:uid="{00000000-0005-0000-0000-0000E5490000}"/>
    <cellStyle name="Normal 2 2 2 2 2 2 21 9" xfId="19701" xr:uid="{00000000-0005-0000-0000-0000E6490000}"/>
    <cellStyle name="Normal 2 2 2 2 2 2 22" xfId="19702" xr:uid="{00000000-0005-0000-0000-0000E7490000}"/>
    <cellStyle name="Normal 2 2 2 2 2 2 22 10" xfId="19703" xr:uid="{00000000-0005-0000-0000-0000E8490000}"/>
    <cellStyle name="Normal 2 2 2 2 2 2 22 11" xfId="19704" xr:uid="{00000000-0005-0000-0000-0000E9490000}"/>
    <cellStyle name="Normal 2 2 2 2 2 2 22 12" xfId="19705" xr:uid="{00000000-0005-0000-0000-0000EA490000}"/>
    <cellStyle name="Normal 2 2 2 2 2 2 22 13" xfId="19706" xr:uid="{00000000-0005-0000-0000-0000EB490000}"/>
    <cellStyle name="Normal 2 2 2 2 2 2 22 2" xfId="19707" xr:uid="{00000000-0005-0000-0000-0000EC490000}"/>
    <cellStyle name="Normal 2 2 2 2 2 2 22 2 2" xfId="19708" xr:uid="{00000000-0005-0000-0000-0000ED490000}"/>
    <cellStyle name="Normal 2 2 2 2 2 2 22 2 3" xfId="19709" xr:uid="{00000000-0005-0000-0000-0000EE490000}"/>
    <cellStyle name="Normal 2 2 2 2 2 2 22 2 4" xfId="19710" xr:uid="{00000000-0005-0000-0000-0000EF490000}"/>
    <cellStyle name="Normal 2 2 2 2 2 2 22 2 5" xfId="19711" xr:uid="{00000000-0005-0000-0000-0000F0490000}"/>
    <cellStyle name="Normal 2 2 2 2 2 2 22 2 6" xfId="19712" xr:uid="{00000000-0005-0000-0000-0000F1490000}"/>
    <cellStyle name="Normal 2 2 2 2 2 2 22 3" xfId="19713" xr:uid="{00000000-0005-0000-0000-0000F2490000}"/>
    <cellStyle name="Normal 2 2 2 2 2 2 22 3 2" xfId="19714" xr:uid="{00000000-0005-0000-0000-0000F3490000}"/>
    <cellStyle name="Normal 2 2 2 2 2 2 22 3 3" xfId="19715" xr:uid="{00000000-0005-0000-0000-0000F4490000}"/>
    <cellStyle name="Normal 2 2 2 2 2 2 22 3 4" xfId="19716" xr:uid="{00000000-0005-0000-0000-0000F5490000}"/>
    <cellStyle name="Normal 2 2 2 2 2 2 22 3 5" xfId="19717" xr:uid="{00000000-0005-0000-0000-0000F6490000}"/>
    <cellStyle name="Normal 2 2 2 2 2 2 22 3 6" xfId="19718" xr:uid="{00000000-0005-0000-0000-0000F7490000}"/>
    <cellStyle name="Normal 2 2 2 2 2 2 22 4" xfId="19719" xr:uid="{00000000-0005-0000-0000-0000F8490000}"/>
    <cellStyle name="Normal 2 2 2 2 2 2 22 4 2" xfId="19720" xr:uid="{00000000-0005-0000-0000-0000F9490000}"/>
    <cellStyle name="Normal 2 2 2 2 2 2 22 4 3" xfId="19721" xr:uid="{00000000-0005-0000-0000-0000FA490000}"/>
    <cellStyle name="Normal 2 2 2 2 2 2 22 4 4" xfId="19722" xr:uid="{00000000-0005-0000-0000-0000FB490000}"/>
    <cellStyle name="Normal 2 2 2 2 2 2 22 4 5" xfId="19723" xr:uid="{00000000-0005-0000-0000-0000FC490000}"/>
    <cellStyle name="Normal 2 2 2 2 2 2 22 4 6" xfId="19724" xr:uid="{00000000-0005-0000-0000-0000FD490000}"/>
    <cellStyle name="Normal 2 2 2 2 2 2 22 5" xfId="19725" xr:uid="{00000000-0005-0000-0000-0000FE490000}"/>
    <cellStyle name="Normal 2 2 2 2 2 2 22 5 2" xfId="19726" xr:uid="{00000000-0005-0000-0000-0000FF490000}"/>
    <cellStyle name="Normal 2 2 2 2 2 2 22 5 3" xfId="19727" xr:uid="{00000000-0005-0000-0000-0000004A0000}"/>
    <cellStyle name="Normal 2 2 2 2 2 2 22 5 4" xfId="19728" xr:uid="{00000000-0005-0000-0000-0000014A0000}"/>
    <cellStyle name="Normal 2 2 2 2 2 2 22 5 5" xfId="19729" xr:uid="{00000000-0005-0000-0000-0000024A0000}"/>
    <cellStyle name="Normal 2 2 2 2 2 2 22 5 6" xfId="19730" xr:uid="{00000000-0005-0000-0000-0000034A0000}"/>
    <cellStyle name="Normal 2 2 2 2 2 2 22 6" xfId="19731" xr:uid="{00000000-0005-0000-0000-0000044A0000}"/>
    <cellStyle name="Normal 2 2 2 2 2 2 22 6 2" xfId="19732" xr:uid="{00000000-0005-0000-0000-0000054A0000}"/>
    <cellStyle name="Normal 2 2 2 2 2 2 22 6 3" xfId="19733" xr:uid="{00000000-0005-0000-0000-0000064A0000}"/>
    <cellStyle name="Normal 2 2 2 2 2 2 22 6 4" xfId="19734" xr:uid="{00000000-0005-0000-0000-0000074A0000}"/>
    <cellStyle name="Normal 2 2 2 2 2 2 22 6 5" xfId="19735" xr:uid="{00000000-0005-0000-0000-0000084A0000}"/>
    <cellStyle name="Normal 2 2 2 2 2 2 22 6 6" xfId="19736" xr:uid="{00000000-0005-0000-0000-0000094A0000}"/>
    <cellStyle name="Normal 2 2 2 2 2 2 22 7" xfId="19737" xr:uid="{00000000-0005-0000-0000-00000A4A0000}"/>
    <cellStyle name="Normal 2 2 2 2 2 2 22 7 2" xfId="19738" xr:uid="{00000000-0005-0000-0000-00000B4A0000}"/>
    <cellStyle name="Normal 2 2 2 2 2 2 22 7 3" xfId="19739" xr:uid="{00000000-0005-0000-0000-00000C4A0000}"/>
    <cellStyle name="Normal 2 2 2 2 2 2 22 7 4" xfId="19740" xr:uid="{00000000-0005-0000-0000-00000D4A0000}"/>
    <cellStyle name="Normal 2 2 2 2 2 2 22 7 5" xfId="19741" xr:uid="{00000000-0005-0000-0000-00000E4A0000}"/>
    <cellStyle name="Normal 2 2 2 2 2 2 22 7 6" xfId="19742" xr:uid="{00000000-0005-0000-0000-00000F4A0000}"/>
    <cellStyle name="Normal 2 2 2 2 2 2 22 8" xfId="19743" xr:uid="{00000000-0005-0000-0000-0000104A0000}"/>
    <cellStyle name="Normal 2 2 2 2 2 2 22 8 2" xfId="19744" xr:uid="{00000000-0005-0000-0000-0000114A0000}"/>
    <cellStyle name="Normal 2 2 2 2 2 2 22 8 3" xfId="19745" xr:uid="{00000000-0005-0000-0000-0000124A0000}"/>
    <cellStyle name="Normal 2 2 2 2 2 2 22 8 4" xfId="19746" xr:uid="{00000000-0005-0000-0000-0000134A0000}"/>
    <cellStyle name="Normal 2 2 2 2 2 2 22 8 5" xfId="19747" xr:uid="{00000000-0005-0000-0000-0000144A0000}"/>
    <cellStyle name="Normal 2 2 2 2 2 2 22 8 6" xfId="19748" xr:uid="{00000000-0005-0000-0000-0000154A0000}"/>
    <cellStyle name="Normal 2 2 2 2 2 2 22 9" xfId="19749" xr:uid="{00000000-0005-0000-0000-0000164A0000}"/>
    <cellStyle name="Normal 2 2 2 2 2 2 23" xfId="19750" xr:uid="{00000000-0005-0000-0000-0000174A0000}"/>
    <cellStyle name="Normal 2 2 2 2 2 2 23 10" xfId="19751" xr:uid="{00000000-0005-0000-0000-0000184A0000}"/>
    <cellStyle name="Normal 2 2 2 2 2 2 23 11" xfId="19752" xr:uid="{00000000-0005-0000-0000-0000194A0000}"/>
    <cellStyle name="Normal 2 2 2 2 2 2 23 12" xfId="19753" xr:uid="{00000000-0005-0000-0000-00001A4A0000}"/>
    <cellStyle name="Normal 2 2 2 2 2 2 23 13" xfId="19754" xr:uid="{00000000-0005-0000-0000-00001B4A0000}"/>
    <cellStyle name="Normal 2 2 2 2 2 2 23 2" xfId="19755" xr:uid="{00000000-0005-0000-0000-00001C4A0000}"/>
    <cellStyle name="Normal 2 2 2 2 2 2 23 2 2" xfId="19756" xr:uid="{00000000-0005-0000-0000-00001D4A0000}"/>
    <cellStyle name="Normal 2 2 2 2 2 2 23 2 3" xfId="19757" xr:uid="{00000000-0005-0000-0000-00001E4A0000}"/>
    <cellStyle name="Normal 2 2 2 2 2 2 23 2 4" xfId="19758" xr:uid="{00000000-0005-0000-0000-00001F4A0000}"/>
    <cellStyle name="Normal 2 2 2 2 2 2 23 2 5" xfId="19759" xr:uid="{00000000-0005-0000-0000-0000204A0000}"/>
    <cellStyle name="Normal 2 2 2 2 2 2 23 2 6" xfId="19760" xr:uid="{00000000-0005-0000-0000-0000214A0000}"/>
    <cellStyle name="Normal 2 2 2 2 2 2 23 3" xfId="19761" xr:uid="{00000000-0005-0000-0000-0000224A0000}"/>
    <cellStyle name="Normal 2 2 2 2 2 2 23 3 2" xfId="19762" xr:uid="{00000000-0005-0000-0000-0000234A0000}"/>
    <cellStyle name="Normal 2 2 2 2 2 2 23 3 3" xfId="19763" xr:uid="{00000000-0005-0000-0000-0000244A0000}"/>
    <cellStyle name="Normal 2 2 2 2 2 2 23 3 4" xfId="19764" xr:uid="{00000000-0005-0000-0000-0000254A0000}"/>
    <cellStyle name="Normal 2 2 2 2 2 2 23 3 5" xfId="19765" xr:uid="{00000000-0005-0000-0000-0000264A0000}"/>
    <cellStyle name="Normal 2 2 2 2 2 2 23 3 6" xfId="19766" xr:uid="{00000000-0005-0000-0000-0000274A0000}"/>
    <cellStyle name="Normal 2 2 2 2 2 2 23 4" xfId="19767" xr:uid="{00000000-0005-0000-0000-0000284A0000}"/>
    <cellStyle name="Normal 2 2 2 2 2 2 23 4 2" xfId="19768" xr:uid="{00000000-0005-0000-0000-0000294A0000}"/>
    <cellStyle name="Normal 2 2 2 2 2 2 23 4 3" xfId="19769" xr:uid="{00000000-0005-0000-0000-00002A4A0000}"/>
    <cellStyle name="Normal 2 2 2 2 2 2 23 4 4" xfId="19770" xr:uid="{00000000-0005-0000-0000-00002B4A0000}"/>
    <cellStyle name="Normal 2 2 2 2 2 2 23 4 5" xfId="19771" xr:uid="{00000000-0005-0000-0000-00002C4A0000}"/>
    <cellStyle name="Normal 2 2 2 2 2 2 23 4 6" xfId="19772" xr:uid="{00000000-0005-0000-0000-00002D4A0000}"/>
    <cellStyle name="Normal 2 2 2 2 2 2 23 5" xfId="19773" xr:uid="{00000000-0005-0000-0000-00002E4A0000}"/>
    <cellStyle name="Normal 2 2 2 2 2 2 23 5 2" xfId="19774" xr:uid="{00000000-0005-0000-0000-00002F4A0000}"/>
    <cellStyle name="Normal 2 2 2 2 2 2 23 5 3" xfId="19775" xr:uid="{00000000-0005-0000-0000-0000304A0000}"/>
    <cellStyle name="Normal 2 2 2 2 2 2 23 5 4" xfId="19776" xr:uid="{00000000-0005-0000-0000-0000314A0000}"/>
    <cellStyle name="Normal 2 2 2 2 2 2 23 5 5" xfId="19777" xr:uid="{00000000-0005-0000-0000-0000324A0000}"/>
    <cellStyle name="Normal 2 2 2 2 2 2 23 5 6" xfId="19778" xr:uid="{00000000-0005-0000-0000-0000334A0000}"/>
    <cellStyle name="Normal 2 2 2 2 2 2 23 6" xfId="19779" xr:uid="{00000000-0005-0000-0000-0000344A0000}"/>
    <cellStyle name="Normal 2 2 2 2 2 2 23 6 2" xfId="19780" xr:uid="{00000000-0005-0000-0000-0000354A0000}"/>
    <cellStyle name="Normal 2 2 2 2 2 2 23 6 3" xfId="19781" xr:uid="{00000000-0005-0000-0000-0000364A0000}"/>
    <cellStyle name="Normal 2 2 2 2 2 2 23 6 4" xfId="19782" xr:uid="{00000000-0005-0000-0000-0000374A0000}"/>
    <cellStyle name="Normal 2 2 2 2 2 2 23 6 5" xfId="19783" xr:uid="{00000000-0005-0000-0000-0000384A0000}"/>
    <cellStyle name="Normal 2 2 2 2 2 2 23 6 6" xfId="19784" xr:uid="{00000000-0005-0000-0000-0000394A0000}"/>
    <cellStyle name="Normal 2 2 2 2 2 2 23 7" xfId="19785" xr:uid="{00000000-0005-0000-0000-00003A4A0000}"/>
    <cellStyle name="Normal 2 2 2 2 2 2 23 7 2" xfId="19786" xr:uid="{00000000-0005-0000-0000-00003B4A0000}"/>
    <cellStyle name="Normal 2 2 2 2 2 2 23 7 3" xfId="19787" xr:uid="{00000000-0005-0000-0000-00003C4A0000}"/>
    <cellStyle name="Normal 2 2 2 2 2 2 23 7 4" xfId="19788" xr:uid="{00000000-0005-0000-0000-00003D4A0000}"/>
    <cellStyle name="Normal 2 2 2 2 2 2 23 7 5" xfId="19789" xr:uid="{00000000-0005-0000-0000-00003E4A0000}"/>
    <cellStyle name="Normal 2 2 2 2 2 2 23 7 6" xfId="19790" xr:uid="{00000000-0005-0000-0000-00003F4A0000}"/>
    <cellStyle name="Normal 2 2 2 2 2 2 23 8" xfId="19791" xr:uid="{00000000-0005-0000-0000-0000404A0000}"/>
    <cellStyle name="Normal 2 2 2 2 2 2 23 8 2" xfId="19792" xr:uid="{00000000-0005-0000-0000-0000414A0000}"/>
    <cellStyle name="Normal 2 2 2 2 2 2 23 8 3" xfId="19793" xr:uid="{00000000-0005-0000-0000-0000424A0000}"/>
    <cellStyle name="Normal 2 2 2 2 2 2 23 8 4" xfId="19794" xr:uid="{00000000-0005-0000-0000-0000434A0000}"/>
    <cellStyle name="Normal 2 2 2 2 2 2 23 8 5" xfId="19795" xr:uid="{00000000-0005-0000-0000-0000444A0000}"/>
    <cellStyle name="Normal 2 2 2 2 2 2 23 8 6" xfId="19796" xr:uid="{00000000-0005-0000-0000-0000454A0000}"/>
    <cellStyle name="Normal 2 2 2 2 2 2 23 9" xfId="19797" xr:uid="{00000000-0005-0000-0000-0000464A0000}"/>
    <cellStyle name="Normal 2 2 2 2 2 2 24" xfId="19798" xr:uid="{00000000-0005-0000-0000-0000474A0000}"/>
    <cellStyle name="Normal 2 2 2 2 2 2 24 10" xfId="19799" xr:uid="{00000000-0005-0000-0000-0000484A0000}"/>
    <cellStyle name="Normal 2 2 2 2 2 2 24 11" xfId="19800" xr:uid="{00000000-0005-0000-0000-0000494A0000}"/>
    <cellStyle name="Normal 2 2 2 2 2 2 24 12" xfId="19801" xr:uid="{00000000-0005-0000-0000-00004A4A0000}"/>
    <cellStyle name="Normal 2 2 2 2 2 2 24 13" xfId="19802" xr:uid="{00000000-0005-0000-0000-00004B4A0000}"/>
    <cellStyle name="Normal 2 2 2 2 2 2 24 2" xfId="19803" xr:uid="{00000000-0005-0000-0000-00004C4A0000}"/>
    <cellStyle name="Normal 2 2 2 2 2 2 24 2 2" xfId="19804" xr:uid="{00000000-0005-0000-0000-00004D4A0000}"/>
    <cellStyle name="Normal 2 2 2 2 2 2 24 2 3" xfId="19805" xr:uid="{00000000-0005-0000-0000-00004E4A0000}"/>
    <cellStyle name="Normal 2 2 2 2 2 2 24 2 4" xfId="19806" xr:uid="{00000000-0005-0000-0000-00004F4A0000}"/>
    <cellStyle name="Normal 2 2 2 2 2 2 24 2 5" xfId="19807" xr:uid="{00000000-0005-0000-0000-0000504A0000}"/>
    <cellStyle name="Normal 2 2 2 2 2 2 24 2 6" xfId="19808" xr:uid="{00000000-0005-0000-0000-0000514A0000}"/>
    <cellStyle name="Normal 2 2 2 2 2 2 24 3" xfId="19809" xr:uid="{00000000-0005-0000-0000-0000524A0000}"/>
    <cellStyle name="Normal 2 2 2 2 2 2 24 3 2" xfId="19810" xr:uid="{00000000-0005-0000-0000-0000534A0000}"/>
    <cellStyle name="Normal 2 2 2 2 2 2 24 3 3" xfId="19811" xr:uid="{00000000-0005-0000-0000-0000544A0000}"/>
    <cellStyle name="Normal 2 2 2 2 2 2 24 3 4" xfId="19812" xr:uid="{00000000-0005-0000-0000-0000554A0000}"/>
    <cellStyle name="Normal 2 2 2 2 2 2 24 3 5" xfId="19813" xr:uid="{00000000-0005-0000-0000-0000564A0000}"/>
    <cellStyle name="Normal 2 2 2 2 2 2 24 3 6" xfId="19814" xr:uid="{00000000-0005-0000-0000-0000574A0000}"/>
    <cellStyle name="Normal 2 2 2 2 2 2 24 4" xfId="19815" xr:uid="{00000000-0005-0000-0000-0000584A0000}"/>
    <cellStyle name="Normal 2 2 2 2 2 2 24 4 2" xfId="19816" xr:uid="{00000000-0005-0000-0000-0000594A0000}"/>
    <cellStyle name="Normal 2 2 2 2 2 2 24 4 3" xfId="19817" xr:uid="{00000000-0005-0000-0000-00005A4A0000}"/>
    <cellStyle name="Normal 2 2 2 2 2 2 24 4 4" xfId="19818" xr:uid="{00000000-0005-0000-0000-00005B4A0000}"/>
    <cellStyle name="Normal 2 2 2 2 2 2 24 4 5" xfId="19819" xr:uid="{00000000-0005-0000-0000-00005C4A0000}"/>
    <cellStyle name="Normal 2 2 2 2 2 2 24 4 6" xfId="19820" xr:uid="{00000000-0005-0000-0000-00005D4A0000}"/>
    <cellStyle name="Normal 2 2 2 2 2 2 24 5" xfId="19821" xr:uid="{00000000-0005-0000-0000-00005E4A0000}"/>
    <cellStyle name="Normal 2 2 2 2 2 2 24 5 2" xfId="19822" xr:uid="{00000000-0005-0000-0000-00005F4A0000}"/>
    <cellStyle name="Normal 2 2 2 2 2 2 24 5 3" xfId="19823" xr:uid="{00000000-0005-0000-0000-0000604A0000}"/>
    <cellStyle name="Normal 2 2 2 2 2 2 24 5 4" xfId="19824" xr:uid="{00000000-0005-0000-0000-0000614A0000}"/>
    <cellStyle name="Normal 2 2 2 2 2 2 24 5 5" xfId="19825" xr:uid="{00000000-0005-0000-0000-0000624A0000}"/>
    <cellStyle name="Normal 2 2 2 2 2 2 24 5 6" xfId="19826" xr:uid="{00000000-0005-0000-0000-0000634A0000}"/>
    <cellStyle name="Normal 2 2 2 2 2 2 24 6" xfId="19827" xr:uid="{00000000-0005-0000-0000-0000644A0000}"/>
    <cellStyle name="Normal 2 2 2 2 2 2 24 6 2" xfId="19828" xr:uid="{00000000-0005-0000-0000-0000654A0000}"/>
    <cellStyle name="Normal 2 2 2 2 2 2 24 6 3" xfId="19829" xr:uid="{00000000-0005-0000-0000-0000664A0000}"/>
    <cellStyle name="Normal 2 2 2 2 2 2 24 6 4" xfId="19830" xr:uid="{00000000-0005-0000-0000-0000674A0000}"/>
    <cellStyle name="Normal 2 2 2 2 2 2 24 6 5" xfId="19831" xr:uid="{00000000-0005-0000-0000-0000684A0000}"/>
    <cellStyle name="Normal 2 2 2 2 2 2 24 6 6" xfId="19832" xr:uid="{00000000-0005-0000-0000-0000694A0000}"/>
    <cellStyle name="Normal 2 2 2 2 2 2 24 7" xfId="19833" xr:uid="{00000000-0005-0000-0000-00006A4A0000}"/>
    <cellStyle name="Normal 2 2 2 2 2 2 24 7 2" xfId="19834" xr:uid="{00000000-0005-0000-0000-00006B4A0000}"/>
    <cellStyle name="Normal 2 2 2 2 2 2 24 7 3" xfId="19835" xr:uid="{00000000-0005-0000-0000-00006C4A0000}"/>
    <cellStyle name="Normal 2 2 2 2 2 2 24 7 4" xfId="19836" xr:uid="{00000000-0005-0000-0000-00006D4A0000}"/>
    <cellStyle name="Normal 2 2 2 2 2 2 24 7 5" xfId="19837" xr:uid="{00000000-0005-0000-0000-00006E4A0000}"/>
    <cellStyle name="Normal 2 2 2 2 2 2 24 7 6" xfId="19838" xr:uid="{00000000-0005-0000-0000-00006F4A0000}"/>
    <cellStyle name="Normal 2 2 2 2 2 2 24 8" xfId="19839" xr:uid="{00000000-0005-0000-0000-0000704A0000}"/>
    <cellStyle name="Normal 2 2 2 2 2 2 24 8 2" xfId="19840" xr:uid="{00000000-0005-0000-0000-0000714A0000}"/>
    <cellStyle name="Normal 2 2 2 2 2 2 24 8 3" xfId="19841" xr:uid="{00000000-0005-0000-0000-0000724A0000}"/>
    <cellStyle name="Normal 2 2 2 2 2 2 24 8 4" xfId="19842" xr:uid="{00000000-0005-0000-0000-0000734A0000}"/>
    <cellStyle name="Normal 2 2 2 2 2 2 24 8 5" xfId="19843" xr:uid="{00000000-0005-0000-0000-0000744A0000}"/>
    <cellStyle name="Normal 2 2 2 2 2 2 24 8 6" xfId="19844" xr:uid="{00000000-0005-0000-0000-0000754A0000}"/>
    <cellStyle name="Normal 2 2 2 2 2 2 24 9" xfId="19845" xr:uid="{00000000-0005-0000-0000-0000764A0000}"/>
    <cellStyle name="Normal 2 2 2 2 2 2 25" xfId="19846" xr:uid="{00000000-0005-0000-0000-0000774A0000}"/>
    <cellStyle name="Normal 2 2 2 2 2 2 25 10" xfId="19847" xr:uid="{00000000-0005-0000-0000-0000784A0000}"/>
    <cellStyle name="Normal 2 2 2 2 2 2 25 11" xfId="19848" xr:uid="{00000000-0005-0000-0000-0000794A0000}"/>
    <cellStyle name="Normal 2 2 2 2 2 2 25 12" xfId="19849" xr:uid="{00000000-0005-0000-0000-00007A4A0000}"/>
    <cellStyle name="Normal 2 2 2 2 2 2 25 13" xfId="19850" xr:uid="{00000000-0005-0000-0000-00007B4A0000}"/>
    <cellStyle name="Normal 2 2 2 2 2 2 25 2" xfId="19851" xr:uid="{00000000-0005-0000-0000-00007C4A0000}"/>
    <cellStyle name="Normal 2 2 2 2 2 2 25 2 2" xfId="19852" xr:uid="{00000000-0005-0000-0000-00007D4A0000}"/>
    <cellStyle name="Normal 2 2 2 2 2 2 25 2 3" xfId="19853" xr:uid="{00000000-0005-0000-0000-00007E4A0000}"/>
    <cellStyle name="Normal 2 2 2 2 2 2 25 2 4" xfId="19854" xr:uid="{00000000-0005-0000-0000-00007F4A0000}"/>
    <cellStyle name="Normal 2 2 2 2 2 2 25 2 5" xfId="19855" xr:uid="{00000000-0005-0000-0000-0000804A0000}"/>
    <cellStyle name="Normal 2 2 2 2 2 2 25 2 6" xfId="19856" xr:uid="{00000000-0005-0000-0000-0000814A0000}"/>
    <cellStyle name="Normal 2 2 2 2 2 2 25 3" xfId="19857" xr:uid="{00000000-0005-0000-0000-0000824A0000}"/>
    <cellStyle name="Normal 2 2 2 2 2 2 25 3 2" xfId="19858" xr:uid="{00000000-0005-0000-0000-0000834A0000}"/>
    <cellStyle name="Normal 2 2 2 2 2 2 25 3 3" xfId="19859" xr:uid="{00000000-0005-0000-0000-0000844A0000}"/>
    <cellStyle name="Normal 2 2 2 2 2 2 25 3 4" xfId="19860" xr:uid="{00000000-0005-0000-0000-0000854A0000}"/>
    <cellStyle name="Normal 2 2 2 2 2 2 25 3 5" xfId="19861" xr:uid="{00000000-0005-0000-0000-0000864A0000}"/>
    <cellStyle name="Normal 2 2 2 2 2 2 25 3 6" xfId="19862" xr:uid="{00000000-0005-0000-0000-0000874A0000}"/>
    <cellStyle name="Normal 2 2 2 2 2 2 25 4" xfId="19863" xr:uid="{00000000-0005-0000-0000-0000884A0000}"/>
    <cellStyle name="Normal 2 2 2 2 2 2 25 4 2" xfId="19864" xr:uid="{00000000-0005-0000-0000-0000894A0000}"/>
    <cellStyle name="Normal 2 2 2 2 2 2 25 4 3" xfId="19865" xr:uid="{00000000-0005-0000-0000-00008A4A0000}"/>
    <cellStyle name="Normal 2 2 2 2 2 2 25 4 4" xfId="19866" xr:uid="{00000000-0005-0000-0000-00008B4A0000}"/>
    <cellStyle name="Normal 2 2 2 2 2 2 25 4 5" xfId="19867" xr:uid="{00000000-0005-0000-0000-00008C4A0000}"/>
    <cellStyle name="Normal 2 2 2 2 2 2 25 4 6" xfId="19868" xr:uid="{00000000-0005-0000-0000-00008D4A0000}"/>
    <cellStyle name="Normal 2 2 2 2 2 2 25 5" xfId="19869" xr:uid="{00000000-0005-0000-0000-00008E4A0000}"/>
    <cellStyle name="Normal 2 2 2 2 2 2 25 5 2" xfId="19870" xr:uid="{00000000-0005-0000-0000-00008F4A0000}"/>
    <cellStyle name="Normal 2 2 2 2 2 2 25 5 3" xfId="19871" xr:uid="{00000000-0005-0000-0000-0000904A0000}"/>
    <cellStyle name="Normal 2 2 2 2 2 2 25 5 4" xfId="19872" xr:uid="{00000000-0005-0000-0000-0000914A0000}"/>
    <cellStyle name="Normal 2 2 2 2 2 2 25 5 5" xfId="19873" xr:uid="{00000000-0005-0000-0000-0000924A0000}"/>
    <cellStyle name="Normal 2 2 2 2 2 2 25 5 6" xfId="19874" xr:uid="{00000000-0005-0000-0000-0000934A0000}"/>
    <cellStyle name="Normal 2 2 2 2 2 2 25 6" xfId="19875" xr:uid="{00000000-0005-0000-0000-0000944A0000}"/>
    <cellStyle name="Normal 2 2 2 2 2 2 25 6 2" xfId="19876" xr:uid="{00000000-0005-0000-0000-0000954A0000}"/>
    <cellStyle name="Normal 2 2 2 2 2 2 25 6 3" xfId="19877" xr:uid="{00000000-0005-0000-0000-0000964A0000}"/>
    <cellStyle name="Normal 2 2 2 2 2 2 25 6 4" xfId="19878" xr:uid="{00000000-0005-0000-0000-0000974A0000}"/>
    <cellStyle name="Normal 2 2 2 2 2 2 25 6 5" xfId="19879" xr:uid="{00000000-0005-0000-0000-0000984A0000}"/>
    <cellStyle name="Normal 2 2 2 2 2 2 25 6 6" xfId="19880" xr:uid="{00000000-0005-0000-0000-0000994A0000}"/>
    <cellStyle name="Normal 2 2 2 2 2 2 25 7" xfId="19881" xr:uid="{00000000-0005-0000-0000-00009A4A0000}"/>
    <cellStyle name="Normal 2 2 2 2 2 2 25 7 2" xfId="19882" xr:uid="{00000000-0005-0000-0000-00009B4A0000}"/>
    <cellStyle name="Normal 2 2 2 2 2 2 25 7 3" xfId="19883" xr:uid="{00000000-0005-0000-0000-00009C4A0000}"/>
    <cellStyle name="Normal 2 2 2 2 2 2 25 7 4" xfId="19884" xr:uid="{00000000-0005-0000-0000-00009D4A0000}"/>
    <cellStyle name="Normal 2 2 2 2 2 2 25 7 5" xfId="19885" xr:uid="{00000000-0005-0000-0000-00009E4A0000}"/>
    <cellStyle name="Normal 2 2 2 2 2 2 25 7 6" xfId="19886" xr:uid="{00000000-0005-0000-0000-00009F4A0000}"/>
    <cellStyle name="Normal 2 2 2 2 2 2 25 8" xfId="19887" xr:uid="{00000000-0005-0000-0000-0000A04A0000}"/>
    <cellStyle name="Normal 2 2 2 2 2 2 25 8 2" xfId="19888" xr:uid="{00000000-0005-0000-0000-0000A14A0000}"/>
    <cellStyle name="Normal 2 2 2 2 2 2 25 8 3" xfId="19889" xr:uid="{00000000-0005-0000-0000-0000A24A0000}"/>
    <cellStyle name="Normal 2 2 2 2 2 2 25 8 4" xfId="19890" xr:uid="{00000000-0005-0000-0000-0000A34A0000}"/>
    <cellStyle name="Normal 2 2 2 2 2 2 25 8 5" xfId="19891" xr:uid="{00000000-0005-0000-0000-0000A44A0000}"/>
    <cellStyle name="Normal 2 2 2 2 2 2 25 8 6" xfId="19892" xr:uid="{00000000-0005-0000-0000-0000A54A0000}"/>
    <cellStyle name="Normal 2 2 2 2 2 2 25 9" xfId="19893" xr:uid="{00000000-0005-0000-0000-0000A64A0000}"/>
    <cellStyle name="Normal 2 2 2 2 2 2 26" xfId="19894" xr:uid="{00000000-0005-0000-0000-0000A74A0000}"/>
    <cellStyle name="Normal 2 2 2 2 2 2 26 10" xfId="19895" xr:uid="{00000000-0005-0000-0000-0000A84A0000}"/>
    <cellStyle name="Normal 2 2 2 2 2 2 26 11" xfId="19896" xr:uid="{00000000-0005-0000-0000-0000A94A0000}"/>
    <cellStyle name="Normal 2 2 2 2 2 2 26 12" xfId="19897" xr:uid="{00000000-0005-0000-0000-0000AA4A0000}"/>
    <cellStyle name="Normal 2 2 2 2 2 2 26 13" xfId="19898" xr:uid="{00000000-0005-0000-0000-0000AB4A0000}"/>
    <cellStyle name="Normal 2 2 2 2 2 2 26 2" xfId="19899" xr:uid="{00000000-0005-0000-0000-0000AC4A0000}"/>
    <cellStyle name="Normal 2 2 2 2 2 2 26 2 2" xfId="19900" xr:uid="{00000000-0005-0000-0000-0000AD4A0000}"/>
    <cellStyle name="Normal 2 2 2 2 2 2 26 2 3" xfId="19901" xr:uid="{00000000-0005-0000-0000-0000AE4A0000}"/>
    <cellStyle name="Normal 2 2 2 2 2 2 26 2 4" xfId="19902" xr:uid="{00000000-0005-0000-0000-0000AF4A0000}"/>
    <cellStyle name="Normal 2 2 2 2 2 2 26 2 5" xfId="19903" xr:uid="{00000000-0005-0000-0000-0000B04A0000}"/>
    <cellStyle name="Normal 2 2 2 2 2 2 26 2 6" xfId="19904" xr:uid="{00000000-0005-0000-0000-0000B14A0000}"/>
    <cellStyle name="Normal 2 2 2 2 2 2 26 3" xfId="19905" xr:uid="{00000000-0005-0000-0000-0000B24A0000}"/>
    <cellStyle name="Normal 2 2 2 2 2 2 26 3 2" xfId="19906" xr:uid="{00000000-0005-0000-0000-0000B34A0000}"/>
    <cellStyle name="Normal 2 2 2 2 2 2 26 3 3" xfId="19907" xr:uid="{00000000-0005-0000-0000-0000B44A0000}"/>
    <cellStyle name="Normal 2 2 2 2 2 2 26 3 4" xfId="19908" xr:uid="{00000000-0005-0000-0000-0000B54A0000}"/>
    <cellStyle name="Normal 2 2 2 2 2 2 26 3 5" xfId="19909" xr:uid="{00000000-0005-0000-0000-0000B64A0000}"/>
    <cellStyle name="Normal 2 2 2 2 2 2 26 3 6" xfId="19910" xr:uid="{00000000-0005-0000-0000-0000B74A0000}"/>
    <cellStyle name="Normal 2 2 2 2 2 2 26 4" xfId="19911" xr:uid="{00000000-0005-0000-0000-0000B84A0000}"/>
    <cellStyle name="Normal 2 2 2 2 2 2 26 4 2" xfId="19912" xr:uid="{00000000-0005-0000-0000-0000B94A0000}"/>
    <cellStyle name="Normal 2 2 2 2 2 2 26 4 3" xfId="19913" xr:uid="{00000000-0005-0000-0000-0000BA4A0000}"/>
    <cellStyle name="Normal 2 2 2 2 2 2 26 4 4" xfId="19914" xr:uid="{00000000-0005-0000-0000-0000BB4A0000}"/>
    <cellStyle name="Normal 2 2 2 2 2 2 26 4 5" xfId="19915" xr:uid="{00000000-0005-0000-0000-0000BC4A0000}"/>
    <cellStyle name="Normal 2 2 2 2 2 2 26 4 6" xfId="19916" xr:uid="{00000000-0005-0000-0000-0000BD4A0000}"/>
    <cellStyle name="Normal 2 2 2 2 2 2 26 5" xfId="19917" xr:uid="{00000000-0005-0000-0000-0000BE4A0000}"/>
    <cellStyle name="Normal 2 2 2 2 2 2 26 5 2" xfId="19918" xr:uid="{00000000-0005-0000-0000-0000BF4A0000}"/>
    <cellStyle name="Normal 2 2 2 2 2 2 26 5 3" xfId="19919" xr:uid="{00000000-0005-0000-0000-0000C04A0000}"/>
    <cellStyle name="Normal 2 2 2 2 2 2 26 5 4" xfId="19920" xr:uid="{00000000-0005-0000-0000-0000C14A0000}"/>
    <cellStyle name="Normal 2 2 2 2 2 2 26 5 5" xfId="19921" xr:uid="{00000000-0005-0000-0000-0000C24A0000}"/>
    <cellStyle name="Normal 2 2 2 2 2 2 26 5 6" xfId="19922" xr:uid="{00000000-0005-0000-0000-0000C34A0000}"/>
    <cellStyle name="Normal 2 2 2 2 2 2 26 6" xfId="19923" xr:uid="{00000000-0005-0000-0000-0000C44A0000}"/>
    <cellStyle name="Normal 2 2 2 2 2 2 26 6 2" xfId="19924" xr:uid="{00000000-0005-0000-0000-0000C54A0000}"/>
    <cellStyle name="Normal 2 2 2 2 2 2 26 6 3" xfId="19925" xr:uid="{00000000-0005-0000-0000-0000C64A0000}"/>
    <cellStyle name="Normal 2 2 2 2 2 2 26 6 4" xfId="19926" xr:uid="{00000000-0005-0000-0000-0000C74A0000}"/>
    <cellStyle name="Normal 2 2 2 2 2 2 26 6 5" xfId="19927" xr:uid="{00000000-0005-0000-0000-0000C84A0000}"/>
    <cellStyle name="Normal 2 2 2 2 2 2 26 6 6" xfId="19928" xr:uid="{00000000-0005-0000-0000-0000C94A0000}"/>
    <cellStyle name="Normal 2 2 2 2 2 2 26 7" xfId="19929" xr:uid="{00000000-0005-0000-0000-0000CA4A0000}"/>
    <cellStyle name="Normal 2 2 2 2 2 2 26 7 2" xfId="19930" xr:uid="{00000000-0005-0000-0000-0000CB4A0000}"/>
    <cellStyle name="Normal 2 2 2 2 2 2 26 7 3" xfId="19931" xr:uid="{00000000-0005-0000-0000-0000CC4A0000}"/>
    <cellStyle name="Normal 2 2 2 2 2 2 26 7 4" xfId="19932" xr:uid="{00000000-0005-0000-0000-0000CD4A0000}"/>
    <cellStyle name="Normal 2 2 2 2 2 2 26 7 5" xfId="19933" xr:uid="{00000000-0005-0000-0000-0000CE4A0000}"/>
    <cellStyle name="Normal 2 2 2 2 2 2 26 7 6" xfId="19934" xr:uid="{00000000-0005-0000-0000-0000CF4A0000}"/>
    <cellStyle name="Normal 2 2 2 2 2 2 26 8" xfId="19935" xr:uid="{00000000-0005-0000-0000-0000D04A0000}"/>
    <cellStyle name="Normal 2 2 2 2 2 2 26 8 2" xfId="19936" xr:uid="{00000000-0005-0000-0000-0000D14A0000}"/>
    <cellStyle name="Normal 2 2 2 2 2 2 26 8 3" xfId="19937" xr:uid="{00000000-0005-0000-0000-0000D24A0000}"/>
    <cellStyle name="Normal 2 2 2 2 2 2 26 8 4" xfId="19938" xr:uid="{00000000-0005-0000-0000-0000D34A0000}"/>
    <cellStyle name="Normal 2 2 2 2 2 2 26 8 5" xfId="19939" xr:uid="{00000000-0005-0000-0000-0000D44A0000}"/>
    <cellStyle name="Normal 2 2 2 2 2 2 26 8 6" xfId="19940" xr:uid="{00000000-0005-0000-0000-0000D54A0000}"/>
    <cellStyle name="Normal 2 2 2 2 2 2 26 9" xfId="19941" xr:uid="{00000000-0005-0000-0000-0000D64A0000}"/>
    <cellStyle name="Normal 2 2 2 2 2 2 27" xfId="19942" xr:uid="{00000000-0005-0000-0000-0000D74A0000}"/>
    <cellStyle name="Normal 2 2 2 2 2 2 27 10" xfId="19943" xr:uid="{00000000-0005-0000-0000-0000D84A0000}"/>
    <cellStyle name="Normal 2 2 2 2 2 2 27 11" xfId="19944" xr:uid="{00000000-0005-0000-0000-0000D94A0000}"/>
    <cellStyle name="Normal 2 2 2 2 2 2 27 12" xfId="19945" xr:uid="{00000000-0005-0000-0000-0000DA4A0000}"/>
    <cellStyle name="Normal 2 2 2 2 2 2 27 13" xfId="19946" xr:uid="{00000000-0005-0000-0000-0000DB4A0000}"/>
    <cellStyle name="Normal 2 2 2 2 2 2 27 2" xfId="19947" xr:uid="{00000000-0005-0000-0000-0000DC4A0000}"/>
    <cellStyle name="Normal 2 2 2 2 2 2 27 2 2" xfId="19948" xr:uid="{00000000-0005-0000-0000-0000DD4A0000}"/>
    <cellStyle name="Normal 2 2 2 2 2 2 27 2 3" xfId="19949" xr:uid="{00000000-0005-0000-0000-0000DE4A0000}"/>
    <cellStyle name="Normal 2 2 2 2 2 2 27 2 4" xfId="19950" xr:uid="{00000000-0005-0000-0000-0000DF4A0000}"/>
    <cellStyle name="Normal 2 2 2 2 2 2 27 2 5" xfId="19951" xr:uid="{00000000-0005-0000-0000-0000E04A0000}"/>
    <cellStyle name="Normal 2 2 2 2 2 2 27 2 6" xfId="19952" xr:uid="{00000000-0005-0000-0000-0000E14A0000}"/>
    <cellStyle name="Normal 2 2 2 2 2 2 27 3" xfId="19953" xr:uid="{00000000-0005-0000-0000-0000E24A0000}"/>
    <cellStyle name="Normal 2 2 2 2 2 2 27 3 2" xfId="19954" xr:uid="{00000000-0005-0000-0000-0000E34A0000}"/>
    <cellStyle name="Normal 2 2 2 2 2 2 27 3 3" xfId="19955" xr:uid="{00000000-0005-0000-0000-0000E44A0000}"/>
    <cellStyle name="Normal 2 2 2 2 2 2 27 3 4" xfId="19956" xr:uid="{00000000-0005-0000-0000-0000E54A0000}"/>
    <cellStyle name="Normal 2 2 2 2 2 2 27 3 5" xfId="19957" xr:uid="{00000000-0005-0000-0000-0000E64A0000}"/>
    <cellStyle name="Normal 2 2 2 2 2 2 27 3 6" xfId="19958" xr:uid="{00000000-0005-0000-0000-0000E74A0000}"/>
    <cellStyle name="Normal 2 2 2 2 2 2 27 4" xfId="19959" xr:uid="{00000000-0005-0000-0000-0000E84A0000}"/>
    <cellStyle name="Normal 2 2 2 2 2 2 27 4 2" xfId="19960" xr:uid="{00000000-0005-0000-0000-0000E94A0000}"/>
    <cellStyle name="Normal 2 2 2 2 2 2 27 4 3" xfId="19961" xr:uid="{00000000-0005-0000-0000-0000EA4A0000}"/>
    <cellStyle name="Normal 2 2 2 2 2 2 27 4 4" xfId="19962" xr:uid="{00000000-0005-0000-0000-0000EB4A0000}"/>
    <cellStyle name="Normal 2 2 2 2 2 2 27 4 5" xfId="19963" xr:uid="{00000000-0005-0000-0000-0000EC4A0000}"/>
    <cellStyle name="Normal 2 2 2 2 2 2 27 4 6" xfId="19964" xr:uid="{00000000-0005-0000-0000-0000ED4A0000}"/>
    <cellStyle name="Normal 2 2 2 2 2 2 27 5" xfId="19965" xr:uid="{00000000-0005-0000-0000-0000EE4A0000}"/>
    <cellStyle name="Normal 2 2 2 2 2 2 27 5 2" xfId="19966" xr:uid="{00000000-0005-0000-0000-0000EF4A0000}"/>
    <cellStyle name="Normal 2 2 2 2 2 2 27 5 3" xfId="19967" xr:uid="{00000000-0005-0000-0000-0000F04A0000}"/>
    <cellStyle name="Normal 2 2 2 2 2 2 27 5 4" xfId="19968" xr:uid="{00000000-0005-0000-0000-0000F14A0000}"/>
    <cellStyle name="Normal 2 2 2 2 2 2 27 5 5" xfId="19969" xr:uid="{00000000-0005-0000-0000-0000F24A0000}"/>
    <cellStyle name="Normal 2 2 2 2 2 2 27 5 6" xfId="19970" xr:uid="{00000000-0005-0000-0000-0000F34A0000}"/>
    <cellStyle name="Normal 2 2 2 2 2 2 27 6" xfId="19971" xr:uid="{00000000-0005-0000-0000-0000F44A0000}"/>
    <cellStyle name="Normal 2 2 2 2 2 2 27 6 2" xfId="19972" xr:uid="{00000000-0005-0000-0000-0000F54A0000}"/>
    <cellStyle name="Normal 2 2 2 2 2 2 27 6 3" xfId="19973" xr:uid="{00000000-0005-0000-0000-0000F64A0000}"/>
    <cellStyle name="Normal 2 2 2 2 2 2 27 6 4" xfId="19974" xr:uid="{00000000-0005-0000-0000-0000F74A0000}"/>
    <cellStyle name="Normal 2 2 2 2 2 2 27 6 5" xfId="19975" xr:uid="{00000000-0005-0000-0000-0000F84A0000}"/>
    <cellStyle name="Normal 2 2 2 2 2 2 27 6 6" xfId="19976" xr:uid="{00000000-0005-0000-0000-0000F94A0000}"/>
    <cellStyle name="Normal 2 2 2 2 2 2 27 7" xfId="19977" xr:uid="{00000000-0005-0000-0000-0000FA4A0000}"/>
    <cellStyle name="Normal 2 2 2 2 2 2 27 7 2" xfId="19978" xr:uid="{00000000-0005-0000-0000-0000FB4A0000}"/>
    <cellStyle name="Normal 2 2 2 2 2 2 27 7 3" xfId="19979" xr:uid="{00000000-0005-0000-0000-0000FC4A0000}"/>
    <cellStyle name="Normal 2 2 2 2 2 2 27 7 4" xfId="19980" xr:uid="{00000000-0005-0000-0000-0000FD4A0000}"/>
    <cellStyle name="Normal 2 2 2 2 2 2 27 7 5" xfId="19981" xr:uid="{00000000-0005-0000-0000-0000FE4A0000}"/>
    <cellStyle name="Normal 2 2 2 2 2 2 27 7 6" xfId="19982" xr:uid="{00000000-0005-0000-0000-0000FF4A0000}"/>
    <cellStyle name="Normal 2 2 2 2 2 2 27 8" xfId="19983" xr:uid="{00000000-0005-0000-0000-0000004B0000}"/>
    <cellStyle name="Normal 2 2 2 2 2 2 27 8 2" xfId="19984" xr:uid="{00000000-0005-0000-0000-0000014B0000}"/>
    <cellStyle name="Normal 2 2 2 2 2 2 27 8 3" xfId="19985" xr:uid="{00000000-0005-0000-0000-0000024B0000}"/>
    <cellStyle name="Normal 2 2 2 2 2 2 27 8 4" xfId="19986" xr:uid="{00000000-0005-0000-0000-0000034B0000}"/>
    <cellStyle name="Normal 2 2 2 2 2 2 27 8 5" xfId="19987" xr:uid="{00000000-0005-0000-0000-0000044B0000}"/>
    <cellStyle name="Normal 2 2 2 2 2 2 27 8 6" xfId="19988" xr:uid="{00000000-0005-0000-0000-0000054B0000}"/>
    <cellStyle name="Normal 2 2 2 2 2 2 27 9" xfId="19989" xr:uid="{00000000-0005-0000-0000-0000064B0000}"/>
    <cellStyle name="Normal 2 2 2 2 2 2 28" xfId="19990" xr:uid="{00000000-0005-0000-0000-0000074B0000}"/>
    <cellStyle name="Normal 2 2 2 2 2 2 28 10" xfId="19991" xr:uid="{00000000-0005-0000-0000-0000084B0000}"/>
    <cellStyle name="Normal 2 2 2 2 2 2 28 11" xfId="19992" xr:uid="{00000000-0005-0000-0000-0000094B0000}"/>
    <cellStyle name="Normal 2 2 2 2 2 2 28 2" xfId="19993" xr:uid="{00000000-0005-0000-0000-00000A4B0000}"/>
    <cellStyle name="Normal 2 2 2 2 2 2 28 3" xfId="19994" xr:uid="{00000000-0005-0000-0000-00000B4B0000}"/>
    <cellStyle name="Normal 2 2 2 2 2 2 28 4" xfId="19995" xr:uid="{00000000-0005-0000-0000-00000C4B0000}"/>
    <cellStyle name="Normal 2 2 2 2 2 2 28 5" xfId="19996" xr:uid="{00000000-0005-0000-0000-00000D4B0000}"/>
    <cellStyle name="Normal 2 2 2 2 2 2 28 6" xfId="19997" xr:uid="{00000000-0005-0000-0000-00000E4B0000}"/>
    <cellStyle name="Normal 2 2 2 2 2 2 28 7" xfId="19998" xr:uid="{00000000-0005-0000-0000-00000F4B0000}"/>
    <cellStyle name="Normal 2 2 2 2 2 2 28 8" xfId="19999" xr:uid="{00000000-0005-0000-0000-0000104B0000}"/>
    <cellStyle name="Normal 2 2 2 2 2 2 28 9" xfId="20000" xr:uid="{00000000-0005-0000-0000-0000114B0000}"/>
    <cellStyle name="Normal 2 2 2 2 2 2 29" xfId="20001" xr:uid="{00000000-0005-0000-0000-0000124B0000}"/>
    <cellStyle name="Normal 2 2 2 2 2 2 3" xfId="20002" xr:uid="{00000000-0005-0000-0000-0000134B0000}"/>
    <cellStyle name="Normal 2 2 2 2 2 2 3 10" xfId="20003" xr:uid="{00000000-0005-0000-0000-0000144B0000}"/>
    <cellStyle name="Normal 2 2 2 2 2 2 3 11" xfId="20004" xr:uid="{00000000-0005-0000-0000-0000154B0000}"/>
    <cellStyle name="Normal 2 2 2 2 2 2 3 12" xfId="20005" xr:uid="{00000000-0005-0000-0000-0000164B0000}"/>
    <cellStyle name="Normal 2 2 2 2 2 2 3 13" xfId="20006" xr:uid="{00000000-0005-0000-0000-0000174B0000}"/>
    <cellStyle name="Normal 2 2 2 2 2 2 3 14" xfId="20007" xr:uid="{00000000-0005-0000-0000-0000184B0000}"/>
    <cellStyle name="Normal 2 2 2 2 2 2 3 2" xfId="20008" xr:uid="{00000000-0005-0000-0000-0000194B0000}"/>
    <cellStyle name="Normal 2 2 2 2 2 2 3 2 2" xfId="20009" xr:uid="{00000000-0005-0000-0000-00001A4B0000}"/>
    <cellStyle name="Normal 2 2 2 2 2 2 3 2 3" xfId="20010" xr:uid="{00000000-0005-0000-0000-00001B4B0000}"/>
    <cellStyle name="Normal 2 2 2 2 2 2 3 2 4" xfId="20011" xr:uid="{00000000-0005-0000-0000-00001C4B0000}"/>
    <cellStyle name="Normal 2 2 2 2 2 2 3 2 5" xfId="20012" xr:uid="{00000000-0005-0000-0000-00001D4B0000}"/>
    <cellStyle name="Normal 2 2 2 2 2 2 3 2 6" xfId="20013" xr:uid="{00000000-0005-0000-0000-00001E4B0000}"/>
    <cellStyle name="Normal 2 2 2 2 2 2 3 3" xfId="20014" xr:uid="{00000000-0005-0000-0000-00001F4B0000}"/>
    <cellStyle name="Normal 2 2 2 2 2 2 3 3 2" xfId="20015" xr:uid="{00000000-0005-0000-0000-0000204B0000}"/>
    <cellStyle name="Normal 2 2 2 2 2 2 3 3 3" xfId="20016" xr:uid="{00000000-0005-0000-0000-0000214B0000}"/>
    <cellStyle name="Normal 2 2 2 2 2 2 3 3 4" xfId="20017" xr:uid="{00000000-0005-0000-0000-0000224B0000}"/>
    <cellStyle name="Normal 2 2 2 2 2 2 3 3 5" xfId="20018" xr:uid="{00000000-0005-0000-0000-0000234B0000}"/>
    <cellStyle name="Normal 2 2 2 2 2 2 3 3 6" xfId="20019" xr:uid="{00000000-0005-0000-0000-0000244B0000}"/>
    <cellStyle name="Normal 2 2 2 2 2 2 3 4" xfId="20020" xr:uid="{00000000-0005-0000-0000-0000254B0000}"/>
    <cellStyle name="Normal 2 2 2 2 2 2 3 4 2" xfId="20021" xr:uid="{00000000-0005-0000-0000-0000264B0000}"/>
    <cellStyle name="Normal 2 2 2 2 2 2 3 4 3" xfId="20022" xr:uid="{00000000-0005-0000-0000-0000274B0000}"/>
    <cellStyle name="Normal 2 2 2 2 2 2 3 4 4" xfId="20023" xr:uid="{00000000-0005-0000-0000-0000284B0000}"/>
    <cellStyle name="Normal 2 2 2 2 2 2 3 4 5" xfId="20024" xr:uid="{00000000-0005-0000-0000-0000294B0000}"/>
    <cellStyle name="Normal 2 2 2 2 2 2 3 4 6" xfId="20025" xr:uid="{00000000-0005-0000-0000-00002A4B0000}"/>
    <cellStyle name="Normal 2 2 2 2 2 2 3 5" xfId="20026" xr:uid="{00000000-0005-0000-0000-00002B4B0000}"/>
    <cellStyle name="Normal 2 2 2 2 2 2 3 5 2" xfId="20027" xr:uid="{00000000-0005-0000-0000-00002C4B0000}"/>
    <cellStyle name="Normal 2 2 2 2 2 2 3 5 3" xfId="20028" xr:uid="{00000000-0005-0000-0000-00002D4B0000}"/>
    <cellStyle name="Normal 2 2 2 2 2 2 3 5 4" xfId="20029" xr:uid="{00000000-0005-0000-0000-00002E4B0000}"/>
    <cellStyle name="Normal 2 2 2 2 2 2 3 5 5" xfId="20030" xr:uid="{00000000-0005-0000-0000-00002F4B0000}"/>
    <cellStyle name="Normal 2 2 2 2 2 2 3 5 6" xfId="20031" xr:uid="{00000000-0005-0000-0000-0000304B0000}"/>
    <cellStyle name="Normal 2 2 2 2 2 2 3 6" xfId="20032" xr:uid="{00000000-0005-0000-0000-0000314B0000}"/>
    <cellStyle name="Normal 2 2 2 2 2 2 3 6 2" xfId="20033" xr:uid="{00000000-0005-0000-0000-0000324B0000}"/>
    <cellStyle name="Normal 2 2 2 2 2 2 3 6 3" xfId="20034" xr:uid="{00000000-0005-0000-0000-0000334B0000}"/>
    <cellStyle name="Normal 2 2 2 2 2 2 3 6 4" xfId="20035" xr:uid="{00000000-0005-0000-0000-0000344B0000}"/>
    <cellStyle name="Normal 2 2 2 2 2 2 3 6 5" xfId="20036" xr:uid="{00000000-0005-0000-0000-0000354B0000}"/>
    <cellStyle name="Normal 2 2 2 2 2 2 3 6 6" xfId="20037" xr:uid="{00000000-0005-0000-0000-0000364B0000}"/>
    <cellStyle name="Normal 2 2 2 2 2 2 3 7" xfId="20038" xr:uid="{00000000-0005-0000-0000-0000374B0000}"/>
    <cellStyle name="Normal 2 2 2 2 2 2 3 7 2" xfId="20039" xr:uid="{00000000-0005-0000-0000-0000384B0000}"/>
    <cellStyle name="Normal 2 2 2 2 2 2 3 7 3" xfId="20040" xr:uid="{00000000-0005-0000-0000-0000394B0000}"/>
    <cellStyle name="Normal 2 2 2 2 2 2 3 7 4" xfId="20041" xr:uid="{00000000-0005-0000-0000-00003A4B0000}"/>
    <cellStyle name="Normal 2 2 2 2 2 2 3 7 5" xfId="20042" xr:uid="{00000000-0005-0000-0000-00003B4B0000}"/>
    <cellStyle name="Normal 2 2 2 2 2 2 3 7 6" xfId="20043" xr:uid="{00000000-0005-0000-0000-00003C4B0000}"/>
    <cellStyle name="Normal 2 2 2 2 2 2 3 8" xfId="20044" xr:uid="{00000000-0005-0000-0000-00003D4B0000}"/>
    <cellStyle name="Normal 2 2 2 2 2 2 3 8 2" xfId="20045" xr:uid="{00000000-0005-0000-0000-00003E4B0000}"/>
    <cellStyle name="Normal 2 2 2 2 2 2 3 8 3" xfId="20046" xr:uid="{00000000-0005-0000-0000-00003F4B0000}"/>
    <cellStyle name="Normal 2 2 2 2 2 2 3 8 4" xfId="20047" xr:uid="{00000000-0005-0000-0000-0000404B0000}"/>
    <cellStyle name="Normal 2 2 2 2 2 2 3 8 5" xfId="20048" xr:uid="{00000000-0005-0000-0000-0000414B0000}"/>
    <cellStyle name="Normal 2 2 2 2 2 2 3 8 6" xfId="20049" xr:uid="{00000000-0005-0000-0000-0000424B0000}"/>
    <cellStyle name="Normal 2 2 2 2 2 2 3 9" xfId="20050" xr:uid="{00000000-0005-0000-0000-0000434B0000}"/>
    <cellStyle name="Normal 2 2 2 2 2 2 30" xfId="20051" xr:uid="{00000000-0005-0000-0000-0000444B0000}"/>
    <cellStyle name="Normal 2 2 2 2 2 2 31" xfId="20052" xr:uid="{00000000-0005-0000-0000-0000454B0000}"/>
    <cellStyle name="Normal 2 2 2 2 2 2 32" xfId="20053" xr:uid="{00000000-0005-0000-0000-0000464B0000}"/>
    <cellStyle name="Normal 2 2 2 2 2 2 33" xfId="20054" xr:uid="{00000000-0005-0000-0000-0000474B0000}"/>
    <cellStyle name="Normal 2 2 2 2 2 2 34" xfId="20055" xr:uid="{00000000-0005-0000-0000-0000484B0000}"/>
    <cellStyle name="Normal 2 2 2 2 2 2 35" xfId="20056" xr:uid="{00000000-0005-0000-0000-0000494B0000}"/>
    <cellStyle name="Normal 2 2 2 2 2 2 36" xfId="20057" xr:uid="{00000000-0005-0000-0000-00004A4B0000}"/>
    <cellStyle name="Normal 2 2 2 2 2 2 37" xfId="20058" xr:uid="{00000000-0005-0000-0000-00004B4B0000}"/>
    <cellStyle name="Normal 2 2 2 2 2 2 38" xfId="20059" xr:uid="{00000000-0005-0000-0000-00004C4B0000}"/>
    <cellStyle name="Normal 2 2 2 2 2 2 39" xfId="20060" xr:uid="{00000000-0005-0000-0000-00004D4B0000}"/>
    <cellStyle name="Normal 2 2 2 2 2 2 4" xfId="20061" xr:uid="{00000000-0005-0000-0000-00004E4B0000}"/>
    <cellStyle name="Normal 2 2 2 2 2 2 4 10" xfId="20062" xr:uid="{00000000-0005-0000-0000-00004F4B0000}"/>
    <cellStyle name="Normal 2 2 2 2 2 2 4 11" xfId="20063" xr:uid="{00000000-0005-0000-0000-0000504B0000}"/>
    <cellStyle name="Normal 2 2 2 2 2 2 4 12" xfId="20064" xr:uid="{00000000-0005-0000-0000-0000514B0000}"/>
    <cellStyle name="Normal 2 2 2 2 2 2 4 13" xfId="20065" xr:uid="{00000000-0005-0000-0000-0000524B0000}"/>
    <cellStyle name="Normal 2 2 2 2 2 2 4 14" xfId="20066" xr:uid="{00000000-0005-0000-0000-0000534B0000}"/>
    <cellStyle name="Normal 2 2 2 2 2 2 4 2" xfId="20067" xr:uid="{00000000-0005-0000-0000-0000544B0000}"/>
    <cellStyle name="Normal 2 2 2 2 2 2 4 2 2" xfId="20068" xr:uid="{00000000-0005-0000-0000-0000554B0000}"/>
    <cellStyle name="Normal 2 2 2 2 2 2 4 2 3" xfId="20069" xr:uid="{00000000-0005-0000-0000-0000564B0000}"/>
    <cellStyle name="Normal 2 2 2 2 2 2 4 2 4" xfId="20070" xr:uid="{00000000-0005-0000-0000-0000574B0000}"/>
    <cellStyle name="Normal 2 2 2 2 2 2 4 2 5" xfId="20071" xr:uid="{00000000-0005-0000-0000-0000584B0000}"/>
    <cellStyle name="Normal 2 2 2 2 2 2 4 2 6" xfId="20072" xr:uid="{00000000-0005-0000-0000-0000594B0000}"/>
    <cellStyle name="Normal 2 2 2 2 2 2 4 3" xfId="20073" xr:uid="{00000000-0005-0000-0000-00005A4B0000}"/>
    <cellStyle name="Normal 2 2 2 2 2 2 4 3 2" xfId="20074" xr:uid="{00000000-0005-0000-0000-00005B4B0000}"/>
    <cellStyle name="Normal 2 2 2 2 2 2 4 3 3" xfId="20075" xr:uid="{00000000-0005-0000-0000-00005C4B0000}"/>
    <cellStyle name="Normal 2 2 2 2 2 2 4 3 4" xfId="20076" xr:uid="{00000000-0005-0000-0000-00005D4B0000}"/>
    <cellStyle name="Normal 2 2 2 2 2 2 4 3 5" xfId="20077" xr:uid="{00000000-0005-0000-0000-00005E4B0000}"/>
    <cellStyle name="Normal 2 2 2 2 2 2 4 3 6" xfId="20078" xr:uid="{00000000-0005-0000-0000-00005F4B0000}"/>
    <cellStyle name="Normal 2 2 2 2 2 2 4 4" xfId="20079" xr:uid="{00000000-0005-0000-0000-0000604B0000}"/>
    <cellStyle name="Normal 2 2 2 2 2 2 4 4 2" xfId="20080" xr:uid="{00000000-0005-0000-0000-0000614B0000}"/>
    <cellStyle name="Normal 2 2 2 2 2 2 4 4 3" xfId="20081" xr:uid="{00000000-0005-0000-0000-0000624B0000}"/>
    <cellStyle name="Normal 2 2 2 2 2 2 4 4 4" xfId="20082" xr:uid="{00000000-0005-0000-0000-0000634B0000}"/>
    <cellStyle name="Normal 2 2 2 2 2 2 4 4 5" xfId="20083" xr:uid="{00000000-0005-0000-0000-0000644B0000}"/>
    <cellStyle name="Normal 2 2 2 2 2 2 4 4 6" xfId="20084" xr:uid="{00000000-0005-0000-0000-0000654B0000}"/>
    <cellStyle name="Normal 2 2 2 2 2 2 4 5" xfId="20085" xr:uid="{00000000-0005-0000-0000-0000664B0000}"/>
    <cellStyle name="Normal 2 2 2 2 2 2 4 5 2" xfId="20086" xr:uid="{00000000-0005-0000-0000-0000674B0000}"/>
    <cellStyle name="Normal 2 2 2 2 2 2 4 5 3" xfId="20087" xr:uid="{00000000-0005-0000-0000-0000684B0000}"/>
    <cellStyle name="Normal 2 2 2 2 2 2 4 5 4" xfId="20088" xr:uid="{00000000-0005-0000-0000-0000694B0000}"/>
    <cellStyle name="Normal 2 2 2 2 2 2 4 5 5" xfId="20089" xr:uid="{00000000-0005-0000-0000-00006A4B0000}"/>
    <cellStyle name="Normal 2 2 2 2 2 2 4 5 6" xfId="20090" xr:uid="{00000000-0005-0000-0000-00006B4B0000}"/>
    <cellStyle name="Normal 2 2 2 2 2 2 4 6" xfId="20091" xr:uid="{00000000-0005-0000-0000-00006C4B0000}"/>
    <cellStyle name="Normal 2 2 2 2 2 2 4 6 2" xfId="20092" xr:uid="{00000000-0005-0000-0000-00006D4B0000}"/>
    <cellStyle name="Normal 2 2 2 2 2 2 4 6 3" xfId="20093" xr:uid="{00000000-0005-0000-0000-00006E4B0000}"/>
    <cellStyle name="Normal 2 2 2 2 2 2 4 6 4" xfId="20094" xr:uid="{00000000-0005-0000-0000-00006F4B0000}"/>
    <cellStyle name="Normal 2 2 2 2 2 2 4 6 5" xfId="20095" xr:uid="{00000000-0005-0000-0000-0000704B0000}"/>
    <cellStyle name="Normal 2 2 2 2 2 2 4 6 6" xfId="20096" xr:uid="{00000000-0005-0000-0000-0000714B0000}"/>
    <cellStyle name="Normal 2 2 2 2 2 2 4 7" xfId="20097" xr:uid="{00000000-0005-0000-0000-0000724B0000}"/>
    <cellStyle name="Normal 2 2 2 2 2 2 4 7 2" xfId="20098" xr:uid="{00000000-0005-0000-0000-0000734B0000}"/>
    <cellStyle name="Normal 2 2 2 2 2 2 4 7 3" xfId="20099" xr:uid="{00000000-0005-0000-0000-0000744B0000}"/>
    <cellStyle name="Normal 2 2 2 2 2 2 4 7 4" xfId="20100" xr:uid="{00000000-0005-0000-0000-0000754B0000}"/>
    <cellStyle name="Normal 2 2 2 2 2 2 4 7 5" xfId="20101" xr:uid="{00000000-0005-0000-0000-0000764B0000}"/>
    <cellStyle name="Normal 2 2 2 2 2 2 4 7 6" xfId="20102" xr:uid="{00000000-0005-0000-0000-0000774B0000}"/>
    <cellStyle name="Normal 2 2 2 2 2 2 4 8" xfId="20103" xr:uid="{00000000-0005-0000-0000-0000784B0000}"/>
    <cellStyle name="Normal 2 2 2 2 2 2 4 8 2" xfId="20104" xr:uid="{00000000-0005-0000-0000-0000794B0000}"/>
    <cellStyle name="Normal 2 2 2 2 2 2 4 8 3" xfId="20105" xr:uid="{00000000-0005-0000-0000-00007A4B0000}"/>
    <cellStyle name="Normal 2 2 2 2 2 2 4 8 4" xfId="20106" xr:uid="{00000000-0005-0000-0000-00007B4B0000}"/>
    <cellStyle name="Normal 2 2 2 2 2 2 4 8 5" xfId="20107" xr:uid="{00000000-0005-0000-0000-00007C4B0000}"/>
    <cellStyle name="Normal 2 2 2 2 2 2 4 8 6" xfId="20108" xr:uid="{00000000-0005-0000-0000-00007D4B0000}"/>
    <cellStyle name="Normal 2 2 2 2 2 2 4 9" xfId="20109" xr:uid="{00000000-0005-0000-0000-00007E4B0000}"/>
    <cellStyle name="Normal 2 2 2 2 2 2 40" xfId="20110" xr:uid="{00000000-0005-0000-0000-00007F4B0000}"/>
    <cellStyle name="Normal 2 2 2 2 2 2 41" xfId="20111" xr:uid="{00000000-0005-0000-0000-0000804B0000}"/>
    <cellStyle name="Normal 2 2 2 2 2 2 42" xfId="20112" xr:uid="{00000000-0005-0000-0000-0000814B0000}"/>
    <cellStyle name="Normal 2 2 2 2 2 2 43" xfId="20113" xr:uid="{00000000-0005-0000-0000-0000824B0000}"/>
    <cellStyle name="Normal 2 2 2 2 2 2 43 2" xfId="20114" xr:uid="{00000000-0005-0000-0000-0000834B0000}"/>
    <cellStyle name="Normal 2 2 2 2 2 2 43 3" xfId="20115" xr:uid="{00000000-0005-0000-0000-0000844B0000}"/>
    <cellStyle name="Normal 2 2 2 2 2 2 43 4" xfId="20116" xr:uid="{00000000-0005-0000-0000-0000854B0000}"/>
    <cellStyle name="Normal 2 2 2 2 2 2 43 5" xfId="20117" xr:uid="{00000000-0005-0000-0000-0000864B0000}"/>
    <cellStyle name="Normal 2 2 2 2 2 2 43 6" xfId="20118" xr:uid="{00000000-0005-0000-0000-0000874B0000}"/>
    <cellStyle name="Normal 2 2 2 2 2 2 44" xfId="20119" xr:uid="{00000000-0005-0000-0000-0000884B0000}"/>
    <cellStyle name="Normal 2 2 2 2 2 2 44 2" xfId="20120" xr:uid="{00000000-0005-0000-0000-0000894B0000}"/>
    <cellStyle name="Normal 2 2 2 2 2 2 44 3" xfId="20121" xr:uid="{00000000-0005-0000-0000-00008A4B0000}"/>
    <cellStyle name="Normal 2 2 2 2 2 2 44 4" xfId="20122" xr:uid="{00000000-0005-0000-0000-00008B4B0000}"/>
    <cellStyle name="Normal 2 2 2 2 2 2 44 5" xfId="20123" xr:uid="{00000000-0005-0000-0000-00008C4B0000}"/>
    <cellStyle name="Normal 2 2 2 2 2 2 44 6" xfId="20124" xr:uid="{00000000-0005-0000-0000-00008D4B0000}"/>
    <cellStyle name="Normal 2 2 2 2 2 2 45" xfId="20125" xr:uid="{00000000-0005-0000-0000-00008E4B0000}"/>
    <cellStyle name="Normal 2 2 2 2 2 2 45 2" xfId="20126" xr:uid="{00000000-0005-0000-0000-00008F4B0000}"/>
    <cellStyle name="Normal 2 2 2 2 2 2 45 3" xfId="20127" xr:uid="{00000000-0005-0000-0000-0000904B0000}"/>
    <cellStyle name="Normal 2 2 2 2 2 2 45 4" xfId="20128" xr:uid="{00000000-0005-0000-0000-0000914B0000}"/>
    <cellStyle name="Normal 2 2 2 2 2 2 45 5" xfId="20129" xr:uid="{00000000-0005-0000-0000-0000924B0000}"/>
    <cellStyle name="Normal 2 2 2 2 2 2 45 6" xfId="20130" xr:uid="{00000000-0005-0000-0000-0000934B0000}"/>
    <cellStyle name="Normal 2 2 2 2 2 2 46" xfId="20131" xr:uid="{00000000-0005-0000-0000-0000944B0000}"/>
    <cellStyle name="Normal 2 2 2 2 2 2 46 2" xfId="20132" xr:uid="{00000000-0005-0000-0000-0000954B0000}"/>
    <cellStyle name="Normal 2 2 2 2 2 2 46 3" xfId="20133" xr:uid="{00000000-0005-0000-0000-0000964B0000}"/>
    <cellStyle name="Normal 2 2 2 2 2 2 46 4" xfId="20134" xr:uid="{00000000-0005-0000-0000-0000974B0000}"/>
    <cellStyle name="Normal 2 2 2 2 2 2 46 5" xfId="20135" xr:uid="{00000000-0005-0000-0000-0000984B0000}"/>
    <cellStyle name="Normal 2 2 2 2 2 2 46 6" xfId="20136" xr:uid="{00000000-0005-0000-0000-0000994B0000}"/>
    <cellStyle name="Normal 2 2 2 2 2 2 47" xfId="20137" xr:uid="{00000000-0005-0000-0000-00009A4B0000}"/>
    <cellStyle name="Normal 2 2 2 2 2 2 47 2" xfId="20138" xr:uid="{00000000-0005-0000-0000-00009B4B0000}"/>
    <cellStyle name="Normal 2 2 2 2 2 2 47 2 2" xfId="20139" xr:uid="{00000000-0005-0000-0000-00009C4B0000}"/>
    <cellStyle name="Normal 2 2 2 2 2 2 47 2 2 2" xfId="20140" xr:uid="{00000000-0005-0000-0000-00009D4B0000}"/>
    <cellStyle name="Normal 2 2 2 2 2 2 47 2 2 3" xfId="20141" xr:uid="{00000000-0005-0000-0000-00009E4B0000}"/>
    <cellStyle name="Normal 2 2 2 2 2 2 47 2 2 4" xfId="20142" xr:uid="{00000000-0005-0000-0000-00009F4B0000}"/>
    <cellStyle name="Normal 2 2 2 2 2 2 47 2 2 5" xfId="20143" xr:uid="{00000000-0005-0000-0000-0000A04B0000}"/>
    <cellStyle name="Normal 2 2 2 2 2 2 47 2 2 6" xfId="20144" xr:uid="{00000000-0005-0000-0000-0000A14B0000}"/>
    <cellStyle name="Normal 2 2 2 2 2 2 47 2 2 7" xfId="20145" xr:uid="{00000000-0005-0000-0000-0000A24B0000}"/>
    <cellStyle name="Normal 2 2 2 2 2 2 47 3" xfId="20146" xr:uid="{00000000-0005-0000-0000-0000A34B0000}"/>
    <cellStyle name="Normal 2 2 2 2 2 2 47 4" xfId="20147" xr:uid="{00000000-0005-0000-0000-0000A44B0000}"/>
    <cellStyle name="Normal 2 2 2 2 2 2 47 5" xfId="20148" xr:uid="{00000000-0005-0000-0000-0000A54B0000}"/>
    <cellStyle name="Normal 2 2 2 2 2 2 47 6" xfId="20149" xr:uid="{00000000-0005-0000-0000-0000A64B0000}"/>
    <cellStyle name="Normal 2 2 2 2 2 2 47 7" xfId="20150" xr:uid="{00000000-0005-0000-0000-0000A74B0000}"/>
    <cellStyle name="Normal 2 2 2 2 2 2 47 8" xfId="20151" xr:uid="{00000000-0005-0000-0000-0000A84B0000}"/>
    <cellStyle name="Normal 2 2 2 2 2 2 48" xfId="20152" xr:uid="{00000000-0005-0000-0000-0000A94B0000}"/>
    <cellStyle name="Normal 2 2 2 2 2 2 49" xfId="20153" xr:uid="{00000000-0005-0000-0000-0000AA4B0000}"/>
    <cellStyle name="Normal 2 2 2 2 2 2 5" xfId="20154" xr:uid="{00000000-0005-0000-0000-0000AB4B0000}"/>
    <cellStyle name="Normal 2 2 2 2 2 2 5 10" xfId="20155" xr:uid="{00000000-0005-0000-0000-0000AC4B0000}"/>
    <cellStyle name="Normal 2 2 2 2 2 2 5 11" xfId="20156" xr:uid="{00000000-0005-0000-0000-0000AD4B0000}"/>
    <cellStyle name="Normal 2 2 2 2 2 2 5 12" xfId="20157" xr:uid="{00000000-0005-0000-0000-0000AE4B0000}"/>
    <cellStyle name="Normal 2 2 2 2 2 2 5 13" xfId="20158" xr:uid="{00000000-0005-0000-0000-0000AF4B0000}"/>
    <cellStyle name="Normal 2 2 2 2 2 2 5 2" xfId="20159" xr:uid="{00000000-0005-0000-0000-0000B04B0000}"/>
    <cellStyle name="Normal 2 2 2 2 2 2 5 2 2" xfId="20160" xr:uid="{00000000-0005-0000-0000-0000B14B0000}"/>
    <cellStyle name="Normal 2 2 2 2 2 2 5 2 3" xfId="20161" xr:uid="{00000000-0005-0000-0000-0000B24B0000}"/>
    <cellStyle name="Normal 2 2 2 2 2 2 5 2 4" xfId="20162" xr:uid="{00000000-0005-0000-0000-0000B34B0000}"/>
    <cellStyle name="Normal 2 2 2 2 2 2 5 2 5" xfId="20163" xr:uid="{00000000-0005-0000-0000-0000B44B0000}"/>
    <cellStyle name="Normal 2 2 2 2 2 2 5 2 6" xfId="20164" xr:uid="{00000000-0005-0000-0000-0000B54B0000}"/>
    <cellStyle name="Normal 2 2 2 2 2 2 5 3" xfId="20165" xr:uid="{00000000-0005-0000-0000-0000B64B0000}"/>
    <cellStyle name="Normal 2 2 2 2 2 2 5 3 2" xfId="20166" xr:uid="{00000000-0005-0000-0000-0000B74B0000}"/>
    <cellStyle name="Normal 2 2 2 2 2 2 5 3 3" xfId="20167" xr:uid="{00000000-0005-0000-0000-0000B84B0000}"/>
    <cellStyle name="Normal 2 2 2 2 2 2 5 3 4" xfId="20168" xr:uid="{00000000-0005-0000-0000-0000B94B0000}"/>
    <cellStyle name="Normal 2 2 2 2 2 2 5 3 5" xfId="20169" xr:uid="{00000000-0005-0000-0000-0000BA4B0000}"/>
    <cellStyle name="Normal 2 2 2 2 2 2 5 3 6" xfId="20170" xr:uid="{00000000-0005-0000-0000-0000BB4B0000}"/>
    <cellStyle name="Normal 2 2 2 2 2 2 5 4" xfId="20171" xr:uid="{00000000-0005-0000-0000-0000BC4B0000}"/>
    <cellStyle name="Normal 2 2 2 2 2 2 5 4 2" xfId="20172" xr:uid="{00000000-0005-0000-0000-0000BD4B0000}"/>
    <cellStyle name="Normal 2 2 2 2 2 2 5 4 3" xfId="20173" xr:uid="{00000000-0005-0000-0000-0000BE4B0000}"/>
    <cellStyle name="Normal 2 2 2 2 2 2 5 4 4" xfId="20174" xr:uid="{00000000-0005-0000-0000-0000BF4B0000}"/>
    <cellStyle name="Normal 2 2 2 2 2 2 5 4 5" xfId="20175" xr:uid="{00000000-0005-0000-0000-0000C04B0000}"/>
    <cellStyle name="Normal 2 2 2 2 2 2 5 4 6" xfId="20176" xr:uid="{00000000-0005-0000-0000-0000C14B0000}"/>
    <cellStyle name="Normal 2 2 2 2 2 2 5 5" xfId="20177" xr:uid="{00000000-0005-0000-0000-0000C24B0000}"/>
    <cellStyle name="Normal 2 2 2 2 2 2 5 5 2" xfId="20178" xr:uid="{00000000-0005-0000-0000-0000C34B0000}"/>
    <cellStyle name="Normal 2 2 2 2 2 2 5 5 3" xfId="20179" xr:uid="{00000000-0005-0000-0000-0000C44B0000}"/>
    <cellStyle name="Normal 2 2 2 2 2 2 5 5 4" xfId="20180" xr:uid="{00000000-0005-0000-0000-0000C54B0000}"/>
    <cellStyle name="Normal 2 2 2 2 2 2 5 5 5" xfId="20181" xr:uid="{00000000-0005-0000-0000-0000C64B0000}"/>
    <cellStyle name="Normal 2 2 2 2 2 2 5 5 6" xfId="20182" xr:uid="{00000000-0005-0000-0000-0000C74B0000}"/>
    <cellStyle name="Normal 2 2 2 2 2 2 5 6" xfId="20183" xr:uid="{00000000-0005-0000-0000-0000C84B0000}"/>
    <cellStyle name="Normal 2 2 2 2 2 2 5 6 2" xfId="20184" xr:uid="{00000000-0005-0000-0000-0000C94B0000}"/>
    <cellStyle name="Normal 2 2 2 2 2 2 5 6 3" xfId="20185" xr:uid="{00000000-0005-0000-0000-0000CA4B0000}"/>
    <cellStyle name="Normal 2 2 2 2 2 2 5 6 4" xfId="20186" xr:uid="{00000000-0005-0000-0000-0000CB4B0000}"/>
    <cellStyle name="Normal 2 2 2 2 2 2 5 6 5" xfId="20187" xr:uid="{00000000-0005-0000-0000-0000CC4B0000}"/>
    <cellStyle name="Normal 2 2 2 2 2 2 5 6 6" xfId="20188" xr:uid="{00000000-0005-0000-0000-0000CD4B0000}"/>
    <cellStyle name="Normal 2 2 2 2 2 2 5 7" xfId="20189" xr:uid="{00000000-0005-0000-0000-0000CE4B0000}"/>
    <cellStyle name="Normal 2 2 2 2 2 2 5 7 2" xfId="20190" xr:uid="{00000000-0005-0000-0000-0000CF4B0000}"/>
    <cellStyle name="Normal 2 2 2 2 2 2 5 7 3" xfId="20191" xr:uid="{00000000-0005-0000-0000-0000D04B0000}"/>
    <cellStyle name="Normal 2 2 2 2 2 2 5 7 4" xfId="20192" xr:uid="{00000000-0005-0000-0000-0000D14B0000}"/>
    <cellStyle name="Normal 2 2 2 2 2 2 5 7 5" xfId="20193" xr:uid="{00000000-0005-0000-0000-0000D24B0000}"/>
    <cellStyle name="Normal 2 2 2 2 2 2 5 7 6" xfId="20194" xr:uid="{00000000-0005-0000-0000-0000D34B0000}"/>
    <cellStyle name="Normal 2 2 2 2 2 2 5 8" xfId="20195" xr:uid="{00000000-0005-0000-0000-0000D44B0000}"/>
    <cellStyle name="Normal 2 2 2 2 2 2 5 8 2" xfId="20196" xr:uid="{00000000-0005-0000-0000-0000D54B0000}"/>
    <cellStyle name="Normal 2 2 2 2 2 2 5 8 3" xfId="20197" xr:uid="{00000000-0005-0000-0000-0000D64B0000}"/>
    <cellStyle name="Normal 2 2 2 2 2 2 5 8 4" xfId="20198" xr:uid="{00000000-0005-0000-0000-0000D74B0000}"/>
    <cellStyle name="Normal 2 2 2 2 2 2 5 8 5" xfId="20199" xr:uid="{00000000-0005-0000-0000-0000D84B0000}"/>
    <cellStyle name="Normal 2 2 2 2 2 2 5 8 6" xfId="20200" xr:uid="{00000000-0005-0000-0000-0000D94B0000}"/>
    <cellStyle name="Normal 2 2 2 2 2 2 5 9" xfId="20201" xr:uid="{00000000-0005-0000-0000-0000DA4B0000}"/>
    <cellStyle name="Normal 2 2 2 2 2 2 50" xfId="20202" xr:uid="{00000000-0005-0000-0000-0000DB4B0000}"/>
    <cellStyle name="Normal 2 2 2 2 2 2 51" xfId="20203" xr:uid="{00000000-0005-0000-0000-0000DC4B0000}"/>
    <cellStyle name="Normal 2 2 2 2 2 2 52" xfId="20204" xr:uid="{00000000-0005-0000-0000-0000DD4B0000}"/>
    <cellStyle name="Normal 2 2 2 2 2 2 53" xfId="20205" xr:uid="{00000000-0005-0000-0000-0000DE4B0000}"/>
    <cellStyle name="Normal 2 2 2 2 2 2 54" xfId="20206" xr:uid="{00000000-0005-0000-0000-0000DF4B0000}"/>
    <cellStyle name="Normal 2 2 2 2 2 2 55" xfId="20207" xr:uid="{00000000-0005-0000-0000-0000E04B0000}"/>
    <cellStyle name="Normal 2 2 2 2 2 2 56" xfId="20208" xr:uid="{00000000-0005-0000-0000-0000E14B0000}"/>
    <cellStyle name="Normal 2 2 2 2 2 2 57" xfId="20209" xr:uid="{00000000-0005-0000-0000-0000E24B0000}"/>
    <cellStyle name="Normal 2 2 2 2 2 2 58" xfId="20210" xr:uid="{00000000-0005-0000-0000-0000E34B0000}"/>
    <cellStyle name="Normal 2 2 2 2 2 2 59" xfId="20211" xr:uid="{00000000-0005-0000-0000-0000E44B0000}"/>
    <cellStyle name="Normal 2 2 2 2 2 2 6" xfId="20212" xr:uid="{00000000-0005-0000-0000-0000E54B0000}"/>
    <cellStyle name="Normal 2 2 2 2 2 2 6 10" xfId="20213" xr:uid="{00000000-0005-0000-0000-0000E64B0000}"/>
    <cellStyle name="Normal 2 2 2 2 2 2 6 11" xfId="20214" xr:uid="{00000000-0005-0000-0000-0000E74B0000}"/>
    <cellStyle name="Normal 2 2 2 2 2 2 6 12" xfId="20215" xr:uid="{00000000-0005-0000-0000-0000E84B0000}"/>
    <cellStyle name="Normal 2 2 2 2 2 2 6 13" xfId="20216" xr:uid="{00000000-0005-0000-0000-0000E94B0000}"/>
    <cellStyle name="Normal 2 2 2 2 2 2 6 2" xfId="20217" xr:uid="{00000000-0005-0000-0000-0000EA4B0000}"/>
    <cellStyle name="Normal 2 2 2 2 2 2 6 2 2" xfId="20218" xr:uid="{00000000-0005-0000-0000-0000EB4B0000}"/>
    <cellStyle name="Normal 2 2 2 2 2 2 6 2 3" xfId="20219" xr:uid="{00000000-0005-0000-0000-0000EC4B0000}"/>
    <cellStyle name="Normal 2 2 2 2 2 2 6 2 4" xfId="20220" xr:uid="{00000000-0005-0000-0000-0000ED4B0000}"/>
    <cellStyle name="Normal 2 2 2 2 2 2 6 2 5" xfId="20221" xr:uid="{00000000-0005-0000-0000-0000EE4B0000}"/>
    <cellStyle name="Normal 2 2 2 2 2 2 6 2 6" xfId="20222" xr:uid="{00000000-0005-0000-0000-0000EF4B0000}"/>
    <cellStyle name="Normal 2 2 2 2 2 2 6 3" xfId="20223" xr:uid="{00000000-0005-0000-0000-0000F04B0000}"/>
    <cellStyle name="Normal 2 2 2 2 2 2 6 3 2" xfId="20224" xr:uid="{00000000-0005-0000-0000-0000F14B0000}"/>
    <cellStyle name="Normal 2 2 2 2 2 2 6 3 3" xfId="20225" xr:uid="{00000000-0005-0000-0000-0000F24B0000}"/>
    <cellStyle name="Normal 2 2 2 2 2 2 6 3 4" xfId="20226" xr:uid="{00000000-0005-0000-0000-0000F34B0000}"/>
    <cellStyle name="Normal 2 2 2 2 2 2 6 3 5" xfId="20227" xr:uid="{00000000-0005-0000-0000-0000F44B0000}"/>
    <cellStyle name="Normal 2 2 2 2 2 2 6 3 6" xfId="20228" xr:uid="{00000000-0005-0000-0000-0000F54B0000}"/>
    <cellStyle name="Normal 2 2 2 2 2 2 6 4" xfId="20229" xr:uid="{00000000-0005-0000-0000-0000F64B0000}"/>
    <cellStyle name="Normal 2 2 2 2 2 2 6 4 2" xfId="20230" xr:uid="{00000000-0005-0000-0000-0000F74B0000}"/>
    <cellStyle name="Normal 2 2 2 2 2 2 6 4 3" xfId="20231" xr:uid="{00000000-0005-0000-0000-0000F84B0000}"/>
    <cellStyle name="Normal 2 2 2 2 2 2 6 4 4" xfId="20232" xr:uid="{00000000-0005-0000-0000-0000F94B0000}"/>
    <cellStyle name="Normal 2 2 2 2 2 2 6 4 5" xfId="20233" xr:uid="{00000000-0005-0000-0000-0000FA4B0000}"/>
    <cellStyle name="Normal 2 2 2 2 2 2 6 4 6" xfId="20234" xr:uid="{00000000-0005-0000-0000-0000FB4B0000}"/>
    <cellStyle name="Normal 2 2 2 2 2 2 6 5" xfId="20235" xr:uid="{00000000-0005-0000-0000-0000FC4B0000}"/>
    <cellStyle name="Normal 2 2 2 2 2 2 6 5 2" xfId="20236" xr:uid="{00000000-0005-0000-0000-0000FD4B0000}"/>
    <cellStyle name="Normal 2 2 2 2 2 2 6 5 3" xfId="20237" xr:uid="{00000000-0005-0000-0000-0000FE4B0000}"/>
    <cellStyle name="Normal 2 2 2 2 2 2 6 5 4" xfId="20238" xr:uid="{00000000-0005-0000-0000-0000FF4B0000}"/>
    <cellStyle name="Normal 2 2 2 2 2 2 6 5 5" xfId="20239" xr:uid="{00000000-0005-0000-0000-0000004C0000}"/>
    <cellStyle name="Normal 2 2 2 2 2 2 6 5 6" xfId="20240" xr:uid="{00000000-0005-0000-0000-0000014C0000}"/>
    <cellStyle name="Normal 2 2 2 2 2 2 6 6" xfId="20241" xr:uid="{00000000-0005-0000-0000-0000024C0000}"/>
    <cellStyle name="Normal 2 2 2 2 2 2 6 6 2" xfId="20242" xr:uid="{00000000-0005-0000-0000-0000034C0000}"/>
    <cellStyle name="Normal 2 2 2 2 2 2 6 6 3" xfId="20243" xr:uid="{00000000-0005-0000-0000-0000044C0000}"/>
    <cellStyle name="Normal 2 2 2 2 2 2 6 6 4" xfId="20244" xr:uid="{00000000-0005-0000-0000-0000054C0000}"/>
    <cellStyle name="Normal 2 2 2 2 2 2 6 6 5" xfId="20245" xr:uid="{00000000-0005-0000-0000-0000064C0000}"/>
    <cellStyle name="Normal 2 2 2 2 2 2 6 6 6" xfId="20246" xr:uid="{00000000-0005-0000-0000-0000074C0000}"/>
    <cellStyle name="Normal 2 2 2 2 2 2 6 7" xfId="20247" xr:uid="{00000000-0005-0000-0000-0000084C0000}"/>
    <cellStyle name="Normal 2 2 2 2 2 2 6 7 2" xfId="20248" xr:uid="{00000000-0005-0000-0000-0000094C0000}"/>
    <cellStyle name="Normal 2 2 2 2 2 2 6 7 3" xfId="20249" xr:uid="{00000000-0005-0000-0000-00000A4C0000}"/>
    <cellStyle name="Normal 2 2 2 2 2 2 6 7 4" xfId="20250" xr:uid="{00000000-0005-0000-0000-00000B4C0000}"/>
    <cellStyle name="Normal 2 2 2 2 2 2 6 7 5" xfId="20251" xr:uid="{00000000-0005-0000-0000-00000C4C0000}"/>
    <cellStyle name="Normal 2 2 2 2 2 2 6 7 6" xfId="20252" xr:uid="{00000000-0005-0000-0000-00000D4C0000}"/>
    <cellStyle name="Normal 2 2 2 2 2 2 6 8" xfId="20253" xr:uid="{00000000-0005-0000-0000-00000E4C0000}"/>
    <cellStyle name="Normal 2 2 2 2 2 2 6 8 2" xfId="20254" xr:uid="{00000000-0005-0000-0000-00000F4C0000}"/>
    <cellStyle name="Normal 2 2 2 2 2 2 6 8 3" xfId="20255" xr:uid="{00000000-0005-0000-0000-0000104C0000}"/>
    <cellStyle name="Normal 2 2 2 2 2 2 6 8 4" xfId="20256" xr:uid="{00000000-0005-0000-0000-0000114C0000}"/>
    <cellStyle name="Normal 2 2 2 2 2 2 6 8 5" xfId="20257" xr:uid="{00000000-0005-0000-0000-0000124C0000}"/>
    <cellStyle name="Normal 2 2 2 2 2 2 6 8 6" xfId="20258" xr:uid="{00000000-0005-0000-0000-0000134C0000}"/>
    <cellStyle name="Normal 2 2 2 2 2 2 6 9" xfId="20259" xr:uid="{00000000-0005-0000-0000-0000144C0000}"/>
    <cellStyle name="Normal 2 2 2 2 2 2 60" xfId="20260" xr:uid="{00000000-0005-0000-0000-0000154C0000}"/>
    <cellStyle name="Normal 2 2 2 2 2 2 61" xfId="20261" xr:uid="{00000000-0005-0000-0000-0000164C0000}"/>
    <cellStyle name="Normal 2 2 2 2 2 2 62" xfId="20262" xr:uid="{00000000-0005-0000-0000-0000174C0000}"/>
    <cellStyle name="Normal 2 2 2 2 2 2 63" xfId="20263" xr:uid="{00000000-0005-0000-0000-0000184C0000}"/>
    <cellStyle name="Normal 2 2 2 2 2 2 64" xfId="20264" xr:uid="{00000000-0005-0000-0000-0000194C0000}"/>
    <cellStyle name="Normal 2 2 2 2 2 2 65" xfId="20265" xr:uid="{00000000-0005-0000-0000-00001A4C0000}"/>
    <cellStyle name="Normal 2 2 2 2 2 2 66" xfId="20266" xr:uid="{00000000-0005-0000-0000-00001B4C0000}"/>
    <cellStyle name="Normal 2 2 2 2 2 2 67" xfId="20267" xr:uid="{00000000-0005-0000-0000-00001C4C0000}"/>
    <cellStyle name="Normal 2 2 2 2 2 2 67 2" xfId="20268" xr:uid="{00000000-0005-0000-0000-00001D4C0000}"/>
    <cellStyle name="Normal 2 2 2 2 2 2 67 3" xfId="20269" xr:uid="{00000000-0005-0000-0000-00001E4C0000}"/>
    <cellStyle name="Normal 2 2 2 2 2 2 67 4" xfId="20270" xr:uid="{00000000-0005-0000-0000-00001F4C0000}"/>
    <cellStyle name="Normal 2 2 2 2 2 2 67 5" xfId="20271" xr:uid="{00000000-0005-0000-0000-0000204C0000}"/>
    <cellStyle name="Normal 2 2 2 2 2 2 67 6" xfId="20272" xr:uid="{00000000-0005-0000-0000-0000214C0000}"/>
    <cellStyle name="Normal 2 2 2 2 2 2 67 7" xfId="20273" xr:uid="{00000000-0005-0000-0000-0000224C0000}"/>
    <cellStyle name="Normal 2 2 2 2 2 2 68" xfId="20274" xr:uid="{00000000-0005-0000-0000-0000234C0000}"/>
    <cellStyle name="Normal 2 2 2 2 2 2 68 10" xfId="20275" xr:uid="{00000000-0005-0000-0000-0000244C0000}"/>
    <cellStyle name="Normal 2 2 2 2 2 2 68 11" xfId="20276" xr:uid="{00000000-0005-0000-0000-0000254C0000}"/>
    <cellStyle name="Normal 2 2 2 2 2 2 68 2" xfId="20277" xr:uid="{00000000-0005-0000-0000-0000264C0000}"/>
    <cellStyle name="Normal 2 2 2 2 2 2 68 2 2" xfId="20278" xr:uid="{00000000-0005-0000-0000-0000274C0000}"/>
    <cellStyle name="Normal 2 2 2 2 2 2 68 2 2 2" xfId="20279" xr:uid="{00000000-0005-0000-0000-0000284C0000}"/>
    <cellStyle name="Normal 2 2 2 2 2 2 68 2 2 3" xfId="20280" xr:uid="{00000000-0005-0000-0000-0000294C0000}"/>
    <cellStyle name="Normal 2 2 2 2 2 2 68 2 3" xfId="20281" xr:uid="{00000000-0005-0000-0000-00002A4C0000}"/>
    <cellStyle name="Normal 2 2 2 2 2 2 68 2 4" xfId="20282" xr:uid="{00000000-0005-0000-0000-00002B4C0000}"/>
    <cellStyle name="Normal 2 2 2 2 2 2 68 2 5" xfId="20283" xr:uid="{00000000-0005-0000-0000-00002C4C0000}"/>
    <cellStyle name="Normal 2 2 2 2 2 2 68 2 6" xfId="20284" xr:uid="{00000000-0005-0000-0000-00002D4C0000}"/>
    <cellStyle name="Normal 2 2 2 2 2 2 68 2 7" xfId="20285" xr:uid="{00000000-0005-0000-0000-00002E4C0000}"/>
    <cellStyle name="Normal 2 2 2 2 2 2 68 2 8" xfId="20286" xr:uid="{00000000-0005-0000-0000-00002F4C0000}"/>
    <cellStyle name="Normal 2 2 2 2 2 2 68 2 9" xfId="20287" xr:uid="{00000000-0005-0000-0000-0000304C0000}"/>
    <cellStyle name="Normal 2 2 2 2 2 2 68 3" xfId="20288" xr:uid="{00000000-0005-0000-0000-0000314C0000}"/>
    <cellStyle name="Normal 2 2 2 2 2 2 68 4" xfId="20289" xr:uid="{00000000-0005-0000-0000-0000324C0000}"/>
    <cellStyle name="Normal 2 2 2 2 2 2 68 5" xfId="20290" xr:uid="{00000000-0005-0000-0000-0000334C0000}"/>
    <cellStyle name="Normal 2 2 2 2 2 2 68 5 2" xfId="20291" xr:uid="{00000000-0005-0000-0000-0000344C0000}"/>
    <cellStyle name="Normal 2 2 2 2 2 2 68 5 3" xfId="20292" xr:uid="{00000000-0005-0000-0000-0000354C0000}"/>
    <cellStyle name="Normal 2 2 2 2 2 2 68 6" xfId="20293" xr:uid="{00000000-0005-0000-0000-0000364C0000}"/>
    <cellStyle name="Normal 2 2 2 2 2 2 68 7" xfId="20294" xr:uid="{00000000-0005-0000-0000-0000374C0000}"/>
    <cellStyle name="Normal 2 2 2 2 2 2 68 8" xfId="20295" xr:uid="{00000000-0005-0000-0000-0000384C0000}"/>
    <cellStyle name="Normal 2 2 2 2 2 2 68 9" xfId="20296" xr:uid="{00000000-0005-0000-0000-0000394C0000}"/>
    <cellStyle name="Normal 2 2 2 2 2 2 69" xfId="20297" xr:uid="{00000000-0005-0000-0000-00003A4C0000}"/>
    <cellStyle name="Normal 2 2 2 2 2 2 7" xfId="20298" xr:uid="{00000000-0005-0000-0000-00003B4C0000}"/>
    <cellStyle name="Normal 2 2 2 2 2 2 7 10" xfId="20299" xr:uid="{00000000-0005-0000-0000-00003C4C0000}"/>
    <cellStyle name="Normal 2 2 2 2 2 2 7 11" xfId="20300" xr:uid="{00000000-0005-0000-0000-00003D4C0000}"/>
    <cellStyle name="Normal 2 2 2 2 2 2 7 12" xfId="20301" xr:uid="{00000000-0005-0000-0000-00003E4C0000}"/>
    <cellStyle name="Normal 2 2 2 2 2 2 7 13" xfId="20302" xr:uid="{00000000-0005-0000-0000-00003F4C0000}"/>
    <cellStyle name="Normal 2 2 2 2 2 2 7 2" xfId="20303" xr:uid="{00000000-0005-0000-0000-0000404C0000}"/>
    <cellStyle name="Normal 2 2 2 2 2 2 7 2 2" xfId="20304" xr:uid="{00000000-0005-0000-0000-0000414C0000}"/>
    <cellStyle name="Normal 2 2 2 2 2 2 7 2 3" xfId="20305" xr:uid="{00000000-0005-0000-0000-0000424C0000}"/>
    <cellStyle name="Normal 2 2 2 2 2 2 7 2 4" xfId="20306" xr:uid="{00000000-0005-0000-0000-0000434C0000}"/>
    <cellStyle name="Normal 2 2 2 2 2 2 7 2 5" xfId="20307" xr:uid="{00000000-0005-0000-0000-0000444C0000}"/>
    <cellStyle name="Normal 2 2 2 2 2 2 7 2 6" xfId="20308" xr:uid="{00000000-0005-0000-0000-0000454C0000}"/>
    <cellStyle name="Normal 2 2 2 2 2 2 7 3" xfId="20309" xr:uid="{00000000-0005-0000-0000-0000464C0000}"/>
    <cellStyle name="Normal 2 2 2 2 2 2 7 3 2" xfId="20310" xr:uid="{00000000-0005-0000-0000-0000474C0000}"/>
    <cellStyle name="Normal 2 2 2 2 2 2 7 3 3" xfId="20311" xr:uid="{00000000-0005-0000-0000-0000484C0000}"/>
    <cellStyle name="Normal 2 2 2 2 2 2 7 3 4" xfId="20312" xr:uid="{00000000-0005-0000-0000-0000494C0000}"/>
    <cellStyle name="Normal 2 2 2 2 2 2 7 3 5" xfId="20313" xr:uid="{00000000-0005-0000-0000-00004A4C0000}"/>
    <cellStyle name="Normal 2 2 2 2 2 2 7 3 6" xfId="20314" xr:uid="{00000000-0005-0000-0000-00004B4C0000}"/>
    <cellStyle name="Normal 2 2 2 2 2 2 7 4" xfId="20315" xr:uid="{00000000-0005-0000-0000-00004C4C0000}"/>
    <cellStyle name="Normal 2 2 2 2 2 2 7 4 2" xfId="20316" xr:uid="{00000000-0005-0000-0000-00004D4C0000}"/>
    <cellStyle name="Normal 2 2 2 2 2 2 7 4 3" xfId="20317" xr:uid="{00000000-0005-0000-0000-00004E4C0000}"/>
    <cellStyle name="Normal 2 2 2 2 2 2 7 4 4" xfId="20318" xr:uid="{00000000-0005-0000-0000-00004F4C0000}"/>
    <cellStyle name="Normal 2 2 2 2 2 2 7 4 5" xfId="20319" xr:uid="{00000000-0005-0000-0000-0000504C0000}"/>
    <cellStyle name="Normal 2 2 2 2 2 2 7 4 6" xfId="20320" xr:uid="{00000000-0005-0000-0000-0000514C0000}"/>
    <cellStyle name="Normal 2 2 2 2 2 2 7 5" xfId="20321" xr:uid="{00000000-0005-0000-0000-0000524C0000}"/>
    <cellStyle name="Normal 2 2 2 2 2 2 7 5 2" xfId="20322" xr:uid="{00000000-0005-0000-0000-0000534C0000}"/>
    <cellStyle name="Normal 2 2 2 2 2 2 7 5 3" xfId="20323" xr:uid="{00000000-0005-0000-0000-0000544C0000}"/>
    <cellStyle name="Normal 2 2 2 2 2 2 7 5 4" xfId="20324" xr:uid="{00000000-0005-0000-0000-0000554C0000}"/>
    <cellStyle name="Normal 2 2 2 2 2 2 7 5 5" xfId="20325" xr:uid="{00000000-0005-0000-0000-0000564C0000}"/>
    <cellStyle name="Normal 2 2 2 2 2 2 7 5 6" xfId="20326" xr:uid="{00000000-0005-0000-0000-0000574C0000}"/>
    <cellStyle name="Normal 2 2 2 2 2 2 7 6" xfId="20327" xr:uid="{00000000-0005-0000-0000-0000584C0000}"/>
    <cellStyle name="Normal 2 2 2 2 2 2 7 6 2" xfId="20328" xr:uid="{00000000-0005-0000-0000-0000594C0000}"/>
    <cellStyle name="Normal 2 2 2 2 2 2 7 6 3" xfId="20329" xr:uid="{00000000-0005-0000-0000-00005A4C0000}"/>
    <cellStyle name="Normal 2 2 2 2 2 2 7 6 4" xfId="20330" xr:uid="{00000000-0005-0000-0000-00005B4C0000}"/>
    <cellStyle name="Normal 2 2 2 2 2 2 7 6 5" xfId="20331" xr:uid="{00000000-0005-0000-0000-00005C4C0000}"/>
    <cellStyle name="Normal 2 2 2 2 2 2 7 6 6" xfId="20332" xr:uid="{00000000-0005-0000-0000-00005D4C0000}"/>
    <cellStyle name="Normal 2 2 2 2 2 2 7 7" xfId="20333" xr:uid="{00000000-0005-0000-0000-00005E4C0000}"/>
    <cellStyle name="Normal 2 2 2 2 2 2 7 7 2" xfId="20334" xr:uid="{00000000-0005-0000-0000-00005F4C0000}"/>
    <cellStyle name="Normal 2 2 2 2 2 2 7 7 3" xfId="20335" xr:uid="{00000000-0005-0000-0000-0000604C0000}"/>
    <cellStyle name="Normal 2 2 2 2 2 2 7 7 4" xfId="20336" xr:uid="{00000000-0005-0000-0000-0000614C0000}"/>
    <cellStyle name="Normal 2 2 2 2 2 2 7 7 5" xfId="20337" xr:uid="{00000000-0005-0000-0000-0000624C0000}"/>
    <cellStyle name="Normal 2 2 2 2 2 2 7 7 6" xfId="20338" xr:uid="{00000000-0005-0000-0000-0000634C0000}"/>
    <cellStyle name="Normal 2 2 2 2 2 2 7 8" xfId="20339" xr:uid="{00000000-0005-0000-0000-0000644C0000}"/>
    <cellStyle name="Normal 2 2 2 2 2 2 7 8 2" xfId="20340" xr:uid="{00000000-0005-0000-0000-0000654C0000}"/>
    <cellStyle name="Normal 2 2 2 2 2 2 7 8 3" xfId="20341" xr:uid="{00000000-0005-0000-0000-0000664C0000}"/>
    <cellStyle name="Normal 2 2 2 2 2 2 7 8 4" xfId="20342" xr:uid="{00000000-0005-0000-0000-0000674C0000}"/>
    <cellStyle name="Normal 2 2 2 2 2 2 7 8 5" xfId="20343" xr:uid="{00000000-0005-0000-0000-0000684C0000}"/>
    <cellStyle name="Normal 2 2 2 2 2 2 7 8 6" xfId="20344" xr:uid="{00000000-0005-0000-0000-0000694C0000}"/>
    <cellStyle name="Normal 2 2 2 2 2 2 7 9" xfId="20345" xr:uid="{00000000-0005-0000-0000-00006A4C0000}"/>
    <cellStyle name="Normal 2 2 2 2 2 2 70" xfId="20346" xr:uid="{00000000-0005-0000-0000-00006B4C0000}"/>
    <cellStyle name="Normal 2 2 2 2 2 2 71" xfId="20347" xr:uid="{00000000-0005-0000-0000-00006C4C0000}"/>
    <cellStyle name="Normal 2 2 2 2 2 2 71 2" xfId="20348" xr:uid="{00000000-0005-0000-0000-00006D4C0000}"/>
    <cellStyle name="Normal 2 2 2 2 2 2 71 2 2" xfId="20349" xr:uid="{00000000-0005-0000-0000-00006E4C0000}"/>
    <cellStyle name="Normal 2 2 2 2 2 2 71 2 3" xfId="20350" xr:uid="{00000000-0005-0000-0000-00006F4C0000}"/>
    <cellStyle name="Normal 2 2 2 2 2 2 71 3" xfId="20351" xr:uid="{00000000-0005-0000-0000-0000704C0000}"/>
    <cellStyle name="Normal 2 2 2 2 2 2 71 4" xfId="20352" xr:uid="{00000000-0005-0000-0000-0000714C0000}"/>
    <cellStyle name="Normal 2 2 2 2 2 2 71 5" xfId="20353" xr:uid="{00000000-0005-0000-0000-0000724C0000}"/>
    <cellStyle name="Normal 2 2 2 2 2 2 71 6" xfId="20354" xr:uid="{00000000-0005-0000-0000-0000734C0000}"/>
    <cellStyle name="Normal 2 2 2 2 2 2 71 7" xfId="20355" xr:uid="{00000000-0005-0000-0000-0000744C0000}"/>
    <cellStyle name="Normal 2 2 2 2 2 2 71 8" xfId="20356" xr:uid="{00000000-0005-0000-0000-0000754C0000}"/>
    <cellStyle name="Normal 2 2 2 2 2 2 71 9" xfId="20357" xr:uid="{00000000-0005-0000-0000-0000764C0000}"/>
    <cellStyle name="Normal 2 2 2 2 2 2 72" xfId="20358" xr:uid="{00000000-0005-0000-0000-0000774C0000}"/>
    <cellStyle name="Normal 2 2 2 2 2 2 73" xfId="20359" xr:uid="{00000000-0005-0000-0000-0000784C0000}"/>
    <cellStyle name="Normal 2 2 2 2 2 2 73 2" xfId="20360" xr:uid="{00000000-0005-0000-0000-0000794C0000}"/>
    <cellStyle name="Normal 2 2 2 2 2 2 73 3" xfId="20361" xr:uid="{00000000-0005-0000-0000-00007A4C0000}"/>
    <cellStyle name="Normal 2 2 2 2 2 2 74" xfId="20362" xr:uid="{00000000-0005-0000-0000-00007B4C0000}"/>
    <cellStyle name="Normal 2 2 2 2 2 2 75" xfId="20363" xr:uid="{00000000-0005-0000-0000-00007C4C0000}"/>
    <cellStyle name="Normal 2 2 2 2 2 2 76" xfId="20364" xr:uid="{00000000-0005-0000-0000-00007D4C0000}"/>
    <cellStyle name="Normal 2 2 2 2 2 2 77" xfId="20365" xr:uid="{00000000-0005-0000-0000-00007E4C0000}"/>
    <cellStyle name="Normal 2 2 2 2 2 2 78" xfId="20366" xr:uid="{00000000-0005-0000-0000-00007F4C0000}"/>
    <cellStyle name="Normal 2 2 2 2 2 2 79" xfId="20367" xr:uid="{00000000-0005-0000-0000-0000804C0000}"/>
    <cellStyle name="Normal 2 2 2 2 2 2 8" xfId="20368" xr:uid="{00000000-0005-0000-0000-0000814C0000}"/>
    <cellStyle name="Normal 2 2 2 2 2 2 8 10" xfId="20369" xr:uid="{00000000-0005-0000-0000-0000824C0000}"/>
    <cellStyle name="Normal 2 2 2 2 2 2 8 11" xfId="20370" xr:uid="{00000000-0005-0000-0000-0000834C0000}"/>
    <cellStyle name="Normal 2 2 2 2 2 2 8 12" xfId="20371" xr:uid="{00000000-0005-0000-0000-0000844C0000}"/>
    <cellStyle name="Normal 2 2 2 2 2 2 8 12 2" xfId="20372" xr:uid="{00000000-0005-0000-0000-0000854C0000}"/>
    <cellStyle name="Normal 2 2 2 2 2 2 8 12 3" xfId="20373" xr:uid="{00000000-0005-0000-0000-0000864C0000}"/>
    <cellStyle name="Normal 2 2 2 2 2 2 8 12 4" xfId="20374" xr:uid="{00000000-0005-0000-0000-0000874C0000}"/>
    <cellStyle name="Normal 2 2 2 2 2 2 8 12 5" xfId="20375" xr:uid="{00000000-0005-0000-0000-0000884C0000}"/>
    <cellStyle name="Normal 2 2 2 2 2 2 8 12 6" xfId="20376" xr:uid="{00000000-0005-0000-0000-0000894C0000}"/>
    <cellStyle name="Normal 2 2 2 2 2 2 8 13" xfId="20377" xr:uid="{00000000-0005-0000-0000-00008A4C0000}"/>
    <cellStyle name="Normal 2 2 2 2 2 2 8 13 2" xfId="20378" xr:uid="{00000000-0005-0000-0000-00008B4C0000}"/>
    <cellStyle name="Normal 2 2 2 2 2 2 8 13 3" xfId="20379" xr:uid="{00000000-0005-0000-0000-00008C4C0000}"/>
    <cellStyle name="Normal 2 2 2 2 2 2 8 13 4" xfId="20380" xr:uid="{00000000-0005-0000-0000-00008D4C0000}"/>
    <cellStyle name="Normal 2 2 2 2 2 2 8 13 5" xfId="20381" xr:uid="{00000000-0005-0000-0000-00008E4C0000}"/>
    <cellStyle name="Normal 2 2 2 2 2 2 8 13 6" xfId="20382" xr:uid="{00000000-0005-0000-0000-00008F4C0000}"/>
    <cellStyle name="Normal 2 2 2 2 2 2 8 14" xfId="20383" xr:uid="{00000000-0005-0000-0000-0000904C0000}"/>
    <cellStyle name="Normal 2 2 2 2 2 2 8 14 2" xfId="20384" xr:uid="{00000000-0005-0000-0000-0000914C0000}"/>
    <cellStyle name="Normal 2 2 2 2 2 2 8 14 3" xfId="20385" xr:uid="{00000000-0005-0000-0000-0000924C0000}"/>
    <cellStyle name="Normal 2 2 2 2 2 2 8 14 4" xfId="20386" xr:uid="{00000000-0005-0000-0000-0000934C0000}"/>
    <cellStyle name="Normal 2 2 2 2 2 2 8 14 5" xfId="20387" xr:uid="{00000000-0005-0000-0000-0000944C0000}"/>
    <cellStyle name="Normal 2 2 2 2 2 2 8 14 6" xfId="20388" xr:uid="{00000000-0005-0000-0000-0000954C0000}"/>
    <cellStyle name="Normal 2 2 2 2 2 2 8 15" xfId="20389" xr:uid="{00000000-0005-0000-0000-0000964C0000}"/>
    <cellStyle name="Normal 2 2 2 2 2 2 8 15 2" xfId="20390" xr:uid="{00000000-0005-0000-0000-0000974C0000}"/>
    <cellStyle name="Normal 2 2 2 2 2 2 8 15 3" xfId="20391" xr:uid="{00000000-0005-0000-0000-0000984C0000}"/>
    <cellStyle name="Normal 2 2 2 2 2 2 8 15 4" xfId="20392" xr:uid="{00000000-0005-0000-0000-0000994C0000}"/>
    <cellStyle name="Normal 2 2 2 2 2 2 8 15 5" xfId="20393" xr:uid="{00000000-0005-0000-0000-00009A4C0000}"/>
    <cellStyle name="Normal 2 2 2 2 2 2 8 15 6" xfId="20394" xr:uid="{00000000-0005-0000-0000-00009B4C0000}"/>
    <cellStyle name="Normal 2 2 2 2 2 2 8 16" xfId="20395" xr:uid="{00000000-0005-0000-0000-00009C4C0000}"/>
    <cellStyle name="Normal 2 2 2 2 2 2 8 16 2" xfId="20396" xr:uid="{00000000-0005-0000-0000-00009D4C0000}"/>
    <cellStyle name="Normal 2 2 2 2 2 2 8 16 3" xfId="20397" xr:uid="{00000000-0005-0000-0000-00009E4C0000}"/>
    <cellStyle name="Normal 2 2 2 2 2 2 8 16 4" xfId="20398" xr:uid="{00000000-0005-0000-0000-00009F4C0000}"/>
    <cellStyle name="Normal 2 2 2 2 2 2 8 16 5" xfId="20399" xr:uid="{00000000-0005-0000-0000-0000A04C0000}"/>
    <cellStyle name="Normal 2 2 2 2 2 2 8 16 6" xfId="20400" xr:uid="{00000000-0005-0000-0000-0000A14C0000}"/>
    <cellStyle name="Normal 2 2 2 2 2 2 8 17" xfId="20401" xr:uid="{00000000-0005-0000-0000-0000A24C0000}"/>
    <cellStyle name="Normal 2 2 2 2 2 2 8 17 2" xfId="20402" xr:uid="{00000000-0005-0000-0000-0000A34C0000}"/>
    <cellStyle name="Normal 2 2 2 2 2 2 8 17 3" xfId="20403" xr:uid="{00000000-0005-0000-0000-0000A44C0000}"/>
    <cellStyle name="Normal 2 2 2 2 2 2 8 17 4" xfId="20404" xr:uid="{00000000-0005-0000-0000-0000A54C0000}"/>
    <cellStyle name="Normal 2 2 2 2 2 2 8 17 5" xfId="20405" xr:uid="{00000000-0005-0000-0000-0000A64C0000}"/>
    <cellStyle name="Normal 2 2 2 2 2 2 8 17 6" xfId="20406" xr:uid="{00000000-0005-0000-0000-0000A74C0000}"/>
    <cellStyle name="Normal 2 2 2 2 2 2 8 18" xfId="20407" xr:uid="{00000000-0005-0000-0000-0000A84C0000}"/>
    <cellStyle name="Normal 2 2 2 2 2 2 8 18 2" xfId="20408" xr:uid="{00000000-0005-0000-0000-0000A94C0000}"/>
    <cellStyle name="Normal 2 2 2 2 2 2 8 18 3" xfId="20409" xr:uid="{00000000-0005-0000-0000-0000AA4C0000}"/>
    <cellStyle name="Normal 2 2 2 2 2 2 8 18 4" xfId="20410" xr:uid="{00000000-0005-0000-0000-0000AB4C0000}"/>
    <cellStyle name="Normal 2 2 2 2 2 2 8 18 5" xfId="20411" xr:uid="{00000000-0005-0000-0000-0000AC4C0000}"/>
    <cellStyle name="Normal 2 2 2 2 2 2 8 18 6" xfId="20412" xr:uid="{00000000-0005-0000-0000-0000AD4C0000}"/>
    <cellStyle name="Normal 2 2 2 2 2 2 8 19" xfId="20413" xr:uid="{00000000-0005-0000-0000-0000AE4C0000}"/>
    <cellStyle name="Normal 2 2 2 2 2 2 8 2" xfId="20414" xr:uid="{00000000-0005-0000-0000-0000AF4C0000}"/>
    <cellStyle name="Normal 2 2 2 2 2 2 8 20" xfId="20415" xr:uid="{00000000-0005-0000-0000-0000B04C0000}"/>
    <cellStyle name="Normal 2 2 2 2 2 2 8 21" xfId="20416" xr:uid="{00000000-0005-0000-0000-0000B14C0000}"/>
    <cellStyle name="Normal 2 2 2 2 2 2 8 22" xfId="20417" xr:uid="{00000000-0005-0000-0000-0000B24C0000}"/>
    <cellStyle name="Normal 2 2 2 2 2 2 8 23" xfId="20418" xr:uid="{00000000-0005-0000-0000-0000B34C0000}"/>
    <cellStyle name="Normal 2 2 2 2 2 2 8 3" xfId="20419" xr:uid="{00000000-0005-0000-0000-0000B44C0000}"/>
    <cellStyle name="Normal 2 2 2 2 2 2 8 4" xfId="20420" xr:uid="{00000000-0005-0000-0000-0000B54C0000}"/>
    <cellStyle name="Normal 2 2 2 2 2 2 8 5" xfId="20421" xr:uid="{00000000-0005-0000-0000-0000B64C0000}"/>
    <cellStyle name="Normal 2 2 2 2 2 2 8 6" xfId="20422" xr:uid="{00000000-0005-0000-0000-0000B74C0000}"/>
    <cellStyle name="Normal 2 2 2 2 2 2 8 7" xfId="20423" xr:uid="{00000000-0005-0000-0000-0000B84C0000}"/>
    <cellStyle name="Normal 2 2 2 2 2 2 8 8" xfId="20424" xr:uid="{00000000-0005-0000-0000-0000B94C0000}"/>
    <cellStyle name="Normal 2 2 2 2 2 2 8 9" xfId="20425" xr:uid="{00000000-0005-0000-0000-0000BA4C0000}"/>
    <cellStyle name="Normal 2 2 2 2 2 2 80" xfId="20426" xr:uid="{00000000-0005-0000-0000-0000BB4C0000}"/>
    <cellStyle name="Normal 2 2 2 2 2 2 9" xfId="20427" xr:uid="{00000000-0005-0000-0000-0000BC4C0000}"/>
    <cellStyle name="Normal 2 2 2 2 2 20" xfId="20428" xr:uid="{00000000-0005-0000-0000-0000BD4C0000}"/>
    <cellStyle name="Normal 2 2 2 2 2 20 10" xfId="20429" xr:uid="{00000000-0005-0000-0000-0000BE4C0000}"/>
    <cellStyle name="Normal 2 2 2 2 2 20 11" xfId="20430" xr:uid="{00000000-0005-0000-0000-0000BF4C0000}"/>
    <cellStyle name="Normal 2 2 2 2 2 20 12" xfId="20431" xr:uid="{00000000-0005-0000-0000-0000C04C0000}"/>
    <cellStyle name="Normal 2 2 2 2 2 20 13" xfId="20432" xr:uid="{00000000-0005-0000-0000-0000C14C0000}"/>
    <cellStyle name="Normal 2 2 2 2 2 20 2" xfId="20433" xr:uid="{00000000-0005-0000-0000-0000C24C0000}"/>
    <cellStyle name="Normal 2 2 2 2 2 20 2 2" xfId="20434" xr:uid="{00000000-0005-0000-0000-0000C34C0000}"/>
    <cellStyle name="Normal 2 2 2 2 2 20 2 3" xfId="20435" xr:uid="{00000000-0005-0000-0000-0000C44C0000}"/>
    <cellStyle name="Normal 2 2 2 2 2 20 2 4" xfId="20436" xr:uid="{00000000-0005-0000-0000-0000C54C0000}"/>
    <cellStyle name="Normal 2 2 2 2 2 20 2 5" xfId="20437" xr:uid="{00000000-0005-0000-0000-0000C64C0000}"/>
    <cellStyle name="Normal 2 2 2 2 2 20 2 6" xfId="20438" xr:uid="{00000000-0005-0000-0000-0000C74C0000}"/>
    <cellStyle name="Normal 2 2 2 2 2 20 3" xfId="20439" xr:uid="{00000000-0005-0000-0000-0000C84C0000}"/>
    <cellStyle name="Normal 2 2 2 2 2 20 3 2" xfId="20440" xr:uid="{00000000-0005-0000-0000-0000C94C0000}"/>
    <cellStyle name="Normal 2 2 2 2 2 20 3 3" xfId="20441" xr:uid="{00000000-0005-0000-0000-0000CA4C0000}"/>
    <cellStyle name="Normal 2 2 2 2 2 20 3 4" xfId="20442" xr:uid="{00000000-0005-0000-0000-0000CB4C0000}"/>
    <cellStyle name="Normal 2 2 2 2 2 20 3 5" xfId="20443" xr:uid="{00000000-0005-0000-0000-0000CC4C0000}"/>
    <cellStyle name="Normal 2 2 2 2 2 20 3 6" xfId="20444" xr:uid="{00000000-0005-0000-0000-0000CD4C0000}"/>
    <cellStyle name="Normal 2 2 2 2 2 20 4" xfId="20445" xr:uid="{00000000-0005-0000-0000-0000CE4C0000}"/>
    <cellStyle name="Normal 2 2 2 2 2 20 4 2" xfId="20446" xr:uid="{00000000-0005-0000-0000-0000CF4C0000}"/>
    <cellStyle name="Normal 2 2 2 2 2 20 4 3" xfId="20447" xr:uid="{00000000-0005-0000-0000-0000D04C0000}"/>
    <cellStyle name="Normal 2 2 2 2 2 20 4 4" xfId="20448" xr:uid="{00000000-0005-0000-0000-0000D14C0000}"/>
    <cellStyle name="Normal 2 2 2 2 2 20 4 5" xfId="20449" xr:uid="{00000000-0005-0000-0000-0000D24C0000}"/>
    <cellStyle name="Normal 2 2 2 2 2 20 4 6" xfId="20450" xr:uid="{00000000-0005-0000-0000-0000D34C0000}"/>
    <cellStyle name="Normal 2 2 2 2 2 20 5" xfId="20451" xr:uid="{00000000-0005-0000-0000-0000D44C0000}"/>
    <cellStyle name="Normal 2 2 2 2 2 20 5 2" xfId="20452" xr:uid="{00000000-0005-0000-0000-0000D54C0000}"/>
    <cellStyle name="Normal 2 2 2 2 2 20 5 3" xfId="20453" xr:uid="{00000000-0005-0000-0000-0000D64C0000}"/>
    <cellStyle name="Normal 2 2 2 2 2 20 5 4" xfId="20454" xr:uid="{00000000-0005-0000-0000-0000D74C0000}"/>
    <cellStyle name="Normal 2 2 2 2 2 20 5 5" xfId="20455" xr:uid="{00000000-0005-0000-0000-0000D84C0000}"/>
    <cellStyle name="Normal 2 2 2 2 2 20 5 6" xfId="20456" xr:uid="{00000000-0005-0000-0000-0000D94C0000}"/>
    <cellStyle name="Normal 2 2 2 2 2 20 6" xfId="20457" xr:uid="{00000000-0005-0000-0000-0000DA4C0000}"/>
    <cellStyle name="Normal 2 2 2 2 2 20 6 2" xfId="20458" xr:uid="{00000000-0005-0000-0000-0000DB4C0000}"/>
    <cellStyle name="Normal 2 2 2 2 2 20 6 3" xfId="20459" xr:uid="{00000000-0005-0000-0000-0000DC4C0000}"/>
    <cellStyle name="Normal 2 2 2 2 2 20 6 4" xfId="20460" xr:uid="{00000000-0005-0000-0000-0000DD4C0000}"/>
    <cellStyle name="Normal 2 2 2 2 2 20 6 5" xfId="20461" xr:uid="{00000000-0005-0000-0000-0000DE4C0000}"/>
    <cellStyle name="Normal 2 2 2 2 2 20 6 6" xfId="20462" xr:uid="{00000000-0005-0000-0000-0000DF4C0000}"/>
    <cellStyle name="Normal 2 2 2 2 2 20 7" xfId="20463" xr:uid="{00000000-0005-0000-0000-0000E04C0000}"/>
    <cellStyle name="Normal 2 2 2 2 2 20 7 2" xfId="20464" xr:uid="{00000000-0005-0000-0000-0000E14C0000}"/>
    <cellStyle name="Normal 2 2 2 2 2 20 7 3" xfId="20465" xr:uid="{00000000-0005-0000-0000-0000E24C0000}"/>
    <cellStyle name="Normal 2 2 2 2 2 20 7 4" xfId="20466" xr:uid="{00000000-0005-0000-0000-0000E34C0000}"/>
    <cellStyle name="Normal 2 2 2 2 2 20 7 5" xfId="20467" xr:uid="{00000000-0005-0000-0000-0000E44C0000}"/>
    <cellStyle name="Normal 2 2 2 2 2 20 7 6" xfId="20468" xr:uid="{00000000-0005-0000-0000-0000E54C0000}"/>
    <cellStyle name="Normal 2 2 2 2 2 20 8" xfId="20469" xr:uid="{00000000-0005-0000-0000-0000E64C0000}"/>
    <cellStyle name="Normal 2 2 2 2 2 20 8 2" xfId="20470" xr:uid="{00000000-0005-0000-0000-0000E74C0000}"/>
    <cellStyle name="Normal 2 2 2 2 2 20 8 3" xfId="20471" xr:uid="{00000000-0005-0000-0000-0000E84C0000}"/>
    <cellStyle name="Normal 2 2 2 2 2 20 8 4" xfId="20472" xr:uid="{00000000-0005-0000-0000-0000E94C0000}"/>
    <cellStyle name="Normal 2 2 2 2 2 20 8 5" xfId="20473" xr:uid="{00000000-0005-0000-0000-0000EA4C0000}"/>
    <cellStyle name="Normal 2 2 2 2 2 20 8 6" xfId="20474" xr:uid="{00000000-0005-0000-0000-0000EB4C0000}"/>
    <cellStyle name="Normal 2 2 2 2 2 20 9" xfId="20475" xr:uid="{00000000-0005-0000-0000-0000EC4C0000}"/>
    <cellStyle name="Normal 2 2 2 2 2 21" xfId="20476" xr:uid="{00000000-0005-0000-0000-0000ED4C0000}"/>
    <cellStyle name="Normal 2 2 2 2 2 21 10" xfId="20477" xr:uid="{00000000-0005-0000-0000-0000EE4C0000}"/>
    <cellStyle name="Normal 2 2 2 2 2 21 11" xfId="20478" xr:uid="{00000000-0005-0000-0000-0000EF4C0000}"/>
    <cellStyle name="Normal 2 2 2 2 2 21 12" xfId="20479" xr:uid="{00000000-0005-0000-0000-0000F04C0000}"/>
    <cellStyle name="Normal 2 2 2 2 2 21 13" xfId="20480" xr:uid="{00000000-0005-0000-0000-0000F14C0000}"/>
    <cellStyle name="Normal 2 2 2 2 2 21 2" xfId="20481" xr:uid="{00000000-0005-0000-0000-0000F24C0000}"/>
    <cellStyle name="Normal 2 2 2 2 2 21 2 2" xfId="20482" xr:uid="{00000000-0005-0000-0000-0000F34C0000}"/>
    <cellStyle name="Normal 2 2 2 2 2 21 2 3" xfId="20483" xr:uid="{00000000-0005-0000-0000-0000F44C0000}"/>
    <cellStyle name="Normal 2 2 2 2 2 21 2 4" xfId="20484" xr:uid="{00000000-0005-0000-0000-0000F54C0000}"/>
    <cellStyle name="Normal 2 2 2 2 2 21 2 5" xfId="20485" xr:uid="{00000000-0005-0000-0000-0000F64C0000}"/>
    <cellStyle name="Normal 2 2 2 2 2 21 2 6" xfId="20486" xr:uid="{00000000-0005-0000-0000-0000F74C0000}"/>
    <cellStyle name="Normal 2 2 2 2 2 21 3" xfId="20487" xr:uid="{00000000-0005-0000-0000-0000F84C0000}"/>
    <cellStyle name="Normal 2 2 2 2 2 21 3 2" xfId="20488" xr:uid="{00000000-0005-0000-0000-0000F94C0000}"/>
    <cellStyle name="Normal 2 2 2 2 2 21 3 3" xfId="20489" xr:uid="{00000000-0005-0000-0000-0000FA4C0000}"/>
    <cellStyle name="Normal 2 2 2 2 2 21 3 4" xfId="20490" xr:uid="{00000000-0005-0000-0000-0000FB4C0000}"/>
    <cellStyle name="Normal 2 2 2 2 2 21 3 5" xfId="20491" xr:uid="{00000000-0005-0000-0000-0000FC4C0000}"/>
    <cellStyle name="Normal 2 2 2 2 2 21 3 6" xfId="20492" xr:uid="{00000000-0005-0000-0000-0000FD4C0000}"/>
    <cellStyle name="Normal 2 2 2 2 2 21 4" xfId="20493" xr:uid="{00000000-0005-0000-0000-0000FE4C0000}"/>
    <cellStyle name="Normal 2 2 2 2 2 21 4 2" xfId="20494" xr:uid="{00000000-0005-0000-0000-0000FF4C0000}"/>
    <cellStyle name="Normal 2 2 2 2 2 21 4 3" xfId="20495" xr:uid="{00000000-0005-0000-0000-0000004D0000}"/>
    <cellStyle name="Normal 2 2 2 2 2 21 4 4" xfId="20496" xr:uid="{00000000-0005-0000-0000-0000014D0000}"/>
    <cellStyle name="Normal 2 2 2 2 2 21 4 5" xfId="20497" xr:uid="{00000000-0005-0000-0000-0000024D0000}"/>
    <cellStyle name="Normal 2 2 2 2 2 21 4 6" xfId="20498" xr:uid="{00000000-0005-0000-0000-0000034D0000}"/>
    <cellStyle name="Normal 2 2 2 2 2 21 5" xfId="20499" xr:uid="{00000000-0005-0000-0000-0000044D0000}"/>
    <cellStyle name="Normal 2 2 2 2 2 21 5 2" xfId="20500" xr:uid="{00000000-0005-0000-0000-0000054D0000}"/>
    <cellStyle name="Normal 2 2 2 2 2 21 5 3" xfId="20501" xr:uid="{00000000-0005-0000-0000-0000064D0000}"/>
    <cellStyle name="Normal 2 2 2 2 2 21 5 4" xfId="20502" xr:uid="{00000000-0005-0000-0000-0000074D0000}"/>
    <cellStyle name="Normal 2 2 2 2 2 21 5 5" xfId="20503" xr:uid="{00000000-0005-0000-0000-0000084D0000}"/>
    <cellStyle name="Normal 2 2 2 2 2 21 5 6" xfId="20504" xr:uid="{00000000-0005-0000-0000-0000094D0000}"/>
    <cellStyle name="Normal 2 2 2 2 2 21 6" xfId="20505" xr:uid="{00000000-0005-0000-0000-00000A4D0000}"/>
    <cellStyle name="Normal 2 2 2 2 2 21 6 2" xfId="20506" xr:uid="{00000000-0005-0000-0000-00000B4D0000}"/>
    <cellStyle name="Normal 2 2 2 2 2 21 6 3" xfId="20507" xr:uid="{00000000-0005-0000-0000-00000C4D0000}"/>
    <cellStyle name="Normal 2 2 2 2 2 21 6 4" xfId="20508" xr:uid="{00000000-0005-0000-0000-00000D4D0000}"/>
    <cellStyle name="Normal 2 2 2 2 2 21 6 5" xfId="20509" xr:uid="{00000000-0005-0000-0000-00000E4D0000}"/>
    <cellStyle name="Normal 2 2 2 2 2 21 6 6" xfId="20510" xr:uid="{00000000-0005-0000-0000-00000F4D0000}"/>
    <cellStyle name="Normal 2 2 2 2 2 21 7" xfId="20511" xr:uid="{00000000-0005-0000-0000-0000104D0000}"/>
    <cellStyle name="Normal 2 2 2 2 2 21 7 2" xfId="20512" xr:uid="{00000000-0005-0000-0000-0000114D0000}"/>
    <cellStyle name="Normal 2 2 2 2 2 21 7 3" xfId="20513" xr:uid="{00000000-0005-0000-0000-0000124D0000}"/>
    <cellStyle name="Normal 2 2 2 2 2 21 7 4" xfId="20514" xr:uid="{00000000-0005-0000-0000-0000134D0000}"/>
    <cellStyle name="Normal 2 2 2 2 2 21 7 5" xfId="20515" xr:uid="{00000000-0005-0000-0000-0000144D0000}"/>
    <cellStyle name="Normal 2 2 2 2 2 21 7 6" xfId="20516" xr:uid="{00000000-0005-0000-0000-0000154D0000}"/>
    <cellStyle name="Normal 2 2 2 2 2 21 8" xfId="20517" xr:uid="{00000000-0005-0000-0000-0000164D0000}"/>
    <cellStyle name="Normal 2 2 2 2 2 21 8 2" xfId="20518" xr:uid="{00000000-0005-0000-0000-0000174D0000}"/>
    <cellStyle name="Normal 2 2 2 2 2 21 8 3" xfId="20519" xr:uid="{00000000-0005-0000-0000-0000184D0000}"/>
    <cellStyle name="Normal 2 2 2 2 2 21 8 4" xfId="20520" xr:uid="{00000000-0005-0000-0000-0000194D0000}"/>
    <cellStyle name="Normal 2 2 2 2 2 21 8 5" xfId="20521" xr:uid="{00000000-0005-0000-0000-00001A4D0000}"/>
    <cellStyle name="Normal 2 2 2 2 2 21 8 6" xfId="20522" xr:uid="{00000000-0005-0000-0000-00001B4D0000}"/>
    <cellStyle name="Normal 2 2 2 2 2 21 9" xfId="20523" xr:uid="{00000000-0005-0000-0000-00001C4D0000}"/>
    <cellStyle name="Normal 2 2 2 2 2 22" xfId="20524" xr:uid="{00000000-0005-0000-0000-00001D4D0000}"/>
    <cellStyle name="Normal 2 2 2 2 2 22 2" xfId="20525" xr:uid="{00000000-0005-0000-0000-00001E4D0000}"/>
    <cellStyle name="Normal 2 2 2 2 2 22 3" xfId="20526" xr:uid="{00000000-0005-0000-0000-00001F4D0000}"/>
    <cellStyle name="Normal 2 2 2 2 2 22 4" xfId="20527" xr:uid="{00000000-0005-0000-0000-0000204D0000}"/>
    <cellStyle name="Normal 2 2 2 2 2 23" xfId="20528" xr:uid="{00000000-0005-0000-0000-0000214D0000}"/>
    <cellStyle name="Normal 2 2 2 2 2 24" xfId="20529" xr:uid="{00000000-0005-0000-0000-0000224D0000}"/>
    <cellStyle name="Normal 2 2 2 2 2 25" xfId="20530" xr:uid="{00000000-0005-0000-0000-0000234D0000}"/>
    <cellStyle name="Normal 2 2 2 2 2 26" xfId="20531" xr:uid="{00000000-0005-0000-0000-0000244D0000}"/>
    <cellStyle name="Normal 2 2 2 2 2 27" xfId="20532" xr:uid="{00000000-0005-0000-0000-0000254D0000}"/>
    <cellStyle name="Normal 2 2 2 2 2 28" xfId="20533" xr:uid="{00000000-0005-0000-0000-0000264D0000}"/>
    <cellStyle name="Normal 2 2 2 2 2 29" xfId="20534" xr:uid="{00000000-0005-0000-0000-0000274D0000}"/>
    <cellStyle name="Normal 2 2 2 2 2 3" xfId="20535" xr:uid="{00000000-0005-0000-0000-0000284D0000}"/>
    <cellStyle name="Normal 2 2 2 2 2 3 10" xfId="20536" xr:uid="{00000000-0005-0000-0000-0000294D0000}"/>
    <cellStyle name="Normal 2 2 2 2 2 3 11" xfId="20537" xr:uid="{00000000-0005-0000-0000-00002A4D0000}"/>
    <cellStyle name="Normal 2 2 2 2 2 3 12" xfId="20538" xr:uid="{00000000-0005-0000-0000-00002B4D0000}"/>
    <cellStyle name="Normal 2 2 2 2 2 3 13" xfId="20539" xr:uid="{00000000-0005-0000-0000-00002C4D0000}"/>
    <cellStyle name="Normal 2 2 2 2 2 3 14" xfId="20540" xr:uid="{00000000-0005-0000-0000-00002D4D0000}"/>
    <cellStyle name="Normal 2 2 2 2 2 3 2" xfId="20541" xr:uid="{00000000-0005-0000-0000-00002E4D0000}"/>
    <cellStyle name="Normal 2 2 2 2 2 3 2 2" xfId="20542" xr:uid="{00000000-0005-0000-0000-00002F4D0000}"/>
    <cellStyle name="Normal 2 2 2 2 2 3 2 3" xfId="20543" xr:uid="{00000000-0005-0000-0000-0000304D0000}"/>
    <cellStyle name="Normal 2 2 2 2 2 3 2 4" xfId="20544" xr:uid="{00000000-0005-0000-0000-0000314D0000}"/>
    <cellStyle name="Normal 2 2 2 2 2 3 2 5" xfId="20545" xr:uid="{00000000-0005-0000-0000-0000324D0000}"/>
    <cellStyle name="Normal 2 2 2 2 2 3 2 6" xfId="20546" xr:uid="{00000000-0005-0000-0000-0000334D0000}"/>
    <cellStyle name="Normal 2 2 2 2 2 3 3" xfId="20547" xr:uid="{00000000-0005-0000-0000-0000344D0000}"/>
    <cellStyle name="Normal 2 2 2 2 2 3 3 2" xfId="20548" xr:uid="{00000000-0005-0000-0000-0000354D0000}"/>
    <cellStyle name="Normal 2 2 2 2 2 3 3 3" xfId="20549" xr:uid="{00000000-0005-0000-0000-0000364D0000}"/>
    <cellStyle name="Normal 2 2 2 2 2 3 3 4" xfId="20550" xr:uid="{00000000-0005-0000-0000-0000374D0000}"/>
    <cellStyle name="Normal 2 2 2 2 2 3 3 5" xfId="20551" xr:uid="{00000000-0005-0000-0000-0000384D0000}"/>
    <cellStyle name="Normal 2 2 2 2 2 3 3 6" xfId="20552" xr:uid="{00000000-0005-0000-0000-0000394D0000}"/>
    <cellStyle name="Normal 2 2 2 2 2 3 4" xfId="20553" xr:uid="{00000000-0005-0000-0000-00003A4D0000}"/>
    <cellStyle name="Normal 2 2 2 2 2 3 4 2" xfId="20554" xr:uid="{00000000-0005-0000-0000-00003B4D0000}"/>
    <cellStyle name="Normal 2 2 2 2 2 3 4 3" xfId="20555" xr:uid="{00000000-0005-0000-0000-00003C4D0000}"/>
    <cellStyle name="Normal 2 2 2 2 2 3 4 4" xfId="20556" xr:uid="{00000000-0005-0000-0000-00003D4D0000}"/>
    <cellStyle name="Normal 2 2 2 2 2 3 4 5" xfId="20557" xr:uid="{00000000-0005-0000-0000-00003E4D0000}"/>
    <cellStyle name="Normal 2 2 2 2 2 3 4 6" xfId="20558" xr:uid="{00000000-0005-0000-0000-00003F4D0000}"/>
    <cellStyle name="Normal 2 2 2 2 2 3 5" xfId="20559" xr:uid="{00000000-0005-0000-0000-0000404D0000}"/>
    <cellStyle name="Normal 2 2 2 2 2 3 5 2" xfId="20560" xr:uid="{00000000-0005-0000-0000-0000414D0000}"/>
    <cellStyle name="Normal 2 2 2 2 2 3 5 3" xfId="20561" xr:uid="{00000000-0005-0000-0000-0000424D0000}"/>
    <cellStyle name="Normal 2 2 2 2 2 3 5 4" xfId="20562" xr:uid="{00000000-0005-0000-0000-0000434D0000}"/>
    <cellStyle name="Normal 2 2 2 2 2 3 5 5" xfId="20563" xr:uid="{00000000-0005-0000-0000-0000444D0000}"/>
    <cellStyle name="Normal 2 2 2 2 2 3 5 6" xfId="20564" xr:uid="{00000000-0005-0000-0000-0000454D0000}"/>
    <cellStyle name="Normal 2 2 2 2 2 3 6" xfId="20565" xr:uid="{00000000-0005-0000-0000-0000464D0000}"/>
    <cellStyle name="Normal 2 2 2 2 2 3 6 2" xfId="20566" xr:uid="{00000000-0005-0000-0000-0000474D0000}"/>
    <cellStyle name="Normal 2 2 2 2 2 3 6 3" xfId="20567" xr:uid="{00000000-0005-0000-0000-0000484D0000}"/>
    <cellStyle name="Normal 2 2 2 2 2 3 6 4" xfId="20568" xr:uid="{00000000-0005-0000-0000-0000494D0000}"/>
    <cellStyle name="Normal 2 2 2 2 2 3 6 5" xfId="20569" xr:uid="{00000000-0005-0000-0000-00004A4D0000}"/>
    <cellStyle name="Normal 2 2 2 2 2 3 6 6" xfId="20570" xr:uid="{00000000-0005-0000-0000-00004B4D0000}"/>
    <cellStyle name="Normal 2 2 2 2 2 3 7" xfId="20571" xr:uid="{00000000-0005-0000-0000-00004C4D0000}"/>
    <cellStyle name="Normal 2 2 2 2 2 3 7 2" xfId="20572" xr:uid="{00000000-0005-0000-0000-00004D4D0000}"/>
    <cellStyle name="Normal 2 2 2 2 2 3 7 3" xfId="20573" xr:uid="{00000000-0005-0000-0000-00004E4D0000}"/>
    <cellStyle name="Normal 2 2 2 2 2 3 7 4" xfId="20574" xr:uid="{00000000-0005-0000-0000-00004F4D0000}"/>
    <cellStyle name="Normal 2 2 2 2 2 3 7 5" xfId="20575" xr:uid="{00000000-0005-0000-0000-0000504D0000}"/>
    <cellStyle name="Normal 2 2 2 2 2 3 7 6" xfId="20576" xr:uid="{00000000-0005-0000-0000-0000514D0000}"/>
    <cellStyle name="Normal 2 2 2 2 2 3 8" xfId="20577" xr:uid="{00000000-0005-0000-0000-0000524D0000}"/>
    <cellStyle name="Normal 2 2 2 2 2 3 8 2" xfId="20578" xr:uid="{00000000-0005-0000-0000-0000534D0000}"/>
    <cellStyle name="Normal 2 2 2 2 2 3 8 3" xfId="20579" xr:uid="{00000000-0005-0000-0000-0000544D0000}"/>
    <cellStyle name="Normal 2 2 2 2 2 3 8 4" xfId="20580" xr:uid="{00000000-0005-0000-0000-0000554D0000}"/>
    <cellStyle name="Normal 2 2 2 2 2 3 8 5" xfId="20581" xr:uid="{00000000-0005-0000-0000-0000564D0000}"/>
    <cellStyle name="Normal 2 2 2 2 2 3 8 6" xfId="20582" xr:uid="{00000000-0005-0000-0000-0000574D0000}"/>
    <cellStyle name="Normal 2 2 2 2 2 3 9" xfId="20583" xr:uid="{00000000-0005-0000-0000-0000584D0000}"/>
    <cellStyle name="Normal 2 2 2 2 2 30" xfId="20584" xr:uid="{00000000-0005-0000-0000-0000594D0000}"/>
    <cellStyle name="Normal 2 2 2 2 2 31" xfId="20585" xr:uid="{00000000-0005-0000-0000-00005A4D0000}"/>
    <cellStyle name="Normal 2 2 2 2 2 31 2" xfId="20586" xr:uid="{00000000-0005-0000-0000-00005B4D0000}"/>
    <cellStyle name="Normal 2 2 2 2 2 31 2 2" xfId="20587" xr:uid="{00000000-0005-0000-0000-00005C4D0000}"/>
    <cellStyle name="Normal 2 2 2 2 2 31 2 3" xfId="20588" xr:uid="{00000000-0005-0000-0000-00005D4D0000}"/>
    <cellStyle name="Normal 2 2 2 2 2 31 2 4" xfId="20589" xr:uid="{00000000-0005-0000-0000-00005E4D0000}"/>
    <cellStyle name="Normal 2 2 2 2 2 31 2 5" xfId="20590" xr:uid="{00000000-0005-0000-0000-00005F4D0000}"/>
    <cellStyle name="Normal 2 2 2 2 2 31 2 6" xfId="20591" xr:uid="{00000000-0005-0000-0000-0000604D0000}"/>
    <cellStyle name="Normal 2 2 2 2 2 31 3" xfId="20592" xr:uid="{00000000-0005-0000-0000-0000614D0000}"/>
    <cellStyle name="Normal 2 2 2 2 2 31 3 2" xfId="20593" xr:uid="{00000000-0005-0000-0000-0000624D0000}"/>
    <cellStyle name="Normal 2 2 2 2 2 31 3 3" xfId="20594" xr:uid="{00000000-0005-0000-0000-0000634D0000}"/>
    <cellStyle name="Normal 2 2 2 2 2 31 3 4" xfId="20595" xr:uid="{00000000-0005-0000-0000-0000644D0000}"/>
    <cellStyle name="Normal 2 2 2 2 2 31 3 5" xfId="20596" xr:uid="{00000000-0005-0000-0000-0000654D0000}"/>
    <cellStyle name="Normal 2 2 2 2 2 31 3 6" xfId="20597" xr:uid="{00000000-0005-0000-0000-0000664D0000}"/>
    <cellStyle name="Normal 2 2 2 2 2 31 4" xfId="20598" xr:uid="{00000000-0005-0000-0000-0000674D0000}"/>
    <cellStyle name="Normal 2 2 2 2 2 31 4 2" xfId="20599" xr:uid="{00000000-0005-0000-0000-0000684D0000}"/>
    <cellStyle name="Normal 2 2 2 2 2 31 4 3" xfId="20600" xr:uid="{00000000-0005-0000-0000-0000694D0000}"/>
    <cellStyle name="Normal 2 2 2 2 2 31 4 4" xfId="20601" xr:uid="{00000000-0005-0000-0000-00006A4D0000}"/>
    <cellStyle name="Normal 2 2 2 2 2 31 4 5" xfId="20602" xr:uid="{00000000-0005-0000-0000-00006B4D0000}"/>
    <cellStyle name="Normal 2 2 2 2 2 31 4 6" xfId="20603" xr:uid="{00000000-0005-0000-0000-00006C4D0000}"/>
    <cellStyle name="Normal 2 2 2 2 2 31 5" xfId="20604" xr:uid="{00000000-0005-0000-0000-00006D4D0000}"/>
    <cellStyle name="Normal 2 2 2 2 2 31 5 2" xfId="20605" xr:uid="{00000000-0005-0000-0000-00006E4D0000}"/>
    <cellStyle name="Normal 2 2 2 2 2 31 5 3" xfId="20606" xr:uid="{00000000-0005-0000-0000-00006F4D0000}"/>
    <cellStyle name="Normal 2 2 2 2 2 31 5 4" xfId="20607" xr:uid="{00000000-0005-0000-0000-0000704D0000}"/>
    <cellStyle name="Normal 2 2 2 2 2 31 5 5" xfId="20608" xr:uid="{00000000-0005-0000-0000-0000714D0000}"/>
    <cellStyle name="Normal 2 2 2 2 2 31 5 6" xfId="20609" xr:uid="{00000000-0005-0000-0000-0000724D0000}"/>
    <cellStyle name="Normal 2 2 2 2 2 31 6" xfId="20610" xr:uid="{00000000-0005-0000-0000-0000734D0000}"/>
    <cellStyle name="Normal 2 2 2 2 2 31 6 2" xfId="20611" xr:uid="{00000000-0005-0000-0000-0000744D0000}"/>
    <cellStyle name="Normal 2 2 2 2 2 31 6 3" xfId="20612" xr:uid="{00000000-0005-0000-0000-0000754D0000}"/>
    <cellStyle name="Normal 2 2 2 2 2 31 6 4" xfId="20613" xr:uid="{00000000-0005-0000-0000-0000764D0000}"/>
    <cellStyle name="Normal 2 2 2 2 2 31 6 5" xfId="20614" xr:uid="{00000000-0005-0000-0000-0000774D0000}"/>
    <cellStyle name="Normal 2 2 2 2 2 31 6 6" xfId="20615" xr:uid="{00000000-0005-0000-0000-0000784D0000}"/>
    <cellStyle name="Normal 2 2 2 2 2 32" xfId="20616" xr:uid="{00000000-0005-0000-0000-0000794D0000}"/>
    <cellStyle name="Normal 2 2 2 2 2 32 2" xfId="20617" xr:uid="{00000000-0005-0000-0000-00007A4D0000}"/>
    <cellStyle name="Normal 2 2 2 2 2 32 3" xfId="20618" xr:uid="{00000000-0005-0000-0000-00007B4D0000}"/>
    <cellStyle name="Normal 2 2 2 2 2 32 4" xfId="20619" xr:uid="{00000000-0005-0000-0000-00007C4D0000}"/>
    <cellStyle name="Normal 2 2 2 2 2 32 5" xfId="20620" xr:uid="{00000000-0005-0000-0000-00007D4D0000}"/>
    <cellStyle name="Normal 2 2 2 2 2 32 6" xfId="20621" xr:uid="{00000000-0005-0000-0000-00007E4D0000}"/>
    <cellStyle name="Normal 2 2 2 2 2 33" xfId="20622" xr:uid="{00000000-0005-0000-0000-00007F4D0000}"/>
    <cellStyle name="Normal 2 2 2 2 2 33 2" xfId="20623" xr:uid="{00000000-0005-0000-0000-0000804D0000}"/>
    <cellStyle name="Normal 2 2 2 2 2 33 3" xfId="20624" xr:uid="{00000000-0005-0000-0000-0000814D0000}"/>
    <cellStyle name="Normal 2 2 2 2 2 33 4" xfId="20625" xr:uid="{00000000-0005-0000-0000-0000824D0000}"/>
    <cellStyle name="Normal 2 2 2 2 2 33 5" xfId="20626" xr:uid="{00000000-0005-0000-0000-0000834D0000}"/>
    <cellStyle name="Normal 2 2 2 2 2 33 6" xfId="20627" xr:uid="{00000000-0005-0000-0000-0000844D0000}"/>
    <cellStyle name="Normal 2 2 2 2 2 34" xfId="20628" xr:uid="{00000000-0005-0000-0000-0000854D0000}"/>
    <cellStyle name="Normal 2 2 2 2 2 34 2" xfId="20629" xr:uid="{00000000-0005-0000-0000-0000864D0000}"/>
    <cellStyle name="Normal 2 2 2 2 2 34 3" xfId="20630" xr:uid="{00000000-0005-0000-0000-0000874D0000}"/>
    <cellStyle name="Normal 2 2 2 2 2 34 4" xfId="20631" xr:uid="{00000000-0005-0000-0000-0000884D0000}"/>
    <cellStyle name="Normal 2 2 2 2 2 34 5" xfId="20632" xr:uid="{00000000-0005-0000-0000-0000894D0000}"/>
    <cellStyle name="Normal 2 2 2 2 2 34 6" xfId="20633" xr:uid="{00000000-0005-0000-0000-00008A4D0000}"/>
    <cellStyle name="Normal 2 2 2 2 2 35" xfId="20634" xr:uid="{00000000-0005-0000-0000-00008B4D0000}"/>
    <cellStyle name="Normal 2 2 2 2 2 35 2" xfId="20635" xr:uid="{00000000-0005-0000-0000-00008C4D0000}"/>
    <cellStyle name="Normal 2 2 2 2 2 35 3" xfId="20636" xr:uid="{00000000-0005-0000-0000-00008D4D0000}"/>
    <cellStyle name="Normal 2 2 2 2 2 35 4" xfId="20637" xr:uid="{00000000-0005-0000-0000-00008E4D0000}"/>
    <cellStyle name="Normal 2 2 2 2 2 35 5" xfId="20638" xr:uid="{00000000-0005-0000-0000-00008F4D0000}"/>
    <cellStyle name="Normal 2 2 2 2 2 35 6" xfId="20639" xr:uid="{00000000-0005-0000-0000-0000904D0000}"/>
    <cellStyle name="Normal 2 2 2 2 2 36" xfId="20640" xr:uid="{00000000-0005-0000-0000-0000914D0000}"/>
    <cellStyle name="Normal 2 2 2 2 2 36 2" xfId="20641" xr:uid="{00000000-0005-0000-0000-0000924D0000}"/>
    <cellStyle name="Normal 2 2 2 2 2 36 3" xfId="20642" xr:uid="{00000000-0005-0000-0000-0000934D0000}"/>
    <cellStyle name="Normal 2 2 2 2 2 36 4" xfId="20643" xr:uid="{00000000-0005-0000-0000-0000944D0000}"/>
    <cellStyle name="Normal 2 2 2 2 2 36 5" xfId="20644" xr:uid="{00000000-0005-0000-0000-0000954D0000}"/>
    <cellStyle name="Normal 2 2 2 2 2 36 6" xfId="20645" xr:uid="{00000000-0005-0000-0000-0000964D0000}"/>
    <cellStyle name="Normal 2 2 2 2 2 37" xfId="20646" xr:uid="{00000000-0005-0000-0000-0000974D0000}"/>
    <cellStyle name="Normal 2 2 2 2 2 37 2" xfId="20647" xr:uid="{00000000-0005-0000-0000-0000984D0000}"/>
    <cellStyle name="Normal 2 2 2 2 2 37 3" xfId="20648" xr:uid="{00000000-0005-0000-0000-0000994D0000}"/>
    <cellStyle name="Normal 2 2 2 2 2 37 4" xfId="20649" xr:uid="{00000000-0005-0000-0000-00009A4D0000}"/>
    <cellStyle name="Normal 2 2 2 2 2 37 5" xfId="20650" xr:uid="{00000000-0005-0000-0000-00009B4D0000}"/>
    <cellStyle name="Normal 2 2 2 2 2 37 6" xfId="20651" xr:uid="{00000000-0005-0000-0000-00009C4D0000}"/>
    <cellStyle name="Normal 2 2 2 2 2 38" xfId="20652" xr:uid="{00000000-0005-0000-0000-00009D4D0000}"/>
    <cellStyle name="Normal 2 2 2 2 2 38 2" xfId="20653" xr:uid="{00000000-0005-0000-0000-00009E4D0000}"/>
    <cellStyle name="Normal 2 2 2 2 2 38 3" xfId="20654" xr:uid="{00000000-0005-0000-0000-00009F4D0000}"/>
    <cellStyle name="Normal 2 2 2 2 2 38 4" xfId="20655" xr:uid="{00000000-0005-0000-0000-0000A04D0000}"/>
    <cellStyle name="Normal 2 2 2 2 2 38 5" xfId="20656" xr:uid="{00000000-0005-0000-0000-0000A14D0000}"/>
    <cellStyle name="Normal 2 2 2 2 2 38 6" xfId="20657" xr:uid="{00000000-0005-0000-0000-0000A24D0000}"/>
    <cellStyle name="Normal 2 2 2 2 2 39" xfId="20658" xr:uid="{00000000-0005-0000-0000-0000A34D0000}"/>
    <cellStyle name="Normal 2 2 2 2 2 39 2" xfId="20659" xr:uid="{00000000-0005-0000-0000-0000A44D0000}"/>
    <cellStyle name="Normal 2 2 2 2 2 39 3" xfId="20660" xr:uid="{00000000-0005-0000-0000-0000A54D0000}"/>
    <cellStyle name="Normal 2 2 2 2 2 39 4" xfId="20661" xr:uid="{00000000-0005-0000-0000-0000A64D0000}"/>
    <cellStyle name="Normal 2 2 2 2 2 39 5" xfId="20662" xr:uid="{00000000-0005-0000-0000-0000A74D0000}"/>
    <cellStyle name="Normal 2 2 2 2 2 39 6" xfId="20663" xr:uid="{00000000-0005-0000-0000-0000A84D0000}"/>
    <cellStyle name="Normal 2 2 2 2 2 4" xfId="20664" xr:uid="{00000000-0005-0000-0000-0000A94D0000}"/>
    <cellStyle name="Normal 2 2 2 2 2 4 10" xfId="20665" xr:uid="{00000000-0005-0000-0000-0000AA4D0000}"/>
    <cellStyle name="Normal 2 2 2 2 2 4 11" xfId="20666" xr:uid="{00000000-0005-0000-0000-0000AB4D0000}"/>
    <cellStyle name="Normal 2 2 2 2 2 4 12" xfId="20667" xr:uid="{00000000-0005-0000-0000-0000AC4D0000}"/>
    <cellStyle name="Normal 2 2 2 2 2 4 13" xfId="20668" xr:uid="{00000000-0005-0000-0000-0000AD4D0000}"/>
    <cellStyle name="Normal 2 2 2 2 2 4 14" xfId="20669" xr:uid="{00000000-0005-0000-0000-0000AE4D0000}"/>
    <cellStyle name="Normal 2 2 2 2 2 4 2" xfId="20670" xr:uid="{00000000-0005-0000-0000-0000AF4D0000}"/>
    <cellStyle name="Normal 2 2 2 2 2 4 2 2" xfId="20671" xr:uid="{00000000-0005-0000-0000-0000B04D0000}"/>
    <cellStyle name="Normal 2 2 2 2 2 4 2 3" xfId="20672" xr:uid="{00000000-0005-0000-0000-0000B14D0000}"/>
    <cellStyle name="Normal 2 2 2 2 2 4 2 4" xfId="20673" xr:uid="{00000000-0005-0000-0000-0000B24D0000}"/>
    <cellStyle name="Normal 2 2 2 2 2 4 2 5" xfId="20674" xr:uid="{00000000-0005-0000-0000-0000B34D0000}"/>
    <cellStyle name="Normal 2 2 2 2 2 4 2 6" xfId="20675" xr:uid="{00000000-0005-0000-0000-0000B44D0000}"/>
    <cellStyle name="Normal 2 2 2 2 2 4 3" xfId="20676" xr:uid="{00000000-0005-0000-0000-0000B54D0000}"/>
    <cellStyle name="Normal 2 2 2 2 2 4 3 2" xfId="20677" xr:uid="{00000000-0005-0000-0000-0000B64D0000}"/>
    <cellStyle name="Normal 2 2 2 2 2 4 3 3" xfId="20678" xr:uid="{00000000-0005-0000-0000-0000B74D0000}"/>
    <cellStyle name="Normal 2 2 2 2 2 4 3 4" xfId="20679" xr:uid="{00000000-0005-0000-0000-0000B84D0000}"/>
    <cellStyle name="Normal 2 2 2 2 2 4 3 5" xfId="20680" xr:uid="{00000000-0005-0000-0000-0000B94D0000}"/>
    <cellStyle name="Normal 2 2 2 2 2 4 3 6" xfId="20681" xr:uid="{00000000-0005-0000-0000-0000BA4D0000}"/>
    <cellStyle name="Normal 2 2 2 2 2 4 4" xfId="20682" xr:uid="{00000000-0005-0000-0000-0000BB4D0000}"/>
    <cellStyle name="Normal 2 2 2 2 2 4 4 2" xfId="20683" xr:uid="{00000000-0005-0000-0000-0000BC4D0000}"/>
    <cellStyle name="Normal 2 2 2 2 2 4 4 3" xfId="20684" xr:uid="{00000000-0005-0000-0000-0000BD4D0000}"/>
    <cellStyle name="Normal 2 2 2 2 2 4 4 4" xfId="20685" xr:uid="{00000000-0005-0000-0000-0000BE4D0000}"/>
    <cellStyle name="Normal 2 2 2 2 2 4 4 5" xfId="20686" xr:uid="{00000000-0005-0000-0000-0000BF4D0000}"/>
    <cellStyle name="Normal 2 2 2 2 2 4 4 6" xfId="20687" xr:uid="{00000000-0005-0000-0000-0000C04D0000}"/>
    <cellStyle name="Normal 2 2 2 2 2 4 5" xfId="20688" xr:uid="{00000000-0005-0000-0000-0000C14D0000}"/>
    <cellStyle name="Normal 2 2 2 2 2 4 5 2" xfId="20689" xr:uid="{00000000-0005-0000-0000-0000C24D0000}"/>
    <cellStyle name="Normal 2 2 2 2 2 4 5 3" xfId="20690" xr:uid="{00000000-0005-0000-0000-0000C34D0000}"/>
    <cellStyle name="Normal 2 2 2 2 2 4 5 4" xfId="20691" xr:uid="{00000000-0005-0000-0000-0000C44D0000}"/>
    <cellStyle name="Normal 2 2 2 2 2 4 5 5" xfId="20692" xr:uid="{00000000-0005-0000-0000-0000C54D0000}"/>
    <cellStyle name="Normal 2 2 2 2 2 4 5 6" xfId="20693" xr:uid="{00000000-0005-0000-0000-0000C64D0000}"/>
    <cellStyle name="Normal 2 2 2 2 2 4 6" xfId="20694" xr:uid="{00000000-0005-0000-0000-0000C74D0000}"/>
    <cellStyle name="Normal 2 2 2 2 2 4 6 2" xfId="20695" xr:uid="{00000000-0005-0000-0000-0000C84D0000}"/>
    <cellStyle name="Normal 2 2 2 2 2 4 6 3" xfId="20696" xr:uid="{00000000-0005-0000-0000-0000C94D0000}"/>
    <cellStyle name="Normal 2 2 2 2 2 4 6 4" xfId="20697" xr:uid="{00000000-0005-0000-0000-0000CA4D0000}"/>
    <cellStyle name="Normal 2 2 2 2 2 4 6 5" xfId="20698" xr:uid="{00000000-0005-0000-0000-0000CB4D0000}"/>
    <cellStyle name="Normal 2 2 2 2 2 4 6 6" xfId="20699" xr:uid="{00000000-0005-0000-0000-0000CC4D0000}"/>
    <cellStyle name="Normal 2 2 2 2 2 4 7" xfId="20700" xr:uid="{00000000-0005-0000-0000-0000CD4D0000}"/>
    <cellStyle name="Normal 2 2 2 2 2 4 7 2" xfId="20701" xr:uid="{00000000-0005-0000-0000-0000CE4D0000}"/>
    <cellStyle name="Normal 2 2 2 2 2 4 7 3" xfId="20702" xr:uid="{00000000-0005-0000-0000-0000CF4D0000}"/>
    <cellStyle name="Normal 2 2 2 2 2 4 7 4" xfId="20703" xr:uid="{00000000-0005-0000-0000-0000D04D0000}"/>
    <cellStyle name="Normal 2 2 2 2 2 4 7 5" xfId="20704" xr:uid="{00000000-0005-0000-0000-0000D14D0000}"/>
    <cellStyle name="Normal 2 2 2 2 2 4 7 6" xfId="20705" xr:uid="{00000000-0005-0000-0000-0000D24D0000}"/>
    <cellStyle name="Normal 2 2 2 2 2 4 8" xfId="20706" xr:uid="{00000000-0005-0000-0000-0000D34D0000}"/>
    <cellStyle name="Normal 2 2 2 2 2 4 8 2" xfId="20707" xr:uid="{00000000-0005-0000-0000-0000D44D0000}"/>
    <cellStyle name="Normal 2 2 2 2 2 4 8 3" xfId="20708" xr:uid="{00000000-0005-0000-0000-0000D54D0000}"/>
    <cellStyle name="Normal 2 2 2 2 2 4 8 4" xfId="20709" xr:uid="{00000000-0005-0000-0000-0000D64D0000}"/>
    <cellStyle name="Normal 2 2 2 2 2 4 8 5" xfId="20710" xr:uid="{00000000-0005-0000-0000-0000D74D0000}"/>
    <cellStyle name="Normal 2 2 2 2 2 4 8 6" xfId="20711" xr:uid="{00000000-0005-0000-0000-0000D84D0000}"/>
    <cellStyle name="Normal 2 2 2 2 2 4 9" xfId="20712" xr:uid="{00000000-0005-0000-0000-0000D94D0000}"/>
    <cellStyle name="Normal 2 2 2 2 2 40" xfId="20713" xr:uid="{00000000-0005-0000-0000-0000DA4D0000}"/>
    <cellStyle name="Normal 2 2 2 2 2 40 2" xfId="20714" xr:uid="{00000000-0005-0000-0000-0000DB4D0000}"/>
    <cellStyle name="Normal 2 2 2 2 2 40 3" xfId="20715" xr:uid="{00000000-0005-0000-0000-0000DC4D0000}"/>
    <cellStyle name="Normal 2 2 2 2 2 40 4" xfId="20716" xr:uid="{00000000-0005-0000-0000-0000DD4D0000}"/>
    <cellStyle name="Normal 2 2 2 2 2 40 5" xfId="20717" xr:uid="{00000000-0005-0000-0000-0000DE4D0000}"/>
    <cellStyle name="Normal 2 2 2 2 2 40 6" xfId="20718" xr:uid="{00000000-0005-0000-0000-0000DF4D0000}"/>
    <cellStyle name="Normal 2 2 2 2 2 41" xfId="20719" xr:uid="{00000000-0005-0000-0000-0000E04D0000}"/>
    <cellStyle name="Normal 2 2 2 2 2 41 2" xfId="20720" xr:uid="{00000000-0005-0000-0000-0000E14D0000}"/>
    <cellStyle name="Normal 2 2 2 2 2 41 3" xfId="20721" xr:uid="{00000000-0005-0000-0000-0000E24D0000}"/>
    <cellStyle name="Normal 2 2 2 2 2 41 4" xfId="20722" xr:uid="{00000000-0005-0000-0000-0000E34D0000}"/>
    <cellStyle name="Normal 2 2 2 2 2 41 5" xfId="20723" xr:uid="{00000000-0005-0000-0000-0000E44D0000}"/>
    <cellStyle name="Normal 2 2 2 2 2 41 6" xfId="20724" xr:uid="{00000000-0005-0000-0000-0000E54D0000}"/>
    <cellStyle name="Normal 2 2 2 2 2 42" xfId="20725" xr:uid="{00000000-0005-0000-0000-0000E64D0000}"/>
    <cellStyle name="Normal 2 2 2 2 2 42 2" xfId="20726" xr:uid="{00000000-0005-0000-0000-0000E74D0000}"/>
    <cellStyle name="Normal 2 2 2 2 2 42 3" xfId="20727" xr:uid="{00000000-0005-0000-0000-0000E84D0000}"/>
    <cellStyle name="Normal 2 2 2 2 2 42 4" xfId="20728" xr:uid="{00000000-0005-0000-0000-0000E94D0000}"/>
    <cellStyle name="Normal 2 2 2 2 2 42 5" xfId="20729" xr:uid="{00000000-0005-0000-0000-0000EA4D0000}"/>
    <cellStyle name="Normal 2 2 2 2 2 42 6" xfId="20730" xr:uid="{00000000-0005-0000-0000-0000EB4D0000}"/>
    <cellStyle name="Normal 2 2 2 2 2 43" xfId="20731" xr:uid="{00000000-0005-0000-0000-0000EC4D0000}"/>
    <cellStyle name="Normal 2 2 2 2 2 43 2" xfId="20732" xr:uid="{00000000-0005-0000-0000-0000ED4D0000}"/>
    <cellStyle name="Normal 2 2 2 2 2 43 3" xfId="20733" xr:uid="{00000000-0005-0000-0000-0000EE4D0000}"/>
    <cellStyle name="Normal 2 2 2 2 2 43 4" xfId="20734" xr:uid="{00000000-0005-0000-0000-0000EF4D0000}"/>
    <cellStyle name="Normal 2 2 2 2 2 43 5" xfId="20735" xr:uid="{00000000-0005-0000-0000-0000F04D0000}"/>
    <cellStyle name="Normal 2 2 2 2 2 43 6" xfId="20736" xr:uid="{00000000-0005-0000-0000-0000F14D0000}"/>
    <cellStyle name="Normal 2 2 2 2 2 44" xfId="20737" xr:uid="{00000000-0005-0000-0000-0000F24D0000}"/>
    <cellStyle name="Normal 2 2 2 2 2 44 2" xfId="20738" xr:uid="{00000000-0005-0000-0000-0000F34D0000}"/>
    <cellStyle name="Normal 2 2 2 2 2 44 3" xfId="20739" xr:uid="{00000000-0005-0000-0000-0000F44D0000}"/>
    <cellStyle name="Normal 2 2 2 2 2 44 4" xfId="20740" xr:uid="{00000000-0005-0000-0000-0000F54D0000}"/>
    <cellStyle name="Normal 2 2 2 2 2 44 5" xfId="20741" xr:uid="{00000000-0005-0000-0000-0000F64D0000}"/>
    <cellStyle name="Normal 2 2 2 2 2 44 6" xfId="20742" xr:uid="{00000000-0005-0000-0000-0000F74D0000}"/>
    <cellStyle name="Normal 2 2 2 2 2 45" xfId="20743" xr:uid="{00000000-0005-0000-0000-0000F84D0000}"/>
    <cellStyle name="Normal 2 2 2 2 2 45 2" xfId="20744" xr:uid="{00000000-0005-0000-0000-0000F94D0000}"/>
    <cellStyle name="Normal 2 2 2 2 2 45 3" xfId="20745" xr:uid="{00000000-0005-0000-0000-0000FA4D0000}"/>
    <cellStyle name="Normal 2 2 2 2 2 45 4" xfId="20746" xr:uid="{00000000-0005-0000-0000-0000FB4D0000}"/>
    <cellStyle name="Normal 2 2 2 2 2 45 5" xfId="20747" xr:uid="{00000000-0005-0000-0000-0000FC4D0000}"/>
    <cellStyle name="Normal 2 2 2 2 2 45 6" xfId="20748" xr:uid="{00000000-0005-0000-0000-0000FD4D0000}"/>
    <cellStyle name="Normal 2 2 2 2 2 46" xfId="20749" xr:uid="{00000000-0005-0000-0000-0000FE4D0000}"/>
    <cellStyle name="Normal 2 2 2 2 2 47" xfId="20750" xr:uid="{00000000-0005-0000-0000-0000FF4D0000}"/>
    <cellStyle name="Normal 2 2 2 2 2 48" xfId="20751" xr:uid="{00000000-0005-0000-0000-0000004E0000}"/>
    <cellStyle name="Normal 2 2 2 2 2 49" xfId="20752" xr:uid="{00000000-0005-0000-0000-0000014E0000}"/>
    <cellStyle name="Normal 2 2 2 2 2 5" xfId="20753" xr:uid="{00000000-0005-0000-0000-0000024E0000}"/>
    <cellStyle name="Normal 2 2 2 2 2 5 10" xfId="20754" xr:uid="{00000000-0005-0000-0000-0000034E0000}"/>
    <cellStyle name="Normal 2 2 2 2 2 5 11" xfId="20755" xr:uid="{00000000-0005-0000-0000-0000044E0000}"/>
    <cellStyle name="Normal 2 2 2 2 2 5 12" xfId="20756" xr:uid="{00000000-0005-0000-0000-0000054E0000}"/>
    <cellStyle name="Normal 2 2 2 2 2 5 13" xfId="20757" xr:uid="{00000000-0005-0000-0000-0000064E0000}"/>
    <cellStyle name="Normal 2 2 2 2 2 5 2" xfId="20758" xr:uid="{00000000-0005-0000-0000-0000074E0000}"/>
    <cellStyle name="Normal 2 2 2 2 2 5 2 2" xfId="20759" xr:uid="{00000000-0005-0000-0000-0000084E0000}"/>
    <cellStyle name="Normal 2 2 2 2 2 5 2 3" xfId="20760" xr:uid="{00000000-0005-0000-0000-0000094E0000}"/>
    <cellStyle name="Normal 2 2 2 2 2 5 2 4" xfId="20761" xr:uid="{00000000-0005-0000-0000-00000A4E0000}"/>
    <cellStyle name="Normal 2 2 2 2 2 5 2 5" xfId="20762" xr:uid="{00000000-0005-0000-0000-00000B4E0000}"/>
    <cellStyle name="Normal 2 2 2 2 2 5 2 6" xfId="20763" xr:uid="{00000000-0005-0000-0000-00000C4E0000}"/>
    <cellStyle name="Normal 2 2 2 2 2 5 3" xfId="20764" xr:uid="{00000000-0005-0000-0000-00000D4E0000}"/>
    <cellStyle name="Normal 2 2 2 2 2 5 3 2" xfId="20765" xr:uid="{00000000-0005-0000-0000-00000E4E0000}"/>
    <cellStyle name="Normal 2 2 2 2 2 5 3 3" xfId="20766" xr:uid="{00000000-0005-0000-0000-00000F4E0000}"/>
    <cellStyle name="Normal 2 2 2 2 2 5 3 4" xfId="20767" xr:uid="{00000000-0005-0000-0000-0000104E0000}"/>
    <cellStyle name="Normal 2 2 2 2 2 5 3 5" xfId="20768" xr:uid="{00000000-0005-0000-0000-0000114E0000}"/>
    <cellStyle name="Normal 2 2 2 2 2 5 3 6" xfId="20769" xr:uid="{00000000-0005-0000-0000-0000124E0000}"/>
    <cellStyle name="Normal 2 2 2 2 2 5 4" xfId="20770" xr:uid="{00000000-0005-0000-0000-0000134E0000}"/>
    <cellStyle name="Normal 2 2 2 2 2 5 4 2" xfId="20771" xr:uid="{00000000-0005-0000-0000-0000144E0000}"/>
    <cellStyle name="Normal 2 2 2 2 2 5 4 3" xfId="20772" xr:uid="{00000000-0005-0000-0000-0000154E0000}"/>
    <cellStyle name="Normal 2 2 2 2 2 5 4 4" xfId="20773" xr:uid="{00000000-0005-0000-0000-0000164E0000}"/>
    <cellStyle name="Normal 2 2 2 2 2 5 4 5" xfId="20774" xr:uid="{00000000-0005-0000-0000-0000174E0000}"/>
    <cellStyle name="Normal 2 2 2 2 2 5 4 6" xfId="20775" xr:uid="{00000000-0005-0000-0000-0000184E0000}"/>
    <cellStyle name="Normal 2 2 2 2 2 5 5" xfId="20776" xr:uid="{00000000-0005-0000-0000-0000194E0000}"/>
    <cellStyle name="Normal 2 2 2 2 2 5 5 2" xfId="20777" xr:uid="{00000000-0005-0000-0000-00001A4E0000}"/>
    <cellStyle name="Normal 2 2 2 2 2 5 5 3" xfId="20778" xr:uid="{00000000-0005-0000-0000-00001B4E0000}"/>
    <cellStyle name="Normal 2 2 2 2 2 5 5 4" xfId="20779" xr:uid="{00000000-0005-0000-0000-00001C4E0000}"/>
    <cellStyle name="Normal 2 2 2 2 2 5 5 5" xfId="20780" xr:uid="{00000000-0005-0000-0000-00001D4E0000}"/>
    <cellStyle name="Normal 2 2 2 2 2 5 5 6" xfId="20781" xr:uid="{00000000-0005-0000-0000-00001E4E0000}"/>
    <cellStyle name="Normal 2 2 2 2 2 5 6" xfId="20782" xr:uid="{00000000-0005-0000-0000-00001F4E0000}"/>
    <cellStyle name="Normal 2 2 2 2 2 5 6 2" xfId="20783" xr:uid="{00000000-0005-0000-0000-0000204E0000}"/>
    <cellStyle name="Normal 2 2 2 2 2 5 6 3" xfId="20784" xr:uid="{00000000-0005-0000-0000-0000214E0000}"/>
    <cellStyle name="Normal 2 2 2 2 2 5 6 4" xfId="20785" xr:uid="{00000000-0005-0000-0000-0000224E0000}"/>
    <cellStyle name="Normal 2 2 2 2 2 5 6 5" xfId="20786" xr:uid="{00000000-0005-0000-0000-0000234E0000}"/>
    <cellStyle name="Normal 2 2 2 2 2 5 6 6" xfId="20787" xr:uid="{00000000-0005-0000-0000-0000244E0000}"/>
    <cellStyle name="Normal 2 2 2 2 2 5 7" xfId="20788" xr:uid="{00000000-0005-0000-0000-0000254E0000}"/>
    <cellStyle name="Normal 2 2 2 2 2 5 7 2" xfId="20789" xr:uid="{00000000-0005-0000-0000-0000264E0000}"/>
    <cellStyle name="Normal 2 2 2 2 2 5 7 3" xfId="20790" xr:uid="{00000000-0005-0000-0000-0000274E0000}"/>
    <cellStyle name="Normal 2 2 2 2 2 5 7 4" xfId="20791" xr:uid="{00000000-0005-0000-0000-0000284E0000}"/>
    <cellStyle name="Normal 2 2 2 2 2 5 7 5" xfId="20792" xr:uid="{00000000-0005-0000-0000-0000294E0000}"/>
    <cellStyle name="Normal 2 2 2 2 2 5 7 6" xfId="20793" xr:uid="{00000000-0005-0000-0000-00002A4E0000}"/>
    <cellStyle name="Normal 2 2 2 2 2 5 8" xfId="20794" xr:uid="{00000000-0005-0000-0000-00002B4E0000}"/>
    <cellStyle name="Normal 2 2 2 2 2 5 8 2" xfId="20795" xr:uid="{00000000-0005-0000-0000-00002C4E0000}"/>
    <cellStyle name="Normal 2 2 2 2 2 5 8 3" xfId="20796" xr:uid="{00000000-0005-0000-0000-00002D4E0000}"/>
    <cellStyle name="Normal 2 2 2 2 2 5 8 4" xfId="20797" xr:uid="{00000000-0005-0000-0000-00002E4E0000}"/>
    <cellStyle name="Normal 2 2 2 2 2 5 8 5" xfId="20798" xr:uid="{00000000-0005-0000-0000-00002F4E0000}"/>
    <cellStyle name="Normal 2 2 2 2 2 5 8 6" xfId="20799" xr:uid="{00000000-0005-0000-0000-0000304E0000}"/>
    <cellStyle name="Normal 2 2 2 2 2 5 9" xfId="20800" xr:uid="{00000000-0005-0000-0000-0000314E0000}"/>
    <cellStyle name="Normal 2 2 2 2 2 50" xfId="20801" xr:uid="{00000000-0005-0000-0000-0000324E0000}"/>
    <cellStyle name="Normal 2 2 2 2 2 50 2" xfId="20802" xr:uid="{00000000-0005-0000-0000-0000334E0000}"/>
    <cellStyle name="Normal 2 2 2 2 2 50 2 2" xfId="20803" xr:uid="{00000000-0005-0000-0000-0000344E0000}"/>
    <cellStyle name="Normal 2 2 2 2 2 50 2 2 2" xfId="20804" xr:uid="{00000000-0005-0000-0000-0000354E0000}"/>
    <cellStyle name="Normal 2 2 2 2 2 50 2 2 2 2" xfId="20805" xr:uid="{00000000-0005-0000-0000-0000364E0000}"/>
    <cellStyle name="Normal 2 2 2 2 2 50 2 2 2 3" xfId="20806" xr:uid="{00000000-0005-0000-0000-0000374E0000}"/>
    <cellStyle name="Normal 2 2 2 2 2 50 2 2 2 4" xfId="20807" xr:uid="{00000000-0005-0000-0000-0000384E0000}"/>
    <cellStyle name="Normal 2 2 2 2 2 50 2 2 2 5" xfId="20808" xr:uid="{00000000-0005-0000-0000-0000394E0000}"/>
    <cellStyle name="Normal 2 2 2 2 2 50 2 2 2 6" xfId="20809" xr:uid="{00000000-0005-0000-0000-00003A4E0000}"/>
    <cellStyle name="Normal 2 2 2 2 2 50 2 3" xfId="20810" xr:uid="{00000000-0005-0000-0000-00003B4E0000}"/>
    <cellStyle name="Normal 2 2 2 2 2 50 2 4" xfId="20811" xr:uid="{00000000-0005-0000-0000-00003C4E0000}"/>
    <cellStyle name="Normal 2 2 2 2 2 50 2 5" xfId="20812" xr:uid="{00000000-0005-0000-0000-00003D4E0000}"/>
    <cellStyle name="Normal 2 2 2 2 2 50 2 6" xfId="20813" xr:uid="{00000000-0005-0000-0000-00003E4E0000}"/>
    <cellStyle name="Normal 2 2 2 2 2 50 2 7" xfId="20814" xr:uid="{00000000-0005-0000-0000-00003F4E0000}"/>
    <cellStyle name="Normal 2 2 2 2 2 50 3" xfId="20815" xr:uid="{00000000-0005-0000-0000-0000404E0000}"/>
    <cellStyle name="Normal 2 2 2 2 2 50 3 2" xfId="20816" xr:uid="{00000000-0005-0000-0000-0000414E0000}"/>
    <cellStyle name="Normal 2 2 2 2 2 50 3 3" xfId="20817" xr:uid="{00000000-0005-0000-0000-0000424E0000}"/>
    <cellStyle name="Normal 2 2 2 2 2 50 3 4" xfId="20818" xr:uid="{00000000-0005-0000-0000-0000434E0000}"/>
    <cellStyle name="Normal 2 2 2 2 2 50 3 5" xfId="20819" xr:uid="{00000000-0005-0000-0000-0000444E0000}"/>
    <cellStyle name="Normal 2 2 2 2 2 50 3 6" xfId="20820" xr:uid="{00000000-0005-0000-0000-0000454E0000}"/>
    <cellStyle name="Normal 2 2 2 2 2 51" xfId="20821" xr:uid="{00000000-0005-0000-0000-0000464E0000}"/>
    <cellStyle name="Normal 2 2 2 2 2 51 2" xfId="20822" xr:uid="{00000000-0005-0000-0000-0000474E0000}"/>
    <cellStyle name="Normal 2 2 2 2 2 51 3" xfId="20823" xr:uid="{00000000-0005-0000-0000-0000484E0000}"/>
    <cellStyle name="Normal 2 2 2 2 2 51 4" xfId="20824" xr:uid="{00000000-0005-0000-0000-0000494E0000}"/>
    <cellStyle name="Normal 2 2 2 2 2 51 5" xfId="20825" xr:uid="{00000000-0005-0000-0000-00004A4E0000}"/>
    <cellStyle name="Normal 2 2 2 2 2 51 6" xfId="20826" xr:uid="{00000000-0005-0000-0000-00004B4E0000}"/>
    <cellStyle name="Normal 2 2 2 2 2 52" xfId="20827" xr:uid="{00000000-0005-0000-0000-00004C4E0000}"/>
    <cellStyle name="Normal 2 2 2 2 2 52 2" xfId="20828" xr:uid="{00000000-0005-0000-0000-00004D4E0000}"/>
    <cellStyle name="Normal 2 2 2 2 2 52 3" xfId="20829" xr:uid="{00000000-0005-0000-0000-00004E4E0000}"/>
    <cellStyle name="Normal 2 2 2 2 2 52 4" xfId="20830" xr:uid="{00000000-0005-0000-0000-00004F4E0000}"/>
    <cellStyle name="Normal 2 2 2 2 2 52 5" xfId="20831" xr:uid="{00000000-0005-0000-0000-0000504E0000}"/>
    <cellStyle name="Normal 2 2 2 2 2 52 6" xfId="20832" xr:uid="{00000000-0005-0000-0000-0000514E0000}"/>
    <cellStyle name="Normal 2 2 2 2 2 53" xfId="20833" xr:uid="{00000000-0005-0000-0000-0000524E0000}"/>
    <cellStyle name="Normal 2 2 2 2 2 53 2" xfId="20834" xr:uid="{00000000-0005-0000-0000-0000534E0000}"/>
    <cellStyle name="Normal 2 2 2 2 2 53 3" xfId="20835" xr:uid="{00000000-0005-0000-0000-0000544E0000}"/>
    <cellStyle name="Normal 2 2 2 2 2 53 4" xfId="20836" xr:uid="{00000000-0005-0000-0000-0000554E0000}"/>
    <cellStyle name="Normal 2 2 2 2 2 53 5" xfId="20837" xr:uid="{00000000-0005-0000-0000-0000564E0000}"/>
    <cellStyle name="Normal 2 2 2 2 2 53 6" xfId="20838" xr:uid="{00000000-0005-0000-0000-0000574E0000}"/>
    <cellStyle name="Normal 2 2 2 2 2 54" xfId="20839" xr:uid="{00000000-0005-0000-0000-0000584E0000}"/>
    <cellStyle name="Normal 2 2 2 2 2 54 2" xfId="20840" xr:uid="{00000000-0005-0000-0000-0000594E0000}"/>
    <cellStyle name="Normal 2 2 2 2 2 54 3" xfId="20841" xr:uid="{00000000-0005-0000-0000-00005A4E0000}"/>
    <cellStyle name="Normal 2 2 2 2 2 54 4" xfId="20842" xr:uid="{00000000-0005-0000-0000-00005B4E0000}"/>
    <cellStyle name="Normal 2 2 2 2 2 54 5" xfId="20843" xr:uid="{00000000-0005-0000-0000-00005C4E0000}"/>
    <cellStyle name="Normal 2 2 2 2 2 54 6" xfId="20844" xr:uid="{00000000-0005-0000-0000-00005D4E0000}"/>
    <cellStyle name="Normal 2 2 2 2 2 55" xfId="20845" xr:uid="{00000000-0005-0000-0000-00005E4E0000}"/>
    <cellStyle name="Normal 2 2 2 2 2 55 2" xfId="20846" xr:uid="{00000000-0005-0000-0000-00005F4E0000}"/>
    <cellStyle name="Normal 2 2 2 2 2 55 3" xfId="20847" xr:uid="{00000000-0005-0000-0000-0000604E0000}"/>
    <cellStyle name="Normal 2 2 2 2 2 55 4" xfId="20848" xr:uid="{00000000-0005-0000-0000-0000614E0000}"/>
    <cellStyle name="Normal 2 2 2 2 2 55 5" xfId="20849" xr:uid="{00000000-0005-0000-0000-0000624E0000}"/>
    <cellStyle name="Normal 2 2 2 2 2 55 6" xfId="20850" xr:uid="{00000000-0005-0000-0000-0000634E0000}"/>
    <cellStyle name="Normal 2 2 2 2 2 56" xfId="20851" xr:uid="{00000000-0005-0000-0000-0000644E0000}"/>
    <cellStyle name="Normal 2 2 2 2 2 56 2" xfId="20852" xr:uid="{00000000-0005-0000-0000-0000654E0000}"/>
    <cellStyle name="Normal 2 2 2 2 2 56 3" xfId="20853" xr:uid="{00000000-0005-0000-0000-0000664E0000}"/>
    <cellStyle name="Normal 2 2 2 2 2 56 4" xfId="20854" xr:uid="{00000000-0005-0000-0000-0000674E0000}"/>
    <cellStyle name="Normal 2 2 2 2 2 56 5" xfId="20855" xr:uid="{00000000-0005-0000-0000-0000684E0000}"/>
    <cellStyle name="Normal 2 2 2 2 2 56 6" xfId="20856" xr:uid="{00000000-0005-0000-0000-0000694E0000}"/>
    <cellStyle name="Normal 2 2 2 2 2 57" xfId="20857" xr:uid="{00000000-0005-0000-0000-00006A4E0000}"/>
    <cellStyle name="Normal 2 2 2 2 2 57 2" xfId="20858" xr:uid="{00000000-0005-0000-0000-00006B4E0000}"/>
    <cellStyle name="Normal 2 2 2 2 2 57 3" xfId="20859" xr:uid="{00000000-0005-0000-0000-00006C4E0000}"/>
    <cellStyle name="Normal 2 2 2 2 2 57 4" xfId="20860" xr:uid="{00000000-0005-0000-0000-00006D4E0000}"/>
    <cellStyle name="Normal 2 2 2 2 2 57 5" xfId="20861" xr:uid="{00000000-0005-0000-0000-00006E4E0000}"/>
    <cellStyle name="Normal 2 2 2 2 2 57 6" xfId="20862" xr:uid="{00000000-0005-0000-0000-00006F4E0000}"/>
    <cellStyle name="Normal 2 2 2 2 2 58" xfId="20863" xr:uid="{00000000-0005-0000-0000-0000704E0000}"/>
    <cellStyle name="Normal 2 2 2 2 2 58 2" xfId="20864" xr:uid="{00000000-0005-0000-0000-0000714E0000}"/>
    <cellStyle name="Normal 2 2 2 2 2 58 3" xfId="20865" xr:uid="{00000000-0005-0000-0000-0000724E0000}"/>
    <cellStyle name="Normal 2 2 2 2 2 58 4" xfId="20866" xr:uid="{00000000-0005-0000-0000-0000734E0000}"/>
    <cellStyle name="Normal 2 2 2 2 2 58 5" xfId="20867" xr:uid="{00000000-0005-0000-0000-0000744E0000}"/>
    <cellStyle name="Normal 2 2 2 2 2 58 6" xfId="20868" xr:uid="{00000000-0005-0000-0000-0000754E0000}"/>
    <cellStyle name="Normal 2 2 2 2 2 59" xfId="20869" xr:uid="{00000000-0005-0000-0000-0000764E0000}"/>
    <cellStyle name="Normal 2 2 2 2 2 59 2" xfId="20870" xr:uid="{00000000-0005-0000-0000-0000774E0000}"/>
    <cellStyle name="Normal 2 2 2 2 2 59 3" xfId="20871" xr:uid="{00000000-0005-0000-0000-0000784E0000}"/>
    <cellStyle name="Normal 2 2 2 2 2 59 4" xfId="20872" xr:uid="{00000000-0005-0000-0000-0000794E0000}"/>
    <cellStyle name="Normal 2 2 2 2 2 59 5" xfId="20873" xr:uid="{00000000-0005-0000-0000-00007A4E0000}"/>
    <cellStyle name="Normal 2 2 2 2 2 59 6" xfId="20874" xr:uid="{00000000-0005-0000-0000-00007B4E0000}"/>
    <cellStyle name="Normal 2 2 2 2 2 6" xfId="20875" xr:uid="{00000000-0005-0000-0000-00007C4E0000}"/>
    <cellStyle name="Normal 2 2 2 2 2 60" xfId="20876" xr:uid="{00000000-0005-0000-0000-00007D4E0000}"/>
    <cellStyle name="Normal 2 2 2 2 2 60 2" xfId="20877" xr:uid="{00000000-0005-0000-0000-00007E4E0000}"/>
    <cellStyle name="Normal 2 2 2 2 2 60 3" xfId="20878" xr:uid="{00000000-0005-0000-0000-00007F4E0000}"/>
    <cellStyle name="Normal 2 2 2 2 2 60 4" xfId="20879" xr:uid="{00000000-0005-0000-0000-0000804E0000}"/>
    <cellStyle name="Normal 2 2 2 2 2 60 5" xfId="20880" xr:uid="{00000000-0005-0000-0000-0000814E0000}"/>
    <cellStyle name="Normal 2 2 2 2 2 60 6" xfId="20881" xr:uid="{00000000-0005-0000-0000-0000824E0000}"/>
    <cellStyle name="Normal 2 2 2 2 2 61" xfId="20882" xr:uid="{00000000-0005-0000-0000-0000834E0000}"/>
    <cellStyle name="Normal 2 2 2 2 2 61 2" xfId="20883" xr:uid="{00000000-0005-0000-0000-0000844E0000}"/>
    <cellStyle name="Normal 2 2 2 2 2 61 3" xfId="20884" xr:uid="{00000000-0005-0000-0000-0000854E0000}"/>
    <cellStyle name="Normal 2 2 2 2 2 61 4" xfId="20885" xr:uid="{00000000-0005-0000-0000-0000864E0000}"/>
    <cellStyle name="Normal 2 2 2 2 2 61 5" xfId="20886" xr:uid="{00000000-0005-0000-0000-0000874E0000}"/>
    <cellStyle name="Normal 2 2 2 2 2 61 6" xfId="20887" xr:uid="{00000000-0005-0000-0000-0000884E0000}"/>
    <cellStyle name="Normal 2 2 2 2 2 62" xfId="20888" xr:uid="{00000000-0005-0000-0000-0000894E0000}"/>
    <cellStyle name="Normal 2 2 2 2 2 62 2" xfId="20889" xr:uid="{00000000-0005-0000-0000-00008A4E0000}"/>
    <cellStyle name="Normal 2 2 2 2 2 62 3" xfId="20890" xr:uid="{00000000-0005-0000-0000-00008B4E0000}"/>
    <cellStyle name="Normal 2 2 2 2 2 62 4" xfId="20891" xr:uid="{00000000-0005-0000-0000-00008C4E0000}"/>
    <cellStyle name="Normal 2 2 2 2 2 62 5" xfId="20892" xr:uid="{00000000-0005-0000-0000-00008D4E0000}"/>
    <cellStyle name="Normal 2 2 2 2 2 62 6" xfId="20893" xr:uid="{00000000-0005-0000-0000-00008E4E0000}"/>
    <cellStyle name="Normal 2 2 2 2 2 63" xfId="20894" xr:uid="{00000000-0005-0000-0000-00008F4E0000}"/>
    <cellStyle name="Normal 2 2 2 2 2 63 2" xfId="20895" xr:uid="{00000000-0005-0000-0000-0000904E0000}"/>
    <cellStyle name="Normal 2 2 2 2 2 63 3" xfId="20896" xr:uid="{00000000-0005-0000-0000-0000914E0000}"/>
    <cellStyle name="Normal 2 2 2 2 2 63 4" xfId="20897" xr:uid="{00000000-0005-0000-0000-0000924E0000}"/>
    <cellStyle name="Normal 2 2 2 2 2 63 5" xfId="20898" xr:uid="{00000000-0005-0000-0000-0000934E0000}"/>
    <cellStyle name="Normal 2 2 2 2 2 63 6" xfId="20899" xr:uid="{00000000-0005-0000-0000-0000944E0000}"/>
    <cellStyle name="Normal 2 2 2 2 2 64" xfId="20900" xr:uid="{00000000-0005-0000-0000-0000954E0000}"/>
    <cellStyle name="Normal 2 2 2 2 2 64 2" xfId="20901" xr:uid="{00000000-0005-0000-0000-0000964E0000}"/>
    <cellStyle name="Normal 2 2 2 2 2 64 3" xfId="20902" xr:uid="{00000000-0005-0000-0000-0000974E0000}"/>
    <cellStyle name="Normal 2 2 2 2 2 64 4" xfId="20903" xr:uid="{00000000-0005-0000-0000-0000984E0000}"/>
    <cellStyle name="Normal 2 2 2 2 2 64 5" xfId="20904" xr:uid="{00000000-0005-0000-0000-0000994E0000}"/>
    <cellStyle name="Normal 2 2 2 2 2 64 6" xfId="20905" xr:uid="{00000000-0005-0000-0000-00009A4E0000}"/>
    <cellStyle name="Normal 2 2 2 2 2 65" xfId="20906" xr:uid="{00000000-0005-0000-0000-00009B4E0000}"/>
    <cellStyle name="Normal 2 2 2 2 2 65 2" xfId="20907" xr:uid="{00000000-0005-0000-0000-00009C4E0000}"/>
    <cellStyle name="Normal 2 2 2 2 2 65 3" xfId="20908" xr:uid="{00000000-0005-0000-0000-00009D4E0000}"/>
    <cellStyle name="Normal 2 2 2 2 2 65 4" xfId="20909" xr:uid="{00000000-0005-0000-0000-00009E4E0000}"/>
    <cellStyle name="Normal 2 2 2 2 2 65 5" xfId="20910" xr:uid="{00000000-0005-0000-0000-00009F4E0000}"/>
    <cellStyle name="Normal 2 2 2 2 2 65 6" xfId="20911" xr:uid="{00000000-0005-0000-0000-0000A04E0000}"/>
    <cellStyle name="Normal 2 2 2 2 2 66" xfId="20912" xr:uid="{00000000-0005-0000-0000-0000A14E0000}"/>
    <cellStyle name="Normal 2 2 2 2 2 66 2" xfId="20913" xr:uid="{00000000-0005-0000-0000-0000A24E0000}"/>
    <cellStyle name="Normal 2 2 2 2 2 66 3" xfId="20914" xr:uid="{00000000-0005-0000-0000-0000A34E0000}"/>
    <cellStyle name="Normal 2 2 2 2 2 66 4" xfId="20915" xr:uid="{00000000-0005-0000-0000-0000A44E0000}"/>
    <cellStyle name="Normal 2 2 2 2 2 66 5" xfId="20916" xr:uid="{00000000-0005-0000-0000-0000A54E0000}"/>
    <cellStyle name="Normal 2 2 2 2 2 66 6" xfId="20917" xr:uid="{00000000-0005-0000-0000-0000A64E0000}"/>
    <cellStyle name="Normal 2 2 2 2 2 67" xfId="20918" xr:uid="{00000000-0005-0000-0000-0000A74E0000}"/>
    <cellStyle name="Normal 2 2 2 2 2 67 2" xfId="20919" xr:uid="{00000000-0005-0000-0000-0000A84E0000}"/>
    <cellStyle name="Normal 2 2 2 2 2 67 3" xfId="20920" xr:uid="{00000000-0005-0000-0000-0000A94E0000}"/>
    <cellStyle name="Normal 2 2 2 2 2 67 4" xfId="20921" xr:uid="{00000000-0005-0000-0000-0000AA4E0000}"/>
    <cellStyle name="Normal 2 2 2 2 2 67 5" xfId="20922" xr:uid="{00000000-0005-0000-0000-0000AB4E0000}"/>
    <cellStyle name="Normal 2 2 2 2 2 67 6" xfId="20923" xr:uid="{00000000-0005-0000-0000-0000AC4E0000}"/>
    <cellStyle name="Normal 2 2 2 2 2 68" xfId="20924" xr:uid="{00000000-0005-0000-0000-0000AD4E0000}"/>
    <cellStyle name="Normal 2 2 2 2 2 68 2" xfId="20925" xr:uid="{00000000-0005-0000-0000-0000AE4E0000}"/>
    <cellStyle name="Normal 2 2 2 2 2 68 3" xfId="20926" xr:uid="{00000000-0005-0000-0000-0000AF4E0000}"/>
    <cellStyle name="Normal 2 2 2 2 2 68 4" xfId="20927" xr:uid="{00000000-0005-0000-0000-0000B04E0000}"/>
    <cellStyle name="Normal 2 2 2 2 2 68 5" xfId="20928" xr:uid="{00000000-0005-0000-0000-0000B14E0000}"/>
    <cellStyle name="Normal 2 2 2 2 2 68 6" xfId="20929" xr:uid="{00000000-0005-0000-0000-0000B24E0000}"/>
    <cellStyle name="Normal 2 2 2 2 2 69" xfId="20930" xr:uid="{00000000-0005-0000-0000-0000B34E0000}"/>
    <cellStyle name="Normal 2 2 2 2 2 69 2" xfId="20931" xr:uid="{00000000-0005-0000-0000-0000B44E0000}"/>
    <cellStyle name="Normal 2 2 2 2 2 69 3" xfId="20932" xr:uid="{00000000-0005-0000-0000-0000B54E0000}"/>
    <cellStyle name="Normal 2 2 2 2 2 69 4" xfId="20933" xr:uid="{00000000-0005-0000-0000-0000B64E0000}"/>
    <cellStyle name="Normal 2 2 2 2 2 69 5" xfId="20934" xr:uid="{00000000-0005-0000-0000-0000B74E0000}"/>
    <cellStyle name="Normal 2 2 2 2 2 69 6" xfId="20935" xr:uid="{00000000-0005-0000-0000-0000B84E0000}"/>
    <cellStyle name="Normal 2 2 2 2 2 7" xfId="20936" xr:uid="{00000000-0005-0000-0000-0000B94E0000}"/>
    <cellStyle name="Normal 2 2 2 2 2 70" xfId="20937" xr:uid="{00000000-0005-0000-0000-0000BA4E0000}"/>
    <cellStyle name="Normal 2 2 2 2 2 70 2" xfId="20938" xr:uid="{00000000-0005-0000-0000-0000BB4E0000}"/>
    <cellStyle name="Normal 2 2 2 2 2 70 2 2" xfId="20939" xr:uid="{00000000-0005-0000-0000-0000BC4E0000}"/>
    <cellStyle name="Normal 2 2 2 2 2 70 2 3" xfId="20940" xr:uid="{00000000-0005-0000-0000-0000BD4E0000}"/>
    <cellStyle name="Normal 2 2 2 2 2 70 2 4" xfId="20941" xr:uid="{00000000-0005-0000-0000-0000BE4E0000}"/>
    <cellStyle name="Normal 2 2 2 2 2 70 2 5" xfId="20942" xr:uid="{00000000-0005-0000-0000-0000BF4E0000}"/>
    <cellStyle name="Normal 2 2 2 2 2 70 2 6" xfId="20943" xr:uid="{00000000-0005-0000-0000-0000C04E0000}"/>
    <cellStyle name="Normal 2 2 2 2 2 71" xfId="20944" xr:uid="{00000000-0005-0000-0000-0000C14E0000}"/>
    <cellStyle name="Normal 2 2 2 2 2 71 10" xfId="20945" xr:uid="{00000000-0005-0000-0000-0000C24E0000}"/>
    <cellStyle name="Normal 2 2 2 2 2 71 11" xfId="20946" xr:uid="{00000000-0005-0000-0000-0000C34E0000}"/>
    <cellStyle name="Normal 2 2 2 2 2 71 2" xfId="20947" xr:uid="{00000000-0005-0000-0000-0000C44E0000}"/>
    <cellStyle name="Normal 2 2 2 2 2 71 2 2" xfId="20948" xr:uid="{00000000-0005-0000-0000-0000C54E0000}"/>
    <cellStyle name="Normal 2 2 2 2 2 71 2 2 2" xfId="20949" xr:uid="{00000000-0005-0000-0000-0000C64E0000}"/>
    <cellStyle name="Normal 2 2 2 2 2 71 2 2 3" xfId="20950" xr:uid="{00000000-0005-0000-0000-0000C74E0000}"/>
    <cellStyle name="Normal 2 2 2 2 2 71 2 3" xfId="20951" xr:uid="{00000000-0005-0000-0000-0000C84E0000}"/>
    <cellStyle name="Normal 2 2 2 2 2 71 2 4" xfId="20952" xr:uid="{00000000-0005-0000-0000-0000C94E0000}"/>
    <cellStyle name="Normal 2 2 2 2 2 71 2 5" xfId="20953" xr:uid="{00000000-0005-0000-0000-0000CA4E0000}"/>
    <cellStyle name="Normal 2 2 2 2 2 71 2 6" xfId="20954" xr:uid="{00000000-0005-0000-0000-0000CB4E0000}"/>
    <cellStyle name="Normal 2 2 2 2 2 71 2 7" xfId="20955" xr:uid="{00000000-0005-0000-0000-0000CC4E0000}"/>
    <cellStyle name="Normal 2 2 2 2 2 71 2 8" xfId="20956" xr:uid="{00000000-0005-0000-0000-0000CD4E0000}"/>
    <cellStyle name="Normal 2 2 2 2 2 71 2 9" xfId="20957" xr:uid="{00000000-0005-0000-0000-0000CE4E0000}"/>
    <cellStyle name="Normal 2 2 2 2 2 71 3" xfId="20958" xr:uid="{00000000-0005-0000-0000-0000CF4E0000}"/>
    <cellStyle name="Normal 2 2 2 2 2 71 4" xfId="20959" xr:uid="{00000000-0005-0000-0000-0000D04E0000}"/>
    <cellStyle name="Normal 2 2 2 2 2 71 5" xfId="20960" xr:uid="{00000000-0005-0000-0000-0000D14E0000}"/>
    <cellStyle name="Normal 2 2 2 2 2 71 5 2" xfId="20961" xr:uid="{00000000-0005-0000-0000-0000D24E0000}"/>
    <cellStyle name="Normal 2 2 2 2 2 71 5 3" xfId="20962" xr:uid="{00000000-0005-0000-0000-0000D34E0000}"/>
    <cellStyle name="Normal 2 2 2 2 2 71 6" xfId="20963" xr:uid="{00000000-0005-0000-0000-0000D44E0000}"/>
    <cellStyle name="Normal 2 2 2 2 2 71 7" xfId="20964" xr:uid="{00000000-0005-0000-0000-0000D54E0000}"/>
    <cellStyle name="Normal 2 2 2 2 2 71 8" xfId="20965" xr:uid="{00000000-0005-0000-0000-0000D64E0000}"/>
    <cellStyle name="Normal 2 2 2 2 2 71 9" xfId="20966" xr:uid="{00000000-0005-0000-0000-0000D74E0000}"/>
    <cellStyle name="Normal 2 2 2 2 2 72" xfId="20967" xr:uid="{00000000-0005-0000-0000-0000D84E0000}"/>
    <cellStyle name="Normal 2 2 2 2 2 73" xfId="20968" xr:uid="{00000000-0005-0000-0000-0000D94E0000}"/>
    <cellStyle name="Normal 2 2 2 2 2 74" xfId="20969" xr:uid="{00000000-0005-0000-0000-0000DA4E0000}"/>
    <cellStyle name="Normal 2 2 2 2 2 74 2" xfId="20970" xr:uid="{00000000-0005-0000-0000-0000DB4E0000}"/>
    <cellStyle name="Normal 2 2 2 2 2 74 2 2" xfId="20971" xr:uid="{00000000-0005-0000-0000-0000DC4E0000}"/>
    <cellStyle name="Normal 2 2 2 2 2 74 2 3" xfId="20972" xr:uid="{00000000-0005-0000-0000-0000DD4E0000}"/>
    <cellStyle name="Normal 2 2 2 2 2 74 3" xfId="20973" xr:uid="{00000000-0005-0000-0000-0000DE4E0000}"/>
    <cellStyle name="Normal 2 2 2 2 2 74 4" xfId="20974" xr:uid="{00000000-0005-0000-0000-0000DF4E0000}"/>
    <cellStyle name="Normal 2 2 2 2 2 74 5" xfId="20975" xr:uid="{00000000-0005-0000-0000-0000E04E0000}"/>
    <cellStyle name="Normal 2 2 2 2 2 74 6" xfId="20976" xr:uid="{00000000-0005-0000-0000-0000E14E0000}"/>
    <cellStyle name="Normal 2 2 2 2 2 74 7" xfId="20977" xr:uid="{00000000-0005-0000-0000-0000E24E0000}"/>
    <cellStyle name="Normal 2 2 2 2 2 74 8" xfId="20978" xr:uid="{00000000-0005-0000-0000-0000E34E0000}"/>
    <cellStyle name="Normal 2 2 2 2 2 74 9" xfId="20979" xr:uid="{00000000-0005-0000-0000-0000E44E0000}"/>
    <cellStyle name="Normal 2 2 2 2 2 75" xfId="20980" xr:uid="{00000000-0005-0000-0000-0000E54E0000}"/>
    <cellStyle name="Normal 2 2 2 2 2 76" xfId="20981" xr:uid="{00000000-0005-0000-0000-0000E64E0000}"/>
    <cellStyle name="Normal 2 2 2 2 2 76 2" xfId="20982" xr:uid="{00000000-0005-0000-0000-0000E74E0000}"/>
    <cellStyle name="Normal 2 2 2 2 2 76 3" xfId="20983" xr:uid="{00000000-0005-0000-0000-0000E84E0000}"/>
    <cellStyle name="Normal 2 2 2 2 2 77" xfId="20984" xr:uid="{00000000-0005-0000-0000-0000E94E0000}"/>
    <cellStyle name="Normal 2 2 2 2 2 78" xfId="20985" xr:uid="{00000000-0005-0000-0000-0000EA4E0000}"/>
    <cellStyle name="Normal 2 2 2 2 2 79" xfId="20986" xr:uid="{00000000-0005-0000-0000-0000EB4E0000}"/>
    <cellStyle name="Normal 2 2 2 2 2 8" xfId="20987" xr:uid="{00000000-0005-0000-0000-0000EC4E0000}"/>
    <cellStyle name="Normal 2 2 2 2 2 80" xfId="20988" xr:uid="{00000000-0005-0000-0000-0000ED4E0000}"/>
    <cellStyle name="Normal 2 2 2 2 2 81" xfId="20989" xr:uid="{00000000-0005-0000-0000-0000EE4E0000}"/>
    <cellStyle name="Normal 2 2 2 2 2 82" xfId="20990" xr:uid="{00000000-0005-0000-0000-0000EF4E0000}"/>
    <cellStyle name="Normal 2 2 2 2 2 83" xfId="20991" xr:uid="{00000000-0005-0000-0000-0000F04E0000}"/>
    <cellStyle name="Normal 2 2 2 2 2 9" xfId="20992" xr:uid="{00000000-0005-0000-0000-0000F14E0000}"/>
    <cellStyle name="Normal 2 2 2 2 20" xfId="20993" xr:uid="{00000000-0005-0000-0000-0000F24E0000}"/>
    <cellStyle name="Normal 2 2 2 2 21" xfId="20994" xr:uid="{00000000-0005-0000-0000-0000F34E0000}"/>
    <cellStyle name="Normal 2 2 2 2 22" xfId="20995" xr:uid="{00000000-0005-0000-0000-0000F44E0000}"/>
    <cellStyle name="Normal 2 2 2 2 22 2" xfId="20996" xr:uid="{00000000-0005-0000-0000-0000F54E0000}"/>
    <cellStyle name="Normal 2 2 2 2 22 3" xfId="20997" xr:uid="{00000000-0005-0000-0000-0000F64E0000}"/>
    <cellStyle name="Normal 2 2 2 2 22 4" xfId="20998" xr:uid="{00000000-0005-0000-0000-0000F74E0000}"/>
    <cellStyle name="Normal 2 2 2 2 23" xfId="20999" xr:uid="{00000000-0005-0000-0000-0000F84E0000}"/>
    <cellStyle name="Normal 2 2 2 2 24" xfId="21000" xr:uid="{00000000-0005-0000-0000-0000F94E0000}"/>
    <cellStyle name="Normal 2 2 2 2 25" xfId="21001" xr:uid="{00000000-0005-0000-0000-0000FA4E0000}"/>
    <cellStyle name="Normal 2 2 2 2 26" xfId="21002" xr:uid="{00000000-0005-0000-0000-0000FB4E0000}"/>
    <cellStyle name="Normal 2 2 2 2 27" xfId="21003" xr:uid="{00000000-0005-0000-0000-0000FC4E0000}"/>
    <cellStyle name="Normal 2 2 2 2 28" xfId="21004" xr:uid="{00000000-0005-0000-0000-0000FD4E0000}"/>
    <cellStyle name="Normal 2 2 2 2 28 10" xfId="21005" xr:uid="{00000000-0005-0000-0000-0000FE4E0000}"/>
    <cellStyle name="Normal 2 2 2 2 28 11" xfId="21006" xr:uid="{00000000-0005-0000-0000-0000FF4E0000}"/>
    <cellStyle name="Normal 2 2 2 2 28 12" xfId="21007" xr:uid="{00000000-0005-0000-0000-0000004F0000}"/>
    <cellStyle name="Normal 2 2 2 2 28 13" xfId="21008" xr:uid="{00000000-0005-0000-0000-0000014F0000}"/>
    <cellStyle name="Normal 2 2 2 2 28 2" xfId="21009" xr:uid="{00000000-0005-0000-0000-0000024F0000}"/>
    <cellStyle name="Normal 2 2 2 2 28 2 2" xfId="21010" xr:uid="{00000000-0005-0000-0000-0000034F0000}"/>
    <cellStyle name="Normal 2 2 2 2 28 2 3" xfId="21011" xr:uid="{00000000-0005-0000-0000-0000044F0000}"/>
    <cellStyle name="Normal 2 2 2 2 28 2 4" xfId="21012" xr:uid="{00000000-0005-0000-0000-0000054F0000}"/>
    <cellStyle name="Normal 2 2 2 2 28 2 5" xfId="21013" xr:uid="{00000000-0005-0000-0000-0000064F0000}"/>
    <cellStyle name="Normal 2 2 2 2 28 2 6" xfId="21014" xr:uid="{00000000-0005-0000-0000-0000074F0000}"/>
    <cellStyle name="Normal 2 2 2 2 28 3" xfId="21015" xr:uid="{00000000-0005-0000-0000-0000084F0000}"/>
    <cellStyle name="Normal 2 2 2 2 28 3 2" xfId="21016" xr:uid="{00000000-0005-0000-0000-0000094F0000}"/>
    <cellStyle name="Normal 2 2 2 2 28 3 3" xfId="21017" xr:uid="{00000000-0005-0000-0000-00000A4F0000}"/>
    <cellStyle name="Normal 2 2 2 2 28 3 4" xfId="21018" xr:uid="{00000000-0005-0000-0000-00000B4F0000}"/>
    <cellStyle name="Normal 2 2 2 2 28 3 5" xfId="21019" xr:uid="{00000000-0005-0000-0000-00000C4F0000}"/>
    <cellStyle name="Normal 2 2 2 2 28 3 6" xfId="21020" xr:uid="{00000000-0005-0000-0000-00000D4F0000}"/>
    <cellStyle name="Normal 2 2 2 2 28 4" xfId="21021" xr:uid="{00000000-0005-0000-0000-00000E4F0000}"/>
    <cellStyle name="Normal 2 2 2 2 28 4 2" xfId="21022" xr:uid="{00000000-0005-0000-0000-00000F4F0000}"/>
    <cellStyle name="Normal 2 2 2 2 28 4 3" xfId="21023" xr:uid="{00000000-0005-0000-0000-0000104F0000}"/>
    <cellStyle name="Normal 2 2 2 2 28 4 4" xfId="21024" xr:uid="{00000000-0005-0000-0000-0000114F0000}"/>
    <cellStyle name="Normal 2 2 2 2 28 4 5" xfId="21025" xr:uid="{00000000-0005-0000-0000-0000124F0000}"/>
    <cellStyle name="Normal 2 2 2 2 28 4 6" xfId="21026" xr:uid="{00000000-0005-0000-0000-0000134F0000}"/>
    <cellStyle name="Normal 2 2 2 2 28 5" xfId="21027" xr:uid="{00000000-0005-0000-0000-0000144F0000}"/>
    <cellStyle name="Normal 2 2 2 2 28 5 2" xfId="21028" xr:uid="{00000000-0005-0000-0000-0000154F0000}"/>
    <cellStyle name="Normal 2 2 2 2 28 5 3" xfId="21029" xr:uid="{00000000-0005-0000-0000-0000164F0000}"/>
    <cellStyle name="Normal 2 2 2 2 28 5 4" xfId="21030" xr:uid="{00000000-0005-0000-0000-0000174F0000}"/>
    <cellStyle name="Normal 2 2 2 2 28 5 5" xfId="21031" xr:uid="{00000000-0005-0000-0000-0000184F0000}"/>
    <cellStyle name="Normal 2 2 2 2 28 5 6" xfId="21032" xr:uid="{00000000-0005-0000-0000-0000194F0000}"/>
    <cellStyle name="Normal 2 2 2 2 28 6" xfId="21033" xr:uid="{00000000-0005-0000-0000-00001A4F0000}"/>
    <cellStyle name="Normal 2 2 2 2 28 6 2" xfId="21034" xr:uid="{00000000-0005-0000-0000-00001B4F0000}"/>
    <cellStyle name="Normal 2 2 2 2 28 6 3" xfId="21035" xr:uid="{00000000-0005-0000-0000-00001C4F0000}"/>
    <cellStyle name="Normal 2 2 2 2 28 6 4" xfId="21036" xr:uid="{00000000-0005-0000-0000-00001D4F0000}"/>
    <cellStyle name="Normal 2 2 2 2 28 6 5" xfId="21037" xr:uid="{00000000-0005-0000-0000-00001E4F0000}"/>
    <cellStyle name="Normal 2 2 2 2 28 6 6" xfId="21038" xr:uid="{00000000-0005-0000-0000-00001F4F0000}"/>
    <cellStyle name="Normal 2 2 2 2 28 7" xfId="21039" xr:uid="{00000000-0005-0000-0000-0000204F0000}"/>
    <cellStyle name="Normal 2 2 2 2 28 7 2" xfId="21040" xr:uid="{00000000-0005-0000-0000-0000214F0000}"/>
    <cellStyle name="Normal 2 2 2 2 28 7 3" xfId="21041" xr:uid="{00000000-0005-0000-0000-0000224F0000}"/>
    <cellStyle name="Normal 2 2 2 2 28 7 4" xfId="21042" xr:uid="{00000000-0005-0000-0000-0000234F0000}"/>
    <cellStyle name="Normal 2 2 2 2 28 7 5" xfId="21043" xr:uid="{00000000-0005-0000-0000-0000244F0000}"/>
    <cellStyle name="Normal 2 2 2 2 28 7 6" xfId="21044" xr:uid="{00000000-0005-0000-0000-0000254F0000}"/>
    <cellStyle name="Normal 2 2 2 2 28 8" xfId="21045" xr:uid="{00000000-0005-0000-0000-0000264F0000}"/>
    <cellStyle name="Normal 2 2 2 2 28 8 2" xfId="21046" xr:uid="{00000000-0005-0000-0000-0000274F0000}"/>
    <cellStyle name="Normal 2 2 2 2 28 8 3" xfId="21047" xr:uid="{00000000-0005-0000-0000-0000284F0000}"/>
    <cellStyle name="Normal 2 2 2 2 28 8 4" xfId="21048" xr:uid="{00000000-0005-0000-0000-0000294F0000}"/>
    <cellStyle name="Normal 2 2 2 2 28 8 5" xfId="21049" xr:uid="{00000000-0005-0000-0000-00002A4F0000}"/>
    <cellStyle name="Normal 2 2 2 2 28 8 6" xfId="21050" xr:uid="{00000000-0005-0000-0000-00002B4F0000}"/>
    <cellStyle name="Normal 2 2 2 2 28 9" xfId="21051" xr:uid="{00000000-0005-0000-0000-00002C4F0000}"/>
    <cellStyle name="Normal 2 2 2 2 29" xfId="21052" xr:uid="{00000000-0005-0000-0000-00002D4F0000}"/>
    <cellStyle name="Normal 2 2 2 2 29 10" xfId="21053" xr:uid="{00000000-0005-0000-0000-00002E4F0000}"/>
    <cellStyle name="Normal 2 2 2 2 29 11" xfId="21054" xr:uid="{00000000-0005-0000-0000-00002F4F0000}"/>
    <cellStyle name="Normal 2 2 2 2 29 12" xfId="21055" xr:uid="{00000000-0005-0000-0000-0000304F0000}"/>
    <cellStyle name="Normal 2 2 2 2 29 13" xfId="21056" xr:uid="{00000000-0005-0000-0000-0000314F0000}"/>
    <cellStyle name="Normal 2 2 2 2 29 2" xfId="21057" xr:uid="{00000000-0005-0000-0000-0000324F0000}"/>
    <cellStyle name="Normal 2 2 2 2 29 2 2" xfId="21058" xr:uid="{00000000-0005-0000-0000-0000334F0000}"/>
    <cellStyle name="Normal 2 2 2 2 29 2 3" xfId="21059" xr:uid="{00000000-0005-0000-0000-0000344F0000}"/>
    <cellStyle name="Normal 2 2 2 2 29 2 4" xfId="21060" xr:uid="{00000000-0005-0000-0000-0000354F0000}"/>
    <cellStyle name="Normal 2 2 2 2 29 2 5" xfId="21061" xr:uid="{00000000-0005-0000-0000-0000364F0000}"/>
    <cellStyle name="Normal 2 2 2 2 29 2 6" xfId="21062" xr:uid="{00000000-0005-0000-0000-0000374F0000}"/>
    <cellStyle name="Normal 2 2 2 2 29 3" xfId="21063" xr:uid="{00000000-0005-0000-0000-0000384F0000}"/>
    <cellStyle name="Normal 2 2 2 2 29 3 2" xfId="21064" xr:uid="{00000000-0005-0000-0000-0000394F0000}"/>
    <cellStyle name="Normal 2 2 2 2 29 3 3" xfId="21065" xr:uid="{00000000-0005-0000-0000-00003A4F0000}"/>
    <cellStyle name="Normal 2 2 2 2 29 3 4" xfId="21066" xr:uid="{00000000-0005-0000-0000-00003B4F0000}"/>
    <cellStyle name="Normal 2 2 2 2 29 3 5" xfId="21067" xr:uid="{00000000-0005-0000-0000-00003C4F0000}"/>
    <cellStyle name="Normal 2 2 2 2 29 3 6" xfId="21068" xr:uid="{00000000-0005-0000-0000-00003D4F0000}"/>
    <cellStyle name="Normal 2 2 2 2 29 4" xfId="21069" xr:uid="{00000000-0005-0000-0000-00003E4F0000}"/>
    <cellStyle name="Normal 2 2 2 2 29 4 2" xfId="21070" xr:uid="{00000000-0005-0000-0000-00003F4F0000}"/>
    <cellStyle name="Normal 2 2 2 2 29 4 3" xfId="21071" xr:uid="{00000000-0005-0000-0000-0000404F0000}"/>
    <cellStyle name="Normal 2 2 2 2 29 4 4" xfId="21072" xr:uid="{00000000-0005-0000-0000-0000414F0000}"/>
    <cellStyle name="Normal 2 2 2 2 29 4 5" xfId="21073" xr:uid="{00000000-0005-0000-0000-0000424F0000}"/>
    <cellStyle name="Normal 2 2 2 2 29 4 6" xfId="21074" xr:uid="{00000000-0005-0000-0000-0000434F0000}"/>
    <cellStyle name="Normal 2 2 2 2 29 5" xfId="21075" xr:uid="{00000000-0005-0000-0000-0000444F0000}"/>
    <cellStyle name="Normal 2 2 2 2 29 5 2" xfId="21076" xr:uid="{00000000-0005-0000-0000-0000454F0000}"/>
    <cellStyle name="Normal 2 2 2 2 29 5 3" xfId="21077" xr:uid="{00000000-0005-0000-0000-0000464F0000}"/>
    <cellStyle name="Normal 2 2 2 2 29 5 4" xfId="21078" xr:uid="{00000000-0005-0000-0000-0000474F0000}"/>
    <cellStyle name="Normal 2 2 2 2 29 5 5" xfId="21079" xr:uid="{00000000-0005-0000-0000-0000484F0000}"/>
    <cellStyle name="Normal 2 2 2 2 29 5 6" xfId="21080" xr:uid="{00000000-0005-0000-0000-0000494F0000}"/>
    <cellStyle name="Normal 2 2 2 2 29 6" xfId="21081" xr:uid="{00000000-0005-0000-0000-00004A4F0000}"/>
    <cellStyle name="Normal 2 2 2 2 29 6 2" xfId="21082" xr:uid="{00000000-0005-0000-0000-00004B4F0000}"/>
    <cellStyle name="Normal 2 2 2 2 29 6 3" xfId="21083" xr:uid="{00000000-0005-0000-0000-00004C4F0000}"/>
    <cellStyle name="Normal 2 2 2 2 29 6 4" xfId="21084" xr:uid="{00000000-0005-0000-0000-00004D4F0000}"/>
    <cellStyle name="Normal 2 2 2 2 29 6 5" xfId="21085" xr:uid="{00000000-0005-0000-0000-00004E4F0000}"/>
    <cellStyle name="Normal 2 2 2 2 29 6 6" xfId="21086" xr:uid="{00000000-0005-0000-0000-00004F4F0000}"/>
    <cellStyle name="Normal 2 2 2 2 29 7" xfId="21087" xr:uid="{00000000-0005-0000-0000-0000504F0000}"/>
    <cellStyle name="Normal 2 2 2 2 29 7 2" xfId="21088" xr:uid="{00000000-0005-0000-0000-0000514F0000}"/>
    <cellStyle name="Normal 2 2 2 2 29 7 3" xfId="21089" xr:uid="{00000000-0005-0000-0000-0000524F0000}"/>
    <cellStyle name="Normal 2 2 2 2 29 7 4" xfId="21090" xr:uid="{00000000-0005-0000-0000-0000534F0000}"/>
    <cellStyle name="Normal 2 2 2 2 29 7 5" xfId="21091" xr:uid="{00000000-0005-0000-0000-0000544F0000}"/>
    <cellStyle name="Normal 2 2 2 2 29 7 6" xfId="21092" xr:uid="{00000000-0005-0000-0000-0000554F0000}"/>
    <cellStyle name="Normal 2 2 2 2 29 8" xfId="21093" xr:uid="{00000000-0005-0000-0000-0000564F0000}"/>
    <cellStyle name="Normal 2 2 2 2 29 8 2" xfId="21094" xr:uid="{00000000-0005-0000-0000-0000574F0000}"/>
    <cellStyle name="Normal 2 2 2 2 29 8 3" xfId="21095" xr:uid="{00000000-0005-0000-0000-0000584F0000}"/>
    <cellStyle name="Normal 2 2 2 2 29 8 4" xfId="21096" xr:uid="{00000000-0005-0000-0000-0000594F0000}"/>
    <cellStyle name="Normal 2 2 2 2 29 8 5" xfId="21097" xr:uid="{00000000-0005-0000-0000-00005A4F0000}"/>
    <cellStyle name="Normal 2 2 2 2 29 8 6" xfId="21098" xr:uid="{00000000-0005-0000-0000-00005B4F0000}"/>
    <cellStyle name="Normal 2 2 2 2 29 9" xfId="21099" xr:uid="{00000000-0005-0000-0000-00005C4F0000}"/>
    <cellStyle name="Normal 2 2 2 2 3" xfId="21100" xr:uid="{00000000-0005-0000-0000-00005D4F0000}"/>
    <cellStyle name="Normal 2 2 2 2 3 10" xfId="21101" xr:uid="{00000000-0005-0000-0000-00005E4F0000}"/>
    <cellStyle name="Normal 2 2 2 2 3 11" xfId="21102" xr:uid="{00000000-0005-0000-0000-00005F4F0000}"/>
    <cellStyle name="Normal 2 2 2 2 3 12" xfId="21103" xr:uid="{00000000-0005-0000-0000-0000604F0000}"/>
    <cellStyle name="Normal 2 2 2 2 3 13" xfId="21104" xr:uid="{00000000-0005-0000-0000-0000614F0000}"/>
    <cellStyle name="Normal 2 2 2 2 3 14" xfId="21105" xr:uid="{00000000-0005-0000-0000-0000624F0000}"/>
    <cellStyle name="Normal 2 2 2 2 3 2" xfId="21106" xr:uid="{00000000-0005-0000-0000-0000634F0000}"/>
    <cellStyle name="Normal 2 2 2 2 3 2 2" xfId="21107" xr:uid="{00000000-0005-0000-0000-0000644F0000}"/>
    <cellStyle name="Normal 2 2 2 2 3 2 2 2" xfId="21108" xr:uid="{00000000-0005-0000-0000-0000654F0000}"/>
    <cellStyle name="Normal 2 2 2 2 3 2 2 2 2" xfId="21109" xr:uid="{00000000-0005-0000-0000-0000664F0000}"/>
    <cellStyle name="Normal 2 2 2 2 3 2 2 3" xfId="21110" xr:uid="{00000000-0005-0000-0000-0000674F0000}"/>
    <cellStyle name="Normal 2 2 2 2 3 2 3" xfId="21111" xr:uid="{00000000-0005-0000-0000-0000684F0000}"/>
    <cellStyle name="Normal 2 2 2 2 3 2 3 2" xfId="21112" xr:uid="{00000000-0005-0000-0000-0000694F0000}"/>
    <cellStyle name="Normal 2 2 2 2 3 2 4" xfId="21113" xr:uid="{00000000-0005-0000-0000-00006A4F0000}"/>
    <cellStyle name="Normal 2 2 2 2 3 2 5" xfId="21114" xr:uid="{00000000-0005-0000-0000-00006B4F0000}"/>
    <cellStyle name="Normal 2 2 2 2 3 2 6" xfId="21115" xr:uid="{00000000-0005-0000-0000-00006C4F0000}"/>
    <cellStyle name="Normal 2 2 2 2 3 3" xfId="21116" xr:uid="{00000000-0005-0000-0000-00006D4F0000}"/>
    <cellStyle name="Normal 2 2 2 2 3 3 2" xfId="21117" xr:uid="{00000000-0005-0000-0000-00006E4F0000}"/>
    <cellStyle name="Normal 2 2 2 2 3 3 3" xfId="21118" xr:uid="{00000000-0005-0000-0000-00006F4F0000}"/>
    <cellStyle name="Normal 2 2 2 2 3 3 4" xfId="21119" xr:uid="{00000000-0005-0000-0000-0000704F0000}"/>
    <cellStyle name="Normal 2 2 2 2 3 3 5" xfId="21120" xr:uid="{00000000-0005-0000-0000-0000714F0000}"/>
    <cellStyle name="Normal 2 2 2 2 3 3 6" xfId="21121" xr:uid="{00000000-0005-0000-0000-0000724F0000}"/>
    <cellStyle name="Normal 2 2 2 2 3 4" xfId="21122" xr:uid="{00000000-0005-0000-0000-0000734F0000}"/>
    <cellStyle name="Normal 2 2 2 2 3 4 2" xfId="21123" xr:uid="{00000000-0005-0000-0000-0000744F0000}"/>
    <cellStyle name="Normal 2 2 2 2 3 4 3" xfId="21124" xr:uid="{00000000-0005-0000-0000-0000754F0000}"/>
    <cellStyle name="Normal 2 2 2 2 3 4 4" xfId="21125" xr:uid="{00000000-0005-0000-0000-0000764F0000}"/>
    <cellStyle name="Normal 2 2 2 2 3 4 5" xfId="21126" xr:uid="{00000000-0005-0000-0000-0000774F0000}"/>
    <cellStyle name="Normal 2 2 2 2 3 4 6" xfId="21127" xr:uid="{00000000-0005-0000-0000-0000784F0000}"/>
    <cellStyle name="Normal 2 2 2 2 3 5" xfId="21128" xr:uid="{00000000-0005-0000-0000-0000794F0000}"/>
    <cellStyle name="Normal 2 2 2 2 3 5 2" xfId="21129" xr:uid="{00000000-0005-0000-0000-00007A4F0000}"/>
    <cellStyle name="Normal 2 2 2 2 3 5 3" xfId="21130" xr:uid="{00000000-0005-0000-0000-00007B4F0000}"/>
    <cellStyle name="Normal 2 2 2 2 3 5 4" xfId="21131" xr:uid="{00000000-0005-0000-0000-00007C4F0000}"/>
    <cellStyle name="Normal 2 2 2 2 3 5 5" xfId="21132" xr:uid="{00000000-0005-0000-0000-00007D4F0000}"/>
    <cellStyle name="Normal 2 2 2 2 3 5 6" xfId="21133" xr:uid="{00000000-0005-0000-0000-00007E4F0000}"/>
    <cellStyle name="Normal 2 2 2 2 3 6" xfId="21134" xr:uid="{00000000-0005-0000-0000-00007F4F0000}"/>
    <cellStyle name="Normal 2 2 2 2 3 6 2" xfId="21135" xr:uid="{00000000-0005-0000-0000-0000804F0000}"/>
    <cellStyle name="Normal 2 2 2 2 3 6 3" xfId="21136" xr:uid="{00000000-0005-0000-0000-0000814F0000}"/>
    <cellStyle name="Normal 2 2 2 2 3 6 4" xfId="21137" xr:uid="{00000000-0005-0000-0000-0000824F0000}"/>
    <cellStyle name="Normal 2 2 2 2 3 6 5" xfId="21138" xr:uid="{00000000-0005-0000-0000-0000834F0000}"/>
    <cellStyle name="Normal 2 2 2 2 3 6 6" xfId="21139" xr:uid="{00000000-0005-0000-0000-0000844F0000}"/>
    <cellStyle name="Normal 2 2 2 2 3 7" xfId="21140" xr:uid="{00000000-0005-0000-0000-0000854F0000}"/>
    <cellStyle name="Normal 2 2 2 2 3 7 2" xfId="21141" xr:uid="{00000000-0005-0000-0000-0000864F0000}"/>
    <cellStyle name="Normal 2 2 2 2 3 7 3" xfId="21142" xr:uid="{00000000-0005-0000-0000-0000874F0000}"/>
    <cellStyle name="Normal 2 2 2 2 3 7 4" xfId="21143" xr:uid="{00000000-0005-0000-0000-0000884F0000}"/>
    <cellStyle name="Normal 2 2 2 2 3 7 5" xfId="21144" xr:uid="{00000000-0005-0000-0000-0000894F0000}"/>
    <cellStyle name="Normal 2 2 2 2 3 7 6" xfId="21145" xr:uid="{00000000-0005-0000-0000-00008A4F0000}"/>
    <cellStyle name="Normal 2 2 2 2 3 8" xfId="21146" xr:uid="{00000000-0005-0000-0000-00008B4F0000}"/>
    <cellStyle name="Normal 2 2 2 2 3 8 2" xfId="21147" xr:uid="{00000000-0005-0000-0000-00008C4F0000}"/>
    <cellStyle name="Normal 2 2 2 2 3 8 3" xfId="21148" xr:uid="{00000000-0005-0000-0000-00008D4F0000}"/>
    <cellStyle name="Normal 2 2 2 2 3 8 4" xfId="21149" xr:uid="{00000000-0005-0000-0000-00008E4F0000}"/>
    <cellStyle name="Normal 2 2 2 2 3 8 5" xfId="21150" xr:uid="{00000000-0005-0000-0000-00008F4F0000}"/>
    <cellStyle name="Normal 2 2 2 2 3 8 6" xfId="21151" xr:uid="{00000000-0005-0000-0000-0000904F0000}"/>
    <cellStyle name="Normal 2 2 2 2 3 9" xfId="21152" xr:uid="{00000000-0005-0000-0000-0000914F0000}"/>
    <cellStyle name="Normal 2 2 2 2 30" xfId="21153" xr:uid="{00000000-0005-0000-0000-0000924F0000}"/>
    <cellStyle name="Normal 2 2 2 2 30 10" xfId="21154" xr:uid="{00000000-0005-0000-0000-0000934F0000}"/>
    <cellStyle name="Normal 2 2 2 2 30 11" xfId="21155" xr:uid="{00000000-0005-0000-0000-0000944F0000}"/>
    <cellStyle name="Normal 2 2 2 2 30 12" xfId="21156" xr:uid="{00000000-0005-0000-0000-0000954F0000}"/>
    <cellStyle name="Normal 2 2 2 2 30 13" xfId="21157" xr:uid="{00000000-0005-0000-0000-0000964F0000}"/>
    <cellStyle name="Normal 2 2 2 2 30 2" xfId="21158" xr:uid="{00000000-0005-0000-0000-0000974F0000}"/>
    <cellStyle name="Normal 2 2 2 2 30 2 2" xfId="21159" xr:uid="{00000000-0005-0000-0000-0000984F0000}"/>
    <cellStyle name="Normal 2 2 2 2 30 2 3" xfId="21160" xr:uid="{00000000-0005-0000-0000-0000994F0000}"/>
    <cellStyle name="Normal 2 2 2 2 30 2 4" xfId="21161" xr:uid="{00000000-0005-0000-0000-00009A4F0000}"/>
    <cellStyle name="Normal 2 2 2 2 30 2 5" xfId="21162" xr:uid="{00000000-0005-0000-0000-00009B4F0000}"/>
    <cellStyle name="Normal 2 2 2 2 30 2 6" xfId="21163" xr:uid="{00000000-0005-0000-0000-00009C4F0000}"/>
    <cellStyle name="Normal 2 2 2 2 30 3" xfId="21164" xr:uid="{00000000-0005-0000-0000-00009D4F0000}"/>
    <cellStyle name="Normal 2 2 2 2 30 3 2" xfId="21165" xr:uid="{00000000-0005-0000-0000-00009E4F0000}"/>
    <cellStyle name="Normal 2 2 2 2 30 3 3" xfId="21166" xr:uid="{00000000-0005-0000-0000-00009F4F0000}"/>
    <cellStyle name="Normal 2 2 2 2 30 3 4" xfId="21167" xr:uid="{00000000-0005-0000-0000-0000A04F0000}"/>
    <cellStyle name="Normal 2 2 2 2 30 3 5" xfId="21168" xr:uid="{00000000-0005-0000-0000-0000A14F0000}"/>
    <cellStyle name="Normal 2 2 2 2 30 3 6" xfId="21169" xr:uid="{00000000-0005-0000-0000-0000A24F0000}"/>
    <cellStyle name="Normal 2 2 2 2 30 4" xfId="21170" xr:uid="{00000000-0005-0000-0000-0000A34F0000}"/>
    <cellStyle name="Normal 2 2 2 2 30 4 2" xfId="21171" xr:uid="{00000000-0005-0000-0000-0000A44F0000}"/>
    <cellStyle name="Normal 2 2 2 2 30 4 3" xfId="21172" xr:uid="{00000000-0005-0000-0000-0000A54F0000}"/>
    <cellStyle name="Normal 2 2 2 2 30 4 4" xfId="21173" xr:uid="{00000000-0005-0000-0000-0000A64F0000}"/>
    <cellStyle name="Normal 2 2 2 2 30 4 5" xfId="21174" xr:uid="{00000000-0005-0000-0000-0000A74F0000}"/>
    <cellStyle name="Normal 2 2 2 2 30 4 6" xfId="21175" xr:uid="{00000000-0005-0000-0000-0000A84F0000}"/>
    <cellStyle name="Normal 2 2 2 2 30 5" xfId="21176" xr:uid="{00000000-0005-0000-0000-0000A94F0000}"/>
    <cellStyle name="Normal 2 2 2 2 30 5 2" xfId="21177" xr:uid="{00000000-0005-0000-0000-0000AA4F0000}"/>
    <cellStyle name="Normal 2 2 2 2 30 5 3" xfId="21178" xr:uid="{00000000-0005-0000-0000-0000AB4F0000}"/>
    <cellStyle name="Normal 2 2 2 2 30 5 4" xfId="21179" xr:uid="{00000000-0005-0000-0000-0000AC4F0000}"/>
    <cellStyle name="Normal 2 2 2 2 30 5 5" xfId="21180" xr:uid="{00000000-0005-0000-0000-0000AD4F0000}"/>
    <cellStyle name="Normal 2 2 2 2 30 5 6" xfId="21181" xr:uid="{00000000-0005-0000-0000-0000AE4F0000}"/>
    <cellStyle name="Normal 2 2 2 2 30 6" xfId="21182" xr:uid="{00000000-0005-0000-0000-0000AF4F0000}"/>
    <cellStyle name="Normal 2 2 2 2 30 6 2" xfId="21183" xr:uid="{00000000-0005-0000-0000-0000B04F0000}"/>
    <cellStyle name="Normal 2 2 2 2 30 6 3" xfId="21184" xr:uid="{00000000-0005-0000-0000-0000B14F0000}"/>
    <cellStyle name="Normal 2 2 2 2 30 6 4" xfId="21185" xr:uid="{00000000-0005-0000-0000-0000B24F0000}"/>
    <cellStyle name="Normal 2 2 2 2 30 6 5" xfId="21186" xr:uid="{00000000-0005-0000-0000-0000B34F0000}"/>
    <cellStyle name="Normal 2 2 2 2 30 6 6" xfId="21187" xr:uid="{00000000-0005-0000-0000-0000B44F0000}"/>
    <cellStyle name="Normal 2 2 2 2 30 7" xfId="21188" xr:uid="{00000000-0005-0000-0000-0000B54F0000}"/>
    <cellStyle name="Normal 2 2 2 2 30 7 2" xfId="21189" xr:uid="{00000000-0005-0000-0000-0000B64F0000}"/>
    <cellStyle name="Normal 2 2 2 2 30 7 3" xfId="21190" xr:uid="{00000000-0005-0000-0000-0000B74F0000}"/>
    <cellStyle name="Normal 2 2 2 2 30 7 4" xfId="21191" xr:uid="{00000000-0005-0000-0000-0000B84F0000}"/>
    <cellStyle name="Normal 2 2 2 2 30 7 5" xfId="21192" xr:uid="{00000000-0005-0000-0000-0000B94F0000}"/>
    <cellStyle name="Normal 2 2 2 2 30 7 6" xfId="21193" xr:uid="{00000000-0005-0000-0000-0000BA4F0000}"/>
    <cellStyle name="Normal 2 2 2 2 30 8" xfId="21194" xr:uid="{00000000-0005-0000-0000-0000BB4F0000}"/>
    <cellStyle name="Normal 2 2 2 2 30 8 2" xfId="21195" xr:uid="{00000000-0005-0000-0000-0000BC4F0000}"/>
    <cellStyle name="Normal 2 2 2 2 30 8 3" xfId="21196" xr:uid="{00000000-0005-0000-0000-0000BD4F0000}"/>
    <cellStyle name="Normal 2 2 2 2 30 8 4" xfId="21197" xr:uid="{00000000-0005-0000-0000-0000BE4F0000}"/>
    <cellStyle name="Normal 2 2 2 2 30 8 5" xfId="21198" xr:uid="{00000000-0005-0000-0000-0000BF4F0000}"/>
    <cellStyle name="Normal 2 2 2 2 30 8 6" xfId="21199" xr:uid="{00000000-0005-0000-0000-0000C04F0000}"/>
    <cellStyle name="Normal 2 2 2 2 30 9" xfId="21200" xr:uid="{00000000-0005-0000-0000-0000C14F0000}"/>
    <cellStyle name="Normal 2 2 2 2 31" xfId="21201" xr:uid="{00000000-0005-0000-0000-0000C24F0000}"/>
    <cellStyle name="Normal 2 2 2 2 31 10" xfId="21202" xr:uid="{00000000-0005-0000-0000-0000C34F0000}"/>
    <cellStyle name="Normal 2 2 2 2 31 11" xfId="21203" xr:uid="{00000000-0005-0000-0000-0000C44F0000}"/>
    <cellStyle name="Normal 2 2 2 2 31 12" xfId="21204" xr:uid="{00000000-0005-0000-0000-0000C54F0000}"/>
    <cellStyle name="Normal 2 2 2 2 31 13" xfId="21205" xr:uid="{00000000-0005-0000-0000-0000C64F0000}"/>
    <cellStyle name="Normal 2 2 2 2 31 2" xfId="21206" xr:uid="{00000000-0005-0000-0000-0000C74F0000}"/>
    <cellStyle name="Normal 2 2 2 2 31 2 2" xfId="21207" xr:uid="{00000000-0005-0000-0000-0000C84F0000}"/>
    <cellStyle name="Normal 2 2 2 2 31 2 3" xfId="21208" xr:uid="{00000000-0005-0000-0000-0000C94F0000}"/>
    <cellStyle name="Normal 2 2 2 2 31 2 4" xfId="21209" xr:uid="{00000000-0005-0000-0000-0000CA4F0000}"/>
    <cellStyle name="Normal 2 2 2 2 31 2 5" xfId="21210" xr:uid="{00000000-0005-0000-0000-0000CB4F0000}"/>
    <cellStyle name="Normal 2 2 2 2 31 2 6" xfId="21211" xr:uid="{00000000-0005-0000-0000-0000CC4F0000}"/>
    <cellStyle name="Normal 2 2 2 2 31 3" xfId="21212" xr:uid="{00000000-0005-0000-0000-0000CD4F0000}"/>
    <cellStyle name="Normal 2 2 2 2 31 3 2" xfId="21213" xr:uid="{00000000-0005-0000-0000-0000CE4F0000}"/>
    <cellStyle name="Normal 2 2 2 2 31 3 3" xfId="21214" xr:uid="{00000000-0005-0000-0000-0000CF4F0000}"/>
    <cellStyle name="Normal 2 2 2 2 31 3 4" xfId="21215" xr:uid="{00000000-0005-0000-0000-0000D04F0000}"/>
    <cellStyle name="Normal 2 2 2 2 31 3 5" xfId="21216" xr:uid="{00000000-0005-0000-0000-0000D14F0000}"/>
    <cellStyle name="Normal 2 2 2 2 31 3 6" xfId="21217" xr:uid="{00000000-0005-0000-0000-0000D24F0000}"/>
    <cellStyle name="Normal 2 2 2 2 31 4" xfId="21218" xr:uid="{00000000-0005-0000-0000-0000D34F0000}"/>
    <cellStyle name="Normal 2 2 2 2 31 4 2" xfId="21219" xr:uid="{00000000-0005-0000-0000-0000D44F0000}"/>
    <cellStyle name="Normal 2 2 2 2 31 4 3" xfId="21220" xr:uid="{00000000-0005-0000-0000-0000D54F0000}"/>
    <cellStyle name="Normal 2 2 2 2 31 4 4" xfId="21221" xr:uid="{00000000-0005-0000-0000-0000D64F0000}"/>
    <cellStyle name="Normal 2 2 2 2 31 4 5" xfId="21222" xr:uid="{00000000-0005-0000-0000-0000D74F0000}"/>
    <cellStyle name="Normal 2 2 2 2 31 4 6" xfId="21223" xr:uid="{00000000-0005-0000-0000-0000D84F0000}"/>
    <cellStyle name="Normal 2 2 2 2 31 5" xfId="21224" xr:uid="{00000000-0005-0000-0000-0000D94F0000}"/>
    <cellStyle name="Normal 2 2 2 2 31 5 2" xfId="21225" xr:uid="{00000000-0005-0000-0000-0000DA4F0000}"/>
    <cellStyle name="Normal 2 2 2 2 31 5 3" xfId="21226" xr:uid="{00000000-0005-0000-0000-0000DB4F0000}"/>
    <cellStyle name="Normal 2 2 2 2 31 5 4" xfId="21227" xr:uid="{00000000-0005-0000-0000-0000DC4F0000}"/>
    <cellStyle name="Normal 2 2 2 2 31 5 5" xfId="21228" xr:uid="{00000000-0005-0000-0000-0000DD4F0000}"/>
    <cellStyle name="Normal 2 2 2 2 31 5 6" xfId="21229" xr:uid="{00000000-0005-0000-0000-0000DE4F0000}"/>
    <cellStyle name="Normal 2 2 2 2 31 6" xfId="21230" xr:uid="{00000000-0005-0000-0000-0000DF4F0000}"/>
    <cellStyle name="Normal 2 2 2 2 31 6 2" xfId="21231" xr:uid="{00000000-0005-0000-0000-0000E04F0000}"/>
    <cellStyle name="Normal 2 2 2 2 31 6 3" xfId="21232" xr:uid="{00000000-0005-0000-0000-0000E14F0000}"/>
    <cellStyle name="Normal 2 2 2 2 31 6 4" xfId="21233" xr:uid="{00000000-0005-0000-0000-0000E24F0000}"/>
    <cellStyle name="Normal 2 2 2 2 31 6 5" xfId="21234" xr:uid="{00000000-0005-0000-0000-0000E34F0000}"/>
    <cellStyle name="Normal 2 2 2 2 31 6 6" xfId="21235" xr:uid="{00000000-0005-0000-0000-0000E44F0000}"/>
    <cellStyle name="Normal 2 2 2 2 31 7" xfId="21236" xr:uid="{00000000-0005-0000-0000-0000E54F0000}"/>
    <cellStyle name="Normal 2 2 2 2 31 7 2" xfId="21237" xr:uid="{00000000-0005-0000-0000-0000E64F0000}"/>
    <cellStyle name="Normal 2 2 2 2 31 7 3" xfId="21238" xr:uid="{00000000-0005-0000-0000-0000E74F0000}"/>
    <cellStyle name="Normal 2 2 2 2 31 7 4" xfId="21239" xr:uid="{00000000-0005-0000-0000-0000E84F0000}"/>
    <cellStyle name="Normal 2 2 2 2 31 7 5" xfId="21240" xr:uid="{00000000-0005-0000-0000-0000E94F0000}"/>
    <cellStyle name="Normal 2 2 2 2 31 7 6" xfId="21241" xr:uid="{00000000-0005-0000-0000-0000EA4F0000}"/>
    <cellStyle name="Normal 2 2 2 2 31 8" xfId="21242" xr:uid="{00000000-0005-0000-0000-0000EB4F0000}"/>
    <cellStyle name="Normal 2 2 2 2 31 8 2" xfId="21243" xr:uid="{00000000-0005-0000-0000-0000EC4F0000}"/>
    <cellStyle name="Normal 2 2 2 2 31 8 3" xfId="21244" xr:uid="{00000000-0005-0000-0000-0000ED4F0000}"/>
    <cellStyle name="Normal 2 2 2 2 31 8 4" xfId="21245" xr:uid="{00000000-0005-0000-0000-0000EE4F0000}"/>
    <cellStyle name="Normal 2 2 2 2 31 8 5" xfId="21246" xr:uid="{00000000-0005-0000-0000-0000EF4F0000}"/>
    <cellStyle name="Normal 2 2 2 2 31 8 6" xfId="21247" xr:uid="{00000000-0005-0000-0000-0000F04F0000}"/>
    <cellStyle name="Normal 2 2 2 2 31 9" xfId="21248" xr:uid="{00000000-0005-0000-0000-0000F14F0000}"/>
    <cellStyle name="Normal 2 2 2 2 32" xfId="21249" xr:uid="{00000000-0005-0000-0000-0000F24F0000}"/>
    <cellStyle name="Normal 2 2 2 2 32 10" xfId="21250" xr:uid="{00000000-0005-0000-0000-0000F34F0000}"/>
    <cellStyle name="Normal 2 2 2 2 32 11" xfId="21251" xr:uid="{00000000-0005-0000-0000-0000F44F0000}"/>
    <cellStyle name="Normal 2 2 2 2 32 12" xfId="21252" xr:uid="{00000000-0005-0000-0000-0000F54F0000}"/>
    <cellStyle name="Normal 2 2 2 2 32 13" xfId="21253" xr:uid="{00000000-0005-0000-0000-0000F64F0000}"/>
    <cellStyle name="Normal 2 2 2 2 32 2" xfId="21254" xr:uid="{00000000-0005-0000-0000-0000F74F0000}"/>
    <cellStyle name="Normal 2 2 2 2 32 2 2" xfId="21255" xr:uid="{00000000-0005-0000-0000-0000F84F0000}"/>
    <cellStyle name="Normal 2 2 2 2 32 2 3" xfId="21256" xr:uid="{00000000-0005-0000-0000-0000F94F0000}"/>
    <cellStyle name="Normal 2 2 2 2 32 2 4" xfId="21257" xr:uid="{00000000-0005-0000-0000-0000FA4F0000}"/>
    <cellStyle name="Normal 2 2 2 2 32 2 5" xfId="21258" xr:uid="{00000000-0005-0000-0000-0000FB4F0000}"/>
    <cellStyle name="Normal 2 2 2 2 32 2 6" xfId="21259" xr:uid="{00000000-0005-0000-0000-0000FC4F0000}"/>
    <cellStyle name="Normal 2 2 2 2 32 3" xfId="21260" xr:uid="{00000000-0005-0000-0000-0000FD4F0000}"/>
    <cellStyle name="Normal 2 2 2 2 32 3 2" xfId="21261" xr:uid="{00000000-0005-0000-0000-0000FE4F0000}"/>
    <cellStyle name="Normal 2 2 2 2 32 3 3" xfId="21262" xr:uid="{00000000-0005-0000-0000-0000FF4F0000}"/>
    <cellStyle name="Normal 2 2 2 2 32 3 4" xfId="21263" xr:uid="{00000000-0005-0000-0000-000000500000}"/>
    <cellStyle name="Normal 2 2 2 2 32 3 5" xfId="21264" xr:uid="{00000000-0005-0000-0000-000001500000}"/>
    <cellStyle name="Normal 2 2 2 2 32 3 6" xfId="21265" xr:uid="{00000000-0005-0000-0000-000002500000}"/>
    <cellStyle name="Normal 2 2 2 2 32 4" xfId="21266" xr:uid="{00000000-0005-0000-0000-000003500000}"/>
    <cellStyle name="Normal 2 2 2 2 32 4 2" xfId="21267" xr:uid="{00000000-0005-0000-0000-000004500000}"/>
    <cellStyle name="Normal 2 2 2 2 32 4 3" xfId="21268" xr:uid="{00000000-0005-0000-0000-000005500000}"/>
    <cellStyle name="Normal 2 2 2 2 32 4 4" xfId="21269" xr:uid="{00000000-0005-0000-0000-000006500000}"/>
    <cellStyle name="Normal 2 2 2 2 32 4 5" xfId="21270" xr:uid="{00000000-0005-0000-0000-000007500000}"/>
    <cellStyle name="Normal 2 2 2 2 32 4 6" xfId="21271" xr:uid="{00000000-0005-0000-0000-000008500000}"/>
    <cellStyle name="Normal 2 2 2 2 32 5" xfId="21272" xr:uid="{00000000-0005-0000-0000-000009500000}"/>
    <cellStyle name="Normal 2 2 2 2 32 5 2" xfId="21273" xr:uid="{00000000-0005-0000-0000-00000A500000}"/>
    <cellStyle name="Normal 2 2 2 2 32 5 3" xfId="21274" xr:uid="{00000000-0005-0000-0000-00000B500000}"/>
    <cellStyle name="Normal 2 2 2 2 32 5 4" xfId="21275" xr:uid="{00000000-0005-0000-0000-00000C500000}"/>
    <cellStyle name="Normal 2 2 2 2 32 5 5" xfId="21276" xr:uid="{00000000-0005-0000-0000-00000D500000}"/>
    <cellStyle name="Normal 2 2 2 2 32 5 6" xfId="21277" xr:uid="{00000000-0005-0000-0000-00000E500000}"/>
    <cellStyle name="Normal 2 2 2 2 32 6" xfId="21278" xr:uid="{00000000-0005-0000-0000-00000F500000}"/>
    <cellStyle name="Normal 2 2 2 2 32 6 2" xfId="21279" xr:uid="{00000000-0005-0000-0000-000010500000}"/>
    <cellStyle name="Normal 2 2 2 2 32 6 3" xfId="21280" xr:uid="{00000000-0005-0000-0000-000011500000}"/>
    <cellStyle name="Normal 2 2 2 2 32 6 4" xfId="21281" xr:uid="{00000000-0005-0000-0000-000012500000}"/>
    <cellStyle name="Normal 2 2 2 2 32 6 5" xfId="21282" xr:uid="{00000000-0005-0000-0000-000013500000}"/>
    <cellStyle name="Normal 2 2 2 2 32 6 6" xfId="21283" xr:uid="{00000000-0005-0000-0000-000014500000}"/>
    <cellStyle name="Normal 2 2 2 2 32 7" xfId="21284" xr:uid="{00000000-0005-0000-0000-000015500000}"/>
    <cellStyle name="Normal 2 2 2 2 32 7 2" xfId="21285" xr:uid="{00000000-0005-0000-0000-000016500000}"/>
    <cellStyle name="Normal 2 2 2 2 32 7 3" xfId="21286" xr:uid="{00000000-0005-0000-0000-000017500000}"/>
    <cellStyle name="Normal 2 2 2 2 32 7 4" xfId="21287" xr:uid="{00000000-0005-0000-0000-000018500000}"/>
    <cellStyle name="Normal 2 2 2 2 32 7 5" xfId="21288" xr:uid="{00000000-0005-0000-0000-000019500000}"/>
    <cellStyle name="Normal 2 2 2 2 32 7 6" xfId="21289" xr:uid="{00000000-0005-0000-0000-00001A500000}"/>
    <cellStyle name="Normal 2 2 2 2 32 8" xfId="21290" xr:uid="{00000000-0005-0000-0000-00001B500000}"/>
    <cellStyle name="Normal 2 2 2 2 32 8 2" xfId="21291" xr:uid="{00000000-0005-0000-0000-00001C500000}"/>
    <cellStyle name="Normal 2 2 2 2 32 8 3" xfId="21292" xr:uid="{00000000-0005-0000-0000-00001D500000}"/>
    <cellStyle name="Normal 2 2 2 2 32 8 4" xfId="21293" xr:uid="{00000000-0005-0000-0000-00001E500000}"/>
    <cellStyle name="Normal 2 2 2 2 32 8 5" xfId="21294" xr:uid="{00000000-0005-0000-0000-00001F500000}"/>
    <cellStyle name="Normal 2 2 2 2 32 8 6" xfId="21295" xr:uid="{00000000-0005-0000-0000-000020500000}"/>
    <cellStyle name="Normal 2 2 2 2 32 9" xfId="21296" xr:uid="{00000000-0005-0000-0000-000021500000}"/>
    <cellStyle name="Normal 2 2 2 2 33" xfId="21297" xr:uid="{00000000-0005-0000-0000-000022500000}"/>
    <cellStyle name="Normal 2 2 2 2 33 10" xfId="21298" xr:uid="{00000000-0005-0000-0000-000023500000}"/>
    <cellStyle name="Normal 2 2 2 2 33 11" xfId="21299" xr:uid="{00000000-0005-0000-0000-000024500000}"/>
    <cellStyle name="Normal 2 2 2 2 33 12" xfId="21300" xr:uid="{00000000-0005-0000-0000-000025500000}"/>
    <cellStyle name="Normal 2 2 2 2 33 13" xfId="21301" xr:uid="{00000000-0005-0000-0000-000026500000}"/>
    <cellStyle name="Normal 2 2 2 2 33 2" xfId="21302" xr:uid="{00000000-0005-0000-0000-000027500000}"/>
    <cellStyle name="Normal 2 2 2 2 33 2 2" xfId="21303" xr:uid="{00000000-0005-0000-0000-000028500000}"/>
    <cellStyle name="Normal 2 2 2 2 33 2 3" xfId="21304" xr:uid="{00000000-0005-0000-0000-000029500000}"/>
    <cellStyle name="Normal 2 2 2 2 33 2 4" xfId="21305" xr:uid="{00000000-0005-0000-0000-00002A500000}"/>
    <cellStyle name="Normal 2 2 2 2 33 2 5" xfId="21306" xr:uid="{00000000-0005-0000-0000-00002B500000}"/>
    <cellStyle name="Normal 2 2 2 2 33 2 6" xfId="21307" xr:uid="{00000000-0005-0000-0000-00002C500000}"/>
    <cellStyle name="Normal 2 2 2 2 33 3" xfId="21308" xr:uid="{00000000-0005-0000-0000-00002D500000}"/>
    <cellStyle name="Normal 2 2 2 2 33 3 2" xfId="21309" xr:uid="{00000000-0005-0000-0000-00002E500000}"/>
    <cellStyle name="Normal 2 2 2 2 33 3 3" xfId="21310" xr:uid="{00000000-0005-0000-0000-00002F500000}"/>
    <cellStyle name="Normal 2 2 2 2 33 3 4" xfId="21311" xr:uid="{00000000-0005-0000-0000-000030500000}"/>
    <cellStyle name="Normal 2 2 2 2 33 3 5" xfId="21312" xr:uid="{00000000-0005-0000-0000-000031500000}"/>
    <cellStyle name="Normal 2 2 2 2 33 3 6" xfId="21313" xr:uid="{00000000-0005-0000-0000-000032500000}"/>
    <cellStyle name="Normal 2 2 2 2 33 4" xfId="21314" xr:uid="{00000000-0005-0000-0000-000033500000}"/>
    <cellStyle name="Normal 2 2 2 2 33 4 2" xfId="21315" xr:uid="{00000000-0005-0000-0000-000034500000}"/>
    <cellStyle name="Normal 2 2 2 2 33 4 3" xfId="21316" xr:uid="{00000000-0005-0000-0000-000035500000}"/>
    <cellStyle name="Normal 2 2 2 2 33 4 4" xfId="21317" xr:uid="{00000000-0005-0000-0000-000036500000}"/>
    <cellStyle name="Normal 2 2 2 2 33 4 5" xfId="21318" xr:uid="{00000000-0005-0000-0000-000037500000}"/>
    <cellStyle name="Normal 2 2 2 2 33 4 6" xfId="21319" xr:uid="{00000000-0005-0000-0000-000038500000}"/>
    <cellStyle name="Normal 2 2 2 2 33 5" xfId="21320" xr:uid="{00000000-0005-0000-0000-000039500000}"/>
    <cellStyle name="Normal 2 2 2 2 33 5 2" xfId="21321" xr:uid="{00000000-0005-0000-0000-00003A500000}"/>
    <cellStyle name="Normal 2 2 2 2 33 5 3" xfId="21322" xr:uid="{00000000-0005-0000-0000-00003B500000}"/>
    <cellStyle name="Normal 2 2 2 2 33 5 4" xfId="21323" xr:uid="{00000000-0005-0000-0000-00003C500000}"/>
    <cellStyle name="Normal 2 2 2 2 33 5 5" xfId="21324" xr:uid="{00000000-0005-0000-0000-00003D500000}"/>
    <cellStyle name="Normal 2 2 2 2 33 5 6" xfId="21325" xr:uid="{00000000-0005-0000-0000-00003E500000}"/>
    <cellStyle name="Normal 2 2 2 2 33 6" xfId="21326" xr:uid="{00000000-0005-0000-0000-00003F500000}"/>
    <cellStyle name="Normal 2 2 2 2 33 6 2" xfId="21327" xr:uid="{00000000-0005-0000-0000-000040500000}"/>
    <cellStyle name="Normal 2 2 2 2 33 6 3" xfId="21328" xr:uid="{00000000-0005-0000-0000-000041500000}"/>
    <cellStyle name="Normal 2 2 2 2 33 6 4" xfId="21329" xr:uid="{00000000-0005-0000-0000-000042500000}"/>
    <cellStyle name="Normal 2 2 2 2 33 6 5" xfId="21330" xr:uid="{00000000-0005-0000-0000-000043500000}"/>
    <cellStyle name="Normal 2 2 2 2 33 6 6" xfId="21331" xr:uid="{00000000-0005-0000-0000-000044500000}"/>
    <cellStyle name="Normal 2 2 2 2 33 7" xfId="21332" xr:uid="{00000000-0005-0000-0000-000045500000}"/>
    <cellStyle name="Normal 2 2 2 2 33 7 2" xfId="21333" xr:uid="{00000000-0005-0000-0000-000046500000}"/>
    <cellStyle name="Normal 2 2 2 2 33 7 3" xfId="21334" xr:uid="{00000000-0005-0000-0000-000047500000}"/>
    <cellStyle name="Normal 2 2 2 2 33 7 4" xfId="21335" xr:uid="{00000000-0005-0000-0000-000048500000}"/>
    <cellStyle name="Normal 2 2 2 2 33 7 5" xfId="21336" xr:uid="{00000000-0005-0000-0000-000049500000}"/>
    <cellStyle name="Normal 2 2 2 2 33 7 6" xfId="21337" xr:uid="{00000000-0005-0000-0000-00004A500000}"/>
    <cellStyle name="Normal 2 2 2 2 33 8" xfId="21338" xr:uid="{00000000-0005-0000-0000-00004B500000}"/>
    <cellStyle name="Normal 2 2 2 2 33 8 2" xfId="21339" xr:uid="{00000000-0005-0000-0000-00004C500000}"/>
    <cellStyle name="Normal 2 2 2 2 33 8 3" xfId="21340" xr:uid="{00000000-0005-0000-0000-00004D500000}"/>
    <cellStyle name="Normal 2 2 2 2 33 8 4" xfId="21341" xr:uid="{00000000-0005-0000-0000-00004E500000}"/>
    <cellStyle name="Normal 2 2 2 2 33 8 5" xfId="21342" xr:uid="{00000000-0005-0000-0000-00004F500000}"/>
    <cellStyle name="Normal 2 2 2 2 33 8 6" xfId="21343" xr:uid="{00000000-0005-0000-0000-000050500000}"/>
    <cellStyle name="Normal 2 2 2 2 33 9" xfId="21344" xr:uid="{00000000-0005-0000-0000-000051500000}"/>
    <cellStyle name="Normal 2 2 2 2 34" xfId="21345" xr:uid="{00000000-0005-0000-0000-000052500000}"/>
    <cellStyle name="Normal 2 2 2 2 34 10" xfId="21346" xr:uid="{00000000-0005-0000-0000-000053500000}"/>
    <cellStyle name="Normal 2 2 2 2 34 11" xfId="21347" xr:uid="{00000000-0005-0000-0000-000054500000}"/>
    <cellStyle name="Normal 2 2 2 2 34 12" xfId="21348" xr:uid="{00000000-0005-0000-0000-000055500000}"/>
    <cellStyle name="Normal 2 2 2 2 34 13" xfId="21349" xr:uid="{00000000-0005-0000-0000-000056500000}"/>
    <cellStyle name="Normal 2 2 2 2 34 2" xfId="21350" xr:uid="{00000000-0005-0000-0000-000057500000}"/>
    <cellStyle name="Normal 2 2 2 2 34 2 2" xfId="21351" xr:uid="{00000000-0005-0000-0000-000058500000}"/>
    <cellStyle name="Normal 2 2 2 2 34 2 3" xfId="21352" xr:uid="{00000000-0005-0000-0000-000059500000}"/>
    <cellStyle name="Normal 2 2 2 2 34 2 4" xfId="21353" xr:uid="{00000000-0005-0000-0000-00005A500000}"/>
    <cellStyle name="Normal 2 2 2 2 34 2 5" xfId="21354" xr:uid="{00000000-0005-0000-0000-00005B500000}"/>
    <cellStyle name="Normal 2 2 2 2 34 2 6" xfId="21355" xr:uid="{00000000-0005-0000-0000-00005C500000}"/>
    <cellStyle name="Normal 2 2 2 2 34 3" xfId="21356" xr:uid="{00000000-0005-0000-0000-00005D500000}"/>
    <cellStyle name="Normal 2 2 2 2 34 3 2" xfId="21357" xr:uid="{00000000-0005-0000-0000-00005E500000}"/>
    <cellStyle name="Normal 2 2 2 2 34 3 3" xfId="21358" xr:uid="{00000000-0005-0000-0000-00005F500000}"/>
    <cellStyle name="Normal 2 2 2 2 34 3 4" xfId="21359" xr:uid="{00000000-0005-0000-0000-000060500000}"/>
    <cellStyle name="Normal 2 2 2 2 34 3 5" xfId="21360" xr:uid="{00000000-0005-0000-0000-000061500000}"/>
    <cellStyle name="Normal 2 2 2 2 34 3 6" xfId="21361" xr:uid="{00000000-0005-0000-0000-000062500000}"/>
    <cellStyle name="Normal 2 2 2 2 34 4" xfId="21362" xr:uid="{00000000-0005-0000-0000-000063500000}"/>
    <cellStyle name="Normal 2 2 2 2 34 4 2" xfId="21363" xr:uid="{00000000-0005-0000-0000-000064500000}"/>
    <cellStyle name="Normal 2 2 2 2 34 4 3" xfId="21364" xr:uid="{00000000-0005-0000-0000-000065500000}"/>
    <cellStyle name="Normal 2 2 2 2 34 4 4" xfId="21365" xr:uid="{00000000-0005-0000-0000-000066500000}"/>
    <cellStyle name="Normal 2 2 2 2 34 4 5" xfId="21366" xr:uid="{00000000-0005-0000-0000-000067500000}"/>
    <cellStyle name="Normal 2 2 2 2 34 4 6" xfId="21367" xr:uid="{00000000-0005-0000-0000-000068500000}"/>
    <cellStyle name="Normal 2 2 2 2 34 5" xfId="21368" xr:uid="{00000000-0005-0000-0000-000069500000}"/>
    <cellStyle name="Normal 2 2 2 2 34 5 2" xfId="21369" xr:uid="{00000000-0005-0000-0000-00006A500000}"/>
    <cellStyle name="Normal 2 2 2 2 34 5 3" xfId="21370" xr:uid="{00000000-0005-0000-0000-00006B500000}"/>
    <cellStyle name="Normal 2 2 2 2 34 5 4" xfId="21371" xr:uid="{00000000-0005-0000-0000-00006C500000}"/>
    <cellStyle name="Normal 2 2 2 2 34 5 5" xfId="21372" xr:uid="{00000000-0005-0000-0000-00006D500000}"/>
    <cellStyle name="Normal 2 2 2 2 34 5 6" xfId="21373" xr:uid="{00000000-0005-0000-0000-00006E500000}"/>
    <cellStyle name="Normal 2 2 2 2 34 6" xfId="21374" xr:uid="{00000000-0005-0000-0000-00006F500000}"/>
    <cellStyle name="Normal 2 2 2 2 34 6 2" xfId="21375" xr:uid="{00000000-0005-0000-0000-000070500000}"/>
    <cellStyle name="Normal 2 2 2 2 34 6 3" xfId="21376" xr:uid="{00000000-0005-0000-0000-000071500000}"/>
    <cellStyle name="Normal 2 2 2 2 34 6 4" xfId="21377" xr:uid="{00000000-0005-0000-0000-000072500000}"/>
    <cellStyle name="Normal 2 2 2 2 34 6 5" xfId="21378" xr:uid="{00000000-0005-0000-0000-000073500000}"/>
    <cellStyle name="Normal 2 2 2 2 34 6 6" xfId="21379" xr:uid="{00000000-0005-0000-0000-000074500000}"/>
    <cellStyle name="Normal 2 2 2 2 34 7" xfId="21380" xr:uid="{00000000-0005-0000-0000-000075500000}"/>
    <cellStyle name="Normal 2 2 2 2 34 7 2" xfId="21381" xr:uid="{00000000-0005-0000-0000-000076500000}"/>
    <cellStyle name="Normal 2 2 2 2 34 7 3" xfId="21382" xr:uid="{00000000-0005-0000-0000-000077500000}"/>
    <cellStyle name="Normal 2 2 2 2 34 7 4" xfId="21383" xr:uid="{00000000-0005-0000-0000-000078500000}"/>
    <cellStyle name="Normal 2 2 2 2 34 7 5" xfId="21384" xr:uid="{00000000-0005-0000-0000-000079500000}"/>
    <cellStyle name="Normal 2 2 2 2 34 7 6" xfId="21385" xr:uid="{00000000-0005-0000-0000-00007A500000}"/>
    <cellStyle name="Normal 2 2 2 2 34 8" xfId="21386" xr:uid="{00000000-0005-0000-0000-00007B500000}"/>
    <cellStyle name="Normal 2 2 2 2 34 8 2" xfId="21387" xr:uid="{00000000-0005-0000-0000-00007C500000}"/>
    <cellStyle name="Normal 2 2 2 2 34 8 3" xfId="21388" xr:uid="{00000000-0005-0000-0000-00007D500000}"/>
    <cellStyle name="Normal 2 2 2 2 34 8 4" xfId="21389" xr:uid="{00000000-0005-0000-0000-00007E500000}"/>
    <cellStyle name="Normal 2 2 2 2 34 8 5" xfId="21390" xr:uid="{00000000-0005-0000-0000-00007F500000}"/>
    <cellStyle name="Normal 2 2 2 2 34 8 6" xfId="21391" xr:uid="{00000000-0005-0000-0000-000080500000}"/>
    <cellStyle name="Normal 2 2 2 2 34 9" xfId="21392" xr:uid="{00000000-0005-0000-0000-000081500000}"/>
    <cellStyle name="Normal 2 2 2 2 35" xfId="21393" xr:uid="{00000000-0005-0000-0000-000082500000}"/>
    <cellStyle name="Normal 2 2 2 2 35 10" xfId="21394" xr:uid="{00000000-0005-0000-0000-000083500000}"/>
    <cellStyle name="Normal 2 2 2 2 35 11" xfId="21395" xr:uid="{00000000-0005-0000-0000-000084500000}"/>
    <cellStyle name="Normal 2 2 2 2 35 12" xfId="21396" xr:uid="{00000000-0005-0000-0000-000085500000}"/>
    <cellStyle name="Normal 2 2 2 2 35 13" xfId="21397" xr:uid="{00000000-0005-0000-0000-000086500000}"/>
    <cellStyle name="Normal 2 2 2 2 35 2" xfId="21398" xr:uid="{00000000-0005-0000-0000-000087500000}"/>
    <cellStyle name="Normal 2 2 2 2 35 2 2" xfId="21399" xr:uid="{00000000-0005-0000-0000-000088500000}"/>
    <cellStyle name="Normal 2 2 2 2 35 2 3" xfId="21400" xr:uid="{00000000-0005-0000-0000-000089500000}"/>
    <cellStyle name="Normal 2 2 2 2 35 2 4" xfId="21401" xr:uid="{00000000-0005-0000-0000-00008A500000}"/>
    <cellStyle name="Normal 2 2 2 2 35 2 5" xfId="21402" xr:uid="{00000000-0005-0000-0000-00008B500000}"/>
    <cellStyle name="Normal 2 2 2 2 35 2 6" xfId="21403" xr:uid="{00000000-0005-0000-0000-00008C500000}"/>
    <cellStyle name="Normal 2 2 2 2 35 3" xfId="21404" xr:uid="{00000000-0005-0000-0000-00008D500000}"/>
    <cellStyle name="Normal 2 2 2 2 35 3 2" xfId="21405" xr:uid="{00000000-0005-0000-0000-00008E500000}"/>
    <cellStyle name="Normal 2 2 2 2 35 3 3" xfId="21406" xr:uid="{00000000-0005-0000-0000-00008F500000}"/>
    <cellStyle name="Normal 2 2 2 2 35 3 4" xfId="21407" xr:uid="{00000000-0005-0000-0000-000090500000}"/>
    <cellStyle name="Normal 2 2 2 2 35 3 5" xfId="21408" xr:uid="{00000000-0005-0000-0000-000091500000}"/>
    <cellStyle name="Normal 2 2 2 2 35 3 6" xfId="21409" xr:uid="{00000000-0005-0000-0000-000092500000}"/>
    <cellStyle name="Normal 2 2 2 2 35 4" xfId="21410" xr:uid="{00000000-0005-0000-0000-000093500000}"/>
    <cellStyle name="Normal 2 2 2 2 35 4 2" xfId="21411" xr:uid="{00000000-0005-0000-0000-000094500000}"/>
    <cellStyle name="Normal 2 2 2 2 35 4 3" xfId="21412" xr:uid="{00000000-0005-0000-0000-000095500000}"/>
    <cellStyle name="Normal 2 2 2 2 35 4 4" xfId="21413" xr:uid="{00000000-0005-0000-0000-000096500000}"/>
    <cellStyle name="Normal 2 2 2 2 35 4 5" xfId="21414" xr:uid="{00000000-0005-0000-0000-000097500000}"/>
    <cellStyle name="Normal 2 2 2 2 35 4 6" xfId="21415" xr:uid="{00000000-0005-0000-0000-000098500000}"/>
    <cellStyle name="Normal 2 2 2 2 35 5" xfId="21416" xr:uid="{00000000-0005-0000-0000-000099500000}"/>
    <cellStyle name="Normal 2 2 2 2 35 5 2" xfId="21417" xr:uid="{00000000-0005-0000-0000-00009A500000}"/>
    <cellStyle name="Normal 2 2 2 2 35 5 3" xfId="21418" xr:uid="{00000000-0005-0000-0000-00009B500000}"/>
    <cellStyle name="Normal 2 2 2 2 35 5 4" xfId="21419" xr:uid="{00000000-0005-0000-0000-00009C500000}"/>
    <cellStyle name="Normal 2 2 2 2 35 5 5" xfId="21420" xr:uid="{00000000-0005-0000-0000-00009D500000}"/>
    <cellStyle name="Normal 2 2 2 2 35 5 6" xfId="21421" xr:uid="{00000000-0005-0000-0000-00009E500000}"/>
    <cellStyle name="Normal 2 2 2 2 35 6" xfId="21422" xr:uid="{00000000-0005-0000-0000-00009F500000}"/>
    <cellStyle name="Normal 2 2 2 2 35 6 2" xfId="21423" xr:uid="{00000000-0005-0000-0000-0000A0500000}"/>
    <cellStyle name="Normal 2 2 2 2 35 6 3" xfId="21424" xr:uid="{00000000-0005-0000-0000-0000A1500000}"/>
    <cellStyle name="Normal 2 2 2 2 35 6 4" xfId="21425" xr:uid="{00000000-0005-0000-0000-0000A2500000}"/>
    <cellStyle name="Normal 2 2 2 2 35 6 5" xfId="21426" xr:uid="{00000000-0005-0000-0000-0000A3500000}"/>
    <cellStyle name="Normal 2 2 2 2 35 6 6" xfId="21427" xr:uid="{00000000-0005-0000-0000-0000A4500000}"/>
    <cellStyle name="Normal 2 2 2 2 35 7" xfId="21428" xr:uid="{00000000-0005-0000-0000-0000A5500000}"/>
    <cellStyle name="Normal 2 2 2 2 35 7 2" xfId="21429" xr:uid="{00000000-0005-0000-0000-0000A6500000}"/>
    <cellStyle name="Normal 2 2 2 2 35 7 3" xfId="21430" xr:uid="{00000000-0005-0000-0000-0000A7500000}"/>
    <cellStyle name="Normal 2 2 2 2 35 7 4" xfId="21431" xr:uid="{00000000-0005-0000-0000-0000A8500000}"/>
    <cellStyle name="Normal 2 2 2 2 35 7 5" xfId="21432" xr:uid="{00000000-0005-0000-0000-0000A9500000}"/>
    <cellStyle name="Normal 2 2 2 2 35 7 6" xfId="21433" xr:uid="{00000000-0005-0000-0000-0000AA500000}"/>
    <cellStyle name="Normal 2 2 2 2 35 8" xfId="21434" xr:uid="{00000000-0005-0000-0000-0000AB500000}"/>
    <cellStyle name="Normal 2 2 2 2 35 8 2" xfId="21435" xr:uid="{00000000-0005-0000-0000-0000AC500000}"/>
    <cellStyle name="Normal 2 2 2 2 35 8 3" xfId="21436" xr:uid="{00000000-0005-0000-0000-0000AD500000}"/>
    <cellStyle name="Normal 2 2 2 2 35 8 4" xfId="21437" xr:uid="{00000000-0005-0000-0000-0000AE500000}"/>
    <cellStyle name="Normal 2 2 2 2 35 8 5" xfId="21438" xr:uid="{00000000-0005-0000-0000-0000AF500000}"/>
    <cellStyle name="Normal 2 2 2 2 35 8 6" xfId="21439" xr:uid="{00000000-0005-0000-0000-0000B0500000}"/>
    <cellStyle name="Normal 2 2 2 2 35 9" xfId="21440" xr:uid="{00000000-0005-0000-0000-0000B1500000}"/>
    <cellStyle name="Normal 2 2 2 2 36" xfId="21441" xr:uid="{00000000-0005-0000-0000-0000B2500000}"/>
    <cellStyle name="Normal 2 2 2 2 36 10" xfId="21442" xr:uid="{00000000-0005-0000-0000-0000B3500000}"/>
    <cellStyle name="Normal 2 2 2 2 36 11" xfId="21443" xr:uid="{00000000-0005-0000-0000-0000B4500000}"/>
    <cellStyle name="Normal 2 2 2 2 36 12" xfId="21444" xr:uid="{00000000-0005-0000-0000-0000B5500000}"/>
    <cellStyle name="Normal 2 2 2 2 36 13" xfId="21445" xr:uid="{00000000-0005-0000-0000-0000B6500000}"/>
    <cellStyle name="Normal 2 2 2 2 36 2" xfId="21446" xr:uid="{00000000-0005-0000-0000-0000B7500000}"/>
    <cellStyle name="Normal 2 2 2 2 36 2 2" xfId="21447" xr:uid="{00000000-0005-0000-0000-0000B8500000}"/>
    <cellStyle name="Normal 2 2 2 2 36 2 3" xfId="21448" xr:uid="{00000000-0005-0000-0000-0000B9500000}"/>
    <cellStyle name="Normal 2 2 2 2 36 2 4" xfId="21449" xr:uid="{00000000-0005-0000-0000-0000BA500000}"/>
    <cellStyle name="Normal 2 2 2 2 36 2 5" xfId="21450" xr:uid="{00000000-0005-0000-0000-0000BB500000}"/>
    <cellStyle name="Normal 2 2 2 2 36 2 6" xfId="21451" xr:uid="{00000000-0005-0000-0000-0000BC500000}"/>
    <cellStyle name="Normal 2 2 2 2 36 3" xfId="21452" xr:uid="{00000000-0005-0000-0000-0000BD500000}"/>
    <cellStyle name="Normal 2 2 2 2 36 3 2" xfId="21453" xr:uid="{00000000-0005-0000-0000-0000BE500000}"/>
    <cellStyle name="Normal 2 2 2 2 36 3 3" xfId="21454" xr:uid="{00000000-0005-0000-0000-0000BF500000}"/>
    <cellStyle name="Normal 2 2 2 2 36 3 4" xfId="21455" xr:uid="{00000000-0005-0000-0000-0000C0500000}"/>
    <cellStyle name="Normal 2 2 2 2 36 3 5" xfId="21456" xr:uid="{00000000-0005-0000-0000-0000C1500000}"/>
    <cellStyle name="Normal 2 2 2 2 36 3 6" xfId="21457" xr:uid="{00000000-0005-0000-0000-0000C2500000}"/>
    <cellStyle name="Normal 2 2 2 2 36 4" xfId="21458" xr:uid="{00000000-0005-0000-0000-0000C3500000}"/>
    <cellStyle name="Normal 2 2 2 2 36 4 2" xfId="21459" xr:uid="{00000000-0005-0000-0000-0000C4500000}"/>
    <cellStyle name="Normal 2 2 2 2 36 4 3" xfId="21460" xr:uid="{00000000-0005-0000-0000-0000C5500000}"/>
    <cellStyle name="Normal 2 2 2 2 36 4 4" xfId="21461" xr:uid="{00000000-0005-0000-0000-0000C6500000}"/>
    <cellStyle name="Normal 2 2 2 2 36 4 5" xfId="21462" xr:uid="{00000000-0005-0000-0000-0000C7500000}"/>
    <cellStyle name="Normal 2 2 2 2 36 4 6" xfId="21463" xr:uid="{00000000-0005-0000-0000-0000C8500000}"/>
    <cellStyle name="Normal 2 2 2 2 36 5" xfId="21464" xr:uid="{00000000-0005-0000-0000-0000C9500000}"/>
    <cellStyle name="Normal 2 2 2 2 36 5 2" xfId="21465" xr:uid="{00000000-0005-0000-0000-0000CA500000}"/>
    <cellStyle name="Normal 2 2 2 2 36 5 3" xfId="21466" xr:uid="{00000000-0005-0000-0000-0000CB500000}"/>
    <cellStyle name="Normal 2 2 2 2 36 5 4" xfId="21467" xr:uid="{00000000-0005-0000-0000-0000CC500000}"/>
    <cellStyle name="Normal 2 2 2 2 36 5 5" xfId="21468" xr:uid="{00000000-0005-0000-0000-0000CD500000}"/>
    <cellStyle name="Normal 2 2 2 2 36 5 6" xfId="21469" xr:uid="{00000000-0005-0000-0000-0000CE500000}"/>
    <cellStyle name="Normal 2 2 2 2 36 6" xfId="21470" xr:uid="{00000000-0005-0000-0000-0000CF500000}"/>
    <cellStyle name="Normal 2 2 2 2 36 6 2" xfId="21471" xr:uid="{00000000-0005-0000-0000-0000D0500000}"/>
    <cellStyle name="Normal 2 2 2 2 36 6 3" xfId="21472" xr:uid="{00000000-0005-0000-0000-0000D1500000}"/>
    <cellStyle name="Normal 2 2 2 2 36 6 4" xfId="21473" xr:uid="{00000000-0005-0000-0000-0000D2500000}"/>
    <cellStyle name="Normal 2 2 2 2 36 6 5" xfId="21474" xr:uid="{00000000-0005-0000-0000-0000D3500000}"/>
    <cellStyle name="Normal 2 2 2 2 36 6 6" xfId="21475" xr:uid="{00000000-0005-0000-0000-0000D4500000}"/>
    <cellStyle name="Normal 2 2 2 2 36 7" xfId="21476" xr:uid="{00000000-0005-0000-0000-0000D5500000}"/>
    <cellStyle name="Normal 2 2 2 2 36 7 2" xfId="21477" xr:uid="{00000000-0005-0000-0000-0000D6500000}"/>
    <cellStyle name="Normal 2 2 2 2 36 7 3" xfId="21478" xr:uid="{00000000-0005-0000-0000-0000D7500000}"/>
    <cellStyle name="Normal 2 2 2 2 36 7 4" xfId="21479" xr:uid="{00000000-0005-0000-0000-0000D8500000}"/>
    <cellStyle name="Normal 2 2 2 2 36 7 5" xfId="21480" xr:uid="{00000000-0005-0000-0000-0000D9500000}"/>
    <cellStyle name="Normal 2 2 2 2 36 7 6" xfId="21481" xr:uid="{00000000-0005-0000-0000-0000DA500000}"/>
    <cellStyle name="Normal 2 2 2 2 36 8" xfId="21482" xr:uid="{00000000-0005-0000-0000-0000DB500000}"/>
    <cellStyle name="Normal 2 2 2 2 36 8 2" xfId="21483" xr:uid="{00000000-0005-0000-0000-0000DC500000}"/>
    <cellStyle name="Normal 2 2 2 2 36 8 3" xfId="21484" xr:uid="{00000000-0005-0000-0000-0000DD500000}"/>
    <cellStyle name="Normal 2 2 2 2 36 8 4" xfId="21485" xr:uid="{00000000-0005-0000-0000-0000DE500000}"/>
    <cellStyle name="Normal 2 2 2 2 36 8 5" xfId="21486" xr:uid="{00000000-0005-0000-0000-0000DF500000}"/>
    <cellStyle name="Normal 2 2 2 2 36 8 6" xfId="21487" xr:uid="{00000000-0005-0000-0000-0000E0500000}"/>
    <cellStyle name="Normal 2 2 2 2 36 9" xfId="21488" xr:uid="{00000000-0005-0000-0000-0000E1500000}"/>
    <cellStyle name="Normal 2 2 2 2 37" xfId="21489" xr:uid="{00000000-0005-0000-0000-0000E2500000}"/>
    <cellStyle name="Normal 2 2 2 2 37 10" xfId="21490" xr:uid="{00000000-0005-0000-0000-0000E3500000}"/>
    <cellStyle name="Normal 2 2 2 2 37 11" xfId="21491" xr:uid="{00000000-0005-0000-0000-0000E4500000}"/>
    <cellStyle name="Normal 2 2 2 2 37 2" xfId="21492" xr:uid="{00000000-0005-0000-0000-0000E5500000}"/>
    <cellStyle name="Normal 2 2 2 2 37 3" xfId="21493" xr:uid="{00000000-0005-0000-0000-0000E6500000}"/>
    <cellStyle name="Normal 2 2 2 2 37 4" xfId="21494" xr:uid="{00000000-0005-0000-0000-0000E7500000}"/>
    <cellStyle name="Normal 2 2 2 2 37 5" xfId="21495" xr:uid="{00000000-0005-0000-0000-0000E8500000}"/>
    <cellStyle name="Normal 2 2 2 2 37 6" xfId="21496" xr:uid="{00000000-0005-0000-0000-0000E9500000}"/>
    <cellStyle name="Normal 2 2 2 2 37 7" xfId="21497" xr:uid="{00000000-0005-0000-0000-0000EA500000}"/>
    <cellStyle name="Normal 2 2 2 2 37 8" xfId="21498" xr:uid="{00000000-0005-0000-0000-0000EB500000}"/>
    <cellStyle name="Normal 2 2 2 2 37 9" xfId="21499" xr:uid="{00000000-0005-0000-0000-0000EC500000}"/>
    <cellStyle name="Normal 2 2 2 2 38" xfId="21500" xr:uid="{00000000-0005-0000-0000-0000ED500000}"/>
    <cellStyle name="Normal 2 2 2 2 39" xfId="21501" xr:uid="{00000000-0005-0000-0000-0000EE500000}"/>
    <cellStyle name="Normal 2 2 2 2 4" xfId="21502" xr:uid="{00000000-0005-0000-0000-0000EF500000}"/>
    <cellStyle name="Normal 2 2 2 2 4 10" xfId="21503" xr:uid="{00000000-0005-0000-0000-0000F0500000}"/>
    <cellStyle name="Normal 2 2 2 2 4 11" xfId="21504" xr:uid="{00000000-0005-0000-0000-0000F1500000}"/>
    <cellStyle name="Normal 2 2 2 2 4 12" xfId="21505" xr:uid="{00000000-0005-0000-0000-0000F2500000}"/>
    <cellStyle name="Normal 2 2 2 2 4 13" xfId="21506" xr:uid="{00000000-0005-0000-0000-0000F3500000}"/>
    <cellStyle name="Normal 2 2 2 2 4 14" xfId="21507" xr:uid="{00000000-0005-0000-0000-0000F4500000}"/>
    <cellStyle name="Normal 2 2 2 2 4 2" xfId="21508" xr:uid="{00000000-0005-0000-0000-0000F5500000}"/>
    <cellStyle name="Normal 2 2 2 2 4 2 2" xfId="21509" xr:uid="{00000000-0005-0000-0000-0000F6500000}"/>
    <cellStyle name="Normal 2 2 2 2 4 2 3" xfId="21510" xr:uid="{00000000-0005-0000-0000-0000F7500000}"/>
    <cellStyle name="Normal 2 2 2 2 4 2 4" xfId="21511" xr:uid="{00000000-0005-0000-0000-0000F8500000}"/>
    <cellStyle name="Normal 2 2 2 2 4 2 5" xfId="21512" xr:uid="{00000000-0005-0000-0000-0000F9500000}"/>
    <cellStyle name="Normal 2 2 2 2 4 2 6" xfId="21513" xr:uid="{00000000-0005-0000-0000-0000FA500000}"/>
    <cellStyle name="Normal 2 2 2 2 4 3" xfId="21514" xr:uid="{00000000-0005-0000-0000-0000FB500000}"/>
    <cellStyle name="Normal 2 2 2 2 4 3 2" xfId="21515" xr:uid="{00000000-0005-0000-0000-0000FC500000}"/>
    <cellStyle name="Normal 2 2 2 2 4 3 3" xfId="21516" xr:uid="{00000000-0005-0000-0000-0000FD500000}"/>
    <cellStyle name="Normal 2 2 2 2 4 3 4" xfId="21517" xr:uid="{00000000-0005-0000-0000-0000FE500000}"/>
    <cellStyle name="Normal 2 2 2 2 4 3 5" xfId="21518" xr:uid="{00000000-0005-0000-0000-0000FF500000}"/>
    <cellStyle name="Normal 2 2 2 2 4 3 6" xfId="21519" xr:uid="{00000000-0005-0000-0000-000000510000}"/>
    <cellStyle name="Normal 2 2 2 2 4 4" xfId="21520" xr:uid="{00000000-0005-0000-0000-000001510000}"/>
    <cellStyle name="Normal 2 2 2 2 4 4 2" xfId="21521" xr:uid="{00000000-0005-0000-0000-000002510000}"/>
    <cellStyle name="Normal 2 2 2 2 4 4 3" xfId="21522" xr:uid="{00000000-0005-0000-0000-000003510000}"/>
    <cellStyle name="Normal 2 2 2 2 4 4 4" xfId="21523" xr:uid="{00000000-0005-0000-0000-000004510000}"/>
    <cellStyle name="Normal 2 2 2 2 4 4 5" xfId="21524" xr:uid="{00000000-0005-0000-0000-000005510000}"/>
    <cellStyle name="Normal 2 2 2 2 4 4 6" xfId="21525" xr:uid="{00000000-0005-0000-0000-000006510000}"/>
    <cellStyle name="Normal 2 2 2 2 4 5" xfId="21526" xr:uid="{00000000-0005-0000-0000-000007510000}"/>
    <cellStyle name="Normal 2 2 2 2 4 5 2" xfId="21527" xr:uid="{00000000-0005-0000-0000-000008510000}"/>
    <cellStyle name="Normal 2 2 2 2 4 5 3" xfId="21528" xr:uid="{00000000-0005-0000-0000-000009510000}"/>
    <cellStyle name="Normal 2 2 2 2 4 5 4" xfId="21529" xr:uid="{00000000-0005-0000-0000-00000A510000}"/>
    <cellStyle name="Normal 2 2 2 2 4 5 5" xfId="21530" xr:uid="{00000000-0005-0000-0000-00000B510000}"/>
    <cellStyle name="Normal 2 2 2 2 4 5 6" xfId="21531" xr:uid="{00000000-0005-0000-0000-00000C510000}"/>
    <cellStyle name="Normal 2 2 2 2 4 6" xfId="21532" xr:uid="{00000000-0005-0000-0000-00000D510000}"/>
    <cellStyle name="Normal 2 2 2 2 4 6 2" xfId="21533" xr:uid="{00000000-0005-0000-0000-00000E510000}"/>
    <cellStyle name="Normal 2 2 2 2 4 6 3" xfId="21534" xr:uid="{00000000-0005-0000-0000-00000F510000}"/>
    <cellStyle name="Normal 2 2 2 2 4 6 4" xfId="21535" xr:uid="{00000000-0005-0000-0000-000010510000}"/>
    <cellStyle name="Normal 2 2 2 2 4 6 5" xfId="21536" xr:uid="{00000000-0005-0000-0000-000011510000}"/>
    <cellStyle name="Normal 2 2 2 2 4 6 6" xfId="21537" xr:uid="{00000000-0005-0000-0000-000012510000}"/>
    <cellStyle name="Normal 2 2 2 2 4 7" xfId="21538" xr:uid="{00000000-0005-0000-0000-000013510000}"/>
    <cellStyle name="Normal 2 2 2 2 4 7 2" xfId="21539" xr:uid="{00000000-0005-0000-0000-000014510000}"/>
    <cellStyle name="Normal 2 2 2 2 4 7 3" xfId="21540" xr:uid="{00000000-0005-0000-0000-000015510000}"/>
    <cellStyle name="Normal 2 2 2 2 4 7 4" xfId="21541" xr:uid="{00000000-0005-0000-0000-000016510000}"/>
    <cellStyle name="Normal 2 2 2 2 4 7 5" xfId="21542" xr:uid="{00000000-0005-0000-0000-000017510000}"/>
    <cellStyle name="Normal 2 2 2 2 4 7 6" xfId="21543" xr:uid="{00000000-0005-0000-0000-000018510000}"/>
    <cellStyle name="Normal 2 2 2 2 4 8" xfId="21544" xr:uid="{00000000-0005-0000-0000-000019510000}"/>
    <cellStyle name="Normal 2 2 2 2 4 8 2" xfId="21545" xr:uid="{00000000-0005-0000-0000-00001A510000}"/>
    <cellStyle name="Normal 2 2 2 2 4 8 3" xfId="21546" xr:uid="{00000000-0005-0000-0000-00001B510000}"/>
    <cellStyle name="Normal 2 2 2 2 4 8 4" xfId="21547" xr:uid="{00000000-0005-0000-0000-00001C510000}"/>
    <cellStyle name="Normal 2 2 2 2 4 8 5" xfId="21548" xr:uid="{00000000-0005-0000-0000-00001D510000}"/>
    <cellStyle name="Normal 2 2 2 2 4 8 6" xfId="21549" xr:uid="{00000000-0005-0000-0000-00001E510000}"/>
    <cellStyle name="Normal 2 2 2 2 4 9" xfId="21550" xr:uid="{00000000-0005-0000-0000-00001F510000}"/>
    <cellStyle name="Normal 2 2 2 2 40" xfId="21551" xr:uid="{00000000-0005-0000-0000-000020510000}"/>
    <cellStyle name="Normal 2 2 2 2 41" xfId="21552" xr:uid="{00000000-0005-0000-0000-000021510000}"/>
    <cellStyle name="Normal 2 2 2 2 42" xfId="21553" xr:uid="{00000000-0005-0000-0000-000022510000}"/>
    <cellStyle name="Normal 2 2 2 2 43" xfId="21554" xr:uid="{00000000-0005-0000-0000-000023510000}"/>
    <cellStyle name="Normal 2 2 2 2 44" xfId="21555" xr:uid="{00000000-0005-0000-0000-000024510000}"/>
    <cellStyle name="Normal 2 2 2 2 45" xfId="21556" xr:uid="{00000000-0005-0000-0000-000025510000}"/>
    <cellStyle name="Normal 2 2 2 2 46" xfId="21557" xr:uid="{00000000-0005-0000-0000-000026510000}"/>
    <cellStyle name="Normal 2 2 2 2 47" xfId="21558" xr:uid="{00000000-0005-0000-0000-000027510000}"/>
    <cellStyle name="Normal 2 2 2 2 48" xfId="21559" xr:uid="{00000000-0005-0000-0000-000028510000}"/>
    <cellStyle name="Normal 2 2 2 2 49" xfId="21560" xr:uid="{00000000-0005-0000-0000-000029510000}"/>
    <cellStyle name="Normal 2 2 2 2 5" xfId="21561" xr:uid="{00000000-0005-0000-0000-00002A510000}"/>
    <cellStyle name="Normal 2 2 2 2 5 10" xfId="21562" xr:uid="{00000000-0005-0000-0000-00002B510000}"/>
    <cellStyle name="Normal 2 2 2 2 5 11" xfId="21563" xr:uid="{00000000-0005-0000-0000-00002C510000}"/>
    <cellStyle name="Normal 2 2 2 2 5 12" xfId="21564" xr:uid="{00000000-0005-0000-0000-00002D510000}"/>
    <cellStyle name="Normal 2 2 2 2 5 13" xfId="21565" xr:uid="{00000000-0005-0000-0000-00002E510000}"/>
    <cellStyle name="Normal 2 2 2 2 5 2" xfId="21566" xr:uid="{00000000-0005-0000-0000-00002F510000}"/>
    <cellStyle name="Normal 2 2 2 2 5 2 2" xfId="21567" xr:uid="{00000000-0005-0000-0000-000030510000}"/>
    <cellStyle name="Normal 2 2 2 2 5 2 3" xfId="21568" xr:uid="{00000000-0005-0000-0000-000031510000}"/>
    <cellStyle name="Normal 2 2 2 2 5 2 4" xfId="21569" xr:uid="{00000000-0005-0000-0000-000032510000}"/>
    <cellStyle name="Normal 2 2 2 2 5 2 5" xfId="21570" xr:uid="{00000000-0005-0000-0000-000033510000}"/>
    <cellStyle name="Normal 2 2 2 2 5 2 6" xfId="21571" xr:uid="{00000000-0005-0000-0000-000034510000}"/>
    <cellStyle name="Normal 2 2 2 2 5 3" xfId="21572" xr:uid="{00000000-0005-0000-0000-000035510000}"/>
    <cellStyle name="Normal 2 2 2 2 5 3 2" xfId="21573" xr:uid="{00000000-0005-0000-0000-000036510000}"/>
    <cellStyle name="Normal 2 2 2 2 5 3 3" xfId="21574" xr:uid="{00000000-0005-0000-0000-000037510000}"/>
    <cellStyle name="Normal 2 2 2 2 5 3 4" xfId="21575" xr:uid="{00000000-0005-0000-0000-000038510000}"/>
    <cellStyle name="Normal 2 2 2 2 5 3 5" xfId="21576" xr:uid="{00000000-0005-0000-0000-000039510000}"/>
    <cellStyle name="Normal 2 2 2 2 5 3 6" xfId="21577" xr:uid="{00000000-0005-0000-0000-00003A510000}"/>
    <cellStyle name="Normal 2 2 2 2 5 4" xfId="21578" xr:uid="{00000000-0005-0000-0000-00003B510000}"/>
    <cellStyle name="Normal 2 2 2 2 5 4 2" xfId="21579" xr:uid="{00000000-0005-0000-0000-00003C510000}"/>
    <cellStyle name="Normal 2 2 2 2 5 4 3" xfId="21580" xr:uid="{00000000-0005-0000-0000-00003D510000}"/>
    <cellStyle name="Normal 2 2 2 2 5 4 4" xfId="21581" xr:uid="{00000000-0005-0000-0000-00003E510000}"/>
    <cellStyle name="Normal 2 2 2 2 5 4 5" xfId="21582" xr:uid="{00000000-0005-0000-0000-00003F510000}"/>
    <cellStyle name="Normal 2 2 2 2 5 4 6" xfId="21583" xr:uid="{00000000-0005-0000-0000-000040510000}"/>
    <cellStyle name="Normal 2 2 2 2 5 5" xfId="21584" xr:uid="{00000000-0005-0000-0000-000041510000}"/>
    <cellStyle name="Normal 2 2 2 2 5 5 2" xfId="21585" xr:uid="{00000000-0005-0000-0000-000042510000}"/>
    <cellStyle name="Normal 2 2 2 2 5 5 3" xfId="21586" xr:uid="{00000000-0005-0000-0000-000043510000}"/>
    <cellStyle name="Normal 2 2 2 2 5 5 4" xfId="21587" xr:uid="{00000000-0005-0000-0000-000044510000}"/>
    <cellStyle name="Normal 2 2 2 2 5 5 5" xfId="21588" xr:uid="{00000000-0005-0000-0000-000045510000}"/>
    <cellStyle name="Normal 2 2 2 2 5 5 6" xfId="21589" xr:uid="{00000000-0005-0000-0000-000046510000}"/>
    <cellStyle name="Normal 2 2 2 2 5 6" xfId="21590" xr:uid="{00000000-0005-0000-0000-000047510000}"/>
    <cellStyle name="Normal 2 2 2 2 5 6 2" xfId="21591" xr:uid="{00000000-0005-0000-0000-000048510000}"/>
    <cellStyle name="Normal 2 2 2 2 5 6 3" xfId="21592" xr:uid="{00000000-0005-0000-0000-000049510000}"/>
    <cellStyle name="Normal 2 2 2 2 5 6 4" xfId="21593" xr:uid="{00000000-0005-0000-0000-00004A510000}"/>
    <cellStyle name="Normal 2 2 2 2 5 6 5" xfId="21594" xr:uid="{00000000-0005-0000-0000-00004B510000}"/>
    <cellStyle name="Normal 2 2 2 2 5 6 6" xfId="21595" xr:uid="{00000000-0005-0000-0000-00004C510000}"/>
    <cellStyle name="Normal 2 2 2 2 5 7" xfId="21596" xr:uid="{00000000-0005-0000-0000-00004D510000}"/>
    <cellStyle name="Normal 2 2 2 2 5 7 2" xfId="21597" xr:uid="{00000000-0005-0000-0000-00004E510000}"/>
    <cellStyle name="Normal 2 2 2 2 5 7 3" xfId="21598" xr:uid="{00000000-0005-0000-0000-00004F510000}"/>
    <cellStyle name="Normal 2 2 2 2 5 7 4" xfId="21599" xr:uid="{00000000-0005-0000-0000-000050510000}"/>
    <cellStyle name="Normal 2 2 2 2 5 7 5" xfId="21600" xr:uid="{00000000-0005-0000-0000-000051510000}"/>
    <cellStyle name="Normal 2 2 2 2 5 7 6" xfId="21601" xr:uid="{00000000-0005-0000-0000-000052510000}"/>
    <cellStyle name="Normal 2 2 2 2 5 8" xfId="21602" xr:uid="{00000000-0005-0000-0000-000053510000}"/>
    <cellStyle name="Normal 2 2 2 2 5 8 2" xfId="21603" xr:uid="{00000000-0005-0000-0000-000054510000}"/>
    <cellStyle name="Normal 2 2 2 2 5 8 3" xfId="21604" xr:uid="{00000000-0005-0000-0000-000055510000}"/>
    <cellStyle name="Normal 2 2 2 2 5 8 4" xfId="21605" xr:uid="{00000000-0005-0000-0000-000056510000}"/>
    <cellStyle name="Normal 2 2 2 2 5 8 5" xfId="21606" xr:uid="{00000000-0005-0000-0000-000057510000}"/>
    <cellStyle name="Normal 2 2 2 2 5 8 6" xfId="21607" xr:uid="{00000000-0005-0000-0000-000058510000}"/>
    <cellStyle name="Normal 2 2 2 2 5 9" xfId="21608" xr:uid="{00000000-0005-0000-0000-000059510000}"/>
    <cellStyle name="Normal 2 2 2 2 50" xfId="21609" xr:uid="{00000000-0005-0000-0000-00005A510000}"/>
    <cellStyle name="Normal 2 2 2 2 51" xfId="21610" xr:uid="{00000000-0005-0000-0000-00005B510000}"/>
    <cellStyle name="Normal 2 2 2 2 52" xfId="21611" xr:uid="{00000000-0005-0000-0000-00005C510000}"/>
    <cellStyle name="Normal 2 2 2 2 52 2" xfId="21612" xr:uid="{00000000-0005-0000-0000-00005D510000}"/>
    <cellStyle name="Normal 2 2 2 2 52 3" xfId="21613" xr:uid="{00000000-0005-0000-0000-00005E510000}"/>
    <cellStyle name="Normal 2 2 2 2 52 4" xfId="21614" xr:uid="{00000000-0005-0000-0000-00005F510000}"/>
    <cellStyle name="Normal 2 2 2 2 52 5" xfId="21615" xr:uid="{00000000-0005-0000-0000-000060510000}"/>
    <cellStyle name="Normal 2 2 2 2 52 6" xfId="21616" xr:uid="{00000000-0005-0000-0000-000061510000}"/>
    <cellStyle name="Normal 2 2 2 2 53" xfId="21617" xr:uid="{00000000-0005-0000-0000-000062510000}"/>
    <cellStyle name="Normal 2 2 2 2 53 2" xfId="21618" xr:uid="{00000000-0005-0000-0000-000063510000}"/>
    <cellStyle name="Normal 2 2 2 2 53 3" xfId="21619" xr:uid="{00000000-0005-0000-0000-000064510000}"/>
    <cellStyle name="Normal 2 2 2 2 53 4" xfId="21620" xr:uid="{00000000-0005-0000-0000-000065510000}"/>
    <cellStyle name="Normal 2 2 2 2 53 5" xfId="21621" xr:uid="{00000000-0005-0000-0000-000066510000}"/>
    <cellStyle name="Normal 2 2 2 2 53 6" xfId="21622" xr:uid="{00000000-0005-0000-0000-000067510000}"/>
    <cellStyle name="Normal 2 2 2 2 54" xfId="21623" xr:uid="{00000000-0005-0000-0000-000068510000}"/>
    <cellStyle name="Normal 2 2 2 2 54 2" xfId="21624" xr:uid="{00000000-0005-0000-0000-000069510000}"/>
    <cellStyle name="Normal 2 2 2 2 54 3" xfId="21625" xr:uid="{00000000-0005-0000-0000-00006A510000}"/>
    <cellStyle name="Normal 2 2 2 2 54 4" xfId="21626" xr:uid="{00000000-0005-0000-0000-00006B510000}"/>
    <cellStyle name="Normal 2 2 2 2 54 5" xfId="21627" xr:uid="{00000000-0005-0000-0000-00006C510000}"/>
    <cellStyle name="Normal 2 2 2 2 54 6" xfId="21628" xr:uid="{00000000-0005-0000-0000-00006D510000}"/>
    <cellStyle name="Normal 2 2 2 2 55" xfId="21629" xr:uid="{00000000-0005-0000-0000-00006E510000}"/>
    <cellStyle name="Normal 2 2 2 2 55 2" xfId="21630" xr:uid="{00000000-0005-0000-0000-00006F510000}"/>
    <cellStyle name="Normal 2 2 2 2 55 3" xfId="21631" xr:uid="{00000000-0005-0000-0000-000070510000}"/>
    <cellStyle name="Normal 2 2 2 2 55 4" xfId="21632" xr:uid="{00000000-0005-0000-0000-000071510000}"/>
    <cellStyle name="Normal 2 2 2 2 55 5" xfId="21633" xr:uid="{00000000-0005-0000-0000-000072510000}"/>
    <cellStyle name="Normal 2 2 2 2 55 6" xfId="21634" xr:uid="{00000000-0005-0000-0000-000073510000}"/>
    <cellStyle name="Normal 2 2 2 2 56" xfId="21635" xr:uid="{00000000-0005-0000-0000-000074510000}"/>
    <cellStyle name="Normal 2 2 2 2 56 2" xfId="21636" xr:uid="{00000000-0005-0000-0000-000075510000}"/>
    <cellStyle name="Normal 2 2 2 2 56 2 2" xfId="21637" xr:uid="{00000000-0005-0000-0000-000076510000}"/>
    <cellStyle name="Normal 2 2 2 2 56 2 2 2" xfId="21638" xr:uid="{00000000-0005-0000-0000-000077510000}"/>
    <cellStyle name="Normal 2 2 2 2 56 2 2 3" xfId="21639" xr:uid="{00000000-0005-0000-0000-000078510000}"/>
    <cellStyle name="Normal 2 2 2 2 56 2 2 4" xfId="21640" xr:uid="{00000000-0005-0000-0000-000079510000}"/>
    <cellStyle name="Normal 2 2 2 2 56 2 2 5" xfId="21641" xr:uid="{00000000-0005-0000-0000-00007A510000}"/>
    <cellStyle name="Normal 2 2 2 2 56 2 2 6" xfId="21642" xr:uid="{00000000-0005-0000-0000-00007B510000}"/>
    <cellStyle name="Normal 2 2 2 2 56 2 2 7" xfId="21643" xr:uid="{00000000-0005-0000-0000-00007C510000}"/>
    <cellStyle name="Normal 2 2 2 2 56 3" xfId="21644" xr:uid="{00000000-0005-0000-0000-00007D510000}"/>
    <cellStyle name="Normal 2 2 2 2 56 4" xfId="21645" xr:uid="{00000000-0005-0000-0000-00007E510000}"/>
    <cellStyle name="Normal 2 2 2 2 56 5" xfId="21646" xr:uid="{00000000-0005-0000-0000-00007F510000}"/>
    <cellStyle name="Normal 2 2 2 2 56 6" xfId="21647" xr:uid="{00000000-0005-0000-0000-000080510000}"/>
    <cellStyle name="Normal 2 2 2 2 56 7" xfId="21648" xr:uid="{00000000-0005-0000-0000-000081510000}"/>
    <cellStyle name="Normal 2 2 2 2 56 8" xfId="21649" xr:uid="{00000000-0005-0000-0000-000082510000}"/>
    <cellStyle name="Normal 2 2 2 2 57" xfId="21650" xr:uid="{00000000-0005-0000-0000-000083510000}"/>
    <cellStyle name="Normal 2 2 2 2 58" xfId="21651" xr:uid="{00000000-0005-0000-0000-000084510000}"/>
    <cellStyle name="Normal 2 2 2 2 59" xfId="21652" xr:uid="{00000000-0005-0000-0000-000085510000}"/>
    <cellStyle name="Normal 2 2 2 2 6" xfId="21653" xr:uid="{00000000-0005-0000-0000-000086510000}"/>
    <cellStyle name="Normal 2 2 2 2 6 10" xfId="21654" xr:uid="{00000000-0005-0000-0000-000087510000}"/>
    <cellStyle name="Normal 2 2 2 2 6 11" xfId="21655" xr:uid="{00000000-0005-0000-0000-000088510000}"/>
    <cellStyle name="Normal 2 2 2 2 6 12" xfId="21656" xr:uid="{00000000-0005-0000-0000-000089510000}"/>
    <cellStyle name="Normal 2 2 2 2 6 13" xfId="21657" xr:uid="{00000000-0005-0000-0000-00008A510000}"/>
    <cellStyle name="Normal 2 2 2 2 6 2" xfId="21658" xr:uid="{00000000-0005-0000-0000-00008B510000}"/>
    <cellStyle name="Normal 2 2 2 2 6 2 2" xfId="21659" xr:uid="{00000000-0005-0000-0000-00008C510000}"/>
    <cellStyle name="Normal 2 2 2 2 6 2 3" xfId="21660" xr:uid="{00000000-0005-0000-0000-00008D510000}"/>
    <cellStyle name="Normal 2 2 2 2 6 2 4" xfId="21661" xr:uid="{00000000-0005-0000-0000-00008E510000}"/>
    <cellStyle name="Normal 2 2 2 2 6 2 5" xfId="21662" xr:uid="{00000000-0005-0000-0000-00008F510000}"/>
    <cellStyle name="Normal 2 2 2 2 6 2 6" xfId="21663" xr:uid="{00000000-0005-0000-0000-000090510000}"/>
    <cellStyle name="Normal 2 2 2 2 6 3" xfId="21664" xr:uid="{00000000-0005-0000-0000-000091510000}"/>
    <cellStyle name="Normal 2 2 2 2 6 3 2" xfId="21665" xr:uid="{00000000-0005-0000-0000-000092510000}"/>
    <cellStyle name="Normal 2 2 2 2 6 3 3" xfId="21666" xr:uid="{00000000-0005-0000-0000-000093510000}"/>
    <cellStyle name="Normal 2 2 2 2 6 3 4" xfId="21667" xr:uid="{00000000-0005-0000-0000-000094510000}"/>
    <cellStyle name="Normal 2 2 2 2 6 3 5" xfId="21668" xr:uid="{00000000-0005-0000-0000-000095510000}"/>
    <cellStyle name="Normal 2 2 2 2 6 3 6" xfId="21669" xr:uid="{00000000-0005-0000-0000-000096510000}"/>
    <cellStyle name="Normal 2 2 2 2 6 4" xfId="21670" xr:uid="{00000000-0005-0000-0000-000097510000}"/>
    <cellStyle name="Normal 2 2 2 2 6 4 2" xfId="21671" xr:uid="{00000000-0005-0000-0000-000098510000}"/>
    <cellStyle name="Normal 2 2 2 2 6 4 3" xfId="21672" xr:uid="{00000000-0005-0000-0000-000099510000}"/>
    <cellStyle name="Normal 2 2 2 2 6 4 4" xfId="21673" xr:uid="{00000000-0005-0000-0000-00009A510000}"/>
    <cellStyle name="Normal 2 2 2 2 6 4 5" xfId="21674" xr:uid="{00000000-0005-0000-0000-00009B510000}"/>
    <cellStyle name="Normal 2 2 2 2 6 4 6" xfId="21675" xr:uid="{00000000-0005-0000-0000-00009C510000}"/>
    <cellStyle name="Normal 2 2 2 2 6 5" xfId="21676" xr:uid="{00000000-0005-0000-0000-00009D510000}"/>
    <cellStyle name="Normal 2 2 2 2 6 5 2" xfId="21677" xr:uid="{00000000-0005-0000-0000-00009E510000}"/>
    <cellStyle name="Normal 2 2 2 2 6 5 3" xfId="21678" xr:uid="{00000000-0005-0000-0000-00009F510000}"/>
    <cellStyle name="Normal 2 2 2 2 6 5 4" xfId="21679" xr:uid="{00000000-0005-0000-0000-0000A0510000}"/>
    <cellStyle name="Normal 2 2 2 2 6 5 5" xfId="21680" xr:uid="{00000000-0005-0000-0000-0000A1510000}"/>
    <cellStyle name="Normal 2 2 2 2 6 5 6" xfId="21681" xr:uid="{00000000-0005-0000-0000-0000A2510000}"/>
    <cellStyle name="Normal 2 2 2 2 6 6" xfId="21682" xr:uid="{00000000-0005-0000-0000-0000A3510000}"/>
    <cellStyle name="Normal 2 2 2 2 6 6 2" xfId="21683" xr:uid="{00000000-0005-0000-0000-0000A4510000}"/>
    <cellStyle name="Normal 2 2 2 2 6 6 3" xfId="21684" xr:uid="{00000000-0005-0000-0000-0000A5510000}"/>
    <cellStyle name="Normal 2 2 2 2 6 6 4" xfId="21685" xr:uid="{00000000-0005-0000-0000-0000A6510000}"/>
    <cellStyle name="Normal 2 2 2 2 6 6 5" xfId="21686" xr:uid="{00000000-0005-0000-0000-0000A7510000}"/>
    <cellStyle name="Normal 2 2 2 2 6 6 6" xfId="21687" xr:uid="{00000000-0005-0000-0000-0000A8510000}"/>
    <cellStyle name="Normal 2 2 2 2 6 7" xfId="21688" xr:uid="{00000000-0005-0000-0000-0000A9510000}"/>
    <cellStyle name="Normal 2 2 2 2 6 7 2" xfId="21689" xr:uid="{00000000-0005-0000-0000-0000AA510000}"/>
    <cellStyle name="Normal 2 2 2 2 6 7 3" xfId="21690" xr:uid="{00000000-0005-0000-0000-0000AB510000}"/>
    <cellStyle name="Normal 2 2 2 2 6 7 4" xfId="21691" xr:uid="{00000000-0005-0000-0000-0000AC510000}"/>
    <cellStyle name="Normal 2 2 2 2 6 7 5" xfId="21692" xr:uid="{00000000-0005-0000-0000-0000AD510000}"/>
    <cellStyle name="Normal 2 2 2 2 6 7 6" xfId="21693" xr:uid="{00000000-0005-0000-0000-0000AE510000}"/>
    <cellStyle name="Normal 2 2 2 2 6 8" xfId="21694" xr:uid="{00000000-0005-0000-0000-0000AF510000}"/>
    <cellStyle name="Normal 2 2 2 2 6 8 2" xfId="21695" xr:uid="{00000000-0005-0000-0000-0000B0510000}"/>
    <cellStyle name="Normal 2 2 2 2 6 8 3" xfId="21696" xr:uid="{00000000-0005-0000-0000-0000B1510000}"/>
    <cellStyle name="Normal 2 2 2 2 6 8 4" xfId="21697" xr:uid="{00000000-0005-0000-0000-0000B2510000}"/>
    <cellStyle name="Normal 2 2 2 2 6 8 5" xfId="21698" xr:uid="{00000000-0005-0000-0000-0000B3510000}"/>
    <cellStyle name="Normal 2 2 2 2 6 8 6" xfId="21699" xr:uid="{00000000-0005-0000-0000-0000B4510000}"/>
    <cellStyle name="Normal 2 2 2 2 6 9" xfId="21700" xr:uid="{00000000-0005-0000-0000-0000B5510000}"/>
    <cellStyle name="Normal 2 2 2 2 60" xfId="21701" xr:uid="{00000000-0005-0000-0000-0000B6510000}"/>
    <cellStyle name="Normal 2 2 2 2 61" xfId="21702" xr:uid="{00000000-0005-0000-0000-0000B7510000}"/>
    <cellStyle name="Normal 2 2 2 2 62" xfId="21703" xr:uid="{00000000-0005-0000-0000-0000B8510000}"/>
    <cellStyle name="Normal 2 2 2 2 63" xfId="21704" xr:uid="{00000000-0005-0000-0000-0000B9510000}"/>
    <cellStyle name="Normal 2 2 2 2 64" xfId="21705" xr:uid="{00000000-0005-0000-0000-0000BA510000}"/>
    <cellStyle name="Normal 2 2 2 2 65" xfId="21706" xr:uid="{00000000-0005-0000-0000-0000BB510000}"/>
    <cellStyle name="Normal 2 2 2 2 66" xfId="21707" xr:uid="{00000000-0005-0000-0000-0000BC510000}"/>
    <cellStyle name="Normal 2 2 2 2 67" xfId="21708" xr:uid="{00000000-0005-0000-0000-0000BD510000}"/>
    <cellStyle name="Normal 2 2 2 2 68" xfId="21709" xr:uid="{00000000-0005-0000-0000-0000BE510000}"/>
    <cellStyle name="Normal 2 2 2 2 69" xfId="21710" xr:uid="{00000000-0005-0000-0000-0000BF510000}"/>
    <cellStyle name="Normal 2 2 2 2 7" xfId="21711" xr:uid="{00000000-0005-0000-0000-0000C0510000}"/>
    <cellStyle name="Normal 2 2 2 2 7 10" xfId="21712" xr:uid="{00000000-0005-0000-0000-0000C1510000}"/>
    <cellStyle name="Normal 2 2 2 2 7 11" xfId="21713" xr:uid="{00000000-0005-0000-0000-0000C2510000}"/>
    <cellStyle name="Normal 2 2 2 2 7 12" xfId="21714" xr:uid="{00000000-0005-0000-0000-0000C3510000}"/>
    <cellStyle name="Normal 2 2 2 2 7 13" xfId="21715" xr:uid="{00000000-0005-0000-0000-0000C4510000}"/>
    <cellStyle name="Normal 2 2 2 2 7 2" xfId="21716" xr:uid="{00000000-0005-0000-0000-0000C5510000}"/>
    <cellStyle name="Normal 2 2 2 2 7 2 2" xfId="21717" xr:uid="{00000000-0005-0000-0000-0000C6510000}"/>
    <cellStyle name="Normal 2 2 2 2 7 2 3" xfId="21718" xr:uid="{00000000-0005-0000-0000-0000C7510000}"/>
    <cellStyle name="Normal 2 2 2 2 7 2 4" xfId="21719" xr:uid="{00000000-0005-0000-0000-0000C8510000}"/>
    <cellStyle name="Normal 2 2 2 2 7 2 5" xfId="21720" xr:uid="{00000000-0005-0000-0000-0000C9510000}"/>
    <cellStyle name="Normal 2 2 2 2 7 2 6" xfId="21721" xr:uid="{00000000-0005-0000-0000-0000CA510000}"/>
    <cellStyle name="Normal 2 2 2 2 7 3" xfId="21722" xr:uid="{00000000-0005-0000-0000-0000CB510000}"/>
    <cellStyle name="Normal 2 2 2 2 7 3 2" xfId="21723" xr:uid="{00000000-0005-0000-0000-0000CC510000}"/>
    <cellStyle name="Normal 2 2 2 2 7 3 3" xfId="21724" xr:uid="{00000000-0005-0000-0000-0000CD510000}"/>
    <cellStyle name="Normal 2 2 2 2 7 3 4" xfId="21725" xr:uid="{00000000-0005-0000-0000-0000CE510000}"/>
    <cellStyle name="Normal 2 2 2 2 7 3 5" xfId="21726" xr:uid="{00000000-0005-0000-0000-0000CF510000}"/>
    <cellStyle name="Normal 2 2 2 2 7 3 6" xfId="21727" xr:uid="{00000000-0005-0000-0000-0000D0510000}"/>
    <cellStyle name="Normal 2 2 2 2 7 4" xfId="21728" xr:uid="{00000000-0005-0000-0000-0000D1510000}"/>
    <cellStyle name="Normal 2 2 2 2 7 4 2" xfId="21729" xr:uid="{00000000-0005-0000-0000-0000D2510000}"/>
    <cellStyle name="Normal 2 2 2 2 7 4 3" xfId="21730" xr:uid="{00000000-0005-0000-0000-0000D3510000}"/>
    <cellStyle name="Normal 2 2 2 2 7 4 4" xfId="21731" xr:uid="{00000000-0005-0000-0000-0000D4510000}"/>
    <cellStyle name="Normal 2 2 2 2 7 4 5" xfId="21732" xr:uid="{00000000-0005-0000-0000-0000D5510000}"/>
    <cellStyle name="Normal 2 2 2 2 7 4 6" xfId="21733" xr:uid="{00000000-0005-0000-0000-0000D6510000}"/>
    <cellStyle name="Normal 2 2 2 2 7 5" xfId="21734" xr:uid="{00000000-0005-0000-0000-0000D7510000}"/>
    <cellStyle name="Normal 2 2 2 2 7 5 2" xfId="21735" xr:uid="{00000000-0005-0000-0000-0000D8510000}"/>
    <cellStyle name="Normal 2 2 2 2 7 5 3" xfId="21736" xr:uid="{00000000-0005-0000-0000-0000D9510000}"/>
    <cellStyle name="Normal 2 2 2 2 7 5 4" xfId="21737" xr:uid="{00000000-0005-0000-0000-0000DA510000}"/>
    <cellStyle name="Normal 2 2 2 2 7 5 5" xfId="21738" xr:uid="{00000000-0005-0000-0000-0000DB510000}"/>
    <cellStyle name="Normal 2 2 2 2 7 5 6" xfId="21739" xr:uid="{00000000-0005-0000-0000-0000DC510000}"/>
    <cellStyle name="Normal 2 2 2 2 7 6" xfId="21740" xr:uid="{00000000-0005-0000-0000-0000DD510000}"/>
    <cellStyle name="Normal 2 2 2 2 7 6 2" xfId="21741" xr:uid="{00000000-0005-0000-0000-0000DE510000}"/>
    <cellStyle name="Normal 2 2 2 2 7 6 3" xfId="21742" xr:uid="{00000000-0005-0000-0000-0000DF510000}"/>
    <cellStyle name="Normal 2 2 2 2 7 6 4" xfId="21743" xr:uid="{00000000-0005-0000-0000-0000E0510000}"/>
    <cellStyle name="Normal 2 2 2 2 7 6 5" xfId="21744" xr:uid="{00000000-0005-0000-0000-0000E1510000}"/>
    <cellStyle name="Normal 2 2 2 2 7 6 6" xfId="21745" xr:uid="{00000000-0005-0000-0000-0000E2510000}"/>
    <cellStyle name="Normal 2 2 2 2 7 7" xfId="21746" xr:uid="{00000000-0005-0000-0000-0000E3510000}"/>
    <cellStyle name="Normal 2 2 2 2 7 7 2" xfId="21747" xr:uid="{00000000-0005-0000-0000-0000E4510000}"/>
    <cellStyle name="Normal 2 2 2 2 7 7 3" xfId="21748" xr:uid="{00000000-0005-0000-0000-0000E5510000}"/>
    <cellStyle name="Normal 2 2 2 2 7 7 4" xfId="21749" xr:uid="{00000000-0005-0000-0000-0000E6510000}"/>
    <cellStyle name="Normal 2 2 2 2 7 7 5" xfId="21750" xr:uid="{00000000-0005-0000-0000-0000E7510000}"/>
    <cellStyle name="Normal 2 2 2 2 7 7 6" xfId="21751" xr:uid="{00000000-0005-0000-0000-0000E8510000}"/>
    <cellStyle name="Normal 2 2 2 2 7 8" xfId="21752" xr:uid="{00000000-0005-0000-0000-0000E9510000}"/>
    <cellStyle name="Normal 2 2 2 2 7 8 2" xfId="21753" xr:uid="{00000000-0005-0000-0000-0000EA510000}"/>
    <cellStyle name="Normal 2 2 2 2 7 8 3" xfId="21754" xr:uid="{00000000-0005-0000-0000-0000EB510000}"/>
    <cellStyle name="Normal 2 2 2 2 7 8 4" xfId="21755" xr:uid="{00000000-0005-0000-0000-0000EC510000}"/>
    <cellStyle name="Normal 2 2 2 2 7 8 5" xfId="21756" xr:uid="{00000000-0005-0000-0000-0000ED510000}"/>
    <cellStyle name="Normal 2 2 2 2 7 8 6" xfId="21757" xr:uid="{00000000-0005-0000-0000-0000EE510000}"/>
    <cellStyle name="Normal 2 2 2 2 7 9" xfId="21758" xr:uid="{00000000-0005-0000-0000-0000EF510000}"/>
    <cellStyle name="Normal 2 2 2 2 70" xfId="21759" xr:uid="{00000000-0005-0000-0000-0000F0510000}"/>
    <cellStyle name="Normal 2 2 2 2 71" xfId="21760" xr:uid="{00000000-0005-0000-0000-0000F1510000}"/>
    <cellStyle name="Normal 2 2 2 2 72" xfId="21761" xr:uid="{00000000-0005-0000-0000-0000F2510000}"/>
    <cellStyle name="Normal 2 2 2 2 73" xfId="21762" xr:uid="{00000000-0005-0000-0000-0000F3510000}"/>
    <cellStyle name="Normal 2 2 2 2 74" xfId="21763" xr:uid="{00000000-0005-0000-0000-0000F4510000}"/>
    <cellStyle name="Normal 2 2 2 2 75" xfId="21764" xr:uid="{00000000-0005-0000-0000-0000F5510000}"/>
    <cellStyle name="Normal 2 2 2 2 76" xfId="21765" xr:uid="{00000000-0005-0000-0000-0000F6510000}"/>
    <cellStyle name="Normal 2 2 2 2 76 2" xfId="21766" xr:uid="{00000000-0005-0000-0000-0000F7510000}"/>
    <cellStyle name="Normal 2 2 2 2 76 3" xfId="21767" xr:uid="{00000000-0005-0000-0000-0000F8510000}"/>
    <cellStyle name="Normal 2 2 2 2 76 4" xfId="21768" xr:uid="{00000000-0005-0000-0000-0000F9510000}"/>
    <cellStyle name="Normal 2 2 2 2 76 5" xfId="21769" xr:uid="{00000000-0005-0000-0000-0000FA510000}"/>
    <cellStyle name="Normal 2 2 2 2 76 6" xfId="21770" xr:uid="{00000000-0005-0000-0000-0000FB510000}"/>
    <cellStyle name="Normal 2 2 2 2 76 7" xfId="21771" xr:uid="{00000000-0005-0000-0000-0000FC510000}"/>
    <cellStyle name="Normal 2 2 2 2 77" xfId="21772" xr:uid="{00000000-0005-0000-0000-0000FD510000}"/>
    <cellStyle name="Normal 2 2 2 2 77 10" xfId="21773" xr:uid="{00000000-0005-0000-0000-0000FE510000}"/>
    <cellStyle name="Normal 2 2 2 2 77 11" xfId="21774" xr:uid="{00000000-0005-0000-0000-0000FF510000}"/>
    <cellStyle name="Normal 2 2 2 2 77 2" xfId="21775" xr:uid="{00000000-0005-0000-0000-000000520000}"/>
    <cellStyle name="Normal 2 2 2 2 77 2 2" xfId="21776" xr:uid="{00000000-0005-0000-0000-000001520000}"/>
    <cellStyle name="Normal 2 2 2 2 77 2 2 2" xfId="21777" xr:uid="{00000000-0005-0000-0000-000002520000}"/>
    <cellStyle name="Normal 2 2 2 2 77 2 2 3" xfId="21778" xr:uid="{00000000-0005-0000-0000-000003520000}"/>
    <cellStyle name="Normal 2 2 2 2 77 2 3" xfId="21779" xr:uid="{00000000-0005-0000-0000-000004520000}"/>
    <cellStyle name="Normal 2 2 2 2 77 2 4" xfId="21780" xr:uid="{00000000-0005-0000-0000-000005520000}"/>
    <cellStyle name="Normal 2 2 2 2 77 2 5" xfId="21781" xr:uid="{00000000-0005-0000-0000-000006520000}"/>
    <cellStyle name="Normal 2 2 2 2 77 2 6" xfId="21782" xr:uid="{00000000-0005-0000-0000-000007520000}"/>
    <cellStyle name="Normal 2 2 2 2 77 2 7" xfId="21783" xr:uid="{00000000-0005-0000-0000-000008520000}"/>
    <cellStyle name="Normal 2 2 2 2 77 2 8" xfId="21784" xr:uid="{00000000-0005-0000-0000-000009520000}"/>
    <cellStyle name="Normal 2 2 2 2 77 2 9" xfId="21785" xr:uid="{00000000-0005-0000-0000-00000A520000}"/>
    <cellStyle name="Normal 2 2 2 2 77 3" xfId="21786" xr:uid="{00000000-0005-0000-0000-00000B520000}"/>
    <cellStyle name="Normal 2 2 2 2 77 4" xfId="21787" xr:uid="{00000000-0005-0000-0000-00000C520000}"/>
    <cellStyle name="Normal 2 2 2 2 77 5" xfId="21788" xr:uid="{00000000-0005-0000-0000-00000D520000}"/>
    <cellStyle name="Normal 2 2 2 2 77 5 2" xfId="21789" xr:uid="{00000000-0005-0000-0000-00000E520000}"/>
    <cellStyle name="Normal 2 2 2 2 77 5 3" xfId="21790" xr:uid="{00000000-0005-0000-0000-00000F520000}"/>
    <cellStyle name="Normal 2 2 2 2 77 6" xfId="21791" xr:uid="{00000000-0005-0000-0000-000010520000}"/>
    <cellStyle name="Normal 2 2 2 2 77 7" xfId="21792" xr:uid="{00000000-0005-0000-0000-000011520000}"/>
    <cellStyle name="Normal 2 2 2 2 77 8" xfId="21793" xr:uid="{00000000-0005-0000-0000-000012520000}"/>
    <cellStyle name="Normal 2 2 2 2 77 9" xfId="21794" xr:uid="{00000000-0005-0000-0000-000013520000}"/>
    <cellStyle name="Normal 2 2 2 2 78" xfId="21795" xr:uid="{00000000-0005-0000-0000-000014520000}"/>
    <cellStyle name="Normal 2 2 2 2 79" xfId="21796" xr:uid="{00000000-0005-0000-0000-000015520000}"/>
    <cellStyle name="Normal 2 2 2 2 8" xfId="21797" xr:uid="{00000000-0005-0000-0000-000016520000}"/>
    <cellStyle name="Normal 2 2 2 2 8 10" xfId="21798" xr:uid="{00000000-0005-0000-0000-000017520000}"/>
    <cellStyle name="Normal 2 2 2 2 8 11" xfId="21799" xr:uid="{00000000-0005-0000-0000-000018520000}"/>
    <cellStyle name="Normal 2 2 2 2 8 12" xfId="21800" xr:uid="{00000000-0005-0000-0000-000019520000}"/>
    <cellStyle name="Normal 2 2 2 2 8 13" xfId="21801" xr:uid="{00000000-0005-0000-0000-00001A520000}"/>
    <cellStyle name="Normal 2 2 2 2 8 2" xfId="21802" xr:uid="{00000000-0005-0000-0000-00001B520000}"/>
    <cellStyle name="Normal 2 2 2 2 8 2 2" xfId="21803" xr:uid="{00000000-0005-0000-0000-00001C520000}"/>
    <cellStyle name="Normal 2 2 2 2 8 2 3" xfId="21804" xr:uid="{00000000-0005-0000-0000-00001D520000}"/>
    <cellStyle name="Normal 2 2 2 2 8 2 4" xfId="21805" xr:uid="{00000000-0005-0000-0000-00001E520000}"/>
    <cellStyle name="Normal 2 2 2 2 8 2 5" xfId="21806" xr:uid="{00000000-0005-0000-0000-00001F520000}"/>
    <cellStyle name="Normal 2 2 2 2 8 2 6" xfId="21807" xr:uid="{00000000-0005-0000-0000-000020520000}"/>
    <cellStyle name="Normal 2 2 2 2 8 3" xfId="21808" xr:uid="{00000000-0005-0000-0000-000021520000}"/>
    <cellStyle name="Normal 2 2 2 2 8 3 2" xfId="21809" xr:uid="{00000000-0005-0000-0000-000022520000}"/>
    <cellStyle name="Normal 2 2 2 2 8 3 3" xfId="21810" xr:uid="{00000000-0005-0000-0000-000023520000}"/>
    <cellStyle name="Normal 2 2 2 2 8 3 4" xfId="21811" xr:uid="{00000000-0005-0000-0000-000024520000}"/>
    <cellStyle name="Normal 2 2 2 2 8 3 5" xfId="21812" xr:uid="{00000000-0005-0000-0000-000025520000}"/>
    <cellStyle name="Normal 2 2 2 2 8 3 6" xfId="21813" xr:uid="{00000000-0005-0000-0000-000026520000}"/>
    <cellStyle name="Normal 2 2 2 2 8 4" xfId="21814" xr:uid="{00000000-0005-0000-0000-000027520000}"/>
    <cellStyle name="Normal 2 2 2 2 8 4 2" xfId="21815" xr:uid="{00000000-0005-0000-0000-000028520000}"/>
    <cellStyle name="Normal 2 2 2 2 8 4 3" xfId="21816" xr:uid="{00000000-0005-0000-0000-000029520000}"/>
    <cellStyle name="Normal 2 2 2 2 8 4 4" xfId="21817" xr:uid="{00000000-0005-0000-0000-00002A520000}"/>
    <cellStyle name="Normal 2 2 2 2 8 4 5" xfId="21818" xr:uid="{00000000-0005-0000-0000-00002B520000}"/>
    <cellStyle name="Normal 2 2 2 2 8 4 6" xfId="21819" xr:uid="{00000000-0005-0000-0000-00002C520000}"/>
    <cellStyle name="Normal 2 2 2 2 8 5" xfId="21820" xr:uid="{00000000-0005-0000-0000-00002D520000}"/>
    <cellStyle name="Normal 2 2 2 2 8 5 2" xfId="21821" xr:uid="{00000000-0005-0000-0000-00002E520000}"/>
    <cellStyle name="Normal 2 2 2 2 8 5 3" xfId="21822" xr:uid="{00000000-0005-0000-0000-00002F520000}"/>
    <cellStyle name="Normal 2 2 2 2 8 5 4" xfId="21823" xr:uid="{00000000-0005-0000-0000-000030520000}"/>
    <cellStyle name="Normal 2 2 2 2 8 5 5" xfId="21824" xr:uid="{00000000-0005-0000-0000-000031520000}"/>
    <cellStyle name="Normal 2 2 2 2 8 5 6" xfId="21825" xr:uid="{00000000-0005-0000-0000-000032520000}"/>
    <cellStyle name="Normal 2 2 2 2 8 6" xfId="21826" xr:uid="{00000000-0005-0000-0000-000033520000}"/>
    <cellStyle name="Normal 2 2 2 2 8 6 2" xfId="21827" xr:uid="{00000000-0005-0000-0000-000034520000}"/>
    <cellStyle name="Normal 2 2 2 2 8 6 3" xfId="21828" xr:uid="{00000000-0005-0000-0000-000035520000}"/>
    <cellStyle name="Normal 2 2 2 2 8 6 4" xfId="21829" xr:uid="{00000000-0005-0000-0000-000036520000}"/>
    <cellStyle name="Normal 2 2 2 2 8 6 5" xfId="21830" xr:uid="{00000000-0005-0000-0000-000037520000}"/>
    <cellStyle name="Normal 2 2 2 2 8 6 6" xfId="21831" xr:uid="{00000000-0005-0000-0000-000038520000}"/>
    <cellStyle name="Normal 2 2 2 2 8 7" xfId="21832" xr:uid="{00000000-0005-0000-0000-000039520000}"/>
    <cellStyle name="Normal 2 2 2 2 8 7 2" xfId="21833" xr:uid="{00000000-0005-0000-0000-00003A520000}"/>
    <cellStyle name="Normal 2 2 2 2 8 7 3" xfId="21834" xr:uid="{00000000-0005-0000-0000-00003B520000}"/>
    <cellStyle name="Normal 2 2 2 2 8 7 4" xfId="21835" xr:uid="{00000000-0005-0000-0000-00003C520000}"/>
    <cellStyle name="Normal 2 2 2 2 8 7 5" xfId="21836" xr:uid="{00000000-0005-0000-0000-00003D520000}"/>
    <cellStyle name="Normal 2 2 2 2 8 7 6" xfId="21837" xr:uid="{00000000-0005-0000-0000-00003E520000}"/>
    <cellStyle name="Normal 2 2 2 2 8 8" xfId="21838" xr:uid="{00000000-0005-0000-0000-00003F520000}"/>
    <cellStyle name="Normal 2 2 2 2 8 8 2" xfId="21839" xr:uid="{00000000-0005-0000-0000-000040520000}"/>
    <cellStyle name="Normal 2 2 2 2 8 8 3" xfId="21840" xr:uid="{00000000-0005-0000-0000-000041520000}"/>
    <cellStyle name="Normal 2 2 2 2 8 8 4" xfId="21841" xr:uid="{00000000-0005-0000-0000-000042520000}"/>
    <cellStyle name="Normal 2 2 2 2 8 8 5" xfId="21842" xr:uid="{00000000-0005-0000-0000-000043520000}"/>
    <cellStyle name="Normal 2 2 2 2 8 8 6" xfId="21843" xr:uid="{00000000-0005-0000-0000-000044520000}"/>
    <cellStyle name="Normal 2 2 2 2 8 9" xfId="21844" xr:uid="{00000000-0005-0000-0000-000045520000}"/>
    <cellStyle name="Normal 2 2 2 2 80" xfId="21845" xr:uid="{00000000-0005-0000-0000-000046520000}"/>
    <cellStyle name="Normal 2 2 2 2 80 2" xfId="21846" xr:uid="{00000000-0005-0000-0000-000047520000}"/>
    <cellStyle name="Normal 2 2 2 2 80 2 2" xfId="21847" xr:uid="{00000000-0005-0000-0000-000048520000}"/>
    <cellStyle name="Normal 2 2 2 2 80 2 3" xfId="21848" xr:uid="{00000000-0005-0000-0000-000049520000}"/>
    <cellStyle name="Normal 2 2 2 2 80 3" xfId="21849" xr:uid="{00000000-0005-0000-0000-00004A520000}"/>
    <cellStyle name="Normal 2 2 2 2 80 4" xfId="21850" xr:uid="{00000000-0005-0000-0000-00004B520000}"/>
    <cellStyle name="Normal 2 2 2 2 80 5" xfId="21851" xr:uid="{00000000-0005-0000-0000-00004C520000}"/>
    <cellStyle name="Normal 2 2 2 2 80 6" xfId="21852" xr:uid="{00000000-0005-0000-0000-00004D520000}"/>
    <cellStyle name="Normal 2 2 2 2 80 7" xfId="21853" xr:uid="{00000000-0005-0000-0000-00004E520000}"/>
    <cellStyle name="Normal 2 2 2 2 80 8" xfId="21854" xr:uid="{00000000-0005-0000-0000-00004F520000}"/>
    <cellStyle name="Normal 2 2 2 2 80 9" xfId="21855" xr:uid="{00000000-0005-0000-0000-000050520000}"/>
    <cellStyle name="Normal 2 2 2 2 81" xfId="21856" xr:uid="{00000000-0005-0000-0000-000051520000}"/>
    <cellStyle name="Normal 2 2 2 2 82" xfId="21857" xr:uid="{00000000-0005-0000-0000-000052520000}"/>
    <cellStyle name="Normal 2 2 2 2 82 2" xfId="21858" xr:uid="{00000000-0005-0000-0000-000053520000}"/>
    <cellStyle name="Normal 2 2 2 2 82 3" xfId="21859" xr:uid="{00000000-0005-0000-0000-000054520000}"/>
    <cellStyle name="Normal 2 2 2 2 83" xfId="21860" xr:uid="{00000000-0005-0000-0000-000055520000}"/>
    <cellStyle name="Normal 2 2 2 2 84" xfId="21861" xr:uid="{00000000-0005-0000-0000-000056520000}"/>
    <cellStyle name="Normal 2 2 2 2 85" xfId="21862" xr:uid="{00000000-0005-0000-0000-000057520000}"/>
    <cellStyle name="Normal 2 2 2 2 86" xfId="21863" xr:uid="{00000000-0005-0000-0000-000058520000}"/>
    <cellStyle name="Normal 2 2 2 2 87" xfId="21864" xr:uid="{00000000-0005-0000-0000-000059520000}"/>
    <cellStyle name="Normal 2 2 2 2 88" xfId="21865" xr:uid="{00000000-0005-0000-0000-00005A520000}"/>
    <cellStyle name="Normal 2 2 2 2 89" xfId="21866" xr:uid="{00000000-0005-0000-0000-00005B520000}"/>
    <cellStyle name="Normal 2 2 2 2 9" xfId="21867" xr:uid="{00000000-0005-0000-0000-00005C520000}"/>
    <cellStyle name="Normal 2 2 2 2 9 10" xfId="21868" xr:uid="{00000000-0005-0000-0000-00005D520000}"/>
    <cellStyle name="Normal 2 2 2 2 9 10 2" xfId="21869" xr:uid="{00000000-0005-0000-0000-00005E520000}"/>
    <cellStyle name="Normal 2 2 2 2 9 10 3" xfId="21870" xr:uid="{00000000-0005-0000-0000-00005F520000}"/>
    <cellStyle name="Normal 2 2 2 2 9 10 4" xfId="21871" xr:uid="{00000000-0005-0000-0000-000060520000}"/>
    <cellStyle name="Normal 2 2 2 2 9 10 5" xfId="21872" xr:uid="{00000000-0005-0000-0000-000061520000}"/>
    <cellStyle name="Normal 2 2 2 2 9 10 6" xfId="21873" xr:uid="{00000000-0005-0000-0000-000062520000}"/>
    <cellStyle name="Normal 2 2 2 2 9 11" xfId="21874" xr:uid="{00000000-0005-0000-0000-000063520000}"/>
    <cellStyle name="Normal 2 2 2 2 9 11 2" xfId="21875" xr:uid="{00000000-0005-0000-0000-000064520000}"/>
    <cellStyle name="Normal 2 2 2 2 9 11 3" xfId="21876" xr:uid="{00000000-0005-0000-0000-000065520000}"/>
    <cellStyle name="Normal 2 2 2 2 9 11 4" xfId="21877" xr:uid="{00000000-0005-0000-0000-000066520000}"/>
    <cellStyle name="Normal 2 2 2 2 9 11 5" xfId="21878" xr:uid="{00000000-0005-0000-0000-000067520000}"/>
    <cellStyle name="Normal 2 2 2 2 9 11 6" xfId="21879" xr:uid="{00000000-0005-0000-0000-000068520000}"/>
    <cellStyle name="Normal 2 2 2 2 9 12" xfId="21880" xr:uid="{00000000-0005-0000-0000-000069520000}"/>
    <cellStyle name="Normal 2 2 2 2 9 12 2" xfId="21881" xr:uid="{00000000-0005-0000-0000-00006A520000}"/>
    <cellStyle name="Normal 2 2 2 2 9 12 3" xfId="21882" xr:uid="{00000000-0005-0000-0000-00006B520000}"/>
    <cellStyle name="Normal 2 2 2 2 9 12 4" xfId="21883" xr:uid="{00000000-0005-0000-0000-00006C520000}"/>
    <cellStyle name="Normal 2 2 2 2 9 12 5" xfId="21884" xr:uid="{00000000-0005-0000-0000-00006D520000}"/>
    <cellStyle name="Normal 2 2 2 2 9 12 6" xfId="21885" xr:uid="{00000000-0005-0000-0000-00006E520000}"/>
    <cellStyle name="Normal 2 2 2 2 9 13" xfId="21886" xr:uid="{00000000-0005-0000-0000-00006F520000}"/>
    <cellStyle name="Normal 2 2 2 2 9 13 2" xfId="21887" xr:uid="{00000000-0005-0000-0000-000070520000}"/>
    <cellStyle name="Normal 2 2 2 2 9 13 3" xfId="21888" xr:uid="{00000000-0005-0000-0000-000071520000}"/>
    <cellStyle name="Normal 2 2 2 2 9 13 4" xfId="21889" xr:uid="{00000000-0005-0000-0000-000072520000}"/>
    <cellStyle name="Normal 2 2 2 2 9 13 5" xfId="21890" xr:uid="{00000000-0005-0000-0000-000073520000}"/>
    <cellStyle name="Normal 2 2 2 2 9 13 6" xfId="21891" xr:uid="{00000000-0005-0000-0000-000074520000}"/>
    <cellStyle name="Normal 2 2 2 2 9 14" xfId="21892" xr:uid="{00000000-0005-0000-0000-000075520000}"/>
    <cellStyle name="Normal 2 2 2 2 9 14 2" xfId="21893" xr:uid="{00000000-0005-0000-0000-000076520000}"/>
    <cellStyle name="Normal 2 2 2 2 9 14 3" xfId="21894" xr:uid="{00000000-0005-0000-0000-000077520000}"/>
    <cellStyle name="Normal 2 2 2 2 9 14 4" xfId="21895" xr:uid="{00000000-0005-0000-0000-000078520000}"/>
    <cellStyle name="Normal 2 2 2 2 9 14 5" xfId="21896" xr:uid="{00000000-0005-0000-0000-000079520000}"/>
    <cellStyle name="Normal 2 2 2 2 9 14 6" xfId="21897" xr:uid="{00000000-0005-0000-0000-00007A520000}"/>
    <cellStyle name="Normal 2 2 2 2 9 15" xfId="21898" xr:uid="{00000000-0005-0000-0000-00007B520000}"/>
    <cellStyle name="Normal 2 2 2 2 9 16" xfId="21899" xr:uid="{00000000-0005-0000-0000-00007C520000}"/>
    <cellStyle name="Normal 2 2 2 2 9 17" xfId="21900" xr:uid="{00000000-0005-0000-0000-00007D520000}"/>
    <cellStyle name="Normal 2 2 2 2 9 18" xfId="21901" xr:uid="{00000000-0005-0000-0000-00007E520000}"/>
    <cellStyle name="Normal 2 2 2 2 9 19" xfId="21902" xr:uid="{00000000-0005-0000-0000-00007F520000}"/>
    <cellStyle name="Normal 2 2 2 2 9 2" xfId="21903" xr:uid="{00000000-0005-0000-0000-000080520000}"/>
    <cellStyle name="Normal 2 2 2 2 9 3" xfId="21904" xr:uid="{00000000-0005-0000-0000-000081520000}"/>
    <cellStyle name="Normal 2 2 2 2 9 4" xfId="21905" xr:uid="{00000000-0005-0000-0000-000082520000}"/>
    <cellStyle name="Normal 2 2 2 2 9 5" xfId="21906" xr:uid="{00000000-0005-0000-0000-000083520000}"/>
    <cellStyle name="Normal 2 2 2 2 9 6" xfId="21907" xr:uid="{00000000-0005-0000-0000-000084520000}"/>
    <cellStyle name="Normal 2 2 2 2 9 7" xfId="21908" xr:uid="{00000000-0005-0000-0000-000085520000}"/>
    <cellStyle name="Normal 2 2 2 2 9 8" xfId="21909" xr:uid="{00000000-0005-0000-0000-000086520000}"/>
    <cellStyle name="Normal 2 2 2 2 9 8 2" xfId="21910" xr:uid="{00000000-0005-0000-0000-000087520000}"/>
    <cellStyle name="Normal 2 2 2 2 9 8 3" xfId="21911" xr:uid="{00000000-0005-0000-0000-000088520000}"/>
    <cellStyle name="Normal 2 2 2 2 9 8 4" xfId="21912" xr:uid="{00000000-0005-0000-0000-000089520000}"/>
    <cellStyle name="Normal 2 2 2 2 9 8 5" xfId="21913" xr:uid="{00000000-0005-0000-0000-00008A520000}"/>
    <cellStyle name="Normal 2 2 2 2 9 8 6" xfId="21914" xr:uid="{00000000-0005-0000-0000-00008B520000}"/>
    <cellStyle name="Normal 2 2 2 2 9 9" xfId="21915" xr:uid="{00000000-0005-0000-0000-00008C520000}"/>
    <cellStyle name="Normal 2 2 2 2 9 9 2" xfId="21916" xr:uid="{00000000-0005-0000-0000-00008D520000}"/>
    <cellStyle name="Normal 2 2 2 2 9 9 3" xfId="21917" xr:uid="{00000000-0005-0000-0000-00008E520000}"/>
    <cellStyle name="Normal 2 2 2 2 9 9 4" xfId="21918" xr:uid="{00000000-0005-0000-0000-00008F520000}"/>
    <cellStyle name="Normal 2 2 2 2 9 9 5" xfId="21919" xr:uid="{00000000-0005-0000-0000-000090520000}"/>
    <cellStyle name="Normal 2 2 2 2 9 9 6" xfId="21920" xr:uid="{00000000-0005-0000-0000-000091520000}"/>
    <cellStyle name="Normal 2 2 2 20" xfId="21921" xr:uid="{00000000-0005-0000-0000-000092520000}"/>
    <cellStyle name="Normal 2 2 2 20 10" xfId="21922" xr:uid="{00000000-0005-0000-0000-000093520000}"/>
    <cellStyle name="Normal 2 2 2 20 11" xfId="21923" xr:uid="{00000000-0005-0000-0000-000094520000}"/>
    <cellStyle name="Normal 2 2 2 20 12" xfId="21924" xr:uid="{00000000-0005-0000-0000-000095520000}"/>
    <cellStyle name="Normal 2 2 2 20 13" xfId="21925" xr:uid="{00000000-0005-0000-0000-000096520000}"/>
    <cellStyle name="Normal 2 2 2 20 14" xfId="21926" xr:uid="{00000000-0005-0000-0000-000097520000}"/>
    <cellStyle name="Normal 2 2 2 20 2" xfId="21927" xr:uid="{00000000-0005-0000-0000-000098520000}"/>
    <cellStyle name="Normal 2 2 2 20 2 2" xfId="21928" xr:uid="{00000000-0005-0000-0000-000099520000}"/>
    <cellStyle name="Normal 2 2 2 20 2 2 2" xfId="21929" xr:uid="{00000000-0005-0000-0000-00009A520000}"/>
    <cellStyle name="Normal 2 2 2 20 2 3" xfId="21930" xr:uid="{00000000-0005-0000-0000-00009B520000}"/>
    <cellStyle name="Normal 2 2 2 20 2 4" xfId="21931" xr:uid="{00000000-0005-0000-0000-00009C520000}"/>
    <cellStyle name="Normal 2 2 2 20 2 5" xfId="21932" xr:uid="{00000000-0005-0000-0000-00009D520000}"/>
    <cellStyle name="Normal 2 2 2 20 2 6" xfId="21933" xr:uid="{00000000-0005-0000-0000-00009E520000}"/>
    <cellStyle name="Normal 2 2 2 20 3" xfId="21934" xr:uid="{00000000-0005-0000-0000-00009F520000}"/>
    <cellStyle name="Normal 2 2 2 20 3 2" xfId="21935" xr:uid="{00000000-0005-0000-0000-0000A0520000}"/>
    <cellStyle name="Normal 2 2 2 20 3 3" xfId="21936" xr:uid="{00000000-0005-0000-0000-0000A1520000}"/>
    <cellStyle name="Normal 2 2 2 20 3 4" xfId="21937" xr:uid="{00000000-0005-0000-0000-0000A2520000}"/>
    <cellStyle name="Normal 2 2 2 20 3 5" xfId="21938" xr:uid="{00000000-0005-0000-0000-0000A3520000}"/>
    <cellStyle name="Normal 2 2 2 20 3 6" xfId="21939" xr:uid="{00000000-0005-0000-0000-0000A4520000}"/>
    <cellStyle name="Normal 2 2 2 20 4" xfId="21940" xr:uid="{00000000-0005-0000-0000-0000A5520000}"/>
    <cellStyle name="Normal 2 2 2 20 4 2" xfId="21941" xr:uid="{00000000-0005-0000-0000-0000A6520000}"/>
    <cellStyle name="Normal 2 2 2 20 4 3" xfId="21942" xr:uid="{00000000-0005-0000-0000-0000A7520000}"/>
    <cellStyle name="Normal 2 2 2 20 4 4" xfId="21943" xr:uid="{00000000-0005-0000-0000-0000A8520000}"/>
    <cellStyle name="Normal 2 2 2 20 4 5" xfId="21944" xr:uid="{00000000-0005-0000-0000-0000A9520000}"/>
    <cellStyle name="Normal 2 2 2 20 4 6" xfId="21945" xr:uid="{00000000-0005-0000-0000-0000AA520000}"/>
    <cellStyle name="Normal 2 2 2 20 5" xfId="21946" xr:uid="{00000000-0005-0000-0000-0000AB520000}"/>
    <cellStyle name="Normal 2 2 2 20 5 2" xfId="21947" xr:uid="{00000000-0005-0000-0000-0000AC520000}"/>
    <cellStyle name="Normal 2 2 2 20 5 3" xfId="21948" xr:uid="{00000000-0005-0000-0000-0000AD520000}"/>
    <cellStyle name="Normal 2 2 2 20 5 4" xfId="21949" xr:uid="{00000000-0005-0000-0000-0000AE520000}"/>
    <cellStyle name="Normal 2 2 2 20 5 5" xfId="21950" xr:uid="{00000000-0005-0000-0000-0000AF520000}"/>
    <cellStyle name="Normal 2 2 2 20 5 6" xfId="21951" xr:uid="{00000000-0005-0000-0000-0000B0520000}"/>
    <cellStyle name="Normal 2 2 2 20 6" xfId="21952" xr:uid="{00000000-0005-0000-0000-0000B1520000}"/>
    <cellStyle name="Normal 2 2 2 20 6 2" xfId="21953" xr:uid="{00000000-0005-0000-0000-0000B2520000}"/>
    <cellStyle name="Normal 2 2 2 20 6 3" xfId="21954" xr:uid="{00000000-0005-0000-0000-0000B3520000}"/>
    <cellStyle name="Normal 2 2 2 20 6 4" xfId="21955" xr:uid="{00000000-0005-0000-0000-0000B4520000}"/>
    <cellStyle name="Normal 2 2 2 20 6 5" xfId="21956" xr:uid="{00000000-0005-0000-0000-0000B5520000}"/>
    <cellStyle name="Normal 2 2 2 20 6 6" xfId="21957" xr:uid="{00000000-0005-0000-0000-0000B6520000}"/>
    <cellStyle name="Normal 2 2 2 20 7" xfId="21958" xr:uid="{00000000-0005-0000-0000-0000B7520000}"/>
    <cellStyle name="Normal 2 2 2 20 7 2" xfId="21959" xr:uid="{00000000-0005-0000-0000-0000B8520000}"/>
    <cellStyle name="Normal 2 2 2 20 7 3" xfId="21960" xr:uid="{00000000-0005-0000-0000-0000B9520000}"/>
    <cellStyle name="Normal 2 2 2 20 7 4" xfId="21961" xr:uid="{00000000-0005-0000-0000-0000BA520000}"/>
    <cellStyle name="Normal 2 2 2 20 7 5" xfId="21962" xr:uid="{00000000-0005-0000-0000-0000BB520000}"/>
    <cellStyle name="Normal 2 2 2 20 7 6" xfId="21963" xr:uid="{00000000-0005-0000-0000-0000BC520000}"/>
    <cellStyle name="Normal 2 2 2 20 8" xfId="21964" xr:uid="{00000000-0005-0000-0000-0000BD520000}"/>
    <cellStyle name="Normal 2 2 2 20 8 2" xfId="21965" xr:uid="{00000000-0005-0000-0000-0000BE520000}"/>
    <cellStyle name="Normal 2 2 2 20 8 3" xfId="21966" xr:uid="{00000000-0005-0000-0000-0000BF520000}"/>
    <cellStyle name="Normal 2 2 2 20 8 4" xfId="21967" xr:uid="{00000000-0005-0000-0000-0000C0520000}"/>
    <cellStyle name="Normal 2 2 2 20 8 5" xfId="21968" xr:uid="{00000000-0005-0000-0000-0000C1520000}"/>
    <cellStyle name="Normal 2 2 2 20 8 6" xfId="21969" xr:uid="{00000000-0005-0000-0000-0000C2520000}"/>
    <cellStyle name="Normal 2 2 2 20 9" xfId="21970" xr:uid="{00000000-0005-0000-0000-0000C3520000}"/>
    <cellStyle name="Normal 2 2 2 21" xfId="21971" xr:uid="{00000000-0005-0000-0000-0000C4520000}"/>
    <cellStyle name="Normal 2 2 2 21 10" xfId="21972" xr:uid="{00000000-0005-0000-0000-0000C5520000}"/>
    <cellStyle name="Normal 2 2 2 21 11" xfId="21973" xr:uid="{00000000-0005-0000-0000-0000C6520000}"/>
    <cellStyle name="Normal 2 2 2 21 12" xfId="21974" xr:uid="{00000000-0005-0000-0000-0000C7520000}"/>
    <cellStyle name="Normal 2 2 2 21 13" xfId="21975" xr:uid="{00000000-0005-0000-0000-0000C8520000}"/>
    <cellStyle name="Normal 2 2 2 21 14" xfId="21976" xr:uid="{00000000-0005-0000-0000-0000C9520000}"/>
    <cellStyle name="Normal 2 2 2 21 2" xfId="21977" xr:uid="{00000000-0005-0000-0000-0000CA520000}"/>
    <cellStyle name="Normal 2 2 2 21 2 2" xfId="21978" xr:uid="{00000000-0005-0000-0000-0000CB520000}"/>
    <cellStyle name="Normal 2 2 2 21 2 3" xfId="21979" xr:uid="{00000000-0005-0000-0000-0000CC520000}"/>
    <cellStyle name="Normal 2 2 2 21 2 4" xfId="21980" xr:uid="{00000000-0005-0000-0000-0000CD520000}"/>
    <cellStyle name="Normal 2 2 2 21 2 5" xfId="21981" xr:uid="{00000000-0005-0000-0000-0000CE520000}"/>
    <cellStyle name="Normal 2 2 2 21 2 6" xfId="21982" xr:uid="{00000000-0005-0000-0000-0000CF520000}"/>
    <cellStyle name="Normal 2 2 2 21 3" xfId="21983" xr:uid="{00000000-0005-0000-0000-0000D0520000}"/>
    <cellStyle name="Normal 2 2 2 21 3 2" xfId="21984" xr:uid="{00000000-0005-0000-0000-0000D1520000}"/>
    <cellStyle name="Normal 2 2 2 21 3 3" xfId="21985" xr:uid="{00000000-0005-0000-0000-0000D2520000}"/>
    <cellStyle name="Normal 2 2 2 21 3 4" xfId="21986" xr:uid="{00000000-0005-0000-0000-0000D3520000}"/>
    <cellStyle name="Normal 2 2 2 21 3 5" xfId="21987" xr:uid="{00000000-0005-0000-0000-0000D4520000}"/>
    <cellStyle name="Normal 2 2 2 21 3 6" xfId="21988" xr:uid="{00000000-0005-0000-0000-0000D5520000}"/>
    <cellStyle name="Normal 2 2 2 21 4" xfId="21989" xr:uid="{00000000-0005-0000-0000-0000D6520000}"/>
    <cellStyle name="Normal 2 2 2 21 4 2" xfId="21990" xr:uid="{00000000-0005-0000-0000-0000D7520000}"/>
    <cellStyle name="Normal 2 2 2 21 4 3" xfId="21991" xr:uid="{00000000-0005-0000-0000-0000D8520000}"/>
    <cellStyle name="Normal 2 2 2 21 4 4" xfId="21992" xr:uid="{00000000-0005-0000-0000-0000D9520000}"/>
    <cellStyle name="Normal 2 2 2 21 4 5" xfId="21993" xr:uid="{00000000-0005-0000-0000-0000DA520000}"/>
    <cellStyle name="Normal 2 2 2 21 4 6" xfId="21994" xr:uid="{00000000-0005-0000-0000-0000DB520000}"/>
    <cellStyle name="Normal 2 2 2 21 5" xfId="21995" xr:uid="{00000000-0005-0000-0000-0000DC520000}"/>
    <cellStyle name="Normal 2 2 2 21 5 2" xfId="21996" xr:uid="{00000000-0005-0000-0000-0000DD520000}"/>
    <cellStyle name="Normal 2 2 2 21 5 3" xfId="21997" xr:uid="{00000000-0005-0000-0000-0000DE520000}"/>
    <cellStyle name="Normal 2 2 2 21 5 4" xfId="21998" xr:uid="{00000000-0005-0000-0000-0000DF520000}"/>
    <cellStyle name="Normal 2 2 2 21 5 5" xfId="21999" xr:uid="{00000000-0005-0000-0000-0000E0520000}"/>
    <cellStyle name="Normal 2 2 2 21 5 6" xfId="22000" xr:uid="{00000000-0005-0000-0000-0000E1520000}"/>
    <cellStyle name="Normal 2 2 2 21 6" xfId="22001" xr:uid="{00000000-0005-0000-0000-0000E2520000}"/>
    <cellStyle name="Normal 2 2 2 21 6 2" xfId="22002" xr:uid="{00000000-0005-0000-0000-0000E3520000}"/>
    <cellStyle name="Normal 2 2 2 21 6 3" xfId="22003" xr:uid="{00000000-0005-0000-0000-0000E4520000}"/>
    <cellStyle name="Normal 2 2 2 21 6 4" xfId="22004" xr:uid="{00000000-0005-0000-0000-0000E5520000}"/>
    <cellStyle name="Normal 2 2 2 21 6 5" xfId="22005" xr:uid="{00000000-0005-0000-0000-0000E6520000}"/>
    <cellStyle name="Normal 2 2 2 21 6 6" xfId="22006" xr:uid="{00000000-0005-0000-0000-0000E7520000}"/>
    <cellStyle name="Normal 2 2 2 21 7" xfId="22007" xr:uid="{00000000-0005-0000-0000-0000E8520000}"/>
    <cellStyle name="Normal 2 2 2 21 7 2" xfId="22008" xr:uid="{00000000-0005-0000-0000-0000E9520000}"/>
    <cellStyle name="Normal 2 2 2 21 7 3" xfId="22009" xr:uid="{00000000-0005-0000-0000-0000EA520000}"/>
    <cellStyle name="Normal 2 2 2 21 7 4" xfId="22010" xr:uid="{00000000-0005-0000-0000-0000EB520000}"/>
    <cellStyle name="Normal 2 2 2 21 7 5" xfId="22011" xr:uid="{00000000-0005-0000-0000-0000EC520000}"/>
    <cellStyle name="Normal 2 2 2 21 7 6" xfId="22012" xr:uid="{00000000-0005-0000-0000-0000ED520000}"/>
    <cellStyle name="Normal 2 2 2 21 8" xfId="22013" xr:uid="{00000000-0005-0000-0000-0000EE520000}"/>
    <cellStyle name="Normal 2 2 2 21 8 2" xfId="22014" xr:uid="{00000000-0005-0000-0000-0000EF520000}"/>
    <cellStyle name="Normal 2 2 2 21 8 3" xfId="22015" xr:uid="{00000000-0005-0000-0000-0000F0520000}"/>
    <cellStyle name="Normal 2 2 2 21 8 4" xfId="22016" xr:uid="{00000000-0005-0000-0000-0000F1520000}"/>
    <cellStyle name="Normal 2 2 2 21 8 5" xfId="22017" xr:uid="{00000000-0005-0000-0000-0000F2520000}"/>
    <cellStyle name="Normal 2 2 2 21 8 6" xfId="22018" xr:uid="{00000000-0005-0000-0000-0000F3520000}"/>
    <cellStyle name="Normal 2 2 2 21 9" xfId="22019" xr:uid="{00000000-0005-0000-0000-0000F4520000}"/>
    <cellStyle name="Normal 2 2 2 22" xfId="22020" xr:uid="{00000000-0005-0000-0000-0000F5520000}"/>
    <cellStyle name="Normal 2 2 2 22 10" xfId="22021" xr:uid="{00000000-0005-0000-0000-0000F6520000}"/>
    <cellStyle name="Normal 2 2 2 22 11" xfId="22022" xr:uid="{00000000-0005-0000-0000-0000F7520000}"/>
    <cellStyle name="Normal 2 2 2 22 12" xfId="22023" xr:uid="{00000000-0005-0000-0000-0000F8520000}"/>
    <cellStyle name="Normal 2 2 2 22 13" xfId="22024" xr:uid="{00000000-0005-0000-0000-0000F9520000}"/>
    <cellStyle name="Normal 2 2 2 22 14" xfId="22025" xr:uid="{00000000-0005-0000-0000-0000FA520000}"/>
    <cellStyle name="Normal 2 2 2 22 2" xfId="22026" xr:uid="{00000000-0005-0000-0000-0000FB520000}"/>
    <cellStyle name="Normal 2 2 2 22 2 2" xfId="22027" xr:uid="{00000000-0005-0000-0000-0000FC520000}"/>
    <cellStyle name="Normal 2 2 2 22 2 3" xfId="22028" xr:uid="{00000000-0005-0000-0000-0000FD520000}"/>
    <cellStyle name="Normal 2 2 2 22 2 4" xfId="22029" xr:uid="{00000000-0005-0000-0000-0000FE520000}"/>
    <cellStyle name="Normal 2 2 2 22 2 5" xfId="22030" xr:uid="{00000000-0005-0000-0000-0000FF520000}"/>
    <cellStyle name="Normal 2 2 2 22 2 6" xfId="22031" xr:uid="{00000000-0005-0000-0000-000000530000}"/>
    <cellStyle name="Normal 2 2 2 22 3" xfId="22032" xr:uid="{00000000-0005-0000-0000-000001530000}"/>
    <cellStyle name="Normal 2 2 2 22 3 2" xfId="22033" xr:uid="{00000000-0005-0000-0000-000002530000}"/>
    <cellStyle name="Normal 2 2 2 22 3 3" xfId="22034" xr:uid="{00000000-0005-0000-0000-000003530000}"/>
    <cellStyle name="Normal 2 2 2 22 3 4" xfId="22035" xr:uid="{00000000-0005-0000-0000-000004530000}"/>
    <cellStyle name="Normal 2 2 2 22 3 5" xfId="22036" xr:uid="{00000000-0005-0000-0000-000005530000}"/>
    <cellStyle name="Normal 2 2 2 22 3 6" xfId="22037" xr:uid="{00000000-0005-0000-0000-000006530000}"/>
    <cellStyle name="Normal 2 2 2 22 4" xfId="22038" xr:uid="{00000000-0005-0000-0000-000007530000}"/>
    <cellStyle name="Normal 2 2 2 22 4 2" xfId="22039" xr:uid="{00000000-0005-0000-0000-000008530000}"/>
    <cellStyle name="Normal 2 2 2 22 4 3" xfId="22040" xr:uid="{00000000-0005-0000-0000-000009530000}"/>
    <cellStyle name="Normal 2 2 2 22 4 4" xfId="22041" xr:uid="{00000000-0005-0000-0000-00000A530000}"/>
    <cellStyle name="Normal 2 2 2 22 4 5" xfId="22042" xr:uid="{00000000-0005-0000-0000-00000B530000}"/>
    <cellStyle name="Normal 2 2 2 22 4 6" xfId="22043" xr:uid="{00000000-0005-0000-0000-00000C530000}"/>
    <cellStyle name="Normal 2 2 2 22 5" xfId="22044" xr:uid="{00000000-0005-0000-0000-00000D530000}"/>
    <cellStyle name="Normal 2 2 2 22 5 2" xfId="22045" xr:uid="{00000000-0005-0000-0000-00000E530000}"/>
    <cellStyle name="Normal 2 2 2 22 5 3" xfId="22046" xr:uid="{00000000-0005-0000-0000-00000F530000}"/>
    <cellStyle name="Normal 2 2 2 22 5 4" xfId="22047" xr:uid="{00000000-0005-0000-0000-000010530000}"/>
    <cellStyle name="Normal 2 2 2 22 5 5" xfId="22048" xr:uid="{00000000-0005-0000-0000-000011530000}"/>
    <cellStyle name="Normal 2 2 2 22 5 6" xfId="22049" xr:uid="{00000000-0005-0000-0000-000012530000}"/>
    <cellStyle name="Normal 2 2 2 22 6" xfId="22050" xr:uid="{00000000-0005-0000-0000-000013530000}"/>
    <cellStyle name="Normal 2 2 2 22 6 2" xfId="22051" xr:uid="{00000000-0005-0000-0000-000014530000}"/>
    <cellStyle name="Normal 2 2 2 22 6 3" xfId="22052" xr:uid="{00000000-0005-0000-0000-000015530000}"/>
    <cellStyle name="Normal 2 2 2 22 6 4" xfId="22053" xr:uid="{00000000-0005-0000-0000-000016530000}"/>
    <cellStyle name="Normal 2 2 2 22 6 5" xfId="22054" xr:uid="{00000000-0005-0000-0000-000017530000}"/>
    <cellStyle name="Normal 2 2 2 22 6 6" xfId="22055" xr:uid="{00000000-0005-0000-0000-000018530000}"/>
    <cellStyle name="Normal 2 2 2 22 7" xfId="22056" xr:uid="{00000000-0005-0000-0000-000019530000}"/>
    <cellStyle name="Normal 2 2 2 22 7 2" xfId="22057" xr:uid="{00000000-0005-0000-0000-00001A530000}"/>
    <cellStyle name="Normal 2 2 2 22 7 3" xfId="22058" xr:uid="{00000000-0005-0000-0000-00001B530000}"/>
    <cellStyle name="Normal 2 2 2 22 7 4" xfId="22059" xr:uid="{00000000-0005-0000-0000-00001C530000}"/>
    <cellStyle name="Normal 2 2 2 22 7 5" xfId="22060" xr:uid="{00000000-0005-0000-0000-00001D530000}"/>
    <cellStyle name="Normal 2 2 2 22 7 6" xfId="22061" xr:uid="{00000000-0005-0000-0000-00001E530000}"/>
    <cellStyle name="Normal 2 2 2 22 8" xfId="22062" xr:uid="{00000000-0005-0000-0000-00001F530000}"/>
    <cellStyle name="Normal 2 2 2 22 8 2" xfId="22063" xr:uid="{00000000-0005-0000-0000-000020530000}"/>
    <cellStyle name="Normal 2 2 2 22 8 3" xfId="22064" xr:uid="{00000000-0005-0000-0000-000021530000}"/>
    <cellStyle name="Normal 2 2 2 22 8 4" xfId="22065" xr:uid="{00000000-0005-0000-0000-000022530000}"/>
    <cellStyle name="Normal 2 2 2 22 8 5" xfId="22066" xr:uid="{00000000-0005-0000-0000-000023530000}"/>
    <cellStyle name="Normal 2 2 2 22 8 6" xfId="22067" xr:uid="{00000000-0005-0000-0000-000024530000}"/>
    <cellStyle name="Normal 2 2 2 22 9" xfId="22068" xr:uid="{00000000-0005-0000-0000-000025530000}"/>
    <cellStyle name="Normal 2 2 2 23" xfId="22069" xr:uid="{00000000-0005-0000-0000-000026530000}"/>
    <cellStyle name="Normal 2 2 2 23 10" xfId="22070" xr:uid="{00000000-0005-0000-0000-000027530000}"/>
    <cellStyle name="Normal 2 2 2 23 11" xfId="22071" xr:uid="{00000000-0005-0000-0000-000028530000}"/>
    <cellStyle name="Normal 2 2 2 23 12" xfId="22072" xr:uid="{00000000-0005-0000-0000-000029530000}"/>
    <cellStyle name="Normal 2 2 2 23 13" xfId="22073" xr:uid="{00000000-0005-0000-0000-00002A530000}"/>
    <cellStyle name="Normal 2 2 2 23 14" xfId="22074" xr:uid="{00000000-0005-0000-0000-00002B530000}"/>
    <cellStyle name="Normal 2 2 2 23 2" xfId="22075" xr:uid="{00000000-0005-0000-0000-00002C530000}"/>
    <cellStyle name="Normal 2 2 2 23 2 2" xfId="22076" xr:uid="{00000000-0005-0000-0000-00002D530000}"/>
    <cellStyle name="Normal 2 2 2 23 2 3" xfId="22077" xr:uid="{00000000-0005-0000-0000-00002E530000}"/>
    <cellStyle name="Normal 2 2 2 23 2 4" xfId="22078" xr:uid="{00000000-0005-0000-0000-00002F530000}"/>
    <cellStyle name="Normal 2 2 2 23 2 5" xfId="22079" xr:uid="{00000000-0005-0000-0000-000030530000}"/>
    <cellStyle name="Normal 2 2 2 23 2 6" xfId="22080" xr:uid="{00000000-0005-0000-0000-000031530000}"/>
    <cellStyle name="Normal 2 2 2 23 3" xfId="22081" xr:uid="{00000000-0005-0000-0000-000032530000}"/>
    <cellStyle name="Normal 2 2 2 23 3 2" xfId="22082" xr:uid="{00000000-0005-0000-0000-000033530000}"/>
    <cellStyle name="Normal 2 2 2 23 3 3" xfId="22083" xr:uid="{00000000-0005-0000-0000-000034530000}"/>
    <cellStyle name="Normal 2 2 2 23 3 4" xfId="22084" xr:uid="{00000000-0005-0000-0000-000035530000}"/>
    <cellStyle name="Normal 2 2 2 23 3 5" xfId="22085" xr:uid="{00000000-0005-0000-0000-000036530000}"/>
    <cellStyle name="Normal 2 2 2 23 3 6" xfId="22086" xr:uid="{00000000-0005-0000-0000-000037530000}"/>
    <cellStyle name="Normal 2 2 2 23 4" xfId="22087" xr:uid="{00000000-0005-0000-0000-000038530000}"/>
    <cellStyle name="Normal 2 2 2 23 4 2" xfId="22088" xr:uid="{00000000-0005-0000-0000-000039530000}"/>
    <cellStyle name="Normal 2 2 2 23 4 3" xfId="22089" xr:uid="{00000000-0005-0000-0000-00003A530000}"/>
    <cellStyle name="Normal 2 2 2 23 4 4" xfId="22090" xr:uid="{00000000-0005-0000-0000-00003B530000}"/>
    <cellStyle name="Normal 2 2 2 23 4 5" xfId="22091" xr:uid="{00000000-0005-0000-0000-00003C530000}"/>
    <cellStyle name="Normal 2 2 2 23 4 6" xfId="22092" xr:uid="{00000000-0005-0000-0000-00003D530000}"/>
    <cellStyle name="Normal 2 2 2 23 5" xfId="22093" xr:uid="{00000000-0005-0000-0000-00003E530000}"/>
    <cellStyle name="Normal 2 2 2 23 5 2" xfId="22094" xr:uid="{00000000-0005-0000-0000-00003F530000}"/>
    <cellStyle name="Normal 2 2 2 23 5 3" xfId="22095" xr:uid="{00000000-0005-0000-0000-000040530000}"/>
    <cellStyle name="Normal 2 2 2 23 5 4" xfId="22096" xr:uid="{00000000-0005-0000-0000-000041530000}"/>
    <cellStyle name="Normal 2 2 2 23 5 5" xfId="22097" xr:uid="{00000000-0005-0000-0000-000042530000}"/>
    <cellStyle name="Normal 2 2 2 23 5 6" xfId="22098" xr:uid="{00000000-0005-0000-0000-000043530000}"/>
    <cellStyle name="Normal 2 2 2 23 6" xfId="22099" xr:uid="{00000000-0005-0000-0000-000044530000}"/>
    <cellStyle name="Normal 2 2 2 23 6 2" xfId="22100" xr:uid="{00000000-0005-0000-0000-000045530000}"/>
    <cellStyle name="Normal 2 2 2 23 6 3" xfId="22101" xr:uid="{00000000-0005-0000-0000-000046530000}"/>
    <cellStyle name="Normal 2 2 2 23 6 4" xfId="22102" xr:uid="{00000000-0005-0000-0000-000047530000}"/>
    <cellStyle name="Normal 2 2 2 23 6 5" xfId="22103" xr:uid="{00000000-0005-0000-0000-000048530000}"/>
    <cellStyle name="Normal 2 2 2 23 6 6" xfId="22104" xr:uid="{00000000-0005-0000-0000-000049530000}"/>
    <cellStyle name="Normal 2 2 2 23 7" xfId="22105" xr:uid="{00000000-0005-0000-0000-00004A530000}"/>
    <cellStyle name="Normal 2 2 2 23 7 2" xfId="22106" xr:uid="{00000000-0005-0000-0000-00004B530000}"/>
    <cellStyle name="Normal 2 2 2 23 7 3" xfId="22107" xr:uid="{00000000-0005-0000-0000-00004C530000}"/>
    <cellStyle name="Normal 2 2 2 23 7 4" xfId="22108" xr:uid="{00000000-0005-0000-0000-00004D530000}"/>
    <cellStyle name="Normal 2 2 2 23 7 5" xfId="22109" xr:uid="{00000000-0005-0000-0000-00004E530000}"/>
    <cellStyle name="Normal 2 2 2 23 7 6" xfId="22110" xr:uid="{00000000-0005-0000-0000-00004F530000}"/>
    <cellStyle name="Normal 2 2 2 23 8" xfId="22111" xr:uid="{00000000-0005-0000-0000-000050530000}"/>
    <cellStyle name="Normal 2 2 2 23 8 2" xfId="22112" xr:uid="{00000000-0005-0000-0000-000051530000}"/>
    <cellStyle name="Normal 2 2 2 23 8 3" xfId="22113" xr:uid="{00000000-0005-0000-0000-000052530000}"/>
    <cellStyle name="Normal 2 2 2 23 8 4" xfId="22114" xr:uid="{00000000-0005-0000-0000-000053530000}"/>
    <cellStyle name="Normal 2 2 2 23 8 5" xfId="22115" xr:uid="{00000000-0005-0000-0000-000054530000}"/>
    <cellStyle name="Normal 2 2 2 23 8 6" xfId="22116" xr:uid="{00000000-0005-0000-0000-000055530000}"/>
    <cellStyle name="Normal 2 2 2 23 9" xfId="22117" xr:uid="{00000000-0005-0000-0000-000056530000}"/>
    <cellStyle name="Normal 2 2 2 24" xfId="22118" xr:uid="{00000000-0005-0000-0000-000057530000}"/>
    <cellStyle name="Normal 2 2 2 24 10" xfId="22119" xr:uid="{00000000-0005-0000-0000-000058530000}"/>
    <cellStyle name="Normal 2 2 2 24 11" xfId="22120" xr:uid="{00000000-0005-0000-0000-000059530000}"/>
    <cellStyle name="Normal 2 2 2 24 12" xfId="22121" xr:uid="{00000000-0005-0000-0000-00005A530000}"/>
    <cellStyle name="Normal 2 2 2 24 13" xfId="22122" xr:uid="{00000000-0005-0000-0000-00005B530000}"/>
    <cellStyle name="Normal 2 2 2 24 14" xfId="22123" xr:uid="{00000000-0005-0000-0000-00005C530000}"/>
    <cellStyle name="Normal 2 2 2 24 2" xfId="22124" xr:uid="{00000000-0005-0000-0000-00005D530000}"/>
    <cellStyle name="Normal 2 2 2 24 2 2" xfId="22125" xr:uid="{00000000-0005-0000-0000-00005E530000}"/>
    <cellStyle name="Normal 2 2 2 24 2 3" xfId="22126" xr:uid="{00000000-0005-0000-0000-00005F530000}"/>
    <cellStyle name="Normal 2 2 2 24 2 4" xfId="22127" xr:uid="{00000000-0005-0000-0000-000060530000}"/>
    <cellStyle name="Normal 2 2 2 24 2 5" xfId="22128" xr:uid="{00000000-0005-0000-0000-000061530000}"/>
    <cellStyle name="Normal 2 2 2 24 2 6" xfId="22129" xr:uid="{00000000-0005-0000-0000-000062530000}"/>
    <cellStyle name="Normal 2 2 2 24 3" xfId="22130" xr:uid="{00000000-0005-0000-0000-000063530000}"/>
    <cellStyle name="Normal 2 2 2 24 3 2" xfId="22131" xr:uid="{00000000-0005-0000-0000-000064530000}"/>
    <cellStyle name="Normal 2 2 2 24 3 3" xfId="22132" xr:uid="{00000000-0005-0000-0000-000065530000}"/>
    <cellStyle name="Normal 2 2 2 24 3 4" xfId="22133" xr:uid="{00000000-0005-0000-0000-000066530000}"/>
    <cellStyle name="Normal 2 2 2 24 3 5" xfId="22134" xr:uid="{00000000-0005-0000-0000-000067530000}"/>
    <cellStyle name="Normal 2 2 2 24 3 6" xfId="22135" xr:uid="{00000000-0005-0000-0000-000068530000}"/>
    <cellStyle name="Normal 2 2 2 24 4" xfId="22136" xr:uid="{00000000-0005-0000-0000-000069530000}"/>
    <cellStyle name="Normal 2 2 2 24 4 2" xfId="22137" xr:uid="{00000000-0005-0000-0000-00006A530000}"/>
    <cellStyle name="Normal 2 2 2 24 4 3" xfId="22138" xr:uid="{00000000-0005-0000-0000-00006B530000}"/>
    <cellStyle name="Normal 2 2 2 24 4 4" xfId="22139" xr:uid="{00000000-0005-0000-0000-00006C530000}"/>
    <cellStyle name="Normal 2 2 2 24 4 5" xfId="22140" xr:uid="{00000000-0005-0000-0000-00006D530000}"/>
    <cellStyle name="Normal 2 2 2 24 4 6" xfId="22141" xr:uid="{00000000-0005-0000-0000-00006E530000}"/>
    <cellStyle name="Normal 2 2 2 24 5" xfId="22142" xr:uid="{00000000-0005-0000-0000-00006F530000}"/>
    <cellStyle name="Normal 2 2 2 24 5 2" xfId="22143" xr:uid="{00000000-0005-0000-0000-000070530000}"/>
    <cellStyle name="Normal 2 2 2 24 5 3" xfId="22144" xr:uid="{00000000-0005-0000-0000-000071530000}"/>
    <cellStyle name="Normal 2 2 2 24 5 4" xfId="22145" xr:uid="{00000000-0005-0000-0000-000072530000}"/>
    <cellStyle name="Normal 2 2 2 24 5 5" xfId="22146" xr:uid="{00000000-0005-0000-0000-000073530000}"/>
    <cellStyle name="Normal 2 2 2 24 5 6" xfId="22147" xr:uid="{00000000-0005-0000-0000-000074530000}"/>
    <cellStyle name="Normal 2 2 2 24 6" xfId="22148" xr:uid="{00000000-0005-0000-0000-000075530000}"/>
    <cellStyle name="Normal 2 2 2 24 6 2" xfId="22149" xr:uid="{00000000-0005-0000-0000-000076530000}"/>
    <cellStyle name="Normal 2 2 2 24 6 3" xfId="22150" xr:uid="{00000000-0005-0000-0000-000077530000}"/>
    <cellStyle name="Normal 2 2 2 24 6 4" xfId="22151" xr:uid="{00000000-0005-0000-0000-000078530000}"/>
    <cellStyle name="Normal 2 2 2 24 6 5" xfId="22152" xr:uid="{00000000-0005-0000-0000-000079530000}"/>
    <cellStyle name="Normal 2 2 2 24 6 6" xfId="22153" xr:uid="{00000000-0005-0000-0000-00007A530000}"/>
    <cellStyle name="Normal 2 2 2 24 7" xfId="22154" xr:uid="{00000000-0005-0000-0000-00007B530000}"/>
    <cellStyle name="Normal 2 2 2 24 7 2" xfId="22155" xr:uid="{00000000-0005-0000-0000-00007C530000}"/>
    <cellStyle name="Normal 2 2 2 24 7 3" xfId="22156" xr:uid="{00000000-0005-0000-0000-00007D530000}"/>
    <cellStyle name="Normal 2 2 2 24 7 4" xfId="22157" xr:uid="{00000000-0005-0000-0000-00007E530000}"/>
    <cellStyle name="Normal 2 2 2 24 7 5" xfId="22158" xr:uid="{00000000-0005-0000-0000-00007F530000}"/>
    <cellStyle name="Normal 2 2 2 24 7 6" xfId="22159" xr:uid="{00000000-0005-0000-0000-000080530000}"/>
    <cellStyle name="Normal 2 2 2 24 8" xfId="22160" xr:uid="{00000000-0005-0000-0000-000081530000}"/>
    <cellStyle name="Normal 2 2 2 24 8 2" xfId="22161" xr:uid="{00000000-0005-0000-0000-000082530000}"/>
    <cellStyle name="Normal 2 2 2 24 8 3" xfId="22162" xr:uid="{00000000-0005-0000-0000-000083530000}"/>
    <cellStyle name="Normal 2 2 2 24 8 4" xfId="22163" xr:uid="{00000000-0005-0000-0000-000084530000}"/>
    <cellStyle name="Normal 2 2 2 24 8 5" xfId="22164" xr:uid="{00000000-0005-0000-0000-000085530000}"/>
    <cellStyle name="Normal 2 2 2 24 8 6" xfId="22165" xr:uid="{00000000-0005-0000-0000-000086530000}"/>
    <cellStyle name="Normal 2 2 2 24 9" xfId="22166" xr:uid="{00000000-0005-0000-0000-000087530000}"/>
    <cellStyle name="Normal 2 2 2 25" xfId="22167" xr:uid="{00000000-0005-0000-0000-000088530000}"/>
    <cellStyle name="Normal 2 2 2 25 10" xfId="22168" xr:uid="{00000000-0005-0000-0000-000089530000}"/>
    <cellStyle name="Normal 2 2 2 25 11" xfId="22169" xr:uid="{00000000-0005-0000-0000-00008A530000}"/>
    <cellStyle name="Normal 2 2 2 25 12" xfId="22170" xr:uid="{00000000-0005-0000-0000-00008B530000}"/>
    <cellStyle name="Normal 2 2 2 25 13" xfId="22171" xr:uid="{00000000-0005-0000-0000-00008C530000}"/>
    <cellStyle name="Normal 2 2 2 25 14" xfId="22172" xr:uid="{00000000-0005-0000-0000-00008D530000}"/>
    <cellStyle name="Normal 2 2 2 25 2" xfId="22173" xr:uid="{00000000-0005-0000-0000-00008E530000}"/>
    <cellStyle name="Normal 2 2 2 25 2 2" xfId="22174" xr:uid="{00000000-0005-0000-0000-00008F530000}"/>
    <cellStyle name="Normal 2 2 2 25 2 3" xfId="22175" xr:uid="{00000000-0005-0000-0000-000090530000}"/>
    <cellStyle name="Normal 2 2 2 25 2 4" xfId="22176" xr:uid="{00000000-0005-0000-0000-000091530000}"/>
    <cellStyle name="Normal 2 2 2 25 2 5" xfId="22177" xr:uid="{00000000-0005-0000-0000-000092530000}"/>
    <cellStyle name="Normal 2 2 2 25 2 6" xfId="22178" xr:uid="{00000000-0005-0000-0000-000093530000}"/>
    <cellStyle name="Normal 2 2 2 25 3" xfId="22179" xr:uid="{00000000-0005-0000-0000-000094530000}"/>
    <cellStyle name="Normal 2 2 2 25 3 2" xfId="22180" xr:uid="{00000000-0005-0000-0000-000095530000}"/>
    <cellStyle name="Normal 2 2 2 25 3 3" xfId="22181" xr:uid="{00000000-0005-0000-0000-000096530000}"/>
    <cellStyle name="Normal 2 2 2 25 3 4" xfId="22182" xr:uid="{00000000-0005-0000-0000-000097530000}"/>
    <cellStyle name="Normal 2 2 2 25 3 5" xfId="22183" xr:uid="{00000000-0005-0000-0000-000098530000}"/>
    <cellStyle name="Normal 2 2 2 25 3 6" xfId="22184" xr:uid="{00000000-0005-0000-0000-000099530000}"/>
    <cellStyle name="Normal 2 2 2 25 4" xfId="22185" xr:uid="{00000000-0005-0000-0000-00009A530000}"/>
    <cellStyle name="Normal 2 2 2 25 4 2" xfId="22186" xr:uid="{00000000-0005-0000-0000-00009B530000}"/>
    <cellStyle name="Normal 2 2 2 25 4 3" xfId="22187" xr:uid="{00000000-0005-0000-0000-00009C530000}"/>
    <cellStyle name="Normal 2 2 2 25 4 4" xfId="22188" xr:uid="{00000000-0005-0000-0000-00009D530000}"/>
    <cellStyle name="Normal 2 2 2 25 4 5" xfId="22189" xr:uid="{00000000-0005-0000-0000-00009E530000}"/>
    <cellStyle name="Normal 2 2 2 25 4 6" xfId="22190" xr:uid="{00000000-0005-0000-0000-00009F530000}"/>
    <cellStyle name="Normal 2 2 2 25 5" xfId="22191" xr:uid="{00000000-0005-0000-0000-0000A0530000}"/>
    <cellStyle name="Normal 2 2 2 25 5 2" xfId="22192" xr:uid="{00000000-0005-0000-0000-0000A1530000}"/>
    <cellStyle name="Normal 2 2 2 25 5 3" xfId="22193" xr:uid="{00000000-0005-0000-0000-0000A2530000}"/>
    <cellStyle name="Normal 2 2 2 25 5 4" xfId="22194" xr:uid="{00000000-0005-0000-0000-0000A3530000}"/>
    <cellStyle name="Normal 2 2 2 25 5 5" xfId="22195" xr:uid="{00000000-0005-0000-0000-0000A4530000}"/>
    <cellStyle name="Normal 2 2 2 25 5 6" xfId="22196" xr:uid="{00000000-0005-0000-0000-0000A5530000}"/>
    <cellStyle name="Normal 2 2 2 25 6" xfId="22197" xr:uid="{00000000-0005-0000-0000-0000A6530000}"/>
    <cellStyle name="Normal 2 2 2 25 6 2" xfId="22198" xr:uid="{00000000-0005-0000-0000-0000A7530000}"/>
    <cellStyle name="Normal 2 2 2 25 6 3" xfId="22199" xr:uid="{00000000-0005-0000-0000-0000A8530000}"/>
    <cellStyle name="Normal 2 2 2 25 6 4" xfId="22200" xr:uid="{00000000-0005-0000-0000-0000A9530000}"/>
    <cellStyle name="Normal 2 2 2 25 6 5" xfId="22201" xr:uid="{00000000-0005-0000-0000-0000AA530000}"/>
    <cellStyle name="Normal 2 2 2 25 6 6" xfId="22202" xr:uid="{00000000-0005-0000-0000-0000AB530000}"/>
    <cellStyle name="Normal 2 2 2 25 7" xfId="22203" xr:uid="{00000000-0005-0000-0000-0000AC530000}"/>
    <cellStyle name="Normal 2 2 2 25 7 2" xfId="22204" xr:uid="{00000000-0005-0000-0000-0000AD530000}"/>
    <cellStyle name="Normal 2 2 2 25 7 3" xfId="22205" xr:uid="{00000000-0005-0000-0000-0000AE530000}"/>
    <cellStyle name="Normal 2 2 2 25 7 4" xfId="22206" xr:uid="{00000000-0005-0000-0000-0000AF530000}"/>
    <cellStyle name="Normal 2 2 2 25 7 5" xfId="22207" xr:uid="{00000000-0005-0000-0000-0000B0530000}"/>
    <cellStyle name="Normal 2 2 2 25 7 6" xfId="22208" xr:uid="{00000000-0005-0000-0000-0000B1530000}"/>
    <cellStyle name="Normal 2 2 2 25 8" xfId="22209" xr:uid="{00000000-0005-0000-0000-0000B2530000}"/>
    <cellStyle name="Normal 2 2 2 25 8 2" xfId="22210" xr:uid="{00000000-0005-0000-0000-0000B3530000}"/>
    <cellStyle name="Normal 2 2 2 25 8 3" xfId="22211" xr:uid="{00000000-0005-0000-0000-0000B4530000}"/>
    <cellStyle name="Normal 2 2 2 25 8 4" xfId="22212" xr:uid="{00000000-0005-0000-0000-0000B5530000}"/>
    <cellStyle name="Normal 2 2 2 25 8 5" xfId="22213" xr:uid="{00000000-0005-0000-0000-0000B6530000}"/>
    <cellStyle name="Normal 2 2 2 25 8 6" xfId="22214" xr:uid="{00000000-0005-0000-0000-0000B7530000}"/>
    <cellStyle name="Normal 2 2 2 25 9" xfId="22215" xr:uid="{00000000-0005-0000-0000-0000B8530000}"/>
    <cellStyle name="Normal 2 2 2 26" xfId="22216" xr:uid="{00000000-0005-0000-0000-0000B9530000}"/>
    <cellStyle name="Normal 2 2 2 26 10" xfId="22217" xr:uid="{00000000-0005-0000-0000-0000BA530000}"/>
    <cellStyle name="Normal 2 2 2 26 11" xfId="22218" xr:uid="{00000000-0005-0000-0000-0000BB530000}"/>
    <cellStyle name="Normal 2 2 2 26 12" xfId="22219" xr:uid="{00000000-0005-0000-0000-0000BC530000}"/>
    <cellStyle name="Normal 2 2 2 26 13" xfId="22220" xr:uid="{00000000-0005-0000-0000-0000BD530000}"/>
    <cellStyle name="Normal 2 2 2 26 14" xfId="22221" xr:uid="{00000000-0005-0000-0000-0000BE530000}"/>
    <cellStyle name="Normal 2 2 2 26 2" xfId="22222" xr:uid="{00000000-0005-0000-0000-0000BF530000}"/>
    <cellStyle name="Normal 2 2 2 26 2 2" xfId="22223" xr:uid="{00000000-0005-0000-0000-0000C0530000}"/>
    <cellStyle name="Normal 2 2 2 26 2 3" xfId="22224" xr:uid="{00000000-0005-0000-0000-0000C1530000}"/>
    <cellStyle name="Normal 2 2 2 26 2 4" xfId="22225" xr:uid="{00000000-0005-0000-0000-0000C2530000}"/>
    <cellStyle name="Normal 2 2 2 26 2 5" xfId="22226" xr:uid="{00000000-0005-0000-0000-0000C3530000}"/>
    <cellStyle name="Normal 2 2 2 26 2 6" xfId="22227" xr:uid="{00000000-0005-0000-0000-0000C4530000}"/>
    <cellStyle name="Normal 2 2 2 26 3" xfId="22228" xr:uid="{00000000-0005-0000-0000-0000C5530000}"/>
    <cellStyle name="Normal 2 2 2 26 3 2" xfId="22229" xr:uid="{00000000-0005-0000-0000-0000C6530000}"/>
    <cellStyle name="Normal 2 2 2 26 3 3" xfId="22230" xr:uid="{00000000-0005-0000-0000-0000C7530000}"/>
    <cellStyle name="Normal 2 2 2 26 3 4" xfId="22231" xr:uid="{00000000-0005-0000-0000-0000C8530000}"/>
    <cellStyle name="Normal 2 2 2 26 3 5" xfId="22232" xr:uid="{00000000-0005-0000-0000-0000C9530000}"/>
    <cellStyle name="Normal 2 2 2 26 3 6" xfId="22233" xr:uid="{00000000-0005-0000-0000-0000CA530000}"/>
    <cellStyle name="Normal 2 2 2 26 4" xfId="22234" xr:uid="{00000000-0005-0000-0000-0000CB530000}"/>
    <cellStyle name="Normal 2 2 2 26 4 2" xfId="22235" xr:uid="{00000000-0005-0000-0000-0000CC530000}"/>
    <cellStyle name="Normal 2 2 2 26 4 3" xfId="22236" xr:uid="{00000000-0005-0000-0000-0000CD530000}"/>
    <cellStyle name="Normal 2 2 2 26 4 4" xfId="22237" xr:uid="{00000000-0005-0000-0000-0000CE530000}"/>
    <cellStyle name="Normal 2 2 2 26 4 5" xfId="22238" xr:uid="{00000000-0005-0000-0000-0000CF530000}"/>
    <cellStyle name="Normal 2 2 2 26 4 6" xfId="22239" xr:uid="{00000000-0005-0000-0000-0000D0530000}"/>
    <cellStyle name="Normal 2 2 2 26 5" xfId="22240" xr:uid="{00000000-0005-0000-0000-0000D1530000}"/>
    <cellStyle name="Normal 2 2 2 26 5 2" xfId="22241" xr:uid="{00000000-0005-0000-0000-0000D2530000}"/>
    <cellStyle name="Normal 2 2 2 26 5 3" xfId="22242" xr:uid="{00000000-0005-0000-0000-0000D3530000}"/>
    <cellStyle name="Normal 2 2 2 26 5 4" xfId="22243" xr:uid="{00000000-0005-0000-0000-0000D4530000}"/>
    <cellStyle name="Normal 2 2 2 26 5 5" xfId="22244" xr:uid="{00000000-0005-0000-0000-0000D5530000}"/>
    <cellStyle name="Normal 2 2 2 26 5 6" xfId="22245" xr:uid="{00000000-0005-0000-0000-0000D6530000}"/>
    <cellStyle name="Normal 2 2 2 26 6" xfId="22246" xr:uid="{00000000-0005-0000-0000-0000D7530000}"/>
    <cellStyle name="Normal 2 2 2 26 6 2" xfId="22247" xr:uid="{00000000-0005-0000-0000-0000D8530000}"/>
    <cellStyle name="Normal 2 2 2 26 6 3" xfId="22248" xr:uid="{00000000-0005-0000-0000-0000D9530000}"/>
    <cellStyle name="Normal 2 2 2 26 6 4" xfId="22249" xr:uid="{00000000-0005-0000-0000-0000DA530000}"/>
    <cellStyle name="Normal 2 2 2 26 6 5" xfId="22250" xr:uid="{00000000-0005-0000-0000-0000DB530000}"/>
    <cellStyle name="Normal 2 2 2 26 6 6" xfId="22251" xr:uid="{00000000-0005-0000-0000-0000DC530000}"/>
    <cellStyle name="Normal 2 2 2 26 7" xfId="22252" xr:uid="{00000000-0005-0000-0000-0000DD530000}"/>
    <cellStyle name="Normal 2 2 2 26 7 2" xfId="22253" xr:uid="{00000000-0005-0000-0000-0000DE530000}"/>
    <cellStyle name="Normal 2 2 2 26 7 3" xfId="22254" xr:uid="{00000000-0005-0000-0000-0000DF530000}"/>
    <cellStyle name="Normal 2 2 2 26 7 4" xfId="22255" xr:uid="{00000000-0005-0000-0000-0000E0530000}"/>
    <cellStyle name="Normal 2 2 2 26 7 5" xfId="22256" xr:uid="{00000000-0005-0000-0000-0000E1530000}"/>
    <cellStyle name="Normal 2 2 2 26 7 6" xfId="22257" xr:uid="{00000000-0005-0000-0000-0000E2530000}"/>
    <cellStyle name="Normal 2 2 2 26 8" xfId="22258" xr:uid="{00000000-0005-0000-0000-0000E3530000}"/>
    <cellStyle name="Normal 2 2 2 26 8 2" xfId="22259" xr:uid="{00000000-0005-0000-0000-0000E4530000}"/>
    <cellStyle name="Normal 2 2 2 26 8 3" xfId="22260" xr:uid="{00000000-0005-0000-0000-0000E5530000}"/>
    <cellStyle name="Normal 2 2 2 26 8 4" xfId="22261" xr:uid="{00000000-0005-0000-0000-0000E6530000}"/>
    <cellStyle name="Normal 2 2 2 26 8 5" xfId="22262" xr:uid="{00000000-0005-0000-0000-0000E7530000}"/>
    <cellStyle name="Normal 2 2 2 26 8 6" xfId="22263" xr:uid="{00000000-0005-0000-0000-0000E8530000}"/>
    <cellStyle name="Normal 2 2 2 26 9" xfId="22264" xr:uid="{00000000-0005-0000-0000-0000E9530000}"/>
    <cellStyle name="Normal 2 2 2 27" xfId="22265" xr:uid="{00000000-0005-0000-0000-0000EA530000}"/>
    <cellStyle name="Normal 2 2 2 27 10" xfId="22266" xr:uid="{00000000-0005-0000-0000-0000EB530000}"/>
    <cellStyle name="Normal 2 2 2 27 11" xfId="22267" xr:uid="{00000000-0005-0000-0000-0000EC530000}"/>
    <cellStyle name="Normal 2 2 2 27 12" xfId="22268" xr:uid="{00000000-0005-0000-0000-0000ED530000}"/>
    <cellStyle name="Normal 2 2 2 27 13" xfId="22269" xr:uid="{00000000-0005-0000-0000-0000EE530000}"/>
    <cellStyle name="Normal 2 2 2 27 14" xfId="22270" xr:uid="{00000000-0005-0000-0000-0000EF530000}"/>
    <cellStyle name="Normal 2 2 2 27 2" xfId="22271" xr:uid="{00000000-0005-0000-0000-0000F0530000}"/>
    <cellStyle name="Normal 2 2 2 27 2 2" xfId="22272" xr:uid="{00000000-0005-0000-0000-0000F1530000}"/>
    <cellStyle name="Normal 2 2 2 27 2 3" xfId="22273" xr:uid="{00000000-0005-0000-0000-0000F2530000}"/>
    <cellStyle name="Normal 2 2 2 27 2 4" xfId="22274" xr:uid="{00000000-0005-0000-0000-0000F3530000}"/>
    <cellStyle name="Normal 2 2 2 27 2 5" xfId="22275" xr:uid="{00000000-0005-0000-0000-0000F4530000}"/>
    <cellStyle name="Normal 2 2 2 27 2 6" xfId="22276" xr:uid="{00000000-0005-0000-0000-0000F5530000}"/>
    <cellStyle name="Normal 2 2 2 27 3" xfId="22277" xr:uid="{00000000-0005-0000-0000-0000F6530000}"/>
    <cellStyle name="Normal 2 2 2 27 3 2" xfId="22278" xr:uid="{00000000-0005-0000-0000-0000F7530000}"/>
    <cellStyle name="Normal 2 2 2 27 3 3" xfId="22279" xr:uid="{00000000-0005-0000-0000-0000F8530000}"/>
    <cellStyle name="Normal 2 2 2 27 3 4" xfId="22280" xr:uid="{00000000-0005-0000-0000-0000F9530000}"/>
    <cellStyle name="Normal 2 2 2 27 3 5" xfId="22281" xr:uid="{00000000-0005-0000-0000-0000FA530000}"/>
    <cellStyle name="Normal 2 2 2 27 3 6" xfId="22282" xr:uid="{00000000-0005-0000-0000-0000FB530000}"/>
    <cellStyle name="Normal 2 2 2 27 4" xfId="22283" xr:uid="{00000000-0005-0000-0000-0000FC530000}"/>
    <cellStyle name="Normal 2 2 2 27 4 2" xfId="22284" xr:uid="{00000000-0005-0000-0000-0000FD530000}"/>
    <cellStyle name="Normal 2 2 2 27 4 3" xfId="22285" xr:uid="{00000000-0005-0000-0000-0000FE530000}"/>
    <cellStyle name="Normal 2 2 2 27 4 4" xfId="22286" xr:uid="{00000000-0005-0000-0000-0000FF530000}"/>
    <cellStyle name="Normal 2 2 2 27 4 5" xfId="22287" xr:uid="{00000000-0005-0000-0000-000000540000}"/>
    <cellStyle name="Normal 2 2 2 27 4 6" xfId="22288" xr:uid="{00000000-0005-0000-0000-000001540000}"/>
    <cellStyle name="Normal 2 2 2 27 5" xfId="22289" xr:uid="{00000000-0005-0000-0000-000002540000}"/>
    <cellStyle name="Normal 2 2 2 27 5 2" xfId="22290" xr:uid="{00000000-0005-0000-0000-000003540000}"/>
    <cellStyle name="Normal 2 2 2 27 5 3" xfId="22291" xr:uid="{00000000-0005-0000-0000-000004540000}"/>
    <cellStyle name="Normal 2 2 2 27 5 4" xfId="22292" xr:uid="{00000000-0005-0000-0000-000005540000}"/>
    <cellStyle name="Normal 2 2 2 27 5 5" xfId="22293" xr:uid="{00000000-0005-0000-0000-000006540000}"/>
    <cellStyle name="Normal 2 2 2 27 5 6" xfId="22294" xr:uid="{00000000-0005-0000-0000-000007540000}"/>
    <cellStyle name="Normal 2 2 2 27 6" xfId="22295" xr:uid="{00000000-0005-0000-0000-000008540000}"/>
    <cellStyle name="Normal 2 2 2 27 6 2" xfId="22296" xr:uid="{00000000-0005-0000-0000-000009540000}"/>
    <cellStyle name="Normal 2 2 2 27 6 3" xfId="22297" xr:uid="{00000000-0005-0000-0000-00000A540000}"/>
    <cellStyle name="Normal 2 2 2 27 6 4" xfId="22298" xr:uid="{00000000-0005-0000-0000-00000B540000}"/>
    <cellStyle name="Normal 2 2 2 27 6 5" xfId="22299" xr:uid="{00000000-0005-0000-0000-00000C540000}"/>
    <cellStyle name="Normal 2 2 2 27 6 6" xfId="22300" xr:uid="{00000000-0005-0000-0000-00000D540000}"/>
    <cellStyle name="Normal 2 2 2 27 7" xfId="22301" xr:uid="{00000000-0005-0000-0000-00000E540000}"/>
    <cellStyle name="Normal 2 2 2 27 7 2" xfId="22302" xr:uid="{00000000-0005-0000-0000-00000F540000}"/>
    <cellStyle name="Normal 2 2 2 27 7 3" xfId="22303" xr:uid="{00000000-0005-0000-0000-000010540000}"/>
    <cellStyle name="Normal 2 2 2 27 7 4" xfId="22304" xr:uid="{00000000-0005-0000-0000-000011540000}"/>
    <cellStyle name="Normal 2 2 2 27 7 5" xfId="22305" xr:uid="{00000000-0005-0000-0000-000012540000}"/>
    <cellStyle name="Normal 2 2 2 27 7 6" xfId="22306" xr:uid="{00000000-0005-0000-0000-000013540000}"/>
    <cellStyle name="Normal 2 2 2 27 8" xfId="22307" xr:uid="{00000000-0005-0000-0000-000014540000}"/>
    <cellStyle name="Normal 2 2 2 27 8 2" xfId="22308" xr:uid="{00000000-0005-0000-0000-000015540000}"/>
    <cellStyle name="Normal 2 2 2 27 8 3" xfId="22309" xr:uid="{00000000-0005-0000-0000-000016540000}"/>
    <cellStyle name="Normal 2 2 2 27 8 4" xfId="22310" xr:uid="{00000000-0005-0000-0000-000017540000}"/>
    <cellStyle name="Normal 2 2 2 27 8 5" xfId="22311" xr:uid="{00000000-0005-0000-0000-000018540000}"/>
    <cellStyle name="Normal 2 2 2 27 8 6" xfId="22312" xr:uid="{00000000-0005-0000-0000-000019540000}"/>
    <cellStyle name="Normal 2 2 2 27 9" xfId="22313" xr:uid="{00000000-0005-0000-0000-00001A540000}"/>
    <cellStyle name="Normal 2 2 2 28" xfId="22314" xr:uid="{00000000-0005-0000-0000-00001B540000}"/>
    <cellStyle name="Normal 2 2 2 28 10" xfId="22315" xr:uid="{00000000-0005-0000-0000-00001C540000}"/>
    <cellStyle name="Normal 2 2 2 28 11" xfId="22316" xr:uid="{00000000-0005-0000-0000-00001D540000}"/>
    <cellStyle name="Normal 2 2 2 28 12" xfId="22317" xr:uid="{00000000-0005-0000-0000-00001E540000}"/>
    <cellStyle name="Normal 2 2 2 28 13" xfId="22318" xr:uid="{00000000-0005-0000-0000-00001F540000}"/>
    <cellStyle name="Normal 2 2 2 28 14" xfId="22319" xr:uid="{00000000-0005-0000-0000-000020540000}"/>
    <cellStyle name="Normal 2 2 2 28 15" xfId="22320" xr:uid="{00000000-0005-0000-0000-000021540000}"/>
    <cellStyle name="Normal 2 2 2 28 16" xfId="22321" xr:uid="{00000000-0005-0000-0000-000022540000}"/>
    <cellStyle name="Normal 2 2 2 28 17" xfId="22322" xr:uid="{00000000-0005-0000-0000-000023540000}"/>
    <cellStyle name="Normal 2 2 2 28 18" xfId="22323" xr:uid="{00000000-0005-0000-0000-000024540000}"/>
    <cellStyle name="Normal 2 2 2 28 19" xfId="22324" xr:uid="{00000000-0005-0000-0000-000025540000}"/>
    <cellStyle name="Normal 2 2 2 28 2" xfId="22325" xr:uid="{00000000-0005-0000-0000-000026540000}"/>
    <cellStyle name="Normal 2 2 2 28 20" xfId="22326" xr:uid="{00000000-0005-0000-0000-000027540000}"/>
    <cellStyle name="Normal 2 2 2 28 21" xfId="22327" xr:uid="{00000000-0005-0000-0000-000028540000}"/>
    <cellStyle name="Normal 2 2 2 28 22" xfId="22328" xr:uid="{00000000-0005-0000-0000-000029540000}"/>
    <cellStyle name="Normal 2 2 2 28 23" xfId="22329" xr:uid="{00000000-0005-0000-0000-00002A540000}"/>
    <cellStyle name="Normal 2 2 2 28 24" xfId="22330" xr:uid="{00000000-0005-0000-0000-00002B540000}"/>
    <cellStyle name="Normal 2 2 2 28 25" xfId="22331" xr:uid="{00000000-0005-0000-0000-00002C540000}"/>
    <cellStyle name="Normal 2 2 2 28 26" xfId="22332" xr:uid="{00000000-0005-0000-0000-00002D540000}"/>
    <cellStyle name="Normal 2 2 2 28 27" xfId="22333" xr:uid="{00000000-0005-0000-0000-00002E540000}"/>
    <cellStyle name="Normal 2 2 2 28 28" xfId="22334" xr:uid="{00000000-0005-0000-0000-00002F540000}"/>
    <cellStyle name="Normal 2 2 2 28 29" xfId="22335" xr:uid="{00000000-0005-0000-0000-000030540000}"/>
    <cellStyle name="Normal 2 2 2 28 3" xfId="22336" xr:uid="{00000000-0005-0000-0000-000031540000}"/>
    <cellStyle name="Normal 2 2 2 28 30" xfId="22337" xr:uid="{00000000-0005-0000-0000-000032540000}"/>
    <cellStyle name="Normal 2 2 2 28 31" xfId="22338" xr:uid="{00000000-0005-0000-0000-000033540000}"/>
    <cellStyle name="Normal 2 2 2 28 32" xfId="22339" xr:uid="{00000000-0005-0000-0000-000034540000}"/>
    <cellStyle name="Normal 2 2 2 28 33" xfId="22340" xr:uid="{00000000-0005-0000-0000-000035540000}"/>
    <cellStyle name="Normal 2 2 2 28 34" xfId="22341" xr:uid="{00000000-0005-0000-0000-000036540000}"/>
    <cellStyle name="Normal 2 2 2 28 35" xfId="22342" xr:uid="{00000000-0005-0000-0000-000037540000}"/>
    <cellStyle name="Normal 2 2 2 28 36" xfId="22343" xr:uid="{00000000-0005-0000-0000-000038540000}"/>
    <cellStyle name="Normal 2 2 2 28 37" xfId="22344" xr:uid="{00000000-0005-0000-0000-000039540000}"/>
    <cellStyle name="Normal 2 2 2 28 38" xfId="22345" xr:uid="{00000000-0005-0000-0000-00003A540000}"/>
    <cellStyle name="Normal 2 2 2 28 4" xfId="22346" xr:uid="{00000000-0005-0000-0000-00003B540000}"/>
    <cellStyle name="Normal 2 2 2 28 5" xfId="22347" xr:uid="{00000000-0005-0000-0000-00003C540000}"/>
    <cellStyle name="Normal 2 2 2 28 6" xfId="22348" xr:uid="{00000000-0005-0000-0000-00003D540000}"/>
    <cellStyle name="Normal 2 2 2 28 7" xfId="22349" xr:uid="{00000000-0005-0000-0000-00003E540000}"/>
    <cellStyle name="Normal 2 2 2 28 8" xfId="22350" xr:uid="{00000000-0005-0000-0000-00003F540000}"/>
    <cellStyle name="Normal 2 2 2 28 9" xfId="22351" xr:uid="{00000000-0005-0000-0000-000040540000}"/>
    <cellStyle name="Normal 2 2 2 29" xfId="22352" xr:uid="{00000000-0005-0000-0000-000041540000}"/>
    <cellStyle name="Normal 2 2 2 29 10" xfId="22353" xr:uid="{00000000-0005-0000-0000-000042540000}"/>
    <cellStyle name="Normal 2 2 2 29 11" xfId="22354" xr:uid="{00000000-0005-0000-0000-000043540000}"/>
    <cellStyle name="Normal 2 2 2 29 12" xfId="22355" xr:uid="{00000000-0005-0000-0000-000044540000}"/>
    <cellStyle name="Normal 2 2 2 29 13" xfId="22356" xr:uid="{00000000-0005-0000-0000-000045540000}"/>
    <cellStyle name="Normal 2 2 2 29 14" xfId="22357" xr:uid="{00000000-0005-0000-0000-000046540000}"/>
    <cellStyle name="Normal 2 2 2 29 15" xfId="22358" xr:uid="{00000000-0005-0000-0000-000047540000}"/>
    <cellStyle name="Normal 2 2 2 29 16" xfId="22359" xr:uid="{00000000-0005-0000-0000-000048540000}"/>
    <cellStyle name="Normal 2 2 2 29 17" xfId="22360" xr:uid="{00000000-0005-0000-0000-000049540000}"/>
    <cellStyle name="Normal 2 2 2 29 18" xfId="22361" xr:uid="{00000000-0005-0000-0000-00004A540000}"/>
    <cellStyle name="Normal 2 2 2 29 19" xfId="22362" xr:uid="{00000000-0005-0000-0000-00004B540000}"/>
    <cellStyle name="Normal 2 2 2 29 2" xfId="22363" xr:uid="{00000000-0005-0000-0000-00004C540000}"/>
    <cellStyle name="Normal 2 2 2 29 20" xfId="22364" xr:uid="{00000000-0005-0000-0000-00004D540000}"/>
    <cellStyle name="Normal 2 2 2 29 21" xfId="22365" xr:uid="{00000000-0005-0000-0000-00004E540000}"/>
    <cellStyle name="Normal 2 2 2 29 22" xfId="22366" xr:uid="{00000000-0005-0000-0000-00004F540000}"/>
    <cellStyle name="Normal 2 2 2 29 23" xfId="22367" xr:uid="{00000000-0005-0000-0000-000050540000}"/>
    <cellStyle name="Normal 2 2 2 29 24" xfId="22368" xr:uid="{00000000-0005-0000-0000-000051540000}"/>
    <cellStyle name="Normal 2 2 2 29 25" xfId="22369" xr:uid="{00000000-0005-0000-0000-000052540000}"/>
    <cellStyle name="Normal 2 2 2 29 26" xfId="22370" xr:uid="{00000000-0005-0000-0000-000053540000}"/>
    <cellStyle name="Normal 2 2 2 29 27" xfId="22371" xr:uid="{00000000-0005-0000-0000-000054540000}"/>
    <cellStyle name="Normal 2 2 2 29 28" xfId="22372" xr:uid="{00000000-0005-0000-0000-000055540000}"/>
    <cellStyle name="Normal 2 2 2 29 29" xfId="22373" xr:uid="{00000000-0005-0000-0000-000056540000}"/>
    <cellStyle name="Normal 2 2 2 29 3" xfId="22374" xr:uid="{00000000-0005-0000-0000-000057540000}"/>
    <cellStyle name="Normal 2 2 2 29 30" xfId="22375" xr:uid="{00000000-0005-0000-0000-000058540000}"/>
    <cellStyle name="Normal 2 2 2 29 31" xfId="22376" xr:uid="{00000000-0005-0000-0000-000059540000}"/>
    <cellStyle name="Normal 2 2 2 29 32" xfId="22377" xr:uid="{00000000-0005-0000-0000-00005A540000}"/>
    <cellStyle name="Normal 2 2 2 29 33" xfId="22378" xr:uid="{00000000-0005-0000-0000-00005B540000}"/>
    <cellStyle name="Normal 2 2 2 29 34" xfId="22379" xr:uid="{00000000-0005-0000-0000-00005C540000}"/>
    <cellStyle name="Normal 2 2 2 29 35" xfId="22380" xr:uid="{00000000-0005-0000-0000-00005D540000}"/>
    <cellStyle name="Normal 2 2 2 29 36" xfId="22381" xr:uid="{00000000-0005-0000-0000-00005E540000}"/>
    <cellStyle name="Normal 2 2 2 29 37" xfId="22382" xr:uid="{00000000-0005-0000-0000-00005F540000}"/>
    <cellStyle name="Normal 2 2 2 29 38" xfId="22383" xr:uid="{00000000-0005-0000-0000-000060540000}"/>
    <cellStyle name="Normal 2 2 2 29 4" xfId="22384" xr:uid="{00000000-0005-0000-0000-000061540000}"/>
    <cellStyle name="Normal 2 2 2 29 5" xfId="22385" xr:uid="{00000000-0005-0000-0000-000062540000}"/>
    <cellStyle name="Normal 2 2 2 29 6" xfId="22386" xr:uid="{00000000-0005-0000-0000-000063540000}"/>
    <cellStyle name="Normal 2 2 2 29 7" xfId="22387" xr:uid="{00000000-0005-0000-0000-000064540000}"/>
    <cellStyle name="Normal 2 2 2 29 8" xfId="22388" xr:uid="{00000000-0005-0000-0000-000065540000}"/>
    <cellStyle name="Normal 2 2 2 29 9" xfId="22389" xr:uid="{00000000-0005-0000-0000-000066540000}"/>
    <cellStyle name="Normal 2 2 2 3" xfId="22390" xr:uid="{00000000-0005-0000-0000-000067540000}"/>
    <cellStyle name="Normal 2 2 2 3 2" xfId="22391" xr:uid="{00000000-0005-0000-0000-000068540000}"/>
    <cellStyle name="Normal 2 2 2 30" xfId="22392" xr:uid="{00000000-0005-0000-0000-000069540000}"/>
    <cellStyle name="Normal 2 2 2 30 10" xfId="22393" xr:uid="{00000000-0005-0000-0000-00006A540000}"/>
    <cellStyle name="Normal 2 2 2 30 11" xfId="22394" xr:uid="{00000000-0005-0000-0000-00006B540000}"/>
    <cellStyle name="Normal 2 2 2 30 12" xfId="22395" xr:uid="{00000000-0005-0000-0000-00006C540000}"/>
    <cellStyle name="Normal 2 2 2 30 13" xfId="22396" xr:uid="{00000000-0005-0000-0000-00006D540000}"/>
    <cellStyle name="Normal 2 2 2 30 14" xfId="22397" xr:uid="{00000000-0005-0000-0000-00006E540000}"/>
    <cellStyle name="Normal 2 2 2 30 15" xfId="22398" xr:uid="{00000000-0005-0000-0000-00006F540000}"/>
    <cellStyle name="Normal 2 2 2 30 16" xfId="22399" xr:uid="{00000000-0005-0000-0000-000070540000}"/>
    <cellStyle name="Normal 2 2 2 30 17" xfId="22400" xr:uid="{00000000-0005-0000-0000-000071540000}"/>
    <cellStyle name="Normal 2 2 2 30 18" xfId="22401" xr:uid="{00000000-0005-0000-0000-000072540000}"/>
    <cellStyle name="Normal 2 2 2 30 19" xfId="22402" xr:uid="{00000000-0005-0000-0000-000073540000}"/>
    <cellStyle name="Normal 2 2 2 30 2" xfId="22403" xr:uid="{00000000-0005-0000-0000-000074540000}"/>
    <cellStyle name="Normal 2 2 2 30 20" xfId="22404" xr:uid="{00000000-0005-0000-0000-000075540000}"/>
    <cellStyle name="Normal 2 2 2 30 21" xfId="22405" xr:uid="{00000000-0005-0000-0000-000076540000}"/>
    <cellStyle name="Normal 2 2 2 30 22" xfId="22406" xr:uid="{00000000-0005-0000-0000-000077540000}"/>
    <cellStyle name="Normal 2 2 2 30 23" xfId="22407" xr:uid="{00000000-0005-0000-0000-000078540000}"/>
    <cellStyle name="Normal 2 2 2 30 24" xfId="22408" xr:uid="{00000000-0005-0000-0000-000079540000}"/>
    <cellStyle name="Normal 2 2 2 30 25" xfId="22409" xr:uid="{00000000-0005-0000-0000-00007A540000}"/>
    <cellStyle name="Normal 2 2 2 30 26" xfId="22410" xr:uid="{00000000-0005-0000-0000-00007B540000}"/>
    <cellStyle name="Normal 2 2 2 30 27" xfId="22411" xr:uid="{00000000-0005-0000-0000-00007C540000}"/>
    <cellStyle name="Normal 2 2 2 30 28" xfId="22412" xr:uid="{00000000-0005-0000-0000-00007D540000}"/>
    <cellStyle name="Normal 2 2 2 30 29" xfId="22413" xr:uid="{00000000-0005-0000-0000-00007E540000}"/>
    <cellStyle name="Normal 2 2 2 30 3" xfId="22414" xr:uid="{00000000-0005-0000-0000-00007F540000}"/>
    <cellStyle name="Normal 2 2 2 30 30" xfId="22415" xr:uid="{00000000-0005-0000-0000-000080540000}"/>
    <cellStyle name="Normal 2 2 2 30 31" xfId="22416" xr:uid="{00000000-0005-0000-0000-000081540000}"/>
    <cellStyle name="Normal 2 2 2 30 32" xfId="22417" xr:uid="{00000000-0005-0000-0000-000082540000}"/>
    <cellStyle name="Normal 2 2 2 30 33" xfId="22418" xr:uid="{00000000-0005-0000-0000-000083540000}"/>
    <cellStyle name="Normal 2 2 2 30 34" xfId="22419" xr:uid="{00000000-0005-0000-0000-000084540000}"/>
    <cellStyle name="Normal 2 2 2 30 35" xfId="22420" xr:uid="{00000000-0005-0000-0000-000085540000}"/>
    <cellStyle name="Normal 2 2 2 30 36" xfId="22421" xr:uid="{00000000-0005-0000-0000-000086540000}"/>
    <cellStyle name="Normal 2 2 2 30 37" xfId="22422" xr:uid="{00000000-0005-0000-0000-000087540000}"/>
    <cellStyle name="Normal 2 2 2 30 38" xfId="22423" xr:uid="{00000000-0005-0000-0000-000088540000}"/>
    <cellStyle name="Normal 2 2 2 30 4" xfId="22424" xr:uid="{00000000-0005-0000-0000-000089540000}"/>
    <cellStyle name="Normal 2 2 2 30 5" xfId="22425" xr:uid="{00000000-0005-0000-0000-00008A540000}"/>
    <cellStyle name="Normal 2 2 2 30 6" xfId="22426" xr:uid="{00000000-0005-0000-0000-00008B540000}"/>
    <cellStyle name="Normal 2 2 2 30 7" xfId="22427" xr:uid="{00000000-0005-0000-0000-00008C540000}"/>
    <cellStyle name="Normal 2 2 2 30 8" xfId="22428" xr:uid="{00000000-0005-0000-0000-00008D540000}"/>
    <cellStyle name="Normal 2 2 2 30 9" xfId="22429" xr:uid="{00000000-0005-0000-0000-00008E540000}"/>
    <cellStyle name="Normal 2 2 2 31" xfId="22430" xr:uid="{00000000-0005-0000-0000-00008F540000}"/>
    <cellStyle name="Normal 2 2 2 31 10" xfId="22431" xr:uid="{00000000-0005-0000-0000-000090540000}"/>
    <cellStyle name="Normal 2 2 2 31 11" xfId="22432" xr:uid="{00000000-0005-0000-0000-000091540000}"/>
    <cellStyle name="Normal 2 2 2 31 12" xfId="22433" xr:uid="{00000000-0005-0000-0000-000092540000}"/>
    <cellStyle name="Normal 2 2 2 31 13" xfId="22434" xr:uid="{00000000-0005-0000-0000-000093540000}"/>
    <cellStyle name="Normal 2 2 2 31 14" xfId="22435" xr:uid="{00000000-0005-0000-0000-000094540000}"/>
    <cellStyle name="Normal 2 2 2 31 15" xfId="22436" xr:uid="{00000000-0005-0000-0000-000095540000}"/>
    <cellStyle name="Normal 2 2 2 31 16" xfId="22437" xr:uid="{00000000-0005-0000-0000-000096540000}"/>
    <cellStyle name="Normal 2 2 2 31 17" xfId="22438" xr:uid="{00000000-0005-0000-0000-000097540000}"/>
    <cellStyle name="Normal 2 2 2 31 18" xfId="22439" xr:uid="{00000000-0005-0000-0000-000098540000}"/>
    <cellStyle name="Normal 2 2 2 31 19" xfId="22440" xr:uid="{00000000-0005-0000-0000-000099540000}"/>
    <cellStyle name="Normal 2 2 2 31 2" xfId="22441" xr:uid="{00000000-0005-0000-0000-00009A540000}"/>
    <cellStyle name="Normal 2 2 2 31 20" xfId="22442" xr:uid="{00000000-0005-0000-0000-00009B540000}"/>
    <cellStyle name="Normal 2 2 2 31 21" xfId="22443" xr:uid="{00000000-0005-0000-0000-00009C540000}"/>
    <cellStyle name="Normal 2 2 2 31 22" xfId="22444" xr:uid="{00000000-0005-0000-0000-00009D540000}"/>
    <cellStyle name="Normal 2 2 2 31 23" xfId="22445" xr:uid="{00000000-0005-0000-0000-00009E540000}"/>
    <cellStyle name="Normal 2 2 2 31 24" xfId="22446" xr:uid="{00000000-0005-0000-0000-00009F540000}"/>
    <cellStyle name="Normal 2 2 2 31 25" xfId="22447" xr:uid="{00000000-0005-0000-0000-0000A0540000}"/>
    <cellStyle name="Normal 2 2 2 31 26" xfId="22448" xr:uid="{00000000-0005-0000-0000-0000A1540000}"/>
    <cellStyle name="Normal 2 2 2 31 27" xfId="22449" xr:uid="{00000000-0005-0000-0000-0000A2540000}"/>
    <cellStyle name="Normal 2 2 2 31 28" xfId="22450" xr:uid="{00000000-0005-0000-0000-0000A3540000}"/>
    <cellStyle name="Normal 2 2 2 31 29" xfId="22451" xr:uid="{00000000-0005-0000-0000-0000A4540000}"/>
    <cellStyle name="Normal 2 2 2 31 3" xfId="22452" xr:uid="{00000000-0005-0000-0000-0000A5540000}"/>
    <cellStyle name="Normal 2 2 2 31 30" xfId="22453" xr:uid="{00000000-0005-0000-0000-0000A6540000}"/>
    <cellStyle name="Normal 2 2 2 31 31" xfId="22454" xr:uid="{00000000-0005-0000-0000-0000A7540000}"/>
    <cellStyle name="Normal 2 2 2 31 32" xfId="22455" xr:uid="{00000000-0005-0000-0000-0000A8540000}"/>
    <cellStyle name="Normal 2 2 2 31 33" xfId="22456" xr:uid="{00000000-0005-0000-0000-0000A9540000}"/>
    <cellStyle name="Normal 2 2 2 31 34" xfId="22457" xr:uid="{00000000-0005-0000-0000-0000AA540000}"/>
    <cellStyle name="Normal 2 2 2 31 35" xfId="22458" xr:uid="{00000000-0005-0000-0000-0000AB540000}"/>
    <cellStyle name="Normal 2 2 2 31 36" xfId="22459" xr:uid="{00000000-0005-0000-0000-0000AC540000}"/>
    <cellStyle name="Normal 2 2 2 31 37" xfId="22460" xr:uid="{00000000-0005-0000-0000-0000AD540000}"/>
    <cellStyle name="Normal 2 2 2 31 38" xfId="22461" xr:uid="{00000000-0005-0000-0000-0000AE540000}"/>
    <cellStyle name="Normal 2 2 2 31 4" xfId="22462" xr:uid="{00000000-0005-0000-0000-0000AF540000}"/>
    <cellStyle name="Normal 2 2 2 31 5" xfId="22463" xr:uid="{00000000-0005-0000-0000-0000B0540000}"/>
    <cellStyle name="Normal 2 2 2 31 6" xfId="22464" xr:uid="{00000000-0005-0000-0000-0000B1540000}"/>
    <cellStyle name="Normal 2 2 2 31 7" xfId="22465" xr:uid="{00000000-0005-0000-0000-0000B2540000}"/>
    <cellStyle name="Normal 2 2 2 31 8" xfId="22466" xr:uid="{00000000-0005-0000-0000-0000B3540000}"/>
    <cellStyle name="Normal 2 2 2 31 9" xfId="22467" xr:uid="{00000000-0005-0000-0000-0000B4540000}"/>
    <cellStyle name="Normal 2 2 2 32" xfId="22468" xr:uid="{00000000-0005-0000-0000-0000B5540000}"/>
    <cellStyle name="Normal 2 2 2 32 10" xfId="22469" xr:uid="{00000000-0005-0000-0000-0000B6540000}"/>
    <cellStyle name="Normal 2 2 2 32 11" xfId="22470" xr:uid="{00000000-0005-0000-0000-0000B7540000}"/>
    <cellStyle name="Normal 2 2 2 32 12" xfId="22471" xr:uid="{00000000-0005-0000-0000-0000B8540000}"/>
    <cellStyle name="Normal 2 2 2 32 13" xfId="22472" xr:uid="{00000000-0005-0000-0000-0000B9540000}"/>
    <cellStyle name="Normal 2 2 2 32 14" xfId="22473" xr:uid="{00000000-0005-0000-0000-0000BA540000}"/>
    <cellStyle name="Normal 2 2 2 32 15" xfId="22474" xr:uid="{00000000-0005-0000-0000-0000BB540000}"/>
    <cellStyle name="Normal 2 2 2 32 16" xfId="22475" xr:uid="{00000000-0005-0000-0000-0000BC540000}"/>
    <cellStyle name="Normal 2 2 2 32 17" xfId="22476" xr:uid="{00000000-0005-0000-0000-0000BD540000}"/>
    <cellStyle name="Normal 2 2 2 32 18" xfId="22477" xr:uid="{00000000-0005-0000-0000-0000BE540000}"/>
    <cellStyle name="Normal 2 2 2 32 19" xfId="22478" xr:uid="{00000000-0005-0000-0000-0000BF540000}"/>
    <cellStyle name="Normal 2 2 2 32 2" xfId="22479" xr:uid="{00000000-0005-0000-0000-0000C0540000}"/>
    <cellStyle name="Normal 2 2 2 32 20" xfId="22480" xr:uid="{00000000-0005-0000-0000-0000C1540000}"/>
    <cellStyle name="Normal 2 2 2 32 21" xfId="22481" xr:uid="{00000000-0005-0000-0000-0000C2540000}"/>
    <cellStyle name="Normal 2 2 2 32 22" xfId="22482" xr:uid="{00000000-0005-0000-0000-0000C3540000}"/>
    <cellStyle name="Normal 2 2 2 32 23" xfId="22483" xr:uid="{00000000-0005-0000-0000-0000C4540000}"/>
    <cellStyle name="Normal 2 2 2 32 24" xfId="22484" xr:uid="{00000000-0005-0000-0000-0000C5540000}"/>
    <cellStyle name="Normal 2 2 2 32 25" xfId="22485" xr:uid="{00000000-0005-0000-0000-0000C6540000}"/>
    <cellStyle name="Normal 2 2 2 32 26" xfId="22486" xr:uid="{00000000-0005-0000-0000-0000C7540000}"/>
    <cellStyle name="Normal 2 2 2 32 27" xfId="22487" xr:uid="{00000000-0005-0000-0000-0000C8540000}"/>
    <cellStyle name="Normal 2 2 2 32 28" xfId="22488" xr:uid="{00000000-0005-0000-0000-0000C9540000}"/>
    <cellStyle name="Normal 2 2 2 32 29" xfId="22489" xr:uid="{00000000-0005-0000-0000-0000CA540000}"/>
    <cellStyle name="Normal 2 2 2 32 3" xfId="22490" xr:uid="{00000000-0005-0000-0000-0000CB540000}"/>
    <cellStyle name="Normal 2 2 2 32 30" xfId="22491" xr:uid="{00000000-0005-0000-0000-0000CC540000}"/>
    <cellStyle name="Normal 2 2 2 32 31" xfId="22492" xr:uid="{00000000-0005-0000-0000-0000CD540000}"/>
    <cellStyle name="Normal 2 2 2 32 32" xfId="22493" xr:uid="{00000000-0005-0000-0000-0000CE540000}"/>
    <cellStyle name="Normal 2 2 2 32 33" xfId="22494" xr:uid="{00000000-0005-0000-0000-0000CF540000}"/>
    <cellStyle name="Normal 2 2 2 32 34" xfId="22495" xr:uid="{00000000-0005-0000-0000-0000D0540000}"/>
    <cellStyle name="Normal 2 2 2 32 35" xfId="22496" xr:uid="{00000000-0005-0000-0000-0000D1540000}"/>
    <cellStyle name="Normal 2 2 2 32 36" xfId="22497" xr:uid="{00000000-0005-0000-0000-0000D2540000}"/>
    <cellStyle name="Normal 2 2 2 32 37" xfId="22498" xr:uid="{00000000-0005-0000-0000-0000D3540000}"/>
    <cellStyle name="Normal 2 2 2 32 38" xfId="22499" xr:uid="{00000000-0005-0000-0000-0000D4540000}"/>
    <cellStyle name="Normal 2 2 2 32 4" xfId="22500" xr:uid="{00000000-0005-0000-0000-0000D5540000}"/>
    <cellStyle name="Normal 2 2 2 32 5" xfId="22501" xr:uid="{00000000-0005-0000-0000-0000D6540000}"/>
    <cellStyle name="Normal 2 2 2 32 6" xfId="22502" xr:uid="{00000000-0005-0000-0000-0000D7540000}"/>
    <cellStyle name="Normal 2 2 2 32 7" xfId="22503" xr:uid="{00000000-0005-0000-0000-0000D8540000}"/>
    <cellStyle name="Normal 2 2 2 32 8" xfId="22504" xr:uid="{00000000-0005-0000-0000-0000D9540000}"/>
    <cellStyle name="Normal 2 2 2 32 9" xfId="22505" xr:uid="{00000000-0005-0000-0000-0000DA540000}"/>
    <cellStyle name="Normal 2 2 2 33" xfId="22506" xr:uid="{00000000-0005-0000-0000-0000DB540000}"/>
    <cellStyle name="Normal 2 2 2 33 10" xfId="22507" xr:uid="{00000000-0005-0000-0000-0000DC540000}"/>
    <cellStyle name="Normal 2 2 2 33 11" xfId="22508" xr:uid="{00000000-0005-0000-0000-0000DD540000}"/>
    <cellStyle name="Normal 2 2 2 33 12" xfId="22509" xr:uid="{00000000-0005-0000-0000-0000DE540000}"/>
    <cellStyle name="Normal 2 2 2 33 13" xfId="22510" xr:uid="{00000000-0005-0000-0000-0000DF540000}"/>
    <cellStyle name="Normal 2 2 2 33 14" xfId="22511" xr:uid="{00000000-0005-0000-0000-0000E0540000}"/>
    <cellStyle name="Normal 2 2 2 33 15" xfId="22512" xr:uid="{00000000-0005-0000-0000-0000E1540000}"/>
    <cellStyle name="Normal 2 2 2 33 16" xfId="22513" xr:uid="{00000000-0005-0000-0000-0000E2540000}"/>
    <cellStyle name="Normal 2 2 2 33 17" xfId="22514" xr:uid="{00000000-0005-0000-0000-0000E3540000}"/>
    <cellStyle name="Normal 2 2 2 33 18" xfId="22515" xr:uid="{00000000-0005-0000-0000-0000E4540000}"/>
    <cellStyle name="Normal 2 2 2 33 19" xfId="22516" xr:uid="{00000000-0005-0000-0000-0000E5540000}"/>
    <cellStyle name="Normal 2 2 2 33 2" xfId="22517" xr:uid="{00000000-0005-0000-0000-0000E6540000}"/>
    <cellStyle name="Normal 2 2 2 33 20" xfId="22518" xr:uid="{00000000-0005-0000-0000-0000E7540000}"/>
    <cellStyle name="Normal 2 2 2 33 21" xfId="22519" xr:uid="{00000000-0005-0000-0000-0000E8540000}"/>
    <cellStyle name="Normal 2 2 2 33 22" xfId="22520" xr:uid="{00000000-0005-0000-0000-0000E9540000}"/>
    <cellStyle name="Normal 2 2 2 33 23" xfId="22521" xr:uid="{00000000-0005-0000-0000-0000EA540000}"/>
    <cellStyle name="Normal 2 2 2 33 24" xfId="22522" xr:uid="{00000000-0005-0000-0000-0000EB540000}"/>
    <cellStyle name="Normal 2 2 2 33 25" xfId="22523" xr:uid="{00000000-0005-0000-0000-0000EC540000}"/>
    <cellStyle name="Normal 2 2 2 33 26" xfId="22524" xr:uid="{00000000-0005-0000-0000-0000ED540000}"/>
    <cellStyle name="Normal 2 2 2 33 27" xfId="22525" xr:uid="{00000000-0005-0000-0000-0000EE540000}"/>
    <cellStyle name="Normal 2 2 2 33 28" xfId="22526" xr:uid="{00000000-0005-0000-0000-0000EF540000}"/>
    <cellStyle name="Normal 2 2 2 33 29" xfId="22527" xr:uid="{00000000-0005-0000-0000-0000F0540000}"/>
    <cellStyle name="Normal 2 2 2 33 3" xfId="22528" xr:uid="{00000000-0005-0000-0000-0000F1540000}"/>
    <cellStyle name="Normal 2 2 2 33 30" xfId="22529" xr:uid="{00000000-0005-0000-0000-0000F2540000}"/>
    <cellStyle name="Normal 2 2 2 33 31" xfId="22530" xr:uid="{00000000-0005-0000-0000-0000F3540000}"/>
    <cellStyle name="Normal 2 2 2 33 32" xfId="22531" xr:uid="{00000000-0005-0000-0000-0000F4540000}"/>
    <cellStyle name="Normal 2 2 2 33 33" xfId="22532" xr:uid="{00000000-0005-0000-0000-0000F5540000}"/>
    <cellStyle name="Normal 2 2 2 33 34" xfId="22533" xr:uid="{00000000-0005-0000-0000-0000F6540000}"/>
    <cellStyle name="Normal 2 2 2 33 35" xfId="22534" xr:uid="{00000000-0005-0000-0000-0000F7540000}"/>
    <cellStyle name="Normal 2 2 2 33 36" xfId="22535" xr:uid="{00000000-0005-0000-0000-0000F8540000}"/>
    <cellStyle name="Normal 2 2 2 33 37" xfId="22536" xr:uid="{00000000-0005-0000-0000-0000F9540000}"/>
    <cellStyle name="Normal 2 2 2 33 38" xfId="22537" xr:uid="{00000000-0005-0000-0000-0000FA540000}"/>
    <cellStyle name="Normal 2 2 2 33 4" xfId="22538" xr:uid="{00000000-0005-0000-0000-0000FB540000}"/>
    <cellStyle name="Normal 2 2 2 33 5" xfId="22539" xr:uid="{00000000-0005-0000-0000-0000FC540000}"/>
    <cellStyle name="Normal 2 2 2 33 6" xfId="22540" xr:uid="{00000000-0005-0000-0000-0000FD540000}"/>
    <cellStyle name="Normal 2 2 2 33 7" xfId="22541" xr:uid="{00000000-0005-0000-0000-0000FE540000}"/>
    <cellStyle name="Normal 2 2 2 33 8" xfId="22542" xr:uid="{00000000-0005-0000-0000-0000FF540000}"/>
    <cellStyle name="Normal 2 2 2 33 9" xfId="22543" xr:uid="{00000000-0005-0000-0000-000000550000}"/>
    <cellStyle name="Normal 2 2 2 34" xfId="22544" xr:uid="{00000000-0005-0000-0000-000001550000}"/>
    <cellStyle name="Normal 2 2 2 34 10" xfId="22545" xr:uid="{00000000-0005-0000-0000-000002550000}"/>
    <cellStyle name="Normal 2 2 2 34 11" xfId="22546" xr:uid="{00000000-0005-0000-0000-000003550000}"/>
    <cellStyle name="Normal 2 2 2 34 12" xfId="22547" xr:uid="{00000000-0005-0000-0000-000004550000}"/>
    <cellStyle name="Normal 2 2 2 34 13" xfId="22548" xr:uid="{00000000-0005-0000-0000-000005550000}"/>
    <cellStyle name="Normal 2 2 2 34 14" xfId="22549" xr:uid="{00000000-0005-0000-0000-000006550000}"/>
    <cellStyle name="Normal 2 2 2 34 15" xfId="22550" xr:uid="{00000000-0005-0000-0000-000007550000}"/>
    <cellStyle name="Normal 2 2 2 34 16" xfId="22551" xr:uid="{00000000-0005-0000-0000-000008550000}"/>
    <cellStyle name="Normal 2 2 2 34 17" xfId="22552" xr:uid="{00000000-0005-0000-0000-000009550000}"/>
    <cellStyle name="Normal 2 2 2 34 18" xfId="22553" xr:uid="{00000000-0005-0000-0000-00000A550000}"/>
    <cellStyle name="Normal 2 2 2 34 19" xfId="22554" xr:uid="{00000000-0005-0000-0000-00000B550000}"/>
    <cellStyle name="Normal 2 2 2 34 2" xfId="22555" xr:uid="{00000000-0005-0000-0000-00000C550000}"/>
    <cellStyle name="Normal 2 2 2 34 20" xfId="22556" xr:uid="{00000000-0005-0000-0000-00000D550000}"/>
    <cellStyle name="Normal 2 2 2 34 21" xfId="22557" xr:uid="{00000000-0005-0000-0000-00000E550000}"/>
    <cellStyle name="Normal 2 2 2 34 22" xfId="22558" xr:uid="{00000000-0005-0000-0000-00000F550000}"/>
    <cellStyle name="Normal 2 2 2 34 23" xfId="22559" xr:uid="{00000000-0005-0000-0000-000010550000}"/>
    <cellStyle name="Normal 2 2 2 34 24" xfId="22560" xr:uid="{00000000-0005-0000-0000-000011550000}"/>
    <cellStyle name="Normal 2 2 2 34 25" xfId="22561" xr:uid="{00000000-0005-0000-0000-000012550000}"/>
    <cellStyle name="Normal 2 2 2 34 26" xfId="22562" xr:uid="{00000000-0005-0000-0000-000013550000}"/>
    <cellStyle name="Normal 2 2 2 34 27" xfId="22563" xr:uid="{00000000-0005-0000-0000-000014550000}"/>
    <cellStyle name="Normal 2 2 2 34 28" xfId="22564" xr:uid="{00000000-0005-0000-0000-000015550000}"/>
    <cellStyle name="Normal 2 2 2 34 29" xfId="22565" xr:uid="{00000000-0005-0000-0000-000016550000}"/>
    <cellStyle name="Normal 2 2 2 34 3" xfId="22566" xr:uid="{00000000-0005-0000-0000-000017550000}"/>
    <cellStyle name="Normal 2 2 2 34 30" xfId="22567" xr:uid="{00000000-0005-0000-0000-000018550000}"/>
    <cellStyle name="Normal 2 2 2 34 31" xfId="22568" xr:uid="{00000000-0005-0000-0000-000019550000}"/>
    <cellStyle name="Normal 2 2 2 34 32" xfId="22569" xr:uid="{00000000-0005-0000-0000-00001A550000}"/>
    <cellStyle name="Normal 2 2 2 34 33" xfId="22570" xr:uid="{00000000-0005-0000-0000-00001B550000}"/>
    <cellStyle name="Normal 2 2 2 34 34" xfId="22571" xr:uid="{00000000-0005-0000-0000-00001C550000}"/>
    <cellStyle name="Normal 2 2 2 34 35" xfId="22572" xr:uid="{00000000-0005-0000-0000-00001D550000}"/>
    <cellStyle name="Normal 2 2 2 34 36" xfId="22573" xr:uid="{00000000-0005-0000-0000-00001E550000}"/>
    <cellStyle name="Normal 2 2 2 34 37" xfId="22574" xr:uid="{00000000-0005-0000-0000-00001F550000}"/>
    <cellStyle name="Normal 2 2 2 34 38" xfId="22575" xr:uid="{00000000-0005-0000-0000-000020550000}"/>
    <cellStyle name="Normal 2 2 2 34 4" xfId="22576" xr:uid="{00000000-0005-0000-0000-000021550000}"/>
    <cellStyle name="Normal 2 2 2 34 5" xfId="22577" xr:uid="{00000000-0005-0000-0000-000022550000}"/>
    <cellStyle name="Normal 2 2 2 34 6" xfId="22578" xr:uid="{00000000-0005-0000-0000-000023550000}"/>
    <cellStyle name="Normal 2 2 2 34 7" xfId="22579" xr:uid="{00000000-0005-0000-0000-000024550000}"/>
    <cellStyle name="Normal 2 2 2 34 8" xfId="22580" xr:uid="{00000000-0005-0000-0000-000025550000}"/>
    <cellStyle name="Normal 2 2 2 34 9" xfId="22581" xr:uid="{00000000-0005-0000-0000-000026550000}"/>
    <cellStyle name="Normal 2 2 2 35" xfId="22582" xr:uid="{00000000-0005-0000-0000-000027550000}"/>
    <cellStyle name="Normal 2 2 2 35 10" xfId="22583" xr:uid="{00000000-0005-0000-0000-000028550000}"/>
    <cellStyle name="Normal 2 2 2 35 11" xfId="22584" xr:uid="{00000000-0005-0000-0000-000029550000}"/>
    <cellStyle name="Normal 2 2 2 35 12" xfId="22585" xr:uid="{00000000-0005-0000-0000-00002A550000}"/>
    <cellStyle name="Normal 2 2 2 35 13" xfId="22586" xr:uid="{00000000-0005-0000-0000-00002B550000}"/>
    <cellStyle name="Normal 2 2 2 35 14" xfId="22587" xr:uid="{00000000-0005-0000-0000-00002C550000}"/>
    <cellStyle name="Normal 2 2 2 35 15" xfId="22588" xr:uid="{00000000-0005-0000-0000-00002D550000}"/>
    <cellStyle name="Normal 2 2 2 35 16" xfId="22589" xr:uid="{00000000-0005-0000-0000-00002E550000}"/>
    <cellStyle name="Normal 2 2 2 35 17" xfId="22590" xr:uid="{00000000-0005-0000-0000-00002F550000}"/>
    <cellStyle name="Normal 2 2 2 35 18" xfId="22591" xr:uid="{00000000-0005-0000-0000-000030550000}"/>
    <cellStyle name="Normal 2 2 2 35 19" xfId="22592" xr:uid="{00000000-0005-0000-0000-000031550000}"/>
    <cellStyle name="Normal 2 2 2 35 2" xfId="22593" xr:uid="{00000000-0005-0000-0000-000032550000}"/>
    <cellStyle name="Normal 2 2 2 35 20" xfId="22594" xr:uid="{00000000-0005-0000-0000-000033550000}"/>
    <cellStyle name="Normal 2 2 2 35 21" xfId="22595" xr:uid="{00000000-0005-0000-0000-000034550000}"/>
    <cellStyle name="Normal 2 2 2 35 22" xfId="22596" xr:uid="{00000000-0005-0000-0000-000035550000}"/>
    <cellStyle name="Normal 2 2 2 35 23" xfId="22597" xr:uid="{00000000-0005-0000-0000-000036550000}"/>
    <cellStyle name="Normal 2 2 2 35 24" xfId="22598" xr:uid="{00000000-0005-0000-0000-000037550000}"/>
    <cellStyle name="Normal 2 2 2 35 25" xfId="22599" xr:uid="{00000000-0005-0000-0000-000038550000}"/>
    <cellStyle name="Normal 2 2 2 35 26" xfId="22600" xr:uid="{00000000-0005-0000-0000-000039550000}"/>
    <cellStyle name="Normal 2 2 2 35 27" xfId="22601" xr:uid="{00000000-0005-0000-0000-00003A550000}"/>
    <cellStyle name="Normal 2 2 2 35 28" xfId="22602" xr:uid="{00000000-0005-0000-0000-00003B550000}"/>
    <cellStyle name="Normal 2 2 2 35 29" xfId="22603" xr:uid="{00000000-0005-0000-0000-00003C550000}"/>
    <cellStyle name="Normal 2 2 2 35 3" xfId="22604" xr:uid="{00000000-0005-0000-0000-00003D550000}"/>
    <cellStyle name="Normal 2 2 2 35 30" xfId="22605" xr:uid="{00000000-0005-0000-0000-00003E550000}"/>
    <cellStyle name="Normal 2 2 2 35 31" xfId="22606" xr:uid="{00000000-0005-0000-0000-00003F550000}"/>
    <cellStyle name="Normal 2 2 2 35 32" xfId="22607" xr:uid="{00000000-0005-0000-0000-000040550000}"/>
    <cellStyle name="Normal 2 2 2 35 33" xfId="22608" xr:uid="{00000000-0005-0000-0000-000041550000}"/>
    <cellStyle name="Normal 2 2 2 35 34" xfId="22609" xr:uid="{00000000-0005-0000-0000-000042550000}"/>
    <cellStyle name="Normal 2 2 2 35 35" xfId="22610" xr:uid="{00000000-0005-0000-0000-000043550000}"/>
    <cellStyle name="Normal 2 2 2 35 36" xfId="22611" xr:uid="{00000000-0005-0000-0000-000044550000}"/>
    <cellStyle name="Normal 2 2 2 35 37" xfId="22612" xr:uid="{00000000-0005-0000-0000-000045550000}"/>
    <cellStyle name="Normal 2 2 2 35 38" xfId="22613" xr:uid="{00000000-0005-0000-0000-000046550000}"/>
    <cellStyle name="Normal 2 2 2 35 4" xfId="22614" xr:uid="{00000000-0005-0000-0000-000047550000}"/>
    <cellStyle name="Normal 2 2 2 35 5" xfId="22615" xr:uid="{00000000-0005-0000-0000-000048550000}"/>
    <cellStyle name="Normal 2 2 2 35 6" xfId="22616" xr:uid="{00000000-0005-0000-0000-000049550000}"/>
    <cellStyle name="Normal 2 2 2 35 7" xfId="22617" xr:uid="{00000000-0005-0000-0000-00004A550000}"/>
    <cellStyle name="Normal 2 2 2 35 8" xfId="22618" xr:uid="{00000000-0005-0000-0000-00004B550000}"/>
    <cellStyle name="Normal 2 2 2 35 9" xfId="22619" xr:uid="{00000000-0005-0000-0000-00004C550000}"/>
    <cellStyle name="Normal 2 2 2 36" xfId="22620" xr:uid="{00000000-0005-0000-0000-00004D550000}"/>
    <cellStyle name="Normal 2 2 2 36 10" xfId="22621" xr:uid="{00000000-0005-0000-0000-00004E550000}"/>
    <cellStyle name="Normal 2 2 2 36 11" xfId="22622" xr:uid="{00000000-0005-0000-0000-00004F550000}"/>
    <cellStyle name="Normal 2 2 2 36 12" xfId="22623" xr:uid="{00000000-0005-0000-0000-000050550000}"/>
    <cellStyle name="Normal 2 2 2 36 13" xfId="22624" xr:uid="{00000000-0005-0000-0000-000051550000}"/>
    <cellStyle name="Normal 2 2 2 36 14" xfId="22625" xr:uid="{00000000-0005-0000-0000-000052550000}"/>
    <cellStyle name="Normal 2 2 2 36 15" xfId="22626" xr:uid="{00000000-0005-0000-0000-000053550000}"/>
    <cellStyle name="Normal 2 2 2 36 16" xfId="22627" xr:uid="{00000000-0005-0000-0000-000054550000}"/>
    <cellStyle name="Normal 2 2 2 36 17" xfId="22628" xr:uid="{00000000-0005-0000-0000-000055550000}"/>
    <cellStyle name="Normal 2 2 2 36 18" xfId="22629" xr:uid="{00000000-0005-0000-0000-000056550000}"/>
    <cellStyle name="Normal 2 2 2 36 19" xfId="22630" xr:uid="{00000000-0005-0000-0000-000057550000}"/>
    <cellStyle name="Normal 2 2 2 36 2" xfId="22631" xr:uid="{00000000-0005-0000-0000-000058550000}"/>
    <cellStyle name="Normal 2 2 2 36 20" xfId="22632" xr:uid="{00000000-0005-0000-0000-000059550000}"/>
    <cellStyle name="Normal 2 2 2 36 21" xfId="22633" xr:uid="{00000000-0005-0000-0000-00005A550000}"/>
    <cellStyle name="Normal 2 2 2 36 22" xfId="22634" xr:uid="{00000000-0005-0000-0000-00005B550000}"/>
    <cellStyle name="Normal 2 2 2 36 23" xfId="22635" xr:uid="{00000000-0005-0000-0000-00005C550000}"/>
    <cellStyle name="Normal 2 2 2 36 24" xfId="22636" xr:uid="{00000000-0005-0000-0000-00005D550000}"/>
    <cellStyle name="Normal 2 2 2 36 25" xfId="22637" xr:uid="{00000000-0005-0000-0000-00005E550000}"/>
    <cellStyle name="Normal 2 2 2 36 26" xfId="22638" xr:uid="{00000000-0005-0000-0000-00005F550000}"/>
    <cellStyle name="Normal 2 2 2 36 27" xfId="22639" xr:uid="{00000000-0005-0000-0000-000060550000}"/>
    <cellStyle name="Normal 2 2 2 36 28" xfId="22640" xr:uid="{00000000-0005-0000-0000-000061550000}"/>
    <cellStyle name="Normal 2 2 2 36 29" xfId="22641" xr:uid="{00000000-0005-0000-0000-000062550000}"/>
    <cellStyle name="Normal 2 2 2 36 3" xfId="22642" xr:uid="{00000000-0005-0000-0000-000063550000}"/>
    <cellStyle name="Normal 2 2 2 36 30" xfId="22643" xr:uid="{00000000-0005-0000-0000-000064550000}"/>
    <cellStyle name="Normal 2 2 2 36 31" xfId="22644" xr:uid="{00000000-0005-0000-0000-000065550000}"/>
    <cellStyle name="Normal 2 2 2 36 32" xfId="22645" xr:uid="{00000000-0005-0000-0000-000066550000}"/>
    <cellStyle name="Normal 2 2 2 36 33" xfId="22646" xr:uid="{00000000-0005-0000-0000-000067550000}"/>
    <cellStyle name="Normal 2 2 2 36 34" xfId="22647" xr:uid="{00000000-0005-0000-0000-000068550000}"/>
    <cellStyle name="Normal 2 2 2 36 35" xfId="22648" xr:uid="{00000000-0005-0000-0000-000069550000}"/>
    <cellStyle name="Normal 2 2 2 36 36" xfId="22649" xr:uid="{00000000-0005-0000-0000-00006A550000}"/>
    <cellStyle name="Normal 2 2 2 36 37" xfId="22650" xr:uid="{00000000-0005-0000-0000-00006B550000}"/>
    <cellStyle name="Normal 2 2 2 36 38" xfId="22651" xr:uid="{00000000-0005-0000-0000-00006C550000}"/>
    <cellStyle name="Normal 2 2 2 36 4" xfId="22652" xr:uid="{00000000-0005-0000-0000-00006D550000}"/>
    <cellStyle name="Normal 2 2 2 36 5" xfId="22653" xr:uid="{00000000-0005-0000-0000-00006E550000}"/>
    <cellStyle name="Normal 2 2 2 36 6" xfId="22654" xr:uid="{00000000-0005-0000-0000-00006F550000}"/>
    <cellStyle name="Normal 2 2 2 36 7" xfId="22655" xr:uid="{00000000-0005-0000-0000-000070550000}"/>
    <cellStyle name="Normal 2 2 2 36 8" xfId="22656" xr:uid="{00000000-0005-0000-0000-000071550000}"/>
    <cellStyle name="Normal 2 2 2 36 9" xfId="22657" xr:uid="{00000000-0005-0000-0000-000072550000}"/>
    <cellStyle name="Normal 2 2 2 37" xfId="22658" xr:uid="{00000000-0005-0000-0000-000073550000}"/>
    <cellStyle name="Normal 2 2 2 37 10" xfId="22659" xr:uid="{00000000-0005-0000-0000-000074550000}"/>
    <cellStyle name="Normal 2 2 2 37 11" xfId="22660" xr:uid="{00000000-0005-0000-0000-000075550000}"/>
    <cellStyle name="Normal 2 2 2 37 12" xfId="22661" xr:uid="{00000000-0005-0000-0000-000076550000}"/>
    <cellStyle name="Normal 2 2 2 37 13" xfId="22662" xr:uid="{00000000-0005-0000-0000-000077550000}"/>
    <cellStyle name="Normal 2 2 2 37 14" xfId="22663" xr:uid="{00000000-0005-0000-0000-000078550000}"/>
    <cellStyle name="Normal 2 2 2 37 15" xfId="22664" xr:uid="{00000000-0005-0000-0000-000079550000}"/>
    <cellStyle name="Normal 2 2 2 37 16" xfId="22665" xr:uid="{00000000-0005-0000-0000-00007A550000}"/>
    <cellStyle name="Normal 2 2 2 37 17" xfId="22666" xr:uid="{00000000-0005-0000-0000-00007B550000}"/>
    <cellStyle name="Normal 2 2 2 37 18" xfId="22667" xr:uid="{00000000-0005-0000-0000-00007C550000}"/>
    <cellStyle name="Normal 2 2 2 37 19" xfId="22668" xr:uid="{00000000-0005-0000-0000-00007D550000}"/>
    <cellStyle name="Normal 2 2 2 37 2" xfId="22669" xr:uid="{00000000-0005-0000-0000-00007E550000}"/>
    <cellStyle name="Normal 2 2 2 37 2 2" xfId="22670" xr:uid="{00000000-0005-0000-0000-00007F550000}"/>
    <cellStyle name="Normal 2 2 2 37 2 3" xfId="22671" xr:uid="{00000000-0005-0000-0000-000080550000}"/>
    <cellStyle name="Normal 2 2 2 37 2 4" xfId="22672" xr:uid="{00000000-0005-0000-0000-000081550000}"/>
    <cellStyle name="Normal 2 2 2 37 2 5" xfId="22673" xr:uid="{00000000-0005-0000-0000-000082550000}"/>
    <cellStyle name="Normal 2 2 2 37 2 6" xfId="22674" xr:uid="{00000000-0005-0000-0000-000083550000}"/>
    <cellStyle name="Normal 2 2 2 37 20" xfId="22675" xr:uid="{00000000-0005-0000-0000-000084550000}"/>
    <cellStyle name="Normal 2 2 2 37 21" xfId="22676" xr:uid="{00000000-0005-0000-0000-000085550000}"/>
    <cellStyle name="Normal 2 2 2 37 22" xfId="22677" xr:uid="{00000000-0005-0000-0000-000086550000}"/>
    <cellStyle name="Normal 2 2 2 37 23" xfId="22678" xr:uid="{00000000-0005-0000-0000-000087550000}"/>
    <cellStyle name="Normal 2 2 2 37 24" xfId="22679" xr:uid="{00000000-0005-0000-0000-000088550000}"/>
    <cellStyle name="Normal 2 2 2 37 25" xfId="22680" xr:uid="{00000000-0005-0000-0000-000089550000}"/>
    <cellStyle name="Normal 2 2 2 37 26" xfId="22681" xr:uid="{00000000-0005-0000-0000-00008A550000}"/>
    <cellStyle name="Normal 2 2 2 37 27" xfId="22682" xr:uid="{00000000-0005-0000-0000-00008B550000}"/>
    <cellStyle name="Normal 2 2 2 37 28" xfId="22683" xr:uid="{00000000-0005-0000-0000-00008C550000}"/>
    <cellStyle name="Normal 2 2 2 37 29" xfId="22684" xr:uid="{00000000-0005-0000-0000-00008D550000}"/>
    <cellStyle name="Normal 2 2 2 37 3" xfId="22685" xr:uid="{00000000-0005-0000-0000-00008E550000}"/>
    <cellStyle name="Normal 2 2 2 37 3 2" xfId="22686" xr:uid="{00000000-0005-0000-0000-00008F550000}"/>
    <cellStyle name="Normal 2 2 2 37 3 3" xfId="22687" xr:uid="{00000000-0005-0000-0000-000090550000}"/>
    <cellStyle name="Normal 2 2 2 37 3 4" xfId="22688" xr:uid="{00000000-0005-0000-0000-000091550000}"/>
    <cellStyle name="Normal 2 2 2 37 3 5" xfId="22689" xr:uid="{00000000-0005-0000-0000-000092550000}"/>
    <cellStyle name="Normal 2 2 2 37 3 6" xfId="22690" xr:uid="{00000000-0005-0000-0000-000093550000}"/>
    <cellStyle name="Normal 2 2 2 37 30" xfId="22691" xr:uid="{00000000-0005-0000-0000-000094550000}"/>
    <cellStyle name="Normal 2 2 2 37 31" xfId="22692" xr:uid="{00000000-0005-0000-0000-000095550000}"/>
    <cellStyle name="Normal 2 2 2 37 32" xfId="22693" xr:uid="{00000000-0005-0000-0000-000096550000}"/>
    <cellStyle name="Normal 2 2 2 37 33" xfId="22694" xr:uid="{00000000-0005-0000-0000-000097550000}"/>
    <cellStyle name="Normal 2 2 2 37 34" xfId="22695" xr:uid="{00000000-0005-0000-0000-000098550000}"/>
    <cellStyle name="Normal 2 2 2 37 35" xfId="22696" xr:uid="{00000000-0005-0000-0000-000099550000}"/>
    <cellStyle name="Normal 2 2 2 37 4" xfId="22697" xr:uid="{00000000-0005-0000-0000-00009A550000}"/>
    <cellStyle name="Normal 2 2 2 37 4 2" xfId="22698" xr:uid="{00000000-0005-0000-0000-00009B550000}"/>
    <cellStyle name="Normal 2 2 2 37 4 3" xfId="22699" xr:uid="{00000000-0005-0000-0000-00009C550000}"/>
    <cellStyle name="Normal 2 2 2 37 4 4" xfId="22700" xr:uid="{00000000-0005-0000-0000-00009D550000}"/>
    <cellStyle name="Normal 2 2 2 37 4 5" xfId="22701" xr:uid="{00000000-0005-0000-0000-00009E550000}"/>
    <cellStyle name="Normal 2 2 2 37 4 6" xfId="22702" xr:uid="{00000000-0005-0000-0000-00009F550000}"/>
    <cellStyle name="Normal 2 2 2 37 5" xfId="22703" xr:uid="{00000000-0005-0000-0000-0000A0550000}"/>
    <cellStyle name="Normal 2 2 2 37 5 2" xfId="22704" xr:uid="{00000000-0005-0000-0000-0000A1550000}"/>
    <cellStyle name="Normal 2 2 2 37 5 3" xfId="22705" xr:uid="{00000000-0005-0000-0000-0000A2550000}"/>
    <cellStyle name="Normal 2 2 2 37 5 4" xfId="22706" xr:uid="{00000000-0005-0000-0000-0000A3550000}"/>
    <cellStyle name="Normal 2 2 2 37 5 5" xfId="22707" xr:uid="{00000000-0005-0000-0000-0000A4550000}"/>
    <cellStyle name="Normal 2 2 2 37 5 6" xfId="22708" xr:uid="{00000000-0005-0000-0000-0000A5550000}"/>
    <cellStyle name="Normal 2 2 2 37 6" xfId="22709" xr:uid="{00000000-0005-0000-0000-0000A6550000}"/>
    <cellStyle name="Normal 2 2 2 37 6 2" xfId="22710" xr:uid="{00000000-0005-0000-0000-0000A7550000}"/>
    <cellStyle name="Normal 2 2 2 37 6 3" xfId="22711" xr:uid="{00000000-0005-0000-0000-0000A8550000}"/>
    <cellStyle name="Normal 2 2 2 37 6 4" xfId="22712" xr:uid="{00000000-0005-0000-0000-0000A9550000}"/>
    <cellStyle name="Normal 2 2 2 37 6 5" xfId="22713" xr:uid="{00000000-0005-0000-0000-0000AA550000}"/>
    <cellStyle name="Normal 2 2 2 37 6 6" xfId="22714" xr:uid="{00000000-0005-0000-0000-0000AB550000}"/>
    <cellStyle name="Normal 2 2 2 37 7" xfId="22715" xr:uid="{00000000-0005-0000-0000-0000AC550000}"/>
    <cellStyle name="Normal 2 2 2 37 8" xfId="22716" xr:uid="{00000000-0005-0000-0000-0000AD550000}"/>
    <cellStyle name="Normal 2 2 2 37 9" xfId="22717" xr:uid="{00000000-0005-0000-0000-0000AE550000}"/>
    <cellStyle name="Normal 2 2 2 38" xfId="22718" xr:uid="{00000000-0005-0000-0000-0000AF550000}"/>
    <cellStyle name="Normal 2 2 2 38 2" xfId="22719" xr:uid="{00000000-0005-0000-0000-0000B0550000}"/>
    <cellStyle name="Normal 2 2 2 38 3" xfId="22720" xr:uid="{00000000-0005-0000-0000-0000B1550000}"/>
    <cellStyle name="Normal 2 2 2 38 4" xfId="22721" xr:uid="{00000000-0005-0000-0000-0000B2550000}"/>
    <cellStyle name="Normal 2 2 2 38 5" xfId="22722" xr:uid="{00000000-0005-0000-0000-0000B3550000}"/>
    <cellStyle name="Normal 2 2 2 38 6" xfId="22723" xr:uid="{00000000-0005-0000-0000-0000B4550000}"/>
    <cellStyle name="Normal 2 2 2 38 7" xfId="22724" xr:uid="{00000000-0005-0000-0000-0000B5550000}"/>
    <cellStyle name="Normal 2 2 2 39" xfId="22725" xr:uid="{00000000-0005-0000-0000-0000B6550000}"/>
    <cellStyle name="Normal 2 2 2 39 2" xfId="22726" xr:uid="{00000000-0005-0000-0000-0000B7550000}"/>
    <cellStyle name="Normal 2 2 2 39 3" xfId="22727" xr:uid="{00000000-0005-0000-0000-0000B8550000}"/>
    <cellStyle name="Normal 2 2 2 39 4" xfId="22728" xr:uid="{00000000-0005-0000-0000-0000B9550000}"/>
    <cellStyle name="Normal 2 2 2 39 5" xfId="22729" xr:uid="{00000000-0005-0000-0000-0000BA550000}"/>
    <cellStyle name="Normal 2 2 2 39 6" xfId="22730" xr:uid="{00000000-0005-0000-0000-0000BB550000}"/>
    <cellStyle name="Normal 2 2 2 39 7" xfId="22731" xr:uid="{00000000-0005-0000-0000-0000BC550000}"/>
    <cellStyle name="Normal 2 2 2 4" xfId="22732" xr:uid="{00000000-0005-0000-0000-0000BD550000}"/>
    <cellStyle name="Normal 2 2 2 4 2" xfId="22733" xr:uid="{00000000-0005-0000-0000-0000BE550000}"/>
    <cellStyle name="Normal 2 2 2 4 2 2" xfId="22734" xr:uid="{00000000-0005-0000-0000-0000BF550000}"/>
    <cellStyle name="Normal 2 2 2 4 2 2 2" xfId="22735" xr:uid="{00000000-0005-0000-0000-0000C0550000}"/>
    <cellStyle name="Normal 2 2 2 4 2 2 2 2" xfId="22736" xr:uid="{00000000-0005-0000-0000-0000C1550000}"/>
    <cellStyle name="Normal 2 2 2 4 2 2 3" xfId="22737" xr:uid="{00000000-0005-0000-0000-0000C2550000}"/>
    <cellStyle name="Normal 2 2 2 4 2 3" xfId="22738" xr:uid="{00000000-0005-0000-0000-0000C3550000}"/>
    <cellStyle name="Normal 2 2 2 4 2 3 2" xfId="22739" xr:uid="{00000000-0005-0000-0000-0000C4550000}"/>
    <cellStyle name="Normal 2 2 2 4 2 4" xfId="22740" xr:uid="{00000000-0005-0000-0000-0000C5550000}"/>
    <cellStyle name="Normal 2 2 2 4 2 5" xfId="22741" xr:uid="{00000000-0005-0000-0000-0000C6550000}"/>
    <cellStyle name="Normal 2 2 2 4 3" xfId="22742" xr:uid="{00000000-0005-0000-0000-0000C7550000}"/>
    <cellStyle name="Normal 2 2 2 4 3 2" xfId="22743" xr:uid="{00000000-0005-0000-0000-0000C8550000}"/>
    <cellStyle name="Normal 2 2 2 4 4" xfId="22744" xr:uid="{00000000-0005-0000-0000-0000C9550000}"/>
    <cellStyle name="Normal 2 2 2 4 4 2" xfId="22745" xr:uid="{00000000-0005-0000-0000-0000CA550000}"/>
    <cellStyle name="Normal 2 2 2 4 5" xfId="22746" xr:uid="{00000000-0005-0000-0000-0000CB550000}"/>
    <cellStyle name="Normal 2 2 2 4 6" xfId="22747" xr:uid="{00000000-0005-0000-0000-0000CC550000}"/>
    <cellStyle name="Normal 2 2 2 40" xfId="22748" xr:uid="{00000000-0005-0000-0000-0000CD550000}"/>
    <cellStyle name="Normal 2 2 2 40 2" xfId="22749" xr:uid="{00000000-0005-0000-0000-0000CE550000}"/>
    <cellStyle name="Normal 2 2 2 40 3" xfId="22750" xr:uid="{00000000-0005-0000-0000-0000CF550000}"/>
    <cellStyle name="Normal 2 2 2 40 4" xfId="22751" xr:uid="{00000000-0005-0000-0000-0000D0550000}"/>
    <cellStyle name="Normal 2 2 2 40 5" xfId="22752" xr:uid="{00000000-0005-0000-0000-0000D1550000}"/>
    <cellStyle name="Normal 2 2 2 40 6" xfId="22753" xr:uid="{00000000-0005-0000-0000-0000D2550000}"/>
    <cellStyle name="Normal 2 2 2 40 7" xfId="22754" xr:uid="{00000000-0005-0000-0000-0000D3550000}"/>
    <cellStyle name="Normal 2 2 2 41" xfId="22755" xr:uid="{00000000-0005-0000-0000-0000D4550000}"/>
    <cellStyle name="Normal 2 2 2 41 2" xfId="22756" xr:uid="{00000000-0005-0000-0000-0000D5550000}"/>
    <cellStyle name="Normal 2 2 2 41 3" xfId="22757" xr:uid="{00000000-0005-0000-0000-0000D6550000}"/>
    <cellStyle name="Normal 2 2 2 41 4" xfId="22758" xr:uid="{00000000-0005-0000-0000-0000D7550000}"/>
    <cellStyle name="Normal 2 2 2 41 5" xfId="22759" xr:uid="{00000000-0005-0000-0000-0000D8550000}"/>
    <cellStyle name="Normal 2 2 2 41 6" xfId="22760" xr:uid="{00000000-0005-0000-0000-0000D9550000}"/>
    <cellStyle name="Normal 2 2 2 41 7" xfId="22761" xr:uid="{00000000-0005-0000-0000-0000DA550000}"/>
    <cellStyle name="Normal 2 2 2 42" xfId="22762" xr:uid="{00000000-0005-0000-0000-0000DB550000}"/>
    <cellStyle name="Normal 2 2 2 42 2" xfId="22763" xr:uid="{00000000-0005-0000-0000-0000DC550000}"/>
    <cellStyle name="Normal 2 2 2 42 3" xfId="22764" xr:uid="{00000000-0005-0000-0000-0000DD550000}"/>
    <cellStyle name="Normal 2 2 2 42 4" xfId="22765" xr:uid="{00000000-0005-0000-0000-0000DE550000}"/>
    <cellStyle name="Normal 2 2 2 42 5" xfId="22766" xr:uid="{00000000-0005-0000-0000-0000DF550000}"/>
    <cellStyle name="Normal 2 2 2 42 6" xfId="22767" xr:uid="{00000000-0005-0000-0000-0000E0550000}"/>
    <cellStyle name="Normal 2 2 2 42 7" xfId="22768" xr:uid="{00000000-0005-0000-0000-0000E1550000}"/>
    <cellStyle name="Normal 2 2 2 43" xfId="22769" xr:uid="{00000000-0005-0000-0000-0000E2550000}"/>
    <cellStyle name="Normal 2 2 2 43 2" xfId="22770" xr:uid="{00000000-0005-0000-0000-0000E3550000}"/>
    <cellStyle name="Normal 2 2 2 43 3" xfId="22771" xr:uid="{00000000-0005-0000-0000-0000E4550000}"/>
    <cellStyle name="Normal 2 2 2 43 4" xfId="22772" xr:uid="{00000000-0005-0000-0000-0000E5550000}"/>
    <cellStyle name="Normal 2 2 2 43 5" xfId="22773" xr:uid="{00000000-0005-0000-0000-0000E6550000}"/>
    <cellStyle name="Normal 2 2 2 43 6" xfId="22774" xr:uid="{00000000-0005-0000-0000-0000E7550000}"/>
    <cellStyle name="Normal 2 2 2 43 7" xfId="22775" xr:uid="{00000000-0005-0000-0000-0000E8550000}"/>
    <cellStyle name="Normal 2 2 2 44" xfId="22776" xr:uid="{00000000-0005-0000-0000-0000E9550000}"/>
    <cellStyle name="Normal 2 2 2 44 2" xfId="22777" xr:uid="{00000000-0005-0000-0000-0000EA550000}"/>
    <cellStyle name="Normal 2 2 2 44 3" xfId="22778" xr:uid="{00000000-0005-0000-0000-0000EB550000}"/>
    <cellStyle name="Normal 2 2 2 44 4" xfId="22779" xr:uid="{00000000-0005-0000-0000-0000EC550000}"/>
    <cellStyle name="Normal 2 2 2 44 5" xfId="22780" xr:uid="{00000000-0005-0000-0000-0000ED550000}"/>
    <cellStyle name="Normal 2 2 2 44 6" xfId="22781" xr:uid="{00000000-0005-0000-0000-0000EE550000}"/>
    <cellStyle name="Normal 2 2 2 44 7" xfId="22782" xr:uid="{00000000-0005-0000-0000-0000EF550000}"/>
    <cellStyle name="Normal 2 2 2 45" xfId="22783" xr:uid="{00000000-0005-0000-0000-0000F0550000}"/>
    <cellStyle name="Normal 2 2 2 45 2" xfId="22784" xr:uid="{00000000-0005-0000-0000-0000F1550000}"/>
    <cellStyle name="Normal 2 2 2 45 3" xfId="22785" xr:uid="{00000000-0005-0000-0000-0000F2550000}"/>
    <cellStyle name="Normal 2 2 2 45 4" xfId="22786" xr:uid="{00000000-0005-0000-0000-0000F3550000}"/>
    <cellStyle name="Normal 2 2 2 45 5" xfId="22787" xr:uid="{00000000-0005-0000-0000-0000F4550000}"/>
    <cellStyle name="Normal 2 2 2 45 6" xfId="22788" xr:uid="{00000000-0005-0000-0000-0000F5550000}"/>
    <cellStyle name="Normal 2 2 2 45 7" xfId="22789" xr:uid="{00000000-0005-0000-0000-0000F6550000}"/>
    <cellStyle name="Normal 2 2 2 46" xfId="22790" xr:uid="{00000000-0005-0000-0000-0000F7550000}"/>
    <cellStyle name="Normal 2 2 2 46 2" xfId="22791" xr:uid="{00000000-0005-0000-0000-0000F8550000}"/>
    <cellStyle name="Normal 2 2 2 46 3" xfId="22792" xr:uid="{00000000-0005-0000-0000-0000F9550000}"/>
    <cellStyle name="Normal 2 2 2 46 4" xfId="22793" xr:uid="{00000000-0005-0000-0000-0000FA550000}"/>
    <cellStyle name="Normal 2 2 2 46 5" xfId="22794" xr:uid="{00000000-0005-0000-0000-0000FB550000}"/>
    <cellStyle name="Normal 2 2 2 46 6" xfId="22795" xr:uid="{00000000-0005-0000-0000-0000FC550000}"/>
    <cellStyle name="Normal 2 2 2 46 7" xfId="22796" xr:uid="{00000000-0005-0000-0000-0000FD550000}"/>
    <cellStyle name="Normal 2 2 2 47" xfId="22797" xr:uid="{00000000-0005-0000-0000-0000FE550000}"/>
    <cellStyle name="Normal 2 2 2 47 2" xfId="22798" xr:uid="{00000000-0005-0000-0000-0000FF550000}"/>
    <cellStyle name="Normal 2 2 2 47 3" xfId="22799" xr:uid="{00000000-0005-0000-0000-000000560000}"/>
    <cellStyle name="Normal 2 2 2 47 4" xfId="22800" xr:uid="{00000000-0005-0000-0000-000001560000}"/>
    <cellStyle name="Normal 2 2 2 47 5" xfId="22801" xr:uid="{00000000-0005-0000-0000-000002560000}"/>
    <cellStyle name="Normal 2 2 2 47 6" xfId="22802" xr:uid="{00000000-0005-0000-0000-000003560000}"/>
    <cellStyle name="Normal 2 2 2 47 7" xfId="22803" xr:uid="{00000000-0005-0000-0000-000004560000}"/>
    <cellStyle name="Normal 2 2 2 48" xfId="22804" xr:uid="{00000000-0005-0000-0000-000005560000}"/>
    <cellStyle name="Normal 2 2 2 48 2" xfId="22805" xr:uid="{00000000-0005-0000-0000-000006560000}"/>
    <cellStyle name="Normal 2 2 2 48 3" xfId="22806" xr:uid="{00000000-0005-0000-0000-000007560000}"/>
    <cellStyle name="Normal 2 2 2 48 4" xfId="22807" xr:uid="{00000000-0005-0000-0000-000008560000}"/>
    <cellStyle name="Normal 2 2 2 48 5" xfId="22808" xr:uid="{00000000-0005-0000-0000-000009560000}"/>
    <cellStyle name="Normal 2 2 2 48 6" xfId="22809" xr:uid="{00000000-0005-0000-0000-00000A560000}"/>
    <cellStyle name="Normal 2 2 2 48 7" xfId="22810" xr:uid="{00000000-0005-0000-0000-00000B560000}"/>
    <cellStyle name="Normal 2 2 2 49" xfId="22811" xr:uid="{00000000-0005-0000-0000-00000C560000}"/>
    <cellStyle name="Normal 2 2 2 49 2" xfId="22812" xr:uid="{00000000-0005-0000-0000-00000D560000}"/>
    <cellStyle name="Normal 2 2 2 49 3" xfId="22813" xr:uid="{00000000-0005-0000-0000-00000E560000}"/>
    <cellStyle name="Normal 2 2 2 49 4" xfId="22814" xr:uid="{00000000-0005-0000-0000-00000F560000}"/>
    <cellStyle name="Normal 2 2 2 49 5" xfId="22815" xr:uid="{00000000-0005-0000-0000-000010560000}"/>
    <cellStyle name="Normal 2 2 2 49 6" xfId="22816" xr:uid="{00000000-0005-0000-0000-000011560000}"/>
    <cellStyle name="Normal 2 2 2 49 7" xfId="22817" xr:uid="{00000000-0005-0000-0000-000012560000}"/>
    <cellStyle name="Normal 2 2 2 5" xfId="22818" xr:uid="{00000000-0005-0000-0000-000013560000}"/>
    <cellStyle name="Normal 2 2 2 5 2" xfId="22819" xr:uid="{00000000-0005-0000-0000-000014560000}"/>
    <cellStyle name="Normal 2 2 2 50" xfId="22820" xr:uid="{00000000-0005-0000-0000-000015560000}"/>
    <cellStyle name="Normal 2 2 2 50 2" xfId="22821" xr:uid="{00000000-0005-0000-0000-000016560000}"/>
    <cellStyle name="Normal 2 2 2 50 3" xfId="22822" xr:uid="{00000000-0005-0000-0000-000017560000}"/>
    <cellStyle name="Normal 2 2 2 50 4" xfId="22823" xr:uid="{00000000-0005-0000-0000-000018560000}"/>
    <cellStyle name="Normal 2 2 2 50 5" xfId="22824" xr:uid="{00000000-0005-0000-0000-000019560000}"/>
    <cellStyle name="Normal 2 2 2 50 6" xfId="22825" xr:uid="{00000000-0005-0000-0000-00001A560000}"/>
    <cellStyle name="Normal 2 2 2 50 7" xfId="22826" xr:uid="{00000000-0005-0000-0000-00001B560000}"/>
    <cellStyle name="Normal 2 2 2 51" xfId="22827" xr:uid="{00000000-0005-0000-0000-00001C560000}"/>
    <cellStyle name="Normal 2 2 2 51 2" xfId="22828" xr:uid="{00000000-0005-0000-0000-00001D560000}"/>
    <cellStyle name="Normal 2 2 2 51 3" xfId="22829" xr:uid="{00000000-0005-0000-0000-00001E560000}"/>
    <cellStyle name="Normal 2 2 2 51 4" xfId="22830" xr:uid="{00000000-0005-0000-0000-00001F560000}"/>
    <cellStyle name="Normal 2 2 2 51 5" xfId="22831" xr:uid="{00000000-0005-0000-0000-000020560000}"/>
    <cellStyle name="Normal 2 2 2 51 6" xfId="22832" xr:uid="{00000000-0005-0000-0000-000021560000}"/>
    <cellStyle name="Normal 2 2 2 51 7" xfId="22833" xr:uid="{00000000-0005-0000-0000-000022560000}"/>
    <cellStyle name="Normal 2 2 2 52" xfId="22834" xr:uid="{00000000-0005-0000-0000-000023560000}"/>
    <cellStyle name="Normal 2 2 2 52 2" xfId="22835" xr:uid="{00000000-0005-0000-0000-000024560000}"/>
    <cellStyle name="Normal 2 2 2 53" xfId="22836" xr:uid="{00000000-0005-0000-0000-000025560000}"/>
    <cellStyle name="Normal 2 2 2 53 2" xfId="22837" xr:uid="{00000000-0005-0000-0000-000026560000}"/>
    <cellStyle name="Normal 2 2 2 54" xfId="22838" xr:uid="{00000000-0005-0000-0000-000027560000}"/>
    <cellStyle name="Normal 2 2 2 54 2" xfId="22839" xr:uid="{00000000-0005-0000-0000-000028560000}"/>
    <cellStyle name="Normal 2 2 2 55" xfId="22840" xr:uid="{00000000-0005-0000-0000-000029560000}"/>
    <cellStyle name="Normal 2 2 2 55 2" xfId="22841" xr:uid="{00000000-0005-0000-0000-00002A560000}"/>
    <cellStyle name="Normal 2 2 2 56" xfId="22842" xr:uid="{00000000-0005-0000-0000-00002B560000}"/>
    <cellStyle name="Normal 2 2 2 56 2" xfId="22843" xr:uid="{00000000-0005-0000-0000-00002C560000}"/>
    <cellStyle name="Normal 2 2 2 56 2 2" xfId="22844" xr:uid="{00000000-0005-0000-0000-00002D560000}"/>
    <cellStyle name="Normal 2 2 2 56 2 2 2" xfId="22845" xr:uid="{00000000-0005-0000-0000-00002E560000}"/>
    <cellStyle name="Normal 2 2 2 56 2 2 2 2" xfId="22846" xr:uid="{00000000-0005-0000-0000-00002F560000}"/>
    <cellStyle name="Normal 2 2 2 56 2 2 2 3" xfId="22847" xr:uid="{00000000-0005-0000-0000-000030560000}"/>
    <cellStyle name="Normal 2 2 2 56 2 2 2 4" xfId="22848" xr:uid="{00000000-0005-0000-0000-000031560000}"/>
    <cellStyle name="Normal 2 2 2 56 2 2 2 5" xfId="22849" xr:uid="{00000000-0005-0000-0000-000032560000}"/>
    <cellStyle name="Normal 2 2 2 56 2 2 2 6" xfId="22850" xr:uid="{00000000-0005-0000-0000-000033560000}"/>
    <cellStyle name="Normal 2 2 2 56 2 3" xfId="22851" xr:uid="{00000000-0005-0000-0000-000034560000}"/>
    <cellStyle name="Normal 2 2 2 56 2 4" xfId="22852" xr:uid="{00000000-0005-0000-0000-000035560000}"/>
    <cellStyle name="Normal 2 2 2 56 2 5" xfId="22853" xr:uid="{00000000-0005-0000-0000-000036560000}"/>
    <cellStyle name="Normal 2 2 2 56 2 6" xfId="22854" xr:uid="{00000000-0005-0000-0000-000037560000}"/>
    <cellStyle name="Normal 2 2 2 56 2 7" xfId="22855" xr:uid="{00000000-0005-0000-0000-000038560000}"/>
    <cellStyle name="Normal 2 2 2 56 3" xfId="22856" xr:uid="{00000000-0005-0000-0000-000039560000}"/>
    <cellStyle name="Normal 2 2 2 56 3 2" xfId="22857" xr:uid="{00000000-0005-0000-0000-00003A560000}"/>
    <cellStyle name="Normal 2 2 2 56 3 3" xfId="22858" xr:uid="{00000000-0005-0000-0000-00003B560000}"/>
    <cellStyle name="Normal 2 2 2 56 3 4" xfId="22859" xr:uid="{00000000-0005-0000-0000-00003C560000}"/>
    <cellStyle name="Normal 2 2 2 56 3 5" xfId="22860" xr:uid="{00000000-0005-0000-0000-00003D560000}"/>
    <cellStyle name="Normal 2 2 2 56 3 6" xfId="22861" xr:uid="{00000000-0005-0000-0000-00003E560000}"/>
    <cellStyle name="Normal 2 2 2 56 4" xfId="22862" xr:uid="{00000000-0005-0000-0000-00003F560000}"/>
    <cellStyle name="Normal 2 2 2 57" xfId="22863" xr:uid="{00000000-0005-0000-0000-000040560000}"/>
    <cellStyle name="Normal 2 2 2 57 2" xfId="22864" xr:uid="{00000000-0005-0000-0000-000041560000}"/>
    <cellStyle name="Normal 2 2 2 57 3" xfId="22865" xr:uid="{00000000-0005-0000-0000-000042560000}"/>
    <cellStyle name="Normal 2 2 2 57 4" xfId="22866" xr:uid="{00000000-0005-0000-0000-000043560000}"/>
    <cellStyle name="Normal 2 2 2 57 5" xfId="22867" xr:uid="{00000000-0005-0000-0000-000044560000}"/>
    <cellStyle name="Normal 2 2 2 57 6" xfId="22868" xr:uid="{00000000-0005-0000-0000-000045560000}"/>
    <cellStyle name="Normal 2 2 2 57 7" xfId="22869" xr:uid="{00000000-0005-0000-0000-000046560000}"/>
    <cellStyle name="Normal 2 2 2 58" xfId="22870" xr:uid="{00000000-0005-0000-0000-000047560000}"/>
    <cellStyle name="Normal 2 2 2 58 2" xfId="22871" xr:uid="{00000000-0005-0000-0000-000048560000}"/>
    <cellStyle name="Normal 2 2 2 58 3" xfId="22872" xr:uid="{00000000-0005-0000-0000-000049560000}"/>
    <cellStyle name="Normal 2 2 2 58 4" xfId="22873" xr:uid="{00000000-0005-0000-0000-00004A560000}"/>
    <cellStyle name="Normal 2 2 2 58 5" xfId="22874" xr:uid="{00000000-0005-0000-0000-00004B560000}"/>
    <cellStyle name="Normal 2 2 2 58 6" xfId="22875" xr:uid="{00000000-0005-0000-0000-00004C560000}"/>
    <cellStyle name="Normal 2 2 2 58 7" xfId="22876" xr:uid="{00000000-0005-0000-0000-00004D560000}"/>
    <cellStyle name="Normal 2 2 2 59" xfId="22877" xr:uid="{00000000-0005-0000-0000-00004E560000}"/>
    <cellStyle name="Normal 2 2 2 59 2" xfId="22878" xr:uid="{00000000-0005-0000-0000-00004F560000}"/>
    <cellStyle name="Normal 2 2 2 59 3" xfId="22879" xr:uid="{00000000-0005-0000-0000-000050560000}"/>
    <cellStyle name="Normal 2 2 2 59 4" xfId="22880" xr:uid="{00000000-0005-0000-0000-000051560000}"/>
    <cellStyle name="Normal 2 2 2 59 5" xfId="22881" xr:uid="{00000000-0005-0000-0000-000052560000}"/>
    <cellStyle name="Normal 2 2 2 59 6" xfId="22882" xr:uid="{00000000-0005-0000-0000-000053560000}"/>
    <cellStyle name="Normal 2 2 2 6" xfId="22883" xr:uid="{00000000-0005-0000-0000-000054560000}"/>
    <cellStyle name="Normal 2 2 2 6 2" xfId="22884" xr:uid="{00000000-0005-0000-0000-000055560000}"/>
    <cellStyle name="Normal 2 2 2 60" xfId="22885" xr:uid="{00000000-0005-0000-0000-000056560000}"/>
    <cellStyle name="Normal 2 2 2 60 2" xfId="22886" xr:uid="{00000000-0005-0000-0000-000057560000}"/>
    <cellStyle name="Normal 2 2 2 60 3" xfId="22887" xr:uid="{00000000-0005-0000-0000-000058560000}"/>
    <cellStyle name="Normal 2 2 2 60 4" xfId="22888" xr:uid="{00000000-0005-0000-0000-000059560000}"/>
    <cellStyle name="Normal 2 2 2 60 5" xfId="22889" xr:uid="{00000000-0005-0000-0000-00005A560000}"/>
    <cellStyle name="Normal 2 2 2 60 6" xfId="22890" xr:uid="{00000000-0005-0000-0000-00005B560000}"/>
    <cellStyle name="Normal 2 2 2 61" xfId="22891" xr:uid="{00000000-0005-0000-0000-00005C560000}"/>
    <cellStyle name="Normal 2 2 2 61 2" xfId="22892" xr:uid="{00000000-0005-0000-0000-00005D560000}"/>
    <cellStyle name="Normal 2 2 2 61 3" xfId="22893" xr:uid="{00000000-0005-0000-0000-00005E560000}"/>
    <cellStyle name="Normal 2 2 2 61 4" xfId="22894" xr:uid="{00000000-0005-0000-0000-00005F560000}"/>
    <cellStyle name="Normal 2 2 2 61 5" xfId="22895" xr:uid="{00000000-0005-0000-0000-000060560000}"/>
    <cellStyle name="Normal 2 2 2 61 6" xfId="22896" xr:uid="{00000000-0005-0000-0000-000061560000}"/>
    <cellStyle name="Normal 2 2 2 62" xfId="22897" xr:uid="{00000000-0005-0000-0000-000062560000}"/>
    <cellStyle name="Normal 2 2 2 62 2" xfId="22898" xr:uid="{00000000-0005-0000-0000-000063560000}"/>
    <cellStyle name="Normal 2 2 2 62 3" xfId="22899" xr:uid="{00000000-0005-0000-0000-000064560000}"/>
    <cellStyle name="Normal 2 2 2 62 4" xfId="22900" xr:uid="{00000000-0005-0000-0000-000065560000}"/>
    <cellStyle name="Normal 2 2 2 62 5" xfId="22901" xr:uid="{00000000-0005-0000-0000-000066560000}"/>
    <cellStyle name="Normal 2 2 2 62 6" xfId="22902" xr:uid="{00000000-0005-0000-0000-000067560000}"/>
    <cellStyle name="Normal 2 2 2 63" xfId="22903" xr:uid="{00000000-0005-0000-0000-000068560000}"/>
    <cellStyle name="Normal 2 2 2 63 2" xfId="22904" xr:uid="{00000000-0005-0000-0000-000069560000}"/>
    <cellStyle name="Normal 2 2 2 63 3" xfId="22905" xr:uid="{00000000-0005-0000-0000-00006A560000}"/>
    <cellStyle name="Normal 2 2 2 63 4" xfId="22906" xr:uid="{00000000-0005-0000-0000-00006B560000}"/>
    <cellStyle name="Normal 2 2 2 63 5" xfId="22907" xr:uid="{00000000-0005-0000-0000-00006C560000}"/>
    <cellStyle name="Normal 2 2 2 63 6" xfId="22908" xr:uid="{00000000-0005-0000-0000-00006D560000}"/>
    <cellStyle name="Normal 2 2 2 64" xfId="22909" xr:uid="{00000000-0005-0000-0000-00006E560000}"/>
    <cellStyle name="Normal 2 2 2 64 2" xfId="22910" xr:uid="{00000000-0005-0000-0000-00006F560000}"/>
    <cellStyle name="Normal 2 2 2 64 3" xfId="22911" xr:uid="{00000000-0005-0000-0000-000070560000}"/>
    <cellStyle name="Normal 2 2 2 64 4" xfId="22912" xr:uid="{00000000-0005-0000-0000-000071560000}"/>
    <cellStyle name="Normal 2 2 2 64 5" xfId="22913" xr:uid="{00000000-0005-0000-0000-000072560000}"/>
    <cellStyle name="Normal 2 2 2 64 6" xfId="22914" xr:uid="{00000000-0005-0000-0000-000073560000}"/>
    <cellStyle name="Normal 2 2 2 65" xfId="22915" xr:uid="{00000000-0005-0000-0000-000074560000}"/>
    <cellStyle name="Normal 2 2 2 65 2" xfId="22916" xr:uid="{00000000-0005-0000-0000-000075560000}"/>
    <cellStyle name="Normal 2 2 2 65 3" xfId="22917" xr:uid="{00000000-0005-0000-0000-000076560000}"/>
    <cellStyle name="Normal 2 2 2 65 4" xfId="22918" xr:uid="{00000000-0005-0000-0000-000077560000}"/>
    <cellStyle name="Normal 2 2 2 65 5" xfId="22919" xr:uid="{00000000-0005-0000-0000-000078560000}"/>
    <cellStyle name="Normal 2 2 2 65 6" xfId="22920" xr:uid="{00000000-0005-0000-0000-000079560000}"/>
    <cellStyle name="Normal 2 2 2 66" xfId="22921" xr:uid="{00000000-0005-0000-0000-00007A560000}"/>
    <cellStyle name="Normal 2 2 2 66 2" xfId="22922" xr:uid="{00000000-0005-0000-0000-00007B560000}"/>
    <cellStyle name="Normal 2 2 2 66 3" xfId="22923" xr:uid="{00000000-0005-0000-0000-00007C560000}"/>
    <cellStyle name="Normal 2 2 2 66 4" xfId="22924" xr:uid="{00000000-0005-0000-0000-00007D560000}"/>
    <cellStyle name="Normal 2 2 2 66 5" xfId="22925" xr:uid="{00000000-0005-0000-0000-00007E560000}"/>
    <cellStyle name="Normal 2 2 2 66 6" xfId="22926" xr:uid="{00000000-0005-0000-0000-00007F560000}"/>
    <cellStyle name="Normal 2 2 2 67" xfId="22927" xr:uid="{00000000-0005-0000-0000-000080560000}"/>
    <cellStyle name="Normal 2 2 2 67 2" xfId="22928" xr:uid="{00000000-0005-0000-0000-000081560000}"/>
    <cellStyle name="Normal 2 2 2 67 3" xfId="22929" xr:uid="{00000000-0005-0000-0000-000082560000}"/>
    <cellStyle name="Normal 2 2 2 67 4" xfId="22930" xr:uid="{00000000-0005-0000-0000-000083560000}"/>
    <cellStyle name="Normal 2 2 2 67 5" xfId="22931" xr:uid="{00000000-0005-0000-0000-000084560000}"/>
    <cellStyle name="Normal 2 2 2 67 6" xfId="22932" xr:uid="{00000000-0005-0000-0000-000085560000}"/>
    <cellStyle name="Normal 2 2 2 68" xfId="22933" xr:uid="{00000000-0005-0000-0000-000086560000}"/>
    <cellStyle name="Normal 2 2 2 68 2" xfId="22934" xr:uid="{00000000-0005-0000-0000-000087560000}"/>
    <cellStyle name="Normal 2 2 2 68 3" xfId="22935" xr:uid="{00000000-0005-0000-0000-000088560000}"/>
    <cellStyle name="Normal 2 2 2 68 4" xfId="22936" xr:uid="{00000000-0005-0000-0000-000089560000}"/>
    <cellStyle name="Normal 2 2 2 68 5" xfId="22937" xr:uid="{00000000-0005-0000-0000-00008A560000}"/>
    <cellStyle name="Normal 2 2 2 68 6" xfId="22938" xr:uid="{00000000-0005-0000-0000-00008B560000}"/>
    <cellStyle name="Normal 2 2 2 69" xfId="22939" xr:uid="{00000000-0005-0000-0000-00008C560000}"/>
    <cellStyle name="Normal 2 2 2 69 2" xfId="22940" xr:uid="{00000000-0005-0000-0000-00008D560000}"/>
    <cellStyle name="Normal 2 2 2 69 3" xfId="22941" xr:uid="{00000000-0005-0000-0000-00008E560000}"/>
    <cellStyle name="Normal 2 2 2 69 4" xfId="22942" xr:uid="{00000000-0005-0000-0000-00008F560000}"/>
    <cellStyle name="Normal 2 2 2 69 5" xfId="22943" xr:uid="{00000000-0005-0000-0000-000090560000}"/>
    <cellStyle name="Normal 2 2 2 69 6" xfId="22944" xr:uid="{00000000-0005-0000-0000-000091560000}"/>
    <cellStyle name="Normal 2 2 2 7" xfId="22945" xr:uid="{00000000-0005-0000-0000-000092560000}"/>
    <cellStyle name="Normal 2 2 2 7 2" xfId="22946" xr:uid="{00000000-0005-0000-0000-000093560000}"/>
    <cellStyle name="Normal 2 2 2 70" xfId="22947" xr:uid="{00000000-0005-0000-0000-000094560000}"/>
    <cellStyle name="Normal 2 2 2 70 2" xfId="22948" xr:uid="{00000000-0005-0000-0000-000095560000}"/>
    <cellStyle name="Normal 2 2 2 70 3" xfId="22949" xr:uid="{00000000-0005-0000-0000-000096560000}"/>
    <cellStyle name="Normal 2 2 2 70 4" xfId="22950" xr:uid="{00000000-0005-0000-0000-000097560000}"/>
    <cellStyle name="Normal 2 2 2 70 5" xfId="22951" xr:uid="{00000000-0005-0000-0000-000098560000}"/>
    <cellStyle name="Normal 2 2 2 70 6" xfId="22952" xr:uid="{00000000-0005-0000-0000-000099560000}"/>
    <cellStyle name="Normal 2 2 2 71" xfId="22953" xr:uid="{00000000-0005-0000-0000-00009A560000}"/>
    <cellStyle name="Normal 2 2 2 71 2" xfId="22954" xr:uid="{00000000-0005-0000-0000-00009B560000}"/>
    <cellStyle name="Normal 2 2 2 71 3" xfId="22955" xr:uid="{00000000-0005-0000-0000-00009C560000}"/>
    <cellStyle name="Normal 2 2 2 71 4" xfId="22956" xr:uid="{00000000-0005-0000-0000-00009D560000}"/>
    <cellStyle name="Normal 2 2 2 71 5" xfId="22957" xr:uid="{00000000-0005-0000-0000-00009E560000}"/>
    <cellStyle name="Normal 2 2 2 71 6" xfId="22958" xr:uid="{00000000-0005-0000-0000-00009F560000}"/>
    <cellStyle name="Normal 2 2 2 72" xfId="22959" xr:uid="{00000000-0005-0000-0000-0000A0560000}"/>
    <cellStyle name="Normal 2 2 2 72 2" xfId="22960" xr:uid="{00000000-0005-0000-0000-0000A1560000}"/>
    <cellStyle name="Normal 2 2 2 72 3" xfId="22961" xr:uid="{00000000-0005-0000-0000-0000A2560000}"/>
    <cellStyle name="Normal 2 2 2 72 4" xfId="22962" xr:uid="{00000000-0005-0000-0000-0000A3560000}"/>
    <cellStyle name="Normal 2 2 2 72 5" xfId="22963" xr:uid="{00000000-0005-0000-0000-0000A4560000}"/>
    <cellStyle name="Normal 2 2 2 72 6" xfId="22964" xr:uid="{00000000-0005-0000-0000-0000A5560000}"/>
    <cellStyle name="Normal 2 2 2 73" xfId="22965" xr:uid="{00000000-0005-0000-0000-0000A6560000}"/>
    <cellStyle name="Normal 2 2 2 73 2" xfId="22966" xr:uid="{00000000-0005-0000-0000-0000A7560000}"/>
    <cellStyle name="Normal 2 2 2 73 3" xfId="22967" xr:uid="{00000000-0005-0000-0000-0000A8560000}"/>
    <cellStyle name="Normal 2 2 2 73 4" xfId="22968" xr:uid="{00000000-0005-0000-0000-0000A9560000}"/>
    <cellStyle name="Normal 2 2 2 73 5" xfId="22969" xr:uid="{00000000-0005-0000-0000-0000AA560000}"/>
    <cellStyle name="Normal 2 2 2 73 6" xfId="22970" xr:uid="{00000000-0005-0000-0000-0000AB560000}"/>
    <cellStyle name="Normal 2 2 2 74" xfId="22971" xr:uid="{00000000-0005-0000-0000-0000AC560000}"/>
    <cellStyle name="Normal 2 2 2 74 2" xfId="22972" xr:uid="{00000000-0005-0000-0000-0000AD560000}"/>
    <cellStyle name="Normal 2 2 2 74 3" xfId="22973" xr:uid="{00000000-0005-0000-0000-0000AE560000}"/>
    <cellStyle name="Normal 2 2 2 74 4" xfId="22974" xr:uid="{00000000-0005-0000-0000-0000AF560000}"/>
    <cellStyle name="Normal 2 2 2 74 5" xfId="22975" xr:uid="{00000000-0005-0000-0000-0000B0560000}"/>
    <cellStyle name="Normal 2 2 2 74 6" xfId="22976" xr:uid="{00000000-0005-0000-0000-0000B1560000}"/>
    <cellStyle name="Normal 2 2 2 75" xfId="22977" xr:uid="{00000000-0005-0000-0000-0000B2560000}"/>
    <cellStyle name="Normal 2 2 2 75 2" xfId="22978" xr:uid="{00000000-0005-0000-0000-0000B3560000}"/>
    <cellStyle name="Normal 2 2 2 75 3" xfId="22979" xr:uid="{00000000-0005-0000-0000-0000B4560000}"/>
    <cellStyle name="Normal 2 2 2 75 4" xfId="22980" xr:uid="{00000000-0005-0000-0000-0000B5560000}"/>
    <cellStyle name="Normal 2 2 2 75 5" xfId="22981" xr:uid="{00000000-0005-0000-0000-0000B6560000}"/>
    <cellStyle name="Normal 2 2 2 75 6" xfId="22982" xr:uid="{00000000-0005-0000-0000-0000B7560000}"/>
    <cellStyle name="Normal 2 2 2 76" xfId="22983" xr:uid="{00000000-0005-0000-0000-0000B8560000}"/>
    <cellStyle name="Normal 2 2 2 76 2" xfId="22984" xr:uid="{00000000-0005-0000-0000-0000B9560000}"/>
    <cellStyle name="Normal 2 2 2 76 2 2" xfId="22985" xr:uid="{00000000-0005-0000-0000-0000BA560000}"/>
    <cellStyle name="Normal 2 2 2 76 2 3" xfId="22986" xr:uid="{00000000-0005-0000-0000-0000BB560000}"/>
    <cellStyle name="Normal 2 2 2 76 2 4" xfId="22987" xr:uid="{00000000-0005-0000-0000-0000BC560000}"/>
    <cellStyle name="Normal 2 2 2 76 2 5" xfId="22988" xr:uid="{00000000-0005-0000-0000-0000BD560000}"/>
    <cellStyle name="Normal 2 2 2 76 2 6" xfId="22989" xr:uid="{00000000-0005-0000-0000-0000BE560000}"/>
    <cellStyle name="Normal 2 2 2 77" xfId="22990" xr:uid="{00000000-0005-0000-0000-0000BF560000}"/>
    <cellStyle name="Normal 2 2 2 77 10" xfId="22991" xr:uid="{00000000-0005-0000-0000-0000C0560000}"/>
    <cellStyle name="Normal 2 2 2 77 11" xfId="22992" xr:uid="{00000000-0005-0000-0000-0000C1560000}"/>
    <cellStyle name="Normal 2 2 2 77 2" xfId="22993" xr:uid="{00000000-0005-0000-0000-0000C2560000}"/>
    <cellStyle name="Normal 2 2 2 77 2 2" xfId="22994" xr:uid="{00000000-0005-0000-0000-0000C3560000}"/>
    <cellStyle name="Normal 2 2 2 77 2 2 2" xfId="22995" xr:uid="{00000000-0005-0000-0000-0000C4560000}"/>
    <cellStyle name="Normal 2 2 2 77 2 2 3" xfId="22996" xr:uid="{00000000-0005-0000-0000-0000C5560000}"/>
    <cellStyle name="Normal 2 2 2 77 2 3" xfId="22997" xr:uid="{00000000-0005-0000-0000-0000C6560000}"/>
    <cellStyle name="Normal 2 2 2 77 2 4" xfId="22998" xr:uid="{00000000-0005-0000-0000-0000C7560000}"/>
    <cellStyle name="Normal 2 2 2 77 2 5" xfId="22999" xr:uid="{00000000-0005-0000-0000-0000C8560000}"/>
    <cellStyle name="Normal 2 2 2 77 2 6" xfId="23000" xr:uid="{00000000-0005-0000-0000-0000C9560000}"/>
    <cellStyle name="Normal 2 2 2 77 2 7" xfId="23001" xr:uid="{00000000-0005-0000-0000-0000CA560000}"/>
    <cellStyle name="Normal 2 2 2 77 2 8" xfId="23002" xr:uid="{00000000-0005-0000-0000-0000CB560000}"/>
    <cellStyle name="Normal 2 2 2 77 2 9" xfId="23003" xr:uid="{00000000-0005-0000-0000-0000CC560000}"/>
    <cellStyle name="Normal 2 2 2 77 3" xfId="23004" xr:uid="{00000000-0005-0000-0000-0000CD560000}"/>
    <cellStyle name="Normal 2 2 2 77 4" xfId="23005" xr:uid="{00000000-0005-0000-0000-0000CE560000}"/>
    <cellStyle name="Normal 2 2 2 77 5" xfId="23006" xr:uid="{00000000-0005-0000-0000-0000CF560000}"/>
    <cellStyle name="Normal 2 2 2 77 5 2" xfId="23007" xr:uid="{00000000-0005-0000-0000-0000D0560000}"/>
    <cellStyle name="Normal 2 2 2 77 5 3" xfId="23008" xr:uid="{00000000-0005-0000-0000-0000D1560000}"/>
    <cellStyle name="Normal 2 2 2 77 6" xfId="23009" xr:uid="{00000000-0005-0000-0000-0000D2560000}"/>
    <cellStyle name="Normal 2 2 2 77 7" xfId="23010" xr:uid="{00000000-0005-0000-0000-0000D3560000}"/>
    <cellStyle name="Normal 2 2 2 77 8" xfId="23011" xr:uid="{00000000-0005-0000-0000-0000D4560000}"/>
    <cellStyle name="Normal 2 2 2 77 9" xfId="23012" xr:uid="{00000000-0005-0000-0000-0000D5560000}"/>
    <cellStyle name="Normal 2 2 2 78" xfId="23013" xr:uid="{00000000-0005-0000-0000-0000D6560000}"/>
    <cellStyle name="Normal 2 2 2 79" xfId="23014" xr:uid="{00000000-0005-0000-0000-0000D7560000}"/>
    <cellStyle name="Normal 2 2 2 8" xfId="23015" xr:uid="{00000000-0005-0000-0000-0000D8560000}"/>
    <cellStyle name="Normal 2 2 2 8 2" xfId="23016" xr:uid="{00000000-0005-0000-0000-0000D9560000}"/>
    <cellStyle name="Normal 2 2 2 80" xfId="23017" xr:uid="{00000000-0005-0000-0000-0000DA560000}"/>
    <cellStyle name="Normal 2 2 2 80 2" xfId="23018" xr:uid="{00000000-0005-0000-0000-0000DB560000}"/>
    <cellStyle name="Normal 2 2 2 80 2 2" xfId="23019" xr:uid="{00000000-0005-0000-0000-0000DC560000}"/>
    <cellStyle name="Normal 2 2 2 80 2 3" xfId="23020" xr:uid="{00000000-0005-0000-0000-0000DD560000}"/>
    <cellStyle name="Normal 2 2 2 80 3" xfId="23021" xr:uid="{00000000-0005-0000-0000-0000DE560000}"/>
    <cellStyle name="Normal 2 2 2 80 4" xfId="23022" xr:uid="{00000000-0005-0000-0000-0000DF560000}"/>
    <cellStyle name="Normal 2 2 2 80 5" xfId="23023" xr:uid="{00000000-0005-0000-0000-0000E0560000}"/>
    <cellStyle name="Normal 2 2 2 80 6" xfId="23024" xr:uid="{00000000-0005-0000-0000-0000E1560000}"/>
    <cellStyle name="Normal 2 2 2 80 7" xfId="23025" xr:uid="{00000000-0005-0000-0000-0000E2560000}"/>
    <cellStyle name="Normal 2 2 2 80 8" xfId="23026" xr:uid="{00000000-0005-0000-0000-0000E3560000}"/>
    <cellStyle name="Normal 2 2 2 80 9" xfId="23027" xr:uid="{00000000-0005-0000-0000-0000E4560000}"/>
    <cellStyle name="Normal 2 2 2 81" xfId="23028" xr:uid="{00000000-0005-0000-0000-0000E5560000}"/>
    <cellStyle name="Normal 2 2 2 82" xfId="23029" xr:uid="{00000000-0005-0000-0000-0000E6560000}"/>
    <cellStyle name="Normal 2 2 2 82 2" xfId="23030" xr:uid="{00000000-0005-0000-0000-0000E7560000}"/>
    <cellStyle name="Normal 2 2 2 82 3" xfId="23031" xr:uid="{00000000-0005-0000-0000-0000E8560000}"/>
    <cellStyle name="Normal 2 2 2 83" xfId="23032" xr:uid="{00000000-0005-0000-0000-0000E9560000}"/>
    <cellStyle name="Normal 2 2 2 84" xfId="23033" xr:uid="{00000000-0005-0000-0000-0000EA560000}"/>
    <cellStyle name="Normal 2 2 2 85" xfId="23034" xr:uid="{00000000-0005-0000-0000-0000EB560000}"/>
    <cellStyle name="Normal 2 2 2 86" xfId="23035" xr:uid="{00000000-0005-0000-0000-0000EC560000}"/>
    <cellStyle name="Normal 2 2 2 87" xfId="23036" xr:uid="{00000000-0005-0000-0000-0000ED560000}"/>
    <cellStyle name="Normal 2 2 2 88" xfId="23037" xr:uid="{00000000-0005-0000-0000-0000EE560000}"/>
    <cellStyle name="Normal 2 2 2 89" xfId="23038" xr:uid="{00000000-0005-0000-0000-0000EF560000}"/>
    <cellStyle name="Normal 2 2 2 9" xfId="23039" xr:uid="{00000000-0005-0000-0000-0000F0560000}"/>
    <cellStyle name="Normal 2 2 2 9 10" xfId="23040" xr:uid="{00000000-0005-0000-0000-0000F1560000}"/>
    <cellStyle name="Normal 2 2 2 9 11" xfId="23041" xr:uid="{00000000-0005-0000-0000-0000F2560000}"/>
    <cellStyle name="Normal 2 2 2 9 12" xfId="23042" xr:uid="{00000000-0005-0000-0000-0000F3560000}"/>
    <cellStyle name="Normal 2 2 2 9 13" xfId="23043" xr:uid="{00000000-0005-0000-0000-0000F4560000}"/>
    <cellStyle name="Normal 2 2 2 9 14" xfId="23044" xr:uid="{00000000-0005-0000-0000-0000F5560000}"/>
    <cellStyle name="Normal 2 2 2 9 15" xfId="23045" xr:uid="{00000000-0005-0000-0000-0000F6560000}"/>
    <cellStyle name="Normal 2 2 2 9 16" xfId="23046" xr:uid="{00000000-0005-0000-0000-0000F7560000}"/>
    <cellStyle name="Normal 2 2 2 9 17" xfId="23047" xr:uid="{00000000-0005-0000-0000-0000F8560000}"/>
    <cellStyle name="Normal 2 2 2 9 18" xfId="23048" xr:uid="{00000000-0005-0000-0000-0000F9560000}"/>
    <cellStyle name="Normal 2 2 2 9 19" xfId="23049" xr:uid="{00000000-0005-0000-0000-0000FA560000}"/>
    <cellStyle name="Normal 2 2 2 9 2" xfId="23050" xr:uid="{00000000-0005-0000-0000-0000FB560000}"/>
    <cellStyle name="Normal 2 2 2 9 2 10" xfId="23051" xr:uid="{00000000-0005-0000-0000-0000FC560000}"/>
    <cellStyle name="Normal 2 2 2 9 2 11" xfId="23052" xr:uid="{00000000-0005-0000-0000-0000FD560000}"/>
    <cellStyle name="Normal 2 2 2 9 2 12" xfId="23053" xr:uid="{00000000-0005-0000-0000-0000FE560000}"/>
    <cellStyle name="Normal 2 2 2 9 2 13" xfId="23054" xr:uid="{00000000-0005-0000-0000-0000FF560000}"/>
    <cellStyle name="Normal 2 2 2 9 2 2" xfId="23055" xr:uid="{00000000-0005-0000-0000-000000570000}"/>
    <cellStyle name="Normal 2 2 2 9 2 2 2" xfId="23056" xr:uid="{00000000-0005-0000-0000-000001570000}"/>
    <cellStyle name="Normal 2 2 2 9 2 2 3" xfId="23057" xr:uid="{00000000-0005-0000-0000-000002570000}"/>
    <cellStyle name="Normal 2 2 2 9 2 2 4" xfId="23058" xr:uid="{00000000-0005-0000-0000-000003570000}"/>
    <cellStyle name="Normal 2 2 2 9 2 2 5" xfId="23059" xr:uid="{00000000-0005-0000-0000-000004570000}"/>
    <cellStyle name="Normal 2 2 2 9 2 2 6" xfId="23060" xr:uid="{00000000-0005-0000-0000-000005570000}"/>
    <cellStyle name="Normal 2 2 2 9 2 3" xfId="23061" xr:uid="{00000000-0005-0000-0000-000006570000}"/>
    <cellStyle name="Normal 2 2 2 9 2 3 2" xfId="23062" xr:uid="{00000000-0005-0000-0000-000007570000}"/>
    <cellStyle name="Normal 2 2 2 9 2 3 3" xfId="23063" xr:uid="{00000000-0005-0000-0000-000008570000}"/>
    <cellStyle name="Normal 2 2 2 9 2 3 4" xfId="23064" xr:uid="{00000000-0005-0000-0000-000009570000}"/>
    <cellStyle name="Normal 2 2 2 9 2 3 5" xfId="23065" xr:uid="{00000000-0005-0000-0000-00000A570000}"/>
    <cellStyle name="Normal 2 2 2 9 2 3 6" xfId="23066" xr:uid="{00000000-0005-0000-0000-00000B570000}"/>
    <cellStyle name="Normal 2 2 2 9 2 4" xfId="23067" xr:uid="{00000000-0005-0000-0000-00000C570000}"/>
    <cellStyle name="Normal 2 2 2 9 2 4 2" xfId="23068" xr:uid="{00000000-0005-0000-0000-00000D570000}"/>
    <cellStyle name="Normal 2 2 2 9 2 4 3" xfId="23069" xr:uid="{00000000-0005-0000-0000-00000E570000}"/>
    <cellStyle name="Normal 2 2 2 9 2 4 4" xfId="23070" xr:uid="{00000000-0005-0000-0000-00000F570000}"/>
    <cellStyle name="Normal 2 2 2 9 2 4 5" xfId="23071" xr:uid="{00000000-0005-0000-0000-000010570000}"/>
    <cellStyle name="Normal 2 2 2 9 2 4 6" xfId="23072" xr:uid="{00000000-0005-0000-0000-000011570000}"/>
    <cellStyle name="Normal 2 2 2 9 2 5" xfId="23073" xr:uid="{00000000-0005-0000-0000-000012570000}"/>
    <cellStyle name="Normal 2 2 2 9 2 5 2" xfId="23074" xr:uid="{00000000-0005-0000-0000-000013570000}"/>
    <cellStyle name="Normal 2 2 2 9 2 5 3" xfId="23075" xr:uid="{00000000-0005-0000-0000-000014570000}"/>
    <cellStyle name="Normal 2 2 2 9 2 5 4" xfId="23076" xr:uid="{00000000-0005-0000-0000-000015570000}"/>
    <cellStyle name="Normal 2 2 2 9 2 5 5" xfId="23077" xr:uid="{00000000-0005-0000-0000-000016570000}"/>
    <cellStyle name="Normal 2 2 2 9 2 5 6" xfId="23078" xr:uid="{00000000-0005-0000-0000-000017570000}"/>
    <cellStyle name="Normal 2 2 2 9 2 6" xfId="23079" xr:uid="{00000000-0005-0000-0000-000018570000}"/>
    <cellStyle name="Normal 2 2 2 9 2 6 2" xfId="23080" xr:uid="{00000000-0005-0000-0000-000019570000}"/>
    <cellStyle name="Normal 2 2 2 9 2 6 3" xfId="23081" xr:uid="{00000000-0005-0000-0000-00001A570000}"/>
    <cellStyle name="Normal 2 2 2 9 2 6 4" xfId="23082" xr:uid="{00000000-0005-0000-0000-00001B570000}"/>
    <cellStyle name="Normal 2 2 2 9 2 6 5" xfId="23083" xr:uid="{00000000-0005-0000-0000-00001C570000}"/>
    <cellStyle name="Normal 2 2 2 9 2 6 6" xfId="23084" xr:uid="{00000000-0005-0000-0000-00001D570000}"/>
    <cellStyle name="Normal 2 2 2 9 2 7" xfId="23085" xr:uid="{00000000-0005-0000-0000-00001E570000}"/>
    <cellStyle name="Normal 2 2 2 9 2 7 2" xfId="23086" xr:uid="{00000000-0005-0000-0000-00001F570000}"/>
    <cellStyle name="Normal 2 2 2 9 2 7 3" xfId="23087" xr:uid="{00000000-0005-0000-0000-000020570000}"/>
    <cellStyle name="Normal 2 2 2 9 2 7 4" xfId="23088" xr:uid="{00000000-0005-0000-0000-000021570000}"/>
    <cellStyle name="Normal 2 2 2 9 2 7 5" xfId="23089" xr:uid="{00000000-0005-0000-0000-000022570000}"/>
    <cellStyle name="Normal 2 2 2 9 2 7 6" xfId="23090" xr:uid="{00000000-0005-0000-0000-000023570000}"/>
    <cellStyle name="Normal 2 2 2 9 2 8" xfId="23091" xr:uid="{00000000-0005-0000-0000-000024570000}"/>
    <cellStyle name="Normal 2 2 2 9 2 8 2" xfId="23092" xr:uid="{00000000-0005-0000-0000-000025570000}"/>
    <cellStyle name="Normal 2 2 2 9 2 8 3" xfId="23093" xr:uid="{00000000-0005-0000-0000-000026570000}"/>
    <cellStyle name="Normal 2 2 2 9 2 8 4" xfId="23094" xr:uid="{00000000-0005-0000-0000-000027570000}"/>
    <cellStyle name="Normal 2 2 2 9 2 8 5" xfId="23095" xr:uid="{00000000-0005-0000-0000-000028570000}"/>
    <cellStyle name="Normal 2 2 2 9 2 8 6" xfId="23096" xr:uid="{00000000-0005-0000-0000-000029570000}"/>
    <cellStyle name="Normal 2 2 2 9 2 9" xfId="23097" xr:uid="{00000000-0005-0000-0000-00002A570000}"/>
    <cellStyle name="Normal 2 2 2 9 20" xfId="23098" xr:uid="{00000000-0005-0000-0000-00002B570000}"/>
    <cellStyle name="Normal 2 2 2 9 21" xfId="23099" xr:uid="{00000000-0005-0000-0000-00002C570000}"/>
    <cellStyle name="Normal 2 2 2 9 22" xfId="23100" xr:uid="{00000000-0005-0000-0000-00002D570000}"/>
    <cellStyle name="Normal 2 2 2 9 23" xfId="23101" xr:uid="{00000000-0005-0000-0000-00002E570000}"/>
    <cellStyle name="Normal 2 2 2 9 24" xfId="23102" xr:uid="{00000000-0005-0000-0000-00002F570000}"/>
    <cellStyle name="Normal 2 2 2 9 25" xfId="23103" xr:uid="{00000000-0005-0000-0000-000030570000}"/>
    <cellStyle name="Normal 2 2 2 9 26" xfId="23104" xr:uid="{00000000-0005-0000-0000-000031570000}"/>
    <cellStyle name="Normal 2 2 2 9 27" xfId="23105" xr:uid="{00000000-0005-0000-0000-000032570000}"/>
    <cellStyle name="Normal 2 2 2 9 28" xfId="23106" xr:uid="{00000000-0005-0000-0000-000033570000}"/>
    <cellStyle name="Normal 2 2 2 9 29" xfId="23107" xr:uid="{00000000-0005-0000-0000-000034570000}"/>
    <cellStyle name="Normal 2 2 2 9 3" xfId="23108" xr:uid="{00000000-0005-0000-0000-000035570000}"/>
    <cellStyle name="Normal 2 2 2 9 3 10" xfId="23109" xr:uid="{00000000-0005-0000-0000-000036570000}"/>
    <cellStyle name="Normal 2 2 2 9 3 11" xfId="23110" xr:uid="{00000000-0005-0000-0000-000037570000}"/>
    <cellStyle name="Normal 2 2 2 9 3 12" xfId="23111" xr:uid="{00000000-0005-0000-0000-000038570000}"/>
    <cellStyle name="Normal 2 2 2 9 3 13" xfId="23112" xr:uid="{00000000-0005-0000-0000-000039570000}"/>
    <cellStyle name="Normal 2 2 2 9 3 2" xfId="23113" xr:uid="{00000000-0005-0000-0000-00003A570000}"/>
    <cellStyle name="Normal 2 2 2 9 3 2 2" xfId="23114" xr:uid="{00000000-0005-0000-0000-00003B570000}"/>
    <cellStyle name="Normal 2 2 2 9 3 2 3" xfId="23115" xr:uid="{00000000-0005-0000-0000-00003C570000}"/>
    <cellStyle name="Normal 2 2 2 9 3 2 4" xfId="23116" xr:uid="{00000000-0005-0000-0000-00003D570000}"/>
    <cellStyle name="Normal 2 2 2 9 3 2 5" xfId="23117" xr:uid="{00000000-0005-0000-0000-00003E570000}"/>
    <cellStyle name="Normal 2 2 2 9 3 2 6" xfId="23118" xr:uid="{00000000-0005-0000-0000-00003F570000}"/>
    <cellStyle name="Normal 2 2 2 9 3 3" xfId="23119" xr:uid="{00000000-0005-0000-0000-000040570000}"/>
    <cellStyle name="Normal 2 2 2 9 3 3 2" xfId="23120" xr:uid="{00000000-0005-0000-0000-000041570000}"/>
    <cellStyle name="Normal 2 2 2 9 3 3 3" xfId="23121" xr:uid="{00000000-0005-0000-0000-000042570000}"/>
    <cellStyle name="Normal 2 2 2 9 3 3 4" xfId="23122" xr:uid="{00000000-0005-0000-0000-000043570000}"/>
    <cellStyle name="Normal 2 2 2 9 3 3 5" xfId="23123" xr:uid="{00000000-0005-0000-0000-000044570000}"/>
    <cellStyle name="Normal 2 2 2 9 3 3 6" xfId="23124" xr:uid="{00000000-0005-0000-0000-000045570000}"/>
    <cellStyle name="Normal 2 2 2 9 3 4" xfId="23125" xr:uid="{00000000-0005-0000-0000-000046570000}"/>
    <cellStyle name="Normal 2 2 2 9 3 4 2" xfId="23126" xr:uid="{00000000-0005-0000-0000-000047570000}"/>
    <cellStyle name="Normal 2 2 2 9 3 4 3" xfId="23127" xr:uid="{00000000-0005-0000-0000-000048570000}"/>
    <cellStyle name="Normal 2 2 2 9 3 4 4" xfId="23128" xr:uid="{00000000-0005-0000-0000-000049570000}"/>
    <cellStyle name="Normal 2 2 2 9 3 4 5" xfId="23129" xr:uid="{00000000-0005-0000-0000-00004A570000}"/>
    <cellStyle name="Normal 2 2 2 9 3 4 6" xfId="23130" xr:uid="{00000000-0005-0000-0000-00004B570000}"/>
    <cellStyle name="Normal 2 2 2 9 3 5" xfId="23131" xr:uid="{00000000-0005-0000-0000-00004C570000}"/>
    <cellStyle name="Normal 2 2 2 9 3 5 2" xfId="23132" xr:uid="{00000000-0005-0000-0000-00004D570000}"/>
    <cellStyle name="Normal 2 2 2 9 3 5 3" xfId="23133" xr:uid="{00000000-0005-0000-0000-00004E570000}"/>
    <cellStyle name="Normal 2 2 2 9 3 5 4" xfId="23134" xr:uid="{00000000-0005-0000-0000-00004F570000}"/>
    <cellStyle name="Normal 2 2 2 9 3 5 5" xfId="23135" xr:uid="{00000000-0005-0000-0000-000050570000}"/>
    <cellStyle name="Normal 2 2 2 9 3 5 6" xfId="23136" xr:uid="{00000000-0005-0000-0000-000051570000}"/>
    <cellStyle name="Normal 2 2 2 9 3 6" xfId="23137" xr:uid="{00000000-0005-0000-0000-000052570000}"/>
    <cellStyle name="Normal 2 2 2 9 3 6 2" xfId="23138" xr:uid="{00000000-0005-0000-0000-000053570000}"/>
    <cellStyle name="Normal 2 2 2 9 3 6 3" xfId="23139" xr:uid="{00000000-0005-0000-0000-000054570000}"/>
    <cellStyle name="Normal 2 2 2 9 3 6 4" xfId="23140" xr:uid="{00000000-0005-0000-0000-000055570000}"/>
    <cellStyle name="Normal 2 2 2 9 3 6 5" xfId="23141" xr:uid="{00000000-0005-0000-0000-000056570000}"/>
    <cellStyle name="Normal 2 2 2 9 3 6 6" xfId="23142" xr:uid="{00000000-0005-0000-0000-000057570000}"/>
    <cellStyle name="Normal 2 2 2 9 3 7" xfId="23143" xr:uid="{00000000-0005-0000-0000-000058570000}"/>
    <cellStyle name="Normal 2 2 2 9 3 7 2" xfId="23144" xr:uid="{00000000-0005-0000-0000-000059570000}"/>
    <cellStyle name="Normal 2 2 2 9 3 7 3" xfId="23145" xr:uid="{00000000-0005-0000-0000-00005A570000}"/>
    <cellStyle name="Normal 2 2 2 9 3 7 4" xfId="23146" xr:uid="{00000000-0005-0000-0000-00005B570000}"/>
    <cellStyle name="Normal 2 2 2 9 3 7 5" xfId="23147" xr:uid="{00000000-0005-0000-0000-00005C570000}"/>
    <cellStyle name="Normal 2 2 2 9 3 7 6" xfId="23148" xr:uid="{00000000-0005-0000-0000-00005D570000}"/>
    <cellStyle name="Normal 2 2 2 9 3 8" xfId="23149" xr:uid="{00000000-0005-0000-0000-00005E570000}"/>
    <cellStyle name="Normal 2 2 2 9 3 8 2" xfId="23150" xr:uid="{00000000-0005-0000-0000-00005F570000}"/>
    <cellStyle name="Normal 2 2 2 9 3 8 3" xfId="23151" xr:uid="{00000000-0005-0000-0000-000060570000}"/>
    <cellStyle name="Normal 2 2 2 9 3 8 4" xfId="23152" xr:uid="{00000000-0005-0000-0000-000061570000}"/>
    <cellStyle name="Normal 2 2 2 9 3 8 5" xfId="23153" xr:uid="{00000000-0005-0000-0000-000062570000}"/>
    <cellStyle name="Normal 2 2 2 9 3 8 6" xfId="23154" xr:uid="{00000000-0005-0000-0000-000063570000}"/>
    <cellStyle name="Normal 2 2 2 9 3 9" xfId="23155" xr:uid="{00000000-0005-0000-0000-000064570000}"/>
    <cellStyle name="Normal 2 2 2 9 30" xfId="23156" xr:uid="{00000000-0005-0000-0000-000065570000}"/>
    <cellStyle name="Normal 2 2 2 9 31" xfId="23157" xr:uid="{00000000-0005-0000-0000-000066570000}"/>
    <cellStyle name="Normal 2 2 2 9 32" xfId="23158" xr:uid="{00000000-0005-0000-0000-000067570000}"/>
    <cellStyle name="Normal 2 2 2 9 33" xfId="23159" xr:uid="{00000000-0005-0000-0000-000068570000}"/>
    <cellStyle name="Normal 2 2 2 9 34" xfId="23160" xr:uid="{00000000-0005-0000-0000-000069570000}"/>
    <cellStyle name="Normal 2 2 2 9 35" xfId="23161" xr:uid="{00000000-0005-0000-0000-00006A570000}"/>
    <cellStyle name="Normal 2 2 2 9 36" xfId="23162" xr:uid="{00000000-0005-0000-0000-00006B570000}"/>
    <cellStyle name="Normal 2 2 2 9 37" xfId="23163" xr:uid="{00000000-0005-0000-0000-00006C570000}"/>
    <cellStyle name="Normal 2 2 2 9 38" xfId="23164" xr:uid="{00000000-0005-0000-0000-00006D570000}"/>
    <cellStyle name="Normal 2 2 2 9 39" xfId="23165" xr:uid="{00000000-0005-0000-0000-00006E570000}"/>
    <cellStyle name="Normal 2 2 2 9 4" xfId="23166" xr:uid="{00000000-0005-0000-0000-00006F570000}"/>
    <cellStyle name="Normal 2 2 2 9 4 10" xfId="23167" xr:uid="{00000000-0005-0000-0000-000070570000}"/>
    <cellStyle name="Normal 2 2 2 9 4 11" xfId="23168" xr:uid="{00000000-0005-0000-0000-000071570000}"/>
    <cellStyle name="Normal 2 2 2 9 4 12" xfId="23169" xr:uid="{00000000-0005-0000-0000-000072570000}"/>
    <cellStyle name="Normal 2 2 2 9 4 13" xfId="23170" xr:uid="{00000000-0005-0000-0000-000073570000}"/>
    <cellStyle name="Normal 2 2 2 9 4 2" xfId="23171" xr:uid="{00000000-0005-0000-0000-000074570000}"/>
    <cellStyle name="Normal 2 2 2 9 4 2 2" xfId="23172" xr:uid="{00000000-0005-0000-0000-000075570000}"/>
    <cellStyle name="Normal 2 2 2 9 4 2 3" xfId="23173" xr:uid="{00000000-0005-0000-0000-000076570000}"/>
    <cellStyle name="Normal 2 2 2 9 4 2 4" xfId="23174" xr:uid="{00000000-0005-0000-0000-000077570000}"/>
    <cellStyle name="Normal 2 2 2 9 4 2 5" xfId="23175" xr:uid="{00000000-0005-0000-0000-000078570000}"/>
    <cellStyle name="Normal 2 2 2 9 4 2 6" xfId="23176" xr:uid="{00000000-0005-0000-0000-000079570000}"/>
    <cellStyle name="Normal 2 2 2 9 4 3" xfId="23177" xr:uid="{00000000-0005-0000-0000-00007A570000}"/>
    <cellStyle name="Normal 2 2 2 9 4 3 2" xfId="23178" xr:uid="{00000000-0005-0000-0000-00007B570000}"/>
    <cellStyle name="Normal 2 2 2 9 4 3 3" xfId="23179" xr:uid="{00000000-0005-0000-0000-00007C570000}"/>
    <cellStyle name="Normal 2 2 2 9 4 3 4" xfId="23180" xr:uid="{00000000-0005-0000-0000-00007D570000}"/>
    <cellStyle name="Normal 2 2 2 9 4 3 5" xfId="23181" xr:uid="{00000000-0005-0000-0000-00007E570000}"/>
    <cellStyle name="Normal 2 2 2 9 4 3 6" xfId="23182" xr:uid="{00000000-0005-0000-0000-00007F570000}"/>
    <cellStyle name="Normal 2 2 2 9 4 4" xfId="23183" xr:uid="{00000000-0005-0000-0000-000080570000}"/>
    <cellStyle name="Normal 2 2 2 9 4 4 2" xfId="23184" xr:uid="{00000000-0005-0000-0000-000081570000}"/>
    <cellStyle name="Normal 2 2 2 9 4 4 3" xfId="23185" xr:uid="{00000000-0005-0000-0000-000082570000}"/>
    <cellStyle name="Normal 2 2 2 9 4 4 4" xfId="23186" xr:uid="{00000000-0005-0000-0000-000083570000}"/>
    <cellStyle name="Normal 2 2 2 9 4 4 5" xfId="23187" xr:uid="{00000000-0005-0000-0000-000084570000}"/>
    <cellStyle name="Normal 2 2 2 9 4 4 6" xfId="23188" xr:uid="{00000000-0005-0000-0000-000085570000}"/>
    <cellStyle name="Normal 2 2 2 9 4 5" xfId="23189" xr:uid="{00000000-0005-0000-0000-000086570000}"/>
    <cellStyle name="Normal 2 2 2 9 4 5 2" xfId="23190" xr:uid="{00000000-0005-0000-0000-000087570000}"/>
    <cellStyle name="Normal 2 2 2 9 4 5 3" xfId="23191" xr:uid="{00000000-0005-0000-0000-000088570000}"/>
    <cellStyle name="Normal 2 2 2 9 4 5 4" xfId="23192" xr:uid="{00000000-0005-0000-0000-000089570000}"/>
    <cellStyle name="Normal 2 2 2 9 4 5 5" xfId="23193" xr:uid="{00000000-0005-0000-0000-00008A570000}"/>
    <cellStyle name="Normal 2 2 2 9 4 5 6" xfId="23194" xr:uid="{00000000-0005-0000-0000-00008B570000}"/>
    <cellStyle name="Normal 2 2 2 9 4 6" xfId="23195" xr:uid="{00000000-0005-0000-0000-00008C570000}"/>
    <cellStyle name="Normal 2 2 2 9 4 6 2" xfId="23196" xr:uid="{00000000-0005-0000-0000-00008D570000}"/>
    <cellStyle name="Normal 2 2 2 9 4 6 3" xfId="23197" xr:uid="{00000000-0005-0000-0000-00008E570000}"/>
    <cellStyle name="Normal 2 2 2 9 4 6 4" xfId="23198" xr:uid="{00000000-0005-0000-0000-00008F570000}"/>
    <cellStyle name="Normal 2 2 2 9 4 6 5" xfId="23199" xr:uid="{00000000-0005-0000-0000-000090570000}"/>
    <cellStyle name="Normal 2 2 2 9 4 6 6" xfId="23200" xr:uid="{00000000-0005-0000-0000-000091570000}"/>
    <cellStyle name="Normal 2 2 2 9 4 7" xfId="23201" xr:uid="{00000000-0005-0000-0000-000092570000}"/>
    <cellStyle name="Normal 2 2 2 9 4 7 2" xfId="23202" xr:uid="{00000000-0005-0000-0000-000093570000}"/>
    <cellStyle name="Normal 2 2 2 9 4 7 3" xfId="23203" xr:uid="{00000000-0005-0000-0000-000094570000}"/>
    <cellStyle name="Normal 2 2 2 9 4 7 4" xfId="23204" xr:uid="{00000000-0005-0000-0000-000095570000}"/>
    <cellStyle name="Normal 2 2 2 9 4 7 5" xfId="23205" xr:uid="{00000000-0005-0000-0000-000096570000}"/>
    <cellStyle name="Normal 2 2 2 9 4 7 6" xfId="23206" xr:uid="{00000000-0005-0000-0000-000097570000}"/>
    <cellStyle name="Normal 2 2 2 9 4 8" xfId="23207" xr:uid="{00000000-0005-0000-0000-000098570000}"/>
    <cellStyle name="Normal 2 2 2 9 4 8 2" xfId="23208" xr:uid="{00000000-0005-0000-0000-000099570000}"/>
    <cellStyle name="Normal 2 2 2 9 4 8 3" xfId="23209" xr:uid="{00000000-0005-0000-0000-00009A570000}"/>
    <cellStyle name="Normal 2 2 2 9 4 8 4" xfId="23210" xr:uid="{00000000-0005-0000-0000-00009B570000}"/>
    <cellStyle name="Normal 2 2 2 9 4 8 5" xfId="23211" xr:uid="{00000000-0005-0000-0000-00009C570000}"/>
    <cellStyle name="Normal 2 2 2 9 4 8 6" xfId="23212" xr:uid="{00000000-0005-0000-0000-00009D570000}"/>
    <cellStyle name="Normal 2 2 2 9 4 9" xfId="23213" xr:uid="{00000000-0005-0000-0000-00009E570000}"/>
    <cellStyle name="Normal 2 2 2 9 40" xfId="23214" xr:uid="{00000000-0005-0000-0000-00009F570000}"/>
    <cellStyle name="Normal 2 2 2 9 41" xfId="23215" xr:uid="{00000000-0005-0000-0000-0000A0570000}"/>
    <cellStyle name="Normal 2 2 2 9 42" xfId="23216" xr:uid="{00000000-0005-0000-0000-0000A1570000}"/>
    <cellStyle name="Normal 2 2 2 9 43" xfId="23217" xr:uid="{00000000-0005-0000-0000-0000A2570000}"/>
    <cellStyle name="Normal 2 2 2 9 44" xfId="23218" xr:uid="{00000000-0005-0000-0000-0000A3570000}"/>
    <cellStyle name="Normal 2 2 2 9 45" xfId="23219" xr:uid="{00000000-0005-0000-0000-0000A4570000}"/>
    <cellStyle name="Normal 2 2 2 9 46" xfId="23220" xr:uid="{00000000-0005-0000-0000-0000A5570000}"/>
    <cellStyle name="Normal 2 2 2 9 47" xfId="23221" xr:uid="{00000000-0005-0000-0000-0000A6570000}"/>
    <cellStyle name="Normal 2 2 2 9 48" xfId="23222" xr:uid="{00000000-0005-0000-0000-0000A7570000}"/>
    <cellStyle name="Normal 2 2 2 9 49" xfId="23223" xr:uid="{00000000-0005-0000-0000-0000A8570000}"/>
    <cellStyle name="Normal 2 2 2 9 5" xfId="23224" xr:uid="{00000000-0005-0000-0000-0000A9570000}"/>
    <cellStyle name="Normal 2 2 2 9 5 10" xfId="23225" xr:uid="{00000000-0005-0000-0000-0000AA570000}"/>
    <cellStyle name="Normal 2 2 2 9 5 11" xfId="23226" xr:uid="{00000000-0005-0000-0000-0000AB570000}"/>
    <cellStyle name="Normal 2 2 2 9 5 12" xfId="23227" xr:uid="{00000000-0005-0000-0000-0000AC570000}"/>
    <cellStyle name="Normal 2 2 2 9 5 13" xfId="23228" xr:uid="{00000000-0005-0000-0000-0000AD570000}"/>
    <cellStyle name="Normal 2 2 2 9 5 2" xfId="23229" xr:uid="{00000000-0005-0000-0000-0000AE570000}"/>
    <cellStyle name="Normal 2 2 2 9 5 2 2" xfId="23230" xr:uid="{00000000-0005-0000-0000-0000AF570000}"/>
    <cellStyle name="Normal 2 2 2 9 5 2 3" xfId="23231" xr:uid="{00000000-0005-0000-0000-0000B0570000}"/>
    <cellStyle name="Normal 2 2 2 9 5 2 4" xfId="23232" xr:uid="{00000000-0005-0000-0000-0000B1570000}"/>
    <cellStyle name="Normal 2 2 2 9 5 2 5" xfId="23233" xr:uid="{00000000-0005-0000-0000-0000B2570000}"/>
    <cellStyle name="Normal 2 2 2 9 5 2 6" xfId="23234" xr:uid="{00000000-0005-0000-0000-0000B3570000}"/>
    <cellStyle name="Normal 2 2 2 9 5 3" xfId="23235" xr:uid="{00000000-0005-0000-0000-0000B4570000}"/>
    <cellStyle name="Normal 2 2 2 9 5 3 2" xfId="23236" xr:uid="{00000000-0005-0000-0000-0000B5570000}"/>
    <cellStyle name="Normal 2 2 2 9 5 3 3" xfId="23237" xr:uid="{00000000-0005-0000-0000-0000B6570000}"/>
    <cellStyle name="Normal 2 2 2 9 5 3 4" xfId="23238" xr:uid="{00000000-0005-0000-0000-0000B7570000}"/>
    <cellStyle name="Normal 2 2 2 9 5 3 5" xfId="23239" xr:uid="{00000000-0005-0000-0000-0000B8570000}"/>
    <cellStyle name="Normal 2 2 2 9 5 3 6" xfId="23240" xr:uid="{00000000-0005-0000-0000-0000B9570000}"/>
    <cellStyle name="Normal 2 2 2 9 5 4" xfId="23241" xr:uid="{00000000-0005-0000-0000-0000BA570000}"/>
    <cellStyle name="Normal 2 2 2 9 5 4 2" xfId="23242" xr:uid="{00000000-0005-0000-0000-0000BB570000}"/>
    <cellStyle name="Normal 2 2 2 9 5 4 3" xfId="23243" xr:uid="{00000000-0005-0000-0000-0000BC570000}"/>
    <cellStyle name="Normal 2 2 2 9 5 4 4" xfId="23244" xr:uid="{00000000-0005-0000-0000-0000BD570000}"/>
    <cellStyle name="Normal 2 2 2 9 5 4 5" xfId="23245" xr:uid="{00000000-0005-0000-0000-0000BE570000}"/>
    <cellStyle name="Normal 2 2 2 9 5 4 6" xfId="23246" xr:uid="{00000000-0005-0000-0000-0000BF570000}"/>
    <cellStyle name="Normal 2 2 2 9 5 5" xfId="23247" xr:uid="{00000000-0005-0000-0000-0000C0570000}"/>
    <cellStyle name="Normal 2 2 2 9 5 5 2" xfId="23248" xr:uid="{00000000-0005-0000-0000-0000C1570000}"/>
    <cellStyle name="Normal 2 2 2 9 5 5 3" xfId="23249" xr:uid="{00000000-0005-0000-0000-0000C2570000}"/>
    <cellStyle name="Normal 2 2 2 9 5 5 4" xfId="23250" xr:uid="{00000000-0005-0000-0000-0000C3570000}"/>
    <cellStyle name="Normal 2 2 2 9 5 5 5" xfId="23251" xr:uid="{00000000-0005-0000-0000-0000C4570000}"/>
    <cellStyle name="Normal 2 2 2 9 5 5 6" xfId="23252" xr:uid="{00000000-0005-0000-0000-0000C5570000}"/>
    <cellStyle name="Normal 2 2 2 9 5 6" xfId="23253" xr:uid="{00000000-0005-0000-0000-0000C6570000}"/>
    <cellStyle name="Normal 2 2 2 9 5 6 2" xfId="23254" xr:uid="{00000000-0005-0000-0000-0000C7570000}"/>
    <cellStyle name="Normal 2 2 2 9 5 6 3" xfId="23255" xr:uid="{00000000-0005-0000-0000-0000C8570000}"/>
    <cellStyle name="Normal 2 2 2 9 5 6 4" xfId="23256" xr:uid="{00000000-0005-0000-0000-0000C9570000}"/>
    <cellStyle name="Normal 2 2 2 9 5 6 5" xfId="23257" xr:uid="{00000000-0005-0000-0000-0000CA570000}"/>
    <cellStyle name="Normal 2 2 2 9 5 6 6" xfId="23258" xr:uid="{00000000-0005-0000-0000-0000CB570000}"/>
    <cellStyle name="Normal 2 2 2 9 5 7" xfId="23259" xr:uid="{00000000-0005-0000-0000-0000CC570000}"/>
    <cellStyle name="Normal 2 2 2 9 5 7 2" xfId="23260" xr:uid="{00000000-0005-0000-0000-0000CD570000}"/>
    <cellStyle name="Normal 2 2 2 9 5 7 3" xfId="23261" xr:uid="{00000000-0005-0000-0000-0000CE570000}"/>
    <cellStyle name="Normal 2 2 2 9 5 7 4" xfId="23262" xr:uid="{00000000-0005-0000-0000-0000CF570000}"/>
    <cellStyle name="Normal 2 2 2 9 5 7 5" xfId="23263" xr:uid="{00000000-0005-0000-0000-0000D0570000}"/>
    <cellStyle name="Normal 2 2 2 9 5 7 6" xfId="23264" xr:uid="{00000000-0005-0000-0000-0000D1570000}"/>
    <cellStyle name="Normal 2 2 2 9 5 8" xfId="23265" xr:uid="{00000000-0005-0000-0000-0000D2570000}"/>
    <cellStyle name="Normal 2 2 2 9 5 8 2" xfId="23266" xr:uid="{00000000-0005-0000-0000-0000D3570000}"/>
    <cellStyle name="Normal 2 2 2 9 5 8 3" xfId="23267" xr:uid="{00000000-0005-0000-0000-0000D4570000}"/>
    <cellStyle name="Normal 2 2 2 9 5 8 4" xfId="23268" xr:uid="{00000000-0005-0000-0000-0000D5570000}"/>
    <cellStyle name="Normal 2 2 2 9 5 8 5" xfId="23269" xr:uid="{00000000-0005-0000-0000-0000D6570000}"/>
    <cellStyle name="Normal 2 2 2 9 5 8 6" xfId="23270" xr:uid="{00000000-0005-0000-0000-0000D7570000}"/>
    <cellStyle name="Normal 2 2 2 9 5 9" xfId="23271" xr:uid="{00000000-0005-0000-0000-0000D8570000}"/>
    <cellStyle name="Normal 2 2 2 9 50" xfId="23272" xr:uid="{00000000-0005-0000-0000-0000D9570000}"/>
    <cellStyle name="Normal 2 2 2 9 51" xfId="23273" xr:uid="{00000000-0005-0000-0000-0000DA570000}"/>
    <cellStyle name="Normal 2 2 2 9 52" xfId="23274" xr:uid="{00000000-0005-0000-0000-0000DB570000}"/>
    <cellStyle name="Normal 2 2 2 9 6" xfId="23275" xr:uid="{00000000-0005-0000-0000-0000DC570000}"/>
    <cellStyle name="Normal 2 2 2 9 6 10" xfId="23276" xr:uid="{00000000-0005-0000-0000-0000DD570000}"/>
    <cellStyle name="Normal 2 2 2 9 6 11" xfId="23277" xr:uid="{00000000-0005-0000-0000-0000DE570000}"/>
    <cellStyle name="Normal 2 2 2 9 6 12" xfId="23278" xr:uid="{00000000-0005-0000-0000-0000DF570000}"/>
    <cellStyle name="Normal 2 2 2 9 6 13" xfId="23279" xr:uid="{00000000-0005-0000-0000-0000E0570000}"/>
    <cellStyle name="Normal 2 2 2 9 6 2" xfId="23280" xr:uid="{00000000-0005-0000-0000-0000E1570000}"/>
    <cellStyle name="Normal 2 2 2 9 6 2 2" xfId="23281" xr:uid="{00000000-0005-0000-0000-0000E2570000}"/>
    <cellStyle name="Normal 2 2 2 9 6 2 3" xfId="23282" xr:uid="{00000000-0005-0000-0000-0000E3570000}"/>
    <cellStyle name="Normal 2 2 2 9 6 2 4" xfId="23283" xr:uid="{00000000-0005-0000-0000-0000E4570000}"/>
    <cellStyle name="Normal 2 2 2 9 6 2 5" xfId="23284" xr:uid="{00000000-0005-0000-0000-0000E5570000}"/>
    <cellStyle name="Normal 2 2 2 9 6 2 6" xfId="23285" xr:uid="{00000000-0005-0000-0000-0000E6570000}"/>
    <cellStyle name="Normal 2 2 2 9 6 3" xfId="23286" xr:uid="{00000000-0005-0000-0000-0000E7570000}"/>
    <cellStyle name="Normal 2 2 2 9 6 3 2" xfId="23287" xr:uid="{00000000-0005-0000-0000-0000E8570000}"/>
    <cellStyle name="Normal 2 2 2 9 6 3 3" xfId="23288" xr:uid="{00000000-0005-0000-0000-0000E9570000}"/>
    <cellStyle name="Normal 2 2 2 9 6 3 4" xfId="23289" xr:uid="{00000000-0005-0000-0000-0000EA570000}"/>
    <cellStyle name="Normal 2 2 2 9 6 3 5" xfId="23290" xr:uid="{00000000-0005-0000-0000-0000EB570000}"/>
    <cellStyle name="Normal 2 2 2 9 6 3 6" xfId="23291" xr:uid="{00000000-0005-0000-0000-0000EC570000}"/>
    <cellStyle name="Normal 2 2 2 9 6 4" xfId="23292" xr:uid="{00000000-0005-0000-0000-0000ED570000}"/>
    <cellStyle name="Normal 2 2 2 9 6 4 2" xfId="23293" xr:uid="{00000000-0005-0000-0000-0000EE570000}"/>
    <cellStyle name="Normal 2 2 2 9 6 4 3" xfId="23294" xr:uid="{00000000-0005-0000-0000-0000EF570000}"/>
    <cellStyle name="Normal 2 2 2 9 6 4 4" xfId="23295" xr:uid="{00000000-0005-0000-0000-0000F0570000}"/>
    <cellStyle name="Normal 2 2 2 9 6 4 5" xfId="23296" xr:uid="{00000000-0005-0000-0000-0000F1570000}"/>
    <cellStyle name="Normal 2 2 2 9 6 4 6" xfId="23297" xr:uid="{00000000-0005-0000-0000-0000F2570000}"/>
    <cellStyle name="Normal 2 2 2 9 6 5" xfId="23298" xr:uid="{00000000-0005-0000-0000-0000F3570000}"/>
    <cellStyle name="Normal 2 2 2 9 6 5 2" xfId="23299" xr:uid="{00000000-0005-0000-0000-0000F4570000}"/>
    <cellStyle name="Normal 2 2 2 9 6 5 3" xfId="23300" xr:uid="{00000000-0005-0000-0000-0000F5570000}"/>
    <cellStyle name="Normal 2 2 2 9 6 5 4" xfId="23301" xr:uid="{00000000-0005-0000-0000-0000F6570000}"/>
    <cellStyle name="Normal 2 2 2 9 6 5 5" xfId="23302" xr:uid="{00000000-0005-0000-0000-0000F7570000}"/>
    <cellStyle name="Normal 2 2 2 9 6 5 6" xfId="23303" xr:uid="{00000000-0005-0000-0000-0000F8570000}"/>
    <cellStyle name="Normal 2 2 2 9 6 6" xfId="23304" xr:uid="{00000000-0005-0000-0000-0000F9570000}"/>
    <cellStyle name="Normal 2 2 2 9 6 6 2" xfId="23305" xr:uid="{00000000-0005-0000-0000-0000FA570000}"/>
    <cellStyle name="Normal 2 2 2 9 6 6 3" xfId="23306" xr:uid="{00000000-0005-0000-0000-0000FB570000}"/>
    <cellStyle name="Normal 2 2 2 9 6 6 4" xfId="23307" xr:uid="{00000000-0005-0000-0000-0000FC570000}"/>
    <cellStyle name="Normal 2 2 2 9 6 6 5" xfId="23308" xr:uid="{00000000-0005-0000-0000-0000FD570000}"/>
    <cellStyle name="Normal 2 2 2 9 6 6 6" xfId="23309" xr:uid="{00000000-0005-0000-0000-0000FE570000}"/>
    <cellStyle name="Normal 2 2 2 9 6 7" xfId="23310" xr:uid="{00000000-0005-0000-0000-0000FF570000}"/>
    <cellStyle name="Normal 2 2 2 9 6 7 2" xfId="23311" xr:uid="{00000000-0005-0000-0000-000000580000}"/>
    <cellStyle name="Normal 2 2 2 9 6 7 3" xfId="23312" xr:uid="{00000000-0005-0000-0000-000001580000}"/>
    <cellStyle name="Normal 2 2 2 9 6 7 4" xfId="23313" xr:uid="{00000000-0005-0000-0000-000002580000}"/>
    <cellStyle name="Normal 2 2 2 9 6 7 5" xfId="23314" xr:uid="{00000000-0005-0000-0000-000003580000}"/>
    <cellStyle name="Normal 2 2 2 9 6 7 6" xfId="23315" xr:uid="{00000000-0005-0000-0000-000004580000}"/>
    <cellStyle name="Normal 2 2 2 9 6 8" xfId="23316" xr:uid="{00000000-0005-0000-0000-000005580000}"/>
    <cellStyle name="Normal 2 2 2 9 6 8 2" xfId="23317" xr:uid="{00000000-0005-0000-0000-000006580000}"/>
    <cellStyle name="Normal 2 2 2 9 6 8 3" xfId="23318" xr:uid="{00000000-0005-0000-0000-000007580000}"/>
    <cellStyle name="Normal 2 2 2 9 6 8 4" xfId="23319" xr:uid="{00000000-0005-0000-0000-000008580000}"/>
    <cellStyle name="Normal 2 2 2 9 6 8 5" xfId="23320" xr:uid="{00000000-0005-0000-0000-000009580000}"/>
    <cellStyle name="Normal 2 2 2 9 6 8 6" xfId="23321" xr:uid="{00000000-0005-0000-0000-00000A580000}"/>
    <cellStyle name="Normal 2 2 2 9 6 9" xfId="23322" xr:uid="{00000000-0005-0000-0000-00000B580000}"/>
    <cellStyle name="Normal 2 2 2 9 7" xfId="23323" xr:uid="{00000000-0005-0000-0000-00000C580000}"/>
    <cellStyle name="Normal 2 2 2 9 7 10" xfId="23324" xr:uid="{00000000-0005-0000-0000-00000D580000}"/>
    <cellStyle name="Normal 2 2 2 9 7 11" xfId="23325" xr:uid="{00000000-0005-0000-0000-00000E580000}"/>
    <cellStyle name="Normal 2 2 2 9 7 12" xfId="23326" xr:uid="{00000000-0005-0000-0000-00000F580000}"/>
    <cellStyle name="Normal 2 2 2 9 7 13" xfId="23327" xr:uid="{00000000-0005-0000-0000-000010580000}"/>
    <cellStyle name="Normal 2 2 2 9 7 2" xfId="23328" xr:uid="{00000000-0005-0000-0000-000011580000}"/>
    <cellStyle name="Normal 2 2 2 9 7 2 2" xfId="23329" xr:uid="{00000000-0005-0000-0000-000012580000}"/>
    <cellStyle name="Normal 2 2 2 9 7 2 3" xfId="23330" xr:uid="{00000000-0005-0000-0000-000013580000}"/>
    <cellStyle name="Normal 2 2 2 9 7 2 4" xfId="23331" xr:uid="{00000000-0005-0000-0000-000014580000}"/>
    <cellStyle name="Normal 2 2 2 9 7 2 5" xfId="23332" xr:uid="{00000000-0005-0000-0000-000015580000}"/>
    <cellStyle name="Normal 2 2 2 9 7 2 6" xfId="23333" xr:uid="{00000000-0005-0000-0000-000016580000}"/>
    <cellStyle name="Normal 2 2 2 9 7 3" xfId="23334" xr:uid="{00000000-0005-0000-0000-000017580000}"/>
    <cellStyle name="Normal 2 2 2 9 7 3 2" xfId="23335" xr:uid="{00000000-0005-0000-0000-000018580000}"/>
    <cellStyle name="Normal 2 2 2 9 7 3 3" xfId="23336" xr:uid="{00000000-0005-0000-0000-000019580000}"/>
    <cellStyle name="Normal 2 2 2 9 7 3 4" xfId="23337" xr:uid="{00000000-0005-0000-0000-00001A580000}"/>
    <cellStyle name="Normal 2 2 2 9 7 3 5" xfId="23338" xr:uid="{00000000-0005-0000-0000-00001B580000}"/>
    <cellStyle name="Normal 2 2 2 9 7 3 6" xfId="23339" xr:uid="{00000000-0005-0000-0000-00001C580000}"/>
    <cellStyle name="Normal 2 2 2 9 7 4" xfId="23340" xr:uid="{00000000-0005-0000-0000-00001D580000}"/>
    <cellStyle name="Normal 2 2 2 9 7 4 2" xfId="23341" xr:uid="{00000000-0005-0000-0000-00001E580000}"/>
    <cellStyle name="Normal 2 2 2 9 7 4 3" xfId="23342" xr:uid="{00000000-0005-0000-0000-00001F580000}"/>
    <cellStyle name="Normal 2 2 2 9 7 4 4" xfId="23343" xr:uid="{00000000-0005-0000-0000-000020580000}"/>
    <cellStyle name="Normal 2 2 2 9 7 4 5" xfId="23344" xr:uid="{00000000-0005-0000-0000-000021580000}"/>
    <cellStyle name="Normal 2 2 2 9 7 4 6" xfId="23345" xr:uid="{00000000-0005-0000-0000-000022580000}"/>
    <cellStyle name="Normal 2 2 2 9 7 5" xfId="23346" xr:uid="{00000000-0005-0000-0000-000023580000}"/>
    <cellStyle name="Normal 2 2 2 9 7 5 2" xfId="23347" xr:uid="{00000000-0005-0000-0000-000024580000}"/>
    <cellStyle name="Normal 2 2 2 9 7 5 3" xfId="23348" xr:uid="{00000000-0005-0000-0000-000025580000}"/>
    <cellStyle name="Normal 2 2 2 9 7 5 4" xfId="23349" xr:uid="{00000000-0005-0000-0000-000026580000}"/>
    <cellStyle name="Normal 2 2 2 9 7 5 5" xfId="23350" xr:uid="{00000000-0005-0000-0000-000027580000}"/>
    <cellStyle name="Normal 2 2 2 9 7 5 6" xfId="23351" xr:uid="{00000000-0005-0000-0000-000028580000}"/>
    <cellStyle name="Normal 2 2 2 9 7 6" xfId="23352" xr:uid="{00000000-0005-0000-0000-000029580000}"/>
    <cellStyle name="Normal 2 2 2 9 7 6 2" xfId="23353" xr:uid="{00000000-0005-0000-0000-00002A580000}"/>
    <cellStyle name="Normal 2 2 2 9 7 6 3" xfId="23354" xr:uid="{00000000-0005-0000-0000-00002B580000}"/>
    <cellStyle name="Normal 2 2 2 9 7 6 4" xfId="23355" xr:uid="{00000000-0005-0000-0000-00002C580000}"/>
    <cellStyle name="Normal 2 2 2 9 7 6 5" xfId="23356" xr:uid="{00000000-0005-0000-0000-00002D580000}"/>
    <cellStyle name="Normal 2 2 2 9 7 6 6" xfId="23357" xr:uid="{00000000-0005-0000-0000-00002E580000}"/>
    <cellStyle name="Normal 2 2 2 9 7 7" xfId="23358" xr:uid="{00000000-0005-0000-0000-00002F580000}"/>
    <cellStyle name="Normal 2 2 2 9 7 7 2" xfId="23359" xr:uid="{00000000-0005-0000-0000-000030580000}"/>
    <cellStyle name="Normal 2 2 2 9 7 7 3" xfId="23360" xr:uid="{00000000-0005-0000-0000-000031580000}"/>
    <cellStyle name="Normal 2 2 2 9 7 7 4" xfId="23361" xr:uid="{00000000-0005-0000-0000-000032580000}"/>
    <cellStyle name="Normal 2 2 2 9 7 7 5" xfId="23362" xr:uid="{00000000-0005-0000-0000-000033580000}"/>
    <cellStyle name="Normal 2 2 2 9 7 7 6" xfId="23363" xr:uid="{00000000-0005-0000-0000-000034580000}"/>
    <cellStyle name="Normal 2 2 2 9 7 8" xfId="23364" xr:uid="{00000000-0005-0000-0000-000035580000}"/>
    <cellStyle name="Normal 2 2 2 9 7 8 2" xfId="23365" xr:uid="{00000000-0005-0000-0000-000036580000}"/>
    <cellStyle name="Normal 2 2 2 9 7 8 3" xfId="23366" xr:uid="{00000000-0005-0000-0000-000037580000}"/>
    <cellStyle name="Normal 2 2 2 9 7 8 4" xfId="23367" xr:uid="{00000000-0005-0000-0000-000038580000}"/>
    <cellStyle name="Normal 2 2 2 9 7 8 5" xfId="23368" xr:uid="{00000000-0005-0000-0000-000039580000}"/>
    <cellStyle name="Normal 2 2 2 9 7 8 6" xfId="23369" xr:uid="{00000000-0005-0000-0000-00003A580000}"/>
    <cellStyle name="Normal 2 2 2 9 7 9" xfId="23370" xr:uid="{00000000-0005-0000-0000-00003B580000}"/>
    <cellStyle name="Normal 2 2 2 9 8" xfId="23371" xr:uid="{00000000-0005-0000-0000-00003C580000}"/>
    <cellStyle name="Normal 2 2 2 9 9" xfId="23372" xr:uid="{00000000-0005-0000-0000-00003D580000}"/>
    <cellStyle name="Normal 2 2 20" xfId="23373" xr:uid="{00000000-0005-0000-0000-00003E580000}"/>
    <cellStyle name="Normal 2 2 20 10" xfId="23374" xr:uid="{00000000-0005-0000-0000-00003F580000}"/>
    <cellStyle name="Normal 2 2 20 11" xfId="23375" xr:uid="{00000000-0005-0000-0000-000040580000}"/>
    <cellStyle name="Normal 2 2 20 12" xfId="23376" xr:uid="{00000000-0005-0000-0000-000041580000}"/>
    <cellStyle name="Normal 2 2 20 13" xfId="23377" xr:uid="{00000000-0005-0000-0000-000042580000}"/>
    <cellStyle name="Normal 2 2 20 14" xfId="23378" xr:uid="{00000000-0005-0000-0000-000043580000}"/>
    <cellStyle name="Normal 2 2 20 15" xfId="23379" xr:uid="{00000000-0005-0000-0000-000044580000}"/>
    <cellStyle name="Normal 2 2 20 16" xfId="23380" xr:uid="{00000000-0005-0000-0000-000045580000}"/>
    <cellStyle name="Normal 2 2 20 17" xfId="23381" xr:uid="{00000000-0005-0000-0000-000046580000}"/>
    <cellStyle name="Normal 2 2 20 18" xfId="23382" xr:uid="{00000000-0005-0000-0000-000047580000}"/>
    <cellStyle name="Normal 2 2 20 19" xfId="23383" xr:uid="{00000000-0005-0000-0000-000048580000}"/>
    <cellStyle name="Normal 2 2 20 2" xfId="23384" xr:uid="{00000000-0005-0000-0000-000049580000}"/>
    <cellStyle name="Normal 2 2 20 20" xfId="23385" xr:uid="{00000000-0005-0000-0000-00004A580000}"/>
    <cellStyle name="Normal 2 2 20 21" xfId="23386" xr:uid="{00000000-0005-0000-0000-00004B580000}"/>
    <cellStyle name="Normal 2 2 20 22" xfId="23387" xr:uid="{00000000-0005-0000-0000-00004C580000}"/>
    <cellStyle name="Normal 2 2 20 23" xfId="23388" xr:uid="{00000000-0005-0000-0000-00004D580000}"/>
    <cellStyle name="Normal 2 2 20 24" xfId="23389" xr:uid="{00000000-0005-0000-0000-00004E580000}"/>
    <cellStyle name="Normal 2 2 20 25" xfId="23390" xr:uid="{00000000-0005-0000-0000-00004F580000}"/>
    <cellStyle name="Normal 2 2 20 26" xfId="23391" xr:uid="{00000000-0005-0000-0000-000050580000}"/>
    <cellStyle name="Normal 2 2 20 27" xfId="23392" xr:uid="{00000000-0005-0000-0000-000051580000}"/>
    <cellStyle name="Normal 2 2 20 28" xfId="23393" xr:uid="{00000000-0005-0000-0000-000052580000}"/>
    <cellStyle name="Normal 2 2 20 29" xfId="23394" xr:uid="{00000000-0005-0000-0000-000053580000}"/>
    <cellStyle name="Normal 2 2 20 3" xfId="23395" xr:uid="{00000000-0005-0000-0000-000054580000}"/>
    <cellStyle name="Normal 2 2 20 30" xfId="23396" xr:uid="{00000000-0005-0000-0000-000055580000}"/>
    <cellStyle name="Normal 2 2 20 31" xfId="23397" xr:uid="{00000000-0005-0000-0000-000056580000}"/>
    <cellStyle name="Normal 2 2 20 32" xfId="23398" xr:uid="{00000000-0005-0000-0000-000057580000}"/>
    <cellStyle name="Normal 2 2 20 33" xfId="23399" xr:uid="{00000000-0005-0000-0000-000058580000}"/>
    <cellStyle name="Normal 2 2 20 34" xfId="23400" xr:uid="{00000000-0005-0000-0000-000059580000}"/>
    <cellStyle name="Normal 2 2 20 35" xfId="23401" xr:uid="{00000000-0005-0000-0000-00005A580000}"/>
    <cellStyle name="Normal 2 2 20 36" xfId="23402" xr:uid="{00000000-0005-0000-0000-00005B580000}"/>
    <cellStyle name="Normal 2 2 20 37" xfId="23403" xr:uid="{00000000-0005-0000-0000-00005C580000}"/>
    <cellStyle name="Normal 2 2 20 38" xfId="23404" xr:uid="{00000000-0005-0000-0000-00005D580000}"/>
    <cellStyle name="Normal 2 2 20 39" xfId="23405" xr:uid="{00000000-0005-0000-0000-00005E580000}"/>
    <cellStyle name="Normal 2 2 20 4" xfId="23406" xr:uid="{00000000-0005-0000-0000-00005F580000}"/>
    <cellStyle name="Normal 2 2 20 40" xfId="23407" xr:uid="{00000000-0005-0000-0000-000060580000}"/>
    <cellStyle name="Normal 2 2 20 41" xfId="23408" xr:uid="{00000000-0005-0000-0000-000061580000}"/>
    <cellStyle name="Normal 2 2 20 42" xfId="23409" xr:uid="{00000000-0005-0000-0000-000062580000}"/>
    <cellStyle name="Normal 2 2 20 43" xfId="23410" xr:uid="{00000000-0005-0000-0000-000063580000}"/>
    <cellStyle name="Normal 2 2 20 44" xfId="23411" xr:uid="{00000000-0005-0000-0000-000064580000}"/>
    <cellStyle name="Normal 2 2 20 45" xfId="23412" xr:uid="{00000000-0005-0000-0000-000065580000}"/>
    <cellStyle name="Normal 2 2 20 46" xfId="23413" xr:uid="{00000000-0005-0000-0000-000066580000}"/>
    <cellStyle name="Normal 2 2 20 5" xfId="23414" xr:uid="{00000000-0005-0000-0000-000067580000}"/>
    <cellStyle name="Normal 2 2 20 6" xfId="23415" xr:uid="{00000000-0005-0000-0000-000068580000}"/>
    <cellStyle name="Normal 2 2 20 7" xfId="23416" xr:uid="{00000000-0005-0000-0000-000069580000}"/>
    <cellStyle name="Normal 2 2 20 8" xfId="23417" xr:uid="{00000000-0005-0000-0000-00006A580000}"/>
    <cellStyle name="Normal 2 2 20 9" xfId="23418" xr:uid="{00000000-0005-0000-0000-00006B580000}"/>
    <cellStyle name="Normal 2 2 21" xfId="23419" xr:uid="{00000000-0005-0000-0000-00006C580000}"/>
    <cellStyle name="Normal 2 2 21 10" xfId="23420" xr:uid="{00000000-0005-0000-0000-00006D580000}"/>
    <cellStyle name="Normal 2 2 21 11" xfId="23421" xr:uid="{00000000-0005-0000-0000-00006E580000}"/>
    <cellStyle name="Normal 2 2 21 12" xfId="23422" xr:uid="{00000000-0005-0000-0000-00006F580000}"/>
    <cellStyle name="Normal 2 2 21 13" xfId="23423" xr:uid="{00000000-0005-0000-0000-000070580000}"/>
    <cellStyle name="Normal 2 2 21 14" xfId="23424" xr:uid="{00000000-0005-0000-0000-000071580000}"/>
    <cellStyle name="Normal 2 2 21 2" xfId="23425" xr:uid="{00000000-0005-0000-0000-000072580000}"/>
    <cellStyle name="Normal 2 2 21 2 2" xfId="23426" xr:uid="{00000000-0005-0000-0000-000073580000}"/>
    <cellStyle name="Normal 2 2 21 2 2 2" xfId="23427" xr:uid="{00000000-0005-0000-0000-000074580000}"/>
    <cellStyle name="Normal 2 2 21 2 3" xfId="23428" xr:uid="{00000000-0005-0000-0000-000075580000}"/>
    <cellStyle name="Normal 2 2 21 2 4" xfId="23429" xr:uid="{00000000-0005-0000-0000-000076580000}"/>
    <cellStyle name="Normal 2 2 21 2 5" xfId="23430" xr:uid="{00000000-0005-0000-0000-000077580000}"/>
    <cellStyle name="Normal 2 2 21 2 6" xfId="23431" xr:uid="{00000000-0005-0000-0000-000078580000}"/>
    <cellStyle name="Normal 2 2 21 3" xfId="23432" xr:uid="{00000000-0005-0000-0000-000079580000}"/>
    <cellStyle name="Normal 2 2 21 3 2" xfId="23433" xr:uid="{00000000-0005-0000-0000-00007A580000}"/>
    <cellStyle name="Normal 2 2 21 3 3" xfId="23434" xr:uid="{00000000-0005-0000-0000-00007B580000}"/>
    <cellStyle name="Normal 2 2 21 3 4" xfId="23435" xr:uid="{00000000-0005-0000-0000-00007C580000}"/>
    <cellStyle name="Normal 2 2 21 3 5" xfId="23436" xr:uid="{00000000-0005-0000-0000-00007D580000}"/>
    <cellStyle name="Normal 2 2 21 3 6" xfId="23437" xr:uid="{00000000-0005-0000-0000-00007E580000}"/>
    <cellStyle name="Normal 2 2 21 4" xfId="23438" xr:uid="{00000000-0005-0000-0000-00007F580000}"/>
    <cellStyle name="Normal 2 2 21 4 2" xfId="23439" xr:uid="{00000000-0005-0000-0000-000080580000}"/>
    <cellStyle name="Normal 2 2 21 4 3" xfId="23440" xr:uid="{00000000-0005-0000-0000-000081580000}"/>
    <cellStyle name="Normal 2 2 21 4 4" xfId="23441" xr:uid="{00000000-0005-0000-0000-000082580000}"/>
    <cellStyle name="Normal 2 2 21 4 5" xfId="23442" xr:uid="{00000000-0005-0000-0000-000083580000}"/>
    <cellStyle name="Normal 2 2 21 4 6" xfId="23443" xr:uid="{00000000-0005-0000-0000-000084580000}"/>
    <cellStyle name="Normal 2 2 21 5" xfId="23444" xr:uid="{00000000-0005-0000-0000-000085580000}"/>
    <cellStyle name="Normal 2 2 21 5 2" xfId="23445" xr:uid="{00000000-0005-0000-0000-000086580000}"/>
    <cellStyle name="Normal 2 2 21 5 3" xfId="23446" xr:uid="{00000000-0005-0000-0000-000087580000}"/>
    <cellStyle name="Normal 2 2 21 5 4" xfId="23447" xr:uid="{00000000-0005-0000-0000-000088580000}"/>
    <cellStyle name="Normal 2 2 21 5 5" xfId="23448" xr:uid="{00000000-0005-0000-0000-000089580000}"/>
    <cellStyle name="Normal 2 2 21 5 6" xfId="23449" xr:uid="{00000000-0005-0000-0000-00008A580000}"/>
    <cellStyle name="Normal 2 2 21 6" xfId="23450" xr:uid="{00000000-0005-0000-0000-00008B580000}"/>
    <cellStyle name="Normal 2 2 21 6 2" xfId="23451" xr:uid="{00000000-0005-0000-0000-00008C580000}"/>
    <cellStyle name="Normal 2 2 21 6 3" xfId="23452" xr:uid="{00000000-0005-0000-0000-00008D580000}"/>
    <cellStyle name="Normal 2 2 21 6 4" xfId="23453" xr:uid="{00000000-0005-0000-0000-00008E580000}"/>
    <cellStyle name="Normal 2 2 21 6 5" xfId="23454" xr:uid="{00000000-0005-0000-0000-00008F580000}"/>
    <cellStyle name="Normal 2 2 21 6 6" xfId="23455" xr:uid="{00000000-0005-0000-0000-000090580000}"/>
    <cellStyle name="Normal 2 2 21 7" xfId="23456" xr:uid="{00000000-0005-0000-0000-000091580000}"/>
    <cellStyle name="Normal 2 2 21 7 2" xfId="23457" xr:uid="{00000000-0005-0000-0000-000092580000}"/>
    <cellStyle name="Normal 2 2 21 7 3" xfId="23458" xr:uid="{00000000-0005-0000-0000-000093580000}"/>
    <cellStyle name="Normal 2 2 21 7 4" xfId="23459" xr:uid="{00000000-0005-0000-0000-000094580000}"/>
    <cellStyle name="Normal 2 2 21 7 5" xfId="23460" xr:uid="{00000000-0005-0000-0000-000095580000}"/>
    <cellStyle name="Normal 2 2 21 7 6" xfId="23461" xr:uid="{00000000-0005-0000-0000-000096580000}"/>
    <cellStyle name="Normal 2 2 21 8" xfId="23462" xr:uid="{00000000-0005-0000-0000-000097580000}"/>
    <cellStyle name="Normal 2 2 21 8 2" xfId="23463" xr:uid="{00000000-0005-0000-0000-000098580000}"/>
    <cellStyle name="Normal 2 2 21 8 3" xfId="23464" xr:uid="{00000000-0005-0000-0000-000099580000}"/>
    <cellStyle name="Normal 2 2 21 8 4" xfId="23465" xr:uid="{00000000-0005-0000-0000-00009A580000}"/>
    <cellStyle name="Normal 2 2 21 8 5" xfId="23466" xr:uid="{00000000-0005-0000-0000-00009B580000}"/>
    <cellStyle name="Normal 2 2 21 8 6" xfId="23467" xr:uid="{00000000-0005-0000-0000-00009C580000}"/>
    <cellStyle name="Normal 2 2 21 9" xfId="23468" xr:uid="{00000000-0005-0000-0000-00009D580000}"/>
    <cellStyle name="Normal 2 2 22" xfId="23469" xr:uid="{00000000-0005-0000-0000-00009E580000}"/>
    <cellStyle name="Normal 2 2 22 10" xfId="23470" xr:uid="{00000000-0005-0000-0000-00009F580000}"/>
    <cellStyle name="Normal 2 2 22 11" xfId="23471" xr:uid="{00000000-0005-0000-0000-0000A0580000}"/>
    <cellStyle name="Normal 2 2 22 12" xfId="23472" xr:uid="{00000000-0005-0000-0000-0000A1580000}"/>
    <cellStyle name="Normal 2 2 22 13" xfId="23473" xr:uid="{00000000-0005-0000-0000-0000A2580000}"/>
    <cellStyle name="Normal 2 2 22 14" xfId="23474" xr:uid="{00000000-0005-0000-0000-0000A3580000}"/>
    <cellStyle name="Normal 2 2 22 2" xfId="23475" xr:uid="{00000000-0005-0000-0000-0000A4580000}"/>
    <cellStyle name="Normal 2 2 22 2 2" xfId="23476" xr:uid="{00000000-0005-0000-0000-0000A5580000}"/>
    <cellStyle name="Normal 2 2 22 2 3" xfId="23477" xr:uid="{00000000-0005-0000-0000-0000A6580000}"/>
    <cellStyle name="Normal 2 2 22 2 4" xfId="23478" xr:uid="{00000000-0005-0000-0000-0000A7580000}"/>
    <cellStyle name="Normal 2 2 22 2 5" xfId="23479" xr:uid="{00000000-0005-0000-0000-0000A8580000}"/>
    <cellStyle name="Normal 2 2 22 2 6" xfId="23480" xr:uid="{00000000-0005-0000-0000-0000A9580000}"/>
    <cellStyle name="Normal 2 2 22 3" xfId="23481" xr:uid="{00000000-0005-0000-0000-0000AA580000}"/>
    <cellStyle name="Normal 2 2 22 3 2" xfId="23482" xr:uid="{00000000-0005-0000-0000-0000AB580000}"/>
    <cellStyle name="Normal 2 2 22 3 3" xfId="23483" xr:uid="{00000000-0005-0000-0000-0000AC580000}"/>
    <cellStyle name="Normal 2 2 22 3 4" xfId="23484" xr:uid="{00000000-0005-0000-0000-0000AD580000}"/>
    <cellStyle name="Normal 2 2 22 3 5" xfId="23485" xr:uid="{00000000-0005-0000-0000-0000AE580000}"/>
    <cellStyle name="Normal 2 2 22 3 6" xfId="23486" xr:uid="{00000000-0005-0000-0000-0000AF580000}"/>
    <cellStyle name="Normal 2 2 22 4" xfId="23487" xr:uid="{00000000-0005-0000-0000-0000B0580000}"/>
    <cellStyle name="Normal 2 2 22 4 2" xfId="23488" xr:uid="{00000000-0005-0000-0000-0000B1580000}"/>
    <cellStyle name="Normal 2 2 22 4 3" xfId="23489" xr:uid="{00000000-0005-0000-0000-0000B2580000}"/>
    <cellStyle name="Normal 2 2 22 4 4" xfId="23490" xr:uid="{00000000-0005-0000-0000-0000B3580000}"/>
    <cellStyle name="Normal 2 2 22 4 5" xfId="23491" xr:uid="{00000000-0005-0000-0000-0000B4580000}"/>
    <cellStyle name="Normal 2 2 22 4 6" xfId="23492" xr:uid="{00000000-0005-0000-0000-0000B5580000}"/>
    <cellStyle name="Normal 2 2 22 5" xfId="23493" xr:uid="{00000000-0005-0000-0000-0000B6580000}"/>
    <cellStyle name="Normal 2 2 22 5 2" xfId="23494" xr:uid="{00000000-0005-0000-0000-0000B7580000}"/>
    <cellStyle name="Normal 2 2 22 5 3" xfId="23495" xr:uid="{00000000-0005-0000-0000-0000B8580000}"/>
    <cellStyle name="Normal 2 2 22 5 4" xfId="23496" xr:uid="{00000000-0005-0000-0000-0000B9580000}"/>
    <cellStyle name="Normal 2 2 22 5 5" xfId="23497" xr:uid="{00000000-0005-0000-0000-0000BA580000}"/>
    <cellStyle name="Normal 2 2 22 5 6" xfId="23498" xr:uid="{00000000-0005-0000-0000-0000BB580000}"/>
    <cellStyle name="Normal 2 2 22 6" xfId="23499" xr:uid="{00000000-0005-0000-0000-0000BC580000}"/>
    <cellStyle name="Normal 2 2 22 6 2" xfId="23500" xr:uid="{00000000-0005-0000-0000-0000BD580000}"/>
    <cellStyle name="Normal 2 2 22 6 3" xfId="23501" xr:uid="{00000000-0005-0000-0000-0000BE580000}"/>
    <cellStyle name="Normal 2 2 22 6 4" xfId="23502" xr:uid="{00000000-0005-0000-0000-0000BF580000}"/>
    <cellStyle name="Normal 2 2 22 6 5" xfId="23503" xr:uid="{00000000-0005-0000-0000-0000C0580000}"/>
    <cellStyle name="Normal 2 2 22 6 6" xfId="23504" xr:uid="{00000000-0005-0000-0000-0000C1580000}"/>
    <cellStyle name="Normal 2 2 22 7" xfId="23505" xr:uid="{00000000-0005-0000-0000-0000C2580000}"/>
    <cellStyle name="Normal 2 2 22 7 2" xfId="23506" xr:uid="{00000000-0005-0000-0000-0000C3580000}"/>
    <cellStyle name="Normal 2 2 22 7 3" xfId="23507" xr:uid="{00000000-0005-0000-0000-0000C4580000}"/>
    <cellStyle name="Normal 2 2 22 7 4" xfId="23508" xr:uid="{00000000-0005-0000-0000-0000C5580000}"/>
    <cellStyle name="Normal 2 2 22 7 5" xfId="23509" xr:uid="{00000000-0005-0000-0000-0000C6580000}"/>
    <cellStyle name="Normal 2 2 22 7 6" xfId="23510" xr:uid="{00000000-0005-0000-0000-0000C7580000}"/>
    <cellStyle name="Normal 2 2 22 8" xfId="23511" xr:uid="{00000000-0005-0000-0000-0000C8580000}"/>
    <cellStyle name="Normal 2 2 22 8 2" xfId="23512" xr:uid="{00000000-0005-0000-0000-0000C9580000}"/>
    <cellStyle name="Normal 2 2 22 8 3" xfId="23513" xr:uid="{00000000-0005-0000-0000-0000CA580000}"/>
    <cellStyle name="Normal 2 2 22 8 4" xfId="23514" xr:uid="{00000000-0005-0000-0000-0000CB580000}"/>
    <cellStyle name="Normal 2 2 22 8 5" xfId="23515" xr:uid="{00000000-0005-0000-0000-0000CC580000}"/>
    <cellStyle name="Normal 2 2 22 8 6" xfId="23516" xr:uid="{00000000-0005-0000-0000-0000CD580000}"/>
    <cellStyle name="Normal 2 2 22 9" xfId="23517" xr:uid="{00000000-0005-0000-0000-0000CE580000}"/>
    <cellStyle name="Normal 2 2 23" xfId="23518" xr:uid="{00000000-0005-0000-0000-0000CF580000}"/>
    <cellStyle name="Normal 2 2 23 10" xfId="23519" xr:uid="{00000000-0005-0000-0000-0000D0580000}"/>
    <cellStyle name="Normal 2 2 23 11" xfId="23520" xr:uid="{00000000-0005-0000-0000-0000D1580000}"/>
    <cellStyle name="Normal 2 2 23 12" xfId="23521" xr:uid="{00000000-0005-0000-0000-0000D2580000}"/>
    <cellStyle name="Normal 2 2 23 13" xfId="23522" xr:uid="{00000000-0005-0000-0000-0000D3580000}"/>
    <cellStyle name="Normal 2 2 23 14" xfId="23523" xr:uid="{00000000-0005-0000-0000-0000D4580000}"/>
    <cellStyle name="Normal 2 2 23 2" xfId="23524" xr:uid="{00000000-0005-0000-0000-0000D5580000}"/>
    <cellStyle name="Normal 2 2 23 2 2" xfId="23525" xr:uid="{00000000-0005-0000-0000-0000D6580000}"/>
    <cellStyle name="Normal 2 2 23 2 3" xfId="23526" xr:uid="{00000000-0005-0000-0000-0000D7580000}"/>
    <cellStyle name="Normal 2 2 23 2 4" xfId="23527" xr:uid="{00000000-0005-0000-0000-0000D8580000}"/>
    <cellStyle name="Normal 2 2 23 2 5" xfId="23528" xr:uid="{00000000-0005-0000-0000-0000D9580000}"/>
    <cellStyle name="Normal 2 2 23 2 6" xfId="23529" xr:uid="{00000000-0005-0000-0000-0000DA580000}"/>
    <cellStyle name="Normal 2 2 23 3" xfId="23530" xr:uid="{00000000-0005-0000-0000-0000DB580000}"/>
    <cellStyle name="Normal 2 2 23 3 2" xfId="23531" xr:uid="{00000000-0005-0000-0000-0000DC580000}"/>
    <cellStyle name="Normal 2 2 23 3 3" xfId="23532" xr:uid="{00000000-0005-0000-0000-0000DD580000}"/>
    <cellStyle name="Normal 2 2 23 3 4" xfId="23533" xr:uid="{00000000-0005-0000-0000-0000DE580000}"/>
    <cellStyle name="Normal 2 2 23 3 5" xfId="23534" xr:uid="{00000000-0005-0000-0000-0000DF580000}"/>
    <cellStyle name="Normal 2 2 23 3 6" xfId="23535" xr:uid="{00000000-0005-0000-0000-0000E0580000}"/>
    <cellStyle name="Normal 2 2 23 4" xfId="23536" xr:uid="{00000000-0005-0000-0000-0000E1580000}"/>
    <cellStyle name="Normal 2 2 23 4 2" xfId="23537" xr:uid="{00000000-0005-0000-0000-0000E2580000}"/>
    <cellStyle name="Normal 2 2 23 4 3" xfId="23538" xr:uid="{00000000-0005-0000-0000-0000E3580000}"/>
    <cellStyle name="Normal 2 2 23 4 4" xfId="23539" xr:uid="{00000000-0005-0000-0000-0000E4580000}"/>
    <cellStyle name="Normal 2 2 23 4 5" xfId="23540" xr:uid="{00000000-0005-0000-0000-0000E5580000}"/>
    <cellStyle name="Normal 2 2 23 4 6" xfId="23541" xr:uid="{00000000-0005-0000-0000-0000E6580000}"/>
    <cellStyle name="Normal 2 2 23 5" xfId="23542" xr:uid="{00000000-0005-0000-0000-0000E7580000}"/>
    <cellStyle name="Normal 2 2 23 5 2" xfId="23543" xr:uid="{00000000-0005-0000-0000-0000E8580000}"/>
    <cellStyle name="Normal 2 2 23 5 3" xfId="23544" xr:uid="{00000000-0005-0000-0000-0000E9580000}"/>
    <cellStyle name="Normal 2 2 23 5 4" xfId="23545" xr:uid="{00000000-0005-0000-0000-0000EA580000}"/>
    <cellStyle name="Normal 2 2 23 5 5" xfId="23546" xr:uid="{00000000-0005-0000-0000-0000EB580000}"/>
    <cellStyle name="Normal 2 2 23 5 6" xfId="23547" xr:uid="{00000000-0005-0000-0000-0000EC580000}"/>
    <cellStyle name="Normal 2 2 23 6" xfId="23548" xr:uid="{00000000-0005-0000-0000-0000ED580000}"/>
    <cellStyle name="Normal 2 2 23 6 2" xfId="23549" xr:uid="{00000000-0005-0000-0000-0000EE580000}"/>
    <cellStyle name="Normal 2 2 23 6 3" xfId="23550" xr:uid="{00000000-0005-0000-0000-0000EF580000}"/>
    <cellStyle name="Normal 2 2 23 6 4" xfId="23551" xr:uid="{00000000-0005-0000-0000-0000F0580000}"/>
    <cellStyle name="Normal 2 2 23 6 5" xfId="23552" xr:uid="{00000000-0005-0000-0000-0000F1580000}"/>
    <cellStyle name="Normal 2 2 23 6 6" xfId="23553" xr:uid="{00000000-0005-0000-0000-0000F2580000}"/>
    <cellStyle name="Normal 2 2 23 7" xfId="23554" xr:uid="{00000000-0005-0000-0000-0000F3580000}"/>
    <cellStyle name="Normal 2 2 23 7 2" xfId="23555" xr:uid="{00000000-0005-0000-0000-0000F4580000}"/>
    <cellStyle name="Normal 2 2 23 7 3" xfId="23556" xr:uid="{00000000-0005-0000-0000-0000F5580000}"/>
    <cellStyle name="Normal 2 2 23 7 4" xfId="23557" xr:uid="{00000000-0005-0000-0000-0000F6580000}"/>
    <cellStyle name="Normal 2 2 23 7 5" xfId="23558" xr:uid="{00000000-0005-0000-0000-0000F7580000}"/>
    <cellStyle name="Normal 2 2 23 7 6" xfId="23559" xr:uid="{00000000-0005-0000-0000-0000F8580000}"/>
    <cellStyle name="Normal 2 2 23 8" xfId="23560" xr:uid="{00000000-0005-0000-0000-0000F9580000}"/>
    <cellStyle name="Normal 2 2 23 8 2" xfId="23561" xr:uid="{00000000-0005-0000-0000-0000FA580000}"/>
    <cellStyle name="Normal 2 2 23 8 3" xfId="23562" xr:uid="{00000000-0005-0000-0000-0000FB580000}"/>
    <cellStyle name="Normal 2 2 23 8 4" xfId="23563" xr:uid="{00000000-0005-0000-0000-0000FC580000}"/>
    <cellStyle name="Normal 2 2 23 8 5" xfId="23564" xr:uid="{00000000-0005-0000-0000-0000FD580000}"/>
    <cellStyle name="Normal 2 2 23 8 6" xfId="23565" xr:uid="{00000000-0005-0000-0000-0000FE580000}"/>
    <cellStyle name="Normal 2 2 23 9" xfId="23566" xr:uid="{00000000-0005-0000-0000-0000FF580000}"/>
    <cellStyle name="Normal 2 2 24" xfId="23567" xr:uid="{00000000-0005-0000-0000-000000590000}"/>
    <cellStyle name="Normal 2 2 24 10" xfId="23568" xr:uid="{00000000-0005-0000-0000-000001590000}"/>
    <cellStyle name="Normal 2 2 24 11" xfId="23569" xr:uid="{00000000-0005-0000-0000-000002590000}"/>
    <cellStyle name="Normal 2 2 24 12" xfId="23570" xr:uid="{00000000-0005-0000-0000-000003590000}"/>
    <cellStyle name="Normal 2 2 24 13" xfId="23571" xr:uid="{00000000-0005-0000-0000-000004590000}"/>
    <cellStyle name="Normal 2 2 24 14" xfId="23572" xr:uid="{00000000-0005-0000-0000-000005590000}"/>
    <cellStyle name="Normal 2 2 24 2" xfId="23573" xr:uid="{00000000-0005-0000-0000-000006590000}"/>
    <cellStyle name="Normal 2 2 24 2 2" xfId="23574" xr:uid="{00000000-0005-0000-0000-000007590000}"/>
    <cellStyle name="Normal 2 2 24 2 3" xfId="23575" xr:uid="{00000000-0005-0000-0000-000008590000}"/>
    <cellStyle name="Normal 2 2 24 2 4" xfId="23576" xr:uid="{00000000-0005-0000-0000-000009590000}"/>
    <cellStyle name="Normal 2 2 24 2 5" xfId="23577" xr:uid="{00000000-0005-0000-0000-00000A590000}"/>
    <cellStyle name="Normal 2 2 24 2 6" xfId="23578" xr:uid="{00000000-0005-0000-0000-00000B590000}"/>
    <cellStyle name="Normal 2 2 24 3" xfId="23579" xr:uid="{00000000-0005-0000-0000-00000C590000}"/>
    <cellStyle name="Normal 2 2 24 3 2" xfId="23580" xr:uid="{00000000-0005-0000-0000-00000D590000}"/>
    <cellStyle name="Normal 2 2 24 3 3" xfId="23581" xr:uid="{00000000-0005-0000-0000-00000E590000}"/>
    <cellStyle name="Normal 2 2 24 3 4" xfId="23582" xr:uid="{00000000-0005-0000-0000-00000F590000}"/>
    <cellStyle name="Normal 2 2 24 3 5" xfId="23583" xr:uid="{00000000-0005-0000-0000-000010590000}"/>
    <cellStyle name="Normal 2 2 24 3 6" xfId="23584" xr:uid="{00000000-0005-0000-0000-000011590000}"/>
    <cellStyle name="Normal 2 2 24 4" xfId="23585" xr:uid="{00000000-0005-0000-0000-000012590000}"/>
    <cellStyle name="Normal 2 2 24 4 2" xfId="23586" xr:uid="{00000000-0005-0000-0000-000013590000}"/>
    <cellStyle name="Normal 2 2 24 4 3" xfId="23587" xr:uid="{00000000-0005-0000-0000-000014590000}"/>
    <cellStyle name="Normal 2 2 24 4 4" xfId="23588" xr:uid="{00000000-0005-0000-0000-000015590000}"/>
    <cellStyle name="Normal 2 2 24 4 5" xfId="23589" xr:uid="{00000000-0005-0000-0000-000016590000}"/>
    <cellStyle name="Normal 2 2 24 4 6" xfId="23590" xr:uid="{00000000-0005-0000-0000-000017590000}"/>
    <cellStyle name="Normal 2 2 24 5" xfId="23591" xr:uid="{00000000-0005-0000-0000-000018590000}"/>
    <cellStyle name="Normal 2 2 24 5 2" xfId="23592" xr:uid="{00000000-0005-0000-0000-000019590000}"/>
    <cellStyle name="Normal 2 2 24 5 3" xfId="23593" xr:uid="{00000000-0005-0000-0000-00001A590000}"/>
    <cellStyle name="Normal 2 2 24 5 4" xfId="23594" xr:uid="{00000000-0005-0000-0000-00001B590000}"/>
    <cellStyle name="Normal 2 2 24 5 5" xfId="23595" xr:uid="{00000000-0005-0000-0000-00001C590000}"/>
    <cellStyle name="Normal 2 2 24 5 6" xfId="23596" xr:uid="{00000000-0005-0000-0000-00001D590000}"/>
    <cellStyle name="Normal 2 2 24 6" xfId="23597" xr:uid="{00000000-0005-0000-0000-00001E590000}"/>
    <cellStyle name="Normal 2 2 24 6 2" xfId="23598" xr:uid="{00000000-0005-0000-0000-00001F590000}"/>
    <cellStyle name="Normal 2 2 24 6 3" xfId="23599" xr:uid="{00000000-0005-0000-0000-000020590000}"/>
    <cellStyle name="Normal 2 2 24 6 4" xfId="23600" xr:uid="{00000000-0005-0000-0000-000021590000}"/>
    <cellStyle name="Normal 2 2 24 6 5" xfId="23601" xr:uid="{00000000-0005-0000-0000-000022590000}"/>
    <cellStyle name="Normal 2 2 24 6 6" xfId="23602" xr:uid="{00000000-0005-0000-0000-000023590000}"/>
    <cellStyle name="Normal 2 2 24 7" xfId="23603" xr:uid="{00000000-0005-0000-0000-000024590000}"/>
    <cellStyle name="Normal 2 2 24 7 2" xfId="23604" xr:uid="{00000000-0005-0000-0000-000025590000}"/>
    <cellStyle name="Normal 2 2 24 7 3" xfId="23605" xr:uid="{00000000-0005-0000-0000-000026590000}"/>
    <cellStyle name="Normal 2 2 24 7 4" xfId="23606" xr:uid="{00000000-0005-0000-0000-000027590000}"/>
    <cellStyle name="Normal 2 2 24 7 5" xfId="23607" xr:uid="{00000000-0005-0000-0000-000028590000}"/>
    <cellStyle name="Normal 2 2 24 7 6" xfId="23608" xr:uid="{00000000-0005-0000-0000-000029590000}"/>
    <cellStyle name="Normal 2 2 24 8" xfId="23609" xr:uid="{00000000-0005-0000-0000-00002A590000}"/>
    <cellStyle name="Normal 2 2 24 8 2" xfId="23610" xr:uid="{00000000-0005-0000-0000-00002B590000}"/>
    <cellStyle name="Normal 2 2 24 8 3" xfId="23611" xr:uid="{00000000-0005-0000-0000-00002C590000}"/>
    <cellStyle name="Normal 2 2 24 8 4" xfId="23612" xr:uid="{00000000-0005-0000-0000-00002D590000}"/>
    <cellStyle name="Normal 2 2 24 8 5" xfId="23613" xr:uid="{00000000-0005-0000-0000-00002E590000}"/>
    <cellStyle name="Normal 2 2 24 8 6" xfId="23614" xr:uid="{00000000-0005-0000-0000-00002F590000}"/>
    <cellStyle name="Normal 2 2 24 9" xfId="23615" xr:uid="{00000000-0005-0000-0000-000030590000}"/>
    <cellStyle name="Normal 2 2 25" xfId="23616" xr:uid="{00000000-0005-0000-0000-000031590000}"/>
    <cellStyle name="Normal 2 2 25 10" xfId="23617" xr:uid="{00000000-0005-0000-0000-000032590000}"/>
    <cellStyle name="Normal 2 2 25 11" xfId="23618" xr:uid="{00000000-0005-0000-0000-000033590000}"/>
    <cellStyle name="Normal 2 2 25 12" xfId="23619" xr:uid="{00000000-0005-0000-0000-000034590000}"/>
    <cellStyle name="Normal 2 2 25 13" xfId="23620" xr:uid="{00000000-0005-0000-0000-000035590000}"/>
    <cellStyle name="Normal 2 2 25 14" xfId="23621" xr:uid="{00000000-0005-0000-0000-000036590000}"/>
    <cellStyle name="Normal 2 2 25 2" xfId="23622" xr:uid="{00000000-0005-0000-0000-000037590000}"/>
    <cellStyle name="Normal 2 2 25 2 2" xfId="23623" xr:uid="{00000000-0005-0000-0000-000038590000}"/>
    <cellStyle name="Normal 2 2 25 2 3" xfId="23624" xr:uid="{00000000-0005-0000-0000-000039590000}"/>
    <cellStyle name="Normal 2 2 25 2 4" xfId="23625" xr:uid="{00000000-0005-0000-0000-00003A590000}"/>
    <cellStyle name="Normal 2 2 25 2 5" xfId="23626" xr:uid="{00000000-0005-0000-0000-00003B590000}"/>
    <cellStyle name="Normal 2 2 25 2 6" xfId="23627" xr:uid="{00000000-0005-0000-0000-00003C590000}"/>
    <cellStyle name="Normal 2 2 25 3" xfId="23628" xr:uid="{00000000-0005-0000-0000-00003D590000}"/>
    <cellStyle name="Normal 2 2 25 3 2" xfId="23629" xr:uid="{00000000-0005-0000-0000-00003E590000}"/>
    <cellStyle name="Normal 2 2 25 3 3" xfId="23630" xr:uid="{00000000-0005-0000-0000-00003F590000}"/>
    <cellStyle name="Normal 2 2 25 3 4" xfId="23631" xr:uid="{00000000-0005-0000-0000-000040590000}"/>
    <cellStyle name="Normal 2 2 25 3 5" xfId="23632" xr:uid="{00000000-0005-0000-0000-000041590000}"/>
    <cellStyle name="Normal 2 2 25 3 6" xfId="23633" xr:uid="{00000000-0005-0000-0000-000042590000}"/>
    <cellStyle name="Normal 2 2 25 4" xfId="23634" xr:uid="{00000000-0005-0000-0000-000043590000}"/>
    <cellStyle name="Normal 2 2 25 4 2" xfId="23635" xr:uid="{00000000-0005-0000-0000-000044590000}"/>
    <cellStyle name="Normal 2 2 25 4 3" xfId="23636" xr:uid="{00000000-0005-0000-0000-000045590000}"/>
    <cellStyle name="Normal 2 2 25 4 4" xfId="23637" xr:uid="{00000000-0005-0000-0000-000046590000}"/>
    <cellStyle name="Normal 2 2 25 4 5" xfId="23638" xr:uid="{00000000-0005-0000-0000-000047590000}"/>
    <cellStyle name="Normal 2 2 25 4 6" xfId="23639" xr:uid="{00000000-0005-0000-0000-000048590000}"/>
    <cellStyle name="Normal 2 2 25 5" xfId="23640" xr:uid="{00000000-0005-0000-0000-000049590000}"/>
    <cellStyle name="Normal 2 2 25 5 2" xfId="23641" xr:uid="{00000000-0005-0000-0000-00004A590000}"/>
    <cellStyle name="Normal 2 2 25 5 3" xfId="23642" xr:uid="{00000000-0005-0000-0000-00004B590000}"/>
    <cellStyle name="Normal 2 2 25 5 4" xfId="23643" xr:uid="{00000000-0005-0000-0000-00004C590000}"/>
    <cellStyle name="Normal 2 2 25 5 5" xfId="23644" xr:uid="{00000000-0005-0000-0000-00004D590000}"/>
    <cellStyle name="Normal 2 2 25 5 6" xfId="23645" xr:uid="{00000000-0005-0000-0000-00004E590000}"/>
    <cellStyle name="Normal 2 2 25 6" xfId="23646" xr:uid="{00000000-0005-0000-0000-00004F590000}"/>
    <cellStyle name="Normal 2 2 25 6 2" xfId="23647" xr:uid="{00000000-0005-0000-0000-000050590000}"/>
    <cellStyle name="Normal 2 2 25 6 3" xfId="23648" xr:uid="{00000000-0005-0000-0000-000051590000}"/>
    <cellStyle name="Normal 2 2 25 6 4" xfId="23649" xr:uid="{00000000-0005-0000-0000-000052590000}"/>
    <cellStyle name="Normal 2 2 25 6 5" xfId="23650" xr:uid="{00000000-0005-0000-0000-000053590000}"/>
    <cellStyle name="Normal 2 2 25 6 6" xfId="23651" xr:uid="{00000000-0005-0000-0000-000054590000}"/>
    <cellStyle name="Normal 2 2 25 7" xfId="23652" xr:uid="{00000000-0005-0000-0000-000055590000}"/>
    <cellStyle name="Normal 2 2 25 7 2" xfId="23653" xr:uid="{00000000-0005-0000-0000-000056590000}"/>
    <cellStyle name="Normal 2 2 25 7 3" xfId="23654" xr:uid="{00000000-0005-0000-0000-000057590000}"/>
    <cellStyle name="Normal 2 2 25 7 4" xfId="23655" xr:uid="{00000000-0005-0000-0000-000058590000}"/>
    <cellStyle name="Normal 2 2 25 7 5" xfId="23656" xr:uid="{00000000-0005-0000-0000-000059590000}"/>
    <cellStyle name="Normal 2 2 25 7 6" xfId="23657" xr:uid="{00000000-0005-0000-0000-00005A590000}"/>
    <cellStyle name="Normal 2 2 25 8" xfId="23658" xr:uid="{00000000-0005-0000-0000-00005B590000}"/>
    <cellStyle name="Normal 2 2 25 8 2" xfId="23659" xr:uid="{00000000-0005-0000-0000-00005C590000}"/>
    <cellStyle name="Normal 2 2 25 8 3" xfId="23660" xr:uid="{00000000-0005-0000-0000-00005D590000}"/>
    <cellStyle name="Normal 2 2 25 8 4" xfId="23661" xr:uid="{00000000-0005-0000-0000-00005E590000}"/>
    <cellStyle name="Normal 2 2 25 8 5" xfId="23662" xr:uid="{00000000-0005-0000-0000-00005F590000}"/>
    <cellStyle name="Normal 2 2 25 8 6" xfId="23663" xr:uid="{00000000-0005-0000-0000-000060590000}"/>
    <cellStyle name="Normal 2 2 25 9" xfId="23664" xr:uid="{00000000-0005-0000-0000-000061590000}"/>
    <cellStyle name="Normal 2 2 26" xfId="23665" xr:uid="{00000000-0005-0000-0000-000062590000}"/>
    <cellStyle name="Normal 2 2 26 10" xfId="23666" xr:uid="{00000000-0005-0000-0000-000063590000}"/>
    <cellStyle name="Normal 2 2 26 10 10" xfId="23667" xr:uid="{00000000-0005-0000-0000-000064590000}"/>
    <cellStyle name="Normal 2 2 26 10 11" xfId="23668" xr:uid="{00000000-0005-0000-0000-000065590000}"/>
    <cellStyle name="Normal 2 2 26 10 12" xfId="23669" xr:uid="{00000000-0005-0000-0000-000066590000}"/>
    <cellStyle name="Normal 2 2 26 10 13" xfId="23670" xr:uid="{00000000-0005-0000-0000-000067590000}"/>
    <cellStyle name="Normal 2 2 26 10 14" xfId="23671" xr:uid="{00000000-0005-0000-0000-000068590000}"/>
    <cellStyle name="Normal 2 2 26 10 15" xfId="23672" xr:uid="{00000000-0005-0000-0000-000069590000}"/>
    <cellStyle name="Normal 2 2 26 10 16" xfId="23673" xr:uid="{00000000-0005-0000-0000-00006A590000}"/>
    <cellStyle name="Normal 2 2 26 10 17" xfId="23674" xr:uid="{00000000-0005-0000-0000-00006B590000}"/>
    <cellStyle name="Normal 2 2 26 10 18" xfId="23675" xr:uid="{00000000-0005-0000-0000-00006C590000}"/>
    <cellStyle name="Normal 2 2 26 10 19" xfId="23676" xr:uid="{00000000-0005-0000-0000-00006D590000}"/>
    <cellStyle name="Normal 2 2 26 10 2" xfId="23677" xr:uid="{00000000-0005-0000-0000-00006E590000}"/>
    <cellStyle name="Normal 2 2 26 10 20" xfId="23678" xr:uid="{00000000-0005-0000-0000-00006F590000}"/>
    <cellStyle name="Normal 2 2 26 10 21" xfId="23679" xr:uid="{00000000-0005-0000-0000-000070590000}"/>
    <cellStyle name="Normal 2 2 26 10 22" xfId="23680" xr:uid="{00000000-0005-0000-0000-000071590000}"/>
    <cellStyle name="Normal 2 2 26 10 23" xfId="23681" xr:uid="{00000000-0005-0000-0000-000072590000}"/>
    <cellStyle name="Normal 2 2 26 10 24" xfId="23682" xr:uid="{00000000-0005-0000-0000-000073590000}"/>
    <cellStyle name="Normal 2 2 26 10 25" xfId="23683" xr:uid="{00000000-0005-0000-0000-000074590000}"/>
    <cellStyle name="Normal 2 2 26 10 26" xfId="23684" xr:uid="{00000000-0005-0000-0000-000075590000}"/>
    <cellStyle name="Normal 2 2 26 10 27" xfId="23685" xr:uid="{00000000-0005-0000-0000-000076590000}"/>
    <cellStyle name="Normal 2 2 26 10 28" xfId="23686" xr:uid="{00000000-0005-0000-0000-000077590000}"/>
    <cellStyle name="Normal 2 2 26 10 29" xfId="23687" xr:uid="{00000000-0005-0000-0000-000078590000}"/>
    <cellStyle name="Normal 2 2 26 10 3" xfId="23688" xr:uid="{00000000-0005-0000-0000-000079590000}"/>
    <cellStyle name="Normal 2 2 26 10 30" xfId="23689" xr:uid="{00000000-0005-0000-0000-00007A590000}"/>
    <cellStyle name="Normal 2 2 26 10 31" xfId="23690" xr:uid="{00000000-0005-0000-0000-00007B590000}"/>
    <cellStyle name="Normal 2 2 26 10 32" xfId="23691" xr:uid="{00000000-0005-0000-0000-00007C590000}"/>
    <cellStyle name="Normal 2 2 26 10 33" xfId="23692" xr:uid="{00000000-0005-0000-0000-00007D590000}"/>
    <cellStyle name="Normal 2 2 26 10 34" xfId="23693" xr:uid="{00000000-0005-0000-0000-00007E590000}"/>
    <cellStyle name="Normal 2 2 26 10 35" xfId="23694" xr:uid="{00000000-0005-0000-0000-00007F590000}"/>
    <cellStyle name="Normal 2 2 26 10 36" xfId="23695" xr:uid="{00000000-0005-0000-0000-000080590000}"/>
    <cellStyle name="Normal 2 2 26 10 37" xfId="23696" xr:uid="{00000000-0005-0000-0000-000081590000}"/>
    <cellStyle name="Normal 2 2 26 10 4" xfId="23697" xr:uid="{00000000-0005-0000-0000-000082590000}"/>
    <cellStyle name="Normal 2 2 26 10 5" xfId="23698" xr:uid="{00000000-0005-0000-0000-000083590000}"/>
    <cellStyle name="Normal 2 2 26 10 6" xfId="23699" xr:uid="{00000000-0005-0000-0000-000084590000}"/>
    <cellStyle name="Normal 2 2 26 10 7" xfId="23700" xr:uid="{00000000-0005-0000-0000-000085590000}"/>
    <cellStyle name="Normal 2 2 26 10 8" xfId="23701" xr:uid="{00000000-0005-0000-0000-000086590000}"/>
    <cellStyle name="Normal 2 2 26 10 9" xfId="23702" xr:uid="{00000000-0005-0000-0000-000087590000}"/>
    <cellStyle name="Normal 2 2 26 11" xfId="23703" xr:uid="{00000000-0005-0000-0000-000088590000}"/>
    <cellStyle name="Normal 2 2 26 11 10" xfId="23704" xr:uid="{00000000-0005-0000-0000-000089590000}"/>
    <cellStyle name="Normal 2 2 26 11 11" xfId="23705" xr:uid="{00000000-0005-0000-0000-00008A590000}"/>
    <cellStyle name="Normal 2 2 26 11 12" xfId="23706" xr:uid="{00000000-0005-0000-0000-00008B590000}"/>
    <cellStyle name="Normal 2 2 26 11 13" xfId="23707" xr:uid="{00000000-0005-0000-0000-00008C590000}"/>
    <cellStyle name="Normal 2 2 26 11 14" xfId="23708" xr:uid="{00000000-0005-0000-0000-00008D590000}"/>
    <cellStyle name="Normal 2 2 26 11 15" xfId="23709" xr:uid="{00000000-0005-0000-0000-00008E590000}"/>
    <cellStyle name="Normal 2 2 26 11 16" xfId="23710" xr:uid="{00000000-0005-0000-0000-00008F590000}"/>
    <cellStyle name="Normal 2 2 26 11 17" xfId="23711" xr:uid="{00000000-0005-0000-0000-000090590000}"/>
    <cellStyle name="Normal 2 2 26 11 18" xfId="23712" xr:uid="{00000000-0005-0000-0000-000091590000}"/>
    <cellStyle name="Normal 2 2 26 11 19" xfId="23713" xr:uid="{00000000-0005-0000-0000-000092590000}"/>
    <cellStyle name="Normal 2 2 26 11 2" xfId="23714" xr:uid="{00000000-0005-0000-0000-000093590000}"/>
    <cellStyle name="Normal 2 2 26 11 20" xfId="23715" xr:uid="{00000000-0005-0000-0000-000094590000}"/>
    <cellStyle name="Normal 2 2 26 11 21" xfId="23716" xr:uid="{00000000-0005-0000-0000-000095590000}"/>
    <cellStyle name="Normal 2 2 26 11 22" xfId="23717" xr:uid="{00000000-0005-0000-0000-000096590000}"/>
    <cellStyle name="Normal 2 2 26 11 23" xfId="23718" xr:uid="{00000000-0005-0000-0000-000097590000}"/>
    <cellStyle name="Normal 2 2 26 11 24" xfId="23719" xr:uid="{00000000-0005-0000-0000-000098590000}"/>
    <cellStyle name="Normal 2 2 26 11 25" xfId="23720" xr:uid="{00000000-0005-0000-0000-000099590000}"/>
    <cellStyle name="Normal 2 2 26 11 26" xfId="23721" xr:uid="{00000000-0005-0000-0000-00009A590000}"/>
    <cellStyle name="Normal 2 2 26 11 27" xfId="23722" xr:uid="{00000000-0005-0000-0000-00009B590000}"/>
    <cellStyle name="Normal 2 2 26 11 28" xfId="23723" xr:uid="{00000000-0005-0000-0000-00009C590000}"/>
    <cellStyle name="Normal 2 2 26 11 29" xfId="23724" xr:uid="{00000000-0005-0000-0000-00009D590000}"/>
    <cellStyle name="Normal 2 2 26 11 3" xfId="23725" xr:uid="{00000000-0005-0000-0000-00009E590000}"/>
    <cellStyle name="Normal 2 2 26 11 30" xfId="23726" xr:uid="{00000000-0005-0000-0000-00009F590000}"/>
    <cellStyle name="Normal 2 2 26 11 31" xfId="23727" xr:uid="{00000000-0005-0000-0000-0000A0590000}"/>
    <cellStyle name="Normal 2 2 26 11 32" xfId="23728" xr:uid="{00000000-0005-0000-0000-0000A1590000}"/>
    <cellStyle name="Normal 2 2 26 11 33" xfId="23729" xr:uid="{00000000-0005-0000-0000-0000A2590000}"/>
    <cellStyle name="Normal 2 2 26 11 34" xfId="23730" xr:uid="{00000000-0005-0000-0000-0000A3590000}"/>
    <cellStyle name="Normal 2 2 26 11 35" xfId="23731" xr:uid="{00000000-0005-0000-0000-0000A4590000}"/>
    <cellStyle name="Normal 2 2 26 11 36" xfId="23732" xr:uid="{00000000-0005-0000-0000-0000A5590000}"/>
    <cellStyle name="Normal 2 2 26 11 37" xfId="23733" xr:uid="{00000000-0005-0000-0000-0000A6590000}"/>
    <cellStyle name="Normal 2 2 26 11 4" xfId="23734" xr:uid="{00000000-0005-0000-0000-0000A7590000}"/>
    <cellStyle name="Normal 2 2 26 11 5" xfId="23735" xr:uid="{00000000-0005-0000-0000-0000A8590000}"/>
    <cellStyle name="Normal 2 2 26 11 6" xfId="23736" xr:uid="{00000000-0005-0000-0000-0000A9590000}"/>
    <cellStyle name="Normal 2 2 26 11 7" xfId="23737" xr:uid="{00000000-0005-0000-0000-0000AA590000}"/>
    <cellStyle name="Normal 2 2 26 11 8" xfId="23738" xr:uid="{00000000-0005-0000-0000-0000AB590000}"/>
    <cellStyle name="Normal 2 2 26 11 9" xfId="23739" xr:uid="{00000000-0005-0000-0000-0000AC590000}"/>
    <cellStyle name="Normal 2 2 26 12" xfId="23740" xr:uid="{00000000-0005-0000-0000-0000AD590000}"/>
    <cellStyle name="Normal 2 2 26 12 2" xfId="23741" xr:uid="{00000000-0005-0000-0000-0000AE590000}"/>
    <cellStyle name="Normal 2 2 26 12 3" xfId="23742" xr:uid="{00000000-0005-0000-0000-0000AF590000}"/>
    <cellStyle name="Normal 2 2 26 12 4" xfId="23743" xr:uid="{00000000-0005-0000-0000-0000B0590000}"/>
    <cellStyle name="Normal 2 2 26 12 5" xfId="23744" xr:uid="{00000000-0005-0000-0000-0000B1590000}"/>
    <cellStyle name="Normal 2 2 26 12 6" xfId="23745" xr:uid="{00000000-0005-0000-0000-0000B2590000}"/>
    <cellStyle name="Normal 2 2 26 13" xfId="23746" xr:uid="{00000000-0005-0000-0000-0000B3590000}"/>
    <cellStyle name="Normal 2 2 26 13 2" xfId="23747" xr:uid="{00000000-0005-0000-0000-0000B4590000}"/>
    <cellStyle name="Normal 2 2 26 13 3" xfId="23748" xr:uid="{00000000-0005-0000-0000-0000B5590000}"/>
    <cellStyle name="Normal 2 2 26 13 4" xfId="23749" xr:uid="{00000000-0005-0000-0000-0000B6590000}"/>
    <cellStyle name="Normal 2 2 26 13 5" xfId="23750" xr:uid="{00000000-0005-0000-0000-0000B7590000}"/>
    <cellStyle name="Normal 2 2 26 13 6" xfId="23751" xr:uid="{00000000-0005-0000-0000-0000B8590000}"/>
    <cellStyle name="Normal 2 2 26 14" xfId="23752" xr:uid="{00000000-0005-0000-0000-0000B9590000}"/>
    <cellStyle name="Normal 2 2 26 14 2" xfId="23753" xr:uid="{00000000-0005-0000-0000-0000BA590000}"/>
    <cellStyle name="Normal 2 2 26 14 3" xfId="23754" xr:uid="{00000000-0005-0000-0000-0000BB590000}"/>
    <cellStyle name="Normal 2 2 26 14 4" xfId="23755" xr:uid="{00000000-0005-0000-0000-0000BC590000}"/>
    <cellStyle name="Normal 2 2 26 14 5" xfId="23756" xr:uid="{00000000-0005-0000-0000-0000BD590000}"/>
    <cellStyle name="Normal 2 2 26 14 6" xfId="23757" xr:uid="{00000000-0005-0000-0000-0000BE590000}"/>
    <cellStyle name="Normal 2 2 26 15" xfId="23758" xr:uid="{00000000-0005-0000-0000-0000BF590000}"/>
    <cellStyle name="Normal 2 2 26 15 2" xfId="23759" xr:uid="{00000000-0005-0000-0000-0000C0590000}"/>
    <cellStyle name="Normal 2 2 26 15 3" xfId="23760" xr:uid="{00000000-0005-0000-0000-0000C1590000}"/>
    <cellStyle name="Normal 2 2 26 15 4" xfId="23761" xr:uid="{00000000-0005-0000-0000-0000C2590000}"/>
    <cellStyle name="Normal 2 2 26 15 5" xfId="23762" xr:uid="{00000000-0005-0000-0000-0000C3590000}"/>
    <cellStyle name="Normal 2 2 26 15 6" xfId="23763" xr:uid="{00000000-0005-0000-0000-0000C4590000}"/>
    <cellStyle name="Normal 2 2 26 16" xfId="23764" xr:uid="{00000000-0005-0000-0000-0000C5590000}"/>
    <cellStyle name="Normal 2 2 26 16 2" xfId="23765" xr:uid="{00000000-0005-0000-0000-0000C6590000}"/>
    <cellStyle name="Normal 2 2 26 16 3" xfId="23766" xr:uid="{00000000-0005-0000-0000-0000C7590000}"/>
    <cellStyle name="Normal 2 2 26 16 4" xfId="23767" xr:uid="{00000000-0005-0000-0000-0000C8590000}"/>
    <cellStyle name="Normal 2 2 26 16 5" xfId="23768" xr:uid="{00000000-0005-0000-0000-0000C9590000}"/>
    <cellStyle name="Normal 2 2 26 16 6" xfId="23769" xr:uid="{00000000-0005-0000-0000-0000CA590000}"/>
    <cellStyle name="Normal 2 2 26 17" xfId="23770" xr:uid="{00000000-0005-0000-0000-0000CB590000}"/>
    <cellStyle name="Normal 2 2 26 17 2" xfId="23771" xr:uid="{00000000-0005-0000-0000-0000CC590000}"/>
    <cellStyle name="Normal 2 2 26 17 3" xfId="23772" xr:uid="{00000000-0005-0000-0000-0000CD590000}"/>
    <cellStyle name="Normal 2 2 26 17 4" xfId="23773" xr:uid="{00000000-0005-0000-0000-0000CE590000}"/>
    <cellStyle name="Normal 2 2 26 17 5" xfId="23774" xr:uid="{00000000-0005-0000-0000-0000CF590000}"/>
    <cellStyle name="Normal 2 2 26 17 6" xfId="23775" xr:uid="{00000000-0005-0000-0000-0000D0590000}"/>
    <cellStyle name="Normal 2 2 26 18" xfId="23776" xr:uid="{00000000-0005-0000-0000-0000D1590000}"/>
    <cellStyle name="Normal 2 2 26 18 2" xfId="23777" xr:uid="{00000000-0005-0000-0000-0000D2590000}"/>
    <cellStyle name="Normal 2 2 26 18 3" xfId="23778" xr:uid="{00000000-0005-0000-0000-0000D3590000}"/>
    <cellStyle name="Normal 2 2 26 18 4" xfId="23779" xr:uid="{00000000-0005-0000-0000-0000D4590000}"/>
    <cellStyle name="Normal 2 2 26 18 5" xfId="23780" xr:uid="{00000000-0005-0000-0000-0000D5590000}"/>
    <cellStyle name="Normal 2 2 26 18 6" xfId="23781" xr:uid="{00000000-0005-0000-0000-0000D6590000}"/>
    <cellStyle name="Normal 2 2 26 19" xfId="23782" xr:uid="{00000000-0005-0000-0000-0000D7590000}"/>
    <cellStyle name="Normal 2 2 26 2" xfId="23783" xr:uid="{00000000-0005-0000-0000-0000D8590000}"/>
    <cellStyle name="Normal 2 2 26 2 10" xfId="23784" xr:uid="{00000000-0005-0000-0000-0000D9590000}"/>
    <cellStyle name="Normal 2 2 26 2 11" xfId="23785" xr:uid="{00000000-0005-0000-0000-0000DA590000}"/>
    <cellStyle name="Normal 2 2 26 2 12" xfId="23786" xr:uid="{00000000-0005-0000-0000-0000DB590000}"/>
    <cellStyle name="Normal 2 2 26 2 13" xfId="23787" xr:uid="{00000000-0005-0000-0000-0000DC590000}"/>
    <cellStyle name="Normal 2 2 26 2 14" xfId="23788" xr:uid="{00000000-0005-0000-0000-0000DD590000}"/>
    <cellStyle name="Normal 2 2 26 2 15" xfId="23789" xr:uid="{00000000-0005-0000-0000-0000DE590000}"/>
    <cellStyle name="Normal 2 2 26 2 16" xfId="23790" xr:uid="{00000000-0005-0000-0000-0000DF590000}"/>
    <cellStyle name="Normal 2 2 26 2 17" xfId="23791" xr:uid="{00000000-0005-0000-0000-0000E0590000}"/>
    <cellStyle name="Normal 2 2 26 2 18" xfId="23792" xr:uid="{00000000-0005-0000-0000-0000E1590000}"/>
    <cellStyle name="Normal 2 2 26 2 19" xfId="23793" xr:uid="{00000000-0005-0000-0000-0000E2590000}"/>
    <cellStyle name="Normal 2 2 26 2 2" xfId="23794" xr:uid="{00000000-0005-0000-0000-0000E3590000}"/>
    <cellStyle name="Normal 2 2 26 2 20" xfId="23795" xr:uid="{00000000-0005-0000-0000-0000E4590000}"/>
    <cellStyle name="Normal 2 2 26 2 21" xfId="23796" xr:uid="{00000000-0005-0000-0000-0000E5590000}"/>
    <cellStyle name="Normal 2 2 26 2 22" xfId="23797" xr:uid="{00000000-0005-0000-0000-0000E6590000}"/>
    <cellStyle name="Normal 2 2 26 2 23" xfId="23798" xr:uid="{00000000-0005-0000-0000-0000E7590000}"/>
    <cellStyle name="Normal 2 2 26 2 24" xfId="23799" xr:uid="{00000000-0005-0000-0000-0000E8590000}"/>
    <cellStyle name="Normal 2 2 26 2 25" xfId="23800" xr:uid="{00000000-0005-0000-0000-0000E9590000}"/>
    <cellStyle name="Normal 2 2 26 2 26" xfId="23801" xr:uid="{00000000-0005-0000-0000-0000EA590000}"/>
    <cellStyle name="Normal 2 2 26 2 27" xfId="23802" xr:uid="{00000000-0005-0000-0000-0000EB590000}"/>
    <cellStyle name="Normal 2 2 26 2 28" xfId="23803" xr:uid="{00000000-0005-0000-0000-0000EC590000}"/>
    <cellStyle name="Normal 2 2 26 2 29" xfId="23804" xr:uid="{00000000-0005-0000-0000-0000ED590000}"/>
    <cellStyle name="Normal 2 2 26 2 3" xfId="23805" xr:uid="{00000000-0005-0000-0000-0000EE590000}"/>
    <cellStyle name="Normal 2 2 26 2 30" xfId="23806" xr:uid="{00000000-0005-0000-0000-0000EF590000}"/>
    <cellStyle name="Normal 2 2 26 2 31" xfId="23807" xr:uid="{00000000-0005-0000-0000-0000F0590000}"/>
    <cellStyle name="Normal 2 2 26 2 32" xfId="23808" xr:uid="{00000000-0005-0000-0000-0000F1590000}"/>
    <cellStyle name="Normal 2 2 26 2 33" xfId="23809" xr:uid="{00000000-0005-0000-0000-0000F2590000}"/>
    <cellStyle name="Normal 2 2 26 2 34" xfId="23810" xr:uid="{00000000-0005-0000-0000-0000F3590000}"/>
    <cellStyle name="Normal 2 2 26 2 35" xfId="23811" xr:uid="{00000000-0005-0000-0000-0000F4590000}"/>
    <cellStyle name="Normal 2 2 26 2 36" xfId="23812" xr:uid="{00000000-0005-0000-0000-0000F5590000}"/>
    <cellStyle name="Normal 2 2 26 2 37" xfId="23813" xr:uid="{00000000-0005-0000-0000-0000F6590000}"/>
    <cellStyle name="Normal 2 2 26 2 4" xfId="23814" xr:uid="{00000000-0005-0000-0000-0000F7590000}"/>
    <cellStyle name="Normal 2 2 26 2 5" xfId="23815" xr:uid="{00000000-0005-0000-0000-0000F8590000}"/>
    <cellStyle name="Normal 2 2 26 2 6" xfId="23816" xr:uid="{00000000-0005-0000-0000-0000F9590000}"/>
    <cellStyle name="Normal 2 2 26 2 7" xfId="23817" xr:uid="{00000000-0005-0000-0000-0000FA590000}"/>
    <cellStyle name="Normal 2 2 26 2 8" xfId="23818" xr:uid="{00000000-0005-0000-0000-0000FB590000}"/>
    <cellStyle name="Normal 2 2 26 2 9" xfId="23819" xr:uid="{00000000-0005-0000-0000-0000FC590000}"/>
    <cellStyle name="Normal 2 2 26 20" xfId="23820" xr:uid="{00000000-0005-0000-0000-0000FD590000}"/>
    <cellStyle name="Normal 2 2 26 21" xfId="23821" xr:uid="{00000000-0005-0000-0000-0000FE590000}"/>
    <cellStyle name="Normal 2 2 26 22" xfId="23822" xr:uid="{00000000-0005-0000-0000-0000FF590000}"/>
    <cellStyle name="Normal 2 2 26 23" xfId="23823" xr:uid="{00000000-0005-0000-0000-0000005A0000}"/>
    <cellStyle name="Normal 2 2 26 24" xfId="23824" xr:uid="{00000000-0005-0000-0000-0000015A0000}"/>
    <cellStyle name="Normal 2 2 26 3" xfId="23825" xr:uid="{00000000-0005-0000-0000-0000025A0000}"/>
    <cellStyle name="Normal 2 2 26 3 10" xfId="23826" xr:uid="{00000000-0005-0000-0000-0000035A0000}"/>
    <cellStyle name="Normal 2 2 26 3 11" xfId="23827" xr:uid="{00000000-0005-0000-0000-0000045A0000}"/>
    <cellStyle name="Normal 2 2 26 3 12" xfId="23828" xr:uid="{00000000-0005-0000-0000-0000055A0000}"/>
    <cellStyle name="Normal 2 2 26 3 13" xfId="23829" xr:uid="{00000000-0005-0000-0000-0000065A0000}"/>
    <cellStyle name="Normal 2 2 26 3 14" xfId="23830" xr:uid="{00000000-0005-0000-0000-0000075A0000}"/>
    <cellStyle name="Normal 2 2 26 3 15" xfId="23831" xr:uid="{00000000-0005-0000-0000-0000085A0000}"/>
    <cellStyle name="Normal 2 2 26 3 16" xfId="23832" xr:uid="{00000000-0005-0000-0000-0000095A0000}"/>
    <cellStyle name="Normal 2 2 26 3 17" xfId="23833" xr:uid="{00000000-0005-0000-0000-00000A5A0000}"/>
    <cellStyle name="Normal 2 2 26 3 18" xfId="23834" xr:uid="{00000000-0005-0000-0000-00000B5A0000}"/>
    <cellStyle name="Normal 2 2 26 3 19" xfId="23835" xr:uid="{00000000-0005-0000-0000-00000C5A0000}"/>
    <cellStyle name="Normal 2 2 26 3 2" xfId="23836" xr:uid="{00000000-0005-0000-0000-00000D5A0000}"/>
    <cellStyle name="Normal 2 2 26 3 20" xfId="23837" xr:uid="{00000000-0005-0000-0000-00000E5A0000}"/>
    <cellStyle name="Normal 2 2 26 3 21" xfId="23838" xr:uid="{00000000-0005-0000-0000-00000F5A0000}"/>
    <cellStyle name="Normal 2 2 26 3 22" xfId="23839" xr:uid="{00000000-0005-0000-0000-0000105A0000}"/>
    <cellStyle name="Normal 2 2 26 3 23" xfId="23840" xr:uid="{00000000-0005-0000-0000-0000115A0000}"/>
    <cellStyle name="Normal 2 2 26 3 24" xfId="23841" xr:uid="{00000000-0005-0000-0000-0000125A0000}"/>
    <cellStyle name="Normal 2 2 26 3 25" xfId="23842" xr:uid="{00000000-0005-0000-0000-0000135A0000}"/>
    <cellStyle name="Normal 2 2 26 3 26" xfId="23843" xr:uid="{00000000-0005-0000-0000-0000145A0000}"/>
    <cellStyle name="Normal 2 2 26 3 27" xfId="23844" xr:uid="{00000000-0005-0000-0000-0000155A0000}"/>
    <cellStyle name="Normal 2 2 26 3 28" xfId="23845" xr:uid="{00000000-0005-0000-0000-0000165A0000}"/>
    <cellStyle name="Normal 2 2 26 3 29" xfId="23846" xr:uid="{00000000-0005-0000-0000-0000175A0000}"/>
    <cellStyle name="Normal 2 2 26 3 3" xfId="23847" xr:uid="{00000000-0005-0000-0000-0000185A0000}"/>
    <cellStyle name="Normal 2 2 26 3 30" xfId="23848" xr:uid="{00000000-0005-0000-0000-0000195A0000}"/>
    <cellStyle name="Normal 2 2 26 3 31" xfId="23849" xr:uid="{00000000-0005-0000-0000-00001A5A0000}"/>
    <cellStyle name="Normal 2 2 26 3 32" xfId="23850" xr:uid="{00000000-0005-0000-0000-00001B5A0000}"/>
    <cellStyle name="Normal 2 2 26 3 33" xfId="23851" xr:uid="{00000000-0005-0000-0000-00001C5A0000}"/>
    <cellStyle name="Normal 2 2 26 3 34" xfId="23852" xr:uid="{00000000-0005-0000-0000-00001D5A0000}"/>
    <cellStyle name="Normal 2 2 26 3 35" xfId="23853" xr:uid="{00000000-0005-0000-0000-00001E5A0000}"/>
    <cellStyle name="Normal 2 2 26 3 36" xfId="23854" xr:uid="{00000000-0005-0000-0000-00001F5A0000}"/>
    <cellStyle name="Normal 2 2 26 3 37" xfId="23855" xr:uid="{00000000-0005-0000-0000-0000205A0000}"/>
    <cellStyle name="Normal 2 2 26 3 4" xfId="23856" xr:uid="{00000000-0005-0000-0000-0000215A0000}"/>
    <cellStyle name="Normal 2 2 26 3 5" xfId="23857" xr:uid="{00000000-0005-0000-0000-0000225A0000}"/>
    <cellStyle name="Normal 2 2 26 3 6" xfId="23858" xr:uid="{00000000-0005-0000-0000-0000235A0000}"/>
    <cellStyle name="Normal 2 2 26 3 7" xfId="23859" xr:uid="{00000000-0005-0000-0000-0000245A0000}"/>
    <cellStyle name="Normal 2 2 26 3 8" xfId="23860" xr:uid="{00000000-0005-0000-0000-0000255A0000}"/>
    <cellStyle name="Normal 2 2 26 3 9" xfId="23861" xr:uid="{00000000-0005-0000-0000-0000265A0000}"/>
    <cellStyle name="Normal 2 2 26 4" xfId="23862" xr:uid="{00000000-0005-0000-0000-0000275A0000}"/>
    <cellStyle name="Normal 2 2 26 4 10" xfId="23863" xr:uid="{00000000-0005-0000-0000-0000285A0000}"/>
    <cellStyle name="Normal 2 2 26 4 11" xfId="23864" xr:uid="{00000000-0005-0000-0000-0000295A0000}"/>
    <cellStyle name="Normal 2 2 26 4 12" xfId="23865" xr:uid="{00000000-0005-0000-0000-00002A5A0000}"/>
    <cellStyle name="Normal 2 2 26 4 13" xfId="23866" xr:uid="{00000000-0005-0000-0000-00002B5A0000}"/>
    <cellStyle name="Normal 2 2 26 4 14" xfId="23867" xr:uid="{00000000-0005-0000-0000-00002C5A0000}"/>
    <cellStyle name="Normal 2 2 26 4 15" xfId="23868" xr:uid="{00000000-0005-0000-0000-00002D5A0000}"/>
    <cellStyle name="Normal 2 2 26 4 16" xfId="23869" xr:uid="{00000000-0005-0000-0000-00002E5A0000}"/>
    <cellStyle name="Normal 2 2 26 4 17" xfId="23870" xr:uid="{00000000-0005-0000-0000-00002F5A0000}"/>
    <cellStyle name="Normal 2 2 26 4 18" xfId="23871" xr:uid="{00000000-0005-0000-0000-0000305A0000}"/>
    <cellStyle name="Normal 2 2 26 4 19" xfId="23872" xr:uid="{00000000-0005-0000-0000-0000315A0000}"/>
    <cellStyle name="Normal 2 2 26 4 2" xfId="23873" xr:uid="{00000000-0005-0000-0000-0000325A0000}"/>
    <cellStyle name="Normal 2 2 26 4 20" xfId="23874" xr:uid="{00000000-0005-0000-0000-0000335A0000}"/>
    <cellStyle name="Normal 2 2 26 4 21" xfId="23875" xr:uid="{00000000-0005-0000-0000-0000345A0000}"/>
    <cellStyle name="Normal 2 2 26 4 22" xfId="23876" xr:uid="{00000000-0005-0000-0000-0000355A0000}"/>
    <cellStyle name="Normal 2 2 26 4 23" xfId="23877" xr:uid="{00000000-0005-0000-0000-0000365A0000}"/>
    <cellStyle name="Normal 2 2 26 4 24" xfId="23878" xr:uid="{00000000-0005-0000-0000-0000375A0000}"/>
    <cellStyle name="Normal 2 2 26 4 25" xfId="23879" xr:uid="{00000000-0005-0000-0000-0000385A0000}"/>
    <cellStyle name="Normal 2 2 26 4 26" xfId="23880" xr:uid="{00000000-0005-0000-0000-0000395A0000}"/>
    <cellStyle name="Normal 2 2 26 4 27" xfId="23881" xr:uid="{00000000-0005-0000-0000-00003A5A0000}"/>
    <cellStyle name="Normal 2 2 26 4 28" xfId="23882" xr:uid="{00000000-0005-0000-0000-00003B5A0000}"/>
    <cellStyle name="Normal 2 2 26 4 29" xfId="23883" xr:uid="{00000000-0005-0000-0000-00003C5A0000}"/>
    <cellStyle name="Normal 2 2 26 4 3" xfId="23884" xr:uid="{00000000-0005-0000-0000-00003D5A0000}"/>
    <cellStyle name="Normal 2 2 26 4 30" xfId="23885" xr:uid="{00000000-0005-0000-0000-00003E5A0000}"/>
    <cellStyle name="Normal 2 2 26 4 31" xfId="23886" xr:uid="{00000000-0005-0000-0000-00003F5A0000}"/>
    <cellStyle name="Normal 2 2 26 4 32" xfId="23887" xr:uid="{00000000-0005-0000-0000-0000405A0000}"/>
    <cellStyle name="Normal 2 2 26 4 33" xfId="23888" xr:uid="{00000000-0005-0000-0000-0000415A0000}"/>
    <cellStyle name="Normal 2 2 26 4 34" xfId="23889" xr:uid="{00000000-0005-0000-0000-0000425A0000}"/>
    <cellStyle name="Normal 2 2 26 4 35" xfId="23890" xr:uid="{00000000-0005-0000-0000-0000435A0000}"/>
    <cellStyle name="Normal 2 2 26 4 36" xfId="23891" xr:uid="{00000000-0005-0000-0000-0000445A0000}"/>
    <cellStyle name="Normal 2 2 26 4 37" xfId="23892" xr:uid="{00000000-0005-0000-0000-0000455A0000}"/>
    <cellStyle name="Normal 2 2 26 4 4" xfId="23893" xr:uid="{00000000-0005-0000-0000-0000465A0000}"/>
    <cellStyle name="Normal 2 2 26 4 5" xfId="23894" xr:uid="{00000000-0005-0000-0000-0000475A0000}"/>
    <cellStyle name="Normal 2 2 26 4 6" xfId="23895" xr:uid="{00000000-0005-0000-0000-0000485A0000}"/>
    <cellStyle name="Normal 2 2 26 4 7" xfId="23896" xr:uid="{00000000-0005-0000-0000-0000495A0000}"/>
    <cellStyle name="Normal 2 2 26 4 8" xfId="23897" xr:uid="{00000000-0005-0000-0000-00004A5A0000}"/>
    <cellStyle name="Normal 2 2 26 4 9" xfId="23898" xr:uid="{00000000-0005-0000-0000-00004B5A0000}"/>
    <cellStyle name="Normal 2 2 26 5" xfId="23899" xr:uid="{00000000-0005-0000-0000-00004C5A0000}"/>
    <cellStyle name="Normal 2 2 26 5 10" xfId="23900" xr:uid="{00000000-0005-0000-0000-00004D5A0000}"/>
    <cellStyle name="Normal 2 2 26 5 11" xfId="23901" xr:uid="{00000000-0005-0000-0000-00004E5A0000}"/>
    <cellStyle name="Normal 2 2 26 5 12" xfId="23902" xr:uid="{00000000-0005-0000-0000-00004F5A0000}"/>
    <cellStyle name="Normal 2 2 26 5 13" xfId="23903" xr:uid="{00000000-0005-0000-0000-0000505A0000}"/>
    <cellStyle name="Normal 2 2 26 5 14" xfId="23904" xr:uid="{00000000-0005-0000-0000-0000515A0000}"/>
    <cellStyle name="Normal 2 2 26 5 15" xfId="23905" xr:uid="{00000000-0005-0000-0000-0000525A0000}"/>
    <cellStyle name="Normal 2 2 26 5 16" xfId="23906" xr:uid="{00000000-0005-0000-0000-0000535A0000}"/>
    <cellStyle name="Normal 2 2 26 5 17" xfId="23907" xr:uid="{00000000-0005-0000-0000-0000545A0000}"/>
    <cellStyle name="Normal 2 2 26 5 18" xfId="23908" xr:uid="{00000000-0005-0000-0000-0000555A0000}"/>
    <cellStyle name="Normal 2 2 26 5 19" xfId="23909" xr:uid="{00000000-0005-0000-0000-0000565A0000}"/>
    <cellStyle name="Normal 2 2 26 5 2" xfId="23910" xr:uid="{00000000-0005-0000-0000-0000575A0000}"/>
    <cellStyle name="Normal 2 2 26 5 20" xfId="23911" xr:uid="{00000000-0005-0000-0000-0000585A0000}"/>
    <cellStyle name="Normal 2 2 26 5 21" xfId="23912" xr:uid="{00000000-0005-0000-0000-0000595A0000}"/>
    <cellStyle name="Normal 2 2 26 5 22" xfId="23913" xr:uid="{00000000-0005-0000-0000-00005A5A0000}"/>
    <cellStyle name="Normal 2 2 26 5 23" xfId="23914" xr:uid="{00000000-0005-0000-0000-00005B5A0000}"/>
    <cellStyle name="Normal 2 2 26 5 24" xfId="23915" xr:uid="{00000000-0005-0000-0000-00005C5A0000}"/>
    <cellStyle name="Normal 2 2 26 5 25" xfId="23916" xr:uid="{00000000-0005-0000-0000-00005D5A0000}"/>
    <cellStyle name="Normal 2 2 26 5 26" xfId="23917" xr:uid="{00000000-0005-0000-0000-00005E5A0000}"/>
    <cellStyle name="Normal 2 2 26 5 27" xfId="23918" xr:uid="{00000000-0005-0000-0000-00005F5A0000}"/>
    <cellStyle name="Normal 2 2 26 5 28" xfId="23919" xr:uid="{00000000-0005-0000-0000-0000605A0000}"/>
    <cellStyle name="Normal 2 2 26 5 29" xfId="23920" xr:uid="{00000000-0005-0000-0000-0000615A0000}"/>
    <cellStyle name="Normal 2 2 26 5 3" xfId="23921" xr:uid="{00000000-0005-0000-0000-0000625A0000}"/>
    <cellStyle name="Normal 2 2 26 5 30" xfId="23922" xr:uid="{00000000-0005-0000-0000-0000635A0000}"/>
    <cellStyle name="Normal 2 2 26 5 31" xfId="23923" xr:uid="{00000000-0005-0000-0000-0000645A0000}"/>
    <cellStyle name="Normal 2 2 26 5 32" xfId="23924" xr:uid="{00000000-0005-0000-0000-0000655A0000}"/>
    <cellStyle name="Normal 2 2 26 5 33" xfId="23925" xr:uid="{00000000-0005-0000-0000-0000665A0000}"/>
    <cellStyle name="Normal 2 2 26 5 34" xfId="23926" xr:uid="{00000000-0005-0000-0000-0000675A0000}"/>
    <cellStyle name="Normal 2 2 26 5 35" xfId="23927" xr:uid="{00000000-0005-0000-0000-0000685A0000}"/>
    <cellStyle name="Normal 2 2 26 5 36" xfId="23928" xr:uid="{00000000-0005-0000-0000-0000695A0000}"/>
    <cellStyle name="Normal 2 2 26 5 37" xfId="23929" xr:uid="{00000000-0005-0000-0000-00006A5A0000}"/>
    <cellStyle name="Normal 2 2 26 5 4" xfId="23930" xr:uid="{00000000-0005-0000-0000-00006B5A0000}"/>
    <cellStyle name="Normal 2 2 26 5 5" xfId="23931" xr:uid="{00000000-0005-0000-0000-00006C5A0000}"/>
    <cellStyle name="Normal 2 2 26 5 6" xfId="23932" xr:uid="{00000000-0005-0000-0000-00006D5A0000}"/>
    <cellStyle name="Normal 2 2 26 5 7" xfId="23933" xr:uid="{00000000-0005-0000-0000-00006E5A0000}"/>
    <cellStyle name="Normal 2 2 26 5 8" xfId="23934" xr:uid="{00000000-0005-0000-0000-00006F5A0000}"/>
    <cellStyle name="Normal 2 2 26 5 9" xfId="23935" xr:uid="{00000000-0005-0000-0000-0000705A0000}"/>
    <cellStyle name="Normal 2 2 26 6" xfId="23936" xr:uid="{00000000-0005-0000-0000-0000715A0000}"/>
    <cellStyle name="Normal 2 2 26 6 10" xfId="23937" xr:uid="{00000000-0005-0000-0000-0000725A0000}"/>
    <cellStyle name="Normal 2 2 26 6 11" xfId="23938" xr:uid="{00000000-0005-0000-0000-0000735A0000}"/>
    <cellStyle name="Normal 2 2 26 6 12" xfId="23939" xr:uid="{00000000-0005-0000-0000-0000745A0000}"/>
    <cellStyle name="Normal 2 2 26 6 13" xfId="23940" xr:uid="{00000000-0005-0000-0000-0000755A0000}"/>
    <cellStyle name="Normal 2 2 26 6 14" xfId="23941" xr:uid="{00000000-0005-0000-0000-0000765A0000}"/>
    <cellStyle name="Normal 2 2 26 6 15" xfId="23942" xr:uid="{00000000-0005-0000-0000-0000775A0000}"/>
    <cellStyle name="Normal 2 2 26 6 16" xfId="23943" xr:uid="{00000000-0005-0000-0000-0000785A0000}"/>
    <cellStyle name="Normal 2 2 26 6 17" xfId="23944" xr:uid="{00000000-0005-0000-0000-0000795A0000}"/>
    <cellStyle name="Normal 2 2 26 6 18" xfId="23945" xr:uid="{00000000-0005-0000-0000-00007A5A0000}"/>
    <cellStyle name="Normal 2 2 26 6 19" xfId="23946" xr:uid="{00000000-0005-0000-0000-00007B5A0000}"/>
    <cellStyle name="Normal 2 2 26 6 2" xfId="23947" xr:uid="{00000000-0005-0000-0000-00007C5A0000}"/>
    <cellStyle name="Normal 2 2 26 6 20" xfId="23948" xr:uid="{00000000-0005-0000-0000-00007D5A0000}"/>
    <cellStyle name="Normal 2 2 26 6 21" xfId="23949" xr:uid="{00000000-0005-0000-0000-00007E5A0000}"/>
    <cellStyle name="Normal 2 2 26 6 22" xfId="23950" xr:uid="{00000000-0005-0000-0000-00007F5A0000}"/>
    <cellStyle name="Normal 2 2 26 6 23" xfId="23951" xr:uid="{00000000-0005-0000-0000-0000805A0000}"/>
    <cellStyle name="Normal 2 2 26 6 24" xfId="23952" xr:uid="{00000000-0005-0000-0000-0000815A0000}"/>
    <cellStyle name="Normal 2 2 26 6 25" xfId="23953" xr:uid="{00000000-0005-0000-0000-0000825A0000}"/>
    <cellStyle name="Normal 2 2 26 6 26" xfId="23954" xr:uid="{00000000-0005-0000-0000-0000835A0000}"/>
    <cellStyle name="Normal 2 2 26 6 27" xfId="23955" xr:uid="{00000000-0005-0000-0000-0000845A0000}"/>
    <cellStyle name="Normal 2 2 26 6 28" xfId="23956" xr:uid="{00000000-0005-0000-0000-0000855A0000}"/>
    <cellStyle name="Normal 2 2 26 6 29" xfId="23957" xr:uid="{00000000-0005-0000-0000-0000865A0000}"/>
    <cellStyle name="Normal 2 2 26 6 3" xfId="23958" xr:uid="{00000000-0005-0000-0000-0000875A0000}"/>
    <cellStyle name="Normal 2 2 26 6 30" xfId="23959" xr:uid="{00000000-0005-0000-0000-0000885A0000}"/>
    <cellStyle name="Normal 2 2 26 6 31" xfId="23960" xr:uid="{00000000-0005-0000-0000-0000895A0000}"/>
    <cellStyle name="Normal 2 2 26 6 32" xfId="23961" xr:uid="{00000000-0005-0000-0000-00008A5A0000}"/>
    <cellStyle name="Normal 2 2 26 6 33" xfId="23962" xr:uid="{00000000-0005-0000-0000-00008B5A0000}"/>
    <cellStyle name="Normal 2 2 26 6 34" xfId="23963" xr:uid="{00000000-0005-0000-0000-00008C5A0000}"/>
    <cellStyle name="Normal 2 2 26 6 35" xfId="23964" xr:uid="{00000000-0005-0000-0000-00008D5A0000}"/>
    <cellStyle name="Normal 2 2 26 6 36" xfId="23965" xr:uid="{00000000-0005-0000-0000-00008E5A0000}"/>
    <cellStyle name="Normal 2 2 26 6 37" xfId="23966" xr:uid="{00000000-0005-0000-0000-00008F5A0000}"/>
    <cellStyle name="Normal 2 2 26 6 4" xfId="23967" xr:uid="{00000000-0005-0000-0000-0000905A0000}"/>
    <cellStyle name="Normal 2 2 26 6 5" xfId="23968" xr:uid="{00000000-0005-0000-0000-0000915A0000}"/>
    <cellStyle name="Normal 2 2 26 6 6" xfId="23969" xr:uid="{00000000-0005-0000-0000-0000925A0000}"/>
    <cellStyle name="Normal 2 2 26 6 7" xfId="23970" xr:uid="{00000000-0005-0000-0000-0000935A0000}"/>
    <cellStyle name="Normal 2 2 26 6 8" xfId="23971" xr:uid="{00000000-0005-0000-0000-0000945A0000}"/>
    <cellStyle name="Normal 2 2 26 6 9" xfId="23972" xr:uid="{00000000-0005-0000-0000-0000955A0000}"/>
    <cellStyle name="Normal 2 2 26 7" xfId="23973" xr:uid="{00000000-0005-0000-0000-0000965A0000}"/>
    <cellStyle name="Normal 2 2 26 7 10" xfId="23974" xr:uid="{00000000-0005-0000-0000-0000975A0000}"/>
    <cellStyle name="Normal 2 2 26 7 11" xfId="23975" xr:uid="{00000000-0005-0000-0000-0000985A0000}"/>
    <cellStyle name="Normal 2 2 26 7 12" xfId="23976" xr:uid="{00000000-0005-0000-0000-0000995A0000}"/>
    <cellStyle name="Normal 2 2 26 7 13" xfId="23977" xr:uid="{00000000-0005-0000-0000-00009A5A0000}"/>
    <cellStyle name="Normal 2 2 26 7 14" xfId="23978" xr:uid="{00000000-0005-0000-0000-00009B5A0000}"/>
    <cellStyle name="Normal 2 2 26 7 15" xfId="23979" xr:uid="{00000000-0005-0000-0000-00009C5A0000}"/>
    <cellStyle name="Normal 2 2 26 7 16" xfId="23980" xr:uid="{00000000-0005-0000-0000-00009D5A0000}"/>
    <cellStyle name="Normal 2 2 26 7 17" xfId="23981" xr:uid="{00000000-0005-0000-0000-00009E5A0000}"/>
    <cellStyle name="Normal 2 2 26 7 18" xfId="23982" xr:uid="{00000000-0005-0000-0000-00009F5A0000}"/>
    <cellStyle name="Normal 2 2 26 7 19" xfId="23983" xr:uid="{00000000-0005-0000-0000-0000A05A0000}"/>
    <cellStyle name="Normal 2 2 26 7 2" xfId="23984" xr:uid="{00000000-0005-0000-0000-0000A15A0000}"/>
    <cellStyle name="Normal 2 2 26 7 20" xfId="23985" xr:uid="{00000000-0005-0000-0000-0000A25A0000}"/>
    <cellStyle name="Normal 2 2 26 7 21" xfId="23986" xr:uid="{00000000-0005-0000-0000-0000A35A0000}"/>
    <cellStyle name="Normal 2 2 26 7 22" xfId="23987" xr:uid="{00000000-0005-0000-0000-0000A45A0000}"/>
    <cellStyle name="Normal 2 2 26 7 23" xfId="23988" xr:uid="{00000000-0005-0000-0000-0000A55A0000}"/>
    <cellStyle name="Normal 2 2 26 7 24" xfId="23989" xr:uid="{00000000-0005-0000-0000-0000A65A0000}"/>
    <cellStyle name="Normal 2 2 26 7 25" xfId="23990" xr:uid="{00000000-0005-0000-0000-0000A75A0000}"/>
    <cellStyle name="Normal 2 2 26 7 26" xfId="23991" xr:uid="{00000000-0005-0000-0000-0000A85A0000}"/>
    <cellStyle name="Normal 2 2 26 7 27" xfId="23992" xr:uid="{00000000-0005-0000-0000-0000A95A0000}"/>
    <cellStyle name="Normal 2 2 26 7 28" xfId="23993" xr:uid="{00000000-0005-0000-0000-0000AA5A0000}"/>
    <cellStyle name="Normal 2 2 26 7 29" xfId="23994" xr:uid="{00000000-0005-0000-0000-0000AB5A0000}"/>
    <cellStyle name="Normal 2 2 26 7 3" xfId="23995" xr:uid="{00000000-0005-0000-0000-0000AC5A0000}"/>
    <cellStyle name="Normal 2 2 26 7 30" xfId="23996" xr:uid="{00000000-0005-0000-0000-0000AD5A0000}"/>
    <cellStyle name="Normal 2 2 26 7 31" xfId="23997" xr:uid="{00000000-0005-0000-0000-0000AE5A0000}"/>
    <cellStyle name="Normal 2 2 26 7 32" xfId="23998" xr:uid="{00000000-0005-0000-0000-0000AF5A0000}"/>
    <cellStyle name="Normal 2 2 26 7 33" xfId="23999" xr:uid="{00000000-0005-0000-0000-0000B05A0000}"/>
    <cellStyle name="Normal 2 2 26 7 34" xfId="24000" xr:uid="{00000000-0005-0000-0000-0000B15A0000}"/>
    <cellStyle name="Normal 2 2 26 7 35" xfId="24001" xr:uid="{00000000-0005-0000-0000-0000B25A0000}"/>
    <cellStyle name="Normal 2 2 26 7 36" xfId="24002" xr:uid="{00000000-0005-0000-0000-0000B35A0000}"/>
    <cellStyle name="Normal 2 2 26 7 37" xfId="24003" xr:uid="{00000000-0005-0000-0000-0000B45A0000}"/>
    <cellStyle name="Normal 2 2 26 7 4" xfId="24004" xr:uid="{00000000-0005-0000-0000-0000B55A0000}"/>
    <cellStyle name="Normal 2 2 26 7 5" xfId="24005" xr:uid="{00000000-0005-0000-0000-0000B65A0000}"/>
    <cellStyle name="Normal 2 2 26 7 6" xfId="24006" xr:uid="{00000000-0005-0000-0000-0000B75A0000}"/>
    <cellStyle name="Normal 2 2 26 7 7" xfId="24007" xr:uid="{00000000-0005-0000-0000-0000B85A0000}"/>
    <cellStyle name="Normal 2 2 26 7 8" xfId="24008" xr:uid="{00000000-0005-0000-0000-0000B95A0000}"/>
    <cellStyle name="Normal 2 2 26 7 9" xfId="24009" xr:uid="{00000000-0005-0000-0000-0000BA5A0000}"/>
    <cellStyle name="Normal 2 2 26 8" xfId="24010" xr:uid="{00000000-0005-0000-0000-0000BB5A0000}"/>
    <cellStyle name="Normal 2 2 26 8 10" xfId="24011" xr:uid="{00000000-0005-0000-0000-0000BC5A0000}"/>
    <cellStyle name="Normal 2 2 26 8 11" xfId="24012" xr:uid="{00000000-0005-0000-0000-0000BD5A0000}"/>
    <cellStyle name="Normal 2 2 26 8 12" xfId="24013" xr:uid="{00000000-0005-0000-0000-0000BE5A0000}"/>
    <cellStyle name="Normal 2 2 26 8 13" xfId="24014" xr:uid="{00000000-0005-0000-0000-0000BF5A0000}"/>
    <cellStyle name="Normal 2 2 26 8 14" xfId="24015" xr:uid="{00000000-0005-0000-0000-0000C05A0000}"/>
    <cellStyle name="Normal 2 2 26 8 15" xfId="24016" xr:uid="{00000000-0005-0000-0000-0000C15A0000}"/>
    <cellStyle name="Normal 2 2 26 8 16" xfId="24017" xr:uid="{00000000-0005-0000-0000-0000C25A0000}"/>
    <cellStyle name="Normal 2 2 26 8 17" xfId="24018" xr:uid="{00000000-0005-0000-0000-0000C35A0000}"/>
    <cellStyle name="Normal 2 2 26 8 18" xfId="24019" xr:uid="{00000000-0005-0000-0000-0000C45A0000}"/>
    <cellStyle name="Normal 2 2 26 8 19" xfId="24020" xr:uid="{00000000-0005-0000-0000-0000C55A0000}"/>
    <cellStyle name="Normal 2 2 26 8 2" xfId="24021" xr:uid="{00000000-0005-0000-0000-0000C65A0000}"/>
    <cellStyle name="Normal 2 2 26 8 20" xfId="24022" xr:uid="{00000000-0005-0000-0000-0000C75A0000}"/>
    <cellStyle name="Normal 2 2 26 8 21" xfId="24023" xr:uid="{00000000-0005-0000-0000-0000C85A0000}"/>
    <cellStyle name="Normal 2 2 26 8 22" xfId="24024" xr:uid="{00000000-0005-0000-0000-0000C95A0000}"/>
    <cellStyle name="Normal 2 2 26 8 23" xfId="24025" xr:uid="{00000000-0005-0000-0000-0000CA5A0000}"/>
    <cellStyle name="Normal 2 2 26 8 24" xfId="24026" xr:uid="{00000000-0005-0000-0000-0000CB5A0000}"/>
    <cellStyle name="Normal 2 2 26 8 25" xfId="24027" xr:uid="{00000000-0005-0000-0000-0000CC5A0000}"/>
    <cellStyle name="Normal 2 2 26 8 26" xfId="24028" xr:uid="{00000000-0005-0000-0000-0000CD5A0000}"/>
    <cellStyle name="Normal 2 2 26 8 27" xfId="24029" xr:uid="{00000000-0005-0000-0000-0000CE5A0000}"/>
    <cellStyle name="Normal 2 2 26 8 28" xfId="24030" xr:uid="{00000000-0005-0000-0000-0000CF5A0000}"/>
    <cellStyle name="Normal 2 2 26 8 29" xfId="24031" xr:uid="{00000000-0005-0000-0000-0000D05A0000}"/>
    <cellStyle name="Normal 2 2 26 8 3" xfId="24032" xr:uid="{00000000-0005-0000-0000-0000D15A0000}"/>
    <cellStyle name="Normal 2 2 26 8 30" xfId="24033" xr:uid="{00000000-0005-0000-0000-0000D25A0000}"/>
    <cellStyle name="Normal 2 2 26 8 31" xfId="24034" xr:uid="{00000000-0005-0000-0000-0000D35A0000}"/>
    <cellStyle name="Normal 2 2 26 8 32" xfId="24035" xr:uid="{00000000-0005-0000-0000-0000D45A0000}"/>
    <cellStyle name="Normal 2 2 26 8 33" xfId="24036" xr:uid="{00000000-0005-0000-0000-0000D55A0000}"/>
    <cellStyle name="Normal 2 2 26 8 34" xfId="24037" xr:uid="{00000000-0005-0000-0000-0000D65A0000}"/>
    <cellStyle name="Normal 2 2 26 8 35" xfId="24038" xr:uid="{00000000-0005-0000-0000-0000D75A0000}"/>
    <cellStyle name="Normal 2 2 26 8 36" xfId="24039" xr:uid="{00000000-0005-0000-0000-0000D85A0000}"/>
    <cellStyle name="Normal 2 2 26 8 37" xfId="24040" xr:uid="{00000000-0005-0000-0000-0000D95A0000}"/>
    <cellStyle name="Normal 2 2 26 8 4" xfId="24041" xr:uid="{00000000-0005-0000-0000-0000DA5A0000}"/>
    <cellStyle name="Normal 2 2 26 8 5" xfId="24042" xr:uid="{00000000-0005-0000-0000-0000DB5A0000}"/>
    <cellStyle name="Normal 2 2 26 8 6" xfId="24043" xr:uid="{00000000-0005-0000-0000-0000DC5A0000}"/>
    <cellStyle name="Normal 2 2 26 8 7" xfId="24044" xr:uid="{00000000-0005-0000-0000-0000DD5A0000}"/>
    <cellStyle name="Normal 2 2 26 8 8" xfId="24045" xr:uid="{00000000-0005-0000-0000-0000DE5A0000}"/>
    <cellStyle name="Normal 2 2 26 8 9" xfId="24046" xr:uid="{00000000-0005-0000-0000-0000DF5A0000}"/>
    <cellStyle name="Normal 2 2 26 9" xfId="24047" xr:uid="{00000000-0005-0000-0000-0000E05A0000}"/>
    <cellStyle name="Normal 2 2 26 9 10" xfId="24048" xr:uid="{00000000-0005-0000-0000-0000E15A0000}"/>
    <cellStyle name="Normal 2 2 26 9 11" xfId="24049" xr:uid="{00000000-0005-0000-0000-0000E25A0000}"/>
    <cellStyle name="Normal 2 2 26 9 12" xfId="24050" xr:uid="{00000000-0005-0000-0000-0000E35A0000}"/>
    <cellStyle name="Normal 2 2 26 9 13" xfId="24051" xr:uid="{00000000-0005-0000-0000-0000E45A0000}"/>
    <cellStyle name="Normal 2 2 26 9 14" xfId="24052" xr:uid="{00000000-0005-0000-0000-0000E55A0000}"/>
    <cellStyle name="Normal 2 2 26 9 15" xfId="24053" xr:uid="{00000000-0005-0000-0000-0000E65A0000}"/>
    <cellStyle name="Normal 2 2 26 9 16" xfId="24054" xr:uid="{00000000-0005-0000-0000-0000E75A0000}"/>
    <cellStyle name="Normal 2 2 26 9 17" xfId="24055" xr:uid="{00000000-0005-0000-0000-0000E85A0000}"/>
    <cellStyle name="Normal 2 2 26 9 18" xfId="24056" xr:uid="{00000000-0005-0000-0000-0000E95A0000}"/>
    <cellStyle name="Normal 2 2 26 9 19" xfId="24057" xr:uid="{00000000-0005-0000-0000-0000EA5A0000}"/>
    <cellStyle name="Normal 2 2 26 9 2" xfId="24058" xr:uid="{00000000-0005-0000-0000-0000EB5A0000}"/>
    <cellStyle name="Normal 2 2 26 9 20" xfId="24059" xr:uid="{00000000-0005-0000-0000-0000EC5A0000}"/>
    <cellStyle name="Normal 2 2 26 9 21" xfId="24060" xr:uid="{00000000-0005-0000-0000-0000ED5A0000}"/>
    <cellStyle name="Normal 2 2 26 9 22" xfId="24061" xr:uid="{00000000-0005-0000-0000-0000EE5A0000}"/>
    <cellStyle name="Normal 2 2 26 9 23" xfId="24062" xr:uid="{00000000-0005-0000-0000-0000EF5A0000}"/>
    <cellStyle name="Normal 2 2 26 9 24" xfId="24063" xr:uid="{00000000-0005-0000-0000-0000F05A0000}"/>
    <cellStyle name="Normal 2 2 26 9 25" xfId="24064" xr:uid="{00000000-0005-0000-0000-0000F15A0000}"/>
    <cellStyle name="Normal 2 2 26 9 26" xfId="24065" xr:uid="{00000000-0005-0000-0000-0000F25A0000}"/>
    <cellStyle name="Normal 2 2 26 9 27" xfId="24066" xr:uid="{00000000-0005-0000-0000-0000F35A0000}"/>
    <cellStyle name="Normal 2 2 26 9 28" xfId="24067" xr:uid="{00000000-0005-0000-0000-0000F45A0000}"/>
    <cellStyle name="Normal 2 2 26 9 29" xfId="24068" xr:uid="{00000000-0005-0000-0000-0000F55A0000}"/>
    <cellStyle name="Normal 2 2 26 9 3" xfId="24069" xr:uid="{00000000-0005-0000-0000-0000F65A0000}"/>
    <cellStyle name="Normal 2 2 26 9 30" xfId="24070" xr:uid="{00000000-0005-0000-0000-0000F75A0000}"/>
    <cellStyle name="Normal 2 2 26 9 31" xfId="24071" xr:uid="{00000000-0005-0000-0000-0000F85A0000}"/>
    <cellStyle name="Normal 2 2 26 9 32" xfId="24072" xr:uid="{00000000-0005-0000-0000-0000F95A0000}"/>
    <cellStyle name="Normal 2 2 26 9 33" xfId="24073" xr:uid="{00000000-0005-0000-0000-0000FA5A0000}"/>
    <cellStyle name="Normal 2 2 26 9 34" xfId="24074" xr:uid="{00000000-0005-0000-0000-0000FB5A0000}"/>
    <cellStyle name="Normal 2 2 26 9 35" xfId="24075" xr:uid="{00000000-0005-0000-0000-0000FC5A0000}"/>
    <cellStyle name="Normal 2 2 26 9 36" xfId="24076" xr:uid="{00000000-0005-0000-0000-0000FD5A0000}"/>
    <cellStyle name="Normal 2 2 26 9 37" xfId="24077" xr:uid="{00000000-0005-0000-0000-0000FE5A0000}"/>
    <cellStyle name="Normal 2 2 26 9 4" xfId="24078" xr:uid="{00000000-0005-0000-0000-0000FF5A0000}"/>
    <cellStyle name="Normal 2 2 26 9 5" xfId="24079" xr:uid="{00000000-0005-0000-0000-0000005B0000}"/>
    <cellStyle name="Normal 2 2 26 9 6" xfId="24080" xr:uid="{00000000-0005-0000-0000-0000015B0000}"/>
    <cellStyle name="Normal 2 2 26 9 7" xfId="24081" xr:uid="{00000000-0005-0000-0000-0000025B0000}"/>
    <cellStyle name="Normal 2 2 26 9 8" xfId="24082" xr:uid="{00000000-0005-0000-0000-0000035B0000}"/>
    <cellStyle name="Normal 2 2 26 9 9" xfId="24083" xr:uid="{00000000-0005-0000-0000-0000045B0000}"/>
    <cellStyle name="Normal 2 2 27" xfId="24084" xr:uid="{00000000-0005-0000-0000-0000055B0000}"/>
    <cellStyle name="Normal 2 2 27 10" xfId="24085" xr:uid="{00000000-0005-0000-0000-0000065B0000}"/>
    <cellStyle name="Normal 2 2 27 11" xfId="24086" xr:uid="{00000000-0005-0000-0000-0000075B0000}"/>
    <cellStyle name="Normal 2 2 27 12" xfId="24087" xr:uid="{00000000-0005-0000-0000-0000085B0000}"/>
    <cellStyle name="Normal 2 2 27 13" xfId="24088" xr:uid="{00000000-0005-0000-0000-0000095B0000}"/>
    <cellStyle name="Normal 2 2 27 14" xfId="24089" xr:uid="{00000000-0005-0000-0000-00000A5B0000}"/>
    <cellStyle name="Normal 2 2 27 15" xfId="24090" xr:uid="{00000000-0005-0000-0000-00000B5B0000}"/>
    <cellStyle name="Normal 2 2 27 16" xfId="24091" xr:uid="{00000000-0005-0000-0000-00000C5B0000}"/>
    <cellStyle name="Normal 2 2 27 17" xfId="24092" xr:uid="{00000000-0005-0000-0000-00000D5B0000}"/>
    <cellStyle name="Normal 2 2 27 18" xfId="24093" xr:uid="{00000000-0005-0000-0000-00000E5B0000}"/>
    <cellStyle name="Normal 2 2 27 19" xfId="24094" xr:uid="{00000000-0005-0000-0000-00000F5B0000}"/>
    <cellStyle name="Normal 2 2 27 2" xfId="24095" xr:uid="{00000000-0005-0000-0000-0000105B0000}"/>
    <cellStyle name="Normal 2 2 27 20" xfId="24096" xr:uid="{00000000-0005-0000-0000-0000115B0000}"/>
    <cellStyle name="Normal 2 2 27 21" xfId="24097" xr:uid="{00000000-0005-0000-0000-0000125B0000}"/>
    <cellStyle name="Normal 2 2 27 22" xfId="24098" xr:uid="{00000000-0005-0000-0000-0000135B0000}"/>
    <cellStyle name="Normal 2 2 27 23" xfId="24099" xr:uid="{00000000-0005-0000-0000-0000145B0000}"/>
    <cellStyle name="Normal 2 2 27 24" xfId="24100" xr:uid="{00000000-0005-0000-0000-0000155B0000}"/>
    <cellStyle name="Normal 2 2 27 25" xfId="24101" xr:uid="{00000000-0005-0000-0000-0000165B0000}"/>
    <cellStyle name="Normal 2 2 27 26" xfId="24102" xr:uid="{00000000-0005-0000-0000-0000175B0000}"/>
    <cellStyle name="Normal 2 2 27 27" xfId="24103" xr:uid="{00000000-0005-0000-0000-0000185B0000}"/>
    <cellStyle name="Normal 2 2 27 28" xfId="24104" xr:uid="{00000000-0005-0000-0000-0000195B0000}"/>
    <cellStyle name="Normal 2 2 27 29" xfId="24105" xr:uid="{00000000-0005-0000-0000-00001A5B0000}"/>
    <cellStyle name="Normal 2 2 27 3" xfId="24106" xr:uid="{00000000-0005-0000-0000-00001B5B0000}"/>
    <cellStyle name="Normal 2 2 27 30" xfId="24107" xr:uid="{00000000-0005-0000-0000-00001C5B0000}"/>
    <cellStyle name="Normal 2 2 27 31" xfId="24108" xr:uid="{00000000-0005-0000-0000-00001D5B0000}"/>
    <cellStyle name="Normal 2 2 27 32" xfId="24109" xr:uid="{00000000-0005-0000-0000-00001E5B0000}"/>
    <cellStyle name="Normal 2 2 27 33" xfId="24110" xr:uid="{00000000-0005-0000-0000-00001F5B0000}"/>
    <cellStyle name="Normal 2 2 27 34" xfId="24111" xr:uid="{00000000-0005-0000-0000-0000205B0000}"/>
    <cellStyle name="Normal 2 2 27 35" xfId="24112" xr:uid="{00000000-0005-0000-0000-0000215B0000}"/>
    <cellStyle name="Normal 2 2 27 36" xfId="24113" xr:uid="{00000000-0005-0000-0000-0000225B0000}"/>
    <cellStyle name="Normal 2 2 27 37" xfId="24114" xr:uid="{00000000-0005-0000-0000-0000235B0000}"/>
    <cellStyle name="Normal 2 2 27 38" xfId="24115" xr:uid="{00000000-0005-0000-0000-0000245B0000}"/>
    <cellStyle name="Normal 2 2 27 4" xfId="24116" xr:uid="{00000000-0005-0000-0000-0000255B0000}"/>
    <cellStyle name="Normal 2 2 27 5" xfId="24117" xr:uid="{00000000-0005-0000-0000-0000265B0000}"/>
    <cellStyle name="Normal 2 2 27 6" xfId="24118" xr:uid="{00000000-0005-0000-0000-0000275B0000}"/>
    <cellStyle name="Normal 2 2 27 7" xfId="24119" xr:uid="{00000000-0005-0000-0000-0000285B0000}"/>
    <cellStyle name="Normal 2 2 27 8" xfId="24120" xr:uid="{00000000-0005-0000-0000-0000295B0000}"/>
    <cellStyle name="Normal 2 2 27 9" xfId="24121" xr:uid="{00000000-0005-0000-0000-00002A5B0000}"/>
    <cellStyle name="Normal 2 2 28" xfId="24122" xr:uid="{00000000-0005-0000-0000-00002B5B0000}"/>
    <cellStyle name="Normal 2 2 28 10" xfId="24123" xr:uid="{00000000-0005-0000-0000-00002C5B0000}"/>
    <cellStyle name="Normal 2 2 28 11" xfId="24124" xr:uid="{00000000-0005-0000-0000-00002D5B0000}"/>
    <cellStyle name="Normal 2 2 28 12" xfId="24125" xr:uid="{00000000-0005-0000-0000-00002E5B0000}"/>
    <cellStyle name="Normal 2 2 28 13" xfId="24126" xr:uid="{00000000-0005-0000-0000-00002F5B0000}"/>
    <cellStyle name="Normal 2 2 28 14" xfId="24127" xr:uid="{00000000-0005-0000-0000-0000305B0000}"/>
    <cellStyle name="Normal 2 2 28 15" xfId="24128" xr:uid="{00000000-0005-0000-0000-0000315B0000}"/>
    <cellStyle name="Normal 2 2 28 16" xfId="24129" xr:uid="{00000000-0005-0000-0000-0000325B0000}"/>
    <cellStyle name="Normal 2 2 28 17" xfId="24130" xr:uid="{00000000-0005-0000-0000-0000335B0000}"/>
    <cellStyle name="Normal 2 2 28 18" xfId="24131" xr:uid="{00000000-0005-0000-0000-0000345B0000}"/>
    <cellStyle name="Normal 2 2 28 19" xfId="24132" xr:uid="{00000000-0005-0000-0000-0000355B0000}"/>
    <cellStyle name="Normal 2 2 28 2" xfId="24133" xr:uid="{00000000-0005-0000-0000-0000365B0000}"/>
    <cellStyle name="Normal 2 2 28 20" xfId="24134" xr:uid="{00000000-0005-0000-0000-0000375B0000}"/>
    <cellStyle name="Normal 2 2 28 21" xfId="24135" xr:uid="{00000000-0005-0000-0000-0000385B0000}"/>
    <cellStyle name="Normal 2 2 28 22" xfId="24136" xr:uid="{00000000-0005-0000-0000-0000395B0000}"/>
    <cellStyle name="Normal 2 2 28 23" xfId="24137" xr:uid="{00000000-0005-0000-0000-00003A5B0000}"/>
    <cellStyle name="Normal 2 2 28 24" xfId="24138" xr:uid="{00000000-0005-0000-0000-00003B5B0000}"/>
    <cellStyle name="Normal 2 2 28 25" xfId="24139" xr:uid="{00000000-0005-0000-0000-00003C5B0000}"/>
    <cellStyle name="Normal 2 2 28 26" xfId="24140" xr:uid="{00000000-0005-0000-0000-00003D5B0000}"/>
    <cellStyle name="Normal 2 2 28 27" xfId="24141" xr:uid="{00000000-0005-0000-0000-00003E5B0000}"/>
    <cellStyle name="Normal 2 2 28 28" xfId="24142" xr:uid="{00000000-0005-0000-0000-00003F5B0000}"/>
    <cellStyle name="Normal 2 2 28 29" xfId="24143" xr:uid="{00000000-0005-0000-0000-0000405B0000}"/>
    <cellStyle name="Normal 2 2 28 3" xfId="24144" xr:uid="{00000000-0005-0000-0000-0000415B0000}"/>
    <cellStyle name="Normal 2 2 28 30" xfId="24145" xr:uid="{00000000-0005-0000-0000-0000425B0000}"/>
    <cellStyle name="Normal 2 2 28 31" xfId="24146" xr:uid="{00000000-0005-0000-0000-0000435B0000}"/>
    <cellStyle name="Normal 2 2 28 32" xfId="24147" xr:uid="{00000000-0005-0000-0000-0000445B0000}"/>
    <cellStyle name="Normal 2 2 28 33" xfId="24148" xr:uid="{00000000-0005-0000-0000-0000455B0000}"/>
    <cellStyle name="Normal 2 2 28 34" xfId="24149" xr:uid="{00000000-0005-0000-0000-0000465B0000}"/>
    <cellStyle name="Normal 2 2 28 35" xfId="24150" xr:uid="{00000000-0005-0000-0000-0000475B0000}"/>
    <cellStyle name="Normal 2 2 28 36" xfId="24151" xr:uid="{00000000-0005-0000-0000-0000485B0000}"/>
    <cellStyle name="Normal 2 2 28 37" xfId="24152" xr:uid="{00000000-0005-0000-0000-0000495B0000}"/>
    <cellStyle name="Normal 2 2 28 38" xfId="24153" xr:uid="{00000000-0005-0000-0000-00004A5B0000}"/>
    <cellStyle name="Normal 2 2 28 4" xfId="24154" xr:uid="{00000000-0005-0000-0000-00004B5B0000}"/>
    <cellStyle name="Normal 2 2 28 5" xfId="24155" xr:uid="{00000000-0005-0000-0000-00004C5B0000}"/>
    <cellStyle name="Normal 2 2 28 6" xfId="24156" xr:uid="{00000000-0005-0000-0000-00004D5B0000}"/>
    <cellStyle name="Normal 2 2 28 7" xfId="24157" xr:uid="{00000000-0005-0000-0000-00004E5B0000}"/>
    <cellStyle name="Normal 2 2 28 8" xfId="24158" xr:uid="{00000000-0005-0000-0000-00004F5B0000}"/>
    <cellStyle name="Normal 2 2 28 9" xfId="24159" xr:uid="{00000000-0005-0000-0000-0000505B0000}"/>
    <cellStyle name="Normal 2 2 29" xfId="24160" xr:uid="{00000000-0005-0000-0000-0000515B0000}"/>
    <cellStyle name="Normal 2 2 29 2" xfId="24161" xr:uid="{00000000-0005-0000-0000-0000525B0000}"/>
    <cellStyle name="Normal 2 2 3" xfId="1054" xr:uid="{00000000-0005-0000-0000-0000535B0000}"/>
    <cellStyle name="Normal 2 2 3 10" xfId="24162" xr:uid="{00000000-0005-0000-0000-0000545B0000}"/>
    <cellStyle name="Normal 2 2 3 11" xfId="24163" xr:uid="{00000000-0005-0000-0000-0000555B0000}"/>
    <cellStyle name="Normal 2 2 3 12" xfId="24164" xr:uid="{00000000-0005-0000-0000-0000565B0000}"/>
    <cellStyle name="Normal 2 2 3 13" xfId="24165" xr:uid="{00000000-0005-0000-0000-0000575B0000}"/>
    <cellStyle name="Normal 2 2 3 14" xfId="24166" xr:uid="{00000000-0005-0000-0000-0000585B0000}"/>
    <cellStyle name="Normal 2 2 3 2" xfId="24167" xr:uid="{00000000-0005-0000-0000-0000595B0000}"/>
    <cellStyle name="Normal 2 2 3 2 2" xfId="24168" xr:uid="{00000000-0005-0000-0000-00005A5B0000}"/>
    <cellStyle name="Normal 2 2 3 2 3" xfId="24169" xr:uid="{00000000-0005-0000-0000-00005B5B0000}"/>
    <cellStyle name="Normal 2 2 3 2 4" xfId="24170" xr:uid="{00000000-0005-0000-0000-00005C5B0000}"/>
    <cellStyle name="Normal 2 2 3 2 5" xfId="24171" xr:uid="{00000000-0005-0000-0000-00005D5B0000}"/>
    <cellStyle name="Normal 2 2 3 2 6" xfId="24172" xr:uid="{00000000-0005-0000-0000-00005E5B0000}"/>
    <cellStyle name="Normal 2 2 3 3" xfId="24173" xr:uid="{00000000-0005-0000-0000-00005F5B0000}"/>
    <cellStyle name="Normal 2 2 3 3 2" xfId="24174" xr:uid="{00000000-0005-0000-0000-0000605B0000}"/>
    <cellStyle name="Normal 2 2 3 3 3" xfId="24175" xr:uid="{00000000-0005-0000-0000-0000615B0000}"/>
    <cellStyle name="Normal 2 2 3 3 4" xfId="24176" xr:uid="{00000000-0005-0000-0000-0000625B0000}"/>
    <cellStyle name="Normal 2 2 3 3 5" xfId="24177" xr:uid="{00000000-0005-0000-0000-0000635B0000}"/>
    <cellStyle name="Normal 2 2 3 3 6" xfId="24178" xr:uid="{00000000-0005-0000-0000-0000645B0000}"/>
    <cellStyle name="Normal 2 2 3 4" xfId="24179" xr:uid="{00000000-0005-0000-0000-0000655B0000}"/>
    <cellStyle name="Normal 2 2 3 4 2" xfId="24180" xr:uid="{00000000-0005-0000-0000-0000665B0000}"/>
    <cellStyle name="Normal 2 2 3 4 3" xfId="24181" xr:uid="{00000000-0005-0000-0000-0000675B0000}"/>
    <cellStyle name="Normal 2 2 3 4 4" xfId="24182" xr:uid="{00000000-0005-0000-0000-0000685B0000}"/>
    <cellStyle name="Normal 2 2 3 4 5" xfId="24183" xr:uid="{00000000-0005-0000-0000-0000695B0000}"/>
    <cellStyle name="Normal 2 2 3 4 6" xfId="24184" xr:uid="{00000000-0005-0000-0000-00006A5B0000}"/>
    <cellStyle name="Normal 2 2 3 5" xfId="24185" xr:uid="{00000000-0005-0000-0000-00006B5B0000}"/>
    <cellStyle name="Normal 2 2 3 5 2" xfId="24186" xr:uid="{00000000-0005-0000-0000-00006C5B0000}"/>
    <cellStyle name="Normal 2 2 3 5 3" xfId="24187" xr:uid="{00000000-0005-0000-0000-00006D5B0000}"/>
    <cellStyle name="Normal 2 2 3 5 4" xfId="24188" xr:uid="{00000000-0005-0000-0000-00006E5B0000}"/>
    <cellStyle name="Normal 2 2 3 5 5" xfId="24189" xr:uid="{00000000-0005-0000-0000-00006F5B0000}"/>
    <cellStyle name="Normal 2 2 3 5 6" xfId="24190" xr:uid="{00000000-0005-0000-0000-0000705B0000}"/>
    <cellStyle name="Normal 2 2 3 6" xfId="24191" xr:uid="{00000000-0005-0000-0000-0000715B0000}"/>
    <cellStyle name="Normal 2 2 3 6 2" xfId="24192" xr:uid="{00000000-0005-0000-0000-0000725B0000}"/>
    <cellStyle name="Normal 2 2 3 6 3" xfId="24193" xr:uid="{00000000-0005-0000-0000-0000735B0000}"/>
    <cellStyle name="Normal 2 2 3 6 4" xfId="24194" xr:uid="{00000000-0005-0000-0000-0000745B0000}"/>
    <cellStyle name="Normal 2 2 3 6 5" xfId="24195" xr:uid="{00000000-0005-0000-0000-0000755B0000}"/>
    <cellStyle name="Normal 2 2 3 6 6" xfId="24196" xr:uid="{00000000-0005-0000-0000-0000765B0000}"/>
    <cellStyle name="Normal 2 2 3 7" xfId="24197" xr:uid="{00000000-0005-0000-0000-0000775B0000}"/>
    <cellStyle name="Normal 2 2 3 7 2" xfId="24198" xr:uid="{00000000-0005-0000-0000-0000785B0000}"/>
    <cellStyle name="Normal 2 2 3 7 3" xfId="24199" xr:uid="{00000000-0005-0000-0000-0000795B0000}"/>
    <cellStyle name="Normal 2 2 3 7 4" xfId="24200" xr:uid="{00000000-0005-0000-0000-00007A5B0000}"/>
    <cellStyle name="Normal 2 2 3 7 5" xfId="24201" xr:uid="{00000000-0005-0000-0000-00007B5B0000}"/>
    <cellStyle name="Normal 2 2 3 7 6" xfId="24202" xr:uid="{00000000-0005-0000-0000-00007C5B0000}"/>
    <cellStyle name="Normal 2 2 3 8" xfId="24203" xr:uid="{00000000-0005-0000-0000-00007D5B0000}"/>
    <cellStyle name="Normal 2 2 3 8 2" xfId="24204" xr:uid="{00000000-0005-0000-0000-00007E5B0000}"/>
    <cellStyle name="Normal 2 2 3 8 3" xfId="24205" xr:uid="{00000000-0005-0000-0000-00007F5B0000}"/>
    <cellStyle name="Normal 2 2 3 8 4" xfId="24206" xr:uid="{00000000-0005-0000-0000-0000805B0000}"/>
    <cellStyle name="Normal 2 2 3 8 5" xfId="24207" xr:uid="{00000000-0005-0000-0000-0000815B0000}"/>
    <cellStyle name="Normal 2 2 3 8 6" xfId="24208" xr:uid="{00000000-0005-0000-0000-0000825B0000}"/>
    <cellStyle name="Normal 2 2 3 9" xfId="24209" xr:uid="{00000000-0005-0000-0000-0000835B0000}"/>
    <cellStyle name="Normal 2 2 30" xfId="24210" xr:uid="{00000000-0005-0000-0000-0000845B0000}"/>
    <cellStyle name="Normal 2 2 30 2" xfId="24211" xr:uid="{00000000-0005-0000-0000-0000855B0000}"/>
    <cellStyle name="Normal 2 2 31" xfId="24212" xr:uid="{00000000-0005-0000-0000-0000865B0000}"/>
    <cellStyle name="Normal 2 2 31 2" xfId="24213" xr:uid="{00000000-0005-0000-0000-0000875B0000}"/>
    <cellStyle name="Normal 2 2 32" xfId="24214" xr:uid="{00000000-0005-0000-0000-0000885B0000}"/>
    <cellStyle name="Normal 2 2 32 2" xfId="24215" xr:uid="{00000000-0005-0000-0000-0000895B0000}"/>
    <cellStyle name="Normal 2 2 33" xfId="24216" xr:uid="{00000000-0005-0000-0000-00008A5B0000}"/>
    <cellStyle name="Normal 2 2 33 2" xfId="24217" xr:uid="{00000000-0005-0000-0000-00008B5B0000}"/>
    <cellStyle name="Normal 2 2 34" xfId="24218" xr:uid="{00000000-0005-0000-0000-00008C5B0000}"/>
    <cellStyle name="Normal 2 2 34 2" xfId="24219" xr:uid="{00000000-0005-0000-0000-00008D5B0000}"/>
    <cellStyle name="Normal 2 2 35" xfId="24220" xr:uid="{00000000-0005-0000-0000-00008E5B0000}"/>
    <cellStyle name="Normal 2 2 35 2" xfId="24221" xr:uid="{00000000-0005-0000-0000-00008F5B0000}"/>
    <cellStyle name="Normal 2 2 36" xfId="24222" xr:uid="{00000000-0005-0000-0000-0000905B0000}"/>
    <cellStyle name="Normal 2 2 36 2" xfId="24223" xr:uid="{00000000-0005-0000-0000-0000915B0000}"/>
    <cellStyle name="Normal 2 2 37" xfId="24224" xr:uid="{00000000-0005-0000-0000-0000925B0000}"/>
    <cellStyle name="Normal 2 2 37 10" xfId="24225" xr:uid="{00000000-0005-0000-0000-0000935B0000}"/>
    <cellStyle name="Normal 2 2 37 11" xfId="24226" xr:uid="{00000000-0005-0000-0000-0000945B0000}"/>
    <cellStyle name="Normal 2 2 37 12" xfId="24227" xr:uid="{00000000-0005-0000-0000-0000955B0000}"/>
    <cellStyle name="Normal 2 2 37 13" xfId="24228" xr:uid="{00000000-0005-0000-0000-0000965B0000}"/>
    <cellStyle name="Normal 2 2 37 14" xfId="24229" xr:uid="{00000000-0005-0000-0000-0000975B0000}"/>
    <cellStyle name="Normal 2 2 37 2" xfId="24230" xr:uid="{00000000-0005-0000-0000-0000985B0000}"/>
    <cellStyle name="Normal 2 2 37 2 2" xfId="24231" xr:uid="{00000000-0005-0000-0000-0000995B0000}"/>
    <cellStyle name="Normal 2 2 37 2 3" xfId="24232" xr:uid="{00000000-0005-0000-0000-00009A5B0000}"/>
    <cellStyle name="Normal 2 2 37 2 4" xfId="24233" xr:uid="{00000000-0005-0000-0000-00009B5B0000}"/>
    <cellStyle name="Normal 2 2 37 2 5" xfId="24234" xr:uid="{00000000-0005-0000-0000-00009C5B0000}"/>
    <cellStyle name="Normal 2 2 37 2 6" xfId="24235" xr:uid="{00000000-0005-0000-0000-00009D5B0000}"/>
    <cellStyle name="Normal 2 2 37 3" xfId="24236" xr:uid="{00000000-0005-0000-0000-00009E5B0000}"/>
    <cellStyle name="Normal 2 2 37 3 2" xfId="24237" xr:uid="{00000000-0005-0000-0000-00009F5B0000}"/>
    <cellStyle name="Normal 2 2 37 3 3" xfId="24238" xr:uid="{00000000-0005-0000-0000-0000A05B0000}"/>
    <cellStyle name="Normal 2 2 37 3 4" xfId="24239" xr:uid="{00000000-0005-0000-0000-0000A15B0000}"/>
    <cellStyle name="Normal 2 2 37 3 5" xfId="24240" xr:uid="{00000000-0005-0000-0000-0000A25B0000}"/>
    <cellStyle name="Normal 2 2 37 3 6" xfId="24241" xr:uid="{00000000-0005-0000-0000-0000A35B0000}"/>
    <cellStyle name="Normal 2 2 37 4" xfId="24242" xr:uid="{00000000-0005-0000-0000-0000A45B0000}"/>
    <cellStyle name="Normal 2 2 37 4 2" xfId="24243" xr:uid="{00000000-0005-0000-0000-0000A55B0000}"/>
    <cellStyle name="Normal 2 2 37 4 3" xfId="24244" xr:uid="{00000000-0005-0000-0000-0000A65B0000}"/>
    <cellStyle name="Normal 2 2 37 4 4" xfId="24245" xr:uid="{00000000-0005-0000-0000-0000A75B0000}"/>
    <cellStyle name="Normal 2 2 37 4 5" xfId="24246" xr:uid="{00000000-0005-0000-0000-0000A85B0000}"/>
    <cellStyle name="Normal 2 2 37 4 6" xfId="24247" xr:uid="{00000000-0005-0000-0000-0000A95B0000}"/>
    <cellStyle name="Normal 2 2 37 5" xfId="24248" xr:uid="{00000000-0005-0000-0000-0000AA5B0000}"/>
    <cellStyle name="Normal 2 2 37 5 2" xfId="24249" xr:uid="{00000000-0005-0000-0000-0000AB5B0000}"/>
    <cellStyle name="Normal 2 2 37 5 3" xfId="24250" xr:uid="{00000000-0005-0000-0000-0000AC5B0000}"/>
    <cellStyle name="Normal 2 2 37 5 4" xfId="24251" xr:uid="{00000000-0005-0000-0000-0000AD5B0000}"/>
    <cellStyle name="Normal 2 2 37 5 5" xfId="24252" xr:uid="{00000000-0005-0000-0000-0000AE5B0000}"/>
    <cellStyle name="Normal 2 2 37 5 6" xfId="24253" xr:uid="{00000000-0005-0000-0000-0000AF5B0000}"/>
    <cellStyle name="Normal 2 2 37 6" xfId="24254" xr:uid="{00000000-0005-0000-0000-0000B05B0000}"/>
    <cellStyle name="Normal 2 2 37 6 2" xfId="24255" xr:uid="{00000000-0005-0000-0000-0000B15B0000}"/>
    <cellStyle name="Normal 2 2 37 6 3" xfId="24256" xr:uid="{00000000-0005-0000-0000-0000B25B0000}"/>
    <cellStyle name="Normal 2 2 37 6 4" xfId="24257" xr:uid="{00000000-0005-0000-0000-0000B35B0000}"/>
    <cellStyle name="Normal 2 2 37 6 5" xfId="24258" xr:uid="{00000000-0005-0000-0000-0000B45B0000}"/>
    <cellStyle name="Normal 2 2 37 6 6" xfId="24259" xr:uid="{00000000-0005-0000-0000-0000B55B0000}"/>
    <cellStyle name="Normal 2 2 37 7" xfId="24260" xr:uid="{00000000-0005-0000-0000-0000B65B0000}"/>
    <cellStyle name="Normal 2 2 37 7 2" xfId="24261" xr:uid="{00000000-0005-0000-0000-0000B75B0000}"/>
    <cellStyle name="Normal 2 2 37 7 3" xfId="24262" xr:uid="{00000000-0005-0000-0000-0000B85B0000}"/>
    <cellStyle name="Normal 2 2 37 7 4" xfId="24263" xr:uid="{00000000-0005-0000-0000-0000B95B0000}"/>
    <cellStyle name="Normal 2 2 37 7 5" xfId="24264" xr:uid="{00000000-0005-0000-0000-0000BA5B0000}"/>
    <cellStyle name="Normal 2 2 37 7 6" xfId="24265" xr:uid="{00000000-0005-0000-0000-0000BB5B0000}"/>
    <cellStyle name="Normal 2 2 37 8" xfId="24266" xr:uid="{00000000-0005-0000-0000-0000BC5B0000}"/>
    <cellStyle name="Normal 2 2 37 8 2" xfId="24267" xr:uid="{00000000-0005-0000-0000-0000BD5B0000}"/>
    <cellStyle name="Normal 2 2 37 8 3" xfId="24268" xr:uid="{00000000-0005-0000-0000-0000BE5B0000}"/>
    <cellStyle name="Normal 2 2 37 8 4" xfId="24269" xr:uid="{00000000-0005-0000-0000-0000BF5B0000}"/>
    <cellStyle name="Normal 2 2 37 8 5" xfId="24270" xr:uid="{00000000-0005-0000-0000-0000C05B0000}"/>
    <cellStyle name="Normal 2 2 37 8 6" xfId="24271" xr:uid="{00000000-0005-0000-0000-0000C15B0000}"/>
    <cellStyle name="Normal 2 2 37 9" xfId="24272" xr:uid="{00000000-0005-0000-0000-0000C25B0000}"/>
    <cellStyle name="Normal 2 2 38" xfId="24273" xr:uid="{00000000-0005-0000-0000-0000C35B0000}"/>
    <cellStyle name="Normal 2 2 38 10" xfId="24274" xr:uid="{00000000-0005-0000-0000-0000C45B0000}"/>
    <cellStyle name="Normal 2 2 38 11" xfId="24275" xr:uid="{00000000-0005-0000-0000-0000C55B0000}"/>
    <cellStyle name="Normal 2 2 38 12" xfId="24276" xr:uid="{00000000-0005-0000-0000-0000C65B0000}"/>
    <cellStyle name="Normal 2 2 38 13" xfId="24277" xr:uid="{00000000-0005-0000-0000-0000C75B0000}"/>
    <cellStyle name="Normal 2 2 38 14" xfId="24278" xr:uid="{00000000-0005-0000-0000-0000C85B0000}"/>
    <cellStyle name="Normal 2 2 38 2" xfId="24279" xr:uid="{00000000-0005-0000-0000-0000C95B0000}"/>
    <cellStyle name="Normal 2 2 38 2 2" xfId="24280" xr:uid="{00000000-0005-0000-0000-0000CA5B0000}"/>
    <cellStyle name="Normal 2 2 38 2 3" xfId="24281" xr:uid="{00000000-0005-0000-0000-0000CB5B0000}"/>
    <cellStyle name="Normal 2 2 38 2 4" xfId="24282" xr:uid="{00000000-0005-0000-0000-0000CC5B0000}"/>
    <cellStyle name="Normal 2 2 38 2 5" xfId="24283" xr:uid="{00000000-0005-0000-0000-0000CD5B0000}"/>
    <cellStyle name="Normal 2 2 38 2 6" xfId="24284" xr:uid="{00000000-0005-0000-0000-0000CE5B0000}"/>
    <cellStyle name="Normal 2 2 38 3" xfId="24285" xr:uid="{00000000-0005-0000-0000-0000CF5B0000}"/>
    <cellStyle name="Normal 2 2 38 3 2" xfId="24286" xr:uid="{00000000-0005-0000-0000-0000D05B0000}"/>
    <cellStyle name="Normal 2 2 38 3 3" xfId="24287" xr:uid="{00000000-0005-0000-0000-0000D15B0000}"/>
    <cellStyle name="Normal 2 2 38 3 4" xfId="24288" xr:uid="{00000000-0005-0000-0000-0000D25B0000}"/>
    <cellStyle name="Normal 2 2 38 3 5" xfId="24289" xr:uid="{00000000-0005-0000-0000-0000D35B0000}"/>
    <cellStyle name="Normal 2 2 38 3 6" xfId="24290" xr:uid="{00000000-0005-0000-0000-0000D45B0000}"/>
    <cellStyle name="Normal 2 2 38 4" xfId="24291" xr:uid="{00000000-0005-0000-0000-0000D55B0000}"/>
    <cellStyle name="Normal 2 2 38 4 2" xfId="24292" xr:uid="{00000000-0005-0000-0000-0000D65B0000}"/>
    <cellStyle name="Normal 2 2 38 4 3" xfId="24293" xr:uid="{00000000-0005-0000-0000-0000D75B0000}"/>
    <cellStyle name="Normal 2 2 38 4 4" xfId="24294" xr:uid="{00000000-0005-0000-0000-0000D85B0000}"/>
    <cellStyle name="Normal 2 2 38 4 5" xfId="24295" xr:uid="{00000000-0005-0000-0000-0000D95B0000}"/>
    <cellStyle name="Normal 2 2 38 4 6" xfId="24296" xr:uid="{00000000-0005-0000-0000-0000DA5B0000}"/>
    <cellStyle name="Normal 2 2 38 5" xfId="24297" xr:uid="{00000000-0005-0000-0000-0000DB5B0000}"/>
    <cellStyle name="Normal 2 2 38 5 2" xfId="24298" xr:uid="{00000000-0005-0000-0000-0000DC5B0000}"/>
    <cellStyle name="Normal 2 2 38 5 3" xfId="24299" xr:uid="{00000000-0005-0000-0000-0000DD5B0000}"/>
    <cellStyle name="Normal 2 2 38 5 4" xfId="24300" xr:uid="{00000000-0005-0000-0000-0000DE5B0000}"/>
    <cellStyle name="Normal 2 2 38 5 5" xfId="24301" xr:uid="{00000000-0005-0000-0000-0000DF5B0000}"/>
    <cellStyle name="Normal 2 2 38 5 6" xfId="24302" xr:uid="{00000000-0005-0000-0000-0000E05B0000}"/>
    <cellStyle name="Normal 2 2 38 6" xfId="24303" xr:uid="{00000000-0005-0000-0000-0000E15B0000}"/>
    <cellStyle name="Normal 2 2 38 6 2" xfId="24304" xr:uid="{00000000-0005-0000-0000-0000E25B0000}"/>
    <cellStyle name="Normal 2 2 38 6 3" xfId="24305" xr:uid="{00000000-0005-0000-0000-0000E35B0000}"/>
    <cellStyle name="Normal 2 2 38 6 4" xfId="24306" xr:uid="{00000000-0005-0000-0000-0000E45B0000}"/>
    <cellStyle name="Normal 2 2 38 6 5" xfId="24307" xr:uid="{00000000-0005-0000-0000-0000E55B0000}"/>
    <cellStyle name="Normal 2 2 38 6 6" xfId="24308" xr:uid="{00000000-0005-0000-0000-0000E65B0000}"/>
    <cellStyle name="Normal 2 2 38 7" xfId="24309" xr:uid="{00000000-0005-0000-0000-0000E75B0000}"/>
    <cellStyle name="Normal 2 2 38 7 2" xfId="24310" xr:uid="{00000000-0005-0000-0000-0000E85B0000}"/>
    <cellStyle name="Normal 2 2 38 7 3" xfId="24311" xr:uid="{00000000-0005-0000-0000-0000E95B0000}"/>
    <cellStyle name="Normal 2 2 38 7 4" xfId="24312" xr:uid="{00000000-0005-0000-0000-0000EA5B0000}"/>
    <cellStyle name="Normal 2 2 38 7 5" xfId="24313" xr:uid="{00000000-0005-0000-0000-0000EB5B0000}"/>
    <cellStyle name="Normal 2 2 38 7 6" xfId="24314" xr:uid="{00000000-0005-0000-0000-0000EC5B0000}"/>
    <cellStyle name="Normal 2 2 38 8" xfId="24315" xr:uid="{00000000-0005-0000-0000-0000ED5B0000}"/>
    <cellStyle name="Normal 2 2 38 8 2" xfId="24316" xr:uid="{00000000-0005-0000-0000-0000EE5B0000}"/>
    <cellStyle name="Normal 2 2 38 8 3" xfId="24317" xr:uid="{00000000-0005-0000-0000-0000EF5B0000}"/>
    <cellStyle name="Normal 2 2 38 8 4" xfId="24318" xr:uid="{00000000-0005-0000-0000-0000F05B0000}"/>
    <cellStyle name="Normal 2 2 38 8 5" xfId="24319" xr:uid="{00000000-0005-0000-0000-0000F15B0000}"/>
    <cellStyle name="Normal 2 2 38 8 6" xfId="24320" xr:uid="{00000000-0005-0000-0000-0000F25B0000}"/>
    <cellStyle name="Normal 2 2 38 9" xfId="24321" xr:uid="{00000000-0005-0000-0000-0000F35B0000}"/>
    <cellStyle name="Normal 2 2 39" xfId="24322" xr:uid="{00000000-0005-0000-0000-0000F45B0000}"/>
    <cellStyle name="Normal 2 2 39 10" xfId="24323" xr:uid="{00000000-0005-0000-0000-0000F55B0000}"/>
    <cellStyle name="Normal 2 2 39 11" xfId="24324" xr:uid="{00000000-0005-0000-0000-0000F65B0000}"/>
    <cellStyle name="Normal 2 2 39 12" xfId="24325" xr:uid="{00000000-0005-0000-0000-0000F75B0000}"/>
    <cellStyle name="Normal 2 2 39 13" xfId="24326" xr:uid="{00000000-0005-0000-0000-0000F85B0000}"/>
    <cellStyle name="Normal 2 2 39 14" xfId="24327" xr:uid="{00000000-0005-0000-0000-0000F95B0000}"/>
    <cellStyle name="Normal 2 2 39 2" xfId="24328" xr:uid="{00000000-0005-0000-0000-0000FA5B0000}"/>
    <cellStyle name="Normal 2 2 39 2 2" xfId="24329" xr:uid="{00000000-0005-0000-0000-0000FB5B0000}"/>
    <cellStyle name="Normal 2 2 39 2 3" xfId="24330" xr:uid="{00000000-0005-0000-0000-0000FC5B0000}"/>
    <cellStyle name="Normal 2 2 39 2 4" xfId="24331" xr:uid="{00000000-0005-0000-0000-0000FD5B0000}"/>
    <cellStyle name="Normal 2 2 39 2 5" xfId="24332" xr:uid="{00000000-0005-0000-0000-0000FE5B0000}"/>
    <cellStyle name="Normal 2 2 39 2 6" xfId="24333" xr:uid="{00000000-0005-0000-0000-0000FF5B0000}"/>
    <cellStyle name="Normal 2 2 39 3" xfId="24334" xr:uid="{00000000-0005-0000-0000-0000005C0000}"/>
    <cellStyle name="Normal 2 2 39 3 2" xfId="24335" xr:uid="{00000000-0005-0000-0000-0000015C0000}"/>
    <cellStyle name="Normal 2 2 39 3 3" xfId="24336" xr:uid="{00000000-0005-0000-0000-0000025C0000}"/>
    <cellStyle name="Normal 2 2 39 3 4" xfId="24337" xr:uid="{00000000-0005-0000-0000-0000035C0000}"/>
    <cellStyle name="Normal 2 2 39 3 5" xfId="24338" xr:uid="{00000000-0005-0000-0000-0000045C0000}"/>
    <cellStyle name="Normal 2 2 39 3 6" xfId="24339" xr:uid="{00000000-0005-0000-0000-0000055C0000}"/>
    <cellStyle name="Normal 2 2 39 4" xfId="24340" xr:uid="{00000000-0005-0000-0000-0000065C0000}"/>
    <cellStyle name="Normal 2 2 39 4 2" xfId="24341" xr:uid="{00000000-0005-0000-0000-0000075C0000}"/>
    <cellStyle name="Normal 2 2 39 4 3" xfId="24342" xr:uid="{00000000-0005-0000-0000-0000085C0000}"/>
    <cellStyle name="Normal 2 2 39 4 4" xfId="24343" xr:uid="{00000000-0005-0000-0000-0000095C0000}"/>
    <cellStyle name="Normal 2 2 39 4 5" xfId="24344" xr:uid="{00000000-0005-0000-0000-00000A5C0000}"/>
    <cellStyle name="Normal 2 2 39 4 6" xfId="24345" xr:uid="{00000000-0005-0000-0000-00000B5C0000}"/>
    <cellStyle name="Normal 2 2 39 5" xfId="24346" xr:uid="{00000000-0005-0000-0000-00000C5C0000}"/>
    <cellStyle name="Normal 2 2 39 5 2" xfId="24347" xr:uid="{00000000-0005-0000-0000-00000D5C0000}"/>
    <cellStyle name="Normal 2 2 39 5 3" xfId="24348" xr:uid="{00000000-0005-0000-0000-00000E5C0000}"/>
    <cellStyle name="Normal 2 2 39 5 4" xfId="24349" xr:uid="{00000000-0005-0000-0000-00000F5C0000}"/>
    <cellStyle name="Normal 2 2 39 5 5" xfId="24350" xr:uid="{00000000-0005-0000-0000-0000105C0000}"/>
    <cellStyle name="Normal 2 2 39 5 6" xfId="24351" xr:uid="{00000000-0005-0000-0000-0000115C0000}"/>
    <cellStyle name="Normal 2 2 39 6" xfId="24352" xr:uid="{00000000-0005-0000-0000-0000125C0000}"/>
    <cellStyle name="Normal 2 2 39 6 2" xfId="24353" xr:uid="{00000000-0005-0000-0000-0000135C0000}"/>
    <cellStyle name="Normal 2 2 39 6 3" xfId="24354" xr:uid="{00000000-0005-0000-0000-0000145C0000}"/>
    <cellStyle name="Normal 2 2 39 6 4" xfId="24355" xr:uid="{00000000-0005-0000-0000-0000155C0000}"/>
    <cellStyle name="Normal 2 2 39 6 5" xfId="24356" xr:uid="{00000000-0005-0000-0000-0000165C0000}"/>
    <cellStyle name="Normal 2 2 39 6 6" xfId="24357" xr:uid="{00000000-0005-0000-0000-0000175C0000}"/>
    <cellStyle name="Normal 2 2 39 7" xfId="24358" xr:uid="{00000000-0005-0000-0000-0000185C0000}"/>
    <cellStyle name="Normal 2 2 39 7 2" xfId="24359" xr:uid="{00000000-0005-0000-0000-0000195C0000}"/>
    <cellStyle name="Normal 2 2 39 7 3" xfId="24360" xr:uid="{00000000-0005-0000-0000-00001A5C0000}"/>
    <cellStyle name="Normal 2 2 39 7 4" xfId="24361" xr:uid="{00000000-0005-0000-0000-00001B5C0000}"/>
    <cellStyle name="Normal 2 2 39 7 5" xfId="24362" xr:uid="{00000000-0005-0000-0000-00001C5C0000}"/>
    <cellStyle name="Normal 2 2 39 7 6" xfId="24363" xr:uid="{00000000-0005-0000-0000-00001D5C0000}"/>
    <cellStyle name="Normal 2 2 39 8" xfId="24364" xr:uid="{00000000-0005-0000-0000-00001E5C0000}"/>
    <cellStyle name="Normal 2 2 39 8 2" xfId="24365" xr:uid="{00000000-0005-0000-0000-00001F5C0000}"/>
    <cellStyle name="Normal 2 2 39 8 3" xfId="24366" xr:uid="{00000000-0005-0000-0000-0000205C0000}"/>
    <cellStyle name="Normal 2 2 39 8 4" xfId="24367" xr:uid="{00000000-0005-0000-0000-0000215C0000}"/>
    <cellStyle name="Normal 2 2 39 8 5" xfId="24368" xr:uid="{00000000-0005-0000-0000-0000225C0000}"/>
    <cellStyle name="Normal 2 2 39 8 6" xfId="24369" xr:uid="{00000000-0005-0000-0000-0000235C0000}"/>
    <cellStyle name="Normal 2 2 39 9" xfId="24370" xr:uid="{00000000-0005-0000-0000-0000245C0000}"/>
    <cellStyle name="Normal 2 2 4" xfId="1055" xr:uid="{00000000-0005-0000-0000-0000255C0000}"/>
    <cellStyle name="Normal 2 2 4 10" xfId="24371" xr:uid="{00000000-0005-0000-0000-0000265C0000}"/>
    <cellStyle name="Normal 2 2 4 11" xfId="24372" xr:uid="{00000000-0005-0000-0000-0000275C0000}"/>
    <cellStyle name="Normal 2 2 4 12" xfId="24373" xr:uid="{00000000-0005-0000-0000-0000285C0000}"/>
    <cellStyle name="Normal 2 2 4 13" xfId="24374" xr:uid="{00000000-0005-0000-0000-0000295C0000}"/>
    <cellStyle name="Normal 2 2 4 14" xfId="24375" xr:uid="{00000000-0005-0000-0000-00002A5C0000}"/>
    <cellStyle name="Normal 2 2 4 2" xfId="24376" xr:uid="{00000000-0005-0000-0000-00002B5C0000}"/>
    <cellStyle name="Normal 2 2 4 2 2" xfId="24377" xr:uid="{00000000-0005-0000-0000-00002C5C0000}"/>
    <cellStyle name="Normal 2 2 4 2 3" xfId="24378" xr:uid="{00000000-0005-0000-0000-00002D5C0000}"/>
    <cellStyle name="Normal 2 2 4 2 4" xfId="24379" xr:uid="{00000000-0005-0000-0000-00002E5C0000}"/>
    <cellStyle name="Normal 2 2 4 2 5" xfId="24380" xr:uid="{00000000-0005-0000-0000-00002F5C0000}"/>
    <cellStyle name="Normal 2 2 4 2 6" xfId="24381" xr:uid="{00000000-0005-0000-0000-0000305C0000}"/>
    <cellStyle name="Normal 2 2 4 3" xfId="24382" xr:uid="{00000000-0005-0000-0000-0000315C0000}"/>
    <cellStyle name="Normal 2 2 4 3 2" xfId="24383" xr:uid="{00000000-0005-0000-0000-0000325C0000}"/>
    <cellStyle name="Normal 2 2 4 3 3" xfId="24384" xr:uid="{00000000-0005-0000-0000-0000335C0000}"/>
    <cellStyle name="Normal 2 2 4 3 4" xfId="24385" xr:uid="{00000000-0005-0000-0000-0000345C0000}"/>
    <cellStyle name="Normal 2 2 4 3 5" xfId="24386" xr:uid="{00000000-0005-0000-0000-0000355C0000}"/>
    <cellStyle name="Normal 2 2 4 3 6" xfId="24387" xr:uid="{00000000-0005-0000-0000-0000365C0000}"/>
    <cellStyle name="Normal 2 2 4 4" xfId="24388" xr:uid="{00000000-0005-0000-0000-0000375C0000}"/>
    <cellStyle name="Normal 2 2 4 4 2" xfId="24389" xr:uid="{00000000-0005-0000-0000-0000385C0000}"/>
    <cellStyle name="Normal 2 2 4 4 3" xfId="24390" xr:uid="{00000000-0005-0000-0000-0000395C0000}"/>
    <cellStyle name="Normal 2 2 4 4 4" xfId="24391" xr:uid="{00000000-0005-0000-0000-00003A5C0000}"/>
    <cellStyle name="Normal 2 2 4 4 5" xfId="24392" xr:uid="{00000000-0005-0000-0000-00003B5C0000}"/>
    <cellStyle name="Normal 2 2 4 4 6" xfId="24393" xr:uid="{00000000-0005-0000-0000-00003C5C0000}"/>
    <cellStyle name="Normal 2 2 4 5" xfId="24394" xr:uid="{00000000-0005-0000-0000-00003D5C0000}"/>
    <cellStyle name="Normal 2 2 4 5 2" xfId="24395" xr:uid="{00000000-0005-0000-0000-00003E5C0000}"/>
    <cellStyle name="Normal 2 2 4 5 3" xfId="24396" xr:uid="{00000000-0005-0000-0000-00003F5C0000}"/>
    <cellStyle name="Normal 2 2 4 5 4" xfId="24397" xr:uid="{00000000-0005-0000-0000-0000405C0000}"/>
    <cellStyle name="Normal 2 2 4 5 5" xfId="24398" xr:uid="{00000000-0005-0000-0000-0000415C0000}"/>
    <cellStyle name="Normal 2 2 4 5 6" xfId="24399" xr:uid="{00000000-0005-0000-0000-0000425C0000}"/>
    <cellStyle name="Normal 2 2 4 6" xfId="24400" xr:uid="{00000000-0005-0000-0000-0000435C0000}"/>
    <cellStyle name="Normal 2 2 4 6 2" xfId="24401" xr:uid="{00000000-0005-0000-0000-0000445C0000}"/>
    <cellStyle name="Normal 2 2 4 6 3" xfId="24402" xr:uid="{00000000-0005-0000-0000-0000455C0000}"/>
    <cellStyle name="Normal 2 2 4 6 4" xfId="24403" xr:uid="{00000000-0005-0000-0000-0000465C0000}"/>
    <cellStyle name="Normal 2 2 4 6 5" xfId="24404" xr:uid="{00000000-0005-0000-0000-0000475C0000}"/>
    <cellStyle name="Normal 2 2 4 6 6" xfId="24405" xr:uid="{00000000-0005-0000-0000-0000485C0000}"/>
    <cellStyle name="Normal 2 2 4 7" xfId="24406" xr:uid="{00000000-0005-0000-0000-0000495C0000}"/>
    <cellStyle name="Normal 2 2 4 7 2" xfId="24407" xr:uid="{00000000-0005-0000-0000-00004A5C0000}"/>
    <cellStyle name="Normal 2 2 4 7 3" xfId="24408" xr:uid="{00000000-0005-0000-0000-00004B5C0000}"/>
    <cellStyle name="Normal 2 2 4 7 4" xfId="24409" xr:uid="{00000000-0005-0000-0000-00004C5C0000}"/>
    <cellStyle name="Normal 2 2 4 7 5" xfId="24410" xr:uid="{00000000-0005-0000-0000-00004D5C0000}"/>
    <cellStyle name="Normal 2 2 4 7 6" xfId="24411" xr:uid="{00000000-0005-0000-0000-00004E5C0000}"/>
    <cellStyle name="Normal 2 2 4 8" xfId="24412" xr:uid="{00000000-0005-0000-0000-00004F5C0000}"/>
    <cellStyle name="Normal 2 2 4 8 2" xfId="24413" xr:uid="{00000000-0005-0000-0000-0000505C0000}"/>
    <cellStyle name="Normal 2 2 4 8 3" xfId="24414" xr:uid="{00000000-0005-0000-0000-0000515C0000}"/>
    <cellStyle name="Normal 2 2 4 8 4" xfId="24415" xr:uid="{00000000-0005-0000-0000-0000525C0000}"/>
    <cellStyle name="Normal 2 2 4 8 5" xfId="24416" xr:uid="{00000000-0005-0000-0000-0000535C0000}"/>
    <cellStyle name="Normal 2 2 4 8 6" xfId="24417" xr:uid="{00000000-0005-0000-0000-0000545C0000}"/>
    <cellStyle name="Normal 2 2 4 9" xfId="24418" xr:uid="{00000000-0005-0000-0000-0000555C0000}"/>
    <cellStyle name="Normal 2 2 40" xfId="24419" xr:uid="{00000000-0005-0000-0000-0000565C0000}"/>
    <cellStyle name="Normal 2 2 40 10" xfId="24420" xr:uid="{00000000-0005-0000-0000-0000575C0000}"/>
    <cellStyle name="Normal 2 2 40 11" xfId="24421" xr:uid="{00000000-0005-0000-0000-0000585C0000}"/>
    <cellStyle name="Normal 2 2 40 12" xfId="24422" xr:uid="{00000000-0005-0000-0000-0000595C0000}"/>
    <cellStyle name="Normal 2 2 40 13" xfId="24423" xr:uid="{00000000-0005-0000-0000-00005A5C0000}"/>
    <cellStyle name="Normal 2 2 40 14" xfId="24424" xr:uid="{00000000-0005-0000-0000-00005B5C0000}"/>
    <cellStyle name="Normal 2 2 40 2" xfId="24425" xr:uid="{00000000-0005-0000-0000-00005C5C0000}"/>
    <cellStyle name="Normal 2 2 40 2 2" xfId="24426" xr:uid="{00000000-0005-0000-0000-00005D5C0000}"/>
    <cellStyle name="Normal 2 2 40 2 3" xfId="24427" xr:uid="{00000000-0005-0000-0000-00005E5C0000}"/>
    <cellStyle name="Normal 2 2 40 2 4" xfId="24428" xr:uid="{00000000-0005-0000-0000-00005F5C0000}"/>
    <cellStyle name="Normal 2 2 40 2 5" xfId="24429" xr:uid="{00000000-0005-0000-0000-0000605C0000}"/>
    <cellStyle name="Normal 2 2 40 2 6" xfId="24430" xr:uid="{00000000-0005-0000-0000-0000615C0000}"/>
    <cellStyle name="Normal 2 2 40 3" xfId="24431" xr:uid="{00000000-0005-0000-0000-0000625C0000}"/>
    <cellStyle name="Normal 2 2 40 3 2" xfId="24432" xr:uid="{00000000-0005-0000-0000-0000635C0000}"/>
    <cellStyle name="Normal 2 2 40 3 3" xfId="24433" xr:uid="{00000000-0005-0000-0000-0000645C0000}"/>
    <cellStyle name="Normal 2 2 40 3 4" xfId="24434" xr:uid="{00000000-0005-0000-0000-0000655C0000}"/>
    <cellStyle name="Normal 2 2 40 3 5" xfId="24435" xr:uid="{00000000-0005-0000-0000-0000665C0000}"/>
    <cellStyle name="Normal 2 2 40 3 6" xfId="24436" xr:uid="{00000000-0005-0000-0000-0000675C0000}"/>
    <cellStyle name="Normal 2 2 40 4" xfId="24437" xr:uid="{00000000-0005-0000-0000-0000685C0000}"/>
    <cellStyle name="Normal 2 2 40 4 2" xfId="24438" xr:uid="{00000000-0005-0000-0000-0000695C0000}"/>
    <cellStyle name="Normal 2 2 40 4 3" xfId="24439" xr:uid="{00000000-0005-0000-0000-00006A5C0000}"/>
    <cellStyle name="Normal 2 2 40 4 4" xfId="24440" xr:uid="{00000000-0005-0000-0000-00006B5C0000}"/>
    <cellStyle name="Normal 2 2 40 4 5" xfId="24441" xr:uid="{00000000-0005-0000-0000-00006C5C0000}"/>
    <cellStyle name="Normal 2 2 40 4 6" xfId="24442" xr:uid="{00000000-0005-0000-0000-00006D5C0000}"/>
    <cellStyle name="Normal 2 2 40 5" xfId="24443" xr:uid="{00000000-0005-0000-0000-00006E5C0000}"/>
    <cellStyle name="Normal 2 2 40 5 2" xfId="24444" xr:uid="{00000000-0005-0000-0000-00006F5C0000}"/>
    <cellStyle name="Normal 2 2 40 5 3" xfId="24445" xr:uid="{00000000-0005-0000-0000-0000705C0000}"/>
    <cellStyle name="Normal 2 2 40 5 4" xfId="24446" xr:uid="{00000000-0005-0000-0000-0000715C0000}"/>
    <cellStyle name="Normal 2 2 40 5 5" xfId="24447" xr:uid="{00000000-0005-0000-0000-0000725C0000}"/>
    <cellStyle name="Normal 2 2 40 5 6" xfId="24448" xr:uid="{00000000-0005-0000-0000-0000735C0000}"/>
    <cellStyle name="Normal 2 2 40 6" xfId="24449" xr:uid="{00000000-0005-0000-0000-0000745C0000}"/>
    <cellStyle name="Normal 2 2 40 6 2" xfId="24450" xr:uid="{00000000-0005-0000-0000-0000755C0000}"/>
    <cellStyle name="Normal 2 2 40 6 3" xfId="24451" xr:uid="{00000000-0005-0000-0000-0000765C0000}"/>
    <cellStyle name="Normal 2 2 40 6 4" xfId="24452" xr:uid="{00000000-0005-0000-0000-0000775C0000}"/>
    <cellStyle name="Normal 2 2 40 6 5" xfId="24453" xr:uid="{00000000-0005-0000-0000-0000785C0000}"/>
    <cellStyle name="Normal 2 2 40 6 6" xfId="24454" xr:uid="{00000000-0005-0000-0000-0000795C0000}"/>
    <cellStyle name="Normal 2 2 40 7" xfId="24455" xr:uid="{00000000-0005-0000-0000-00007A5C0000}"/>
    <cellStyle name="Normal 2 2 40 7 2" xfId="24456" xr:uid="{00000000-0005-0000-0000-00007B5C0000}"/>
    <cellStyle name="Normal 2 2 40 7 3" xfId="24457" xr:uid="{00000000-0005-0000-0000-00007C5C0000}"/>
    <cellStyle name="Normal 2 2 40 7 4" xfId="24458" xr:uid="{00000000-0005-0000-0000-00007D5C0000}"/>
    <cellStyle name="Normal 2 2 40 7 5" xfId="24459" xr:uid="{00000000-0005-0000-0000-00007E5C0000}"/>
    <cellStyle name="Normal 2 2 40 7 6" xfId="24460" xr:uid="{00000000-0005-0000-0000-00007F5C0000}"/>
    <cellStyle name="Normal 2 2 40 8" xfId="24461" xr:uid="{00000000-0005-0000-0000-0000805C0000}"/>
    <cellStyle name="Normal 2 2 40 8 2" xfId="24462" xr:uid="{00000000-0005-0000-0000-0000815C0000}"/>
    <cellStyle name="Normal 2 2 40 8 3" xfId="24463" xr:uid="{00000000-0005-0000-0000-0000825C0000}"/>
    <cellStyle name="Normal 2 2 40 8 4" xfId="24464" xr:uid="{00000000-0005-0000-0000-0000835C0000}"/>
    <cellStyle name="Normal 2 2 40 8 5" xfId="24465" xr:uid="{00000000-0005-0000-0000-0000845C0000}"/>
    <cellStyle name="Normal 2 2 40 8 6" xfId="24466" xr:uid="{00000000-0005-0000-0000-0000855C0000}"/>
    <cellStyle name="Normal 2 2 40 9" xfId="24467" xr:uid="{00000000-0005-0000-0000-0000865C0000}"/>
    <cellStyle name="Normal 2 2 41" xfId="24468" xr:uid="{00000000-0005-0000-0000-0000875C0000}"/>
    <cellStyle name="Normal 2 2 41 10" xfId="24469" xr:uid="{00000000-0005-0000-0000-0000885C0000}"/>
    <cellStyle name="Normal 2 2 41 11" xfId="24470" xr:uid="{00000000-0005-0000-0000-0000895C0000}"/>
    <cellStyle name="Normal 2 2 41 12" xfId="24471" xr:uid="{00000000-0005-0000-0000-00008A5C0000}"/>
    <cellStyle name="Normal 2 2 41 13" xfId="24472" xr:uid="{00000000-0005-0000-0000-00008B5C0000}"/>
    <cellStyle name="Normal 2 2 41 14" xfId="24473" xr:uid="{00000000-0005-0000-0000-00008C5C0000}"/>
    <cellStyle name="Normal 2 2 41 2" xfId="24474" xr:uid="{00000000-0005-0000-0000-00008D5C0000}"/>
    <cellStyle name="Normal 2 2 41 2 2" xfId="24475" xr:uid="{00000000-0005-0000-0000-00008E5C0000}"/>
    <cellStyle name="Normal 2 2 41 2 3" xfId="24476" xr:uid="{00000000-0005-0000-0000-00008F5C0000}"/>
    <cellStyle name="Normal 2 2 41 2 4" xfId="24477" xr:uid="{00000000-0005-0000-0000-0000905C0000}"/>
    <cellStyle name="Normal 2 2 41 2 5" xfId="24478" xr:uid="{00000000-0005-0000-0000-0000915C0000}"/>
    <cellStyle name="Normal 2 2 41 2 6" xfId="24479" xr:uid="{00000000-0005-0000-0000-0000925C0000}"/>
    <cellStyle name="Normal 2 2 41 3" xfId="24480" xr:uid="{00000000-0005-0000-0000-0000935C0000}"/>
    <cellStyle name="Normal 2 2 41 3 2" xfId="24481" xr:uid="{00000000-0005-0000-0000-0000945C0000}"/>
    <cellStyle name="Normal 2 2 41 3 3" xfId="24482" xr:uid="{00000000-0005-0000-0000-0000955C0000}"/>
    <cellStyle name="Normal 2 2 41 3 4" xfId="24483" xr:uid="{00000000-0005-0000-0000-0000965C0000}"/>
    <cellStyle name="Normal 2 2 41 3 5" xfId="24484" xr:uid="{00000000-0005-0000-0000-0000975C0000}"/>
    <cellStyle name="Normal 2 2 41 3 6" xfId="24485" xr:uid="{00000000-0005-0000-0000-0000985C0000}"/>
    <cellStyle name="Normal 2 2 41 4" xfId="24486" xr:uid="{00000000-0005-0000-0000-0000995C0000}"/>
    <cellStyle name="Normal 2 2 41 4 2" xfId="24487" xr:uid="{00000000-0005-0000-0000-00009A5C0000}"/>
    <cellStyle name="Normal 2 2 41 4 3" xfId="24488" xr:uid="{00000000-0005-0000-0000-00009B5C0000}"/>
    <cellStyle name="Normal 2 2 41 4 4" xfId="24489" xr:uid="{00000000-0005-0000-0000-00009C5C0000}"/>
    <cellStyle name="Normal 2 2 41 4 5" xfId="24490" xr:uid="{00000000-0005-0000-0000-00009D5C0000}"/>
    <cellStyle name="Normal 2 2 41 4 6" xfId="24491" xr:uid="{00000000-0005-0000-0000-00009E5C0000}"/>
    <cellStyle name="Normal 2 2 41 5" xfId="24492" xr:uid="{00000000-0005-0000-0000-00009F5C0000}"/>
    <cellStyle name="Normal 2 2 41 5 2" xfId="24493" xr:uid="{00000000-0005-0000-0000-0000A05C0000}"/>
    <cellStyle name="Normal 2 2 41 5 3" xfId="24494" xr:uid="{00000000-0005-0000-0000-0000A15C0000}"/>
    <cellStyle name="Normal 2 2 41 5 4" xfId="24495" xr:uid="{00000000-0005-0000-0000-0000A25C0000}"/>
    <cellStyle name="Normal 2 2 41 5 5" xfId="24496" xr:uid="{00000000-0005-0000-0000-0000A35C0000}"/>
    <cellStyle name="Normal 2 2 41 5 6" xfId="24497" xr:uid="{00000000-0005-0000-0000-0000A45C0000}"/>
    <cellStyle name="Normal 2 2 41 6" xfId="24498" xr:uid="{00000000-0005-0000-0000-0000A55C0000}"/>
    <cellStyle name="Normal 2 2 41 6 2" xfId="24499" xr:uid="{00000000-0005-0000-0000-0000A65C0000}"/>
    <cellStyle name="Normal 2 2 41 6 3" xfId="24500" xr:uid="{00000000-0005-0000-0000-0000A75C0000}"/>
    <cellStyle name="Normal 2 2 41 6 4" xfId="24501" xr:uid="{00000000-0005-0000-0000-0000A85C0000}"/>
    <cellStyle name="Normal 2 2 41 6 5" xfId="24502" xr:uid="{00000000-0005-0000-0000-0000A95C0000}"/>
    <cellStyle name="Normal 2 2 41 6 6" xfId="24503" xr:uid="{00000000-0005-0000-0000-0000AA5C0000}"/>
    <cellStyle name="Normal 2 2 41 7" xfId="24504" xr:uid="{00000000-0005-0000-0000-0000AB5C0000}"/>
    <cellStyle name="Normal 2 2 41 7 2" xfId="24505" xr:uid="{00000000-0005-0000-0000-0000AC5C0000}"/>
    <cellStyle name="Normal 2 2 41 7 3" xfId="24506" xr:uid="{00000000-0005-0000-0000-0000AD5C0000}"/>
    <cellStyle name="Normal 2 2 41 7 4" xfId="24507" xr:uid="{00000000-0005-0000-0000-0000AE5C0000}"/>
    <cellStyle name="Normal 2 2 41 7 5" xfId="24508" xr:uid="{00000000-0005-0000-0000-0000AF5C0000}"/>
    <cellStyle name="Normal 2 2 41 7 6" xfId="24509" xr:uid="{00000000-0005-0000-0000-0000B05C0000}"/>
    <cellStyle name="Normal 2 2 41 8" xfId="24510" xr:uid="{00000000-0005-0000-0000-0000B15C0000}"/>
    <cellStyle name="Normal 2 2 41 8 2" xfId="24511" xr:uid="{00000000-0005-0000-0000-0000B25C0000}"/>
    <cellStyle name="Normal 2 2 41 8 3" xfId="24512" xr:uid="{00000000-0005-0000-0000-0000B35C0000}"/>
    <cellStyle name="Normal 2 2 41 8 4" xfId="24513" xr:uid="{00000000-0005-0000-0000-0000B45C0000}"/>
    <cellStyle name="Normal 2 2 41 8 5" xfId="24514" xr:uid="{00000000-0005-0000-0000-0000B55C0000}"/>
    <cellStyle name="Normal 2 2 41 8 6" xfId="24515" xr:uid="{00000000-0005-0000-0000-0000B65C0000}"/>
    <cellStyle name="Normal 2 2 41 9" xfId="24516" xr:uid="{00000000-0005-0000-0000-0000B75C0000}"/>
    <cellStyle name="Normal 2 2 42" xfId="24517" xr:uid="{00000000-0005-0000-0000-0000B85C0000}"/>
    <cellStyle name="Normal 2 2 42 10" xfId="24518" xr:uid="{00000000-0005-0000-0000-0000B95C0000}"/>
    <cellStyle name="Normal 2 2 42 11" xfId="24519" xr:uid="{00000000-0005-0000-0000-0000BA5C0000}"/>
    <cellStyle name="Normal 2 2 42 12" xfId="24520" xr:uid="{00000000-0005-0000-0000-0000BB5C0000}"/>
    <cellStyle name="Normal 2 2 42 13" xfId="24521" xr:uid="{00000000-0005-0000-0000-0000BC5C0000}"/>
    <cellStyle name="Normal 2 2 42 14" xfId="24522" xr:uid="{00000000-0005-0000-0000-0000BD5C0000}"/>
    <cellStyle name="Normal 2 2 42 2" xfId="24523" xr:uid="{00000000-0005-0000-0000-0000BE5C0000}"/>
    <cellStyle name="Normal 2 2 42 2 2" xfId="24524" xr:uid="{00000000-0005-0000-0000-0000BF5C0000}"/>
    <cellStyle name="Normal 2 2 42 2 3" xfId="24525" xr:uid="{00000000-0005-0000-0000-0000C05C0000}"/>
    <cellStyle name="Normal 2 2 42 2 4" xfId="24526" xr:uid="{00000000-0005-0000-0000-0000C15C0000}"/>
    <cellStyle name="Normal 2 2 42 2 5" xfId="24527" xr:uid="{00000000-0005-0000-0000-0000C25C0000}"/>
    <cellStyle name="Normal 2 2 42 2 6" xfId="24528" xr:uid="{00000000-0005-0000-0000-0000C35C0000}"/>
    <cellStyle name="Normal 2 2 42 3" xfId="24529" xr:uid="{00000000-0005-0000-0000-0000C45C0000}"/>
    <cellStyle name="Normal 2 2 42 3 2" xfId="24530" xr:uid="{00000000-0005-0000-0000-0000C55C0000}"/>
    <cellStyle name="Normal 2 2 42 3 3" xfId="24531" xr:uid="{00000000-0005-0000-0000-0000C65C0000}"/>
    <cellStyle name="Normal 2 2 42 3 4" xfId="24532" xr:uid="{00000000-0005-0000-0000-0000C75C0000}"/>
    <cellStyle name="Normal 2 2 42 3 5" xfId="24533" xr:uid="{00000000-0005-0000-0000-0000C85C0000}"/>
    <cellStyle name="Normal 2 2 42 3 6" xfId="24534" xr:uid="{00000000-0005-0000-0000-0000C95C0000}"/>
    <cellStyle name="Normal 2 2 42 4" xfId="24535" xr:uid="{00000000-0005-0000-0000-0000CA5C0000}"/>
    <cellStyle name="Normal 2 2 42 4 2" xfId="24536" xr:uid="{00000000-0005-0000-0000-0000CB5C0000}"/>
    <cellStyle name="Normal 2 2 42 4 3" xfId="24537" xr:uid="{00000000-0005-0000-0000-0000CC5C0000}"/>
    <cellStyle name="Normal 2 2 42 4 4" xfId="24538" xr:uid="{00000000-0005-0000-0000-0000CD5C0000}"/>
    <cellStyle name="Normal 2 2 42 4 5" xfId="24539" xr:uid="{00000000-0005-0000-0000-0000CE5C0000}"/>
    <cellStyle name="Normal 2 2 42 4 6" xfId="24540" xr:uid="{00000000-0005-0000-0000-0000CF5C0000}"/>
    <cellStyle name="Normal 2 2 42 5" xfId="24541" xr:uid="{00000000-0005-0000-0000-0000D05C0000}"/>
    <cellStyle name="Normal 2 2 42 5 2" xfId="24542" xr:uid="{00000000-0005-0000-0000-0000D15C0000}"/>
    <cellStyle name="Normal 2 2 42 5 3" xfId="24543" xr:uid="{00000000-0005-0000-0000-0000D25C0000}"/>
    <cellStyle name="Normal 2 2 42 5 4" xfId="24544" xr:uid="{00000000-0005-0000-0000-0000D35C0000}"/>
    <cellStyle name="Normal 2 2 42 5 5" xfId="24545" xr:uid="{00000000-0005-0000-0000-0000D45C0000}"/>
    <cellStyle name="Normal 2 2 42 5 6" xfId="24546" xr:uid="{00000000-0005-0000-0000-0000D55C0000}"/>
    <cellStyle name="Normal 2 2 42 6" xfId="24547" xr:uid="{00000000-0005-0000-0000-0000D65C0000}"/>
    <cellStyle name="Normal 2 2 42 6 2" xfId="24548" xr:uid="{00000000-0005-0000-0000-0000D75C0000}"/>
    <cellStyle name="Normal 2 2 42 6 3" xfId="24549" xr:uid="{00000000-0005-0000-0000-0000D85C0000}"/>
    <cellStyle name="Normal 2 2 42 6 4" xfId="24550" xr:uid="{00000000-0005-0000-0000-0000D95C0000}"/>
    <cellStyle name="Normal 2 2 42 6 5" xfId="24551" xr:uid="{00000000-0005-0000-0000-0000DA5C0000}"/>
    <cellStyle name="Normal 2 2 42 6 6" xfId="24552" xr:uid="{00000000-0005-0000-0000-0000DB5C0000}"/>
    <cellStyle name="Normal 2 2 42 7" xfId="24553" xr:uid="{00000000-0005-0000-0000-0000DC5C0000}"/>
    <cellStyle name="Normal 2 2 42 7 2" xfId="24554" xr:uid="{00000000-0005-0000-0000-0000DD5C0000}"/>
    <cellStyle name="Normal 2 2 42 7 3" xfId="24555" xr:uid="{00000000-0005-0000-0000-0000DE5C0000}"/>
    <cellStyle name="Normal 2 2 42 7 4" xfId="24556" xr:uid="{00000000-0005-0000-0000-0000DF5C0000}"/>
    <cellStyle name="Normal 2 2 42 7 5" xfId="24557" xr:uid="{00000000-0005-0000-0000-0000E05C0000}"/>
    <cellStyle name="Normal 2 2 42 7 6" xfId="24558" xr:uid="{00000000-0005-0000-0000-0000E15C0000}"/>
    <cellStyle name="Normal 2 2 42 8" xfId="24559" xr:uid="{00000000-0005-0000-0000-0000E25C0000}"/>
    <cellStyle name="Normal 2 2 42 8 2" xfId="24560" xr:uid="{00000000-0005-0000-0000-0000E35C0000}"/>
    <cellStyle name="Normal 2 2 42 8 3" xfId="24561" xr:uid="{00000000-0005-0000-0000-0000E45C0000}"/>
    <cellStyle name="Normal 2 2 42 8 4" xfId="24562" xr:uid="{00000000-0005-0000-0000-0000E55C0000}"/>
    <cellStyle name="Normal 2 2 42 8 5" xfId="24563" xr:uid="{00000000-0005-0000-0000-0000E65C0000}"/>
    <cellStyle name="Normal 2 2 42 8 6" xfId="24564" xr:uid="{00000000-0005-0000-0000-0000E75C0000}"/>
    <cellStyle name="Normal 2 2 42 9" xfId="24565" xr:uid="{00000000-0005-0000-0000-0000E85C0000}"/>
    <cellStyle name="Normal 2 2 43" xfId="24566" xr:uid="{00000000-0005-0000-0000-0000E95C0000}"/>
    <cellStyle name="Normal 2 2 43 10" xfId="24567" xr:uid="{00000000-0005-0000-0000-0000EA5C0000}"/>
    <cellStyle name="Normal 2 2 43 11" xfId="24568" xr:uid="{00000000-0005-0000-0000-0000EB5C0000}"/>
    <cellStyle name="Normal 2 2 43 12" xfId="24569" xr:uid="{00000000-0005-0000-0000-0000EC5C0000}"/>
    <cellStyle name="Normal 2 2 43 13" xfId="24570" xr:uid="{00000000-0005-0000-0000-0000ED5C0000}"/>
    <cellStyle name="Normal 2 2 43 14" xfId="24571" xr:uid="{00000000-0005-0000-0000-0000EE5C0000}"/>
    <cellStyle name="Normal 2 2 43 2" xfId="24572" xr:uid="{00000000-0005-0000-0000-0000EF5C0000}"/>
    <cellStyle name="Normal 2 2 43 2 2" xfId="24573" xr:uid="{00000000-0005-0000-0000-0000F05C0000}"/>
    <cellStyle name="Normal 2 2 43 2 3" xfId="24574" xr:uid="{00000000-0005-0000-0000-0000F15C0000}"/>
    <cellStyle name="Normal 2 2 43 2 4" xfId="24575" xr:uid="{00000000-0005-0000-0000-0000F25C0000}"/>
    <cellStyle name="Normal 2 2 43 2 5" xfId="24576" xr:uid="{00000000-0005-0000-0000-0000F35C0000}"/>
    <cellStyle name="Normal 2 2 43 2 6" xfId="24577" xr:uid="{00000000-0005-0000-0000-0000F45C0000}"/>
    <cellStyle name="Normal 2 2 43 3" xfId="24578" xr:uid="{00000000-0005-0000-0000-0000F55C0000}"/>
    <cellStyle name="Normal 2 2 43 3 2" xfId="24579" xr:uid="{00000000-0005-0000-0000-0000F65C0000}"/>
    <cellStyle name="Normal 2 2 43 3 3" xfId="24580" xr:uid="{00000000-0005-0000-0000-0000F75C0000}"/>
    <cellStyle name="Normal 2 2 43 3 4" xfId="24581" xr:uid="{00000000-0005-0000-0000-0000F85C0000}"/>
    <cellStyle name="Normal 2 2 43 3 5" xfId="24582" xr:uid="{00000000-0005-0000-0000-0000F95C0000}"/>
    <cellStyle name="Normal 2 2 43 3 6" xfId="24583" xr:uid="{00000000-0005-0000-0000-0000FA5C0000}"/>
    <cellStyle name="Normal 2 2 43 4" xfId="24584" xr:uid="{00000000-0005-0000-0000-0000FB5C0000}"/>
    <cellStyle name="Normal 2 2 43 4 2" xfId="24585" xr:uid="{00000000-0005-0000-0000-0000FC5C0000}"/>
    <cellStyle name="Normal 2 2 43 4 3" xfId="24586" xr:uid="{00000000-0005-0000-0000-0000FD5C0000}"/>
    <cellStyle name="Normal 2 2 43 4 4" xfId="24587" xr:uid="{00000000-0005-0000-0000-0000FE5C0000}"/>
    <cellStyle name="Normal 2 2 43 4 5" xfId="24588" xr:uid="{00000000-0005-0000-0000-0000FF5C0000}"/>
    <cellStyle name="Normal 2 2 43 4 6" xfId="24589" xr:uid="{00000000-0005-0000-0000-0000005D0000}"/>
    <cellStyle name="Normal 2 2 43 5" xfId="24590" xr:uid="{00000000-0005-0000-0000-0000015D0000}"/>
    <cellStyle name="Normal 2 2 43 5 2" xfId="24591" xr:uid="{00000000-0005-0000-0000-0000025D0000}"/>
    <cellStyle name="Normal 2 2 43 5 3" xfId="24592" xr:uid="{00000000-0005-0000-0000-0000035D0000}"/>
    <cellStyle name="Normal 2 2 43 5 4" xfId="24593" xr:uid="{00000000-0005-0000-0000-0000045D0000}"/>
    <cellStyle name="Normal 2 2 43 5 5" xfId="24594" xr:uid="{00000000-0005-0000-0000-0000055D0000}"/>
    <cellStyle name="Normal 2 2 43 5 6" xfId="24595" xr:uid="{00000000-0005-0000-0000-0000065D0000}"/>
    <cellStyle name="Normal 2 2 43 6" xfId="24596" xr:uid="{00000000-0005-0000-0000-0000075D0000}"/>
    <cellStyle name="Normal 2 2 43 6 2" xfId="24597" xr:uid="{00000000-0005-0000-0000-0000085D0000}"/>
    <cellStyle name="Normal 2 2 43 6 3" xfId="24598" xr:uid="{00000000-0005-0000-0000-0000095D0000}"/>
    <cellStyle name="Normal 2 2 43 6 4" xfId="24599" xr:uid="{00000000-0005-0000-0000-00000A5D0000}"/>
    <cellStyle name="Normal 2 2 43 6 5" xfId="24600" xr:uid="{00000000-0005-0000-0000-00000B5D0000}"/>
    <cellStyle name="Normal 2 2 43 6 6" xfId="24601" xr:uid="{00000000-0005-0000-0000-00000C5D0000}"/>
    <cellStyle name="Normal 2 2 43 7" xfId="24602" xr:uid="{00000000-0005-0000-0000-00000D5D0000}"/>
    <cellStyle name="Normal 2 2 43 7 2" xfId="24603" xr:uid="{00000000-0005-0000-0000-00000E5D0000}"/>
    <cellStyle name="Normal 2 2 43 7 3" xfId="24604" xr:uid="{00000000-0005-0000-0000-00000F5D0000}"/>
    <cellStyle name="Normal 2 2 43 7 4" xfId="24605" xr:uid="{00000000-0005-0000-0000-0000105D0000}"/>
    <cellStyle name="Normal 2 2 43 7 5" xfId="24606" xr:uid="{00000000-0005-0000-0000-0000115D0000}"/>
    <cellStyle name="Normal 2 2 43 7 6" xfId="24607" xr:uid="{00000000-0005-0000-0000-0000125D0000}"/>
    <cellStyle name="Normal 2 2 43 8" xfId="24608" xr:uid="{00000000-0005-0000-0000-0000135D0000}"/>
    <cellStyle name="Normal 2 2 43 8 2" xfId="24609" xr:uid="{00000000-0005-0000-0000-0000145D0000}"/>
    <cellStyle name="Normal 2 2 43 8 3" xfId="24610" xr:uid="{00000000-0005-0000-0000-0000155D0000}"/>
    <cellStyle name="Normal 2 2 43 8 4" xfId="24611" xr:uid="{00000000-0005-0000-0000-0000165D0000}"/>
    <cellStyle name="Normal 2 2 43 8 5" xfId="24612" xr:uid="{00000000-0005-0000-0000-0000175D0000}"/>
    <cellStyle name="Normal 2 2 43 8 6" xfId="24613" xr:uid="{00000000-0005-0000-0000-0000185D0000}"/>
    <cellStyle name="Normal 2 2 43 9" xfId="24614" xr:uid="{00000000-0005-0000-0000-0000195D0000}"/>
    <cellStyle name="Normal 2 2 44" xfId="24615" xr:uid="{00000000-0005-0000-0000-00001A5D0000}"/>
    <cellStyle name="Normal 2 2 44 10" xfId="24616" xr:uid="{00000000-0005-0000-0000-00001B5D0000}"/>
    <cellStyle name="Normal 2 2 44 11" xfId="24617" xr:uid="{00000000-0005-0000-0000-00001C5D0000}"/>
    <cellStyle name="Normal 2 2 44 12" xfId="24618" xr:uid="{00000000-0005-0000-0000-00001D5D0000}"/>
    <cellStyle name="Normal 2 2 44 13" xfId="24619" xr:uid="{00000000-0005-0000-0000-00001E5D0000}"/>
    <cellStyle name="Normal 2 2 44 14" xfId="24620" xr:uid="{00000000-0005-0000-0000-00001F5D0000}"/>
    <cellStyle name="Normal 2 2 44 2" xfId="24621" xr:uid="{00000000-0005-0000-0000-0000205D0000}"/>
    <cellStyle name="Normal 2 2 44 2 2" xfId="24622" xr:uid="{00000000-0005-0000-0000-0000215D0000}"/>
    <cellStyle name="Normal 2 2 44 2 3" xfId="24623" xr:uid="{00000000-0005-0000-0000-0000225D0000}"/>
    <cellStyle name="Normal 2 2 44 2 4" xfId="24624" xr:uid="{00000000-0005-0000-0000-0000235D0000}"/>
    <cellStyle name="Normal 2 2 44 2 5" xfId="24625" xr:uid="{00000000-0005-0000-0000-0000245D0000}"/>
    <cellStyle name="Normal 2 2 44 2 6" xfId="24626" xr:uid="{00000000-0005-0000-0000-0000255D0000}"/>
    <cellStyle name="Normal 2 2 44 3" xfId="24627" xr:uid="{00000000-0005-0000-0000-0000265D0000}"/>
    <cellStyle name="Normal 2 2 44 3 2" xfId="24628" xr:uid="{00000000-0005-0000-0000-0000275D0000}"/>
    <cellStyle name="Normal 2 2 44 3 3" xfId="24629" xr:uid="{00000000-0005-0000-0000-0000285D0000}"/>
    <cellStyle name="Normal 2 2 44 3 4" xfId="24630" xr:uid="{00000000-0005-0000-0000-0000295D0000}"/>
    <cellStyle name="Normal 2 2 44 3 5" xfId="24631" xr:uid="{00000000-0005-0000-0000-00002A5D0000}"/>
    <cellStyle name="Normal 2 2 44 3 6" xfId="24632" xr:uid="{00000000-0005-0000-0000-00002B5D0000}"/>
    <cellStyle name="Normal 2 2 44 4" xfId="24633" xr:uid="{00000000-0005-0000-0000-00002C5D0000}"/>
    <cellStyle name="Normal 2 2 44 4 2" xfId="24634" xr:uid="{00000000-0005-0000-0000-00002D5D0000}"/>
    <cellStyle name="Normal 2 2 44 4 3" xfId="24635" xr:uid="{00000000-0005-0000-0000-00002E5D0000}"/>
    <cellStyle name="Normal 2 2 44 4 4" xfId="24636" xr:uid="{00000000-0005-0000-0000-00002F5D0000}"/>
    <cellStyle name="Normal 2 2 44 4 5" xfId="24637" xr:uid="{00000000-0005-0000-0000-0000305D0000}"/>
    <cellStyle name="Normal 2 2 44 4 6" xfId="24638" xr:uid="{00000000-0005-0000-0000-0000315D0000}"/>
    <cellStyle name="Normal 2 2 44 5" xfId="24639" xr:uid="{00000000-0005-0000-0000-0000325D0000}"/>
    <cellStyle name="Normal 2 2 44 5 2" xfId="24640" xr:uid="{00000000-0005-0000-0000-0000335D0000}"/>
    <cellStyle name="Normal 2 2 44 5 3" xfId="24641" xr:uid="{00000000-0005-0000-0000-0000345D0000}"/>
    <cellStyle name="Normal 2 2 44 5 4" xfId="24642" xr:uid="{00000000-0005-0000-0000-0000355D0000}"/>
    <cellStyle name="Normal 2 2 44 5 5" xfId="24643" xr:uid="{00000000-0005-0000-0000-0000365D0000}"/>
    <cellStyle name="Normal 2 2 44 5 6" xfId="24644" xr:uid="{00000000-0005-0000-0000-0000375D0000}"/>
    <cellStyle name="Normal 2 2 44 6" xfId="24645" xr:uid="{00000000-0005-0000-0000-0000385D0000}"/>
    <cellStyle name="Normal 2 2 44 6 2" xfId="24646" xr:uid="{00000000-0005-0000-0000-0000395D0000}"/>
    <cellStyle name="Normal 2 2 44 6 3" xfId="24647" xr:uid="{00000000-0005-0000-0000-00003A5D0000}"/>
    <cellStyle name="Normal 2 2 44 6 4" xfId="24648" xr:uid="{00000000-0005-0000-0000-00003B5D0000}"/>
    <cellStyle name="Normal 2 2 44 6 5" xfId="24649" xr:uid="{00000000-0005-0000-0000-00003C5D0000}"/>
    <cellStyle name="Normal 2 2 44 6 6" xfId="24650" xr:uid="{00000000-0005-0000-0000-00003D5D0000}"/>
    <cellStyle name="Normal 2 2 44 7" xfId="24651" xr:uid="{00000000-0005-0000-0000-00003E5D0000}"/>
    <cellStyle name="Normal 2 2 44 7 2" xfId="24652" xr:uid="{00000000-0005-0000-0000-00003F5D0000}"/>
    <cellStyle name="Normal 2 2 44 7 3" xfId="24653" xr:uid="{00000000-0005-0000-0000-0000405D0000}"/>
    <cellStyle name="Normal 2 2 44 7 4" xfId="24654" xr:uid="{00000000-0005-0000-0000-0000415D0000}"/>
    <cellStyle name="Normal 2 2 44 7 5" xfId="24655" xr:uid="{00000000-0005-0000-0000-0000425D0000}"/>
    <cellStyle name="Normal 2 2 44 7 6" xfId="24656" xr:uid="{00000000-0005-0000-0000-0000435D0000}"/>
    <cellStyle name="Normal 2 2 44 8" xfId="24657" xr:uid="{00000000-0005-0000-0000-0000445D0000}"/>
    <cellStyle name="Normal 2 2 44 8 2" xfId="24658" xr:uid="{00000000-0005-0000-0000-0000455D0000}"/>
    <cellStyle name="Normal 2 2 44 8 3" xfId="24659" xr:uid="{00000000-0005-0000-0000-0000465D0000}"/>
    <cellStyle name="Normal 2 2 44 8 4" xfId="24660" xr:uid="{00000000-0005-0000-0000-0000475D0000}"/>
    <cellStyle name="Normal 2 2 44 8 5" xfId="24661" xr:uid="{00000000-0005-0000-0000-0000485D0000}"/>
    <cellStyle name="Normal 2 2 44 8 6" xfId="24662" xr:uid="{00000000-0005-0000-0000-0000495D0000}"/>
    <cellStyle name="Normal 2 2 44 9" xfId="24663" xr:uid="{00000000-0005-0000-0000-00004A5D0000}"/>
    <cellStyle name="Normal 2 2 45" xfId="24664" xr:uid="{00000000-0005-0000-0000-00004B5D0000}"/>
    <cellStyle name="Normal 2 2 45 10" xfId="24665" xr:uid="{00000000-0005-0000-0000-00004C5D0000}"/>
    <cellStyle name="Normal 2 2 45 11" xfId="24666" xr:uid="{00000000-0005-0000-0000-00004D5D0000}"/>
    <cellStyle name="Normal 2 2 45 12" xfId="24667" xr:uid="{00000000-0005-0000-0000-00004E5D0000}"/>
    <cellStyle name="Normal 2 2 45 13" xfId="24668" xr:uid="{00000000-0005-0000-0000-00004F5D0000}"/>
    <cellStyle name="Normal 2 2 45 14" xfId="24669" xr:uid="{00000000-0005-0000-0000-0000505D0000}"/>
    <cellStyle name="Normal 2 2 45 2" xfId="24670" xr:uid="{00000000-0005-0000-0000-0000515D0000}"/>
    <cellStyle name="Normal 2 2 45 2 2" xfId="24671" xr:uid="{00000000-0005-0000-0000-0000525D0000}"/>
    <cellStyle name="Normal 2 2 45 2 3" xfId="24672" xr:uid="{00000000-0005-0000-0000-0000535D0000}"/>
    <cellStyle name="Normal 2 2 45 2 4" xfId="24673" xr:uid="{00000000-0005-0000-0000-0000545D0000}"/>
    <cellStyle name="Normal 2 2 45 2 5" xfId="24674" xr:uid="{00000000-0005-0000-0000-0000555D0000}"/>
    <cellStyle name="Normal 2 2 45 2 6" xfId="24675" xr:uid="{00000000-0005-0000-0000-0000565D0000}"/>
    <cellStyle name="Normal 2 2 45 3" xfId="24676" xr:uid="{00000000-0005-0000-0000-0000575D0000}"/>
    <cellStyle name="Normal 2 2 45 3 2" xfId="24677" xr:uid="{00000000-0005-0000-0000-0000585D0000}"/>
    <cellStyle name="Normal 2 2 45 3 3" xfId="24678" xr:uid="{00000000-0005-0000-0000-0000595D0000}"/>
    <cellStyle name="Normal 2 2 45 3 4" xfId="24679" xr:uid="{00000000-0005-0000-0000-00005A5D0000}"/>
    <cellStyle name="Normal 2 2 45 3 5" xfId="24680" xr:uid="{00000000-0005-0000-0000-00005B5D0000}"/>
    <cellStyle name="Normal 2 2 45 3 6" xfId="24681" xr:uid="{00000000-0005-0000-0000-00005C5D0000}"/>
    <cellStyle name="Normal 2 2 45 4" xfId="24682" xr:uid="{00000000-0005-0000-0000-00005D5D0000}"/>
    <cellStyle name="Normal 2 2 45 4 2" xfId="24683" xr:uid="{00000000-0005-0000-0000-00005E5D0000}"/>
    <cellStyle name="Normal 2 2 45 4 3" xfId="24684" xr:uid="{00000000-0005-0000-0000-00005F5D0000}"/>
    <cellStyle name="Normal 2 2 45 4 4" xfId="24685" xr:uid="{00000000-0005-0000-0000-0000605D0000}"/>
    <cellStyle name="Normal 2 2 45 4 5" xfId="24686" xr:uid="{00000000-0005-0000-0000-0000615D0000}"/>
    <cellStyle name="Normal 2 2 45 4 6" xfId="24687" xr:uid="{00000000-0005-0000-0000-0000625D0000}"/>
    <cellStyle name="Normal 2 2 45 5" xfId="24688" xr:uid="{00000000-0005-0000-0000-0000635D0000}"/>
    <cellStyle name="Normal 2 2 45 5 2" xfId="24689" xr:uid="{00000000-0005-0000-0000-0000645D0000}"/>
    <cellStyle name="Normal 2 2 45 5 3" xfId="24690" xr:uid="{00000000-0005-0000-0000-0000655D0000}"/>
    <cellStyle name="Normal 2 2 45 5 4" xfId="24691" xr:uid="{00000000-0005-0000-0000-0000665D0000}"/>
    <cellStyle name="Normal 2 2 45 5 5" xfId="24692" xr:uid="{00000000-0005-0000-0000-0000675D0000}"/>
    <cellStyle name="Normal 2 2 45 5 6" xfId="24693" xr:uid="{00000000-0005-0000-0000-0000685D0000}"/>
    <cellStyle name="Normal 2 2 45 6" xfId="24694" xr:uid="{00000000-0005-0000-0000-0000695D0000}"/>
    <cellStyle name="Normal 2 2 45 6 2" xfId="24695" xr:uid="{00000000-0005-0000-0000-00006A5D0000}"/>
    <cellStyle name="Normal 2 2 45 6 3" xfId="24696" xr:uid="{00000000-0005-0000-0000-00006B5D0000}"/>
    <cellStyle name="Normal 2 2 45 6 4" xfId="24697" xr:uid="{00000000-0005-0000-0000-00006C5D0000}"/>
    <cellStyle name="Normal 2 2 45 6 5" xfId="24698" xr:uid="{00000000-0005-0000-0000-00006D5D0000}"/>
    <cellStyle name="Normal 2 2 45 6 6" xfId="24699" xr:uid="{00000000-0005-0000-0000-00006E5D0000}"/>
    <cellStyle name="Normal 2 2 45 7" xfId="24700" xr:uid="{00000000-0005-0000-0000-00006F5D0000}"/>
    <cellStyle name="Normal 2 2 45 7 2" xfId="24701" xr:uid="{00000000-0005-0000-0000-0000705D0000}"/>
    <cellStyle name="Normal 2 2 45 7 3" xfId="24702" xr:uid="{00000000-0005-0000-0000-0000715D0000}"/>
    <cellStyle name="Normal 2 2 45 7 4" xfId="24703" xr:uid="{00000000-0005-0000-0000-0000725D0000}"/>
    <cellStyle name="Normal 2 2 45 7 5" xfId="24704" xr:uid="{00000000-0005-0000-0000-0000735D0000}"/>
    <cellStyle name="Normal 2 2 45 7 6" xfId="24705" xr:uid="{00000000-0005-0000-0000-0000745D0000}"/>
    <cellStyle name="Normal 2 2 45 8" xfId="24706" xr:uid="{00000000-0005-0000-0000-0000755D0000}"/>
    <cellStyle name="Normal 2 2 45 8 2" xfId="24707" xr:uid="{00000000-0005-0000-0000-0000765D0000}"/>
    <cellStyle name="Normal 2 2 45 8 3" xfId="24708" xr:uid="{00000000-0005-0000-0000-0000775D0000}"/>
    <cellStyle name="Normal 2 2 45 8 4" xfId="24709" xr:uid="{00000000-0005-0000-0000-0000785D0000}"/>
    <cellStyle name="Normal 2 2 45 8 5" xfId="24710" xr:uid="{00000000-0005-0000-0000-0000795D0000}"/>
    <cellStyle name="Normal 2 2 45 8 6" xfId="24711" xr:uid="{00000000-0005-0000-0000-00007A5D0000}"/>
    <cellStyle name="Normal 2 2 45 9" xfId="24712" xr:uid="{00000000-0005-0000-0000-00007B5D0000}"/>
    <cellStyle name="Normal 2 2 46" xfId="24713" xr:uid="{00000000-0005-0000-0000-00007C5D0000}"/>
    <cellStyle name="Normal 2 2 46 10" xfId="24714" xr:uid="{00000000-0005-0000-0000-00007D5D0000}"/>
    <cellStyle name="Normal 2 2 46 11" xfId="24715" xr:uid="{00000000-0005-0000-0000-00007E5D0000}"/>
    <cellStyle name="Normal 2 2 46 12" xfId="24716" xr:uid="{00000000-0005-0000-0000-00007F5D0000}"/>
    <cellStyle name="Normal 2 2 46 2" xfId="24717" xr:uid="{00000000-0005-0000-0000-0000805D0000}"/>
    <cellStyle name="Normal 2 2 46 2 10" xfId="24718" xr:uid="{00000000-0005-0000-0000-0000815D0000}"/>
    <cellStyle name="Normal 2 2 46 2 11" xfId="24719" xr:uid="{00000000-0005-0000-0000-0000825D0000}"/>
    <cellStyle name="Normal 2 2 46 2 12" xfId="24720" xr:uid="{00000000-0005-0000-0000-0000835D0000}"/>
    <cellStyle name="Normal 2 2 46 2 13" xfId="24721" xr:uid="{00000000-0005-0000-0000-0000845D0000}"/>
    <cellStyle name="Normal 2 2 46 2 14" xfId="24722" xr:uid="{00000000-0005-0000-0000-0000855D0000}"/>
    <cellStyle name="Normal 2 2 46 2 15" xfId="24723" xr:uid="{00000000-0005-0000-0000-0000865D0000}"/>
    <cellStyle name="Normal 2 2 46 2 16" xfId="24724" xr:uid="{00000000-0005-0000-0000-0000875D0000}"/>
    <cellStyle name="Normal 2 2 46 2 17" xfId="24725" xr:uid="{00000000-0005-0000-0000-0000885D0000}"/>
    <cellStyle name="Normal 2 2 46 2 18" xfId="24726" xr:uid="{00000000-0005-0000-0000-0000895D0000}"/>
    <cellStyle name="Normal 2 2 46 2 19" xfId="24727" xr:uid="{00000000-0005-0000-0000-00008A5D0000}"/>
    <cellStyle name="Normal 2 2 46 2 2" xfId="24728" xr:uid="{00000000-0005-0000-0000-00008B5D0000}"/>
    <cellStyle name="Normal 2 2 46 2 20" xfId="24729" xr:uid="{00000000-0005-0000-0000-00008C5D0000}"/>
    <cellStyle name="Normal 2 2 46 2 21" xfId="24730" xr:uid="{00000000-0005-0000-0000-00008D5D0000}"/>
    <cellStyle name="Normal 2 2 46 2 22" xfId="24731" xr:uid="{00000000-0005-0000-0000-00008E5D0000}"/>
    <cellStyle name="Normal 2 2 46 2 23" xfId="24732" xr:uid="{00000000-0005-0000-0000-00008F5D0000}"/>
    <cellStyle name="Normal 2 2 46 2 24" xfId="24733" xr:uid="{00000000-0005-0000-0000-0000905D0000}"/>
    <cellStyle name="Normal 2 2 46 2 25" xfId="24734" xr:uid="{00000000-0005-0000-0000-0000915D0000}"/>
    <cellStyle name="Normal 2 2 46 2 26" xfId="24735" xr:uid="{00000000-0005-0000-0000-0000925D0000}"/>
    <cellStyle name="Normal 2 2 46 2 27" xfId="24736" xr:uid="{00000000-0005-0000-0000-0000935D0000}"/>
    <cellStyle name="Normal 2 2 46 2 28" xfId="24737" xr:uid="{00000000-0005-0000-0000-0000945D0000}"/>
    <cellStyle name="Normal 2 2 46 2 29" xfId="24738" xr:uid="{00000000-0005-0000-0000-0000955D0000}"/>
    <cellStyle name="Normal 2 2 46 2 3" xfId="24739" xr:uid="{00000000-0005-0000-0000-0000965D0000}"/>
    <cellStyle name="Normal 2 2 46 2 4" xfId="24740" xr:uid="{00000000-0005-0000-0000-0000975D0000}"/>
    <cellStyle name="Normal 2 2 46 2 5" xfId="24741" xr:uid="{00000000-0005-0000-0000-0000985D0000}"/>
    <cellStyle name="Normal 2 2 46 2 6" xfId="24742" xr:uid="{00000000-0005-0000-0000-0000995D0000}"/>
    <cellStyle name="Normal 2 2 46 2 7" xfId="24743" xr:uid="{00000000-0005-0000-0000-00009A5D0000}"/>
    <cellStyle name="Normal 2 2 46 2 8" xfId="24744" xr:uid="{00000000-0005-0000-0000-00009B5D0000}"/>
    <cellStyle name="Normal 2 2 46 2 9" xfId="24745" xr:uid="{00000000-0005-0000-0000-00009C5D0000}"/>
    <cellStyle name="Normal 2 2 46 3" xfId="24746" xr:uid="{00000000-0005-0000-0000-00009D5D0000}"/>
    <cellStyle name="Normal 2 2 46 4" xfId="24747" xr:uid="{00000000-0005-0000-0000-00009E5D0000}"/>
    <cellStyle name="Normal 2 2 46 5" xfId="24748" xr:uid="{00000000-0005-0000-0000-00009F5D0000}"/>
    <cellStyle name="Normal 2 2 46 6" xfId="24749" xr:uid="{00000000-0005-0000-0000-0000A05D0000}"/>
    <cellStyle name="Normal 2 2 46 7" xfId="24750" xr:uid="{00000000-0005-0000-0000-0000A15D0000}"/>
    <cellStyle name="Normal 2 2 46 8" xfId="24751" xr:uid="{00000000-0005-0000-0000-0000A25D0000}"/>
    <cellStyle name="Normal 2 2 46 9" xfId="24752" xr:uid="{00000000-0005-0000-0000-0000A35D0000}"/>
    <cellStyle name="Normal 2 2 47" xfId="24753" xr:uid="{00000000-0005-0000-0000-0000A45D0000}"/>
    <cellStyle name="Normal 2 2 47 10" xfId="24754" xr:uid="{00000000-0005-0000-0000-0000A55D0000}"/>
    <cellStyle name="Normal 2 2 47 11" xfId="24755" xr:uid="{00000000-0005-0000-0000-0000A65D0000}"/>
    <cellStyle name="Normal 2 2 47 12" xfId="24756" xr:uid="{00000000-0005-0000-0000-0000A75D0000}"/>
    <cellStyle name="Normal 2 2 47 13" xfId="24757" xr:uid="{00000000-0005-0000-0000-0000A85D0000}"/>
    <cellStyle name="Normal 2 2 47 14" xfId="24758" xr:uid="{00000000-0005-0000-0000-0000A95D0000}"/>
    <cellStyle name="Normal 2 2 47 15" xfId="24759" xr:uid="{00000000-0005-0000-0000-0000AA5D0000}"/>
    <cellStyle name="Normal 2 2 47 16" xfId="24760" xr:uid="{00000000-0005-0000-0000-0000AB5D0000}"/>
    <cellStyle name="Normal 2 2 47 17" xfId="24761" xr:uid="{00000000-0005-0000-0000-0000AC5D0000}"/>
    <cellStyle name="Normal 2 2 47 18" xfId="24762" xr:uid="{00000000-0005-0000-0000-0000AD5D0000}"/>
    <cellStyle name="Normal 2 2 47 19" xfId="24763" xr:uid="{00000000-0005-0000-0000-0000AE5D0000}"/>
    <cellStyle name="Normal 2 2 47 2" xfId="24764" xr:uid="{00000000-0005-0000-0000-0000AF5D0000}"/>
    <cellStyle name="Normal 2 2 47 20" xfId="24765" xr:uid="{00000000-0005-0000-0000-0000B05D0000}"/>
    <cellStyle name="Normal 2 2 47 21" xfId="24766" xr:uid="{00000000-0005-0000-0000-0000B15D0000}"/>
    <cellStyle name="Normal 2 2 47 22" xfId="24767" xr:uid="{00000000-0005-0000-0000-0000B25D0000}"/>
    <cellStyle name="Normal 2 2 47 23" xfId="24768" xr:uid="{00000000-0005-0000-0000-0000B35D0000}"/>
    <cellStyle name="Normal 2 2 47 24" xfId="24769" xr:uid="{00000000-0005-0000-0000-0000B45D0000}"/>
    <cellStyle name="Normal 2 2 47 25" xfId="24770" xr:uid="{00000000-0005-0000-0000-0000B55D0000}"/>
    <cellStyle name="Normal 2 2 47 26" xfId="24771" xr:uid="{00000000-0005-0000-0000-0000B65D0000}"/>
    <cellStyle name="Normal 2 2 47 27" xfId="24772" xr:uid="{00000000-0005-0000-0000-0000B75D0000}"/>
    <cellStyle name="Normal 2 2 47 28" xfId="24773" xr:uid="{00000000-0005-0000-0000-0000B85D0000}"/>
    <cellStyle name="Normal 2 2 47 29" xfId="24774" xr:uid="{00000000-0005-0000-0000-0000B95D0000}"/>
    <cellStyle name="Normal 2 2 47 3" xfId="24775" xr:uid="{00000000-0005-0000-0000-0000BA5D0000}"/>
    <cellStyle name="Normal 2 2 47 30" xfId="24776" xr:uid="{00000000-0005-0000-0000-0000BB5D0000}"/>
    <cellStyle name="Normal 2 2 47 31" xfId="24777" xr:uid="{00000000-0005-0000-0000-0000BC5D0000}"/>
    <cellStyle name="Normal 2 2 47 32" xfId="24778" xr:uid="{00000000-0005-0000-0000-0000BD5D0000}"/>
    <cellStyle name="Normal 2 2 47 33" xfId="24779" xr:uid="{00000000-0005-0000-0000-0000BE5D0000}"/>
    <cellStyle name="Normal 2 2 47 34" xfId="24780" xr:uid="{00000000-0005-0000-0000-0000BF5D0000}"/>
    <cellStyle name="Normal 2 2 47 4" xfId="24781" xr:uid="{00000000-0005-0000-0000-0000C05D0000}"/>
    <cellStyle name="Normal 2 2 47 5" xfId="24782" xr:uid="{00000000-0005-0000-0000-0000C15D0000}"/>
    <cellStyle name="Normal 2 2 47 6" xfId="24783" xr:uid="{00000000-0005-0000-0000-0000C25D0000}"/>
    <cellStyle name="Normal 2 2 47 7" xfId="24784" xr:uid="{00000000-0005-0000-0000-0000C35D0000}"/>
    <cellStyle name="Normal 2 2 47 8" xfId="24785" xr:uid="{00000000-0005-0000-0000-0000C45D0000}"/>
    <cellStyle name="Normal 2 2 47 9" xfId="24786" xr:uid="{00000000-0005-0000-0000-0000C55D0000}"/>
    <cellStyle name="Normal 2 2 48" xfId="24787" xr:uid="{00000000-0005-0000-0000-0000C65D0000}"/>
    <cellStyle name="Normal 2 2 48 10" xfId="24788" xr:uid="{00000000-0005-0000-0000-0000C75D0000}"/>
    <cellStyle name="Normal 2 2 48 11" xfId="24789" xr:uid="{00000000-0005-0000-0000-0000C85D0000}"/>
    <cellStyle name="Normal 2 2 48 12" xfId="24790" xr:uid="{00000000-0005-0000-0000-0000C95D0000}"/>
    <cellStyle name="Normal 2 2 48 13" xfId="24791" xr:uid="{00000000-0005-0000-0000-0000CA5D0000}"/>
    <cellStyle name="Normal 2 2 48 14" xfId="24792" xr:uid="{00000000-0005-0000-0000-0000CB5D0000}"/>
    <cellStyle name="Normal 2 2 48 15" xfId="24793" xr:uid="{00000000-0005-0000-0000-0000CC5D0000}"/>
    <cellStyle name="Normal 2 2 48 16" xfId="24794" xr:uid="{00000000-0005-0000-0000-0000CD5D0000}"/>
    <cellStyle name="Normal 2 2 48 17" xfId="24795" xr:uid="{00000000-0005-0000-0000-0000CE5D0000}"/>
    <cellStyle name="Normal 2 2 48 18" xfId="24796" xr:uid="{00000000-0005-0000-0000-0000CF5D0000}"/>
    <cellStyle name="Normal 2 2 48 19" xfId="24797" xr:uid="{00000000-0005-0000-0000-0000D05D0000}"/>
    <cellStyle name="Normal 2 2 48 2" xfId="24798" xr:uid="{00000000-0005-0000-0000-0000D15D0000}"/>
    <cellStyle name="Normal 2 2 48 20" xfId="24799" xr:uid="{00000000-0005-0000-0000-0000D25D0000}"/>
    <cellStyle name="Normal 2 2 48 21" xfId="24800" xr:uid="{00000000-0005-0000-0000-0000D35D0000}"/>
    <cellStyle name="Normal 2 2 48 22" xfId="24801" xr:uid="{00000000-0005-0000-0000-0000D45D0000}"/>
    <cellStyle name="Normal 2 2 48 23" xfId="24802" xr:uid="{00000000-0005-0000-0000-0000D55D0000}"/>
    <cellStyle name="Normal 2 2 48 24" xfId="24803" xr:uid="{00000000-0005-0000-0000-0000D65D0000}"/>
    <cellStyle name="Normal 2 2 48 25" xfId="24804" xr:uid="{00000000-0005-0000-0000-0000D75D0000}"/>
    <cellStyle name="Normal 2 2 48 26" xfId="24805" xr:uid="{00000000-0005-0000-0000-0000D85D0000}"/>
    <cellStyle name="Normal 2 2 48 27" xfId="24806" xr:uid="{00000000-0005-0000-0000-0000D95D0000}"/>
    <cellStyle name="Normal 2 2 48 28" xfId="24807" xr:uid="{00000000-0005-0000-0000-0000DA5D0000}"/>
    <cellStyle name="Normal 2 2 48 29" xfId="24808" xr:uid="{00000000-0005-0000-0000-0000DB5D0000}"/>
    <cellStyle name="Normal 2 2 48 3" xfId="24809" xr:uid="{00000000-0005-0000-0000-0000DC5D0000}"/>
    <cellStyle name="Normal 2 2 48 30" xfId="24810" xr:uid="{00000000-0005-0000-0000-0000DD5D0000}"/>
    <cellStyle name="Normal 2 2 48 31" xfId="24811" xr:uid="{00000000-0005-0000-0000-0000DE5D0000}"/>
    <cellStyle name="Normal 2 2 48 32" xfId="24812" xr:uid="{00000000-0005-0000-0000-0000DF5D0000}"/>
    <cellStyle name="Normal 2 2 48 33" xfId="24813" xr:uid="{00000000-0005-0000-0000-0000E05D0000}"/>
    <cellStyle name="Normal 2 2 48 34" xfId="24814" xr:uid="{00000000-0005-0000-0000-0000E15D0000}"/>
    <cellStyle name="Normal 2 2 48 4" xfId="24815" xr:uid="{00000000-0005-0000-0000-0000E25D0000}"/>
    <cellStyle name="Normal 2 2 48 5" xfId="24816" xr:uid="{00000000-0005-0000-0000-0000E35D0000}"/>
    <cellStyle name="Normal 2 2 48 6" xfId="24817" xr:uid="{00000000-0005-0000-0000-0000E45D0000}"/>
    <cellStyle name="Normal 2 2 48 7" xfId="24818" xr:uid="{00000000-0005-0000-0000-0000E55D0000}"/>
    <cellStyle name="Normal 2 2 48 8" xfId="24819" xr:uid="{00000000-0005-0000-0000-0000E65D0000}"/>
    <cellStyle name="Normal 2 2 48 9" xfId="24820" xr:uid="{00000000-0005-0000-0000-0000E75D0000}"/>
    <cellStyle name="Normal 2 2 49" xfId="24821" xr:uid="{00000000-0005-0000-0000-0000E85D0000}"/>
    <cellStyle name="Normal 2 2 49 10" xfId="24822" xr:uid="{00000000-0005-0000-0000-0000E95D0000}"/>
    <cellStyle name="Normal 2 2 49 11" xfId="24823" xr:uid="{00000000-0005-0000-0000-0000EA5D0000}"/>
    <cellStyle name="Normal 2 2 49 12" xfId="24824" xr:uid="{00000000-0005-0000-0000-0000EB5D0000}"/>
    <cellStyle name="Normal 2 2 49 13" xfId="24825" xr:uid="{00000000-0005-0000-0000-0000EC5D0000}"/>
    <cellStyle name="Normal 2 2 49 14" xfId="24826" xr:uid="{00000000-0005-0000-0000-0000ED5D0000}"/>
    <cellStyle name="Normal 2 2 49 15" xfId="24827" xr:uid="{00000000-0005-0000-0000-0000EE5D0000}"/>
    <cellStyle name="Normal 2 2 49 16" xfId="24828" xr:uid="{00000000-0005-0000-0000-0000EF5D0000}"/>
    <cellStyle name="Normal 2 2 49 17" xfId="24829" xr:uid="{00000000-0005-0000-0000-0000F05D0000}"/>
    <cellStyle name="Normal 2 2 49 18" xfId="24830" xr:uid="{00000000-0005-0000-0000-0000F15D0000}"/>
    <cellStyle name="Normal 2 2 49 19" xfId="24831" xr:uid="{00000000-0005-0000-0000-0000F25D0000}"/>
    <cellStyle name="Normal 2 2 49 2" xfId="24832" xr:uid="{00000000-0005-0000-0000-0000F35D0000}"/>
    <cellStyle name="Normal 2 2 49 20" xfId="24833" xr:uid="{00000000-0005-0000-0000-0000F45D0000}"/>
    <cellStyle name="Normal 2 2 49 21" xfId="24834" xr:uid="{00000000-0005-0000-0000-0000F55D0000}"/>
    <cellStyle name="Normal 2 2 49 22" xfId="24835" xr:uid="{00000000-0005-0000-0000-0000F65D0000}"/>
    <cellStyle name="Normal 2 2 49 23" xfId="24836" xr:uid="{00000000-0005-0000-0000-0000F75D0000}"/>
    <cellStyle name="Normal 2 2 49 24" xfId="24837" xr:uid="{00000000-0005-0000-0000-0000F85D0000}"/>
    <cellStyle name="Normal 2 2 49 25" xfId="24838" xr:uid="{00000000-0005-0000-0000-0000F95D0000}"/>
    <cellStyle name="Normal 2 2 49 26" xfId="24839" xr:uid="{00000000-0005-0000-0000-0000FA5D0000}"/>
    <cellStyle name="Normal 2 2 49 27" xfId="24840" xr:uid="{00000000-0005-0000-0000-0000FB5D0000}"/>
    <cellStyle name="Normal 2 2 49 28" xfId="24841" xr:uid="{00000000-0005-0000-0000-0000FC5D0000}"/>
    <cellStyle name="Normal 2 2 49 29" xfId="24842" xr:uid="{00000000-0005-0000-0000-0000FD5D0000}"/>
    <cellStyle name="Normal 2 2 49 3" xfId="24843" xr:uid="{00000000-0005-0000-0000-0000FE5D0000}"/>
    <cellStyle name="Normal 2 2 49 30" xfId="24844" xr:uid="{00000000-0005-0000-0000-0000FF5D0000}"/>
    <cellStyle name="Normal 2 2 49 31" xfId="24845" xr:uid="{00000000-0005-0000-0000-0000005E0000}"/>
    <cellStyle name="Normal 2 2 49 32" xfId="24846" xr:uid="{00000000-0005-0000-0000-0000015E0000}"/>
    <cellStyle name="Normal 2 2 49 33" xfId="24847" xr:uid="{00000000-0005-0000-0000-0000025E0000}"/>
    <cellStyle name="Normal 2 2 49 34" xfId="24848" xr:uid="{00000000-0005-0000-0000-0000035E0000}"/>
    <cellStyle name="Normal 2 2 49 4" xfId="24849" xr:uid="{00000000-0005-0000-0000-0000045E0000}"/>
    <cellStyle name="Normal 2 2 49 5" xfId="24850" xr:uid="{00000000-0005-0000-0000-0000055E0000}"/>
    <cellStyle name="Normal 2 2 49 6" xfId="24851" xr:uid="{00000000-0005-0000-0000-0000065E0000}"/>
    <cellStyle name="Normal 2 2 49 7" xfId="24852" xr:uid="{00000000-0005-0000-0000-0000075E0000}"/>
    <cellStyle name="Normal 2 2 49 8" xfId="24853" xr:uid="{00000000-0005-0000-0000-0000085E0000}"/>
    <cellStyle name="Normal 2 2 49 9" xfId="24854" xr:uid="{00000000-0005-0000-0000-0000095E0000}"/>
    <cellStyle name="Normal 2 2 5" xfId="1846" xr:uid="{00000000-0005-0000-0000-00000A5E0000}"/>
    <cellStyle name="Normal 2 2 5 10" xfId="24855" xr:uid="{00000000-0005-0000-0000-00000B5E0000}"/>
    <cellStyle name="Normal 2 2 5 11" xfId="24856" xr:uid="{00000000-0005-0000-0000-00000C5E0000}"/>
    <cellStyle name="Normal 2 2 5 12" xfId="24857" xr:uid="{00000000-0005-0000-0000-00000D5E0000}"/>
    <cellStyle name="Normal 2 2 5 13" xfId="24858" xr:uid="{00000000-0005-0000-0000-00000E5E0000}"/>
    <cellStyle name="Normal 2 2 5 14" xfId="24859" xr:uid="{00000000-0005-0000-0000-00000F5E0000}"/>
    <cellStyle name="Normal 2 2 5 15" xfId="43240" xr:uid="{00000000-0005-0000-0000-0000105E0000}"/>
    <cellStyle name="Normal 2 2 5 2" xfId="2043" xr:uid="{00000000-0005-0000-0000-0000115E0000}"/>
    <cellStyle name="Normal 2 2 5 2 2" xfId="2510" xr:uid="{00000000-0005-0000-0000-0000125E0000}"/>
    <cellStyle name="Normal 2 2 5 2 2 2" xfId="24860" xr:uid="{00000000-0005-0000-0000-0000135E0000}"/>
    <cellStyle name="Normal 2 2 5 2 2 2 2" xfId="24861" xr:uid="{00000000-0005-0000-0000-0000145E0000}"/>
    <cellStyle name="Normal 2 2 5 2 2 2 3" xfId="24862" xr:uid="{00000000-0005-0000-0000-0000155E0000}"/>
    <cellStyle name="Normal 2 2 5 2 2 2 4" xfId="24863" xr:uid="{00000000-0005-0000-0000-0000165E0000}"/>
    <cellStyle name="Normal 2 2 5 2 2 2 5" xfId="24864" xr:uid="{00000000-0005-0000-0000-0000175E0000}"/>
    <cellStyle name="Normal 2 2 5 2 2 3" xfId="24865" xr:uid="{00000000-0005-0000-0000-0000185E0000}"/>
    <cellStyle name="Normal 2 2 5 2 3" xfId="24866" xr:uid="{00000000-0005-0000-0000-0000195E0000}"/>
    <cellStyle name="Normal 2 2 5 2 3 2" xfId="24867" xr:uid="{00000000-0005-0000-0000-00001A5E0000}"/>
    <cellStyle name="Normal 2 2 5 2 3 2 2" xfId="24868" xr:uid="{00000000-0005-0000-0000-00001B5E0000}"/>
    <cellStyle name="Normal 2 2 5 2 3 2 3" xfId="24869" xr:uid="{00000000-0005-0000-0000-00001C5E0000}"/>
    <cellStyle name="Normal 2 2 5 2 3 2 4" xfId="24870" xr:uid="{00000000-0005-0000-0000-00001D5E0000}"/>
    <cellStyle name="Normal 2 2 5 2 4" xfId="24871" xr:uid="{00000000-0005-0000-0000-00001E5E0000}"/>
    <cellStyle name="Normal 2 2 5 2 5" xfId="24872" xr:uid="{00000000-0005-0000-0000-00001F5E0000}"/>
    <cellStyle name="Normal 2 2 5 2 6" xfId="24873" xr:uid="{00000000-0005-0000-0000-0000205E0000}"/>
    <cellStyle name="Normal 2 2 5 2 7" xfId="43326" xr:uid="{00000000-0005-0000-0000-0000215E0000}"/>
    <cellStyle name="Normal 2 2 5 3" xfId="2511" xr:uid="{00000000-0005-0000-0000-0000225E0000}"/>
    <cellStyle name="Normal 2 2 5 3 2" xfId="24874" xr:uid="{00000000-0005-0000-0000-0000235E0000}"/>
    <cellStyle name="Normal 2 2 5 3 3" xfId="24875" xr:uid="{00000000-0005-0000-0000-0000245E0000}"/>
    <cellStyle name="Normal 2 2 5 3 4" xfId="24876" xr:uid="{00000000-0005-0000-0000-0000255E0000}"/>
    <cellStyle name="Normal 2 2 5 3 5" xfId="24877" xr:uid="{00000000-0005-0000-0000-0000265E0000}"/>
    <cellStyle name="Normal 2 2 5 3 6" xfId="24878" xr:uid="{00000000-0005-0000-0000-0000275E0000}"/>
    <cellStyle name="Normal 2 2 5 3 7" xfId="43327" xr:uid="{00000000-0005-0000-0000-0000285E0000}"/>
    <cellStyle name="Normal 2 2 5 4" xfId="2423" xr:uid="{00000000-0005-0000-0000-0000295E0000}"/>
    <cellStyle name="Normal 2 2 5 4 2" xfId="24879" xr:uid="{00000000-0005-0000-0000-00002A5E0000}"/>
    <cellStyle name="Normal 2 2 5 4 3" xfId="24880" xr:uid="{00000000-0005-0000-0000-00002B5E0000}"/>
    <cellStyle name="Normal 2 2 5 4 4" xfId="24881" xr:uid="{00000000-0005-0000-0000-00002C5E0000}"/>
    <cellStyle name="Normal 2 2 5 4 5" xfId="24882" xr:uid="{00000000-0005-0000-0000-00002D5E0000}"/>
    <cellStyle name="Normal 2 2 5 4 6" xfId="24883" xr:uid="{00000000-0005-0000-0000-00002E5E0000}"/>
    <cellStyle name="Normal 2 2 5 5" xfId="2380" xr:uid="{00000000-0005-0000-0000-00002F5E0000}"/>
    <cellStyle name="Normal 2 2 5 5 2" xfId="24884" xr:uid="{00000000-0005-0000-0000-0000305E0000}"/>
    <cellStyle name="Normal 2 2 5 5 3" xfId="24885" xr:uid="{00000000-0005-0000-0000-0000315E0000}"/>
    <cellStyle name="Normal 2 2 5 5 4" xfId="24886" xr:uid="{00000000-0005-0000-0000-0000325E0000}"/>
    <cellStyle name="Normal 2 2 5 5 5" xfId="24887" xr:uid="{00000000-0005-0000-0000-0000335E0000}"/>
    <cellStyle name="Normal 2 2 5 5 6" xfId="24888" xr:uid="{00000000-0005-0000-0000-0000345E0000}"/>
    <cellStyle name="Normal 2 2 5 6" xfId="24889" xr:uid="{00000000-0005-0000-0000-0000355E0000}"/>
    <cellStyle name="Normal 2 2 5 6 2" xfId="24890" xr:uid="{00000000-0005-0000-0000-0000365E0000}"/>
    <cellStyle name="Normal 2 2 5 6 3" xfId="24891" xr:uid="{00000000-0005-0000-0000-0000375E0000}"/>
    <cellStyle name="Normal 2 2 5 6 4" xfId="24892" xr:uid="{00000000-0005-0000-0000-0000385E0000}"/>
    <cellStyle name="Normal 2 2 5 6 5" xfId="24893" xr:uid="{00000000-0005-0000-0000-0000395E0000}"/>
    <cellStyle name="Normal 2 2 5 6 6" xfId="24894" xr:uid="{00000000-0005-0000-0000-00003A5E0000}"/>
    <cellStyle name="Normal 2 2 5 7" xfId="24895" xr:uid="{00000000-0005-0000-0000-00003B5E0000}"/>
    <cellStyle name="Normal 2 2 5 7 2" xfId="24896" xr:uid="{00000000-0005-0000-0000-00003C5E0000}"/>
    <cellStyle name="Normal 2 2 5 7 3" xfId="24897" xr:uid="{00000000-0005-0000-0000-00003D5E0000}"/>
    <cellStyle name="Normal 2 2 5 7 4" xfId="24898" xr:uid="{00000000-0005-0000-0000-00003E5E0000}"/>
    <cellStyle name="Normal 2 2 5 7 5" xfId="24899" xr:uid="{00000000-0005-0000-0000-00003F5E0000}"/>
    <cellStyle name="Normal 2 2 5 7 6" xfId="24900" xr:uid="{00000000-0005-0000-0000-0000405E0000}"/>
    <cellStyle name="Normal 2 2 5 8" xfId="24901" xr:uid="{00000000-0005-0000-0000-0000415E0000}"/>
    <cellStyle name="Normal 2 2 5 8 2" xfId="24902" xr:uid="{00000000-0005-0000-0000-0000425E0000}"/>
    <cellStyle name="Normal 2 2 5 8 3" xfId="24903" xr:uid="{00000000-0005-0000-0000-0000435E0000}"/>
    <cellStyle name="Normal 2 2 5 8 4" xfId="24904" xr:uid="{00000000-0005-0000-0000-0000445E0000}"/>
    <cellStyle name="Normal 2 2 5 8 5" xfId="24905" xr:uid="{00000000-0005-0000-0000-0000455E0000}"/>
    <cellStyle name="Normal 2 2 5 8 6" xfId="24906" xr:uid="{00000000-0005-0000-0000-0000465E0000}"/>
    <cellStyle name="Normal 2 2 5 9" xfId="24907" xr:uid="{00000000-0005-0000-0000-0000475E0000}"/>
    <cellStyle name="Normal 2 2 50" xfId="24908" xr:uid="{00000000-0005-0000-0000-0000485E0000}"/>
    <cellStyle name="Normal 2 2 50 10" xfId="24909" xr:uid="{00000000-0005-0000-0000-0000495E0000}"/>
    <cellStyle name="Normal 2 2 50 11" xfId="24910" xr:uid="{00000000-0005-0000-0000-00004A5E0000}"/>
    <cellStyle name="Normal 2 2 50 12" xfId="24911" xr:uid="{00000000-0005-0000-0000-00004B5E0000}"/>
    <cellStyle name="Normal 2 2 50 13" xfId="24912" xr:uid="{00000000-0005-0000-0000-00004C5E0000}"/>
    <cellStyle name="Normal 2 2 50 14" xfId="24913" xr:uid="{00000000-0005-0000-0000-00004D5E0000}"/>
    <cellStyle name="Normal 2 2 50 15" xfId="24914" xr:uid="{00000000-0005-0000-0000-00004E5E0000}"/>
    <cellStyle name="Normal 2 2 50 16" xfId="24915" xr:uid="{00000000-0005-0000-0000-00004F5E0000}"/>
    <cellStyle name="Normal 2 2 50 17" xfId="24916" xr:uid="{00000000-0005-0000-0000-0000505E0000}"/>
    <cellStyle name="Normal 2 2 50 18" xfId="24917" xr:uid="{00000000-0005-0000-0000-0000515E0000}"/>
    <cellStyle name="Normal 2 2 50 19" xfId="24918" xr:uid="{00000000-0005-0000-0000-0000525E0000}"/>
    <cellStyle name="Normal 2 2 50 2" xfId="24919" xr:uid="{00000000-0005-0000-0000-0000535E0000}"/>
    <cellStyle name="Normal 2 2 50 20" xfId="24920" xr:uid="{00000000-0005-0000-0000-0000545E0000}"/>
    <cellStyle name="Normal 2 2 50 21" xfId="24921" xr:uid="{00000000-0005-0000-0000-0000555E0000}"/>
    <cellStyle name="Normal 2 2 50 22" xfId="24922" xr:uid="{00000000-0005-0000-0000-0000565E0000}"/>
    <cellStyle name="Normal 2 2 50 23" xfId="24923" xr:uid="{00000000-0005-0000-0000-0000575E0000}"/>
    <cellStyle name="Normal 2 2 50 24" xfId="24924" xr:uid="{00000000-0005-0000-0000-0000585E0000}"/>
    <cellStyle name="Normal 2 2 50 25" xfId="24925" xr:uid="{00000000-0005-0000-0000-0000595E0000}"/>
    <cellStyle name="Normal 2 2 50 26" xfId="24926" xr:uid="{00000000-0005-0000-0000-00005A5E0000}"/>
    <cellStyle name="Normal 2 2 50 27" xfId="24927" xr:uid="{00000000-0005-0000-0000-00005B5E0000}"/>
    <cellStyle name="Normal 2 2 50 28" xfId="24928" xr:uid="{00000000-0005-0000-0000-00005C5E0000}"/>
    <cellStyle name="Normal 2 2 50 29" xfId="24929" xr:uid="{00000000-0005-0000-0000-00005D5E0000}"/>
    <cellStyle name="Normal 2 2 50 3" xfId="24930" xr:uid="{00000000-0005-0000-0000-00005E5E0000}"/>
    <cellStyle name="Normal 2 2 50 30" xfId="24931" xr:uid="{00000000-0005-0000-0000-00005F5E0000}"/>
    <cellStyle name="Normal 2 2 50 31" xfId="24932" xr:uid="{00000000-0005-0000-0000-0000605E0000}"/>
    <cellStyle name="Normal 2 2 50 32" xfId="24933" xr:uid="{00000000-0005-0000-0000-0000615E0000}"/>
    <cellStyle name="Normal 2 2 50 33" xfId="24934" xr:uid="{00000000-0005-0000-0000-0000625E0000}"/>
    <cellStyle name="Normal 2 2 50 34" xfId="24935" xr:uid="{00000000-0005-0000-0000-0000635E0000}"/>
    <cellStyle name="Normal 2 2 50 4" xfId="24936" xr:uid="{00000000-0005-0000-0000-0000645E0000}"/>
    <cellStyle name="Normal 2 2 50 5" xfId="24937" xr:uid="{00000000-0005-0000-0000-0000655E0000}"/>
    <cellStyle name="Normal 2 2 50 6" xfId="24938" xr:uid="{00000000-0005-0000-0000-0000665E0000}"/>
    <cellStyle name="Normal 2 2 50 7" xfId="24939" xr:uid="{00000000-0005-0000-0000-0000675E0000}"/>
    <cellStyle name="Normal 2 2 50 8" xfId="24940" xr:uid="{00000000-0005-0000-0000-0000685E0000}"/>
    <cellStyle name="Normal 2 2 50 9" xfId="24941" xr:uid="{00000000-0005-0000-0000-0000695E0000}"/>
    <cellStyle name="Normal 2 2 51" xfId="24942" xr:uid="{00000000-0005-0000-0000-00006A5E0000}"/>
    <cellStyle name="Normal 2 2 51 10" xfId="24943" xr:uid="{00000000-0005-0000-0000-00006B5E0000}"/>
    <cellStyle name="Normal 2 2 51 11" xfId="24944" xr:uid="{00000000-0005-0000-0000-00006C5E0000}"/>
    <cellStyle name="Normal 2 2 51 12" xfId="24945" xr:uid="{00000000-0005-0000-0000-00006D5E0000}"/>
    <cellStyle name="Normal 2 2 51 13" xfId="24946" xr:uid="{00000000-0005-0000-0000-00006E5E0000}"/>
    <cellStyle name="Normal 2 2 51 14" xfId="24947" xr:uid="{00000000-0005-0000-0000-00006F5E0000}"/>
    <cellStyle name="Normal 2 2 51 15" xfId="24948" xr:uid="{00000000-0005-0000-0000-0000705E0000}"/>
    <cellStyle name="Normal 2 2 51 16" xfId="24949" xr:uid="{00000000-0005-0000-0000-0000715E0000}"/>
    <cellStyle name="Normal 2 2 51 17" xfId="24950" xr:uid="{00000000-0005-0000-0000-0000725E0000}"/>
    <cellStyle name="Normal 2 2 51 18" xfId="24951" xr:uid="{00000000-0005-0000-0000-0000735E0000}"/>
    <cellStyle name="Normal 2 2 51 19" xfId="24952" xr:uid="{00000000-0005-0000-0000-0000745E0000}"/>
    <cellStyle name="Normal 2 2 51 2" xfId="24953" xr:uid="{00000000-0005-0000-0000-0000755E0000}"/>
    <cellStyle name="Normal 2 2 51 20" xfId="24954" xr:uid="{00000000-0005-0000-0000-0000765E0000}"/>
    <cellStyle name="Normal 2 2 51 21" xfId="24955" xr:uid="{00000000-0005-0000-0000-0000775E0000}"/>
    <cellStyle name="Normal 2 2 51 22" xfId="24956" xr:uid="{00000000-0005-0000-0000-0000785E0000}"/>
    <cellStyle name="Normal 2 2 51 23" xfId="24957" xr:uid="{00000000-0005-0000-0000-0000795E0000}"/>
    <cellStyle name="Normal 2 2 51 24" xfId="24958" xr:uid="{00000000-0005-0000-0000-00007A5E0000}"/>
    <cellStyle name="Normal 2 2 51 25" xfId="24959" xr:uid="{00000000-0005-0000-0000-00007B5E0000}"/>
    <cellStyle name="Normal 2 2 51 26" xfId="24960" xr:uid="{00000000-0005-0000-0000-00007C5E0000}"/>
    <cellStyle name="Normal 2 2 51 27" xfId="24961" xr:uid="{00000000-0005-0000-0000-00007D5E0000}"/>
    <cellStyle name="Normal 2 2 51 28" xfId="24962" xr:uid="{00000000-0005-0000-0000-00007E5E0000}"/>
    <cellStyle name="Normal 2 2 51 29" xfId="24963" xr:uid="{00000000-0005-0000-0000-00007F5E0000}"/>
    <cellStyle name="Normal 2 2 51 3" xfId="24964" xr:uid="{00000000-0005-0000-0000-0000805E0000}"/>
    <cellStyle name="Normal 2 2 51 30" xfId="24965" xr:uid="{00000000-0005-0000-0000-0000815E0000}"/>
    <cellStyle name="Normal 2 2 51 31" xfId="24966" xr:uid="{00000000-0005-0000-0000-0000825E0000}"/>
    <cellStyle name="Normal 2 2 51 32" xfId="24967" xr:uid="{00000000-0005-0000-0000-0000835E0000}"/>
    <cellStyle name="Normal 2 2 51 33" xfId="24968" xr:uid="{00000000-0005-0000-0000-0000845E0000}"/>
    <cellStyle name="Normal 2 2 51 34" xfId="24969" xr:uid="{00000000-0005-0000-0000-0000855E0000}"/>
    <cellStyle name="Normal 2 2 51 4" xfId="24970" xr:uid="{00000000-0005-0000-0000-0000865E0000}"/>
    <cellStyle name="Normal 2 2 51 5" xfId="24971" xr:uid="{00000000-0005-0000-0000-0000875E0000}"/>
    <cellStyle name="Normal 2 2 51 6" xfId="24972" xr:uid="{00000000-0005-0000-0000-0000885E0000}"/>
    <cellStyle name="Normal 2 2 51 7" xfId="24973" xr:uid="{00000000-0005-0000-0000-0000895E0000}"/>
    <cellStyle name="Normal 2 2 51 8" xfId="24974" xr:uid="{00000000-0005-0000-0000-00008A5E0000}"/>
    <cellStyle name="Normal 2 2 51 9" xfId="24975" xr:uid="{00000000-0005-0000-0000-00008B5E0000}"/>
    <cellStyle name="Normal 2 2 52" xfId="24976" xr:uid="{00000000-0005-0000-0000-00008C5E0000}"/>
    <cellStyle name="Normal 2 2 52 10" xfId="24977" xr:uid="{00000000-0005-0000-0000-00008D5E0000}"/>
    <cellStyle name="Normal 2 2 52 11" xfId="24978" xr:uid="{00000000-0005-0000-0000-00008E5E0000}"/>
    <cellStyle name="Normal 2 2 52 12" xfId="24979" xr:uid="{00000000-0005-0000-0000-00008F5E0000}"/>
    <cellStyle name="Normal 2 2 52 13" xfId="24980" xr:uid="{00000000-0005-0000-0000-0000905E0000}"/>
    <cellStyle name="Normal 2 2 52 14" xfId="24981" xr:uid="{00000000-0005-0000-0000-0000915E0000}"/>
    <cellStyle name="Normal 2 2 52 15" xfId="24982" xr:uid="{00000000-0005-0000-0000-0000925E0000}"/>
    <cellStyle name="Normal 2 2 52 16" xfId="24983" xr:uid="{00000000-0005-0000-0000-0000935E0000}"/>
    <cellStyle name="Normal 2 2 52 17" xfId="24984" xr:uid="{00000000-0005-0000-0000-0000945E0000}"/>
    <cellStyle name="Normal 2 2 52 18" xfId="24985" xr:uid="{00000000-0005-0000-0000-0000955E0000}"/>
    <cellStyle name="Normal 2 2 52 19" xfId="24986" xr:uid="{00000000-0005-0000-0000-0000965E0000}"/>
    <cellStyle name="Normal 2 2 52 2" xfId="24987" xr:uid="{00000000-0005-0000-0000-0000975E0000}"/>
    <cellStyle name="Normal 2 2 52 20" xfId="24988" xr:uid="{00000000-0005-0000-0000-0000985E0000}"/>
    <cellStyle name="Normal 2 2 52 21" xfId="24989" xr:uid="{00000000-0005-0000-0000-0000995E0000}"/>
    <cellStyle name="Normal 2 2 52 22" xfId="24990" xr:uid="{00000000-0005-0000-0000-00009A5E0000}"/>
    <cellStyle name="Normal 2 2 52 23" xfId="24991" xr:uid="{00000000-0005-0000-0000-00009B5E0000}"/>
    <cellStyle name="Normal 2 2 52 24" xfId="24992" xr:uid="{00000000-0005-0000-0000-00009C5E0000}"/>
    <cellStyle name="Normal 2 2 52 25" xfId="24993" xr:uid="{00000000-0005-0000-0000-00009D5E0000}"/>
    <cellStyle name="Normal 2 2 52 26" xfId="24994" xr:uid="{00000000-0005-0000-0000-00009E5E0000}"/>
    <cellStyle name="Normal 2 2 52 27" xfId="24995" xr:uid="{00000000-0005-0000-0000-00009F5E0000}"/>
    <cellStyle name="Normal 2 2 52 28" xfId="24996" xr:uid="{00000000-0005-0000-0000-0000A05E0000}"/>
    <cellStyle name="Normal 2 2 52 29" xfId="24997" xr:uid="{00000000-0005-0000-0000-0000A15E0000}"/>
    <cellStyle name="Normal 2 2 52 3" xfId="24998" xr:uid="{00000000-0005-0000-0000-0000A25E0000}"/>
    <cellStyle name="Normal 2 2 52 30" xfId="24999" xr:uid="{00000000-0005-0000-0000-0000A35E0000}"/>
    <cellStyle name="Normal 2 2 52 31" xfId="25000" xr:uid="{00000000-0005-0000-0000-0000A45E0000}"/>
    <cellStyle name="Normal 2 2 52 32" xfId="25001" xr:uid="{00000000-0005-0000-0000-0000A55E0000}"/>
    <cellStyle name="Normal 2 2 52 33" xfId="25002" xr:uid="{00000000-0005-0000-0000-0000A65E0000}"/>
    <cellStyle name="Normal 2 2 52 34" xfId="25003" xr:uid="{00000000-0005-0000-0000-0000A75E0000}"/>
    <cellStyle name="Normal 2 2 52 4" xfId="25004" xr:uid="{00000000-0005-0000-0000-0000A85E0000}"/>
    <cellStyle name="Normal 2 2 52 5" xfId="25005" xr:uid="{00000000-0005-0000-0000-0000A95E0000}"/>
    <cellStyle name="Normal 2 2 52 6" xfId="25006" xr:uid="{00000000-0005-0000-0000-0000AA5E0000}"/>
    <cellStyle name="Normal 2 2 52 7" xfId="25007" xr:uid="{00000000-0005-0000-0000-0000AB5E0000}"/>
    <cellStyle name="Normal 2 2 52 8" xfId="25008" xr:uid="{00000000-0005-0000-0000-0000AC5E0000}"/>
    <cellStyle name="Normal 2 2 52 9" xfId="25009" xr:uid="{00000000-0005-0000-0000-0000AD5E0000}"/>
    <cellStyle name="Normal 2 2 53" xfId="25010" xr:uid="{00000000-0005-0000-0000-0000AE5E0000}"/>
    <cellStyle name="Normal 2 2 53 10" xfId="25011" xr:uid="{00000000-0005-0000-0000-0000AF5E0000}"/>
    <cellStyle name="Normal 2 2 53 11" xfId="25012" xr:uid="{00000000-0005-0000-0000-0000B05E0000}"/>
    <cellStyle name="Normal 2 2 53 12" xfId="25013" xr:uid="{00000000-0005-0000-0000-0000B15E0000}"/>
    <cellStyle name="Normal 2 2 53 13" xfId="25014" xr:uid="{00000000-0005-0000-0000-0000B25E0000}"/>
    <cellStyle name="Normal 2 2 53 14" xfId="25015" xr:uid="{00000000-0005-0000-0000-0000B35E0000}"/>
    <cellStyle name="Normal 2 2 53 15" xfId="25016" xr:uid="{00000000-0005-0000-0000-0000B45E0000}"/>
    <cellStyle name="Normal 2 2 53 16" xfId="25017" xr:uid="{00000000-0005-0000-0000-0000B55E0000}"/>
    <cellStyle name="Normal 2 2 53 17" xfId="25018" xr:uid="{00000000-0005-0000-0000-0000B65E0000}"/>
    <cellStyle name="Normal 2 2 53 18" xfId="25019" xr:uid="{00000000-0005-0000-0000-0000B75E0000}"/>
    <cellStyle name="Normal 2 2 53 19" xfId="25020" xr:uid="{00000000-0005-0000-0000-0000B85E0000}"/>
    <cellStyle name="Normal 2 2 53 2" xfId="25021" xr:uid="{00000000-0005-0000-0000-0000B95E0000}"/>
    <cellStyle name="Normal 2 2 53 20" xfId="25022" xr:uid="{00000000-0005-0000-0000-0000BA5E0000}"/>
    <cellStyle name="Normal 2 2 53 21" xfId="25023" xr:uid="{00000000-0005-0000-0000-0000BB5E0000}"/>
    <cellStyle name="Normal 2 2 53 22" xfId="25024" xr:uid="{00000000-0005-0000-0000-0000BC5E0000}"/>
    <cellStyle name="Normal 2 2 53 23" xfId="25025" xr:uid="{00000000-0005-0000-0000-0000BD5E0000}"/>
    <cellStyle name="Normal 2 2 53 24" xfId="25026" xr:uid="{00000000-0005-0000-0000-0000BE5E0000}"/>
    <cellStyle name="Normal 2 2 53 25" xfId="25027" xr:uid="{00000000-0005-0000-0000-0000BF5E0000}"/>
    <cellStyle name="Normal 2 2 53 26" xfId="25028" xr:uid="{00000000-0005-0000-0000-0000C05E0000}"/>
    <cellStyle name="Normal 2 2 53 27" xfId="25029" xr:uid="{00000000-0005-0000-0000-0000C15E0000}"/>
    <cellStyle name="Normal 2 2 53 28" xfId="25030" xr:uid="{00000000-0005-0000-0000-0000C25E0000}"/>
    <cellStyle name="Normal 2 2 53 29" xfId="25031" xr:uid="{00000000-0005-0000-0000-0000C35E0000}"/>
    <cellStyle name="Normal 2 2 53 3" xfId="25032" xr:uid="{00000000-0005-0000-0000-0000C45E0000}"/>
    <cellStyle name="Normal 2 2 53 30" xfId="25033" xr:uid="{00000000-0005-0000-0000-0000C55E0000}"/>
    <cellStyle name="Normal 2 2 53 31" xfId="25034" xr:uid="{00000000-0005-0000-0000-0000C65E0000}"/>
    <cellStyle name="Normal 2 2 53 32" xfId="25035" xr:uid="{00000000-0005-0000-0000-0000C75E0000}"/>
    <cellStyle name="Normal 2 2 53 33" xfId="25036" xr:uid="{00000000-0005-0000-0000-0000C85E0000}"/>
    <cellStyle name="Normal 2 2 53 34" xfId="25037" xr:uid="{00000000-0005-0000-0000-0000C95E0000}"/>
    <cellStyle name="Normal 2 2 53 4" xfId="25038" xr:uid="{00000000-0005-0000-0000-0000CA5E0000}"/>
    <cellStyle name="Normal 2 2 53 5" xfId="25039" xr:uid="{00000000-0005-0000-0000-0000CB5E0000}"/>
    <cellStyle name="Normal 2 2 53 6" xfId="25040" xr:uid="{00000000-0005-0000-0000-0000CC5E0000}"/>
    <cellStyle name="Normal 2 2 53 7" xfId="25041" xr:uid="{00000000-0005-0000-0000-0000CD5E0000}"/>
    <cellStyle name="Normal 2 2 53 8" xfId="25042" xr:uid="{00000000-0005-0000-0000-0000CE5E0000}"/>
    <cellStyle name="Normal 2 2 53 9" xfId="25043" xr:uid="{00000000-0005-0000-0000-0000CF5E0000}"/>
    <cellStyle name="Normal 2 2 54" xfId="25044" xr:uid="{00000000-0005-0000-0000-0000D05E0000}"/>
    <cellStyle name="Normal 2 2 54 10" xfId="25045" xr:uid="{00000000-0005-0000-0000-0000D15E0000}"/>
    <cellStyle name="Normal 2 2 54 11" xfId="25046" xr:uid="{00000000-0005-0000-0000-0000D25E0000}"/>
    <cellStyle name="Normal 2 2 54 12" xfId="25047" xr:uid="{00000000-0005-0000-0000-0000D35E0000}"/>
    <cellStyle name="Normal 2 2 54 13" xfId="25048" xr:uid="{00000000-0005-0000-0000-0000D45E0000}"/>
    <cellStyle name="Normal 2 2 54 14" xfId="25049" xr:uid="{00000000-0005-0000-0000-0000D55E0000}"/>
    <cellStyle name="Normal 2 2 54 15" xfId="25050" xr:uid="{00000000-0005-0000-0000-0000D65E0000}"/>
    <cellStyle name="Normal 2 2 54 16" xfId="25051" xr:uid="{00000000-0005-0000-0000-0000D75E0000}"/>
    <cellStyle name="Normal 2 2 54 17" xfId="25052" xr:uid="{00000000-0005-0000-0000-0000D85E0000}"/>
    <cellStyle name="Normal 2 2 54 18" xfId="25053" xr:uid="{00000000-0005-0000-0000-0000D95E0000}"/>
    <cellStyle name="Normal 2 2 54 19" xfId="25054" xr:uid="{00000000-0005-0000-0000-0000DA5E0000}"/>
    <cellStyle name="Normal 2 2 54 2" xfId="25055" xr:uid="{00000000-0005-0000-0000-0000DB5E0000}"/>
    <cellStyle name="Normal 2 2 54 20" xfId="25056" xr:uid="{00000000-0005-0000-0000-0000DC5E0000}"/>
    <cellStyle name="Normal 2 2 54 21" xfId="25057" xr:uid="{00000000-0005-0000-0000-0000DD5E0000}"/>
    <cellStyle name="Normal 2 2 54 22" xfId="25058" xr:uid="{00000000-0005-0000-0000-0000DE5E0000}"/>
    <cellStyle name="Normal 2 2 54 23" xfId="25059" xr:uid="{00000000-0005-0000-0000-0000DF5E0000}"/>
    <cellStyle name="Normal 2 2 54 24" xfId="25060" xr:uid="{00000000-0005-0000-0000-0000E05E0000}"/>
    <cellStyle name="Normal 2 2 54 25" xfId="25061" xr:uid="{00000000-0005-0000-0000-0000E15E0000}"/>
    <cellStyle name="Normal 2 2 54 26" xfId="25062" xr:uid="{00000000-0005-0000-0000-0000E25E0000}"/>
    <cellStyle name="Normal 2 2 54 27" xfId="25063" xr:uid="{00000000-0005-0000-0000-0000E35E0000}"/>
    <cellStyle name="Normal 2 2 54 28" xfId="25064" xr:uid="{00000000-0005-0000-0000-0000E45E0000}"/>
    <cellStyle name="Normal 2 2 54 29" xfId="25065" xr:uid="{00000000-0005-0000-0000-0000E55E0000}"/>
    <cellStyle name="Normal 2 2 54 3" xfId="25066" xr:uid="{00000000-0005-0000-0000-0000E65E0000}"/>
    <cellStyle name="Normal 2 2 54 30" xfId="25067" xr:uid="{00000000-0005-0000-0000-0000E75E0000}"/>
    <cellStyle name="Normal 2 2 54 31" xfId="25068" xr:uid="{00000000-0005-0000-0000-0000E85E0000}"/>
    <cellStyle name="Normal 2 2 54 32" xfId="25069" xr:uid="{00000000-0005-0000-0000-0000E95E0000}"/>
    <cellStyle name="Normal 2 2 54 33" xfId="25070" xr:uid="{00000000-0005-0000-0000-0000EA5E0000}"/>
    <cellStyle name="Normal 2 2 54 34" xfId="25071" xr:uid="{00000000-0005-0000-0000-0000EB5E0000}"/>
    <cellStyle name="Normal 2 2 54 4" xfId="25072" xr:uid="{00000000-0005-0000-0000-0000EC5E0000}"/>
    <cellStyle name="Normal 2 2 54 5" xfId="25073" xr:uid="{00000000-0005-0000-0000-0000ED5E0000}"/>
    <cellStyle name="Normal 2 2 54 6" xfId="25074" xr:uid="{00000000-0005-0000-0000-0000EE5E0000}"/>
    <cellStyle name="Normal 2 2 54 7" xfId="25075" xr:uid="{00000000-0005-0000-0000-0000EF5E0000}"/>
    <cellStyle name="Normal 2 2 54 8" xfId="25076" xr:uid="{00000000-0005-0000-0000-0000F05E0000}"/>
    <cellStyle name="Normal 2 2 54 9" xfId="25077" xr:uid="{00000000-0005-0000-0000-0000F15E0000}"/>
    <cellStyle name="Normal 2 2 55" xfId="25078" xr:uid="{00000000-0005-0000-0000-0000F25E0000}"/>
    <cellStyle name="Normal 2 2 55 10" xfId="25079" xr:uid="{00000000-0005-0000-0000-0000F35E0000}"/>
    <cellStyle name="Normal 2 2 55 11" xfId="25080" xr:uid="{00000000-0005-0000-0000-0000F45E0000}"/>
    <cellStyle name="Normal 2 2 55 12" xfId="25081" xr:uid="{00000000-0005-0000-0000-0000F55E0000}"/>
    <cellStyle name="Normal 2 2 55 13" xfId="25082" xr:uid="{00000000-0005-0000-0000-0000F65E0000}"/>
    <cellStyle name="Normal 2 2 55 14" xfId="25083" xr:uid="{00000000-0005-0000-0000-0000F75E0000}"/>
    <cellStyle name="Normal 2 2 55 15" xfId="25084" xr:uid="{00000000-0005-0000-0000-0000F85E0000}"/>
    <cellStyle name="Normal 2 2 55 16" xfId="25085" xr:uid="{00000000-0005-0000-0000-0000F95E0000}"/>
    <cellStyle name="Normal 2 2 55 17" xfId="25086" xr:uid="{00000000-0005-0000-0000-0000FA5E0000}"/>
    <cellStyle name="Normal 2 2 55 18" xfId="25087" xr:uid="{00000000-0005-0000-0000-0000FB5E0000}"/>
    <cellStyle name="Normal 2 2 55 19" xfId="25088" xr:uid="{00000000-0005-0000-0000-0000FC5E0000}"/>
    <cellStyle name="Normal 2 2 55 2" xfId="25089" xr:uid="{00000000-0005-0000-0000-0000FD5E0000}"/>
    <cellStyle name="Normal 2 2 55 20" xfId="25090" xr:uid="{00000000-0005-0000-0000-0000FE5E0000}"/>
    <cellStyle name="Normal 2 2 55 21" xfId="25091" xr:uid="{00000000-0005-0000-0000-0000FF5E0000}"/>
    <cellStyle name="Normal 2 2 55 22" xfId="25092" xr:uid="{00000000-0005-0000-0000-0000005F0000}"/>
    <cellStyle name="Normal 2 2 55 23" xfId="25093" xr:uid="{00000000-0005-0000-0000-0000015F0000}"/>
    <cellStyle name="Normal 2 2 55 24" xfId="25094" xr:uid="{00000000-0005-0000-0000-0000025F0000}"/>
    <cellStyle name="Normal 2 2 55 25" xfId="25095" xr:uid="{00000000-0005-0000-0000-0000035F0000}"/>
    <cellStyle name="Normal 2 2 55 26" xfId="25096" xr:uid="{00000000-0005-0000-0000-0000045F0000}"/>
    <cellStyle name="Normal 2 2 55 27" xfId="25097" xr:uid="{00000000-0005-0000-0000-0000055F0000}"/>
    <cellStyle name="Normal 2 2 55 28" xfId="25098" xr:uid="{00000000-0005-0000-0000-0000065F0000}"/>
    <cellStyle name="Normal 2 2 55 29" xfId="25099" xr:uid="{00000000-0005-0000-0000-0000075F0000}"/>
    <cellStyle name="Normal 2 2 55 3" xfId="25100" xr:uid="{00000000-0005-0000-0000-0000085F0000}"/>
    <cellStyle name="Normal 2 2 55 30" xfId="25101" xr:uid="{00000000-0005-0000-0000-0000095F0000}"/>
    <cellStyle name="Normal 2 2 55 31" xfId="25102" xr:uid="{00000000-0005-0000-0000-00000A5F0000}"/>
    <cellStyle name="Normal 2 2 55 32" xfId="25103" xr:uid="{00000000-0005-0000-0000-00000B5F0000}"/>
    <cellStyle name="Normal 2 2 55 33" xfId="25104" xr:uid="{00000000-0005-0000-0000-00000C5F0000}"/>
    <cellStyle name="Normal 2 2 55 34" xfId="25105" xr:uid="{00000000-0005-0000-0000-00000D5F0000}"/>
    <cellStyle name="Normal 2 2 55 4" xfId="25106" xr:uid="{00000000-0005-0000-0000-00000E5F0000}"/>
    <cellStyle name="Normal 2 2 55 5" xfId="25107" xr:uid="{00000000-0005-0000-0000-00000F5F0000}"/>
    <cellStyle name="Normal 2 2 55 6" xfId="25108" xr:uid="{00000000-0005-0000-0000-0000105F0000}"/>
    <cellStyle name="Normal 2 2 55 7" xfId="25109" xr:uid="{00000000-0005-0000-0000-0000115F0000}"/>
    <cellStyle name="Normal 2 2 55 8" xfId="25110" xr:uid="{00000000-0005-0000-0000-0000125F0000}"/>
    <cellStyle name="Normal 2 2 55 9" xfId="25111" xr:uid="{00000000-0005-0000-0000-0000135F0000}"/>
    <cellStyle name="Normal 2 2 56" xfId="25112" xr:uid="{00000000-0005-0000-0000-0000145F0000}"/>
    <cellStyle name="Normal 2 2 56 10" xfId="25113" xr:uid="{00000000-0005-0000-0000-0000155F0000}"/>
    <cellStyle name="Normal 2 2 56 11" xfId="25114" xr:uid="{00000000-0005-0000-0000-0000165F0000}"/>
    <cellStyle name="Normal 2 2 56 12" xfId="25115" xr:uid="{00000000-0005-0000-0000-0000175F0000}"/>
    <cellStyle name="Normal 2 2 56 13" xfId="25116" xr:uid="{00000000-0005-0000-0000-0000185F0000}"/>
    <cellStyle name="Normal 2 2 56 14" xfId="25117" xr:uid="{00000000-0005-0000-0000-0000195F0000}"/>
    <cellStyle name="Normal 2 2 56 15" xfId="25118" xr:uid="{00000000-0005-0000-0000-00001A5F0000}"/>
    <cellStyle name="Normal 2 2 56 16" xfId="25119" xr:uid="{00000000-0005-0000-0000-00001B5F0000}"/>
    <cellStyle name="Normal 2 2 56 17" xfId="25120" xr:uid="{00000000-0005-0000-0000-00001C5F0000}"/>
    <cellStyle name="Normal 2 2 56 18" xfId="25121" xr:uid="{00000000-0005-0000-0000-00001D5F0000}"/>
    <cellStyle name="Normal 2 2 56 19" xfId="25122" xr:uid="{00000000-0005-0000-0000-00001E5F0000}"/>
    <cellStyle name="Normal 2 2 56 2" xfId="25123" xr:uid="{00000000-0005-0000-0000-00001F5F0000}"/>
    <cellStyle name="Normal 2 2 56 20" xfId="25124" xr:uid="{00000000-0005-0000-0000-0000205F0000}"/>
    <cellStyle name="Normal 2 2 56 21" xfId="25125" xr:uid="{00000000-0005-0000-0000-0000215F0000}"/>
    <cellStyle name="Normal 2 2 56 22" xfId="25126" xr:uid="{00000000-0005-0000-0000-0000225F0000}"/>
    <cellStyle name="Normal 2 2 56 23" xfId="25127" xr:uid="{00000000-0005-0000-0000-0000235F0000}"/>
    <cellStyle name="Normal 2 2 56 24" xfId="25128" xr:uid="{00000000-0005-0000-0000-0000245F0000}"/>
    <cellStyle name="Normal 2 2 56 25" xfId="25129" xr:uid="{00000000-0005-0000-0000-0000255F0000}"/>
    <cellStyle name="Normal 2 2 56 26" xfId="25130" xr:uid="{00000000-0005-0000-0000-0000265F0000}"/>
    <cellStyle name="Normal 2 2 56 27" xfId="25131" xr:uid="{00000000-0005-0000-0000-0000275F0000}"/>
    <cellStyle name="Normal 2 2 56 28" xfId="25132" xr:uid="{00000000-0005-0000-0000-0000285F0000}"/>
    <cellStyle name="Normal 2 2 56 29" xfId="25133" xr:uid="{00000000-0005-0000-0000-0000295F0000}"/>
    <cellStyle name="Normal 2 2 56 3" xfId="25134" xr:uid="{00000000-0005-0000-0000-00002A5F0000}"/>
    <cellStyle name="Normal 2 2 56 30" xfId="25135" xr:uid="{00000000-0005-0000-0000-00002B5F0000}"/>
    <cellStyle name="Normal 2 2 56 31" xfId="25136" xr:uid="{00000000-0005-0000-0000-00002C5F0000}"/>
    <cellStyle name="Normal 2 2 56 32" xfId="25137" xr:uid="{00000000-0005-0000-0000-00002D5F0000}"/>
    <cellStyle name="Normal 2 2 56 33" xfId="25138" xr:uid="{00000000-0005-0000-0000-00002E5F0000}"/>
    <cellStyle name="Normal 2 2 56 34" xfId="25139" xr:uid="{00000000-0005-0000-0000-00002F5F0000}"/>
    <cellStyle name="Normal 2 2 56 4" xfId="25140" xr:uid="{00000000-0005-0000-0000-0000305F0000}"/>
    <cellStyle name="Normal 2 2 56 5" xfId="25141" xr:uid="{00000000-0005-0000-0000-0000315F0000}"/>
    <cellStyle name="Normal 2 2 56 6" xfId="25142" xr:uid="{00000000-0005-0000-0000-0000325F0000}"/>
    <cellStyle name="Normal 2 2 56 7" xfId="25143" xr:uid="{00000000-0005-0000-0000-0000335F0000}"/>
    <cellStyle name="Normal 2 2 56 8" xfId="25144" xr:uid="{00000000-0005-0000-0000-0000345F0000}"/>
    <cellStyle name="Normal 2 2 56 9" xfId="25145" xr:uid="{00000000-0005-0000-0000-0000355F0000}"/>
    <cellStyle name="Normal 2 2 57" xfId="25146" xr:uid="{00000000-0005-0000-0000-0000365F0000}"/>
    <cellStyle name="Normal 2 2 57 2" xfId="25147" xr:uid="{00000000-0005-0000-0000-0000375F0000}"/>
    <cellStyle name="Normal 2 2 58" xfId="25148" xr:uid="{00000000-0005-0000-0000-0000385F0000}"/>
    <cellStyle name="Normal 2 2 58 2" xfId="25149" xr:uid="{00000000-0005-0000-0000-0000395F0000}"/>
    <cellStyle name="Normal 2 2 59" xfId="25150" xr:uid="{00000000-0005-0000-0000-00003A5F0000}"/>
    <cellStyle name="Normal 2 2 59 2" xfId="25151" xr:uid="{00000000-0005-0000-0000-00003B5F0000}"/>
    <cellStyle name="Normal 2 2 6" xfId="1935" xr:uid="{00000000-0005-0000-0000-00003C5F0000}"/>
    <cellStyle name="Normal 2 2 6 10" xfId="25152" xr:uid="{00000000-0005-0000-0000-00003D5F0000}"/>
    <cellStyle name="Normal 2 2 6 11" xfId="25153" xr:uid="{00000000-0005-0000-0000-00003E5F0000}"/>
    <cellStyle name="Normal 2 2 6 12" xfId="25154" xr:uid="{00000000-0005-0000-0000-00003F5F0000}"/>
    <cellStyle name="Normal 2 2 6 13" xfId="25155" xr:uid="{00000000-0005-0000-0000-0000405F0000}"/>
    <cellStyle name="Normal 2 2 6 14" xfId="25156" xr:uid="{00000000-0005-0000-0000-0000415F0000}"/>
    <cellStyle name="Normal 2 2 6 2" xfId="2512" xr:uid="{00000000-0005-0000-0000-0000425F0000}"/>
    <cellStyle name="Normal 2 2 6 2 2" xfId="25157" xr:uid="{00000000-0005-0000-0000-0000435F0000}"/>
    <cellStyle name="Normal 2 2 6 2 2 2" xfId="25158" xr:uid="{00000000-0005-0000-0000-0000445F0000}"/>
    <cellStyle name="Normal 2 2 6 2 2 2 2" xfId="25159" xr:uid="{00000000-0005-0000-0000-0000455F0000}"/>
    <cellStyle name="Normal 2 2 6 2 2 3" xfId="25160" xr:uid="{00000000-0005-0000-0000-0000465F0000}"/>
    <cellStyle name="Normal 2 2 6 2 3" xfId="25161" xr:uid="{00000000-0005-0000-0000-0000475F0000}"/>
    <cellStyle name="Normal 2 2 6 2 3 2" xfId="25162" xr:uid="{00000000-0005-0000-0000-0000485F0000}"/>
    <cellStyle name="Normal 2 2 6 2 4" xfId="25163" xr:uid="{00000000-0005-0000-0000-0000495F0000}"/>
    <cellStyle name="Normal 2 2 6 2 5" xfId="25164" xr:uid="{00000000-0005-0000-0000-00004A5F0000}"/>
    <cellStyle name="Normal 2 2 6 2 6" xfId="25165" xr:uid="{00000000-0005-0000-0000-00004B5F0000}"/>
    <cellStyle name="Normal 2 2 6 3" xfId="25166" xr:uid="{00000000-0005-0000-0000-00004C5F0000}"/>
    <cellStyle name="Normal 2 2 6 3 2" xfId="25167" xr:uid="{00000000-0005-0000-0000-00004D5F0000}"/>
    <cellStyle name="Normal 2 2 6 3 3" xfId="25168" xr:uid="{00000000-0005-0000-0000-00004E5F0000}"/>
    <cellStyle name="Normal 2 2 6 3 4" xfId="25169" xr:uid="{00000000-0005-0000-0000-00004F5F0000}"/>
    <cellStyle name="Normal 2 2 6 3 5" xfId="25170" xr:uid="{00000000-0005-0000-0000-0000505F0000}"/>
    <cellStyle name="Normal 2 2 6 3 6" xfId="25171" xr:uid="{00000000-0005-0000-0000-0000515F0000}"/>
    <cellStyle name="Normal 2 2 6 4" xfId="25172" xr:uid="{00000000-0005-0000-0000-0000525F0000}"/>
    <cellStyle name="Normal 2 2 6 4 2" xfId="25173" xr:uid="{00000000-0005-0000-0000-0000535F0000}"/>
    <cellStyle name="Normal 2 2 6 4 3" xfId="25174" xr:uid="{00000000-0005-0000-0000-0000545F0000}"/>
    <cellStyle name="Normal 2 2 6 4 4" xfId="25175" xr:uid="{00000000-0005-0000-0000-0000555F0000}"/>
    <cellStyle name="Normal 2 2 6 4 5" xfId="25176" xr:uid="{00000000-0005-0000-0000-0000565F0000}"/>
    <cellStyle name="Normal 2 2 6 4 6" xfId="25177" xr:uid="{00000000-0005-0000-0000-0000575F0000}"/>
    <cellStyle name="Normal 2 2 6 5" xfId="25178" xr:uid="{00000000-0005-0000-0000-0000585F0000}"/>
    <cellStyle name="Normal 2 2 6 5 2" xfId="25179" xr:uid="{00000000-0005-0000-0000-0000595F0000}"/>
    <cellStyle name="Normal 2 2 6 5 3" xfId="25180" xr:uid="{00000000-0005-0000-0000-00005A5F0000}"/>
    <cellStyle name="Normal 2 2 6 5 4" xfId="25181" xr:uid="{00000000-0005-0000-0000-00005B5F0000}"/>
    <cellStyle name="Normal 2 2 6 5 5" xfId="25182" xr:uid="{00000000-0005-0000-0000-00005C5F0000}"/>
    <cellStyle name="Normal 2 2 6 5 6" xfId="25183" xr:uid="{00000000-0005-0000-0000-00005D5F0000}"/>
    <cellStyle name="Normal 2 2 6 6" xfId="25184" xr:uid="{00000000-0005-0000-0000-00005E5F0000}"/>
    <cellStyle name="Normal 2 2 6 6 2" xfId="25185" xr:uid="{00000000-0005-0000-0000-00005F5F0000}"/>
    <cellStyle name="Normal 2 2 6 6 3" xfId="25186" xr:uid="{00000000-0005-0000-0000-0000605F0000}"/>
    <cellStyle name="Normal 2 2 6 6 4" xfId="25187" xr:uid="{00000000-0005-0000-0000-0000615F0000}"/>
    <cellStyle name="Normal 2 2 6 6 5" xfId="25188" xr:uid="{00000000-0005-0000-0000-0000625F0000}"/>
    <cellStyle name="Normal 2 2 6 6 6" xfId="25189" xr:uid="{00000000-0005-0000-0000-0000635F0000}"/>
    <cellStyle name="Normal 2 2 6 7" xfId="25190" xr:uid="{00000000-0005-0000-0000-0000645F0000}"/>
    <cellStyle name="Normal 2 2 6 7 2" xfId="25191" xr:uid="{00000000-0005-0000-0000-0000655F0000}"/>
    <cellStyle name="Normal 2 2 6 7 3" xfId="25192" xr:uid="{00000000-0005-0000-0000-0000665F0000}"/>
    <cellStyle name="Normal 2 2 6 7 4" xfId="25193" xr:uid="{00000000-0005-0000-0000-0000675F0000}"/>
    <cellStyle name="Normal 2 2 6 7 5" xfId="25194" xr:uid="{00000000-0005-0000-0000-0000685F0000}"/>
    <cellStyle name="Normal 2 2 6 7 6" xfId="25195" xr:uid="{00000000-0005-0000-0000-0000695F0000}"/>
    <cellStyle name="Normal 2 2 6 8" xfId="25196" xr:uid="{00000000-0005-0000-0000-00006A5F0000}"/>
    <cellStyle name="Normal 2 2 6 8 2" xfId="25197" xr:uid="{00000000-0005-0000-0000-00006B5F0000}"/>
    <cellStyle name="Normal 2 2 6 8 3" xfId="25198" xr:uid="{00000000-0005-0000-0000-00006C5F0000}"/>
    <cellStyle name="Normal 2 2 6 8 4" xfId="25199" xr:uid="{00000000-0005-0000-0000-00006D5F0000}"/>
    <cellStyle name="Normal 2 2 6 8 5" xfId="25200" xr:uid="{00000000-0005-0000-0000-00006E5F0000}"/>
    <cellStyle name="Normal 2 2 6 8 6" xfId="25201" xr:uid="{00000000-0005-0000-0000-00006F5F0000}"/>
    <cellStyle name="Normal 2 2 6 9" xfId="25202" xr:uid="{00000000-0005-0000-0000-0000705F0000}"/>
    <cellStyle name="Normal 2 2 60" xfId="25203" xr:uid="{00000000-0005-0000-0000-0000715F0000}"/>
    <cellStyle name="Normal 2 2 60 2" xfId="25204" xr:uid="{00000000-0005-0000-0000-0000725F0000}"/>
    <cellStyle name="Normal 2 2 61" xfId="25205" xr:uid="{00000000-0005-0000-0000-0000735F0000}"/>
    <cellStyle name="Normal 2 2 61 2" xfId="25206" xr:uid="{00000000-0005-0000-0000-0000745F0000}"/>
    <cellStyle name="Normal 2 2 61 3" xfId="25207" xr:uid="{00000000-0005-0000-0000-0000755F0000}"/>
    <cellStyle name="Normal 2 2 61 4" xfId="25208" xr:uid="{00000000-0005-0000-0000-0000765F0000}"/>
    <cellStyle name="Normal 2 2 61 5" xfId="25209" xr:uid="{00000000-0005-0000-0000-0000775F0000}"/>
    <cellStyle name="Normal 2 2 61 6" xfId="25210" xr:uid="{00000000-0005-0000-0000-0000785F0000}"/>
    <cellStyle name="Normal 2 2 61 7" xfId="25211" xr:uid="{00000000-0005-0000-0000-0000795F0000}"/>
    <cellStyle name="Normal 2 2 62" xfId="25212" xr:uid="{00000000-0005-0000-0000-00007A5F0000}"/>
    <cellStyle name="Normal 2 2 62 2" xfId="25213" xr:uid="{00000000-0005-0000-0000-00007B5F0000}"/>
    <cellStyle name="Normal 2 2 62 3" xfId="25214" xr:uid="{00000000-0005-0000-0000-00007C5F0000}"/>
    <cellStyle name="Normal 2 2 62 4" xfId="25215" xr:uid="{00000000-0005-0000-0000-00007D5F0000}"/>
    <cellStyle name="Normal 2 2 62 5" xfId="25216" xr:uid="{00000000-0005-0000-0000-00007E5F0000}"/>
    <cellStyle name="Normal 2 2 62 6" xfId="25217" xr:uid="{00000000-0005-0000-0000-00007F5F0000}"/>
    <cellStyle name="Normal 2 2 62 7" xfId="25218" xr:uid="{00000000-0005-0000-0000-0000805F0000}"/>
    <cellStyle name="Normal 2 2 63" xfId="25219" xr:uid="{00000000-0005-0000-0000-0000815F0000}"/>
    <cellStyle name="Normal 2 2 63 2" xfId="25220" xr:uid="{00000000-0005-0000-0000-0000825F0000}"/>
    <cellStyle name="Normal 2 2 63 3" xfId="25221" xr:uid="{00000000-0005-0000-0000-0000835F0000}"/>
    <cellStyle name="Normal 2 2 63 4" xfId="25222" xr:uid="{00000000-0005-0000-0000-0000845F0000}"/>
    <cellStyle name="Normal 2 2 63 5" xfId="25223" xr:uid="{00000000-0005-0000-0000-0000855F0000}"/>
    <cellStyle name="Normal 2 2 63 6" xfId="25224" xr:uid="{00000000-0005-0000-0000-0000865F0000}"/>
    <cellStyle name="Normal 2 2 63 7" xfId="25225" xr:uid="{00000000-0005-0000-0000-0000875F0000}"/>
    <cellStyle name="Normal 2 2 64" xfId="25226" xr:uid="{00000000-0005-0000-0000-0000885F0000}"/>
    <cellStyle name="Normal 2 2 64 2" xfId="25227" xr:uid="{00000000-0005-0000-0000-0000895F0000}"/>
    <cellStyle name="Normal 2 2 64 3" xfId="25228" xr:uid="{00000000-0005-0000-0000-00008A5F0000}"/>
    <cellStyle name="Normal 2 2 64 4" xfId="25229" xr:uid="{00000000-0005-0000-0000-00008B5F0000}"/>
    <cellStyle name="Normal 2 2 64 5" xfId="25230" xr:uid="{00000000-0005-0000-0000-00008C5F0000}"/>
    <cellStyle name="Normal 2 2 64 6" xfId="25231" xr:uid="{00000000-0005-0000-0000-00008D5F0000}"/>
    <cellStyle name="Normal 2 2 65" xfId="25232" xr:uid="{00000000-0005-0000-0000-00008E5F0000}"/>
    <cellStyle name="Normal 2 2 65 2" xfId="25233" xr:uid="{00000000-0005-0000-0000-00008F5F0000}"/>
    <cellStyle name="Normal 2 2 65 2 2" xfId="25234" xr:uid="{00000000-0005-0000-0000-0000905F0000}"/>
    <cellStyle name="Normal 2 2 65 2 2 2" xfId="25235" xr:uid="{00000000-0005-0000-0000-0000915F0000}"/>
    <cellStyle name="Normal 2 2 65 2 2 3" xfId="25236" xr:uid="{00000000-0005-0000-0000-0000925F0000}"/>
    <cellStyle name="Normal 2 2 65 2 2 4" xfId="25237" xr:uid="{00000000-0005-0000-0000-0000935F0000}"/>
    <cellStyle name="Normal 2 2 65 2 2 5" xfId="25238" xr:uid="{00000000-0005-0000-0000-0000945F0000}"/>
    <cellStyle name="Normal 2 2 65 2 2 6" xfId="25239" xr:uid="{00000000-0005-0000-0000-0000955F0000}"/>
    <cellStyle name="Normal 2 2 65 2 2 7" xfId="25240" xr:uid="{00000000-0005-0000-0000-0000965F0000}"/>
    <cellStyle name="Normal 2 2 65 3" xfId="25241" xr:uid="{00000000-0005-0000-0000-0000975F0000}"/>
    <cellStyle name="Normal 2 2 65 4" xfId="25242" xr:uid="{00000000-0005-0000-0000-0000985F0000}"/>
    <cellStyle name="Normal 2 2 65 5" xfId="25243" xr:uid="{00000000-0005-0000-0000-0000995F0000}"/>
    <cellStyle name="Normal 2 2 65 6" xfId="25244" xr:uid="{00000000-0005-0000-0000-00009A5F0000}"/>
    <cellStyle name="Normal 2 2 65 7" xfId="25245" xr:uid="{00000000-0005-0000-0000-00009B5F0000}"/>
    <cellStyle name="Normal 2 2 65 8" xfId="25246" xr:uid="{00000000-0005-0000-0000-00009C5F0000}"/>
    <cellStyle name="Normal 2 2 66" xfId="25247" xr:uid="{00000000-0005-0000-0000-00009D5F0000}"/>
    <cellStyle name="Normal 2 2 66 2" xfId="25248" xr:uid="{00000000-0005-0000-0000-00009E5F0000}"/>
    <cellStyle name="Normal 2 2 67" xfId="25249" xr:uid="{00000000-0005-0000-0000-00009F5F0000}"/>
    <cellStyle name="Normal 2 2 67 2" xfId="25250" xr:uid="{00000000-0005-0000-0000-0000A05F0000}"/>
    <cellStyle name="Normal 2 2 68" xfId="25251" xr:uid="{00000000-0005-0000-0000-0000A15F0000}"/>
    <cellStyle name="Normal 2 2 69" xfId="25252" xr:uid="{00000000-0005-0000-0000-0000A25F0000}"/>
    <cellStyle name="Normal 2 2 7" xfId="2513" xr:uid="{00000000-0005-0000-0000-0000A35F0000}"/>
    <cellStyle name="Normal 2 2 7 10" xfId="25253" xr:uid="{00000000-0005-0000-0000-0000A45F0000}"/>
    <cellStyle name="Normal 2 2 7 11" xfId="25254" xr:uid="{00000000-0005-0000-0000-0000A55F0000}"/>
    <cellStyle name="Normal 2 2 7 12" xfId="25255" xr:uid="{00000000-0005-0000-0000-0000A65F0000}"/>
    <cellStyle name="Normal 2 2 7 13" xfId="25256" xr:uid="{00000000-0005-0000-0000-0000A75F0000}"/>
    <cellStyle name="Normal 2 2 7 14" xfId="25257" xr:uid="{00000000-0005-0000-0000-0000A85F0000}"/>
    <cellStyle name="Normal 2 2 7 15" xfId="43328" xr:uid="{00000000-0005-0000-0000-0000A95F0000}"/>
    <cellStyle name="Normal 2 2 7 2" xfId="25258" xr:uid="{00000000-0005-0000-0000-0000AA5F0000}"/>
    <cellStyle name="Normal 2 2 7 2 2" xfId="25259" xr:uid="{00000000-0005-0000-0000-0000AB5F0000}"/>
    <cellStyle name="Normal 2 2 7 2 2 2" xfId="25260" xr:uid="{00000000-0005-0000-0000-0000AC5F0000}"/>
    <cellStyle name="Normal 2 2 7 2 3" xfId="25261" xr:uid="{00000000-0005-0000-0000-0000AD5F0000}"/>
    <cellStyle name="Normal 2 2 7 2 4" xfId="25262" xr:uid="{00000000-0005-0000-0000-0000AE5F0000}"/>
    <cellStyle name="Normal 2 2 7 2 5" xfId="25263" xr:uid="{00000000-0005-0000-0000-0000AF5F0000}"/>
    <cellStyle name="Normal 2 2 7 2 6" xfId="25264" xr:uid="{00000000-0005-0000-0000-0000B05F0000}"/>
    <cellStyle name="Normal 2 2 7 2 7" xfId="25265" xr:uid="{00000000-0005-0000-0000-0000B15F0000}"/>
    <cellStyle name="Normal 2 2 7 3" xfId="25266" xr:uid="{00000000-0005-0000-0000-0000B25F0000}"/>
    <cellStyle name="Normal 2 2 7 3 2" xfId="25267" xr:uid="{00000000-0005-0000-0000-0000B35F0000}"/>
    <cellStyle name="Normal 2 2 7 3 3" xfId="25268" xr:uid="{00000000-0005-0000-0000-0000B45F0000}"/>
    <cellStyle name="Normal 2 2 7 3 4" xfId="25269" xr:uid="{00000000-0005-0000-0000-0000B55F0000}"/>
    <cellStyle name="Normal 2 2 7 3 5" xfId="25270" xr:uid="{00000000-0005-0000-0000-0000B65F0000}"/>
    <cellStyle name="Normal 2 2 7 3 6" xfId="25271" xr:uid="{00000000-0005-0000-0000-0000B75F0000}"/>
    <cellStyle name="Normal 2 2 7 4" xfId="25272" xr:uid="{00000000-0005-0000-0000-0000B85F0000}"/>
    <cellStyle name="Normal 2 2 7 4 2" xfId="25273" xr:uid="{00000000-0005-0000-0000-0000B95F0000}"/>
    <cellStyle name="Normal 2 2 7 4 3" xfId="25274" xr:uid="{00000000-0005-0000-0000-0000BA5F0000}"/>
    <cellStyle name="Normal 2 2 7 4 4" xfId="25275" xr:uid="{00000000-0005-0000-0000-0000BB5F0000}"/>
    <cellStyle name="Normal 2 2 7 4 5" xfId="25276" xr:uid="{00000000-0005-0000-0000-0000BC5F0000}"/>
    <cellStyle name="Normal 2 2 7 4 6" xfId="25277" xr:uid="{00000000-0005-0000-0000-0000BD5F0000}"/>
    <cellStyle name="Normal 2 2 7 5" xfId="25278" xr:uid="{00000000-0005-0000-0000-0000BE5F0000}"/>
    <cellStyle name="Normal 2 2 7 5 2" xfId="25279" xr:uid="{00000000-0005-0000-0000-0000BF5F0000}"/>
    <cellStyle name="Normal 2 2 7 5 3" xfId="25280" xr:uid="{00000000-0005-0000-0000-0000C05F0000}"/>
    <cellStyle name="Normal 2 2 7 5 4" xfId="25281" xr:uid="{00000000-0005-0000-0000-0000C15F0000}"/>
    <cellStyle name="Normal 2 2 7 5 5" xfId="25282" xr:uid="{00000000-0005-0000-0000-0000C25F0000}"/>
    <cellStyle name="Normal 2 2 7 5 6" xfId="25283" xr:uid="{00000000-0005-0000-0000-0000C35F0000}"/>
    <cellStyle name="Normal 2 2 7 6" xfId="25284" xr:uid="{00000000-0005-0000-0000-0000C45F0000}"/>
    <cellStyle name="Normal 2 2 7 6 2" xfId="25285" xr:uid="{00000000-0005-0000-0000-0000C55F0000}"/>
    <cellStyle name="Normal 2 2 7 6 3" xfId="25286" xr:uid="{00000000-0005-0000-0000-0000C65F0000}"/>
    <cellStyle name="Normal 2 2 7 6 4" xfId="25287" xr:uid="{00000000-0005-0000-0000-0000C75F0000}"/>
    <cellStyle name="Normal 2 2 7 6 5" xfId="25288" xr:uid="{00000000-0005-0000-0000-0000C85F0000}"/>
    <cellStyle name="Normal 2 2 7 6 6" xfId="25289" xr:uid="{00000000-0005-0000-0000-0000C95F0000}"/>
    <cellStyle name="Normal 2 2 7 7" xfId="25290" xr:uid="{00000000-0005-0000-0000-0000CA5F0000}"/>
    <cellStyle name="Normal 2 2 7 7 2" xfId="25291" xr:uid="{00000000-0005-0000-0000-0000CB5F0000}"/>
    <cellStyle name="Normal 2 2 7 7 3" xfId="25292" xr:uid="{00000000-0005-0000-0000-0000CC5F0000}"/>
    <cellStyle name="Normal 2 2 7 7 4" xfId="25293" xr:uid="{00000000-0005-0000-0000-0000CD5F0000}"/>
    <cellStyle name="Normal 2 2 7 7 5" xfId="25294" xr:uid="{00000000-0005-0000-0000-0000CE5F0000}"/>
    <cellStyle name="Normal 2 2 7 7 6" xfId="25295" xr:uid="{00000000-0005-0000-0000-0000CF5F0000}"/>
    <cellStyle name="Normal 2 2 7 8" xfId="25296" xr:uid="{00000000-0005-0000-0000-0000D05F0000}"/>
    <cellStyle name="Normal 2 2 7 8 2" xfId="25297" xr:uid="{00000000-0005-0000-0000-0000D15F0000}"/>
    <cellStyle name="Normal 2 2 7 8 3" xfId="25298" xr:uid="{00000000-0005-0000-0000-0000D25F0000}"/>
    <cellStyle name="Normal 2 2 7 8 4" xfId="25299" xr:uid="{00000000-0005-0000-0000-0000D35F0000}"/>
    <cellStyle name="Normal 2 2 7 8 5" xfId="25300" xr:uid="{00000000-0005-0000-0000-0000D45F0000}"/>
    <cellStyle name="Normal 2 2 7 8 6" xfId="25301" xr:uid="{00000000-0005-0000-0000-0000D55F0000}"/>
    <cellStyle name="Normal 2 2 7 9" xfId="25302" xr:uid="{00000000-0005-0000-0000-0000D65F0000}"/>
    <cellStyle name="Normal 2 2 70" xfId="25303" xr:uid="{00000000-0005-0000-0000-0000D75F0000}"/>
    <cellStyle name="Normal 2 2 71" xfId="25304" xr:uid="{00000000-0005-0000-0000-0000D85F0000}"/>
    <cellStyle name="Normal 2 2 72" xfId="25305" xr:uid="{00000000-0005-0000-0000-0000D95F0000}"/>
    <cellStyle name="Normal 2 2 73" xfId="25306" xr:uid="{00000000-0005-0000-0000-0000DA5F0000}"/>
    <cellStyle name="Normal 2 2 74" xfId="25307" xr:uid="{00000000-0005-0000-0000-0000DB5F0000}"/>
    <cellStyle name="Normal 2 2 75" xfId="25308" xr:uid="{00000000-0005-0000-0000-0000DC5F0000}"/>
    <cellStyle name="Normal 2 2 76" xfId="25309" xr:uid="{00000000-0005-0000-0000-0000DD5F0000}"/>
    <cellStyle name="Normal 2 2 77" xfId="25310" xr:uid="{00000000-0005-0000-0000-0000DE5F0000}"/>
    <cellStyle name="Normal 2 2 78" xfId="25311" xr:uid="{00000000-0005-0000-0000-0000DF5F0000}"/>
    <cellStyle name="Normal 2 2 79" xfId="25312" xr:uid="{00000000-0005-0000-0000-0000E05F0000}"/>
    <cellStyle name="Normal 2 2 8" xfId="2514" xr:uid="{00000000-0005-0000-0000-0000E15F0000}"/>
    <cellStyle name="Normal 2 2 8 10" xfId="25313" xr:uid="{00000000-0005-0000-0000-0000E25F0000}"/>
    <cellStyle name="Normal 2 2 8 11" xfId="25314" xr:uid="{00000000-0005-0000-0000-0000E35F0000}"/>
    <cellStyle name="Normal 2 2 8 12" xfId="25315" xr:uid="{00000000-0005-0000-0000-0000E45F0000}"/>
    <cellStyle name="Normal 2 2 8 13" xfId="25316" xr:uid="{00000000-0005-0000-0000-0000E55F0000}"/>
    <cellStyle name="Normal 2 2 8 14" xfId="25317" xr:uid="{00000000-0005-0000-0000-0000E65F0000}"/>
    <cellStyle name="Normal 2 2 8 15" xfId="43329" xr:uid="{00000000-0005-0000-0000-0000E75F0000}"/>
    <cellStyle name="Normal 2 2 8 2" xfId="25318" xr:uid="{00000000-0005-0000-0000-0000E85F0000}"/>
    <cellStyle name="Normal 2 2 8 2 2" xfId="25319" xr:uid="{00000000-0005-0000-0000-0000E95F0000}"/>
    <cellStyle name="Normal 2 2 8 2 3" xfId="25320" xr:uid="{00000000-0005-0000-0000-0000EA5F0000}"/>
    <cellStyle name="Normal 2 2 8 2 4" xfId="25321" xr:uid="{00000000-0005-0000-0000-0000EB5F0000}"/>
    <cellStyle name="Normal 2 2 8 2 5" xfId="25322" xr:uid="{00000000-0005-0000-0000-0000EC5F0000}"/>
    <cellStyle name="Normal 2 2 8 2 6" xfId="25323" xr:uid="{00000000-0005-0000-0000-0000ED5F0000}"/>
    <cellStyle name="Normal 2 2 8 3" xfId="25324" xr:uid="{00000000-0005-0000-0000-0000EE5F0000}"/>
    <cellStyle name="Normal 2 2 8 3 2" xfId="25325" xr:uid="{00000000-0005-0000-0000-0000EF5F0000}"/>
    <cellStyle name="Normal 2 2 8 3 3" xfId="25326" xr:uid="{00000000-0005-0000-0000-0000F05F0000}"/>
    <cellStyle name="Normal 2 2 8 3 4" xfId="25327" xr:uid="{00000000-0005-0000-0000-0000F15F0000}"/>
    <cellStyle name="Normal 2 2 8 3 5" xfId="25328" xr:uid="{00000000-0005-0000-0000-0000F25F0000}"/>
    <cellStyle name="Normal 2 2 8 3 6" xfId="25329" xr:uid="{00000000-0005-0000-0000-0000F35F0000}"/>
    <cellStyle name="Normal 2 2 8 4" xfId="25330" xr:uid="{00000000-0005-0000-0000-0000F45F0000}"/>
    <cellStyle name="Normal 2 2 8 4 2" xfId="25331" xr:uid="{00000000-0005-0000-0000-0000F55F0000}"/>
    <cellStyle name="Normal 2 2 8 4 3" xfId="25332" xr:uid="{00000000-0005-0000-0000-0000F65F0000}"/>
    <cellStyle name="Normal 2 2 8 4 4" xfId="25333" xr:uid="{00000000-0005-0000-0000-0000F75F0000}"/>
    <cellStyle name="Normal 2 2 8 4 5" xfId="25334" xr:uid="{00000000-0005-0000-0000-0000F85F0000}"/>
    <cellStyle name="Normal 2 2 8 4 6" xfId="25335" xr:uid="{00000000-0005-0000-0000-0000F95F0000}"/>
    <cellStyle name="Normal 2 2 8 5" xfId="25336" xr:uid="{00000000-0005-0000-0000-0000FA5F0000}"/>
    <cellStyle name="Normal 2 2 8 5 2" xfId="25337" xr:uid="{00000000-0005-0000-0000-0000FB5F0000}"/>
    <cellStyle name="Normal 2 2 8 5 3" xfId="25338" xr:uid="{00000000-0005-0000-0000-0000FC5F0000}"/>
    <cellStyle name="Normal 2 2 8 5 4" xfId="25339" xr:uid="{00000000-0005-0000-0000-0000FD5F0000}"/>
    <cellStyle name="Normal 2 2 8 5 5" xfId="25340" xr:uid="{00000000-0005-0000-0000-0000FE5F0000}"/>
    <cellStyle name="Normal 2 2 8 5 6" xfId="25341" xr:uid="{00000000-0005-0000-0000-0000FF5F0000}"/>
    <cellStyle name="Normal 2 2 8 6" xfId="25342" xr:uid="{00000000-0005-0000-0000-000000600000}"/>
    <cellStyle name="Normal 2 2 8 6 2" xfId="25343" xr:uid="{00000000-0005-0000-0000-000001600000}"/>
    <cellStyle name="Normal 2 2 8 6 3" xfId="25344" xr:uid="{00000000-0005-0000-0000-000002600000}"/>
    <cellStyle name="Normal 2 2 8 6 4" xfId="25345" xr:uid="{00000000-0005-0000-0000-000003600000}"/>
    <cellStyle name="Normal 2 2 8 6 5" xfId="25346" xr:uid="{00000000-0005-0000-0000-000004600000}"/>
    <cellStyle name="Normal 2 2 8 6 6" xfId="25347" xr:uid="{00000000-0005-0000-0000-000005600000}"/>
    <cellStyle name="Normal 2 2 8 7" xfId="25348" xr:uid="{00000000-0005-0000-0000-000006600000}"/>
    <cellStyle name="Normal 2 2 8 7 2" xfId="25349" xr:uid="{00000000-0005-0000-0000-000007600000}"/>
    <cellStyle name="Normal 2 2 8 7 3" xfId="25350" xr:uid="{00000000-0005-0000-0000-000008600000}"/>
    <cellStyle name="Normal 2 2 8 7 4" xfId="25351" xr:uid="{00000000-0005-0000-0000-000009600000}"/>
    <cellStyle name="Normal 2 2 8 7 5" xfId="25352" xr:uid="{00000000-0005-0000-0000-00000A600000}"/>
    <cellStyle name="Normal 2 2 8 7 6" xfId="25353" xr:uid="{00000000-0005-0000-0000-00000B600000}"/>
    <cellStyle name="Normal 2 2 8 8" xfId="25354" xr:uid="{00000000-0005-0000-0000-00000C600000}"/>
    <cellStyle name="Normal 2 2 8 8 2" xfId="25355" xr:uid="{00000000-0005-0000-0000-00000D600000}"/>
    <cellStyle name="Normal 2 2 8 8 3" xfId="25356" xr:uid="{00000000-0005-0000-0000-00000E600000}"/>
    <cellStyle name="Normal 2 2 8 8 4" xfId="25357" xr:uid="{00000000-0005-0000-0000-00000F600000}"/>
    <cellStyle name="Normal 2 2 8 8 5" xfId="25358" xr:uid="{00000000-0005-0000-0000-000010600000}"/>
    <cellStyle name="Normal 2 2 8 8 6" xfId="25359" xr:uid="{00000000-0005-0000-0000-000011600000}"/>
    <cellStyle name="Normal 2 2 8 9" xfId="25360" xr:uid="{00000000-0005-0000-0000-000012600000}"/>
    <cellStyle name="Normal 2 2 80" xfId="25361" xr:uid="{00000000-0005-0000-0000-000013600000}"/>
    <cellStyle name="Normal 2 2 81" xfId="25362" xr:uid="{00000000-0005-0000-0000-000014600000}"/>
    <cellStyle name="Normal 2 2 82" xfId="25363" xr:uid="{00000000-0005-0000-0000-000015600000}"/>
    <cellStyle name="Normal 2 2 83" xfId="25364" xr:uid="{00000000-0005-0000-0000-000016600000}"/>
    <cellStyle name="Normal 2 2 84" xfId="25365" xr:uid="{00000000-0005-0000-0000-000017600000}"/>
    <cellStyle name="Normal 2 2 85" xfId="25366" xr:uid="{00000000-0005-0000-0000-000018600000}"/>
    <cellStyle name="Normal 2 2 85 2" xfId="25367" xr:uid="{00000000-0005-0000-0000-000019600000}"/>
    <cellStyle name="Normal 2 2 85 3" xfId="25368" xr:uid="{00000000-0005-0000-0000-00001A600000}"/>
    <cellStyle name="Normal 2 2 85 4" xfId="25369" xr:uid="{00000000-0005-0000-0000-00001B600000}"/>
    <cellStyle name="Normal 2 2 85 5" xfId="25370" xr:uid="{00000000-0005-0000-0000-00001C600000}"/>
    <cellStyle name="Normal 2 2 85 6" xfId="25371" xr:uid="{00000000-0005-0000-0000-00001D600000}"/>
    <cellStyle name="Normal 2 2 85 7" xfId="25372" xr:uid="{00000000-0005-0000-0000-00001E600000}"/>
    <cellStyle name="Normal 2 2 86" xfId="25373" xr:uid="{00000000-0005-0000-0000-00001F600000}"/>
    <cellStyle name="Normal 2 2 86 10" xfId="25374" xr:uid="{00000000-0005-0000-0000-000020600000}"/>
    <cellStyle name="Normal 2 2 86 11" xfId="25375" xr:uid="{00000000-0005-0000-0000-000021600000}"/>
    <cellStyle name="Normal 2 2 86 2" xfId="25376" xr:uid="{00000000-0005-0000-0000-000022600000}"/>
    <cellStyle name="Normal 2 2 86 2 2" xfId="25377" xr:uid="{00000000-0005-0000-0000-000023600000}"/>
    <cellStyle name="Normal 2 2 86 2 2 2" xfId="25378" xr:uid="{00000000-0005-0000-0000-000024600000}"/>
    <cellStyle name="Normal 2 2 86 2 2 3" xfId="25379" xr:uid="{00000000-0005-0000-0000-000025600000}"/>
    <cellStyle name="Normal 2 2 86 2 3" xfId="25380" xr:uid="{00000000-0005-0000-0000-000026600000}"/>
    <cellStyle name="Normal 2 2 86 2 4" xfId="25381" xr:uid="{00000000-0005-0000-0000-000027600000}"/>
    <cellStyle name="Normal 2 2 86 2 5" xfId="25382" xr:uid="{00000000-0005-0000-0000-000028600000}"/>
    <cellStyle name="Normal 2 2 86 2 6" xfId="25383" xr:uid="{00000000-0005-0000-0000-000029600000}"/>
    <cellStyle name="Normal 2 2 86 2 7" xfId="25384" xr:uid="{00000000-0005-0000-0000-00002A600000}"/>
    <cellStyle name="Normal 2 2 86 2 8" xfId="25385" xr:uid="{00000000-0005-0000-0000-00002B600000}"/>
    <cellStyle name="Normal 2 2 86 2 9" xfId="25386" xr:uid="{00000000-0005-0000-0000-00002C600000}"/>
    <cellStyle name="Normal 2 2 86 3" xfId="25387" xr:uid="{00000000-0005-0000-0000-00002D600000}"/>
    <cellStyle name="Normal 2 2 86 4" xfId="25388" xr:uid="{00000000-0005-0000-0000-00002E600000}"/>
    <cellStyle name="Normal 2 2 86 5" xfId="25389" xr:uid="{00000000-0005-0000-0000-00002F600000}"/>
    <cellStyle name="Normal 2 2 86 5 2" xfId="25390" xr:uid="{00000000-0005-0000-0000-000030600000}"/>
    <cellStyle name="Normal 2 2 86 5 3" xfId="25391" xr:uid="{00000000-0005-0000-0000-000031600000}"/>
    <cellStyle name="Normal 2 2 86 6" xfId="25392" xr:uid="{00000000-0005-0000-0000-000032600000}"/>
    <cellStyle name="Normal 2 2 86 7" xfId="25393" xr:uid="{00000000-0005-0000-0000-000033600000}"/>
    <cellStyle name="Normal 2 2 86 8" xfId="25394" xr:uid="{00000000-0005-0000-0000-000034600000}"/>
    <cellStyle name="Normal 2 2 86 9" xfId="25395" xr:uid="{00000000-0005-0000-0000-000035600000}"/>
    <cellStyle name="Normal 2 2 87" xfId="25396" xr:uid="{00000000-0005-0000-0000-000036600000}"/>
    <cellStyle name="Normal 2 2 87 2" xfId="25397" xr:uid="{00000000-0005-0000-0000-000037600000}"/>
    <cellStyle name="Normal 2 2 87 3" xfId="25398" xr:uid="{00000000-0005-0000-0000-000038600000}"/>
    <cellStyle name="Normal 2 2 87 4" xfId="25399" xr:uid="{00000000-0005-0000-0000-000039600000}"/>
    <cellStyle name="Normal 2 2 87 5" xfId="25400" xr:uid="{00000000-0005-0000-0000-00003A600000}"/>
    <cellStyle name="Normal 2 2 87 6" xfId="25401" xr:uid="{00000000-0005-0000-0000-00003B600000}"/>
    <cellStyle name="Normal 2 2 87 7" xfId="25402" xr:uid="{00000000-0005-0000-0000-00003C600000}"/>
    <cellStyle name="Normal 2 2 87 8" xfId="25403" xr:uid="{00000000-0005-0000-0000-00003D600000}"/>
    <cellStyle name="Normal 2 2 88" xfId="25404" xr:uid="{00000000-0005-0000-0000-00003E600000}"/>
    <cellStyle name="Normal 2 2 88 2" xfId="25405" xr:uid="{00000000-0005-0000-0000-00003F600000}"/>
    <cellStyle name="Normal 2 2 88 3" xfId="25406" xr:uid="{00000000-0005-0000-0000-000040600000}"/>
    <cellStyle name="Normal 2 2 88 4" xfId="25407" xr:uid="{00000000-0005-0000-0000-000041600000}"/>
    <cellStyle name="Normal 2 2 88 5" xfId="25408" xr:uid="{00000000-0005-0000-0000-000042600000}"/>
    <cellStyle name="Normal 2 2 88 6" xfId="25409" xr:uid="{00000000-0005-0000-0000-000043600000}"/>
    <cellStyle name="Normal 2 2 88 7" xfId="25410" xr:uid="{00000000-0005-0000-0000-000044600000}"/>
    <cellStyle name="Normal 2 2 88 8" xfId="25411" xr:uid="{00000000-0005-0000-0000-000045600000}"/>
    <cellStyle name="Normal 2 2 89" xfId="25412" xr:uid="{00000000-0005-0000-0000-000046600000}"/>
    <cellStyle name="Normal 2 2 89 2" xfId="25413" xr:uid="{00000000-0005-0000-0000-000047600000}"/>
    <cellStyle name="Normal 2 2 89 2 2" xfId="25414" xr:uid="{00000000-0005-0000-0000-000048600000}"/>
    <cellStyle name="Normal 2 2 89 2 3" xfId="25415" xr:uid="{00000000-0005-0000-0000-000049600000}"/>
    <cellStyle name="Normal 2 2 89 3" xfId="25416" xr:uid="{00000000-0005-0000-0000-00004A600000}"/>
    <cellStyle name="Normal 2 2 89 4" xfId="25417" xr:uid="{00000000-0005-0000-0000-00004B600000}"/>
    <cellStyle name="Normal 2 2 89 5" xfId="25418" xr:uid="{00000000-0005-0000-0000-00004C600000}"/>
    <cellStyle name="Normal 2 2 89 6" xfId="25419" xr:uid="{00000000-0005-0000-0000-00004D600000}"/>
    <cellStyle name="Normal 2 2 89 7" xfId="25420" xr:uid="{00000000-0005-0000-0000-00004E600000}"/>
    <cellStyle name="Normal 2 2 89 8" xfId="25421" xr:uid="{00000000-0005-0000-0000-00004F600000}"/>
    <cellStyle name="Normal 2 2 89 9" xfId="25422" xr:uid="{00000000-0005-0000-0000-000050600000}"/>
    <cellStyle name="Normal 2 2 9" xfId="2422" xr:uid="{00000000-0005-0000-0000-000051600000}"/>
    <cellStyle name="Normal 2 2 9 10" xfId="25423" xr:uid="{00000000-0005-0000-0000-000052600000}"/>
    <cellStyle name="Normal 2 2 9 11" xfId="25424" xr:uid="{00000000-0005-0000-0000-000053600000}"/>
    <cellStyle name="Normal 2 2 9 12" xfId="25425" xr:uid="{00000000-0005-0000-0000-000054600000}"/>
    <cellStyle name="Normal 2 2 9 13" xfId="25426" xr:uid="{00000000-0005-0000-0000-000055600000}"/>
    <cellStyle name="Normal 2 2 9 14" xfId="25427" xr:uid="{00000000-0005-0000-0000-000056600000}"/>
    <cellStyle name="Normal 2 2 9 2" xfId="25428" xr:uid="{00000000-0005-0000-0000-000057600000}"/>
    <cellStyle name="Normal 2 2 9 2 2" xfId="25429" xr:uid="{00000000-0005-0000-0000-000058600000}"/>
    <cellStyle name="Normal 2 2 9 2 3" xfId="25430" xr:uid="{00000000-0005-0000-0000-000059600000}"/>
    <cellStyle name="Normal 2 2 9 2 4" xfId="25431" xr:uid="{00000000-0005-0000-0000-00005A600000}"/>
    <cellStyle name="Normal 2 2 9 2 5" xfId="25432" xr:uid="{00000000-0005-0000-0000-00005B600000}"/>
    <cellStyle name="Normal 2 2 9 2 6" xfId="25433" xr:uid="{00000000-0005-0000-0000-00005C600000}"/>
    <cellStyle name="Normal 2 2 9 3" xfId="25434" xr:uid="{00000000-0005-0000-0000-00005D600000}"/>
    <cellStyle name="Normal 2 2 9 3 2" xfId="25435" xr:uid="{00000000-0005-0000-0000-00005E600000}"/>
    <cellStyle name="Normal 2 2 9 3 3" xfId="25436" xr:uid="{00000000-0005-0000-0000-00005F600000}"/>
    <cellStyle name="Normal 2 2 9 3 4" xfId="25437" xr:uid="{00000000-0005-0000-0000-000060600000}"/>
    <cellStyle name="Normal 2 2 9 3 5" xfId="25438" xr:uid="{00000000-0005-0000-0000-000061600000}"/>
    <cellStyle name="Normal 2 2 9 3 6" xfId="25439" xr:uid="{00000000-0005-0000-0000-000062600000}"/>
    <cellStyle name="Normal 2 2 9 4" xfId="25440" xr:uid="{00000000-0005-0000-0000-000063600000}"/>
    <cellStyle name="Normal 2 2 9 4 2" xfId="25441" xr:uid="{00000000-0005-0000-0000-000064600000}"/>
    <cellStyle name="Normal 2 2 9 4 3" xfId="25442" xr:uid="{00000000-0005-0000-0000-000065600000}"/>
    <cellStyle name="Normal 2 2 9 4 4" xfId="25443" xr:uid="{00000000-0005-0000-0000-000066600000}"/>
    <cellStyle name="Normal 2 2 9 4 5" xfId="25444" xr:uid="{00000000-0005-0000-0000-000067600000}"/>
    <cellStyle name="Normal 2 2 9 4 6" xfId="25445" xr:uid="{00000000-0005-0000-0000-000068600000}"/>
    <cellStyle name="Normal 2 2 9 5" xfId="25446" xr:uid="{00000000-0005-0000-0000-000069600000}"/>
    <cellStyle name="Normal 2 2 9 5 2" xfId="25447" xr:uid="{00000000-0005-0000-0000-00006A600000}"/>
    <cellStyle name="Normal 2 2 9 5 3" xfId="25448" xr:uid="{00000000-0005-0000-0000-00006B600000}"/>
    <cellStyle name="Normal 2 2 9 5 4" xfId="25449" xr:uid="{00000000-0005-0000-0000-00006C600000}"/>
    <cellStyle name="Normal 2 2 9 5 5" xfId="25450" xr:uid="{00000000-0005-0000-0000-00006D600000}"/>
    <cellStyle name="Normal 2 2 9 5 6" xfId="25451" xr:uid="{00000000-0005-0000-0000-00006E600000}"/>
    <cellStyle name="Normal 2 2 9 6" xfId="25452" xr:uid="{00000000-0005-0000-0000-00006F600000}"/>
    <cellStyle name="Normal 2 2 9 6 2" xfId="25453" xr:uid="{00000000-0005-0000-0000-000070600000}"/>
    <cellStyle name="Normal 2 2 9 6 3" xfId="25454" xr:uid="{00000000-0005-0000-0000-000071600000}"/>
    <cellStyle name="Normal 2 2 9 6 4" xfId="25455" xr:uid="{00000000-0005-0000-0000-000072600000}"/>
    <cellStyle name="Normal 2 2 9 6 5" xfId="25456" xr:uid="{00000000-0005-0000-0000-000073600000}"/>
    <cellStyle name="Normal 2 2 9 6 6" xfId="25457" xr:uid="{00000000-0005-0000-0000-000074600000}"/>
    <cellStyle name="Normal 2 2 9 7" xfId="25458" xr:uid="{00000000-0005-0000-0000-000075600000}"/>
    <cellStyle name="Normal 2 2 9 7 2" xfId="25459" xr:uid="{00000000-0005-0000-0000-000076600000}"/>
    <cellStyle name="Normal 2 2 9 7 3" xfId="25460" xr:uid="{00000000-0005-0000-0000-000077600000}"/>
    <cellStyle name="Normal 2 2 9 7 4" xfId="25461" xr:uid="{00000000-0005-0000-0000-000078600000}"/>
    <cellStyle name="Normal 2 2 9 7 5" xfId="25462" xr:uid="{00000000-0005-0000-0000-000079600000}"/>
    <cellStyle name="Normal 2 2 9 7 6" xfId="25463" xr:uid="{00000000-0005-0000-0000-00007A600000}"/>
    <cellStyle name="Normal 2 2 9 8" xfId="25464" xr:uid="{00000000-0005-0000-0000-00007B600000}"/>
    <cellStyle name="Normal 2 2 9 8 2" xfId="25465" xr:uid="{00000000-0005-0000-0000-00007C600000}"/>
    <cellStyle name="Normal 2 2 9 8 3" xfId="25466" xr:uid="{00000000-0005-0000-0000-00007D600000}"/>
    <cellStyle name="Normal 2 2 9 8 4" xfId="25467" xr:uid="{00000000-0005-0000-0000-00007E600000}"/>
    <cellStyle name="Normal 2 2 9 8 5" xfId="25468" xr:uid="{00000000-0005-0000-0000-00007F600000}"/>
    <cellStyle name="Normal 2 2 9 8 6" xfId="25469" xr:uid="{00000000-0005-0000-0000-000080600000}"/>
    <cellStyle name="Normal 2 2 9 9" xfId="25470" xr:uid="{00000000-0005-0000-0000-000081600000}"/>
    <cellStyle name="Normal 2 2 90" xfId="25471" xr:uid="{00000000-0005-0000-0000-000082600000}"/>
    <cellStyle name="Normal 2 2 91" xfId="25472" xr:uid="{00000000-0005-0000-0000-000083600000}"/>
    <cellStyle name="Normal 2 2 91 2" xfId="25473" xr:uid="{00000000-0005-0000-0000-000084600000}"/>
    <cellStyle name="Normal 2 2 91 3" xfId="25474" xr:uid="{00000000-0005-0000-0000-000085600000}"/>
    <cellStyle name="Normal 2 2 92" xfId="25475" xr:uid="{00000000-0005-0000-0000-000086600000}"/>
    <cellStyle name="Normal 2 2 93" xfId="25476" xr:uid="{00000000-0005-0000-0000-000087600000}"/>
    <cellStyle name="Normal 2 2 94" xfId="25477" xr:uid="{00000000-0005-0000-0000-000088600000}"/>
    <cellStyle name="Normal 2 2 95" xfId="25478" xr:uid="{00000000-0005-0000-0000-000089600000}"/>
    <cellStyle name="Normal 2 2 96" xfId="25479" xr:uid="{00000000-0005-0000-0000-00008A600000}"/>
    <cellStyle name="Normal 2 2 97" xfId="25480" xr:uid="{00000000-0005-0000-0000-00008B600000}"/>
    <cellStyle name="Normal 2 2 98" xfId="25481" xr:uid="{00000000-0005-0000-0000-00008C600000}"/>
    <cellStyle name="Normal 2 2 99" xfId="43239" xr:uid="{00000000-0005-0000-0000-00008D600000}"/>
    <cellStyle name="Normal 2 2_Dados de Entrada" xfId="25482" xr:uid="{00000000-0005-0000-0000-00008E600000}"/>
    <cellStyle name="Normal 2 20" xfId="25483" xr:uid="{00000000-0005-0000-0000-00008F600000}"/>
    <cellStyle name="Normal 2 20 10" xfId="25484" xr:uid="{00000000-0005-0000-0000-000090600000}"/>
    <cellStyle name="Normal 2 20 11" xfId="25485" xr:uid="{00000000-0005-0000-0000-000091600000}"/>
    <cellStyle name="Normal 2 20 12" xfId="25486" xr:uid="{00000000-0005-0000-0000-000092600000}"/>
    <cellStyle name="Normal 2 20 13" xfId="25487" xr:uid="{00000000-0005-0000-0000-000093600000}"/>
    <cellStyle name="Normal 2 20 14" xfId="25488" xr:uid="{00000000-0005-0000-0000-000094600000}"/>
    <cellStyle name="Normal 2 20 15" xfId="25489" xr:uid="{00000000-0005-0000-0000-000095600000}"/>
    <cellStyle name="Normal 2 20 16" xfId="25490" xr:uid="{00000000-0005-0000-0000-000096600000}"/>
    <cellStyle name="Normal 2 20 17" xfId="25491" xr:uid="{00000000-0005-0000-0000-000097600000}"/>
    <cellStyle name="Normal 2 20 18" xfId="25492" xr:uid="{00000000-0005-0000-0000-000098600000}"/>
    <cellStyle name="Normal 2 20 19" xfId="25493" xr:uid="{00000000-0005-0000-0000-000099600000}"/>
    <cellStyle name="Normal 2 20 2" xfId="25494" xr:uid="{00000000-0005-0000-0000-00009A600000}"/>
    <cellStyle name="Normal 2 20 20" xfId="25495" xr:uid="{00000000-0005-0000-0000-00009B600000}"/>
    <cellStyle name="Normal 2 20 21" xfId="25496" xr:uid="{00000000-0005-0000-0000-00009C600000}"/>
    <cellStyle name="Normal 2 20 22" xfId="25497" xr:uid="{00000000-0005-0000-0000-00009D600000}"/>
    <cellStyle name="Normal 2 20 23" xfId="25498" xr:uid="{00000000-0005-0000-0000-00009E600000}"/>
    <cellStyle name="Normal 2 20 24" xfId="25499" xr:uid="{00000000-0005-0000-0000-00009F600000}"/>
    <cellStyle name="Normal 2 20 25" xfId="25500" xr:uid="{00000000-0005-0000-0000-0000A0600000}"/>
    <cellStyle name="Normal 2 20 26" xfId="25501" xr:uid="{00000000-0005-0000-0000-0000A1600000}"/>
    <cellStyle name="Normal 2 20 27" xfId="25502" xr:uid="{00000000-0005-0000-0000-0000A2600000}"/>
    <cellStyle name="Normal 2 20 28" xfId="25503" xr:uid="{00000000-0005-0000-0000-0000A3600000}"/>
    <cellStyle name="Normal 2 20 29" xfId="25504" xr:uid="{00000000-0005-0000-0000-0000A4600000}"/>
    <cellStyle name="Normal 2 20 3" xfId="25505" xr:uid="{00000000-0005-0000-0000-0000A5600000}"/>
    <cellStyle name="Normal 2 20 30" xfId="25506" xr:uid="{00000000-0005-0000-0000-0000A6600000}"/>
    <cellStyle name="Normal 2 20 31" xfId="25507" xr:uid="{00000000-0005-0000-0000-0000A7600000}"/>
    <cellStyle name="Normal 2 20 32" xfId="25508" xr:uid="{00000000-0005-0000-0000-0000A8600000}"/>
    <cellStyle name="Normal 2 20 33" xfId="25509" xr:uid="{00000000-0005-0000-0000-0000A9600000}"/>
    <cellStyle name="Normal 2 20 34" xfId="25510" xr:uid="{00000000-0005-0000-0000-0000AA600000}"/>
    <cellStyle name="Normal 2 20 35" xfId="25511" xr:uid="{00000000-0005-0000-0000-0000AB600000}"/>
    <cellStyle name="Normal 2 20 36" xfId="25512" xr:uid="{00000000-0005-0000-0000-0000AC600000}"/>
    <cellStyle name="Normal 2 20 37" xfId="25513" xr:uid="{00000000-0005-0000-0000-0000AD600000}"/>
    <cellStyle name="Normal 2 20 38" xfId="25514" xr:uid="{00000000-0005-0000-0000-0000AE600000}"/>
    <cellStyle name="Normal 2 20 39" xfId="25515" xr:uid="{00000000-0005-0000-0000-0000AF600000}"/>
    <cellStyle name="Normal 2 20 4" xfId="25516" xr:uid="{00000000-0005-0000-0000-0000B0600000}"/>
    <cellStyle name="Normal 2 20 40" xfId="25517" xr:uid="{00000000-0005-0000-0000-0000B1600000}"/>
    <cellStyle name="Normal 2 20 41" xfId="25518" xr:uid="{00000000-0005-0000-0000-0000B2600000}"/>
    <cellStyle name="Normal 2 20 42" xfId="25519" xr:uid="{00000000-0005-0000-0000-0000B3600000}"/>
    <cellStyle name="Normal 2 20 43" xfId="25520" xr:uid="{00000000-0005-0000-0000-0000B4600000}"/>
    <cellStyle name="Normal 2 20 44" xfId="25521" xr:uid="{00000000-0005-0000-0000-0000B5600000}"/>
    <cellStyle name="Normal 2 20 45" xfId="25522" xr:uid="{00000000-0005-0000-0000-0000B6600000}"/>
    <cellStyle name="Normal 2 20 46" xfId="25523" xr:uid="{00000000-0005-0000-0000-0000B7600000}"/>
    <cellStyle name="Normal 2 20 5" xfId="25524" xr:uid="{00000000-0005-0000-0000-0000B8600000}"/>
    <cellStyle name="Normal 2 20 6" xfId="25525" xr:uid="{00000000-0005-0000-0000-0000B9600000}"/>
    <cellStyle name="Normal 2 20 7" xfId="25526" xr:uid="{00000000-0005-0000-0000-0000BA600000}"/>
    <cellStyle name="Normal 2 20 8" xfId="25527" xr:uid="{00000000-0005-0000-0000-0000BB600000}"/>
    <cellStyle name="Normal 2 20 9" xfId="25528" xr:uid="{00000000-0005-0000-0000-0000BC600000}"/>
    <cellStyle name="Normal 2 21" xfId="25529" xr:uid="{00000000-0005-0000-0000-0000BD600000}"/>
    <cellStyle name="Normal 2 21 10" xfId="25530" xr:uid="{00000000-0005-0000-0000-0000BE600000}"/>
    <cellStyle name="Normal 2 21 11" xfId="25531" xr:uid="{00000000-0005-0000-0000-0000BF600000}"/>
    <cellStyle name="Normal 2 21 12" xfId="25532" xr:uid="{00000000-0005-0000-0000-0000C0600000}"/>
    <cellStyle name="Normal 2 21 13" xfId="25533" xr:uid="{00000000-0005-0000-0000-0000C1600000}"/>
    <cellStyle name="Normal 2 21 14" xfId="25534" xr:uid="{00000000-0005-0000-0000-0000C2600000}"/>
    <cellStyle name="Normal 2 21 15" xfId="25535" xr:uid="{00000000-0005-0000-0000-0000C3600000}"/>
    <cellStyle name="Normal 2 21 16" xfId="25536" xr:uid="{00000000-0005-0000-0000-0000C4600000}"/>
    <cellStyle name="Normal 2 21 17" xfId="25537" xr:uid="{00000000-0005-0000-0000-0000C5600000}"/>
    <cellStyle name="Normal 2 21 18" xfId="25538" xr:uid="{00000000-0005-0000-0000-0000C6600000}"/>
    <cellStyle name="Normal 2 21 19" xfId="25539" xr:uid="{00000000-0005-0000-0000-0000C7600000}"/>
    <cellStyle name="Normal 2 21 2" xfId="25540" xr:uid="{00000000-0005-0000-0000-0000C8600000}"/>
    <cellStyle name="Normal 2 21 2 10" xfId="25541" xr:uid="{00000000-0005-0000-0000-0000C9600000}"/>
    <cellStyle name="Normal 2 21 2 11" xfId="25542" xr:uid="{00000000-0005-0000-0000-0000CA600000}"/>
    <cellStyle name="Normal 2 21 2 12" xfId="25543" xr:uid="{00000000-0005-0000-0000-0000CB600000}"/>
    <cellStyle name="Normal 2 21 2 13" xfId="25544" xr:uid="{00000000-0005-0000-0000-0000CC600000}"/>
    <cellStyle name="Normal 2 21 2 2" xfId="25545" xr:uid="{00000000-0005-0000-0000-0000CD600000}"/>
    <cellStyle name="Normal 2 21 2 2 2" xfId="25546" xr:uid="{00000000-0005-0000-0000-0000CE600000}"/>
    <cellStyle name="Normal 2 21 2 2 3" xfId="25547" xr:uid="{00000000-0005-0000-0000-0000CF600000}"/>
    <cellStyle name="Normal 2 21 2 2 4" xfId="25548" xr:uid="{00000000-0005-0000-0000-0000D0600000}"/>
    <cellStyle name="Normal 2 21 2 2 5" xfId="25549" xr:uid="{00000000-0005-0000-0000-0000D1600000}"/>
    <cellStyle name="Normal 2 21 2 2 6" xfId="25550" xr:uid="{00000000-0005-0000-0000-0000D2600000}"/>
    <cellStyle name="Normal 2 21 2 3" xfId="25551" xr:uid="{00000000-0005-0000-0000-0000D3600000}"/>
    <cellStyle name="Normal 2 21 2 3 2" xfId="25552" xr:uid="{00000000-0005-0000-0000-0000D4600000}"/>
    <cellStyle name="Normal 2 21 2 3 3" xfId="25553" xr:uid="{00000000-0005-0000-0000-0000D5600000}"/>
    <cellStyle name="Normal 2 21 2 3 4" xfId="25554" xr:uid="{00000000-0005-0000-0000-0000D6600000}"/>
    <cellStyle name="Normal 2 21 2 3 5" xfId="25555" xr:uid="{00000000-0005-0000-0000-0000D7600000}"/>
    <cellStyle name="Normal 2 21 2 3 6" xfId="25556" xr:uid="{00000000-0005-0000-0000-0000D8600000}"/>
    <cellStyle name="Normal 2 21 2 4" xfId="25557" xr:uid="{00000000-0005-0000-0000-0000D9600000}"/>
    <cellStyle name="Normal 2 21 2 4 2" xfId="25558" xr:uid="{00000000-0005-0000-0000-0000DA600000}"/>
    <cellStyle name="Normal 2 21 2 4 3" xfId="25559" xr:uid="{00000000-0005-0000-0000-0000DB600000}"/>
    <cellStyle name="Normal 2 21 2 4 4" xfId="25560" xr:uid="{00000000-0005-0000-0000-0000DC600000}"/>
    <cellStyle name="Normal 2 21 2 4 5" xfId="25561" xr:uid="{00000000-0005-0000-0000-0000DD600000}"/>
    <cellStyle name="Normal 2 21 2 4 6" xfId="25562" xr:uid="{00000000-0005-0000-0000-0000DE600000}"/>
    <cellStyle name="Normal 2 21 2 5" xfId="25563" xr:uid="{00000000-0005-0000-0000-0000DF600000}"/>
    <cellStyle name="Normal 2 21 2 5 2" xfId="25564" xr:uid="{00000000-0005-0000-0000-0000E0600000}"/>
    <cellStyle name="Normal 2 21 2 5 3" xfId="25565" xr:uid="{00000000-0005-0000-0000-0000E1600000}"/>
    <cellStyle name="Normal 2 21 2 5 4" xfId="25566" xr:uid="{00000000-0005-0000-0000-0000E2600000}"/>
    <cellStyle name="Normal 2 21 2 5 5" xfId="25567" xr:uid="{00000000-0005-0000-0000-0000E3600000}"/>
    <cellStyle name="Normal 2 21 2 5 6" xfId="25568" xr:uid="{00000000-0005-0000-0000-0000E4600000}"/>
    <cellStyle name="Normal 2 21 2 6" xfId="25569" xr:uid="{00000000-0005-0000-0000-0000E5600000}"/>
    <cellStyle name="Normal 2 21 2 6 2" xfId="25570" xr:uid="{00000000-0005-0000-0000-0000E6600000}"/>
    <cellStyle name="Normal 2 21 2 6 3" xfId="25571" xr:uid="{00000000-0005-0000-0000-0000E7600000}"/>
    <cellStyle name="Normal 2 21 2 6 4" xfId="25572" xr:uid="{00000000-0005-0000-0000-0000E8600000}"/>
    <cellStyle name="Normal 2 21 2 6 5" xfId="25573" xr:uid="{00000000-0005-0000-0000-0000E9600000}"/>
    <cellStyle name="Normal 2 21 2 6 6" xfId="25574" xr:uid="{00000000-0005-0000-0000-0000EA600000}"/>
    <cellStyle name="Normal 2 21 2 7" xfId="25575" xr:uid="{00000000-0005-0000-0000-0000EB600000}"/>
    <cellStyle name="Normal 2 21 2 7 2" xfId="25576" xr:uid="{00000000-0005-0000-0000-0000EC600000}"/>
    <cellStyle name="Normal 2 21 2 7 3" xfId="25577" xr:uid="{00000000-0005-0000-0000-0000ED600000}"/>
    <cellStyle name="Normal 2 21 2 7 4" xfId="25578" xr:uid="{00000000-0005-0000-0000-0000EE600000}"/>
    <cellStyle name="Normal 2 21 2 7 5" xfId="25579" xr:uid="{00000000-0005-0000-0000-0000EF600000}"/>
    <cellStyle name="Normal 2 21 2 7 6" xfId="25580" xr:uid="{00000000-0005-0000-0000-0000F0600000}"/>
    <cellStyle name="Normal 2 21 2 8" xfId="25581" xr:uid="{00000000-0005-0000-0000-0000F1600000}"/>
    <cellStyle name="Normal 2 21 2 8 2" xfId="25582" xr:uid="{00000000-0005-0000-0000-0000F2600000}"/>
    <cellStyle name="Normal 2 21 2 8 3" xfId="25583" xr:uid="{00000000-0005-0000-0000-0000F3600000}"/>
    <cellStyle name="Normal 2 21 2 8 4" xfId="25584" xr:uid="{00000000-0005-0000-0000-0000F4600000}"/>
    <cellStyle name="Normal 2 21 2 8 5" xfId="25585" xr:uid="{00000000-0005-0000-0000-0000F5600000}"/>
    <cellStyle name="Normal 2 21 2 8 6" xfId="25586" xr:uid="{00000000-0005-0000-0000-0000F6600000}"/>
    <cellStyle name="Normal 2 21 2 9" xfId="25587" xr:uid="{00000000-0005-0000-0000-0000F7600000}"/>
    <cellStyle name="Normal 2 21 20" xfId="25588" xr:uid="{00000000-0005-0000-0000-0000F8600000}"/>
    <cellStyle name="Normal 2 21 21" xfId="25589" xr:uid="{00000000-0005-0000-0000-0000F9600000}"/>
    <cellStyle name="Normal 2 21 22" xfId="25590" xr:uid="{00000000-0005-0000-0000-0000FA600000}"/>
    <cellStyle name="Normal 2 21 23" xfId="25591" xr:uid="{00000000-0005-0000-0000-0000FB600000}"/>
    <cellStyle name="Normal 2 21 24" xfId="25592" xr:uid="{00000000-0005-0000-0000-0000FC600000}"/>
    <cellStyle name="Normal 2 21 25" xfId="25593" xr:uid="{00000000-0005-0000-0000-0000FD600000}"/>
    <cellStyle name="Normal 2 21 26" xfId="25594" xr:uid="{00000000-0005-0000-0000-0000FE600000}"/>
    <cellStyle name="Normal 2 21 27" xfId="25595" xr:uid="{00000000-0005-0000-0000-0000FF600000}"/>
    <cellStyle name="Normal 2 21 28" xfId="25596" xr:uid="{00000000-0005-0000-0000-000000610000}"/>
    <cellStyle name="Normal 2 21 29" xfId="25597" xr:uid="{00000000-0005-0000-0000-000001610000}"/>
    <cellStyle name="Normal 2 21 3" xfId="25598" xr:uid="{00000000-0005-0000-0000-000002610000}"/>
    <cellStyle name="Normal 2 21 3 10" xfId="25599" xr:uid="{00000000-0005-0000-0000-000003610000}"/>
    <cellStyle name="Normal 2 21 3 11" xfId="25600" xr:uid="{00000000-0005-0000-0000-000004610000}"/>
    <cellStyle name="Normal 2 21 3 12" xfId="25601" xr:uid="{00000000-0005-0000-0000-000005610000}"/>
    <cellStyle name="Normal 2 21 3 13" xfId="25602" xr:uid="{00000000-0005-0000-0000-000006610000}"/>
    <cellStyle name="Normal 2 21 3 2" xfId="25603" xr:uid="{00000000-0005-0000-0000-000007610000}"/>
    <cellStyle name="Normal 2 21 3 2 2" xfId="25604" xr:uid="{00000000-0005-0000-0000-000008610000}"/>
    <cellStyle name="Normal 2 21 3 2 3" xfId="25605" xr:uid="{00000000-0005-0000-0000-000009610000}"/>
    <cellStyle name="Normal 2 21 3 2 4" xfId="25606" xr:uid="{00000000-0005-0000-0000-00000A610000}"/>
    <cellStyle name="Normal 2 21 3 2 5" xfId="25607" xr:uid="{00000000-0005-0000-0000-00000B610000}"/>
    <cellStyle name="Normal 2 21 3 2 6" xfId="25608" xr:uid="{00000000-0005-0000-0000-00000C610000}"/>
    <cellStyle name="Normal 2 21 3 3" xfId="25609" xr:uid="{00000000-0005-0000-0000-00000D610000}"/>
    <cellStyle name="Normal 2 21 3 3 2" xfId="25610" xr:uid="{00000000-0005-0000-0000-00000E610000}"/>
    <cellStyle name="Normal 2 21 3 3 3" xfId="25611" xr:uid="{00000000-0005-0000-0000-00000F610000}"/>
    <cellStyle name="Normal 2 21 3 3 4" xfId="25612" xr:uid="{00000000-0005-0000-0000-000010610000}"/>
    <cellStyle name="Normal 2 21 3 3 5" xfId="25613" xr:uid="{00000000-0005-0000-0000-000011610000}"/>
    <cellStyle name="Normal 2 21 3 3 6" xfId="25614" xr:uid="{00000000-0005-0000-0000-000012610000}"/>
    <cellStyle name="Normal 2 21 3 4" xfId="25615" xr:uid="{00000000-0005-0000-0000-000013610000}"/>
    <cellStyle name="Normal 2 21 3 4 2" xfId="25616" xr:uid="{00000000-0005-0000-0000-000014610000}"/>
    <cellStyle name="Normal 2 21 3 4 3" xfId="25617" xr:uid="{00000000-0005-0000-0000-000015610000}"/>
    <cellStyle name="Normal 2 21 3 4 4" xfId="25618" xr:uid="{00000000-0005-0000-0000-000016610000}"/>
    <cellStyle name="Normal 2 21 3 4 5" xfId="25619" xr:uid="{00000000-0005-0000-0000-000017610000}"/>
    <cellStyle name="Normal 2 21 3 4 6" xfId="25620" xr:uid="{00000000-0005-0000-0000-000018610000}"/>
    <cellStyle name="Normal 2 21 3 5" xfId="25621" xr:uid="{00000000-0005-0000-0000-000019610000}"/>
    <cellStyle name="Normal 2 21 3 5 2" xfId="25622" xr:uid="{00000000-0005-0000-0000-00001A610000}"/>
    <cellStyle name="Normal 2 21 3 5 3" xfId="25623" xr:uid="{00000000-0005-0000-0000-00001B610000}"/>
    <cellStyle name="Normal 2 21 3 5 4" xfId="25624" xr:uid="{00000000-0005-0000-0000-00001C610000}"/>
    <cellStyle name="Normal 2 21 3 5 5" xfId="25625" xr:uid="{00000000-0005-0000-0000-00001D610000}"/>
    <cellStyle name="Normal 2 21 3 5 6" xfId="25626" xr:uid="{00000000-0005-0000-0000-00001E610000}"/>
    <cellStyle name="Normal 2 21 3 6" xfId="25627" xr:uid="{00000000-0005-0000-0000-00001F610000}"/>
    <cellStyle name="Normal 2 21 3 6 2" xfId="25628" xr:uid="{00000000-0005-0000-0000-000020610000}"/>
    <cellStyle name="Normal 2 21 3 6 3" xfId="25629" xr:uid="{00000000-0005-0000-0000-000021610000}"/>
    <cellStyle name="Normal 2 21 3 6 4" xfId="25630" xr:uid="{00000000-0005-0000-0000-000022610000}"/>
    <cellStyle name="Normal 2 21 3 6 5" xfId="25631" xr:uid="{00000000-0005-0000-0000-000023610000}"/>
    <cellStyle name="Normal 2 21 3 6 6" xfId="25632" xr:uid="{00000000-0005-0000-0000-000024610000}"/>
    <cellStyle name="Normal 2 21 3 7" xfId="25633" xr:uid="{00000000-0005-0000-0000-000025610000}"/>
    <cellStyle name="Normal 2 21 3 7 2" xfId="25634" xr:uid="{00000000-0005-0000-0000-000026610000}"/>
    <cellStyle name="Normal 2 21 3 7 3" xfId="25635" xr:uid="{00000000-0005-0000-0000-000027610000}"/>
    <cellStyle name="Normal 2 21 3 7 4" xfId="25636" xr:uid="{00000000-0005-0000-0000-000028610000}"/>
    <cellStyle name="Normal 2 21 3 7 5" xfId="25637" xr:uid="{00000000-0005-0000-0000-000029610000}"/>
    <cellStyle name="Normal 2 21 3 7 6" xfId="25638" xr:uid="{00000000-0005-0000-0000-00002A610000}"/>
    <cellStyle name="Normal 2 21 3 8" xfId="25639" xr:uid="{00000000-0005-0000-0000-00002B610000}"/>
    <cellStyle name="Normal 2 21 3 8 2" xfId="25640" xr:uid="{00000000-0005-0000-0000-00002C610000}"/>
    <cellStyle name="Normal 2 21 3 8 3" xfId="25641" xr:uid="{00000000-0005-0000-0000-00002D610000}"/>
    <cellStyle name="Normal 2 21 3 8 4" xfId="25642" xr:uid="{00000000-0005-0000-0000-00002E610000}"/>
    <cellStyle name="Normal 2 21 3 8 5" xfId="25643" xr:uid="{00000000-0005-0000-0000-00002F610000}"/>
    <cellStyle name="Normal 2 21 3 8 6" xfId="25644" xr:uid="{00000000-0005-0000-0000-000030610000}"/>
    <cellStyle name="Normal 2 21 3 9" xfId="25645" xr:uid="{00000000-0005-0000-0000-000031610000}"/>
    <cellStyle name="Normal 2 21 30" xfId="25646" xr:uid="{00000000-0005-0000-0000-000032610000}"/>
    <cellStyle name="Normal 2 21 31" xfId="25647" xr:uid="{00000000-0005-0000-0000-000033610000}"/>
    <cellStyle name="Normal 2 21 32" xfId="25648" xr:uid="{00000000-0005-0000-0000-000034610000}"/>
    <cellStyle name="Normal 2 21 33" xfId="25649" xr:uid="{00000000-0005-0000-0000-000035610000}"/>
    <cellStyle name="Normal 2 21 34" xfId="25650" xr:uid="{00000000-0005-0000-0000-000036610000}"/>
    <cellStyle name="Normal 2 21 35" xfId="25651" xr:uid="{00000000-0005-0000-0000-000037610000}"/>
    <cellStyle name="Normal 2 21 36" xfId="25652" xr:uid="{00000000-0005-0000-0000-000038610000}"/>
    <cellStyle name="Normal 2 21 37" xfId="25653" xr:uid="{00000000-0005-0000-0000-000039610000}"/>
    <cellStyle name="Normal 2 21 38" xfId="25654" xr:uid="{00000000-0005-0000-0000-00003A610000}"/>
    <cellStyle name="Normal 2 21 39" xfId="25655" xr:uid="{00000000-0005-0000-0000-00003B610000}"/>
    <cellStyle name="Normal 2 21 4" xfId="25656" xr:uid="{00000000-0005-0000-0000-00003C610000}"/>
    <cellStyle name="Normal 2 21 4 10" xfId="25657" xr:uid="{00000000-0005-0000-0000-00003D610000}"/>
    <cellStyle name="Normal 2 21 4 11" xfId="25658" xr:uid="{00000000-0005-0000-0000-00003E610000}"/>
    <cellStyle name="Normal 2 21 4 12" xfId="25659" xr:uid="{00000000-0005-0000-0000-00003F610000}"/>
    <cellStyle name="Normal 2 21 4 13" xfId="25660" xr:uid="{00000000-0005-0000-0000-000040610000}"/>
    <cellStyle name="Normal 2 21 4 2" xfId="25661" xr:uid="{00000000-0005-0000-0000-000041610000}"/>
    <cellStyle name="Normal 2 21 4 2 2" xfId="25662" xr:uid="{00000000-0005-0000-0000-000042610000}"/>
    <cellStyle name="Normal 2 21 4 2 3" xfId="25663" xr:uid="{00000000-0005-0000-0000-000043610000}"/>
    <cellStyle name="Normal 2 21 4 2 4" xfId="25664" xr:uid="{00000000-0005-0000-0000-000044610000}"/>
    <cellStyle name="Normal 2 21 4 2 5" xfId="25665" xr:uid="{00000000-0005-0000-0000-000045610000}"/>
    <cellStyle name="Normal 2 21 4 2 6" xfId="25666" xr:uid="{00000000-0005-0000-0000-000046610000}"/>
    <cellStyle name="Normal 2 21 4 3" xfId="25667" xr:uid="{00000000-0005-0000-0000-000047610000}"/>
    <cellStyle name="Normal 2 21 4 3 2" xfId="25668" xr:uid="{00000000-0005-0000-0000-000048610000}"/>
    <cellStyle name="Normal 2 21 4 3 3" xfId="25669" xr:uid="{00000000-0005-0000-0000-000049610000}"/>
    <cellStyle name="Normal 2 21 4 3 4" xfId="25670" xr:uid="{00000000-0005-0000-0000-00004A610000}"/>
    <cellStyle name="Normal 2 21 4 3 5" xfId="25671" xr:uid="{00000000-0005-0000-0000-00004B610000}"/>
    <cellStyle name="Normal 2 21 4 3 6" xfId="25672" xr:uid="{00000000-0005-0000-0000-00004C610000}"/>
    <cellStyle name="Normal 2 21 4 4" xfId="25673" xr:uid="{00000000-0005-0000-0000-00004D610000}"/>
    <cellStyle name="Normal 2 21 4 4 2" xfId="25674" xr:uid="{00000000-0005-0000-0000-00004E610000}"/>
    <cellStyle name="Normal 2 21 4 4 3" xfId="25675" xr:uid="{00000000-0005-0000-0000-00004F610000}"/>
    <cellStyle name="Normal 2 21 4 4 4" xfId="25676" xr:uid="{00000000-0005-0000-0000-000050610000}"/>
    <cellStyle name="Normal 2 21 4 4 5" xfId="25677" xr:uid="{00000000-0005-0000-0000-000051610000}"/>
    <cellStyle name="Normal 2 21 4 4 6" xfId="25678" xr:uid="{00000000-0005-0000-0000-000052610000}"/>
    <cellStyle name="Normal 2 21 4 5" xfId="25679" xr:uid="{00000000-0005-0000-0000-000053610000}"/>
    <cellStyle name="Normal 2 21 4 5 2" xfId="25680" xr:uid="{00000000-0005-0000-0000-000054610000}"/>
    <cellStyle name="Normal 2 21 4 5 3" xfId="25681" xr:uid="{00000000-0005-0000-0000-000055610000}"/>
    <cellStyle name="Normal 2 21 4 5 4" xfId="25682" xr:uid="{00000000-0005-0000-0000-000056610000}"/>
    <cellStyle name="Normal 2 21 4 5 5" xfId="25683" xr:uid="{00000000-0005-0000-0000-000057610000}"/>
    <cellStyle name="Normal 2 21 4 5 6" xfId="25684" xr:uid="{00000000-0005-0000-0000-000058610000}"/>
    <cellStyle name="Normal 2 21 4 6" xfId="25685" xr:uid="{00000000-0005-0000-0000-000059610000}"/>
    <cellStyle name="Normal 2 21 4 6 2" xfId="25686" xr:uid="{00000000-0005-0000-0000-00005A610000}"/>
    <cellStyle name="Normal 2 21 4 6 3" xfId="25687" xr:uid="{00000000-0005-0000-0000-00005B610000}"/>
    <cellStyle name="Normal 2 21 4 6 4" xfId="25688" xr:uid="{00000000-0005-0000-0000-00005C610000}"/>
    <cellStyle name="Normal 2 21 4 6 5" xfId="25689" xr:uid="{00000000-0005-0000-0000-00005D610000}"/>
    <cellStyle name="Normal 2 21 4 6 6" xfId="25690" xr:uid="{00000000-0005-0000-0000-00005E610000}"/>
    <cellStyle name="Normal 2 21 4 7" xfId="25691" xr:uid="{00000000-0005-0000-0000-00005F610000}"/>
    <cellStyle name="Normal 2 21 4 7 2" xfId="25692" xr:uid="{00000000-0005-0000-0000-000060610000}"/>
    <cellStyle name="Normal 2 21 4 7 3" xfId="25693" xr:uid="{00000000-0005-0000-0000-000061610000}"/>
    <cellStyle name="Normal 2 21 4 7 4" xfId="25694" xr:uid="{00000000-0005-0000-0000-000062610000}"/>
    <cellStyle name="Normal 2 21 4 7 5" xfId="25695" xr:uid="{00000000-0005-0000-0000-000063610000}"/>
    <cellStyle name="Normal 2 21 4 7 6" xfId="25696" xr:uid="{00000000-0005-0000-0000-000064610000}"/>
    <cellStyle name="Normal 2 21 4 8" xfId="25697" xr:uid="{00000000-0005-0000-0000-000065610000}"/>
    <cellStyle name="Normal 2 21 4 8 2" xfId="25698" xr:uid="{00000000-0005-0000-0000-000066610000}"/>
    <cellStyle name="Normal 2 21 4 8 3" xfId="25699" xr:uid="{00000000-0005-0000-0000-000067610000}"/>
    <cellStyle name="Normal 2 21 4 8 4" xfId="25700" xr:uid="{00000000-0005-0000-0000-000068610000}"/>
    <cellStyle name="Normal 2 21 4 8 5" xfId="25701" xr:uid="{00000000-0005-0000-0000-000069610000}"/>
    <cellStyle name="Normal 2 21 4 8 6" xfId="25702" xr:uid="{00000000-0005-0000-0000-00006A610000}"/>
    <cellStyle name="Normal 2 21 4 9" xfId="25703" xr:uid="{00000000-0005-0000-0000-00006B610000}"/>
    <cellStyle name="Normal 2 21 40" xfId="25704" xr:uid="{00000000-0005-0000-0000-00006C610000}"/>
    <cellStyle name="Normal 2 21 41" xfId="25705" xr:uid="{00000000-0005-0000-0000-00006D610000}"/>
    <cellStyle name="Normal 2 21 42" xfId="25706" xr:uid="{00000000-0005-0000-0000-00006E610000}"/>
    <cellStyle name="Normal 2 21 43" xfId="25707" xr:uid="{00000000-0005-0000-0000-00006F610000}"/>
    <cellStyle name="Normal 2 21 44" xfId="25708" xr:uid="{00000000-0005-0000-0000-000070610000}"/>
    <cellStyle name="Normal 2 21 45" xfId="25709" xr:uid="{00000000-0005-0000-0000-000071610000}"/>
    <cellStyle name="Normal 2 21 46" xfId="25710" xr:uid="{00000000-0005-0000-0000-000072610000}"/>
    <cellStyle name="Normal 2 21 47" xfId="25711" xr:uid="{00000000-0005-0000-0000-000073610000}"/>
    <cellStyle name="Normal 2 21 48" xfId="25712" xr:uid="{00000000-0005-0000-0000-000074610000}"/>
    <cellStyle name="Normal 2 21 49" xfId="25713" xr:uid="{00000000-0005-0000-0000-000075610000}"/>
    <cellStyle name="Normal 2 21 5" xfId="25714" xr:uid="{00000000-0005-0000-0000-000076610000}"/>
    <cellStyle name="Normal 2 21 5 10" xfId="25715" xr:uid="{00000000-0005-0000-0000-000077610000}"/>
    <cellStyle name="Normal 2 21 5 11" xfId="25716" xr:uid="{00000000-0005-0000-0000-000078610000}"/>
    <cellStyle name="Normal 2 21 5 12" xfId="25717" xr:uid="{00000000-0005-0000-0000-000079610000}"/>
    <cellStyle name="Normal 2 21 5 13" xfId="25718" xr:uid="{00000000-0005-0000-0000-00007A610000}"/>
    <cellStyle name="Normal 2 21 5 2" xfId="25719" xr:uid="{00000000-0005-0000-0000-00007B610000}"/>
    <cellStyle name="Normal 2 21 5 2 2" xfId="25720" xr:uid="{00000000-0005-0000-0000-00007C610000}"/>
    <cellStyle name="Normal 2 21 5 2 3" xfId="25721" xr:uid="{00000000-0005-0000-0000-00007D610000}"/>
    <cellStyle name="Normal 2 21 5 2 4" xfId="25722" xr:uid="{00000000-0005-0000-0000-00007E610000}"/>
    <cellStyle name="Normal 2 21 5 2 5" xfId="25723" xr:uid="{00000000-0005-0000-0000-00007F610000}"/>
    <cellStyle name="Normal 2 21 5 2 6" xfId="25724" xr:uid="{00000000-0005-0000-0000-000080610000}"/>
    <cellStyle name="Normal 2 21 5 3" xfId="25725" xr:uid="{00000000-0005-0000-0000-000081610000}"/>
    <cellStyle name="Normal 2 21 5 3 2" xfId="25726" xr:uid="{00000000-0005-0000-0000-000082610000}"/>
    <cellStyle name="Normal 2 21 5 3 3" xfId="25727" xr:uid="{00000000-0005-0000-0000-000083610000}"/>
    <cellStyle name="Normal 2 21 5 3 4" xfId="25728" xr:uid="{00000000-0005-0000-0000-000084610000}"/>
    <cellStyle name="Normal 2 21 5 3 5" xfId="25729" xr:uid="{00000000-0005-0000-0000-000085610000}"/>
    <cellStyle name="Normal 2 21 5 3 6" xfId="25730" xr:uid="{00000000-0005-0000-0000-000086610000}"/>
    <cellStyle name="Normal 2 21 5 4" xfId="25731" xr:uid="{00000000-0005-0000-0000-000087610000}"/>
    <cellStyle name="Normal 2 21 5 4 2" xfId="25732" xr:uid="{00000000-0005-0000-0000-000088610000}"/>
    <cellStyle name="Normal 2 21 5 4 3" xfId="25733" xr:uid="{00000000-0005-0000-0000-000089610000}"/>
    <cellStyle name="Normal 2 21 5 4 4" xfId="25734" xr:uid="{00000000-0005-0000-0000-00008A610000}"/>
    <cellStyle name="Normal 2 21 5 4 5" xfId="25735" xr:uid="{00000000-0005-0000-0000-00008B610000}"/>
    <cellStyle name="Normal 2 21 5 4 6" xfId="25736" xr:uid="{00000000-0005-0000-0000-00008C610000}"/>
    <cellStyle name="Normal 2 21 5 5" xfId="25737" xr:uid="{00000000-0005-0000-0000-00008D610000}"/>
    <cellStyle name="Normal 2 21 5 5 2" xfId="25738" xr:uid="{00000000-0005-0000-0000-00008E610000}"/>
    <cellStyle name="Normal 2 21 5 5 3" xfId="25739" xr:uid="{00000000-0005-0000-0000-00008F610000}"/>
    <cellStyle name="Normal 2 21 5 5 4" xfId="25740" xr:uid="{00000000-0005-0000-0000-000090610000}"/>
    <cellStyle name="Normal 2 21 5 5 5" xfId="25741" xr:uid="{00000000-0005-0000-0000-000091610000}"/>
    <cellStyle name="Normal 2 21 5 5 6" xfId="25742" xr:uid="{00000000-0005-0000-0000-000092610000}"/>
    <cellStyle name="Normal 2 21 5 6" xfId="25743" xr:uid="{00000000-0005-0000-0000-000093610000}"/>
    <cellStyle name="Normal 2 21 5 6 2" xfId="25744" xr:uid="{00000000-0005-0000-0000-000094610000}"/>
    <cellStyle name="Normal 2 21 5 6 3" xfId="25745" xr:uid="{00000000-0005-0000-0000-000095610000}"/>
    <cellStyle name="Normal 2 21 5 6 4" xfId="25746" xr:uid="{00000000-0005-0000-0000-000096610000}"/>
    <cellStyle name="Normal 2 21 5 6 5" xfId="25747" xr:uid="{00000000-0005-0000-0000-000097610000}"/>
    <cellStyle name="Normal 2 21 5 6 6" xfId="25748" xr:uid="{00000000-0005-0000-0000-000098610000}"/>
    <cellStyle name="Normal 2 21 5 7" xfId="25749" xr:uid="{00000000-0005-0000-0000-000099610000}"/>
    <cellStyle name="Normal 2 21 5 7 2" xfId="25750" xr:uid="{00000000-0005-0000-0000-00009A610000}"/>
    <cellStyle name="Normal 2 21 5 7 3" xfId="25751" xr:uid="{00000000-0005-0000-0000-00009B610000}"/>
    <cellStyle name="Normal 2 21 5 7 4" xfId="25752" xr:uid="{00000000-0005-0000-0000-00009C610000}"/>
    <cellStyle name="Normal 2 21 5 7 5" xfId="25753" xr:uid="{00000000-0005-0000-0000-00009D610000}"/>
    <cellStyle name="Normal 2 21 5 7 6" xfId="25754" xr:uid="{00000000-0005-0000-0000-00009E610000}"/>
    <cellStyle name="Normal 2 21 5 8" xfId="25755" xr:uid="{00000000-0005-0000-0000-00009F610000}"/>
    <cellStyle name="Normal 2 21 5 8 2" xfId="25756" xr:uid="{00000000-0005-0000-0000-0000A0610000}"/>
    <cellStyle name="Normal 2 21 5 8 3" xfId="25757" xr:uid="{00000000-0005-0000-0000-0000A1610000}"/>
    <cellStyle name="Normal 2 21 5 8 4" xfId="25758" xr:uid="{00000000-0005-0000-0000-0000A2610000}"/>
    <cellStyle name="Normal 2 21 5 8 5" xfId="25759" xr:uid="{00000000-0005-0000-0000-0000A3610000}"/>
    <cellStyle name="Normal 2 21 5 8 6" xfId="25760" xr:uid="{00000000-0005-0000-0000-0000A4610000}"/>
    <cellStyle name="Normal 2 21 5 9" xfId="25761" xr:uid="{00000000-0005-0000-0000-0000A5610000}"/>
    <cellStyle name="Normal 2 21 50" xfId="25762" xr:uid="{00000000-0005-0000-0000-0000A6610000}"/>
    <cellStyle name="Normal 2 21 51" xfId="25763" xr:uid="{00000000-0005-0000-0000-0000A7610000}"/>
    <cellStyle name="Normal 2 21 52" xfId="25764" xr:uid="{00000000-0005-0000-0000-0000A8610000}"/>
    <cellStyle name="Normal 2 21 6" xfId="25765" xr:uid="{00000000-0005-0000-0000-0000A9610000}"/>
    <cellStyle name="Normal 2 21 6 10" xfId="25766" xr:uid="{00000000-0005-0000-0000-0000AA610000}"/>
    <cellStyle name="Normal 2 21 6 11" xfId="25767" xr:uid="{00000000-0005-0000-0000-0000AB610000}"/>
    <cellStyle name="Normal 2 21 6 12" xfId="25768" xr:uid="{00000000-0005-0000-0000-0000AC610000}"/>
    <cellStyle name="Normal 2 21 6 13" xfId="25769" xr:uid="{00000000-0005-0000-0000-0000AD610000}"/>
    <cellStyle name="Normal 2 21 6 2" xfId="25770" xr:uid="{00000000-0005-0000-0000-0000AE610000}"/>
    <cellStyle name="Normal 2 21 6 2 2" xfId="25771" xr:uid="{00000000-0005-0000-0000-0000AF610000}"/>
    <cellStyle name="Normal 2 21 6 2 3" xfId="25772" xr:uid="{00000000-0005-0000-0000-0000B0610000}"/>
    <cellStyle name="Normal 2 21 6 2 4" xfId="25773" xr:uid="{00000000-0005-0000-0000-0000B1610000}"/>
    <cellStyle name="Normal 2 21 6 2 5" xfId="25774" xr:uid="{00000000-0005-0000-0000-0000B2610000}"/>
    <cellStyle name="Normal 2 21 6 2 6" xfId="25775" xr:uid="{00000000-0005-0000-0000-0000B3610000}"/>
    <cellStyle name="Normal 2 21 6 3" xfId="25776" xr:uid="{00000000-0005-0000-0000-0000B4610000}"/>
    <cellStyle name="Normal 2 21 6 3 2" xfId="25777" xr:uid="{00000000-0005-0000-0000-0000B5610000}"/>
    <cellStyle name="Normal 2 21 6 3 3" xfId="25778" xr:uid="{00000000-0005-0000-0000-0000B6610000}"/>
    <cellStyle name="Normal 2 21 6 3 4" xfId="25779" xr:uid="{00000000-0005-0000-0000-0000B7610000}"/>
    <cellStyle name="Normal 2 21 6 3 5" xfId="25780" xr:uid="{00000000-0005-0000-0000-0000B8610000}"/>
    <cellStyle name="Normal 2 21 6 3 6" xfId="25781" xr:uid="{00000000-0005-0000-0000-0000B9610000}"/>
    <cellStyle name="Normal 2 21 6 4" xfId="25782" xr:uid="{00000000-0005-0000-0000-0000BA610000}"/>
    <cellStyle name="Normal 2 21 6 4 2" xfId="25783" xr:uid="{00000000-0005-0000-0000-0000BB610000}"/>
    <cellStyle name="Normal 2 21 6 4 3" xfId="25784" xr:uid="{00000000-0005-0000-0000-0000BC610000}"/>
    <cellStyle name="Normal 2 21 6 4 4" xfId="25785" xr:uid="{00000000-0005-0000-0000-0000BD610000}"/>
    <cellStyle name="Normal 2 21 6 4 5" xfId="25786" xr:uid="{00000000-0005-0000-0000-0000BE610000}"/>
    <cellStyle name="Normal 2 21 6 4 6" xfId="25787" xr:uid="{00000000-0005-0000-0000-0000BF610000}"/>
    <cellStyle name="Normal 2 21 6 5" xfId="25788" xr:uid="{00000000-0005-0000-0000-0000C0610000}"/>
    <cellStyle name="Normal 2 21 6 5 2" xfId="25789" xr:uid="{00000000-0005-0000-0000-0000C1610000}"/>
    <cellStyle name="Normal 2 21 6 5 3" xfId="25790" xr:uid="{00000000-0005-0000-0000-0000C2610000}"/>
    <cellStyle name="Normal 2 21 6 5 4" xfId="25791" xr:uid="{00000000-0005-0000-0000-0000C3610000}"/>
    <cellStyle name="Normal 2 21 6 5 5" xfId="25792" xr:uid="{00000000-0005-0000-0000-0000C4610000}"/>
    <cellStyle name="Normal 2 21 6 5 6" xfId="25793" xr:uid="{00000000-0005-0000-0000-0000C5610000}"/>
    <cellStyle name="Normal 2 21 6 6" xfId="25794" xr:uid="{00000000-0005-0000-0000-0000C6610000}"/>
    <cellStyle name="Normal 2 21 6 6 2" xfId="25795" xr:uid="{00000000-0005-0000-0000-0000C7610000}"/>
    <cellStyle name="Normal 2 21 6 6 3" xfId="25796" xr:uid="{00000000-0005-0000-0000-0000C8610000}"/>
    <cellStyle name="Normal 2 21 6 6 4" xfId="25797" xr:uid="{00000000-0005-0000-0000-0000C9610000}"/>
    <cellStyle name="Normal 2 21 6 6 5" xfId="25798" xr:uid="{00000000-0005-0000-0000-0000CA610000}"/>
    <cellStyle name="Normal 2 21 6 6 6" xfId="25799" xr:uid="{00000000-0005-0000-0000-0000CB610000}"/>
    <cellStyle name="Normal 2 21 6 7" xfId="25800" xr:uid="{00000000-0005-0000-0000-0000CC610000}"/>
    <cellStyle name="Normal 2 21 6 7 2" xfId="25801" xr:uid="{00000000-0005-0000-0000-0000CD610000}"/>
    <cellStyle name="Normal 2 21 6 7 3" xfId="25802" xr:uid="{00000000-0005-0000-0000-0000CE610000}"/>
    <cellStyle name="Normal 2 21 6 7 4" xfId="25803" xr:uid="{00000000-0005-0000-0000-0000CF610000}"/>
    <cellStyle name="Normal 2 21 6 7 5" xfId="25804" xr:uid="{00000000-0005-0000-0000-0000D0610000}"/>
    <cellStyle name="Normal 2 21 6 7 6" xfId="25805" xr:uid="{00000000-0005-0000-0000-0000D1610000}"/>
    <cellStyle name="Normal 2 21 6 8" xfId="25806" xr:uid="{00000000-0005-0000-0000-0000D2610000}"/>
    <cellStyle name="Normal 2 21 6 8 2" xfId="25807" xr:uid="{00000000-0005-0000-0000-0000D3610000}"/>
    <cellStyle name="Normal 2 21 6 8 3" xfId="25808" xr:uid="{00000000-0005-0000-0000-0000D4610000}"/>
    <cellStyle name="Normal 2 21 6 8 4" xfId="25809" xr:uid="{00000000-0005-0000-0000-0000D5610000}"/>
    <cellStyle name="Normal 2 21 6 8 5" xfId="25810" xr:uid="{00000000-0005-0000-0000-0000D6610000}"/>
    <cellStyle name="Normal 2 21 6 8 6" xfId="25811" xr:uid="{00000000-0005-0000-0000-0000D7610000}"/>
    <cellStyle name="Normal 2 21 6 9" xfId="25812" xr:uid="{00000000-0005-0000-0000-0000D8610000}"/>
    <cellStyle name="Normal 2 21 7" xfId="25813" xr:uid="{00000000-0005-0000-0000-0000D9610000}"/>
    <cellStyle name="Normal 2 21 7 10" xfId="25814" xr:uid="{00000000-0005-0000-0000-0000DA610000}"/>
    <cellStyle name="Normal 2 21 7 11" xfId="25815" xr:uid="{00000000-0005-0000-0000-0000DB610000}"/>
    <cellStyle name="Normal 2 21 7 12" xfId="25816" xr:uid="{00000000-0005-0000-0000-0000DC610000}"/>
    <cellStyle name="Normal 2 21 7 13" xfId="25817" xr:uid="{00000000-0005-0000-0000-0000DD610000}"/>
    <cellStyle name="Normal 2 21 7 2" xfId="25818" xr:uid="{00000000-0005-0000-0000-0000DE610000}"/>
    <cellStyle name="Normal 2 21 7 2 2" xfId="25819" xr:uid="{00000000-0005-0000-0000-0000DF610000}"/>
    <cellStyle name="Normal 2 21 7 2 3" xfId="25820" xr:uid="{00000000-0005-0000-0000-0000E0610000}"/>
    <cellStyle name="Normal 2 21 7 2 4" xfId="25821" xr:uid="{00000000-0005-0000-0000-0000E1610000}"/>
    <cellStyle name="Normal 2 21 7 2 5" xfId="25822" xr:uid="{00000000-0005-0000-0000-0000E2610000}"/>
    <cellStyle name="Normal 2 21 7 2 6" xfId="25823" xr:uid="{00000000-0005-0000-0000-0000E3610000}"/>
    <cellStyle name="Normal 2 21 7 3" xfId="25824" xr:uid="{00000000-0005-0000-0000-0000E4610000}"/>
    <cellStyle name="Normal 2 21 7 3 2" xfId="25825" xr:uid="{00000000-0005-0000-0000-0000E5610000}"/>
    <cellStyle name="Normal 2 21 7 3 3" xfId="25826" xr:uid="{00000000-0005-0000-0000-0000E6610000}"/>
    <cellStyle name="Normal 2 21 7 3 4" xfId="25827" xr:uid="{00000000-0005-0000-0000-0000E7610000}"/>
    <cellStyle name="Normal 2 21 7 3 5" xfId="25828" xr:uid="{00000000-0005-0000-0000-0000E8610000}"/>
    <cellStyle name="Normal 2 21 7 3 6" xfId="25829" xr:uid="{00000000-0005-0000-0000-0000E9610000}"/>
    <cellStyle name="Normal 2 21 7 4" xfId="25830" xr:uid="{00000000-0005-0000-0000-0000EA610000}"/>
    <cellStyle name="Normal 2 21 7 4 2" xfId="25831" xr:uid="{00000000-0005-0000-0000-0000EB610000}"/>
    <cellStyle name="Normal 2 21 7 4 3" xfId="25832" xr:uid="{00000000-0005-0000-0000-0000EC610000}"/>
    <cellStyle name="Normal 2 21 7 4 4" xfId="25833" xr:uid="{00000000-0005-0000-0000-0000ED610000}"/>
    <cellStyle name="Normal 2 21 7 4 5" xfId="25834" xr:uid="{00000000-0005-0000-0000-0000EE610000}"/>
    <cellStyle name="Normal 2 21 7 4 6" xfId="25835" xr:uid="{00000000-0005-0000-0000-0000EF610000}"/>
    <cellStyle name="Normal 2 21 7 5" xfId="25836" xr:uid="{00000000-0005-0000-0000-0000F0610000}"/>
    <cellStyle name="Normal 2 21 7 5 2" xfId="25837" xr:uid="{00000000-0005-0000-0000-0000F1610000}"/>
    <cellStyle name="Normal 2 21 7 5 3" xfId="25838" xr:uid="{00000000-0005-0000-0000-0000F2610000}"/>
    <cellStyle name="Normal 2 21 7 5 4" xfId="25839" xr:uid="{00000000-0005-0000-0000-0000F3610000}"/>
    <cellStyle name="Normal 2 21 7 5 5" xfId="25840" xr:uid="{00000000-0005-0000-0000-0000F4610000}"/>
    <cellStyle name="Normal 2 21 7 5 6" xfId="25841" xr:uid="{00000000-0005-0000-0000-0000F5610000}"/>
    <cellStyle name="Normal 2 21 7 6" xfId="25842" xr:uid="{00000000-0005-0000-0000-0000F6610000}"/>
    <cellStyle name="Normal 2 21 7 6 2" xfId="25843" xr:uid="{00000000-0005-0000-0000-0000F7610000}"/>
    <cellStyle name="Normal 2 21 7 6 3" xfId="25844" xr:uid="{00000000-0005-0000-0000-0000F8610000}"/>
    <cellStyle name="Normal 2 21 7 6 4" xfId="25845" xr:uid="{00000000-0005-0000-0000-0000F9610000}"/>
    <cellStyle name="Normal 2 21 7 6 5" xfId="25846" xr:uid="{00000000-0005-0000-0000-0000FA610000}"/>
    <cellStyle name="Normal 2 21 7 6 6" xfId="25847" xr:uid="{00000000-0005-0000-0000-0000FB610000}"/>
    <cellStyle name="Normal 2 21 7 7" xfId="25848" xr:uid="{00000000-0005-0000-0000-0000FC610000}"/>
    <cellStyle name="Normal 2 21 7 7 2" xfId="25849" xr:uid="{00000000-0005-0000-0000-0000FD610000}"/>
    <cellStyle name="Normal 2 21 7 7 3" xfId="25850" xr:uid="{00000000-0005-0000-0000-0000FE610000}"/>
    <cellStyle name="Normal 2 21 7 7 4" xfId="25851" xr:uid="{00000000-0005-0000-0000-0000FF610000}"/>
    <cellStyle name="Normal 2 21 7 7 5" xfId="25852" xr:uid="{00000000-0005-0000-0000-000000620000}"/>
    <cellStyle name="Normal 2 21 7 7 6" xfId="25853" xr:uid="{00000000-0005-0000-0000-000001620000}"/>
    <cellStyle name="Normal 2 21 7 8" xfId="25854" xr:uid="{00000000-0005-0000-0000-000002620000}"/>
    <cellStyle name="Normal 2 21 7 8 2" xfId="25855" xr:uid="{00000000-0005-0000-0000-000003620000}"/>
    <cellStyle name="Normal 2 21 7 8 3" xfId="25856" xr:uid="{00000000-0005-0000-0000-000004620000}"/>
    <cellStyle name="Normal 2 21 7 8 4" xfId="25857" xr:uid="{00000000-0005-0000-0000-000005620000}"/>
    <cellStyle name="Normal 2 21 7 8 5" xfId="25858" xr:uid="{00000000-0005-0000-0000-000006620000}"/>
    <cellStyle name="Normal 2 21 7 8 6" xfId="25859" xr:uid="{00000000-0005-0000-0000-000007620000}"/>
    <cellStyle name="Normal 2 21 7 9" xfId="25860" xr:uid="{00000000-0005-0000-0000-000008620000}"/>
    <cellStyle name="Normal 2 21 8" xfId="25861" xr:uid="{00000000-0005-0000-0000-000009620000}"/>
    <cellStyle name="Normal 2 21 9" xfId="25862" xr:uid="{00000000-0005-0000-0000-00000A620000}"/>
    <cellStyle name="Normal 2 22" xfId="25863" xr:uid="{00000000-0005-0000-0000-00000B620000}"/>
    <cellStyle name="Normal 2 22 10" xfId="25864" xr:uid="{00000000-0005-0000-0000-00000C620000}"/>
    <cellStyle name="Normal 2 22 11" xfId="25865" xr:uid="{00000000-0005-0000-0000-00000D620000}"/>
    <cellStyle name="Normal 2 22 12" xfId="25866" xr:uid="{00000000-0005-0000-0000-00000E620000}"/>
    <cellStyle name="Normal 2 22 13" xfId="25867" xr:uid="{00000000-0005-0000-0000-00000F620000}"/>
    <cellStyle name="Normal 2 22 14" xfId="25868" xr:uid="{00000000-0005-0000-0000-000010620000}"/>
    <cellStyle name="Normal 2 22 2" xfId="25869" xr:uid="{00000000-0005-0000-0000-000011620000}"/>
    <cellStyle name="Normal 2 22 2 2" xfId="25870" xr:uid="{00000000-0005-0000-0000-000012620000}"/>
    <cellStyle name="Normal 2 22 2 3" xfId="25871" xr:uid="{00000000-0005-0000-0000-000013620000}"/>
    <cellStyle name="Normal 2 22 2 4" xfId="25872" xr:uid="{00000000-0005-0000-0000-000014620000}"/>
    <cellStyle name="Normal 2 22 2 5" xfId="25873" xr:uid="{00000000-0005-0000-0000-000015620000}"/>
    <cellStyle name="Normal 2 22 2 6" xfId="25874" xr:uid="{00000000-0005-0000-0000-000016620000}"/>
    <cellStyle name="Normal 2 22 3" xfId="25875" xr:uid="{00000000-0005-0000-0000-000017620000}"/>
    <cellStyle name="Normal 2 22 3 2" xfId="25876" xr:uid="{00000000-0005-0000-0000-000018620000}"/>
    <cellStyle name="Normal 2 22 3 3" xfId="25877" xr:uid="{00000000-0005-0000-0000-000019620000}"/>
    <cellStyle name="Normal 2 22 3 4" xfId="25878" xr:uid="{00000000-0005-0000-0000-00001A620000}"/>
    <cellStyle name="Normal 2 22 3 5" xfId="25879" xr:uid="{00000000-0005-0000-0000-00001B620000}"/>
    <cellStyle name="Normal 2 22 3 6" xfId="25880" xr:uid="{00000000-0005-0000-0000-00001C620000}"/>
    <cellStyle name="Normal 2 22 4" xfId="25881" xr:uid="{00000000-0005-0000-0000-00001D620000}"/>
    <cellStyle name="Normal 2 22 4 2" xfId="25882" xr:uid="{00000000-0005-0000-0000-00001E620000}"/>
    <cellStyle name="Normal 2 22 4 3" xfId="25883" xr:uid="{00000000-0005-0000-0000-00001F620000}"/>
    <cellStyle name="Normal 2 22 4 4" xfId="25884" xr:uid="{00000000-0005-0000-0000-000020620000}"/>
    <cellStyle name="Normal 2 22 4 5" xfId="25885" xr:uid="{00000000-0005-0000-0000-000021620000}"/>
    <cellStyle name="Normal 2 22 4 6" xfId="25886" xr:uid="{00000000-0005-0000-0000-000022620000}"/>
    <cellStyle name="Normal 2 22 5" xfId="25887" xr:uid="{00000000-0005-0000-0000-000023620000}"/>
    <cellStyle name="Normal 2 22 5 2" xfId="25888" xr:uid="{00000000-0005-0000-0000-000024620000}"/>
    <cellStyle name="Normal 2 22 5 3" xfId="25889" xr:uid="{00000000-0005-0000-0000-000025620000}"/>
    <cellStyle name="Normal 2 22 5 4" xfId="25890" xr:uid="{00000000-0005-0000-0000-000026620000}"/>
    <cellStyle name="Normal 2 22 5 5" xfId="25891" xr:uid="{00000000-0005-0000-0000-000027620000}"/>
    <cellStyle name="Normal 2 22 5 6" xfId="25892" xr:uid="{00000000-0005-0000-0000-000028620000}"/>
    <cellStyle name="Normal 2 22 6" xfId="25893" xr:uid="{00000000-0005-0000-0000-000029620000}"/>
    <cellStyle name="Normal 2 22 6 2" xfId="25894" xr:uid="{00000000-0005-0000-0000-00002A620000}"/>
    <cellStyle name="Normal 2 22 6 3" xfId="25895" xr:uid="{00000000-0005-0000-0000-00002B620000}"/>
    <cellStyle name="Normal 2 22 6 4" xfId="25896" xr:uid="{00000000-0005-0000-0000-00002C620000}"/>
    <cellStyle name="Normal 2 22 6 5" xfId="25897" xr:uid="{00000000-0005-0000-0000-00002D620000}"/>
    <cellStyle name="Normal 2 22 6 6" xfId="25898" xr:uid="{00000000-0005-0000-0000-00002E620000}"/>
    <cellStyle name="Normal 2 22 7" xfId="25899" xr:uid="{00000000-0005-0000-0000-00002F620000}"/>
    <cellStyle name="Normal 2 22 7 2" xfId="25900" xr:uid="{00000000-0005-0000-0000-000030620000}"/>
    <cellStyle name="Normal 2 22 7 3" xfId="25901" xr:uid="{00000000-0005-0000-0000-000031620000}"/>
    <cellStyle name="Normal 2 22 7 4" xfId="25902" xr:uid="{00000000-0005-0000-0000-000032620000}"/>
    <cellStyle name="Normal 2 22 7 5" xfId="25903" xr:uid="{00000000-0005-0000-0000-000033620000}"/>
    <cellStyle name="Normal 2 22 7 6" xfId="25904" xr:uid="{00000000-0005-0000-0000-000034620000}"/>
    <cellStyle name="Normal 2 22 8" xfId="25905" xr:uid="{00000000-0005-0000-0000-000035620000}"/>
    <cellStyle name="Normal 2 22 8 2" xfId="25906" xr:uid="{00000000-0005-0000-0000-000036620000}"/>
    <cellStyle name="Normal 2 22 8 3" xfId="25907" xr:uid="{00000000-0005-0000-0000-000037620000}"/>
    <cellStyle name="Normal 2 22 8 4" xfId="25908" xr:uid="{00000000-0005-0000-0000-000038620000}"/>
    <cellStyle name="Normal 2 22 8 5" xfId="25909" xr:uid="{00000000-0005-0000-0000-000039620000}"/>
    <cellStyle name="Normal 2 22 8 6" xfId="25910" xr:uid="{00000000-0005-0000-0000-00003A620000}"/>
    <cellStyle name="Normal 2 22 9" xfId="25911" xr:uid="{00000000-0005-0000-0000-00003B620000}"/>
    <cellStyle name="Normal 2 23" xfId="25912" xr:uid="{00000000-0005-0000-0000-00003C620000}"/>
    <cellStyle name="Normal 2 23 10" xfId="25913" xr:uid="{00000000-0005-0000-0000-00003D620000}"/>
    <cellStyle name="Normal 2 23 11" xfId="25914" xr:uid="{00000000-0005-0000-0000-00003E620000}"/>
    <cellStyle name="Normal 2 23 12" xfId="25915" xr:uid="{00000000-0005-0000-0000-00003F620000}"/>
    <cellStyle name="Normal 2 23 13" xfId="25916" xr:uid="{00000000-0005-0000-0000-000040620000}"/>
    <cellStyle name="Normal 2 23 14" xfId="25917" xr:uid="{00000000-0005-0000-0000-000041620000}"/>
    <cellStyle name="Normal 2 23 2" xfId="25918" xr:uid="{00000000-0005-0000-0000-000042620000}"/>
    <cellStyle name="Normal 2 23 2 2" xfId="25919" xr:uid="{00000000-0005-0000-0000-000043620000}"/>
    <cellStyle name="Normal 2 23 2 3" xfId="25920" xr:uid="{00000000-0005-0000-0000-000044620000}"/>
    <cellStyle name="Normal 2 23 2 4" xfId="25921" xr:uid="{00000000-0005-0000-0000-000045620000}"/>
    <cellStyle name="Normal 2 23 2 5" xfId="25922" xr:uid="{00000000-0005-0000-0000-000046620000}"/>
    <cellStyle name="Normal 2 23 2 6" xfId="25923" xr:uid="{00000000-0005-0000-0000-000047620000}"/>
    <cellStyle name="Normal 2 23 3" xfId="25924" xr:uid="{00000000-0005-0000-0000-000048620000}"/>
    <cellStyle name="Normal 2 23 3 2" xfId="25925" xr:uid="{00000000-0005-0000-0000-000049620000}"/>
    <cellStyle name="Normal 2 23 3 3" xfId="25926" xr:uid="{00000000-0005-0000-0000-00004A620000}"/>
    <cellStyle name="Normal 2 23 3 4" xfId="25927" xr:uid="{00000000-0005-0000-0000-00004B620000}"/>
    <cellStyle name="Normal 2 23 3 5" xfId="25928" xr:uid="{00000000-0005-0000-0000-00004C620000}"/>
    <cellStyle name="Normal 2 23 3 6" xfId="25929" xr:uid="{00000000-0005-0000-0000-00004D620000}"/>
    <cellStyle name="Normal 2 23 4" xfId="25930" xr:uid="{00000000-0005-0000-0000-00004E620000}"/>
    <cellStyle name="Normal 2 23 4 2" xfId="25931" xr:uid="{00000000-0005-0000-0000-00004F620000}"/>
    <cellStyle name="Normal 2 23 4 3" xfId="25932" xr:uid="{00000000-0005-0000-0000-000050620000}"/>
    <cellStyle name="Normal 2 23 4 4" xfId="25933" xr:uid="{00000000-0005-0000-0000-000051620000}"/>
    <cellStyle name="Normal 2 23 4 5" xfId="25934" xr:uid="{00000000-0005-0000-0000-000052620000}"/>
    <cellStyle name="Normal 2 23 4 6" xfId="25935" xr:uid="{00000000-0005-0000-0000-000053620000}"/>
    <cellStyle name="Normal 2 23 5" xfId="25936" xr:uid="{00000000-0005-0000-0000-000054620000}"/>
    <cellStyle name="Normal 2 23 5 2" xfId="25937" xr:uid="{00000000-0005-0000-0000-000055620000}"/>
    <cellStyle name="Normal 2 23 5 3" xfId="25938" xr:uid="{00000000-0005-0000-0000-000056620000}"/>
    <cellStyle name="Normal 2 23 5 4" xfId="25939" xr:uid="{00000000-0005-0000-0000-000057620000}"/>
    <cellStyle name="Normal 2 23 5 5" xfId="25940" xr:uid="{00000000-0005-0000-0000-000058620000}"/>
    <cellStyle name="Normal 2 23 5 6" xfId="25941" xr:uid="{00000000-0005-0000-0000-000059620000}"/>
    <cellStyle name="Normal 2 23 6" xfId="25942" xr:uid="{00000000-0005-0000-0000-00005A620000}"/>
    <cellStyle name="Normal 2 23 6 2" xfId="25943" xr:uid="{00000000-0005-0000-0000-00005B620000}"/>
    <cellStyle name="Normal 2 23 6 3" xfId="25944" xr:uid="{00000000-0005-0000-0000-00005C620000}"/>
    <cellStyle name="Normal 2 23 6 4" xfId="25945" xr:uid="{00000000-0005-0000-0000-00005D620000}"/>
    <cellStyle name="Normal 2 23 6 5" xfId="25946" xr:uid="{00000000-0005-0000-0000-00005E620000}"/>
    <cellStyle name="Normal 2 23 6 6" xfId="25947" xr:uid="{00000000-0005-0000-0000-00005F620000}"/>
    <cellStyle name="Normal 2 23 7" xfId="25948" xr:uid="{00000000-0005-0000-0000-000060620000}"/>
    <cellStyle name="Normal 2 23 7 2" xfId="25949" xr:uid="{00000000-0005-0000-0000-000061620000}"/>
    <cellStyle name="Normal 2 23 7 3" xfId="25950" xr:uid="{00000000-0005-0000-0000-000062620000}"/>
    <cellStyle name="Normal 2 23 7 4" xfId="25951" xr:uid="{00000000-0005-0000-0000-000063620000}"/>
    <cellStyle name="Normal 2 23 7 5" xfId="25952" xr:uid="{00000000-0005-0000-0000-000064620000}"/>
    <cellStyle name="Normal 2 23 7 6" xfId="25953" xr:uid="{00000000-0005-0000-0000-000065620000}"/>
    <cellStyle name="Normal 2 23 8" xfId="25954" xr:uid="{00000000-0005-0000-0000-000066620000}"/>
    <cellStyle name="Normal 2 23 8 2" xfId="25955" xr:uid="{00000000-0005-0000-0000-000067620000}"/>
    <cellStyle name="Normal 2 23 8 3" xfId="25956" xr:uid="{00000000-0005-0000-0000-000068620000}"/>
    <cellStyle name="Normal 2 23 8 4" xfId="25957" xr:uid="{00000000-0005-0000-0000-000069620000}"/>
    <cellStyle name="Normal 2 23 8 5" xfId="25958" xr:uid="{00000000-0005-0000-0000-00006A620000}"/>
    <cellStyle name="Normal 2 23 8 6" xfId="25959" xr:uid="{00000000-0005-0000-0000-00006B620000}"/>
    <cellStyle name="Normal 2 23 9" xfId="25960" xr:uid="{00000000-0005-0000-0000-00006C620000}"/>
    <cellStyle name="Normal 2 24" xfId="25961" xr:uid="{00000000-0005-0000-0000-00006D620000}"/>
    <cellStyle name="Normal 2 24 10" xfId="25962" xr:uid="{00000000-0005-0000-0000-00006E620000}"/>
    <cellStyle name="Normal 2 24 11" xfId="25963" xr:uid="{00000000-0005-0000-0000-00006F620000}"/>
    <cellStyle name="Normal 2 24 12" xfId="25964" xr:uid="{00000000-0005-0000-0000-000070620000}"/>
    <cellStyle name="Normal 2 24 13" xfId="25965" xr:uid="{00000000-0005-0000-0000-000071620000}"/>
    <cellStyle name="Normal 2 24 14" xfId="25966" xr:uid="{00000000-0005-0000-0000-000072620000}"/>
    <cellStyle name="Normal 2 24 15" xfId="25967" xr:uid="{00000000-0005-0000-0000-000073620000}"/>
    <cellStyle name="Normal 2 24 16" xfId="25968" xr:uid="{00000000-0005-0000-0000-000074620000}"/>
    <cellStyle name="Normal 2 24 17" xfId="25969" xr:uid="{00000000-0005-0000-0000-000075620000}"/>
    <cellStyle name="Normal 2 24 18" xfId="25970" xr:uid="{00000000-0005-0000-0000-000076620000}"/>
    <cellStyle name="Normal 2 24 19" xfId="25971" xr:uid="{00000000-0005-0000-0000-000077620000}"/>
    <cellStyle name="Normal 2 24 2" xfId="25972" xr:uid="{00000000-0005-0000-0000-000078620000}"/>
    <cellStyle name="Normal 2 24 20" xfId="25973" xr:uid="{00000000-0005-0000-0000-000079620000}"/>
    <cellStyle name="Normal 2 24 21" xfId="25974" xr:uid="{00000000-0005-0000-0000-00007A620000}"/>
    <cellStyle name="Normal 2 24 22" xfId="25975" xr:uid="{00000000-0005-0000-0000-00007B620000}"/>
    <cellStyle name="Normal 2 24 23" xfId="25976" xr:uid="{00000000-0005-0000-0000-00007C620000}"/>
    <cellStyle name="Normal 2 24 24" xfId="25977" xr:uid="{00000000-0005-0000-0000-00007D620000}"/>
    <cellStyle name="Normal 2 24 25" xfId="25978" xr:uid="{00000000-0005-0000-0000-00007E620000}"/>
    <cellStyle name="Normal 2 24 26" xfId="25979" xr:uid="{00000000-0005-0000-0000-00007F620000}"/>
    <cellStyle name="Normal 2 24 27" xfId="25980" xr:uid="{00000000-0005-0000-0000-000080620000}"/>
    <cellStyle name="Normal 2 24 28" xfId="25981" xr:uid="{00000000-0005-0000-0000-000081620000}"/>
    <cellStyle name="Normal 2 24 29" xfId="25982" xr:uid="{00000000-0005-0000-0000-000082620000}"/>
    <cellStyle name="Normal 2 24 3" xfId="25983" xr:uid="{00000000-0005-0000-0000-000083620000}"/>
    <cellStyle name="Normal 2 24 30" xfId="25984" xr:uid="{00000000-0005-0000-0000-000084620000}"/>
    <cellStyle name="Normal 2 24 31" xfId="25985" xr:uid="{00000000-0005-0000-0000-000085620000}"/>
    <cellStyle name="Normal 2 24 32" xfId="25986" xr:uid="{00000000-0005-0000-0000-000086620000}"/>
    <cellStyle name="Normal 2 24 33" xfId="25987" xr:uid="{00000000-0005-0000-0000-000087620000}"/>
    <cellStyle name="Normal 2 24 34" xfId="25988" xr:uid="{00000000-0005-0000-0000-000088620000}"/>
    <cellStyle name="Normal 2 24 35" xfId="25989" xr:uid="{00000000-0005-0000-0000-000089620000}"/>
    <cellStyle name="Normal 2 24 36" xfId="25990" xr:uid="{00000000-0005-0000-0000-00008A620000}"/>
    <cellStyle name="Normal 2 24 37" xfId="25991" xr:uid="{00000000-0005-0000-0000-00008B620000}"/>
    <cellStyle name="Normal 2 24 38" xfId="25992" xr:uid="{00000000-0005-0000-0000-00008C620000}"/>
    <cellStyle name="Normal 2 24 39" xfId="25993" xr:uid="{00000000-0005-0000-0000-00008D620000}"/>
    <cellStyle name="Normal 2 24 4" xfId="25994" xr:uid="{00000000-0005-0000-0000-00008E620000}"/>
    <cellStyle name="Normal 2 24 40" xfId="25995" xr:uid="{00000000-0005-0000-0000-00008F620000}"/>
    <cellStyle name="Normal 2 24 41" xfId="25996" xr:uid="{00000000-0005-0000-0000-000090620000}"/>
    <cellStyle name="Normal 2 24 42" xfId="25997" xr:uid="{00000000-0005-0000-0000-000091620000}"/>
    <cellStyle name="Normal 2 24 43" xfId="25998" xr:uid="{00000000-0005-0000-0000-000092620000}"/>
    <cellStyle name="Normal 2 24 44" xfId="25999" xr:uid="{00000000-0005-0000-0000-000093620000}"/>
    <cellStyle name="Normal 2 24 45" xfId="26000" xr:uid="{00000000-0005-0000-0000-000094620000}"/>
    <cellStyle name="Normal 2 24 46" xfId="26001" xr:uid="{00000000-0005-0000-0000-000095620000}"/>
    <cellStyle name="Normal 2 24 5" xfId="26002" xr:uid="{00000000-0005-0000-0000-000096620000}"/>
    <cellStyle name="Normal 2 24 6" xfId="26003" xr:uid="{00000000-0005-0000-0000-000097620000}"/>
    <cellStyle name="Normal 2 24 7" xfId="26004" xr:uid="{00000000-0005-0000-0000-000098620000}"/>
    <cellStyle name="Normal 2 24 8" xfId="26005" xr:uid="{00000000-0005-0000-0000-000099620000}"/>
    <cellStyle name="Normal 2 24 9" xfId="26006" xr:uid="{00000000-0005-0000-0000-00009A620000}"/>
    <cellStyle name="Normal 2 25" xfId="26007" xr:uid="{00000000-0005-0000-0000-00009B620000}"/>
    <cellStyle name="Normal 2 25 10" xfId="26008" xr:uid="{00000000-0005-0000-0000-00009C620000}"/>
    <cellStyle name="Normal 2 25 11" xfId="26009" xr:uid="{00000000-0005-0000-0000-00009D620000}"/>
    <cellStyle name="Normal 2 25 12" xfId="26010" xr:uid="{00000000-0005-0000-0000-00009E620000}"/>
    <cellStyle name="Normal 2 25 13" xfId="26011" xr:uid="{00000000-0005-0000-0000-00009F620000}"/>
    <cellStyle name="Normal 2 25 14" xfId="26012" xr:uid="{00000000-0005-0000-0000-0000A0620000}"/>
    <cellStyle name="Normal 2 25 15" xfId="26013" xr:uid="{00000000-0005-0000-0000-0000A1620000}"/>
    <cellStyle name="Normal 2 25 16" xfId="26014" xr:uid="{00000000-0005-0000-0000-0000A2620000}"/>
    <cellStyle name="Normal 2 25 17" xfId="26015" xr:uid="{00000000-0005-0000-0000-0000A3620000}"/>
    <cellStyle name="Normal 2 25 18" xfId="26016" xr:uid="{00000000-0005-0000-0000-0000A4620000}"/>
    <cellStyle name="Normal 2 25 19" xfId="26017" xr:uid="{00000000-0005-0000-0000-0000A5620000}"/>
    <cellStyle name="Normal 2 25 2" xfId="26018" xr:uid="{00000000-0005-0000-0000-0000A6620000}"/>
    <cellStyle name="Normal 2 25 20" xfId="26019" xr:uid="{00000000-0005-0000-0000-0000A7620000}"/>
    <cellStyle name="Normal 2 25 21" xfId="26020" xr:uid="{00000000-0005-0000-0000-0000A8620000}"/>
    <cellStyle name="Normal 2 25 22" xfId="26021" xr:uid="{00000000-0005-0000-0000-0000A9620000}"/>
    <cellStyle name="Normal 2 25 23" xfId="26022" xr:uid="{00000000-0005-0000-0000-0000AA620000}"/>
    <cellStyle name="Normal 2 25 24" xfId="26023" xr:uid="{00000000-0005-0000-0000-0000AB620000}"/>
    <cellStyle name="Normal 2 25 25" xfId="26024" xr:uid="{00000000-0005-0000-0000-0000AC620000}"/>
    <cellStyle name="Normal 2 25 26" xfId="26025" xr:uid="{00000000-0005-0000-0000-0000AD620000}"/>
    <cellStyle name="Normal 2 25 27" xfId="26026" xr:uid="{00000000-0005-0000-0000-0000AE620000}"/>
    <cellStyle name="Normal 2 25 28" xfId="26027" xr:uid="{00000000-0005-0000-0000-0000AF620000}"/>
    <cellStyle name="Normal 2 25 29" xfId="26028" xr:uid="{00000000-0005-0000-0000-0000B0620000}"/>
    <cellStyle name="Normal 2 25 3" xfId="26029" xr:uid="{00000000-0005-0000-0000-0000B1620000}"/>
    <cellStyle name="Normal 2 25 30" xfId="26030" xr:uid="{00000000-0005-0000-0000-0000B2620000}"/>
    <cellStyle name="Normal 2 25 31" xfId="26031" xr:uid="{00000000-0005-0000-0000-0000B3620000}"/>
    <cellStyle name="Normal 2 25 32" xfId="26032" xr:uid="{00000000-0005-0000-0000-0000B4620000}"/>
    <cellStyle name="Normal 2 25 33" xfId="26033" xr:uid="{00000000-0005-0000-0000-0000B5620000}"/>
    <cellStyle name="Normal 2 25 34" xfId="26034" xr:uid="{00000000-0005-0000-0000-0000B6620000}"/>
    <cellStyle name="Normal 2 25 35" xfId="26035" xr:uid="{00000000-0005-0000-0000-0000B7620000}"/>
    <cellStyle name="Normal 2 25 36" xfId="26036" xr:uid="{00000000-0005-0000-0000-0000B8620000}"/>
    <cellStyle name="Normal 2 25 37" xfId="26037" xr:uid="{00000000-0005-0000-0000-0000B9620000}"/>
    <cellStyle name="Normal 2 25 38" xfId="26038" xr:uid="{00000000-0005-0000-0000-0000BA620000}"/>
    <cellStyle name="Normal 2 25 39" xfId="26039" xr:uid="{00000000-0005-0000-0000-0000BB620000}"/>
    <cellStyle name="Normal 2 25 4" xfId="26040" xr:uid="{00000000-0005-0000-0000-0000BC620000}"/>
    <cellStyle name="Normal 2 25 40" xfId="26041" xr:uid="{00000000-0005-0000-0000-0000BD620000}"/>
    <cellStyle name="Normal 2 25 41" xfId="26042" xr:uid="{00000000-0005-0000-0000-0000BE620000}"/>
    <cellStyle name="Normal 2 25 42" xfId="26043" xr:uid="{00000000-0005-0000-0000-0000BF620000}"/>
    <cellStyle name="Normal 2 25 43" xfId="26044" xr:uid="{00000000-0005-0000-0000-0000C0620000}"/>
    <cellStyle name="Normal 2 25 44" xfId="26045" xr:uid="{00000000-0005-0000-0000-0000C1620000}"/>
    <cellStyle name="Normal 2 25 45" xfId="26046" xr:uid="{00000000-0005-0000-0000-0000C2620000}"/>
    <cellStyle name="Normal 2 25 46" xfId="26047" xr:uid="{00000000-0005-0000-0000-0000C3620000}"/>
    <cellStyle name="Normal 2 25 5" xfId="26048" xr:uid="{00000000-0005-0000-0000-0000C4620000}"/>
    <cellStyle name="Normal 2 25 6" xfId="26049" xr:uid="{00000000-0005-0000-0000-0000C5620000}"/>
    <cellStyle name="Normal 2 25 7" xfId="26050" xr:uid="{00000000-0005-0000-0000-0000C6620000}"/>
    <cellStyle name="Normal 2 25 8" xfId="26051" xr:uid="{00000000-0005-0000-0000-0000C7620000}"/>
    <cellStyle name="Normal 2 25 9" xfId="26052" xr:uid="{00000000-0005-0000-0000-0000C8620000}"/>
    <cellStyle name="Normal 2 26" xfId="26053" xr:uid="{00000000-0005-0000-0000-0000C9620000}"/>
    <cellStyle name="Normal 2 26 10" xfId="26054" xr:uid="{00000000-0005-0000-0000-0000CA620000}"/>
    <cellStyle name="Normal 2 26 11" xfId="26055" xr:uid="{00000000-0005-0000-0000-0000CB620000}"/>
    <cellStyle name="Normal 2 26 12" xfId="26056" xr:uid="{00000000-0005-0000-0000-0000CC620000}"/>
    <cellStyle name="Normal 2 26 13" xfId="26057" xr:uid="{00000000-0005-0000-0000-0000CD620000}"/>
    <cellStyle name="Normal 2 26 14" xfId="26058" xr:uid="{00000000-0005-0000-0000-0000CE620000}"/>
    <cellStyle name="Normal 2 26 15" xfId="26059" xr:uid="{00000000-0005-0000-0000-0000CF620000}"/>
    <cellStyle name="Normal 2 26 16" xfId="26060" xr:uid="{00000000-0005-0000-0000-0000D0620000}"/>
    <cellStyle name="Normal 2 26 17" xfId="26061" xr:uid="{00000000-0005-0000-0000-0000D1620000}"/>
    <cellStyle name="Normal 2 26 18" xfId="26062" xr:uid="{00000000-0005-0000-0000-0000D2620000}"/>
    <cellStyle name="Normal 2 26 19" xfId="26063" xr:uid="{00000000-0005-0000-0000-0000D3620000}"/>
    <cellStyle name="Normal 2 26 2" xfId="26064" xr:uid="{00000000-0005-0000-0000-0000D4620000}"/>
    <cellStyle name="Normal 2 26 20" xfId="26065" xr:uid="{00000000-0005-0000-0000-0000D5620000}"/>
    <cellStyle name="Normal 2 26 21" xfId="26066" xr:uid="{00000000-0005-0000-0000-0000D6620000}"/>
    <cellStyle name="Normal 2 26 22" xfId="26067" xr:uid="{00000000-0005-0000-0000-0000D7620000}"/>
    <cellStyle name="Normal 2 26 23" xfId="26068" xr:uid="{00000000-0005-0000-0000-0000D8620000}"/>
    <cellStyle name="Normal 2 26 24" xfId="26069" xr:uid="{00000000-0005-0000-0000-0000D9620000}"/>
    <cellStyle name="Normal 2 26 25" xfId="26070" xr:uid="{00000000-0005-0000-0000-0000DA620000}"/>
    <cellStyle name="Normal 2 26 26" xfId="26071" xr:uid="{00000000-0005-0000-0000-0000DB620000}"/>
    <cellStyle name="Normal 2 26 27" xfId="26072" xr:uid="{00000000-0005-0000-0000-0000DC620000}"/>
    <cellStyle name="Normal 2 26 28" xfId="26073" xr:uid="{00000000-0005-0000-0000-0000DD620000}"/>
    <cellStyle name="Normal 2 26 29" xfId="26074" xr:uid="{00000000-0005-0000-0000-0000DE620000}"/>
    <cellStyle name="Normal 2 26 3" xfId="26075" xr:uid="{00000000-0005-0000-0000-0000DF620000}"/>
    <cellStyle name="Normal 2 26 30" xfId="26076" xr:uid="{00000000-0005-0000-0000-0000E0620000}"/>
    <cellStyle name="Normal 2 26 31" xfId="26077" xr:uid="{00000000-0005-0000-0000-0000E1620000}"/>
    <cellStyle name="Normal 2 26 32" xfId="26078" xr:uid="{00000000-0005-0000-0000-0000E2620000}"/>
    <cellStyle name="Normal 2 26 33" xfId="26079" xr:uid="{00000000-0005-0000-0000-0000E3620000}"/>
    <cellStyle name="Normal 2 26 34" xfId="26080" xr:uid="{00000000-0005-0000-0000-0000E4620000}"/>
    <cellStyle name="Normal 2 26 35" xfId="26081" xr:uid="{00000000-0005-0000-0000-0000E5620000}"/>
    <cellStyle name="Normal 2 26 36" xfId="26082" xr:uid="{00000000-0005-0000-0000-0000E6620000}"/>
    <cellStyle name="Normal 2 26 37" xfId="26083" xr:uid="{00000000-0005-0000-0000-0000E7620000}"/>
    <cellStyle name="Normal 2 26 38" xfId="26084" xr:uid="{00000000-0005-0000-0000-0000E8620000}"/>
    <cellStyle name="Normal 2 26 39" xfId="26085" xr:uid="{00000000-0005-0000-0000-0000E9620000}"/>
    <cellStyle name="Normal 2 26 4" xfId="26086" xr:uid="{00000000-0005-0000-0000-0000EA620000}"/>
    <cellStyle name="Normal 2 26 40" xfId="26087" xr:uid="{00000000-0005-0000-0000-0000EB620000}"/>
    <cellStyle name="Normal 2 26 41" xfId="26088" xr:uid="{00000000-0005-0000-0000-0000EC620000}"/>
    <cellStyle name="Normal 2 26 42" xfId="26089" xr:uid="{00000000-0005-0000-0000-0000ED620000}"/>
    <cellStyle name="Normal 2 26 43" xfId="26090" xr:uid="{00000000-0005-0000-0000-0000EE620000}"/>
    <cellStyle name="Normal 2 26 44" xfId="26091" xr:uid="{00000000-0005-0000-0000-0000EF620000}"/>
    <cellStyle name="Normal 2 26 45" xfId="26092" xr:uid="{00000000-0005-0000-0000-0000F0620000}"/>
    <cellStyle name="Normal 2 26 46" xfId="26093" xr:uid="{00000000-0005-0000-0000-0000F1620000}"/>
    <cellStyle name="Normal 2 26 5" xfId="26094" xr:uid="{00000000-0005-0000-0000-0000F2620000}"/>
    <cellStyle name="Normal 2 26 6" xfId="26095" xr:uid="{00000000-0005-0000-0000-0000F3620000}"/>
    <cellStyle name="Normal 2 26 7" xfId="26096" xr:uid="{00000000-0005-0000-0000-0000F4620000}"/>
    <cellStyle name="Normal 2 26 8" xfId="26097" xr:uid="{00000000-0005-0000-0000-0000F5620000}"/>
    <cellStyle name="Normal 2 26 9" xfId="26098" xr:uid="{00000000-0005-0000-0000-0000F6620000}"/>
    <cellStyle name="Normal 2 27" xfId="26099" xr:uid="{00000000-0005-0000-0000-0000F7620000}"/>
    <cellStyle name="Normal 2 27 10" xfId="26100" xr:uid="{00000000-0005-0000-0000-0000F8620000}"/>
    <cellStyle name="Normal 2 27 11" xfId="26101" xr:uid="{00000000-0005-0000-0000-0000F9620000}"/>
    <cellStyle name="Normal 2 27 12" xfId="26102" xr:uid="{00000000-0005-0000-0000-0000FA620000}"/>
    <cellStyle name="Normal 2 27 13" xfId="26103" xr:uid="{00000000-0005-0000-0000-0000FB620000}"/>
    <cellStyle name="Normal 2 27 14" xfId="26104" xr:uid="{00000000-0005-0000-0000-0000FC620000}"/>
    <cellStyle name="Normal 2 27 15" xfId="26105" xr:uid="{00000000-0005-0000-0000-0000FD620000}"/>
    <cellStyle name="Normal 2 27 16" xfId="26106" xr:uid="{00000000-0005-0000-0000-0000FE620000}"/>
    <cellStyle name="Normal 2 27 17" xfId="26107" xr:uid="{00000000-0005-0000-0000-0000FF620000}"/>
    <cellStyle name="Normal 2 27 18" xfId="26108" xr:uid="{00000000-0005-0000-0000-000000630000}"/>
    <cellStyle name="Normal 2 27 19" xfId="26109" xr:uid="{00000000-0005-0000-0000-000001630000}"/>
    <cellStyle name="Normal 2 27 2" xfId="26110" xr:uid="{00000000-0005-0000-0000-000002630000}"/>
    <cellStyle name="Normal 2 27 20" xfId="26111" xr:uid="{00000000-0005-0000-0000-000003630000}"/>
    <cellStyle name="Normal 2 27 21" xfId="26112" xr:uid="{00000000-0005-0000-0000-000004630000}"/>
    <cellStyle name="Normal 2 27 22" xfId="26113" xr:uid="{00000000-0005-0000-0000-000005630000}"/>
    <cellStyle name="Normal 2 27 23" xfId="26114" xr:uid="{00000000-0005-0000-0000-000006630000}"/>
    <cellStyle name="Normal 2 27 24" xfId="26115" xr:uid="{00000000-0005-0000-0000-000007630000}"/>
    <cellStyle name="Normal 2 27 25" xfId="26116" xr:uid="{00000000-0005-0000-0000-000008630000}"/>
    <cellStyle name="Normal 2 27 26" xfId="26117" xr:uid="{00000000-0005-0000-0000-000009630000}"/>
    <cellStyle name="Normal 2 27 27" xfId="26118" xr:uid="{00000000-0005-0000-0000-00000A630000}"/>
    <cellStyle name="Normal 2 27 28" xfId="26119" xr:uid="{00000000-0005-0000-0000-00000B630000}"/>
    <cellStyle name="Normal 2 27 29" xfId="26120" xr:uid="{00000000-0005-0000-0000-00000C630000}"/>
    <cellStyle name="Normal 2 27 3" xfId="26121" xr:uid="{00000000-0005-0000-0000-00000D630000}"/>
    <cellStyle name="Normal 2 27 30" xfId="26122" xr:uid="{00000000-0005-0000-0000-00000E630000}"/>
    <cellStyle name="Normal 2 27 31" xfId="26123" xr:uid="{00000000-0005-0000-0000-00000F630000}"/>
    <cellStyle name="Normal 2 27 32" xfId="26124" xr:uid="{00000000-0005-0000-0000-000010630000}"/>
    <cellStyle name="Normal 2 27 33" xfId="26125" xr:uid="{00000000-0005-0000-0000-000011630000}"/>
    <cellStyle name="Normal 2 27 34" xfId="26126" xr:uid="{00000000-0005-0000-0000-000012630000}"/>
    <cellStyle name="Normal 2 27 35" xfId="26127" xr:uid="{00000000-0005-0000-0000-000013630000}"/>
    <cellStyle name="Normal 2 27 36" xfId="26128" xr:uid="{00000000-0005-0000-0000-000014630000}"/>
    <cellStyle name="Normal 2 27 37" xfId="26129" xr:uid="{00000000-0005-0000-0000-000015630000}"/>
    <cellStyle name="Normal 2 27 38" xfId="26130" xr:uid="{00000000-0005-0000-0000-000016630000}"/>
    <cellStyle name="Normal 2 27 39" xfId="26131" xr:uid="{00000000-0005-0000-0000-000017630000}"/>
    <cellStyle name="Normal 2 27 4" xfId="26132" xr:uid="{00000000-0005-0000-0000-000018630000}"/>
    <cellStyle name="Normal 2 27 40" xfId="26133" xr:uid="{00000000-0005-0000-0000-000019630000}"/>
    <cellStyle name="Normal 2 27 41" xfId="26134" xr:uid="{00000000-0005-0000-0000-00001A630000}"/>
    <cellStyle name="Normal 2 27 42" xfId="26135" xr:uid="{00000000-0005-0000-0000-00001B630000}"/>
    <cellStyle name="Normal 2 27 43" xfId="26136" xr:uid="{00000000-0005-0000-0000-00001C630000}"/>
    <cellStyle name="Normal 2 27 44" xfId="26137" xr:uid="{00000000-0005-0000-0000-00001D630000}"/>
    <cellStyle name="Normal 2 27 45" xfId="26138" xr:uid="{00000000-0005-0000-0000-00001E630000}"/>
    <cellStyle name="Normal 2 27 46" xfId="26139" xr:uid="{00000000-0005-0000-0000-00001F630000}"/>
    <cellStyle name="Normal 2 27 5" xfId="26140" xr:uid="{00000000-0005-0000-0000-000020630000}"/>
    <cellStyle name="Normal 2 27 6" xfId="26141" xr:uid="{00000000-0005-0000-0000-000021630000}"/>
    <cellStyle name="Normal 2 27 7" xfId="26142" xr:uid="{00000000-0005-0000-0000-000022630000}"/>
    <cellStyle name="Normal 2 27 8" xfId="26143" xr:uid="{00000000-0005-0000-0000-000023630000}"/>
    <cellStyle name="Normal 2 27 9" xfId="26144" xr:uid="{00000000-0005-0000-0000-000024630000}"/>
    <cellStyle name="Normal 2 28" xfId="26145" xr:uid="{00000000-0005-0000-0000-000025630000}"/>
    <cellStyle name="Normal 2 28 10" xfId="26146" xr:uid="{00000000-0005-0000-0000-000026630000}"/>
    <cellStyle name="Normal 2 28 11" xfId="26147" xr:uid="{00000000-0005-0000-0000-000027630000}"/>
    <cellStyle name="Normal 2 28 12" xfId="26148" xr:uid="{00000000-0005-0000-0000-000028630000}"/>
    <cellStyle name="Normal 2 28 13" xfId="26149" xr:uid="{00000000-0005-0000-0000-000029630000}"/>
    <cellStyle name="Normal 2 28 14" xfId="26150" xr:uid="{00000000-0005-0000-0000-00002A630000}"/>
    <cellStyle name="Normal 2 28 15" xfId="26151" xr:uid="{00000000-0005-0000-0000-00002B630000}"/>
    <cellStyle name="Normal 2 28 16" xfId="26152" xr:uid="{00000000-0005-0000-0000-00002C630000}"/>
    <cellStyle name="Normal 2 28 17" xfId="26153" xr:uid="{00000000-0005-0000-0000-00002D630000}"/>
    <cellStyle name="Normal 2 28 18" xfId="26154" xr:uid="{00000000-0005-0000-0000-00002E630000}"/>
    <cellStyle name="Normal 2 28 19" xfId="26155" xr:uid="{00000000-0005-0000-0000-00002F630000}"/>
    <cellStyle name="Normal 2 28 2" xfId="26156" xr:uid="{00000000-0005-0000-0000-000030630000}"/>
    <cellStyle name="Normal 2 28 20" xfId="26157" xr:uid="{00000000-0005-0000-0000-000031630000}"/>
    <cellStyle name="Normal 2 28 21" xfId="26158" xr:uid="{00000000-0005-0000-0000-000032630000}"/>
    <cellStyle name="Normal 2 28 22" xfId="26159" xr:uid="{00000000-0005-0000-0000-000033630000}"/>
    <cellStyle name="Normal 2 28 23" xfId="26160" xr:uid="{00000000-0005-0000-0000-000034630000}"/>
    <cellStyle name="Normal 2 28 24" xfId="26161" xr:uid="{00000000-0005-0000-0000-000035630000}"/>
    <cellStyle name="Normal 2 28 25" xfId="26162" xr:uid="{00000000-0005-0000-0000-000036630000}"/>
    <cellStyle name="Normal 2 28 26" xfId="26163" xr:uid="{00000000-0005-0000-0000-000037630000}"/>
    <cellStyle name="Normal 2 28 27" xfId="26164" xr:uid="{00000000-0005-0000-0000-000038630000}"/>
    <cellStyle name="Normal 2 28 28" xfId="26165" xr:uid="{00000000-0005-0000-0000-000039630000}"/>
    <cellStyle name="Normal 2 28 29" xfId="26166" xr:uid="{00000000-0005-0000-0000-00003A630000}"/>
    <cellStyle name="Normal 2 28 3" xfId="26167" xr:uid="{00000000-0005-0000-0000-00003B630000}"/>
    <cellStyle name="Normal 2 28 30" xfId="26168" xr:uid="{00000000-0005-0000-0000-00003C630000}"/>
    <cellStyle name="Normal 2 28 31" xfId="26169" xr:uid="{00000000-0005-0000-0000-00003D630000}"/>
    <cellStyle name="Normal 2 28 32" xfId="26170" xr:uid="{00000000-0005-0000-0000-00003E630000}"/>
    <cellStyle name="Normal 2 28 33" xfId="26171" xr:uid="{00000000-0005-0000-0000-00003F630000}"/>
    <cellStyle name="Normal 2 28 34" xfId="26172" xr:uid="{00000000-0005-0000-0000-000040630000}"/>
    <cellStyle name="Normal 2 28 35" xfId="26173" xr:uid="{00000000-0005-0000-0000-000041630000}"/>
    <cellStyle name="Normal 2 28 36" xfId="26174" xr:uid="{00000000-0005-0000-0000-000042630000}"/>
    <cellStyle name="Normal 2 28 37" xfId="26175" xr:uid="{00000000-0005-0000-0000-000043630000}"/>
    <cellStyle name="Normal 2 28 38" xfId="26176" xr:uid="{00000000-0005-0000-0000-000044630000}"/>
    <cellStyle name="Normal 2 28 39" xfId="26177" xr:uid="{00000000-0005-0000-0000-000045630000}"/>
    <cellStyle name="Normal 2 28 4" xfId="26178" xr:uid="{00000000-0005-0000-0000-000046630000}"/>
    <cellStyle name="Normal 2 28 40" xfId="26179" xr:uid="{00000000-0005-0000-0000-000047630000}"/>
    <cellStyle name="Normal 2 28 41" xfId="26180" xr:uid="{00000000-0005-0000-0000-000048630000}"/>
    <cellStyle name="Normal 2 28 42" xfId="26181" xr:uid="{00000000-0005-0000-0000-000049630000}"/>
    <cellStyle name="Normal 2 28 43" xfId="26182" xr:uid="{00000000-0005-0000-0000-00004A630000}"/>
    <cellStyle name="Normal 2 28 44" xfId="26183" xr:uid="{00000000-0005-0000-0000-00004B630000}"/>
    <cellStyle name="Normal 2 28 45" xfId="26184" xr:uid="{00000000-0005-0000-0000-00004C630000}"/>
    <cellStyle name="Normal 2 28 46" xfId="26185" xr:uid="{00000000-0005-0000-0000-00004D630000}"/>
    <cellStyle name="Normal 2 28 5" xfId="26186" xr:uid="{00000000-0005-0000-0000-00004E630000}"/>
    <cellStyle name="Normal 2 28 6" xfId="26187" xr:uid="{00000000-0005-0000-0000-00004F630000}"/>
    <cellStyle name="Normal 2 28 7" xfId="26188" xr:uid="{00000000-0005-0000-0000-000050630000}"/>
    <cellStyle name="Normal 2 28 8" xfId="26189" xr:uid="{00000000-0005-0000-0000-000051630000}"/>
    <cellStyle name="Normal 2 28 9" xfId="26190" xr:uid="{00000000-0005-0000-0000-000052630000}"/>
    <cellStyle name="Normal 2 29" xfId="26191" xr:uid="{00000000-0005-0000-0000-000053630000}"/>
    <cellStyle name="Normal 2 29 10" xfId="26192" xr:uid="{00000000-0005-0000-0000-000054630000}"/>
    <cellStyle name="Normal 2 29 10 10" xfId="26193" xr:uid="{00000000-0005-0000-0000-000055630000}"/>
    <cellStyle name="Normal 2 29 10 11" xfId="26194" xr:uid="{00000000-0005-0000-0000-000056630000}"/>
    <cellStyle name="Normal 2 29 10 12" xfId="26195" xr:uid="{00000000-0005-0000-0000-000057630000}"/>
    <cellStyle name="Normal 2 29 10 13" xfId="26196" xr:uid="{00000000-0005-0000-0000-000058630000}"/>
    <cellStyle name="Normal 2 29 10 2" xfId="26197" xr:uid="{00000000-0005-0000-0000-000059630000}"/>
    <cellStyle name="Normal 2 29 10 2 2" xfId="26198" xr:uid="{00000000-0005-0000-0000-00005A630000}"/>
    <cellStyle name="Normal 2 29 10 2 3" xfId="26199" xr:uid="{00000000-0005-0000-0000-00005B630000}"/>
    <cellStyle name="Normal 2 29 10 2 4" xfId="26200" xr:uid="{00000000-0005-0000-0000-00005C630000}"/>
    <cellStyle name="Normal 2 29 10 2 5" xfId="26201" xr:uid="{00000000-0005-0000-0000-00005D630000}"/>
    <cellStyle name="Normal 2 29 10 2 6" xfId="26202" xr:uid="{00000000-0005-0000-0000-00005E630000}"/>
    <cellStyle name="Normal 2 29 10 3" xfId="26203" xr:uid="{00000000-0005-0000-0000-00005F630000}"/>
    <cellStyle name="Normal 2 29 10 3 2" xfId="26204" xr:uid="{00000000-0005-0000-0000-000060630000}"/>
    <cellStyle name="Normal 2 29 10 3 3" xfId="26205" xr:uid="{00000000-0005-0000-0000-000061630000}"/>
    <cellStyle name="Normal 2 29 10 3 4" xfId="26206" xr:uid="{00000000-0005-0000-0000-000062630000}"/>
    <cellStyle name="Normal 2 29 10 3 5" xfId="26207" xr:uid="{00000000-0005-0000-0000-000063630000}"/>
    <cellStyle name="Normal 2 29 10 3 6" xfId="26208" xr:uid="{00000000-0005-0000-0000-000064630000}"/>
    <cellStyle name="Normal 2 29 10 4" xfId="26209" xr:uid="{00000000-0005-0000-0000-000065630000}"/>
    <cellStyle name="Normal 2 29 10 4 2" xfId="26210" xr:uid="{00000000-0005-0000-0000-000066630000}"/>
    <cellStyle name="Normal 2 29 10 4 3" xfId="26211" xr:uid="{00000000-0005-0000-0000-000067630000}"/>
    <cellStyle name="Normal 2 29 10 4 4" xfId="26212" xr:uid="{00000000-0005-0000-0000-000068630000}"/>
    <cellStyle name="Normal 2 29 10 4 5" xfId="26213" xr:uid="{00000000-0005-0000-0000-000069630000}"/>
    <cellStyle name="Normal 2 29 10 4 6" xfId="26214" xr:uid="{00000000-0005-0000-0000-00006A630000}"/>
    <cellStyle name="Normal 2 29 10 5" xfId="26215" xr:uid="{00000000-0005-0000-0000-00006B630000}"/>
    <cellStyle name="Normal 2 29 10 5 2" xfId="26216" xr:uid="{00000000-0005-0000-0000-00006C630000}"/>
    <cellStyle name="Normal 2 29 10 5 3" xfId="26217" xr:uid="{00000000-0005-0000-0000-00006D630000}"/>
    <cellStyle name="Normal 2 29 10 5 4" xfId="26218" xr:uid="{00000000-0005-0000-0000-00006E630000}"/>
    <cellStyle name="Normal 2 29 10 5 5" xfId="26219" xr:uid="{00000000-0005-0000-0000-00006F630000}"/>
    <cellStyle name="Normal 2 29 10 5 6" xfId="26220" xr:uid="{00000000-0005-0000-0000-000070630000}"/>
    <cellStyle name="Normal 2 29 10 6" xfId="26221" xr:uid="{00000000-0005-0000-0000-000071630000}"/>
    <cellStyle name="Normal 2 29 10 6 2" xfId="26222" xr:uid="{00000000-0005-0000-0000-000072630000}"/>
    <cellStyle name="Normal 2 29 10 6 3" xfId="26223" xr:uid="{00000000-0005-0000-0000-000073630000}"/>
    <cellStyle name="Normal 2 29 10 6 4" xfId="26224" xr:uid="{00000000-0005-0000-0000-000074630000}"/>
    <cellStyle name="Normal 2 29 10 6 5" xfId="26225" xr:uid="{00000000-0005-0000-0000-000075630000}"/>
    <cellStyle name="Normal 2 29 10 6 6" xfId="26226" xr:uid="{00000000-0005-0000-0000-000076630000}"/>
    <cellStyle name="Normal 2 29 10 7" xfId="26227" xr:uid="{00000000-0005-0000-0000-000077630000}"/>
    <cellStyle name="Normal 2 29 10 7 2" xfId="26228" xr:uid="{00000000-0005-0000-0000-000078630000}"/>
    <cellStyle name="Normal 2 29 10 7 3" xfId="26229" xr:uid="{00000000-0005-0000-0000-000079630000}"/>
    <cellStyle name="Normal 2 29 10 7 4" xfId="26230" xr:uid="{00000000-0005-0000-0000-00007A630000}"/>
    <cellStyle name="Normal 2 29 10 7 5" xfId="26231" xr:uid="{00000000-0005-0000-0000-00007B630000}"/>
    <cellStyle name="Normal 2 29 10 7 6" xfId="26232" xr:uid="{00000000-0005-0000-0000-00007C630000}"/>
    <cellStyle name="Normal 2 29 10 8" xfId="26233" xr:uid="{00000000-0005-0000-0000-00007D630000}"/>
    <cellStyle name="Normal 2 29 10 8 2" xfId="26234" xr:uid="{00000000-0005-0000-0000-00007E630000}"/>
    <cellStyle name="Normal 2 29 10 8 3" xfId="26235" xr:uid="{00000000-0005-0000-0000-00007F630000}"/>
    <cellStyle name="Normal 2 29 10 8 4" xfId="26236" xr:uid="{00000000-0005-0000-0000-000080630000}"/>
    <cellStyle name="Normal 2 29 10 8 5" xfId="26237" xr:uid="{00000000-0005-0000-0000-000081630000}"/>
    <cellStyle name="Normal 2 29 10 8 6" xfId="26238" xr:uid="{00000000-0005-0000-0000-000082630000}"/>
    <cellStyle name="Normal 2 29 10 9" xfId="26239" xr:uid="{00000000-0005-0000-0000-000083630000}"/>
    <cellStyle name="Normal 2 29 11" xfId="26240" xr:uid="{00000000-0005-0000-0000-000084630000}"/>
    <cellStyle name="Normal 2 29 11 10" xfId="26241" xr:uid="{00000000-0005-0000-0000-000085630000}"/>
    <cellStyle name="Normal 2 29 11 11" xfId="26242" xr:uid="{00000000-0005-0000-0000-000086630000}"/>
    <cellStyle name="Normal 2 29 11 12" xfId="26243" xr:uid="{00000000-0005-0000-0000-000087630000}"/>
    <cellStyle name="Normal 2 29 11 13" xfId="26244" xr:uid="{00000000-0005-0000-0000-000088630000}"/>
    <cellStyle name="Normal 2 29 11 2" xfId="26245" xr:uid="{00000000-0005-0000-0000-000089630000}"/>
    <cellStyle name="Normal 2 29 11 2 2" xfId="26246" xr:uid="{00000000-0005-0000-0000-00008A630000}"/>
    <cellStyle name="Normal 2 29 11 2 3" xfId="26247" xr:uid="{00000000-0005-0000-0000-00008B630000}"/>
    <cellStyle name="Normal 2 29 11 2 4" xfId="26248" xr:uid="{00000000-0005-0000-0000-00008C630000}"/>
    <cellStyle name="Normal 2 29 11 2 5" xfId="26249" xr:uid="{00000000-0005-0000-0000-00008D630000}"/>
    <cellStyle name="Normal 2 29 11 2 6" xfId="26250" xr:uid="{00000000-0005-0000-0000-00008E630000}"/>
    <cellStyle name="Normal 2 29 11 3" xfId="26251" xr:uid="{00000000-0005-0000-0000-00008F630000}"/>
    <cellStyle name="Normal 2 29 11 3 2" xfId="26252" xr:uid="{00000000-0005-0000-0000-000090630000}"/>
    <cellStyle name="Normal 2 29 11 3 3" xfId="26253" xr:uid="{00000000-0005-0000-0000-000091630000}"/>
    <cellStyle name="Normal 2 29 11 3 4" xfId="26254" xr:uid="{00000000-0005-0000-0000-000092630000}"/>
    <cellStyle name="Normal 2 29 11 3 5" xfId="26255" xr:uid="{00000000-0005-0000-0000-000093630000}"/>
    <cellStyle name="Normal 2 29 11 3 6" xfId="26256" xr:uid="{00000000-0005-0000-0000-000094630000}"/>
    <cellStyle name="Normal 2 29 11 4" xfId="26257" xr:uid="{00000000-0005-0000-0000-000095630000}"/>
    <cellStyle name="Normal 2 29 11 4 2" xfId="26258" xr:uid="{00000000-0005-0000-0000-000096630000}"/>
    <cellStyle name="Normal 2 29 11 4 3" xfId="26259" xr:uid="{00000000-0005-0000-0000-000097630000}"/>
    <cellStyle name="Normal 2 29 11 4 4" xfId="26260" xr:uid="{00000000-0005-0000-0000-000098630000}"/>
    <cellStyle name="Normal 2 29 11 4 5" xfId="26261" xr:uid="{00000000-0005-0000-0000-000099630000}"/>
    <cellStyle name="Normal 2 29 11 4 6" xfId="26262" xr:uid="{00000000-0005-0000-0000-00009A630000}"/>
    <cellStyle name="Normal 2 29 11 5" xfId="26263" xr:uid="{00000000-0005-0000-0000-00009B630000}"/>
    <cellStyle name="Normal 2 29 11 5 2" xfId="26264" xr:uid="{00000000-0005-0000-0000-00009C630000}"/>
    <cellStyle name="Normal 2 29 11 5 3" xfId="26265" xr:uid="{00000000-0005-0000-0000-00009D630000}"/>
    <cellStyle name="Normal 2 29 11 5 4" xfId="26266" xr:uid="{00000000-0005-0000-0000-00009E630000}"/>
    <cellStyle name="Normal 2 29 11 5 5" xfId="26267" xr:uid="{00000000-0005-0000-0000-00009F630000}"/>
    <cellStyle name="Normal 2 29 11 5 6" xfId="26268" xr:uid="{00000000-0005-0000-0000-0000A0630000}"/>
    <cellStyle name="Normal 2 29 11 6" xfId="26269" xr:uid="{00000000-0005-0000-0000-0000A1630000}"/>
    <cellStyle name="Normal 2 29 11 6 2" xfId="26270" xr:uid="{00000000-0005-0000-0000-0000A2630000}"/>
    <cellStyle name="Normal 2 29 11 6 3" xfId="26271" xr:uid="{00000000-0005-0000-0000-0000A3630000}"/>
    <cellStyle name="Normal 2 29 11 6 4" xfId="26272" xr:uid="{00000000-0005-0000-0000-0000A4630000}"/>
    <cellStyle name="Normal 2 29 11 6 5" xfId="26273" xr:uid="{00000000-0005-0000-0000-0000A5630000}"/>
    <cellStyle name="Normal 2 29 11 6 6" xfId="26274" xr:uid="{00000000-0005-0000-0000-0000A6630000}"/>
    <cellStyle name="Normal 2 29 11 7" xfId="26275" xr:uid="{00000000-0005-0000-0000-0000A7630000}"/>
    <cellStyle name="Normal 2 29 11 7 2" xfId="26276" xr:uid="{00000000-0005-0000-0000-0000A8630000}"/>
    <cellStyle name="Normal 2 29 11 7 3" xfId="26277" xr:uid="{00000000-0005-0000-0000-0000A9630000}"/>
    <cellStyle name="Normal 2 29 11 7 4" xfId="26278" xr:uid="{00000000-0005-0000-0000-0000AA630000}"/>
    <cellStyle name="Normal 2 29 11 7 5" xfId="26279" xr:uid="{00000000-0005-0000-0000-0000AB630000}"/>
    <cellStyle name="Normal 2 29 11 7 6" xfId="26280" xr:uid="{00000000-0005-0000-0000-0000AC630000}"/>
    <cellStyle name="Normal 2 29 11 8" xfId="26281" xr:uid="{00000000-0005-0000-0000-0000AD630000}"/>
    <cellStyle name="Normal 2 29 11 8 2" xfId="26282" xr:uid="{00000000-0005-0000-0000-0000AE630000}"/>
    <cellStyle name="Normal 2 29 11 8 3" xfId="26283" xr:uid="{00000000-0005-0000-0000-0000AF630000}"/>
    <cellStyle name="Normal 2 29 11 8 4" xfId="26284" xr:uid="{00000000-0005-0000-0000-0000B0630000}"/>
    <cellStyle name="Normal 2 29 11 8 5" xfId="26285" xr:uid="{00000000-0005-0000-0000-0000B1630000}"/>
    <cellStyle name="Normal 2 29 11 8 6" xfId="26286" xr:uid="{00000000-0005-0000-0000-0000B2630000}"/>
    <cellStyle name="Normal 2 29 11 9" xfId="26287" xr:uid="{00000000-0005-0000-0000-0000B3630000}"/>
    <cellStyle name="Normal 2 29 12" xfId="26288" xr:uid="{00000000-0005-0000-0000-0000B4630000}"/>
    <cellStyle name="Normal 2 29 13" xfId="26289" xr:uid="{00000000-0005-0000-0000-0000B5630000}"/>
    <cellStyle name="Normal 2 29 14" xfId="26290" xr:uid="{00000000-0005-0000-0000-0000B6630000}"/>
    <cellStyle name="Normal 2 29 15" xfId="26291" xr:uid="{00000000-0005-0000-0000-0000B7630000}"/>
    <cellStyle name="Normal 2 29 16" xfId="26292" xr:uid="{00000000-0005-0000-0000-0000B8630000}"/>
    <cellStyle name="Normal 2 29 17" xfId="26293" xr:uid="{00000000-0005-0000-0000-0000B9630000}"/>
    <cellStyle name="Normal 2 29 18" xfId="26294" xr:uid="{00000000-0005-0000-0000-0000BA630000}"/>
    <cellStyle name="Normal 2 29 19" xfId="26295" xr:uid="{00000000-0005-0000-0000-0000BB630000}"/>
    <cellStyle name="Normal 2 29 2" xfId="26296" xr:uid="{00000000-0005-0000-0000-0000BC630000}"/>
    <cellStyle name="Normal 2 29 2 10" xfId="26297" xr:uid="{00000000-0005-0000-0000-0000BD630000}"/>
    <cellStyle name="Normal 2 29 2 11" xfId="26298" xr:uid="{00000000-0005-0000-0000-0000BE630000}"/>
    <cellStyle name="Normal 2 29 2 12" xfId="26299" xr:uid="{00000000-0005-0000-0000-0000BF630000}"/>
    <cellStyle name="Normal 2 29 2 13" xfId="26300" xr:uid="{00000000-0005-0000-0000-0000C0630000}"/>
    <cellStyle name="Normal 2 29 2 2" xfId="26301" xr:uid="{00000000-0005-0000-0000-0000C1630000}"/>
    <cellStyle name="Normal 2 29 2 2 2" xfId="26302" xr:uid="{00000000-0005-0000-0000-0000C2630000}"/>
    <cellStyle name="Normal 2 29 2 2 3" xfId="26303" xr:uid="{00000000-0005-0000-0000-0000C3630000}"/>
    <cellStyle name="Normal 2 29 2 2 4" xfId="26304" xr:uid="{00000000-0005-0000-0000-0000C4630000}"/>
    <cellStyle name="Normal 2 29 2 2 5" xfId="26305" xr:uid="{00000000-0005-0000-0000-0000C5630000}"/>
    <cellStyle name="Normal 2 29 2 2 6" xfId="26306" xr:uid="{00000000-0005-0000-0000-0000C6630000}"/>
    <cellStyle name="Normal 2 29 2 3" xfId="26307" xr:uid="{00000000-0005-0000-0000-0000C7630000}"/>
    <cellStyle name="Normal 2 29 2 3 2" xfId="26308" xr:uid="{00000000-0005-0000-0000-0000C8630000}"/>
    <cellStyle name="Normal 2 29 2 3 3" xfId="26309" xr:uid="{00000000-0005-0000-0000-0000C9630000}"/>
    <cellStyle name="Normal 2 29 2 3 4" xfId="26310" xr:uid="{00000000-0005-0000-0000-0000CA630000}"/>
    <cellStyle name="Normal 2 29 2 3 5" xfId="26311" xr:uid="{00000000-0005-0000-0000-0000CB630000}"/>
    <cellStyle name="Normal 2 29 2 3 6" xfId="26312" xr:uid="{00000000-0005-0000-0000-0000CC630000}"/>
    <cellStyle name="Normal 2 29 2 4" xfId="26313" xr:uid="{00000000-0005-0000-0000-0000CD630000}"/>
    <cellStyle name="Normal 2 29 2 4 2" xfId="26314" xr:uid="{00000000-0005-0000-0000-0000CE630000}"/>
    <cellStyle name="Normal 2 29 2 4 3" xfId="26315" xr:uid="{00000000-0005-0000-0000-0000CF630000}"/>
    <cellStyle name="Normal 2 29 2 4 4" xfId="26316" xr:uid="{00000000-0005-0000-0000-0000D0630000}"/>
    <cellStyle name="Normal 2 29 2 4 5" xfId="26317" xr:uid="{00000000-0005-0000-0000-0000D1630000}"/>
    <cellStyle name="Normal 2 29 2 4 6" xfId="26318" xr:uid="{00000000-0005-0000-0000-0000D2630000}"/>
    <cellStyle name="Normal 2 29 2 5" xfId="26319" xr:uid="{00000000-0005-0000-0000-0000D3630000}"/>
    <cellStyle name="Normal 2 29 2 5 2" xfId="26320" xr:uid="{00000000-0005-0000-0000-0000D4630000}"/>
    <cellStyle name="Normal 2 29 2 5 3" xfId="26321" xr:uid="{00000000-0005-0000-0000-0000D5630000}"/>
    <cellStyle name="Normal 2 29 2 5 4" xfId="26322" xr:uid="{00000000-0005-0000-0000-0000D6630000}"/>
    <cellStyle name="Normal 2 29 2 5 5" xfId="26323" xr:uid="{00000000-0005-0000-0000-0000D7630000}"/>
    <cellStyle name="Normal 2 29 2 5 6" xfId="26324" xr:uid="{00000000-0005-0000-0000-0000D8630000}"/>
    <cellStyle name="Normal 2 29 2 6" xfId="26325" xr:uid="{00000000-0005-0000-0000-0000D9630000}"/>
    <cellStyle name="Normal 2 29 2 6 2" xfId="26326" xr:uid="{00000000-0005-0000-0000-0000DA630000}"/>
    <cellStyle name="Normal 2 29 2 6 3" xfId="26327" xr:uid="{00000000-0005-0000-0000-0000DB630000}"/>
    <cellStyle name="Normal 2 29 2 6 4" xfId="26328" xr:uid="{00000000-0005-0000-0000-0000DC630000}"/>
    <cellStyle name="Normal 2 29 2 6 5" xfId="26329" xr:uid="{00000000-0005-0000-0000-0000DD630000}"/>
    <cellStyle name="Normal 2 29 2 6 6" xfId="26330" xr:uid="{00000000-0005-0000-0000-0000DE630000}"/>
    <cellStyle name="Normal 2 29 2 7" xfId="26331" xr:uid="{00000000-0005-0000-0000-0000DF630000}"/>
    <cellStyle name="Normal 2 29 2 7 2" xfId="26332" xr:uid="{00000000-0005-0000-0000-0000E0630000}"/>
    <cellStyle name="Normal 2 29 2 7 3" xfId="26333" xr:uid="{00000000-0005-0000-0000-0000E1630000}"/>
    <cellStyle name="Normal 2 29 2 7 4" xfId="26334" xr:uid="{00000000-0005-0000-0000-0000E2630000}"/>
    <cellStyle name="Normal 2 29 2 7 5" xfId="26335" xr:uid="{00000000-0005-0000-0000-0000E3630000}"/>
    <cellStyle name="Normal 2 29 2 7 6" xfId="26336" xr:uid="{00000000-0005-0000-0000-0000E4630000}"/>
    <cellStyle name="Normal 2 29 2 8" xfId="26337" xr:uid="{00000000-0005-0000-0000-0000E5630000}"/>
    <cellStyle name="Normal 2 29 2 8 2" xfId="26338" xr:uid="{00000000-0005-0000-0000-0000E6630000}"/>
    <cellStyle name="Normal 2 29 2 8 3" xfId="26339" xr:uid="{00000000-0005-0000-0000-0000E7630000}"/>
    <cellStyle name="Normal 2 29 2 8 4" xfId="26340" xr:uid="{00000000-0005-0000-0000-0000E8630000}"/>
    <cellStyle name="Normal 2 29 2 8 5" xfId="26341" xr:uid="{00000000-0005-0000-0000-0000E9630000}"/>
    <cellStyle name="Normal 2 29 2 8 6" xfId="26342" xr:uid="{00000000-0005-0000-0000-0000EA630000}"/>
    <cellStyle name="Normal 2 29 2 9" xfId="26343" xr:uid="{00000000-0005-0000-0000-0000EB630000}"/>
    <cellStyle name="Normal 2 29 20" xfId="26344" xr:uid="{00000000-0005-0000-0000-0000EC630000}"/>
    <cellStyle name="Normal 2 29 21" xfId="26345" xr:uid="{00000000-0005-0000-0000-0000ED630000}"/>
    <cellStyle name="Normal 2 29 22" xfId="26346" xr:uid="{00000000-0005-0000-0000-0000EE630000}"/>
    <cellStyle name="Normal 2 29 23" xfId="26347" xr:uid="{00000000-0005-0000-0000-0000EF630000}"/>
    <cellStyle name="Normal 2 29 24" xfId="26348" xr:uid="{00000000-0005-0000-0000-0000F0630000}"/>
    <cellStyle name="Normal 2 29 25" xfId="26349" xr:uid="{00000000-0005-0000-0000-0000F1630000}"/>
    <cellStyle name="Normal 2 29 26" xfId="26350" xr:uid="{00000000-0005-0000-0000-0000F2630000}"/>
    <cellStyle name="Normal 2 29 27" xfId="26351" xr:uid="{00000000-0005-0000-0000-0000F3630000}"/>
    <cellStyle name="Normal 2 29 28" xfId="26352" xr:uid="{00000000-0005-0000-0000-0000F4630000}"/>
    <cellStyle name="Normal 2 29 29" xfId="26353" xr:uid="{00000000-0005-0000-0000-0000F5630000}"/>
    <cellStyle name="Normal 2 29 3" xfId="26354" xr:uid="{00000000-0005-0000-0000-0000F6630000}"/>
    <cellStyle name="Normal 2 29 3 10" xfId="26355" xr:uid="{00000000-0005-0000-0000-0000F7630000}"/>
    <cellStyle name="Normal 2 29 3 11" xfId="26356" xr:uid="{00000000-0005-0000-0000-0000F8630000}"/>
    <cellStyle name="Normal 2 29 3 12" xfId="26357" xr:uid="{00000000-0005-0000-0000-0000F9630000}"/>
    <cellStyle name="Normal 2 29 3 13" xfId="26358" xr:uid="{00000000-0005-0000-0000-0000FA630000}"/>
    <cellStyle name="Normal 2 29 3 2" xfId="26359" xr:uid="{00000000-0005-0000-0000-0000FB630000}"/>
    <cellStyle name="Normal 2 29 3 2 2" xfId="26360" xr:uid="{00000000-0005-0000-0000-0000FC630000}"/>
    <cellStyle name="Normal 2 29 3 2 3" xfId="26361" xr:uid="{00000000-0005-0000-0000-0000FD630000}"/>
    <cellStyle name="Normal 2 29 3 2 4" xfId="26362" xr:uid="{00000000-0005-0000-0000-0000FE630000}"/>
    <cellStyle name="Normal 2 29 3 2 5" xfId="26363" xr:uid="{00000000-0005-0000-0000-0000FF630000}"/>
    <cellStyle name="Normal 2 29 3 2 6" xfId="26364" xr:uid="{00000000-0005-0000-0000-000000640000}"/>
    <cellStyle name="Normal 2 29 3 3" xfId="26365" xr:uid="{00000000-0005-0000-0000-000001640000}"/>
    <cellStyle name="Normal 2 29 3 3 2" xfId="26366" xr:uid="{00000000-0005-0000-0000-000002640000}"/>
    <cellStyle name="Normal 2 29 3 3 3" xfId="26367" xr:uid="{00000000-0005-0000-0000-000003640000}"/>
    <cellStyle name="Normal 2 29 3 3 4" xfId="26368" xr:uid="{00000000-0005-0000-0000-000004640000}"/>
    <cellStyle name="Normal 2 29 3 3 5" xfId="26369" xr:uid="{00000000-0005-0000-0000-000005640000}"/>
    <cellStyle name="Normal 2 29 3 3 6" xfId="26370" xr:uid="{00000000-0005-0000-0000-000006640000}"/>
    <cellStyle name="Normal 2 29 3 4" xfId="26371" xr:uid="{00000000-0005-0000-0000-000007640000}"/>
    <cellStyle name="Normal 2 29 3 4 2" xfId="26372" xr:uid="{00000000-0005-0000-0000-000008640000}"/>
    <cellStyle name="Normal 2 29 3 4 3" xfId="26373" xr:uid="{00000000-0005-0000-0000-000009640000}"/>
    <cellStyle name="Normal 2 29 3 4 4" xfId="26374" xr:uid="{00000000-0005-0000-0000-00000A640000}"/>
    <cellStyle name="Normal 2 29 3 4 5" xfId="26375" xr:uid="{00000000-0005-0000-0000-00000B640000}"/>
    <cellStyle name="Normal 2 29 3 4 6" xfId="26376" xr:uid="{00000000-0005-0000-0000-00000C640000}"/>
    <cellStyle name="Normal 2 29 3 5" xfId="26377" xr:uid="{00000000-0005-0000-0000-00000D640000}"/>
    <cellStyle name="Normal 2 29 3 5 2" xfId="26378" xr:uid="{00000000-0005-0000-0000-00000E640000}"/>
    <cellStyle name="Normal 2 29 3 5 3" xfId="26379" xr:uid="{00000000-0005-0000-0000-00000F640000}"/>
    <cellStyle name="Normal 2 29 3 5 4" xfId="26380" xr:uid="{00000000-0005-0000-0000-000010640000}"/>
    <cellStyle name="Normal 2 29 3 5 5" xfId="26381" xr:uid="{00000000-0005-0000-0000-000011640000}"/>
    <cellStyle name="Normal 2 29 3 5 6" xfId="26382" xr:uid="{00000000-0005-0000-0000-000012640000}"/>
    <cellStyle name="Normal 2 29 3 6" xfId="26383" xr:uid="{00000000-0005-0000-0000-000013640000}"/>
    <cellStyle name="Normal 2 29 3 6 2" xfId="26384" xr:uid="{00000000-0005-0000-0000-000014640000}"/>
    <cellStyle name="Normal 2 29 3 6 3" xfId="26385" xr:uid="{00000000-0005-0000-0000-000015640000}"/>
    <cellStyle name="Normal 2 29 3 6 4" xfId="26386" xr:uid="{00000000-0005-0000-0000-000016640000}"/>
    <cellStyle name="Normal 2 29 3 6 5" xfId="26387" xr:uid="{00000000-0005-0000-0000-000017640000}"/>
    <cellStyle name="Normal 2 29 3 6 6" xfId="26388" xr:uid="{00000000-0005-0000-0000-000018640000}"/>
    <cellStyle name="Normal 2 29 3 7" xfId="26389" xr:uid="{00000000-0005-0000-0000-000019640000}"/>
    <cellStyle name="Normal 2 29 3 7 2" xfId="26390" xr:uid="{00000000-0005-0000-0000-00001A640000}"/>
    <cellStyle name="Normal 2 29 3 7 3" xfId="26391" xr:uid="{00000000-0005-0000-0000-00001B640000}"/>
    <cellStyle name="Normal 2 29 3 7 4" xfId="26392" xr:uid="{00000000-0005-0000-0000-00001C640000}"/>
    <cellStyle name="Normal 2 29 3 7 5" xfId="26393" xr:uid="{00000000-0005-0000-0000-00001D640000}"/>
    <cellStyle name="Normal 2 29 3 7 6" xfId="26394" xr:uid="{00000000-0005-0000-0000-00001E640000}"/>
    <cellStyle name="Normal 2 29 3 8" xfId="26395" xr:uid="{00000000-0005-0000-0000-00001F640000}"/>
    <cellStyle name="Normal 2 29 3 8 2" xfId="26396" xr:uid="{00000000-0005-0000-0000-000020640000}"/>
    <cellStyle name="Normal 2 29 3 8 3" xfId="26397" xr:uid="{00000000-0005-0000-0000-000021640000}"/>
    <cellStyle name="Normal 2 29 3 8 4" xfId="26398" xr:uid="{00000000-0005-0000-0000-000022640000}"/>
    <cellStyle name="Normal 2 29 3 8 5" xfId="26399" xr:uid="{00000000-0005-0000-0000-000023640000}"/>
    <cellStyle name="Normal 2 29 3 8 6" xfId="26400" xr:uid="{00000000-0005-0000-0000-000024640000}"/>
    <cellStyle name="Normal 2 29 3 9" xfId="26401" xr:uid="{00000000-0005-0000-0000-000025640000}"/>
    <cellStyle name="Normal 2 29 30" xfId="26402" xr:uid="{00000000-0005-0000-0000-000026640000}"/>
    <cellStyle name="Normal 2 29 31" xfId="26403" xr:uid="{00000000-0005-0000-0000-000027640000}"/>
    <cellStyle name="Normal 2 29 32" xfId="26404" xr:uid="{00000000-0005-0000-0000-000028640000}"/>
    <cellStyle name="Normal 2 29 33" xfId="26405" xr:uid="{00000000-0005-0000-0000-000029640000}"/>
    <cellStyle name="Normal 2 29 34" xfId="26406" xr:uid="{00000000-0005-0000-0000-00002A640000}"/>
    <cellStyle name="Normal 2 29 35" xfId="26407" xr:uid="{00000000-0005-0000-0000-00002B640000}"/>
    <cellStyle name="Normal 2 29 36" xfId="26408" xr:uid="{00000000-0005-0000-0000-00002C640000}"/>
    <cellStyle name="Normal 2 29 37" xfId="26409" xr:uid="{00000000-0005-0000-0000-00002D640000}"/>
    <cellStyle name="Normal 2 29 38" xfId="26410" xr:uid="{00000000-0005-0000-0000-00002E640000}"/>
    <cellStyle name="Normal 2 29 39" xfId="26411" xr:uid="{00000000-0005-0000-0000-00002F640000}"/>
    <cellStyle name="Normal 2 29 4" xfId="26412" xr:uid="{00000000-0005-0000-0000-000030640000}"/>
    <cellStyle name="Normal 2 29 4 10" xfId="26413" xr:uid="{00000000-0005-0000-0000-000031640000}"/>
    <cellStyle name="Normal 2 29 4 11" xfId="26414" xr:uid="{00000000-0005-0000-0000-000032640000}"/>
    <cellStyle name="Normal 2 29 4 12" xfId="26415" xr:uid="{00000000-0005-0000-0000-000033640000}"/>
    <cellStyle name="Normal 2 29 4 13" xfId="26416" xr:uid="{00000000-0005-0000-0000-000034640000}"/>
    <cellStyle name="Normal 2 29 4 2" xfId="26417" xr:uid="{00000000-0005-0000-0000-000035640000}"/>
    <cellStyle name="Normal 2 29 4 2 2" xfId="26418" xr:uid="{00000000-0005-0000-0000-000036640000}"/>
    <cellStyle name="Normal 2 29 4 2 3" xfId="26419" xr:uid="{00000000-0005-0000-0000-000037640000}"/>
    <cellStyle name="Normal 2 29 4 2 4" xfId="26420" xr:uid="{00000000-0005-0000-0000-000038640000}"/>
    <cellStyle name="Normal 2 29 4 2 5" xfId="26421" xr:uid="{00000000-0005-0000-0000-000039640000}"/>
    <cellStyle name="Normal 2 29 4 2 6" xfId="26422" xr:uid="{00000000-0005-0000-0000-00003A640000}"/>
    <cellStyle name="Normal 2 29 4 3" xfId="26423" xr:uid="{00000000-0005-0000-0000-00003B640000}"/>
    <cellStyle name="Normal 2 29 4 3 2" xfId="26424" xr:uid="{00000000-0005-0000-0000-00003C640000}"/>
    <cellStyle name="Normal 2 29 4 3 3" xfId="26425" xr:uid="{00000000-0005-0000-0000-00003D640000}"/>
    <cellStyle name="Normal 2 29 4 3 4" xfId="26426" xr:uid="{00000000-0005-0000-0000-00003E640000}"/>
    <cellStyle name="Normal 2 29 4 3 5" xfId="26427" xr:uid="{00000000-0005-0000-0000-00003F640000}"/>
    <cellStyle name="Normal 2 29 4 3 6" xfId="26428" xr:uid="{00000000-0005-0000-0000-000040640000}"/>
    <cellStyle name="Normal 2 29 4 4" xfId="26429" xr:uid="{00000000-0005-0000-0000-000041640000}"/>
    <cellStyle name="Normal 2 29 4 4 2" xfId="26430" xr:uid="{00000000-0005-0000-0000-000042640000}"/>
    <cellStyle name="Normal 2 29 4 4 3" xfId="26431" xr:uid="{00000000-0005-0000-0000-000043640000}"/>
    <cellStyle name="Normal 2 29 4 4 4" xfId="26432" xr:uid="{00000000-0005-0000-0000-000044640000}"/>
    <cellStyle name="Normal 2 29 4 4 5" xfId="26433" xr:uid="{00000000-0005-0000-0000-000045640000}"/>
    <cellStyle name="Normal 2 29 4 4 6" xfId="26434" xr:uid="{00000000-0005-0000-0000-000046640000}"/>
    <cellStyle name="Normal 2 29 4 5" xfId="26435" xr:uid="{00000000-0005-0000-0000-000047640000}"/>
    <cellStyle name="Normal 2 29 4 5 2" xfId="26436" xr:uid="{00000000-0005-0000-0000-000048640000}"/>
    <cellStyle name="Normal 2 29 4 5 3" xfId="26437" xr:uid="{00000000-0005-0000-0000-000049640000}"/>
    <cellStyle name="Normal 2 29 4 5 4" xfId="26438" xr:uid="{00000000-0005-0000-0000-00004A640000}"/>
    <cellStyle name="Normal 2 29 4 5 5" xfId="26439" xr:uid="{00000000-0005-0000-0000-00004B640000}"/>
    <cellStyle name="Normal 2 29 4 5 6" xfId="26440" xr:uid="{00000000-0005-0000-0000-00004C640000}"/>
    <cellStyle name="Normal 2 29 4 6" xfId="26441" xr:uid="{00000000-0005-0000-0000-00004D640000}"/>
    <cellStyle name="Normal 2 29 4 6 2" xfId="26442" xr:uid="{00000000-0005-0000-0000-00004E640000}"/>
    <cellStyle name="Normal 2 29 4 6 3" xfId="26443" xr:uid="{00000000-0005-0000-0000-00004F640000}"/>
    <cellStyle name="Normal 2 29 4 6 4" xfId="26444" xr:uid="{00000000-0005-0000-0000-000050640000}"/>
    <cellStyle name="Normal 2 29 4 6 5" xfId="26445" xr:uid="{00000000-0005-0000-0000-000051640000}"/>
    <cellStyle name="Normal 2 29 4 6 6" xfId="26446" xr:uid="{00000000-0005-0000-0000-000052640000}"/>
    <cellStyle name="Normal 2 29 4 7" xfId="26447" xr:uid="{00000000-0005-0000-0000-000053640000}"/>
    <cellStyle name="Normal 2 29 4 7 2" xfId="26448" xr:uid="{00000000-0005-0000-0000-000054640000}"/>
    <cellStyle name="Normal 2 29 4 7 3" xfId="26449" xr:uid="{00000000-0005-0000-0000-000055640000}"/>
    <cellStyle name="Normal 2 29 4 7 4" xfId="26450" xr:uid="{00000000-0005-0000-0000-000056640000}"/>
    <cellStyle name="Normal 2 29 4 7 5" xfId="26451" xr:uid="{00000000-0005-0000-0000-000057640000}"/>
    <cellStyle name="Normal 2 29 4 7 6" xfId="26452" xr:uid="{00000000-0005-0000-0000-000058640000}"/>
    <cellStyle name="Normal 2 29 4 8" xfId="26453" xr:uid="{00000000-0005-0000-0000-000059640000}"/>
    <cellStyle name="Normal 2 29 4 8 2" xfId="26454" xr:uid="{00000000-0005-0000-0000-00005A640000}"/>
    <cellStyle name="Normal 2 29 4 8 3" xfId="26455" xr:uid="{00000000-0005-0000-0000-00005B640000}"/>
    <cellStyle name="Normal 2 29 4 8 4" xfId="26456" xr:uid="{00000000-0005-0000-0000-00005C640000}"/>
    <cellStyle name="Normal 2 29 4 8 5" xfId="26457" xr:uid="{00000000-0005-0000-0000-00005D640000}"/>
    <cellStyle name="Normal 2 29 4 8 6" xfId="26458" xr:uid="{00000000-0005-0000-0000-00005E640000}"/>
    <cellStyle name="Normal 2 29 4 9" xfId="26459" xr:uid="{00000000-0005-0000-0000-00005F640000}"/>
    <cellStyle name="Normal 2 29 40" xfId="26460" xr:uid="{00000000-0005-0000-0000-000060640000}"/>
    <cellStyle name="Normal 2 29 41" xfId="26461" xr:uid="{00000000-0005-0000-0000-000061640000}"/>
    <cellStyle name="Normal 2 29 42" xfId="26462" xr:uid="{00000000-0005-0000-0000-000062640000}"/>
    <cellStyle name="Normal 2 29 43" xfId="26463" xr:uid="{00000000-0005-0000-0000-000063640000}"/>
    <cellStyle name="Normal 2 29 44" xfId="26464" xr:uid="{00000000-0005-0000-0000-000064640000}"/>
    <cellStyle name="Normal 2 29 45" xfId="26465" xr:uid="{00000000-0005-0000-0000-000065640000}"/>
    <cellStyle name="Normal 2 29 46" xfId="26466" xr:uid="{00000000-0005-0000-0000-000066640000}"/>
    <cellStyle name="Normal 2 29 47" xfId="26467" xr:uid="{00000000-0005-0000-0000-000067640000}"/>
    <cellStyle name="Normal 2 29 48" xfId="26468" xr:uid="{00000000-0005-0000-0000-000068640000}"/>
    <cellStyle name="Normal 2 29 5" xfId="26469" xr:uid="{00000000-0005-0000-0000-000069640000}"/>
    <cellStyle name="Normal 2 29 5 10" xfId="26470" xr:uid="{00000000-0005-0000-0000-00006A640000}"/>
    <cellStyle name="Normal 2 29 5 11" xfId="26471" xr:uid="{00000000-0005-0000-0000-00006B640000}"/>
    <cellStyle name="Normal 2 29 5 12" xfId="26472" xr:uid="{00000000-0005-0000-0000-00006C640000}"/>
    <cellStyle name="Normal 2 29 5 13" xfId="26473" xr:uid="{00000000-0005-0000-0000-00006D640000}"/>
    <cellStyle name="Normal 2 29 5 2" xfId="26474" xr:uid="{00000000-0005-0000-0000-00006E640000}"/>
    <cellStyle name="Normal 2 29 5 2 2" xfId="26475" xr:uid="{00000000-0005-0000-0000-00006F640000}"/>
    <cellStyle name="Normal 2 29 5 2 3" xfId="26476" xr:uid="{00000000-0005-0000-0000-000070640000}"/>
    <cellStyle name="Normal 2 29 5 2 4" xfId="26477" xr:uid="{00000000-0005-0000-0000-000071640000}"/>
    <cellStyle name="Normal 2 29 5 2 5" xfId="26478" xr:uid="{00000000-0005-0000-0000-000072640000}"/>
    <cellStyle name="Normal 2 29 5 2 6" xfId="26479" xr:uid="{00000000-0005-0000-0000-000073640000}"/>
    <cellStyle name="Normal 2 29 5 3" xfId="26480" xr:uid="{00000000-0005-0000-0000-000074640000}"/>
    <cellStyle name="Normal 2 29 5 3 2" xfId="26481" xr:uid="{00000000-0005-0000-0000-000075640000}"/>
    <cellStyle name="Normal 2 29 5 3 3" xfId="26482" xr:uid="{00000000-0005-0000-0000-000076640000}"/>
    <cellStyle name="Normal 2 29 5 3 4" xfId="26483" xr:uid="{00000000-0005-0000-0000-000077640000}"/>
    <cellStyle name="Normal 2 29 5 3 5" xfId="26484" xr:uid="{00000000-0005-0000-0000-000078640000}"/>
    <cellStyle name="Normal 2 29 5 3 6" xfId="26485" xr:uid="{00000000-0005-0000-0000-000079640000}"/>
    <cellStyle name="Normal 2 29 5 4" xfId="26486" xr:uid="{00000000-0005-0000-0000-00007A640000}"/>
    <cellStyle name="Normal 2 29 5 4 2" xfId="26487" xr:uid="{00000000-0005-0000-0000-00007B640000}"/>
    <cellStyle name="Normal 2 29 5 4 3" xfId="26488" xr:uid="{00000000-0005-0000-0000-00007C640000}"/>
    <cellStyle name="Normal 2 29 5 4 4" xfId="26489" xr:uid="{00000000-0005-0000-0000-00007D640000}"/>
    <cellStyle name="Normal 2 29 5 4 5" xfId="26490" xr:uid="{00000000-0005-0000-0000-00007E640000}"/>
    <cellStyle name="Normal 2 29 5 4 6" xfId="26491" xr:uid="{00000000-0005-0000-0000-00007F640000}"/>
    <cellStyle name="Normal 2 29 5 5" xfId="26492" xr:uid="{00000000-0005-0000-0000-000080640000}"/>
    <cellStyle name="Normal 2 29 5 5 2" xfId="26493" xr:uid="{00000000-0005-0000-0000-000081640000}"/>
    <cellStyle name="Normal 2 29 5 5 3" xfId="26494" xr:uid="{00000000-0005-0000-0000-000082640000}"/>
    <cellStyle name="Normal 2 29 5 5 4" xfId="26495" xr:uid="{00000000-0005-0000-0000-000083640000}"/>
    <cellStyle name="Normal 2 29 5 5 5" xfId="26496" xr:uid="{00000000-0005-0000-0000-000084640000}"/>
    <cellStyle name="Normal 2 29 5 5 6" xfId="26497" xr:uid="{00000000-0005-0000-0000-000085640000}"/>
    <cellStyle name="Normal 2 29 5 6" xfId="26498" xr:uid="{00000000-0005-0000-0000-000086640000}"/>
    <cellStyle name="Normal 2 29 5 6 2" xfId="26499" xr:uid="{00000000-0005-0000-0000-000087640000}"/>
    <cellStyle name="Normal 2 29 5 6 3" xfId="26500" xr:uid="{00000000-0005-0000-0000-000088640000}"/>
    <cellStyle name="Normal 2 29 5 6 4" xfId="26501" xr:uid="{00000000-0005-0000-0000-000089640000}"/>
    <cellStyle name="Normal 2 29 5 6 5" xfId="26502" xr:uid="{00000000-0005-0000-0000-00008A640000}"/>
    <cellStyle name="Normal 2 29 5 6 6" xfId="26503" xr:uid="{00000000-0005-0000-0000-00008B640000}"/>
    <cellStyle name="Normal 2 29 5 7" xfId="26504" xr:uid="{00000000-0005-0000-0000-00008C640000}"/>
    <cellStyle name="Normal 2 29 5 7 2" xfId="26505" xr:uid="{00000000-0005-0000-0000-00008D640000}"/>
    <cellStyle name="Normal 2 29 5 7 3" xfId="26506" xr:uid="{00000000-0005-0000-0000-00008E640000}"/>
    <cellStyle name="Normal 2 29 5 7 4" xfId="26507" xr:uid="{00000000-0005-0000-0000-00008F640000}"/>
    <cellStyle name="Normal 2 29 5 7 5" xfId="26508" xr:uid="{00000000-0005-0000-0000-000090640000}"/>
    <cellStyle name="Normal 2 29 5 7 6" xfId="26509" xr:uid="{00000000-0005-0000-0000-000091640000}"/>
    <cellStyle name="Normal 2 29 5 8" xfId="26510" xr:uid="{00000000-0005-0000-0000-000092640000}"/>
    <cellStyle name="Normal 2 29 5 8 2" xfId="26511" xr:uid="{00000000-0005-0000-0000-000093640000}"/>
    <cellStyle name="Normal 2 29 5 8 3" xfId="26512" xr:uid="{00000000-0005-0000-0000-000094640000}"/>
    <cellStyle name="Normal 2 29 5 8 4" xfId="26513" xr:uid="{00000000-0005-0000-0000-000095640000}"/>
    <cellStyle name="Normal 2 29 5 8 5" xfId="26514" xr:uid="{00000000-0005-0000-0000-000096640000}"/>
    <cellStyle name="Normal 2 29 5 8 6" xfId="26515" xr:uid="{00000000-0005-0000-0000-000097640000}"/>
    <cellStyle name="Normal 2 29 5 9" xfId="26516" xr:uid="{00000000-0005-0000-0000-000098640000}"/>
    <cellStyle name="Normal 2 29 6" xfId="26517" xr:uid="{00000000-0005-0000-0000-000099640000}"/>
    <cellStyle name="Normal 2 29 6 10" xfId="26518" xr:uid="{00000000-0005-0000-0000-00009A640000}"/>
    <cellStyle name="Normal 2 29 6 11" xfId="26519" xr:uid="{00000000-0005-0000-0000-00009B640000}"/>
    <cellStyle name="Normal 2 29 6 12" xfId="26520" xr:uid="{00000000-0005-0000-0000-00009C640000}"/>
    <cellStyle name="Normal 2 29 6 13" xfId="26521" xr:uid="{00000000-0005-0000-0000-00009D640000}"/>
    <cellStyle name="Normal 2 29 6 2" xfId="26522" xr:uid="{00000000-0005-0000-0000-00009E640000}"/>
    <cellStyle name="Normal 2 29 6 2 2" xfId="26523" xr:uid="{00000000-0005-0000-0000-00009F640000}"/>
    <cellStyle name="Normal 2 29 6 2 3" xfId="26524" xr:uid="{00000000-0005-0000-0000-0000A0640000}"/>
    <cellStyle name="Normal 2 29 6 2 4" xfId="26525" xr:uid="{00000000-0005-0000-0000-0000A1640000}"/>
    <cellStyle name="Normal 2 29 6 2 5" xfId="26526" xr:uid="{00000000-0005-0000-0000-0000A2640000}"/>
    <cellStyle name="Normal 2 29 6 2 6" xfId="26527" xr:uid="{00000000-0005-0000-0000-0000A3640000}"/>
    <cellStyle name="Normal 2 29 6 3" xfId="26528" xr:uid="{00000000-0005-0000-0000-0000A4640000}"/>
    <cellStyle name="Normal 2 29 6 3 2" xfId="26529" xr:uid="{00000000-0005-0000-0000-0000A5640000}"/>
    <cellStyle name="Normal 2 29 6 3 3" xfId="26530" xr:uid="{00000000-0005-0000-0000-0000A6640000}"/>
    <cellStyle name="Normal 2 29 6 3 4" xfId="26531" xr:uid="{00000000-0005-0000-0000-0000A7640000}"/>
    <cellStyle name="Normal 2 29 6 3 5" xfId="26532" xr:uid="{00000000-0005-0000-0000-0000A8640000}"/>
    <cellStyle name="Normal 2 29 6 3 6" xfId="26533" xr:uid="{00000000-0005-0000-0000-0000A9640000}"/>
    <cellStyle name="Normal 2 29 6 4" xfId="26534" xr:uid="{00000000-0005-0000-0000-0000AA640000}"/>
    <cellStyle name="Normal 2 29 6 4 2" xfId="26535" xr:uid="{00000000-0005-0000-0000-0000AB640000}"/>
    <cellStyle name="Normal 2 29 6 4 3" xfId="26536" xr:uid="{00000000-0005-0000-0000-0000AC640000}"/>
    <cellStyle name="Normal 2 29 6 4 4" xfId="26537" xr:uid="{00000000-0005-0000-0000-0000AD640000}"/>
    <cellStyle name="Normal 2 29 6 4 5" xfId="26538" xr:uid="{00000000-0005-0000-0000-0000AE640000}"/>
    <cellStyle name="Normal 2 29 6 4 6" xfId="26539" xr:uid="{00000000-0005-0000-0000-0000AF640000}"/>
    <cellStyle name="Normal 2 29 6 5" xfId="26540" xr:uid="{00000000-0005-0000-0000-0000B0640000}"/>
    <cellStyle name="Normal 2 29 6 5 2" xfId="26541" xr:uid="{00000000-0005-0000-0000-0000B1640000}"/>
    <cellStyle name="Normal 2 29 6 5 3" xfId="26542" xr:uid="{00000000-0005-0000-0000-0000B2640000}"/>
    <cellStyle name="Normal 2 29 6 5 4" xfId="26543" xr:uid="{00000000-0005-0000-0000-0000B3640000}"/>
    <cellStyle name="Normal 2 29 6 5 5" xfId="26544" xr:uid="{00000000-0005-0000-0000-0000B4640000}"/>
    <cellStyle name="Normal 2 29 6 5 6" xfId="26545" xr:uid="{00000000-0005-0000-0000-0000B5640000}"/>
    <cellStyle name="Normal 2 29 6 6" xfId="26546" xr:uid="{00000000-0005-0000-0000-0000B6640000}"/>
    <cellStyle name="Normal 2 29 6 6 2" xfId="26547" xr:uid="{00000000-0005-0000-0000-0000B7640000}"/>
    <cellStyle name="Normal 2 29 6 6 3" xfId="26548" xr:uid="{00000000-0005-0000-0000-0000B8640000}"/>
    <cellStyle name="Normal 2 29 6 6 4" xfId="26549" xr:uid="{00000000-0005-0000-0000-0000B9640000}"/>
    <cellStyle name="Normal 2 29 6 6 5" xfId="26550" xr:uid="{00000000-0005-0000-0000-0000BA640000}"/>
    <cellStyle name="Normal 2 29 6 6 6" xfId="26551" xr:uid="{00000000-0005-0000-0000-0000BB640000}"/>
    <cellStyle name="Normal 2 29 6 7" xfId="26552" xr:uid="{00000000-0005-0000-0000-0000BC640000}"/>
    <cellStyle name="Normal 2 29 6 7 2" xfId="26553" xr:uid="{00000000-0005-0000-0000-0000BD640000}"/>
    <cellStyle name="Normal 2 29 6 7 3" xfId="26554" xr:uid="{00000000-0005-0000-0000-0000BE640000}"/>
    <cellStyle name="Normal 2 29 6 7 4" xfId="26555" xr:uid="{00000000-0005-0000-0000-0000BF640000}"/>
    <cellStyle name="Normal 2 29 6 7 5" xfId="26556" xr:uid="{00000000-0005-0000-0000-0000C0640000}"/>
    <cellStyle name="Normal 2 29 6 7 6" xfId="26557" xr:uid="{00000000-0005-0000-0000-0000C1640000}"/>
    <cellStyle name="Normal 2 29 6 8" xfId="26558" xr:uid="{00000000-0005-0000-0000-0000C2640000}"/>
    <cellStyle name="Normal 2 29 6 8 2" xfId="26559" xr:uid="{00000000-0005-0000-0000-0000C3640000}"/>
    <cellStyle name="Normal 2 29 6 8 3" xfId="26560" xr:uid="{00000000-0005-0000-0000-0000C4640000}"/>
    <cellStyle name="Normal 2 29 6 8 4" xfId="26561" xr:uid="{00000000-0005-0000-0000-0000C5640000}"/>
    <cellStyle name="Normal 2 29 6 8 5" xfId="26562" xr:uid="{00000000-0005-0000-0000-0000C6640000}"/>
    <cellStyle name="Normal 2 29 6 8 6" xfId="26563" xr:uid="{00000000-0005-0000-0000-0000C7640000}"/>
    <cellStyle name="Normal 2 29 6 9" xfId="26564" xr:uid="{00000000-0005-0000-0000-0000C8640000}"/>
    <cellStyle name="Normal 2 29 7" xfId="26565" xr:uid="{00000000-0005-0000-0000-0000C9640000}"/>
    <cellStyle name="Normal 2 29 7 10" xfId="26566" xr:uid="{00000000-0005-0000-0000-0000CA640000}"/>
    <cellStyle name="Normal 2 29 7 11" xfId="26567" xr:uid="{00000000-0005-0000-0000-0000CB640000}"/>
    <cellStyle name="Normal 2 29 7 12" xfId="26568" xr:uid="{00000000-0005-0000-0000-0000CC640000}"/>
    <cellStyle name="Normal 2 29 7 13" xfId="26569" xr:uid="{00000000-0005-0000-0000-0000CD640000}"/>
    <cellStyle name="Normal 2 29 7 2" xfId="26570" xr:uid="{00000000-0005-0000-0000-0000CE640000}"/>
    <cellStyle name="Normal 2 29 7 2 2" xfId="26571" xr:uid="{00000000-0005-0000-0000-0000CF640000}"/>
    <cellStyle name="Normal 2 29 7 2 3" xfId="26572" xr:uid="{00000000-0005-0000-0000-0000D0640000}"/>
    <cellStyle name="Normal 2 29 7 2 4" xfId="26573" xr:uid="{00000000-0005-0000-0000-0000D1640000}"/>
    <cellStyle name="Normal 2 29 7 2 5" xfId="26574" xr:uid="{00000000-0005-0000-0000-0000D2640000}"/>
    <cellStyle name="Normal 2 29 7 2 6" xfId="26575" xr:uid="{00000000-0005-0000-0000-0000D3640000}"/>
    <cellStyle name="Normal 2 29 7 3" xfId="26576" xr:uid="{00000000-0005-0000-0000-0000D4640000}"/>
    <cellStyle name="Normal 2 29 7 3 2" xfId="26577" xr:uid="{00000000-0005-0000-0000-0000D5640000}"/>
    <cellStyle name="Normal 2 29 7 3 3" xfId="26578" xr:uid="{00000000-0005-0000-0000-0000D6640000}"/>
    <cellStyle name="Normal 2 29 7 3 4" xfId="26579" xr:uid="{00000000-0005-0000-0000-0000D7640000}"/>
    <cellStyle name="Normal 2 29 7 3 5" xfId="26580" xr:uid="{00000000-0005-0000-0000-0000D8640000}"/>
    <cellStyle name="Normal 2 29 7 3 6" xfId="26581" xr:uid="{00000000-0005-0000-0000-0000D9640000}"/>
    <cellStyle name="Normal 2 29 7 4" xfId="26582" xr:uid="{00000000-0005-0000-0000-0000DA640000}"/>
    <cellStyle name="Normal 2 29 7 4 2" xfId="26583" xr:uid="{00000000-0005-0000-0000-0000DB640000}"/>
    <cellStyle name="Normal 2 29 7 4 3" xfId="26584" xr:uid="{00000000-0005-0000-0000-0000DC640000}"/>
    <cellStyle name="Normal 2 29 7 4 4" xfId="26585" xr:uid="{00000000-0005-0000-0000-0000DD640000}"/>
    <cellStyle name="Normal 2 29 7 4 5" xfId="26586" xr:uid="{00000000-0005-0000-0000-0000DE640000}"/>
    <cellStyle name="Normal 2 29 7 4 6" xfId="26587" xr:uid="{00000000-0005-0000-0000-0000DF640000}"/>
    <cellStyle name="Normal 2 29 7 5" xfId="26588" xr:uid="{00000000-0005-0000-0000-0000E0640000}"/>
    <cellStyle name="Normal 2 29 7 5 2" xfId="26589" xr:uid="{00000000-0005-0000-0000-0000E1640000}"/>
    <cellStyle name="Normal 2 29 7 5 3" xfId="26590" xr:uid="{00000000-0005-0000-0000-0000E2640000}"/>
    <cellStyle name="Normal 2 29 7 5 4" xfId="26591" xr:uid="{00000000-0005-0000-0000-0000E3640000}"/>
    <cellStyle name="Normal 2 29 7 5 5" xfId="26592" xr:uid="{00000000-0005-0000-0000-0000E4640000}"/>
    <cellStyle name="Normal 2 29 7 5 6" xfId="26593" xr:uid="{00000000-0005-0000-0000-0000E5640000}"/>
    <cellStyle name="Normal 2 29 7 6" xfId="26594" xr:uid="{00000000-0005-0000-0000-0000E6640000}"/>
    <cellStyle name="Normal 2 29 7 6 2" xfId="26595" xr:uid="{00000000-0005-0000-0000-0000E7640000}"/>
    <cellStyle name="Normal 2 29 7 6 3" xfId="26596" xr:uid="{00000000-0005-0000-0000-0000E8640000}"/>
    <cellStyle name="Normal 2 29 7 6 4" xfId="26597" xr:uid="{00000000-0005-0000-0000-0000E9640000}"/>
    <cellStyle name="Normal 2 29 7 6 5" xfId="26598" xr:uid="{00000000-0005-0000-0000-0000EA640000}"/>
    <cellStyle name="Normal 2 29 7 6 6" xfId="26599" xr:uid="{00000000-0005-0000-0000-0000EB640000}"/>
    <cellStyle name="Normal 2 29 7 7" xfId="26600" xr:uid="{00000000-0005-0000-0000-0000EC640000}"/>
    <cellStyle name="Normal 2 29 7 7 2" xfId="26601" xr:uid="{00000000-0005-0000-0000-0000ED640000}"/>
    <cellStyle name="Normal 2 29 7 7 3" xfId="26602" xr:uid="{00000000-0005-0000-0000-0000EE640000}"/>
    <cellStyle name="Normal 2 29 7 7 4" xfId="26603" xr:uid="{00000000-0005-0000-0000-0000EF640000}"/>
    <cellStyle name="Normal 2 29 7 7 5" xfId="26604" xr:uid="{00000000-0005-0000-0000-0000F0640000}"/>
    <cellStyle name="Normal 2 29 7 7 6" xfId="26605" xr:uid="{00000000-0005-0000-0000-0000F1640000}"/>
    <cellStyle name="Normal 2 29 7 8" xfId="26606" xr:uid="{00000000-0005-0000-0000-0000F2640000}"/>
    <cellStyle name="Normal 2 29 7 8 2" xfId="26607" xr:uid="{00000000-0005-0000-0000-0000F3640000}"/>
    <cellStyle name="Normal 2 29 7 8 3" xfId="26608" xr:uid="{00000000-0005-0000-0000-0000F4640000}"/>
    <cellStyle name="Normal 2 29 7 8 4" xfId="26609" xr:uid="{00000000-0005-0000-0000-0000F5640000}"/>
    <cellStyle name="Normal 2 29 7 8 5" xfId="26610" xr:uid="{00000000-0005-0000-0000-0000F6640000}"/>
    <cellStyle name="Normal 2 29 7 8 6" xfId="26611" xr:uid="{00000000-0005-0000-0000-0000F7640000}"/>
    <cellStyle name="Normal 2 29 7 9" xfId="26612" xr:uid="{00000000-0005-0000-0000-0000F8640000}"/>
    <cellStyle name="Normal 2 29 8" xfId="26613" xr:uid="{00000000-0005-0000-0000-0000F9640000}"/>
    <cellStyle name="Normal 2 29 8 10" xfId="26614" xr:uid="{00000000-0005-0000-0000-0000FA640000}"/>
    <cellStyle name="Normal 2 29 8 11" xfId="26615" xr:uid="{00000000-0005-0000-0000-0000FB640000}"/>
    <cellStyle name="Normal 2 29 8 12" xfId="26616" xr:uid="{00000000-0005-0000-0000-0000FC640000}"/>
    <cellStyle name="Normal 2 29 8 13" xfId="26617" xr:uid="{00000000-0005-0000-0000-0000FD640000}"/>
    <cellStyle name="Normal 2 29 8 2" xfId="26618" xr:uid="{00000000-0005-0000-0000-0000FE640000}"/>
    <cellStyle name="Normal 2 29 8 2 2" xfId="26619" xr:uid="{00000000-0005-0000-0000-0000FF640000}"/>
    <cellStyle name="Normal 2 29 8 2 3" xfId="26620" xr:uid="{00000000-0005-0000-0000-000000650000}"/>
    <cellStyle name="Normal 2 29 8 2 4" xfId="26621" xr:uid="{00000000-0005-0000-0000-000001650000}"/>
    <cellStyle name="Normal 2 29 8 2 5" xfId="26622" xr:uid="{00000000-0005-0000-0000-000002650000}"/>
    <cellStyle name="Normal 2 29 8 2 6" xfId="26623" xr:uid="{00000000-0005-0000-0000-000003650000}"/>
    <cellStyle name="Normal 2 29 8 3" xfId="26624" xr:uid="{00000000-0005-0000-0000-000004650000}"/>
    <cellStyle name="Normal 2 29 8 3 2" xfId="26625" xr:uid="{00000000-0005-0000-0000-000005650000}"/>
    <cellStyle name="Normal 2 29 8 3 3" xfId="26626" xr:uid="{00000000-0005-0000-0000-000006650000}"/>
    <cellStyle name="Normal 2 29 8 3 4" xfId="26627" xr:uid="{00000000-0005-0000-0000-000007650000}"/>
    <cellStyle name="Normal 2 29 8 3 5" xfId="26628" xr:uid="{00000000-0005-0000-0000-000008650000}"/>
    <cellStyle name="Normal 2 29 8 3 6" xfId="26629" xr:uid="{00000000-0005-0000-0000-000009650000}"/>
    <cellStyle name="Normal 2 29 8 4" xfId="26630" xr:uid="{00000000-0005-0000-0000-00000A650000}"/>
    <cellStyle name="Normal 2 29 8 4 2" xfId="26631" xr:uid="{00000000-0005-0000-0000-00000B650000}"/>
    <cellStyle name="Normal 2 29 8 4 3" xfId="26632" xr:uid="{00000000-0005-0000-0000-00000C650000}"/>
    <cellStyle name="Normal 2 29 8 4 4" xfId="26633" xr:uid="{00000000-0005-0000-0000-00000D650000}"/>
    <cellStyle name="Normal 2 29 8 4 5" xfId="26634" xr:uid="{00000000-0005-0000-0000-00000E650000}"/>
    <cellStyle name="Normal 2 29 8 4 6" xfId="26635" xr:uid="{00000000-0005-0000-0000-00000F650000}"/>
    <cellStyle name="Normal 2 29 8 5" xfId="26636" xr:uid="{00000000-0005-0000-0000-000010650000}"/>
    <cellStyle name="Normal 2 29 8 5 2" xfId="26637" xr:uid="{00000000-0005-0000-0000-000011650000}"/>
    <cellStyle name="Normal 2 29 8 5 3" xfId="26638" xr:uid="{00000000-0005-0000-0000-000012650000}"/>
    <cellStyle name="Normal 2 29 8 5 4" xfId="26639" xr:uid="{00000000-0005-0000-0000-000013650000}"/>
    <cellStyle name="Normal 2 29 8 5 5" xfId="26640" xr:uid="{00000000-0005-0000-0000-000014650000}"/>
    <cellStyle name="Normal 2 29 8 5 6" xfId="26641" xr:uid="{00000000-0005-0000-0000-000015650000}"/>
    <cellStyle name="Normal 2 29 8 6" xfId="26642" xr:uid="{00000000-0005-0000-0000-000016650000}"/>
    <cellStyle name="Normal 2 29 8 6 2" xfId="26643" xr:uid="{00000000-0005-0000-0000-000017650000}"/>
    <cellStyle name="Normal 2 29 8 6 3" xfId="26644" xr:uid="{00000000-0005-0000-0000-000018650000}"/>
    <cellStyle name="Normal 2 29 8 6 4" xfId="26645" xr:uid="{00000000-0005-0000-0000-000019650000}"/>
    <cellStyle name="Normal 2 29 8 6 5" xfId="26646" xr:uid="{00000000-0005-0000-0000-00001A650000}"/>
    <cellStyle name="Normal 2 29 8 6 6" xfId="26647" xr:uid="{00000000-0005-0000-0000-00001B650000}"/>
    <cellStyle name="Normal 2 29 8 7" xfId="26648" xr:uid="{00000000-0005-0000-0000-00001C650000}"/>
    <cellStyle name="Normal 2 29 8 7 2" xfId="26649" xr:uid="{00000000-0005-0000-0000-00001D650000}"/>
    <cellStyle name="Normal 2 29 8 7 3" xfId="26650" xr:uid="{00000000-0005-0000-0000-00001E650000}"/>
    <cellStyle name="Normal 2 29 8 7 4" xfId="26651" xr:uid="{00000000-0005-0000-0000-00001F650000}"/>
    <cellStyle name="Normal 2 29 8 7 5" xfId="26652" xr:uid="{00000000-0005-0000-0000-000020650000}"/>
    <cellStyle name="Normal 2 29 8 7 6" xfId="26653" xr:uid="{00000000-0005-0000-0000-000021650000}"/>
    <cellStyle name="Normal 2 29 8 8" xfId="26654" xr:uid="{00000000-0005-0000-0000-000022650000}"/>
    <cellStyle name="Normal 2 29 8 8 2" xfId="26655" xr:uid="{00000000-0005-0000-0000-000023650000}"/>
    <cellStyle name="Normal 2 29 8 8 3" xfId="26656" xr:uid="{00000000-0005-0000-0000-000024650000}"/>
    <cellStyle name="Normal 2 29 8 8 4" xfId="26657" xr:uid="{00000000-0005-0000-0000-000025650000}"/>
    <cellStyle name="Normal 2 29 8 8 5" xfId="26658" xr:uid="{00000000-0005-0000-0000-000026650000}"/>
    <cellStyle name="Normal 2 29 8 8 6" xfId="26659" xr:uid="{00000000-0005-0000-0000-000027650000}"/>
    <cellStyle name="Normal 2 29 8 9" xfId="26660" xr:uid="{00000000-0005-0000-0000-000028650000}"/>
    <cellStyle name="Normal 2 29 9" xfId="26661" xr:uid="{00000000-0005-0000-0000-000029650000}"/>
    <cellStyle name="Normal 2 29 9 10" xfId="26662" xr:uid="{00000000-0005-0000-0000-00002A650000}"/>
    <cellStyle name="Normal 2 29 9 11" xfId="26663" xr:uid="{00000000-0005-0000-0000-00002B650000}"/>
    <cellStyle name="Normal 2 29 9 12" xfId="26664" xr:uid="{00000000-0005-0000-0000-00002C650000}"/>
    <cellStyle name="Normal 2 29 9 13" xfId="26665" xr:uid="{00000000-0005-0000-0000-00002D650000}"/>
    <cellStyle name="Normal 2 29 9 2" xfId="26666" xr:uid="{00000000-0005-0000-0000-00002E650000}"/>
    <cellStyle name="Normal 2 29 9 2 2" xfId="26667" xr:uid="{00000000-0005-0000-0000-00002F650000}"/>
    <cellStyle name="Normal 2 29 9 2 3" xfId="26668" xr:uid="{00000000-0005-0000-0000-000030650000}"/>
    <cellStyle name="Normal 2 29 9 2 4" xfId="26669" xr:uid="{00000000-0005-0000-0000-000031650000}"/>
    <cellStyle name="Normal 2 29 9 2 5" xfId="26670" xr:uid="{00000000-0005-0000-0000-000032650000}"/>
    <cellStyle name="Normal 2 29 9 2 6" xfId="26671" xr:uid="{00000000-0005-0000-0000-000033650000}"/>
    <cellStyle name="Normal 2 29 9 3" xfId="26672" xr:uid="{00000000-0005-0000-0000-000034650000}"/>
    <cellStyle name="Normal 2 29 9 3 2" xfId="26673" xr:uid="{00000000-0005-0000-0000-000035650000}"/>
    <cellStyle name="Normal 2 29 9 3 3" xfId="26674" xr:uid="{00000000-0005-0000-0000-000036650000}"/>
    <cellStyle name="Normal 2 29 9 3 4" xfId="26675" xr:uid="{00000000-0005-0000-0000-000037650000}"/>
    <cellStyle name="Normal 2 29 9 3 5" xfId="26676" xr:uid="{00000000-0005-0000-0000-000038650000}"/>
    <cellStyle name="Normal 2 29 9 3 6" xfId="26677" xr:uid="{00000000-0005-0000-0000-000039650000}"/>
    <cellStyle name="Normal 2 29 9 4" xfId="26678" xr:uid="{00000000-0005-0000-0000-00003A650000}"/>
    <cellStyle name="Normal 2 29 9 4 2" xfId="26679" xr:uid="{00000000-0005-0000-0000-00003B650000}"/>
    <cellStyle name="Normal 2 29 9 4 3" xfId="26680" xr:uid="{00000000-0005-0000-0000-00003C650000}"/>
    <cellStyle name="Normal 2 29 9 4 4" xfId="26681" xr:uid="{00000000-0005-0000-0000-00003D650000}"/>
    <cellStyle name="Normal 2 29 9 4 5" xfId="26682" xr:uid="{00000000-0005-0000-0000-00003E650000}"/>
    <cellStyle name="Normal 2 29 9 4 6" xfId="26683" xr:uid="{00000000-0005-0000-0000-00003F650000}"/>
    <cellStyle name="Normal 2 29 9 5" xfId="26684" xr:uid="{00000000-0005-0000-0000-000040650000}"/>
    <cellStyle name="Normal 2 29 9 5 2" xfId="26685" xr:uid="{00000000-0005-0000-0000-000041650000}"/>
    <cellStyle name="Normal 2 29 9 5 3" xfId="26686" xr:uid="{00000000-0005-0000-0000-000042650000}"/>
    <cellStyle name="Normal 2 29 9 5 4" xfId="26687" xr:uid="{00000000-0005-0000-0000-000043650000}"/>
    <cellStyle name="Normal 2 29 9 5 5" xfId="26688" xr:uid="{00000000-0005-0000-0000-000044650000}"/>
    <cellStyle name="Normal 2 29 9 5 6" xfId="26689" xr:uid="{00000000-0005-0000-0000-000045650000}"/>
    <cellStyle name="Normal 2 29 9 6" xfId="26690" xr:uid="{00000000-0005-0000-0000-000046650000}"/>
    <cellStyle name="Normal 2 29 9 6 2" xfId="26691" xr:uid="{00000000-0005-0000-0000-000047650000}"/>
    <cellStyle name="Normal 2 29 9 6 3" xfId="26692" xr:uid="{00000000-0005-0000-0000-000048650000}"/>
    <cellStyle name="Normal 2 29 9 6 4" xfId="26693" xr:uid="{00000000-0005-0000-0000-000049650000}"/>
    <cellStyle name="Normal 2 29 9 6 5" xfId="26694" xr:uid="{00000000-0005-0000-0000-00004A650000}"/>
    <cellStyle name="Normal 2 29 9 6 6" xfId="26695" xr:uid="{00000000-0005-0000-0000-00004B650000}"/>
    <cellStyle name="Normal 2 29 9 7" xfId="26696" xr:uid="{00000000-0005-0000-0000-00004C650000}"/>
    <cellStyle name="Normal 2 29 9 7 2" xfId="26697" xr:uid="{00000000-0005-0000-0000-00004D650000}"/>
    <cellStyle name="Normal 2 29 9 7 3" xfId="26698" xr:uid="{00000000-0005-0000-0000-00004E650000}"/>
    <cellStyle name="Normal 2 29 9 7 4" xfId="26699" xr:uid="{00000000-0005-0000-0000-00004F650000}"/>
    <cellStyle name="Normal 2 29 9 7 5" xfId="26700" xr:uid="{00000000-0005-0000-0000-000050650000}"/>
    <cellStyle name="Normal 2 29 9 7 6" xfId="26701" xr:uid="{00000000-0005-0000-0000-000051650000}"/>
    <cellStyle name="Normal 2 29 9 8" xfId="26702" xr:uid="{00000000-0005-0000-0000-000052650000}"/>
    <cellStyle name="Normal 2 29 9 8 2" xfId="26703" xr:uid="{00000000-0005-0000-0000-000053650000}"/>
    <cellStyle name="Normal 2 29 9 8 3" xfId="26704" xr:uid="{00000000-0005-0000-0000-000054650000}"/>
    <cellStyle name="Normal 2 29 9 8 4" xfId="26705" xr:uid="{00000000-0005-0000-0000-000055650000}"/>
    <cellStyle name="Normal 2 29 9 8 5" xfId="26706" xr:uid="{00000000-0005-0000-0000-000056650000}"/>
    <cellStyle name="Normal 2 29 9 8 6" xfId="26707" xr:uid="{00000000-0005-0000-0000-000057650000}"/>
    <cellStyle name="Normal 2 29 9 9" xfId="26708" xr:uid="{00000000-0005-0000-0000-000058650000}"/>
    <cellStyle name="Normal 2 3" xfId="1056" xr:uid="{00000000-0005-0000-0000-000059650000}"/>
    <cellStyle name="Normal 2 3 10" xfId="26709" xr:uid="{00000000-0005-0000-0000-00005A650000}"/>
    <cellStyle name="Normal 2 3 11" xfId="26710" xr:uid="{00000000-0005-0000-0000-00005B650000}"/>
    <cellStyle name="Normal 2 3 12" xfId="26711" xr:uid="{00000000-0005-0000-0000-00005C650000}"/>
    <cellStyle name="Normal 2 3 13" xfId="26712" xr:uid="{00000000-0005-0000-0000-00005D650000}"/>
    <cellStyle name="Normal 2 3 14" xfId="26713" xr:uid="{00000000-0005-0000-0000-00005E650000}"/>
    <cellStyle name="Normal 2 3 2" xfId="26714" xr:uid="{00000000-0005-0000-0000-00005F650000}"/>
    <cellStyle name="Normal 2 3 2 2" xfId="26715" xr:uid="{00000000-0005-0000-0000-000060650000}"/>
    <cellStyle name="Normal 2 3 2 3" xfId="26716" xr:uid="{00000000-0005-0000-0000-000061650000}"/>
    <cellStyle name="Normal 2 3 2 4" xfId="26717" xr:uid="{00000000-0005-0000-0000-000062650000}"/>
    <cellStyle name="Normal 2 3 2 5" xfId="26718" xr:uid="{00000000-0005-0000-0000-000063650000}"/>
    <cellStyle name="Normal 2 3 2 6" xfId="26719" xr:uid="{00000000-0005-0000-0000-000064650000}"/>
    <cellStyle name="Normal 2 3 3" xfId="26720" xr:uid="{00000000-0005-0000-0000-000065650000}"/>
    <cellStyle name="Normal 2 3 3 2" xfId="26721" xr:uid="{00000000-0005-0000-0000-000066650000}"/>
    <cellStyle name="Normal 2 3 3 3" xfId="26722" xr:uid="{00000000-0005-0000-0000-000067650000}"/>
    <cellStyle name="Normal 2 3 3 4" xfId="26723" xr:uid="{00000000-0005-0000-0000-000068650000}"/>
    <cellStyle name="Normal 2 3 3 5" xfId="26724" xr:uid="{00000000-0005-0000-0000-000069650000}"/>
    <cellStyle name="Normal 2 3 3 6" xfId="26725" xr:uid="{00000000-0005-0000-0000-00006A650000}"/>
    <cellStyle name="Normal 2 3 4" xfId="26726" xr:uid="{00000000-0005-0000-0000-00006B650000}"/>
    <cellStyle name="Normal 2 3 4 2" xfId="26727" xr:uid="{00000000-0005-0000-0000-00006C650000}"/>
    <cellStyle name="Normal 2 3 4 3" xfId="26728" xr:uid="{00000000-0005-0000-0000-00006D650000}"/>
    <cellStyle name="Normal 2 3 4 4" xfId="26729" xr:uid="{00000000-0005-0000-0000-00006E650000}"/>
    <cellStyle name="Normal 2 3 4 5" xfId="26730" xr:uid="{00000000-0005-0000-0000-00006F650000}"/>
    <cellStyle name="Normal 2 3 4 6" xfId="26731" xr:uid="{00000000-0005-0000-0000-000070650000}"/>
    <cellStyle name="Normal 2 3 5" xfId="26732" xr:uid="{00000000-0005-0000-0000-000071650000}"/>
    <cellStyle name="Normal 2 3 5 2" xfId="26733" xr:uid="{00000000-0005-0000-0000-000072650000}"/>
    <cellStyle name="Normal 2 3 5 3" xfId="26734" xr:uid="{00000000-0005-0000-0000-000073650000}"/>
    <cellStyle name="Normal 2 3 5 4" xfId="26735" xr:uid="{00000000-0005-0000-0000-000074650000}"/>
    <cellStyle name="Normal 2 3 5 5" xfId="26736" xr:uid="{00000000-0005-0000-0000-000075650000}"/>
    <cellStyle name="Normal 2 3 5 6" xfId="26737" xr:uid="{00000000-0005-0000-0000-000076650000}"/>
    <cellStyle name="Normal 2 3 6" xfId="26738" xr:uid="{00000000-0005-0000-0000-000077650000}"/>
    <cellStyle name="Normal 2 3 6 2" xfId="26739" xr:uid="{00000000-0005-0000-0000-000078650000}"/>
    <cellStyle name="Normal 2 3 6 3" xfId="26740" xr:uid="{00000000-0005-0000-0000-000079650000}"/>
    <cellStyle name="Normal 2 3 6 4" xfId="26741" xr:uid="{00000000-0005-0000-0000-00007A650000}"/>
    <cellStyle name="Normal 2 3 6 5" xfId="26742" xr:uid="{00000000-0005-0000-0000-00007B650000}"/>
    <cellStyle name="Normal 2 3 6 6" xfId="26743" xr:uid="{00000000-0005-0000-0000-00007C650000}"/>
    <cellStyle name="Normal 2 3 7" xfId="26744" xr:uid="{00000000-0005-0000-0000-00007D650000}"/>
    <cellStyle name="Normal 2 3 7 2" xfId="26745" xr:uid="{00000000-0005-0000-0000-00007E650000}"/>
    <cellStyle name="Normal 2 3 7 3" xfId="26746" xr:uid="{00000000-0005-0000-0000-00007F650000}"/>
    <cellStyle name="Normal 2 3 7 4" xfId="26747" xr:uid="{00000000-0005-0000-0000-000080650000}"/>
    <cellStyle name="Normal 2 3 7 5" xfId="26748" xr:uid="{00000000-0005-0000-0000-000081650000}"/>
    <cellStyle name="Normal 2 3 7 6" xfId="26749" xr:uid="{00000000-0005-0000-0000-000082650000}"/>
    <cellStyle name="Normal 2 3 8" xfId="26750" xr:uid="{00000000-0005-0000-0000-000083650000}"/>
    <cellStyle name="Normal 2 3 8 2" xfId="26751" xr:uid="{00000000-0005-0000-0000-000084650000}"/>
    <cellStyle name="Normal 2 3 8 3" xfId="26752" xr:uid="{00000000-0005-0000-0000-000085650000}"/>
    <cellStyle name="Normal 2 3 8 4" xfId="26753" xr:uid="{00000000-0005-0000-0000-000086650000}"/>
    <cellStyle name="Normal 2 3 8 5" xfId="26754" xr:uid="{00000000-0005-0000-0000-000087650000}"/>
    <cellStyle name="Normal 2 3 8 6" xfId="26755" xr:uid="{00000000-0005-0000-0000-000088650000}"/>
    <cellStyle name="Normal 2 3 9" xfId="26756" xr:uid="{00000000-0005-0000-0000-000089650000}"/>
    <cellStyle name="Normal 2 30" xfId="26757" xr:uid="{00000000-0005-0000-0000-00008A650000}"/>
    <cellStyle name="Normal 2 30 10" xfId="26758" xr:uid="{00000000-0005-0000-0000-00008B650000}"/>
    <cellStyle name="Normal 2 30 11" xfId="26759" xr:uid="{00000000-0005-0000-0000-00008C650000}"/>
    <cellStyle name="Normal 2 30 12" xfId="26760" xr:uid="{00000000-0005-0000-0000-00008D650000}"/>
    <cellStyle name="Normal 2 30 13" xfId="26761" xr:uid="{00000000-0005-0000-0000-00008E650000}"/>
    <cellStyle name="Normal 2 30 14" xfId="26762" xr:uid="{00000000-0005-0000-0000-00008F650000}"/>
    <cellStyle name="Normal 2 30 2" xfId="26763" xr:uid="{00000000-0005-0000-0000-000090650000}"/>
    <cellStyle name="Normal 2 30 2 2" xfId="26764" xr:uid="{00000000-0005-0000-0000-000091650000}"/>
    <cellStyle name="Normal 2 30 2 3" xfId="26765" xr:uid="{00000000-0005-0000-0000-000092650000}"/>
    <cellStyle name="Normal 2 30 2 4" xfId="26766" xr:uid="{00000000-0005-0000-0000-000093650000}"/>
    <cellStyle name="Normal 2 30 2 5" xfId="26767" xr:uid="{00000000-0005-0000-0000-000094650000}"/>
    <cellStyle name="Normal 2 30 2 6" xfId="26768" xr:uid="{00000000-0005-0000-0000-000095650000}"/>
    <cellStyle name="Normal 2 30 3" xfId="26769" xr:uid="{00000000-0005-0000-0000-000096650000}"/>
    <cellStyle name="Normal 2 30 3 2" xfId="26770" xr:uid="{00000000-0005-0000-0000-000097650000}"/>
    <cellStyle name="Normal 2 30 3 3" xfId="26771" xr:uid="{00000000-0005-0000-0000-000098650000}"/>
    <cellStyle name="Normal 2 30 3 4" xfId="26772" xr:uid="{00000000-0005-0000-0000-000099650000}"/>
    <cellStyle name="Normal 2 30 3 5" xfId="26773" xr:uid="{00000000-0005-0000-0000-00009A650000}"/>
    <cellStyle name="Normal 2 30 3 6" xfId="26774" xr:uid="{00000000-0005-0000-0000-00009B650000}"/>
    <cellStyle name="Normal 2 30 4" xfId="26775" xr:uid="{00000000-0005-0000-0000-00009C650000}"/>
    <cellStyle name="Normal 2 30 4 2" xfId="26776" xr:uid="{00000000-0005-0000-0000-00009D650000}"/>
    <cellStyle name="Normal 2 30 4 3" xfId="26777" xr:uid="{00000000-0005-0000-0000-00009E650000}"/>
    <cellStyle name="Normal 2 30 4 4" xfId="26778" xr:uid="{00000000-0005-0000-0000-00009F650000}"/>
    <cellStyle name="Normal 2 30 4 5" xfId="26779" xr:uid="{00000000-0005-0000-0000-0000A0650000}"/>
    <cellStyle name="Normal 2 30 4 6" xfId="26780" xr:uid="{00000000-0005-0000-0000-0000A1650000}"/>
    <cellStyle name="Normal 2 30 5" xfId="26781" xr:uid="{00000000-0005-0000-0000-0000A2650000}"/>
    <cellStyle name="Normal 2 30 5 2" xfId="26782" xr:uid="{00000000-0005-0000-0000-0000A3650000}"/>
    <cellStyle name="Normal 2 30 5 3" xfId="26783" xr:uid="{00000000-0005-0000-0000-0000A4650000}"/>
    <cellStyle name="Normal 2 30 5 4" xfId="26784" xr:uid="{00000000-0005-0000-0000-0000A5650000}"/>
    <cellStyle name="Normal 2 30 5 5" xfId="26785" xr:uid="{00000000-0005-0000-0000-0000A6650000}"/>
    <cellStyle name="Normal 2 30 5 6" xfId="26786" xr:uid="{00000000-0005-0000-0000-0000A7650000}"/>
    <cellStyle name="Normal 2 30 6" xfId="26787" xr:uid="{00000000-0005-0000-0000-0000A8650000}"/>
    <cellStyle name="Normal 2 30 6 2" xfId="26788" xr:uid="{00000000-0005-0000-0000-0000A9650000}"/>
    <cellStyle name="Normal 2 30 6 3" xfId="26789" xr:uid="{00000000-0005-0000-0000-0000AA650000}"/>
    <cellStyle name="Normal 2 30 6 4" xfId="26790" xr:uid="{00000000-0005-0000-0000-0000AB650000}"/>
    <cellStyle name="Normal 2 30 6 5" xfId="26791" xr:uid="{00000000-0005-0000-0000-0000AC650000}"/>
    <cellStyle name="Normal 2 30 6 6" xfId="26792" xr:uid="{00000000-0005-0000-0000-0000AD650000}"/>
    <cellStyle name="Normal 2 30 7" xfId="26793" xr:uid="{00000000-0005-0000-0000-0000AE650000}"/>
    <cellStyle name="Normal 2 30 7 2" xfId="26794" xr:uid="{00000000-0005-0000-0000-0000AF650000}"/>
    <cellStyle name="Normal 2 30 7 3" xfId="26795" xr:uid="{00000000-0005-0000-0000-0000B0650000}"/>
    <cellStyle name="Normal 2 30 7 4" xfId="26796" xr:uid="{00000000-0005-0000-0000-0000B1650000}"/>
    <cellStyle name="Normal 2 30 7 5" xfId="26797" xr:uid="{00000000-0005-0000-0000-0000B2650000}"/>
    <cellStyle name="Normal 2 30 7 6" xfId="26798" xr:uid="{00000000-0005-0000-0000-0000B3650000}"/>
    <cellStyle name="Normal 2 30 8" xfId="26799" xr:uid="{00000000-0005-0000-0000-0000B4650000}"/>
    <cellStyle name="Normal 2 30 8 2" xfId="26800" xr:uid="{00000000-0005-0000-0000-0000B5650000}"/>
    <cellStyle name="Normal 2 30 8 3" xfId="26801" xr:uid="{00000000-0005-0000-0000-0000B6650000}"/>
    <cellStyle name="Normal 2 30 8 4" xfId="26802" xr:uid="{00000000-0005-0000-0000-0000B7650000}"/>
    <cellStyle name="Normal 2 30 8 5" xfId="26803" xr:uid="{00000000-0005-0000-0000-0000B8650000}"/>
    <cellStyle name="Normal 2 30 8 6" xfId="26804" xr:uid="{00000000-0005-0000-0000-0000B9650000}"/>
    <cellStyle name="Normal 2 30 9" xfId="26805" xr:uid="{00000000-0005-0000-0000-0000BA650000}"/>
    <cellStyle name="Normal 2 31" xfId="26806" xr:uid="{00000000-0005-0000-0000-0000BB650000}"/>
    <cellStyle name="Normal 2 31 10" xfId="26807" xr:uid="{00000000-0005-0000-0000-0000BC650000}"/>
    <cellStyle name="Normal 2 31 11" xfId="26808" xr:uid="{00000000-0005-0000-0000-0000BD650000}"/>
    <cellStyle name="Normal 2 31 12" xfId="26809" xr:uid="{00000000-0005-0000-0000-0000BE650000}"/>
    <cellStyle name="Normal 2 31 13" xfId="26810" xr:uid="{00000000-0005-0000-0000-0000BF650000}"/>
    <cellStyle name="Normal 2 31 14" xfId="26811" xr:uid="{00000000-0005-0000-0000-0000C0650000}"/>
    <cellStyle name="Normal 2 31 2" xfId="26812" xr:uid="{00000000-0005-0000-0000-0000C1650000}"/>
    <cellStyle name="Normal 2 31 2 2" xfId="26813" xr:uid="{00000000-0005-0000-0000-0000C2650000}"/>
    <cellStyle name="Normal 2 31 2 3" xfId="26814" xr:uid="{00000000-0005-0000-0000-0000C3650000}"/>
    <cellStyle name="Normal 2 31 2 4" xfId="26815" xr:uid="{00000000-0005-0000-0000-0000C4650000}"/>
    <cellStyle name="Normal 2 31 2 5" xfId="26816" xr:uid="{00000000-0005-0000-0000-0000C5650000}"/>
    <cellStyle name="Normal 2 31 2 6" xfId="26817" xr:uid="{00000000-0005-0000-0000-0000C6650000}"/>
    <cellStyle name="Normal 2 31 3" xfId="26818" xr:uid="{00000000-0005-0000-0000-0000C7650000}"/>
    <cellStyle name="Normal 2 31 3 2" xfId="26819" xr:uid="{00000000-0005-0000-0000-0000C8650000}"/>
    <cellStyle name="Normal 2 31 3 3" xfId="26820" xr:uid="{00000000-0005-0000-0000-0000C9650000}"/>
    <cellStyle name="Normal 2 31 3 4" xfId="26821" xr:uid="{00000000-0005-0000-0000-0000CA650000}"/>
    <cellStyle name="Normal 2 31 3 5" xfId="26822" xr:uid="{00000000-0005-0000-0000-0000CB650000}"/>
    <cellStyle name="Normal 2 31 3 6" xfId="26823" xr:uid="{00000000-0005-0000-0000-0000CC650000}"/>
    <cellStyle name="Normal 2 31 4" xfId="26824" xr:uid="{00000000-0005-0000-0000-0000CD650000}"/>
    <cellStyle name="Normal 2 31 4 2" xfId="26825" xr:uid="{00000000-0005-0000-0000-0000CE650000}"/>
    <cellStyle name="Normal 2 31 4 3" xfId="26826" xr:uid="{00000000-0005-0000-0000-0000CF650000}"/>
    <cellStyle name="Normal 2 31 4 4" xfId="26827" xr:uid="{00000000-0005-0000-0000-0000D0650000}"/>
    <cellStyle name="Normal 2 31 4 5" xfId="26828" xr:uid="{00000000-0005-0000-0000-0000D1650000}"/>
    <cellStyle name="Normal 2 31 4 6" xfId="26829" xr:uid="{00000000-0005-0000-0000-0000D2650000}"/>
    <cellStyle name="Normal 2 31 5" xfId="26830" xr:uid="{00000000-0005-0000-0000-0000D3650000}"/>
    <cellStyle name="Normal 2 31 5 2" xfId="26831" xr:uid="{00000000-0005-0000-0000-0000D4650000}"/>
    <cellStyle name="Normal 2 31 5 3" xfId="26832" xr:uid="{00000000-0005-0000-0000-0000D5650000}"/>
    <cellStyle name="Normal 2 31 5 4" xfId="26833" xr:uid="{00000000-0005-0000-0000-0000D6650000}"/>
    <cellStyle name="Normal 2 31 5 5" xfId="26834" xr:uid="{00000000-0005-0000-0000-0000D7650000}"/>
    <cellStyle name="Normal 2 31 5 6" xfId="26835" xr:uid="{00000000-0005-0000-0000-0000D8650000}"/>
    <cellStyle name="Normal 2 31 6" xfId="26836" xr:uid="{00000000-0005-0000-0000-0000D9650000}"/>
    <cellStyle name="Normal 2 31 6 2" xfId="26837" xr:uid="{00000000-0005-0000-0000-0000DA650000}"/>
    <cellStyle name="Normal 2 31 6 3" xfId="26838" xr:uid="{00000000-0005-0000-0000-0000DB650000}"/>
    <cellStyle name="Normal 2 31 6 4" xfId="26839" xr:uid="{00000000-0005-0000-0000-0000DC650000}"/>
    <cellStyle name="Normal 2 31 6 5" xfId="26840" xr:uid="{00000000-0005-0000-0000-0000DD650000}"/>
    <cellStyle name="Normal 2 31 6 6" xfId="26841" xr:uid="{00000000-0005-0000-0000-0000DE650000}"/>
    <cellStyle name="Normal 2 31 7" xfId="26842" xr:uid="{00000000-0005-0000-0000-0000DF650000}"/>
    <cellStyle name="Normal 2 31 7 2" xfId="26843" xr:uid="{00000000-0005-0000-0000-0000E0650000}"/>
    <cellStyle name="Normal 2 31 7 3" xfId="26844" xr:uid="{00000000-0005-0000-0000-0000E1650000}"/>
    <cellStyle name="Normal 2 31 7 4" xfId="26845" xr:uid="{00000000-0005-0000-0000-0000E2650000}"/>
    <cellStyle name="Normal 2 31 7 5" xfId="26846" xr:uid="{00000000-0005-0000-0000-0000E3650000}"/>
    <cellStyle name="Normal 2 31 7 6" xfId="26847" xr:uid="{00000000-0005-0000-0000-0000E4650000}"/>
    <cellStyle name="Normal 2 31 8" xfId="26848" xr:uid="{00000000-0005-0000-0000-0000E5650000}"/>
    <cellStyle name="Normal 2 31 8 2" xfId="26849" xr:uid="{00000000-0005-0000-0000-0000E6650000}"/>
    <cellStyle name="Normal 2 31 8 3" xfId="26850" xr:uid="{00000000-0005-0000-0000-0000E7650000}"/>
    <cellStyle name="Normal 2 31 8 4" xfId="26851" xr:uid="{00000000-0005-0000-0000-0000E8650000}"/>
    <cellStyle name="Normal 2 31 8 5" xfId="26852" xr:uid="{00000000-0005-0000-0000-0000E9650000}"/>
    <cellStyle name="Normal 2 31 8 6" xfId="26853" xr:uid="{00000000-0005-0000-0000-0000EA650000}"/>
    <cellStyle name="Normal 2 31 9" xfId="26854" xr:uid="{00000000-0005-0000-0000-0000EB650000}"/>
    <cellStyle name="Normal 2 32" xfId="26855" xr:uid="{00000000-0005-0000-0000-0000EC650000}"/>
    <cellStyle name="Normal 2 32 10" xfId="26856" xr:uid="{00000000-0005-0000-0000-0000ED650000}"/>
    <cellStyle name="Normal 2 32 11" xfId="26857" xr:uid="{00000000-0005-0000-0000-0000EE650000}"/>
    <cellStyle name="Normal 2 32 12" xfId="26858" xr:uid="{00000000-0005-0000-0000-0000EF650000}"/>
    <cellStyle name="Normal 2 32 13" xfId="26859" xr:uid="{00000000-0005-0000-0000-0000F0650000}"/>
    <cellStyle name="Normal 2 32 14" xfId="26860" xr:uid="{00000000-0005-0000-0000-0000F1650000}"/>
    <cellStyle name="Normal 2 32 2" xfId="26861" xr:uid="{00000000-0005-0000-0000-0000F2650000}"/>
    <cellStyle name="Normal 2 32 2 2" xfId="26862" xr:uid="{00000000-0005-0000-0000-0000F3650000}"/>
    <cellStyle name="Normal 2 32 2 3" xfId="26863" xr:uid="{00000000-0005-0000-0000-0000F4650000}"/>
    <cellStyle name="Normal 2 32 2 4" xfId="26864" xr:uid="{00000000-0005-0000-0000-0000F5650000}"/>
    <cellStyle name="Normal 2 32 2 5" xfId="26865" xr:uid="{00000000-0005-0000-0000-0000F6650000}"/>
    <cellStyle name="Normal 2 32 2 6" xfId="26866" xr:uid="{00000000-0005-0000-0000-0000F7650000}"/>
    <cellStyle name="Normal 2 32 3" xfId="26867" xr:uid="{00000000-0005-0000-0000-0000F8650000}"/>
    <cellStyle name="Normal 2 32 3 2" xfId="26868" xr:uid="{00000000-0005-0000-0000-0000F9650000}"/>
    <cellStyle name="Normal 2 32 3 3" xfId="26869" xr:uid="{00000000-0005-0000-0000-0000FA650000}"/>
    <cellStyle name="Normal 2 32 3 4" xfId="26870" xr:uid="{00000000-0005-0000-0000-0000FB650000}"/>
    <cellStyle name="Normal 2 32 3 5" xfId="26871" xr:uid="{00000000-0005-0000-0000-0000FC650000}"/>
    <cellStyle name="Normal 2 32 3 6" xfId="26872" xr:uid="{00000000-0005-0000-0000-0000FD650000}"/>
    <cellStyle name="Normal 2 32 4" xfId="26873" xr:uid="{00000000-0005-0000-0000-0000FE650000}"/>
    <cellStyle name="Normal 2 32 4 2" xfId="26874" xr:uid="{00000000-0005-0000-0000-0000FF650000}"/>
    <cellStyle name="Normal 2 32 4 3" xfId="26875" xr:uid="{00000000-0005-0000-0000-000000660000}"/>
    <cellStyle name="Normal 2 32 4 4" xfId="26876" xr:uid="{00000000-0005-0000-0000-000001660000}"/>
    <cellStyle name="Normal 2 32 4 5" xfId="26877" xr:uid="{00000000-0005-0000-0000-000002660000}"/>
    <cellStyle name="Normal 2 32 4 6" xfId="26878" xr:uid="{00000000-0005-0000-0000-000003660000}"/>
    <cellStyle name="Normal 2 32 5" xfId="26879" xr:uid="{00000000-0005-0000-0000-000004660000}"/>
    <cellStyle name="Normal 2 32 5 2" xfId="26880" xr:uid="{00000000-0005-0000-0000-000005660000}"/>
    <cellStyle name="Normal 2 32 5 3" xfId="26881" xr:uid="{00000000-0005-0000-0000-000006660000}"/>
    <cellStyle name="Normal 2 32 5 4" xfId="26882" xr:uid="{00000000-0005-0000-0000-000007660000}"/>
    <cellStyle name="Normal 2 32 5 5" xfId="26883" xr:uid="{00000000-0005-0000-0000-000008660000}"/>
    <cellStyle name="Normal 2 32 5 6" xfId="26884" xr:uid="{00000000-0005-0000-0000-000009660000}"/>
    <cellStyle name="Normal 2 32 6" xfId="26885" xr:uid="{00000000-0005-0000-0000-00000A660000}"/>
    <cellStyle name="Normal 2 32 6 2" xfId="26886" xr:uid="{00000000-0005-0000-0000-00000B660000}"/>
    <cellStyle name="Normal 2 32 6 3" xfId="26887" xr:uid="{00000000-0005-0000-0000-00000C660000}"/>
    <cellStyle name="Normal 2 32 6 4" xfId="26888" xr:uid="{00000000-0005-0000-0000-00000D660000}"/>
    <cellStyle name="Normal 2 32 6 5" xfId="26889" xr:uid="{00000000-0005-0000-0000-00000E660000}"/>
    <cellStyle name="Normal 2 32 6 6" xfId="26890" xr:uid="{00000000-0005-0000-0000-00000F660000}"/>
    <cellStyle name="Normal 2 32 7" xfId="26891" xr:uid="{00000000-0005-0000-0000-000010660000}"/>
    <cellStyle name="Normal 2 32 7 2" xfId="26892" xr:uid="{00000000-0005-0000-0000-000011660000}"/>
    <cellStyle name="Normal 2 32 7 3" xfId="26893" xr:uid="{00000000-0005-0000-0000-000012660000}"/>
    <cellStyle name="Normal 2 32 7 4" xfId="26894" xr:uid="{00000000-0005-0000-0000-000013660000}"/>
    <cellStyle name="Normal 2 32 7 5" xfId="26895" xr:uid="{00000000-0005-0000-0000-000014660000}"/>
    <cellStyle name="Normal 2 32 7 6" xfId="26896" xr:uid="{00000000-0005-0000-0000-000015660000}"/>
    <cellStyle name="Normal 2 32 8" xfId="26897" xr:uid="{00000000-0005-0000-0000-000016660000}"/>
    <cellStyle name="Normal 2 32 8 2" xfId="26898" xr:uid="{00000000-0005-0000-0000-000017660000}"/>
    <cellStyle name="Normal 2 32 8 3" xfId="26899" xr:uid="{00000000-0005-0000-0000-000018660000}"/>
    <cellStyle name="Normal 2 32 8 4" xfId="26900" xr:uid="{00000000-0005-0000-0000-000019660000}"/>
    <cellStyle name="Normal 2 32 8 5" xfId="26901" xr:uid="{00000000-0005-0000-0000-00001A660000}"/>
    <cellStyle name="Normal 2 32 8 6" xfId="26902" xr:uid="{00000000-0005-0000-0000-00001B660000}"/>
    <cellStyle name="Normal 2 32 9" xfId="26903" xr:uid="{00000000-0005-0000-0000-00001C660000}"/>
    <cellStyle name="Normal 2 33" xfId="26904" xr:uid="{00000000-0005-0000-0000-00001D660000}"/>
    <cellStyle name="Normal 2 33 10" xfId="26905" xr:uid="{00000000-0005-0000-0000-00001E660000}"/>
    <cellStyle name="Normal 2 33 11" xfId="26906" xr:uid="{00000000-0005-0000-0000-00001F660000}"/>
    <cellStyle name="Normal 2 33 12" xfId="26907" xr:uid="{00000000-0005-0000-0000-000020660000}"/>
    <cellStyle name="Normal 2 33 13" xfId="26908" xr:uid="{00000000-0005-0000-0000-000021660000}"/>
    <cellStyle name="Normal 2 33 14" xfId="26909" xr:uid="{00000000-0005-0000-0000-000022660000}"/>
    <cellStyle name="Normal 2 33 2" xfId="26910" xr:uid="{00000000-0005-0000-0000-000023660000}"/>
    <cellStyle name="Normal 2 33 2 2" xfId="26911" xr:uid="{00000000-0005-0000-0000-000024660000}"/>
    <cellStyle name="Normal 2 33 2 3" xfId="26912" xr:uid="{00000000-0005-0000-0000-000025660000}"/>
    <cellStyle name="Normal 2 33 2 4" xfId="26913" xr:uid="{00000000-0005-0000-0000-000026660000}"/>
    <cellStyle name="Normal 2 33 2 5" xfId="26914" xr:uid="{00000000-0005-0000-0000-000027660000}"/>
    <cellStyle name="Normal 2 33 2 6" xfId="26915" xr:uid="{00000000-0005-0000-0000-000028660000}"/>
    <cellStyle name="Normal 2 33 3" xfId="26916" xr:uid="{00000000-0005-0000-0000-000029660000}"/>
    <cellStyle name="Normal 2 33 3 2" xfId="26917" xr:uid="{00000000-0005-0000-0000-00002A660000}"/>
    <cellStyle name="Normal 2 33 3 3" xfId="26918" xr:uid="{00000000-0005-0000-0000-00002B660000}"/>
    <cellStyle name="Normal 2 33 3 4" xfId="26919" xr:uid="{00000000-0005-0000-0000-00002C660000}"/>
    <cellStyle name="Normal 2 33 3 5" xfId="26920" xr:uid="{00000000-0005-0000-0000-00002D660000}"/>
    <cellStyle name="Normal 2 33 3 6" xfId="26921" xr:uid="{00000000-0005-0000-0000-00002E660000}"/>
    <cellStyle name="Normal 2 33 4" xfId="26922" xr:uid="{00000000-0005-0000-0000-00002F660000}"/>
    <cellStyle name="Normal 2 33 4 2" xfId="26923" xr:uid="{00000000-0005-0000-0000-000030660000}"/>
    <cellStyle name="Normal 2 33 4 3" xfId="26924" xr:uid="{00000000-0005-0000-0000-000031660000}"/>
    <cellStyle name="Normal 2 33 4 4" xfId="26925" xr:uid="{00000000-0005-0000-0000-000032660000}"/>
    <cellStyle name="Normal 2 33 4 5" xfId="26926" xr:uid="{00000000-0005-0000-0000-000033660000}"/>
    <cellStyle name="Normal 2 33 4 6" xfId="26927" xr:uid="{00000000-0005-0000-0000-000034660000}"/>
    <cellStyle name="Normal 2 33 5" xfId="26928" xr:uid="{00000000-0005-0000-0000-000035660000}"/>
    <cellStyle name="Normal 2 33 5 2" xfId="26929" xr:uid="{00000000-0005-0000-0000-000036660000}"/>
    <cellStyle name="Normal 2 33 5 3" xfId="26930" xr:uid="{00000000-0005-0000-0000-000037660000}"/>
    <cellStyle name="Normal 2 33 5 4" xfId="26931" xr:uid="{00000000-0005-0000-0000-000038660000}"/>
    <cellStyle name="Normal 2 33 5 5" xfId="26932" xr:uid="{00000000-0005-0000-0000-000039660000}"/>
    <cellStyle name="Normal 2 33 5 6" xfId="26933" xr:uid="{00000000-0005-0000-0000-00003A660000}"/>
    <cellStyle name="Normal 2 33 6" xfId="26934" xr:uid="{00000000-0005-0000-0000-00003B660000}"/>
    <cellStyle name="Normal 2 33 6 2" xfId="26935" xr:uid="{00000000-0005-0000-0000-00003C660000}"/>
    <cellStyle name="Normal 2 33 6 3" xfId="26936" xr:uid="{00000000-0005-0000-0000-00003D660000}"/>
    <cellStyle name="Normal 2 33 6 4" xfId="26937" xr:uid="{00000000-0005-0000-0000-00003E660000}"/>
    <cellStyle name="Normal 2 33 6 5" xfId="26938" xr:uid="{00000000-0005-0000-0000-00003F660000}"/>
    <cellStyle name="Normal 2 33 6 6" xfId="26939" xr:uid="{00000000-0005-0000-0000-000040660000}"/>
    <cellStyle name="Normal 2 33 7" xfId="26940" xr:uid="{00000000-0005-0000-0000-000041660000}"/>
    <cellStyle name="Normal 2 33 7 2" xfId="26941" xr:uid="{00000000-0005-0000-0000-000042660000}"/>
    <cellStyle name="Normal 2 33 7 3" xfId="26942" xr:uid="{00000000-0005-0000-0000-000043660000}"/>
    <cellStyle name="Normal 2 33 7 4" xfId="26943" xr:uid="{00000000-0005-0000-0000-000044660000}"/>
    <cellStyle name="Normal 2 33 7 5" xfId="26944" xr:uid="{00000000-0005-0000-0000-000045660000}"/>
    <cellStyle name="Normal 2 33 7 6" xfId="26945" xr:uid="{00000000-0005-0000-0000-000046660000}"/>
    <cellStyle name="Normal 2 33 8" xfId="26946" xr:uid="{00000000-0005-0000-0000-000047660000}"/>
    <cellStyle name="Normal 2 33 8 2" xfId="26947" xr:uid="{00000000-0005-0000-0000-000048660000}"/>
    <cellStyle name="Normal 2 33 8 3" xfId="26948" xr:uid="{00000000-0005-0000-0000-000049660000}"/>
    <cellStyle name="Normal 2 33 8 4" xfId="26949" xr:uid="{00000000-0005-0000-0000-00004A660000}"/>
    <cellStyle name="Normal 2 33 8 5" xfId="26950" xr:uid="{00000000-0005-0000-0000-00004B660000}"/>
    <cellStyle name="Normal 2 33 8 6" xfId="26951" xr:uid="{00000000-0005-0000-0000-00004C660000}"/>
    <cellStyle name="Normal 2 33 9" xfId="26952" xr:uid="{00000000-0005-0000-0000-00004D660000}"/>
    <cellStyle name="Normal 2 34" xfId="26953" xr:uid="{00000000-0005-0000-0000-00004E660000}"/>
    <cellStyle name="Normal 2 34 10" xfId="26954" xr:uid="{00000000-0005-0000-0000-00004F660000}"/>
    <cellStyle name="Normal 2 34 11" xfId="26955" xr:uid="{00000000-0005-0000-0000-000050660000}"/>
    <cellStyle name="Normal 2 34 12" xfId="26956" xr:uid="{00000000-0005-0000-0000-000051660000}"/>
    <cellStyle name="Normal 2 34 13" xfId="26957" xr:uid="{00000000-0005-0000-0000-000052660000}"/>
    <cellStyle name="Normal 2 34 14" xfId="26958" xr:uid="{00000000-0005-0000-0000-000053660000}"/>
    <cellStyle name="Normal 2 34 2" xfId="26959" xr:uid="{00000000-0005-0000-0000-000054660000}"/>
    <cellStyle name="Normal 2 34 2 2" xfId="26960" xr:uid="{00000000-0005-0000-0000-000055660000}"/>
    <cellStyle name="Normal 2 34 2 3" xfId="26961" xr:uid="{00000000-0005-0000-0000-000056660000}"/>
    <cellStyle name="Normal 2 34 2 4" xfId="26962" xr:uid="{00000000-0005-0000-0000-000057660000}"/>
    <cellStyle name="Normal 2 34 2 5" xfId="26963" xr:uid="{00000000-0005-0000-0000-000058660000}"/>
    <cellStyle name="Normal 2 34 2 6" xfId="26964" xr:uid="{00000000-0005-0000-0000-000059660000}"/>
    <cellStyle name="Normal 2 34 3" xfId="26965" xr:uid="{00000000-0005-0000-0000-00005A660000}"/>
    <cellStyle name="Normal 2 34 3 2" xfId="26966" xr:uid="{00000000-0005-0000-0000-00005B660000}"/>
    <cellStyle name="Normal 2 34 3 3" xfId="26967" xr:uid="{00000000-0005-0000-0000-00005C660000}"/>
    <cellStyle name="Normal 2 34 3 4" xfId="26968" xr:uid="{00000000-0005-0000-0000-00005D660000}"/>
    <cellStyle name="Normal 2 34 3 5" xfId="26969" xr:uid="{00000000-0005-0000-0000-00005E660000}"/>
    <cellStyle name="Normal 2 34 3 6" xfId="26970" xr:uid="{00000000-0005-0000-0000-00005F660000}"/>
    <cellStyle name="Normal 2 34 4" xfId="26971" xr:uid="{00000000-0005-0000-0000-000060660000}"/>
    <cellStyle name="Normal 2 34 4 2" xfId="26972" xr:uid="{00000000-0005-0000-0000-000061660000}"/>
    <cellStyle name="Normal 2 34 4 3" xfId="26973" xr:uid="{00000000-0005-0000-0000-000062660000}"/>
    <cellStyle name="Normal 2 34 4 4" xfId="26974" xr:uid="{00000000-0005-0000-0000-000063660000}"/>
    <cellStyle name="Normal 2 34 4 5" xfId="26975" xr:uid="{00000000-0005-0000-0000-000064660000}"/>
    <cellStyle name="Normal 2 34 4 6" xfId="26976" xr:uid="{00000000-0005-0000-0000-000065660000}"/>
    <cellStyle name="Normal 2 34 5" xfId="26977" xr:uid="{00000000-0005-0000-0000-000066660000}"/>
    <cellStyle name="Normal 2 34 5 2" xfId="26978" xr:uid="{00000000-0005-0000-0000-000067660000}"/>
    <cellStyle name="Normal 2 34 5 3" xfId="26979" xr:uid="{00000000-0005-0000-0000-000068660000}"/>
    <cellStyle name="Normal 2 34 5 4" xfId="26980" xr:uid="{00000000-0005-0000-0000-000069660000}"/>
    <cellStyle name="Normal 2 34 5 5" xfId="26981" xr:uid="{00000000-0005-0000-0000-00006A660000}"/>
    <cellStyle name="Normal 2 34 5 6" xfId="26982" xr:uid="{00000000-0005-0000-0000-00006B660000}"/>
    <cellStyle name="Normal 2 34 6" xfId="26983" xr:uid="{00000000-0005-0000-0000-00006C660000}"/>
    <cellStyle name="Normal 2 34 6 2" xfId="26984" xr:uid="{00000000-0005-0000-0000-00006D660000}"/>
    <cellStyle name="Normal 2 34 6 3" xfId="26985" xr:uid="{00000000-0005-0000-0000-00006E660000}"/>
    <cellStyle name="Normal 2 34 6 4" xfId="26986" xr:uid="{00000000-0005-0000-0000-00006F660000}"/>
    <cellStyle name="Normal 2 34 6 5" xfId="26987" xr:uid="{00000000-0005-0000-0000-000070660000}"/>
    <cellStyle name="Normal 2 34 6 6" xfId="26988" xr:uid="{00000000-0005-0000-0000-000071660000}"/>
    <cellStyle name="Normal 2 34 7" xfId="26989" xr:uid="{00000000-0005-0000-0000-000072660000}"/>
    <cellStyle name="Normal 2 34 7 2" xfId="26990" xr:uid="{00000000-0005-0000-0000-000073660000}"/>
    <cellStyle name="Normal 2 34 7 3" xfId="26991" xr:uid="{00000000-0005-0000-0000-000074660000}"/>
    <cellStyle name="Normal 2 34 7 4" xfId="26992" xr:uid="{00000000-0005-0000-0000-000075660000}"/>
    <cellStyle name="Normal 2 34 7 5" xfId="26993" xr:uid="{00000000-0005-0000-0000-000076660000}"/>
    <cellStyle name="Normal 2 34 7 6" xfId="26994" xr:uid="{00000000-0005-0000-0000-000077660000}"/>
    <cellStyle name="Normal 2 34 8" xfId="26995" xr:uid="{00000000-0005-0000-0000-000078660000}"/>
    <cellStyle name="Normal 2 34 8 2" xfId="26996" xr:uid="{00000000-0005-0000-0000-000079660000}"/>
    <cellStyle name="Normal 2 34 8 3" xfId="26997" xr:uid="{00000000-0005-0000-0000-00007A660000}"/>
    <cellStyle name="Normal 2 34 8 4" xfId="26998" xr:uid="{00000000-0005-0000-0000-00007B660000}"/>
    <cellStyle name="Normal 2 34 8 5" xfId="26999" xr:uid="{00000000-0005-0000-0000-00007C660000}"/>
    <cellStyle name="Normal 2 34 8 6" xfId="27000" xr:uid="{00000000-0005-0000-0000-00007D660000}"/>
    <cellStyle name="Normal 2 34 9" xfId="27001" xr:uid="{00000000-0005-0000-0000-00007E660000}"/>
    <cellStyle name="Normal 2 35" xfId="27002" xr:uid="{00000000-0005-0000-0000-00007F660000}"/>
    <cellStyle name="Normal 2 35 10" xfId="27003" xr:uid="{00000000-0005-0000-0000-000080660000}"/>
    <cellStyle name="Normal 2 35 11" xfId="27004" xr:uid="{00000000-0005-0000-0000-000081660000}"/>
    <cellStyle name="Normal 2 35 12" xfId="27005" xr:uid="{00000000-0005-0000-0000-000082660000}"/>
    <cellStyle name="Normal 2 35 13" xfId="27006" xr:uid="{00000000-0005-0000-0000-000083660000}"/>
    <cellStyle name="Normal 2 35 14" xfId="27007" xr:uid="{00000000-0005-0000-0000-000084660000}"/>
    <cellStyle name="Normal 2 35 2" xfId="27008" xr:uid="{00000000-0005-0000-0000-000085660000}"/>
    <cellStyle name="Normal 2 35 2 2" xfId="27009" xr:uid="{00000000-0005-0000-0000-000086660000}"/>
    <cellStyle name="Normal 2 35 2 3" xfId="27010" xr:uid="{00000000-0005-0000-0000-000087660000}"/>
    <cellStyle name="Normal 2 35 2 4" xfId="27011" xr:uid="{00000000-0005-0000-0000-000088660000}"/>
    <cellStyle name="Normal 2 35 2 5" xfId="27012" xr:uid="{00000000-0005-0000-0000-000089660000}"/>
    <cellStyle name="Normal 2 35 2 6" xfId="27013" xr:uid="{00000000-0005-0000-0000-00008A660000}"/>
    <cellStyle name="Normal 2 35 3" xfId="27014" xr:uid="{00000000-0005-0000-0000-00008B660000}"/>
    <cellStyle name="Normal 2 35 3 2" xfId="27015" xr:uid="{00000000-0005-0000-0000-00008C660000}"/>
    <cellStyle name="Normal 2 35 3 3" xfId="27016" xr:uid="{00000000-0005-0000-0000-00008D660000}"/>
    <cellStyle name="Normal 2 35 3 4" xfId="27017" xr:uid="{00000000-0005-0000-0000-00008E660000}"/>
    <cellStyle name="Normal 2 35 3 5" xfId="27018" xr:uid="{00000000-0005-0000-0000-00008F660000}"/>
    <cellStyle name="Normal 2 35 3 6" xfId="27019" xr:uid="{00000000-0005-0000-0000-000090660000}"/>
    <cellStyle name="Normal 2 35 4" xfId="27020" xr:uid="{00000000-0005-0000-0000-000091660000}"/>
    <cellStyle name="Normal 2 35 4 2" xfId="27021" xr:uid="{00000000-0005-0000-0000-000092660000}"/>
    <cellStyle name="Normal 2 35 4 3" xfId="27022" xr:uid="{00000000-0005-0000-0000-000093660000}"/>
    <cellStyle name="Normal 2 35 4 4" xfId="27023" xr:uid="{00000000-0005-0000-0000-000094660000}"/>
    <cellStyle name="Normal 2 35 4 5" xfId="27024" xr:uid="{00000000-0005-0000-0000-000095660000}"/>
    <cellStyle name="Normal 2 35 4 6" xfId="27025" xr:uid="{00000000-0005-0000-0000-000096660000}"/>
    <cellStyle name="Normal 2 35 5" xfId="27026" xr:uid="{00000000-0005-0000-0000-000097660000}"/>
    <cellStyle name="Normal 2 35 5 2" xfId="27027" xr:uid="{00000000-0005-0000-0000-000098660000}"/>
    <cellStyle name="Normal 2 35 5 3" xfId="27028" xr:uid="{00000000-0005-0000-0000-000099660000}"/>
    <cellStyle name="Normal 2 35 5 4" xfId="27029" xr:uid="{00000000-0005-0000-0000-00009A660000}"/>
    <cellStyle name="Normal 2 35 5 5" xfId="27030" xr:uid="{00000000-0005-0000-0000-00009B660000}"/>
    <cellStyle name="Normal 2 35 5 6" xfId="27031" xr:uid="{00000000-0005-0000-0000-00009C660000}"/>
    <cellStyle name="Normal 2 35 6" xfId="27032" xr:uid="{00000000-0005-0000-0000-00009D660000}"/>
    <cellStyle name="Normal 2 35 6 2" xfId="27033" xr:uid="{00000000-0005-0000-0000-00009E660000}"/>
    <cellStyle name="Normal 2 35 6 3" xfId="27034" xr:uid="{00000000-0005-0000-0000-00009F660000}"/>
    <cellStyle name="Normal 2 35 6 4" xfId="27035" xr:uid="{00000000-0005-0000-0000-0000A0660000}"/>
    <cellStyle name="Normal 2 35 6 5" xfId="27036" xr:uid="{00000000-0005-0000-0000-0000A1660000}"/>
    <cellStyle name="Normal 2 35 6 6" xfId="27037" xr:uid="{00000000-0005-0000-0000-0000A2660000}"/>
    <cellStyle name="Normal 2 35 7" xfId="27038" xr:uid="{00000000-0005-0000-0000-0000A3660000}"/>
    <cellStyle name="Normal 2 35 7 2" xfId="27039" xr:uid="{00000000-0005-0000-0000-0000A4660000}"/>
    <cellStyle name="Normal 2 35 7 3" xfId="27040" xr:uid="{00000000-0005-0000-0000-0000A5660000}"/>
    <cellStyle name="Normal 2 35 7 4" xfId="27041" xr:uid="{00000000-0005-0000-0000-0000A6660000}"/>
    <cellStyle name="Normal 2 35 7 5" xfId="27042" xr:uid="{00000000-0005-0000-0000-0000A7660000}"/>
    <cellStyle name="Normal 2 35 7 6" xfId="27043" xr:uid="{00000000-0005-0000-0000-0000A8660000}"/>
    <cellStyle name="Normal 2 35 8" xfId="27044" xr:uid="{00000000-0005-0000-0000-0000A9660000}"/>
    <cellStyle name="Normal 2 35 8 2" xfId="27045" xr:uid="{00000000-0005-0000-0000-0000AA660000}"/>
    <cellStyle name="Normal 2 35 8 3" xfId="27046" xr:uid="{00000000-0005-0000-0000-0000AB660000}"/>
    <cellStyle name="Normal 2 35 8 4" xfId="27047" xr:uid="{00000000-0005-0000-0000-0000AC660000}"/>
    <cellStyle name="Normal 2 35 8 5" xfId="27048" xr:uid="{00000000-0005-0000-0000-0000AD660000}"/>
    <cellStyle name="Normal 2 35 8 6" xfId="27049" xr:uid="{00000000-0005-0000-0000-0000AE660000}"/>
    <cellStyle name="Normal 2 35 9" xfId="27050" xr:uid="{00000000-0005-0000-0000-0000AF660000}"/>
    <cellStyle name="Normal 2 36" xfId="27051" xr:uid="{00000000-0005-0000-0000-0000B0660000}"/>
    <cellStyle name="Normal 2 36 10" xfId="27052" xr:uid="{00000000-0005-0000-0000-0000B1660000}"/>
    <cellStyle name="Normal 2 36 11" xfId="27053" xr:uid="{00000000-0005-0000-0000-0000B2660000}"/>
    <cellStyle name="Normal 2 36 12" xfId="27054" xr:uid="{00000000-0005-0000-0000-0000B3660000}"/>
    <cellStyle name="Normal 2 36 13" xfId="27055" xr:uid="{00000000-0005-0000-0000-0000B4660000}"/>
    <cellStyle name="Normal 2 36 14" xfId="27056" xr:uid="{00000000-0005-0000-0000-0000B5660000}"/>
    <cellStyle name="Normal 2 36 2" xfId="27057" xr:uid="{00000000-0005-0000-0000-0000B6660000}"/>
    <cellStyle name="Normal 2 36 2 2" xfId="27058" xr:uid="{00000000-0005-0000-0000-0000B7660000}"/>
    <cellStyle name="Normal 2 36 2 3" xfId="27059" xr:uid="{00000000-0005-0000-0000-0000B8660000}"/>
    <cellStyle name="Normal 2 36 2 4" xfId="27060" xr:uid="{00000000-0005-0000-0000-0000B9660000}"/>
    <cellStyle name="Normal 2 36 2 5" xfId="27061" xr:uid="{00000000-0005-0000-0000-0000BA660000}"/>
    <cellStyle name="Normal 2 36 2 6" xfId="27062" xr:uid="{00000000-0005-0000-0000-0000BB660000}"/>
    <cellStyle name="Normal 2 36 3" xfId="27063" xr:uid="{00000000-0005-0000-0000-0000BC660000}"/>
    <cellStyle name="Normal 2 36 3 2" xfId="27064" xr:uid="{00000000-0005-0000-0000-0000BD660000}"/>
    <cellStyle name="Normal 2 36 3 3" xfId="27065" xr:uid="{00000000-0005-0000-0000-0000BE660000}"/>
    <cellStyle name="Normal 2 36 3 4" xfId="27066" xr:uid="{00000000-0005-0000-0000-0000BF660000}"/>
    <cellStyle name="Normal 2 36 3 5" xfId="27067" xr:uid="{00000000-0005-0000-0000-0000C0660000}"/>
    <cellStyle name="Normal 2 36 3 6" xfId="27068" xr:uid="{00000000-0005-0000-0000-0000C1660000}"/>
    <cellStyle name="Normal 2 36 4" xfId="27069" xr:uid="{00000000-0005-0000-0000-0000C2660000}"/>
    <cellStyle name="Normal 2 36 4 2" xfId="27070" xr:uid="{00000000-0005-0000-0000-0000C3660000}"/>
    <cellStyle name="Normal 2 36 4 3" xfId="27071" xr:uid="{00000000-0005-0000-0000-0000C4660000}"/>
    <cellStyle name="Normal 2 36 4 4" xfId="27072" xr:uid="{00000000-0005-0000-0000-0000C5660000}"/>
    <cellStyle name="Normal 2 36 4 5" xfId="27073" xr:uid="{00000000-0005-0000-0000-0000C6660000}"/>
    <cellStyle name="Normal 2 36 4 6" xfId="27074" xr:uid="{00000000-0005-0000-0000-0000C7660000}"/>
    <cellStyle name="Normal 2 36 5" xfId="27075" xr:uid="{00000000-0005-0000-0000-0000C8660000}"/>
    <cellStyle name="Normal 2 36 5 2" xfId="27076" xr:uid="{00000000-0005-0000-0000-0000C9660000}"/>
    <cellStyle name="Normal 2 36 5 3" xfId="27077" xr:uid="{00000000-0005-0000-0000-0000CA660000}"/>
    <cellStyle name="Normal 2 36 5 4" xfId="27078" xr:uid="{00000000-0005-0000-0000-0000CB660000}"/>
    <cellStyle name="Normal 2 36 5 5" xfId="27079" xr:uid="{00000000-0005-0000-0000-0000CC660000}"/>
    <cellStyle name="Normal 2 36 5 6" xfId="27080" xr:uid="{00000000-0005-0000-0000-0000CD660000}"/>
    <cellStyle name="Normal 2 36 6" xfId="27081" xr:uid="{00000000-0005-0000-0000-0000CE660000}"/>
    <cellStyle name="Normal 2 36 6 2" xfId="27082" xr:uid="{00000000-0005-0000-0000-0000CF660000}"/>
    <cellStyle name="Normal 2 36 6 3" xfId="27083" xr:uid="{00000000-0005-0000-0000-0000D0660000}"/>
    <cellStyle name="Normal 2 36 6 4" xfId="27084" xr:uid="{00000000-0005-0000-0000-0000D1660000}"/>
    <cellStyle name="Normal 2 36 6 5" xfId="27085" xr:uid="{00000000-0005-0000-0000-0000D2660000}"/>
    <cellStyle name="Normal 2 36 6 6" xfId="27086" xr:uid="{00000000-0005-0000-0000-0000D3660000}"/>
    <cellStyle name="Normal 2 36 7" xfId="27087" xr:uid="{00000000-0005-0000-0000-0000D4660000}"/>
    <cellStyle name="Normal 2 36 7 2" xfId="27088" xr:uid="{00000000-0005-0000-0000-0000D5660000}"/>
    <cellStyle name="Normal 2 36 7 3" xfId="27089" xr:uid="{00000000-0005-0000-0000-0000D6660000}"/>
    <cellStyle name="Normal 2 36 7 4" xfId="27090" xr:uid="{00000000-0005-0000-0000-0000D7660000}"/>
    <cellStyle name="Normal 2 36 7 5" xfId="27091" xr:uid="{00000000-0005-0000-0000-0000D8660000}"/>
    <cellStyle name="Normal 2 36 7 6" xfId="27092" xr:uid="{00000000-0005-0000-0000-0000D9660000}"/>
    <cellStyle name="Normal 2 36 8" xfId="27093" xr:uid="{00000000-0005-0000-0000-0000DA660000}"/>
    <cellStyle name="Normal 2 36 8 2" xfId="27094" xr:uid="{00000000-0005-0000-0000-0000DB660000}"/>
    <cellStyle name="Normal 2 36 8 3" xfId="27095" xr:uid="{00000000-0005-0000-0000-0000DC660000}"/>
    <cellStyle name="Normal 2 36 8 4" xfId="27096" xr:uid="{00000000-0005-0000-0000-0000DD660000}"/>
    <cellStyle name="Normal 2 36 8 5" xfId="27097" xr:uid="{00000000-0005-0000-0000-0000DE660000}"/>
    <cellStyle name="Normal 2 36 8 6" xfId="27098" xr:uid="{00000000-0005-0000-0000-0000DF660000}"/>
    <cellStyle name="Normal 2 36 9" xfId="27099" xr:uid="{00000000-0005-0000-0000-0000E0660000}"/>
    <cellStyle name="Normal 2 37" xfId="27100" xr:uid="{00000000-0005-0000-0000-0000E1660000}"/>
    <cellStyle name="Normal 2 37 10" xfId="27101" xr:uid="{00000000-0005-0000-0000-0000E2660000}"/>
    <cellStyle name="Normal 2 37 11" xfId="27102" xr:uid="{00000000-0005-0000-0000-0000E3660000}"/>
    <cellStyle name="Normal 2 37 12" xfId="27103" xr:uid="{00000000-0005-0000-0000-0000E4660000}"/>
    <cellStyle name="Normal 2 37 13" xfId="27104" xr:uid="{00000000-0005-0000-0000-0000E5660000}"/>
    <cellStyle name="Normal 2 37 14" xfId="27105" xr:uid="{00000000-0005-0000-0000-0000E6660000}"/>
    <cellStyle name="Normal 2 37 2" xfId="27106" xr:uid="{00000000-0005-0000-0000-0000E7660000}"/>
    <cellStyle name="Normal 2 37 2 2" xfId="27107" xr:uid="{00000000-0005-0000-0000-0000E8660000}"/>
    <cellStyle name="Normal 2 37 2 3" xfId="27108" xr:uid="{00000000-0005-0000-0000-0000E9660000}"/>
    <cellStyle name="Normal 2 37 2 4" xfId="27109" xr:uid="{00000000-0005-0000-0000-0000EA660000}"/>
    <cellStyle name="Normal 2 37 2 5" xfId="27110" xr:uid="{00000000-0005-0000-0000-0000EB660000}"/>
    <cellStyle name="Normal 2 37 2 6" xfId="27111" xr:uid="{00000000-0005-0000-0000-0000EC660000}"/>
    <cellStyle name="Normal 2 37 3" xfId="27112" xr:uid="{00000000-0005-0000-0000-0000ED660000}"/>
    <cellStyle name="Normal 2 37 3 2" xfId="27113" xr:uid="{00000000-0005-0000-0000-0000EE660000}"/>
    <cellStyle name="Normal 2 37 3 3" xfId="27114" xr:uid="{00000000-0005-0000-0000-0000EF660000}"/>
    <cellStyle name="Normal 2 37 3 4" xfId="27115" xr:uid="{00000000-0005-0000-0000-0000F0660000}"/>
    <cellStyle name="Normal 2 37 3 5" xfId="27116" xr:uid="{00000000-0005-0000-0000-0000F1660000}"/>
    <cellStyle name="Normal 2 37 3 6" xfId="27117" xr:uid="{00000000-0005-0000-0000-0000F2660000}"/>
    <cellStyle name="Normal 2 37 4" xfId="27118" xr:uid="{00000000-0005-0000-0000-0000F3660000}"/>
    <cellStyle name="Normal 2 37 4 2" xfId="27119" xr:uid="{00000000-0005-0000-0000-0000F4660000}"/>
    <cellStyle name="Normal 2 37 4 3" xfId="27120" xr:uid="{00000000-0005-0000-0000-0000F5660000}"/>
    <cellStyle name="Normal 2 37 4 4" xfId="27121" xr:uid="{00000000-0005-0000-0000-0000F6660000}"/>
    <cellStyle name="Normal 2 37 4 5" xfId="27122" xr:uid="{00000000-0005-0000-0000-0000F7660000}"/>
    <cellStyle name="Normal 2 37 4 6" xfId="27123" xr:uid="{00000000-0005-0000-0000-0000F8660000}"/>
    <cellStyle name="Normal 2 37 5" xfId="27124" xr:uid="{00000000-0005-0000-0000-0000F9660000}"/>
    <cellStyle name="Normal 2 37 5 2" xfId="27125" xr:uid="{00000000-0005-0000-0000-0000FA660000}"/>
    <cellStyle name="Normal 2 37 5 3" xfId="27126" xr:uid="{00000000-0005-0000-0000-0000FB660000}"/>
    <cellStyle name="Normal 2 37 5 4" xfId="27127" xr:uid="{00000000-0005-0000-0000-0000FC660000}"/>
    <cellStyle name="Normal 2 37 5 5" xfId="27128" xr:uid="{00000000-0005-0000-0000-0000FD660000}"/>
    <cellStyle name="Normal 2 37 5 6" xfId="27129" xr:uid="{00000000-0005-0000-0000-0000FE660000}"/>
    <cellStyle name="Normal 2 37 6" xfId="27130" xr:uid="{00000000-0005-0000-0000-0000FF660000}"/>
    <cellStyle name="Normal 2 37 6 2" xfId="27131" xr:uid="{00000000-0005-0000-0000-000000670000}"/>
    <cellStyle name="Normal 2 37 6 3" xfId="27132" xr:uid="{00000000-0005-0000-0000-000001670000}"/>
    <cellStyle name="Normal 2 37 6 4" xfId="27133" xr:uid="{00000000-0005-0000-0000-000002670000}"/>
    <cellStyle name="Normal 2 37 6 5" xfId="27134" xr:uid="{00000000-0005-0000-0000-000003670000}"/>
    <cellStyle name="Normal 2 37 6 6" xfId="27135" xr:uid="{00000000-0005-0000-0000-000004670000}"/>
    <cellStyle name="Normal 2 37 7" xfId="27136" xr:uid="{00000000-0005-0000-0000-000005670000}"/>
    <cellStyle name="Normal 2 37 7 2" xfId="27137" xr:uid="{00000000-0005-0000-0000-000006670000}"/>
    <cellStyle name="Normal 2 37 7 3" xfId="27138" xr:uid="{00000000-0005-0000-0000-000007670000}"/>
    <cellStyle name="Normal 2 37 7 4" xfId="27139" xr:uid="{00000000-0005-0000-0000-000008670000}"/>
    <cellStyle name="Normal 2 37 7 5" xfId="27140" xr:uid="{00000000-0005-0000-0000-000009670000}"/>
    <cellStyle name="Normal 2 37 7 6" xfId="27141" xr:uid="{00000000-0005-0000-0000-00000A670000}"/>
    <cellStyle name="Normal 2 37 8" xfId="27142" xr:uid="{00000000-0005-0000-0000-00000B670000}"/>
    <cellStyle name="Normal 2 37 8 2" xfId="27143" xr:uid="{00000000-0005-0000-0000-00000C670000}"/>
    <cellStyle name="Normal 2 37 8 3" xfId="27144" xr:uid="{00000000-0005-0000-0000-00000D670000}"/>
    <cellStyle name="Normal 2 37 8 4" xfId="27145" xr:uid="{00000000-0005-0000-0000-00000E670000}"/>
    <cellStyle name="Normal 2 37 8 5" xfId="27146" xr:uid="{00000000-0005-0000-0000-00000F670000}"/>
    <cellStyle name="Normal 2 37 8 6" xfId="27147" xr:uid="{00000000-0005-0000-0000-000010670000}"/>
    <cellStyle name="Normal 2 37 9" xfId="27148" xr:uid="{00000000-0005-0000-0000-000011670000}"/>
    <cellStyle name="Normal 2 38" xfId="27149" xr:uid="{00000000-0005-0000-0000-000012670000}"/>
    <cellStyle name="Normal 2 38 10" xfId="27150" xr:uid="{00000000-0005-0000-0000-000013670000}"/>
    <cellStyle name="Normal 2 38 11" xfId="27151" xr:uid="{00000000-0005-0000-0000-000014670000}"/>
    <cellStyle name="Normal 2 38 12" xfId="27152" xr:uid="{00000000-0005-0000-0000-000015670000}"/>
    <cellStyle name="Normal 2 38 13" xfId="27153" xr:uid="{00000000-0005-0000-0000-000016670000}"/>
    <cellStyle name="Normal 2 38 14" xfId="27154" xr:uid="{00000000-0005-0000-0000-000017670000}"/>
    <cellStyle name="Normal 2 38 2" xfId="27155" xr:uid="{00000000-0005-0000-0000-000018670000}"/>
    <cellStyle name="Normal 2 38 2 2" xfId="27156" xr:uid="{00000000-0005-0000-0000-000019670000}"/>
    <cellStyle name="Normal 2 38 2 3" xfId="27157" xr:uid="{00000000-0005-0000-0000-00001A670000}"/>
    <cellStyle name="Normal 2 38 2 4" xfId="27158" xr:uid="{00000000-0005-0000-0000-00001B670000}"/>
    <cellStyle name="Normal 2 38 2 5" xfId="27159" xr:uid="{00000000-0005-0000-0000-00001C670000}"/>
    <cellStyle name="Normal 2 38 2 6" xfId="27160" xr:uid="{00000000-0005-0000-0000-00001D670000}"/>
    <cellStyle name="Normal 2 38 3" xfId="27161" xr:uid="{00000000-0005-0000-0000-00001E670000}"/>
    <cellStyle name="Normal 2 38 3 2" xfId="27162" xr:uid="{00000000-0005-0000-0000-00001F670000}"/>
    <cellStyle name="Normal 2 38 3 3" xfId="27163" xr:uid="{00000000-0005-0000-0000-000020670000}"/>
    <cellStyle name="Normal 2 38 3 4" xfId="27164" xr:uid="{00000000-0005-0000-0000-000021670000}"/>
    <cellStyle name="Normal 2 38 3 5" xfId="27165" xr:uid="{00000000-0005-0000-0000-000022670000}"/>
    <cellStyle name="Normal 2 38 3 6" xfId="27166" xr:uid="{00000000-0005-0000-0000-000023670000}"/>
    <cellStyle name="Normal 2 38 4" xfId="27167" xr:uid="{00000000-0005-0000-0000-000024670000}"/>
    <cellStyle name="Normal 2 38 4 2" xfId="27168" xr:uid="{00000000-0005-0000-0000-000025670000}"/>
    <cellStyle name="Normal 2 38 4 3" xfId="27169" xr:uid="{00000000-0005-0000-0000-000026670000}"/>
    <cellStyle name="Normal 2 38 4 4" xfId="27170" xr:uid="{00000000-0005-0000-0000-000027670000}"/>
    <cellStyle name="Normal 2 38 4 5" xfId="27171" xr:uid="{00000000-0005-0000-0000-000028670000}"/>
    <cellStyle name="Normal 2 38 4 6" xfId="27172" xr:uid="{00000000-0005-0000-0000-000029670000}"/>
    <cellStyle name="Normal 2 38 5" xfId="27173" xr:uid="{00000000-0005-0000-0000-00002A670000}"/>
    <cellStyle name="Normal 2 38 5 2" xfId="27174" xr:uid="{00000000-0005-0000-0000-00002B670000}"/>
    <cellStyle name="Normal 2 38 5 3" xfId="27175" xr:uid="{00000000-0005-0000-0000-00002C670000}"/>
    <cellStyle name="Normal 2 38 5 4" xfId="27176" xr:uid="{00000000-0005-0000-0000-00002D670000}"/>
    <cellStyle name="Normal 2 38 5 5" xfId="27177" xr:uid="{00000000-0005-0000-0000-00002E670000}"/>
    <cellStyle name="Normal 2 38 5 6" xfId="27178" xr:uid="{00000000-0005-0000-0000-00002F670000}"/>
    <cellStyle name="Normal 2 38 6" xfId="27179" xr:uid="{00000000-0005-0000-0000-000030670000}"/>
    <cellStyle name="Normal 2 38 6 2" xfId="27180" xr:uid="{00000000-0005-0000-0000-000031670000}"/>
    <cellStyle name="Normal 2 38 6 3" xfId="27181" xr:uid="{00000000-0005-0000-0000-000032670000}"/>
    <cellStyle name="Normal 2 38 6 4" xfId="27182" xr:uid="{00000000-0005-0000-0000-000033670000}"/>
    <cellStyle name="Normal 2 38 6 5" xfId="27183" xr:uid="{00000000-0005-0000-0000-000034670000}"/>
    <cellStyle name="Normal 2 38 6 6" xfId="27184" xr:uid="{00000000-0005-0000-0000-000035670000}"/>
    <cellStyle name="Normal 2 38 7" xfId="27185" xr:uid="{00000000-0005-0000-0000-000036670000}"/>
    <cellStyle name="Normal 2 38 7 2" xfId="27186" xr:uid="{00000000-0005-0000-0000-000037670000}"/>
    <cellStyle name="Normal 2 38 7 3" xfId="27187" xr:uid="{00000000-0005-0000-0000-000038670000}"/>
    <cellStyle name="Normal 2 38 7 4" xfId="27188" xr:uid="{00000000-0005-0000-0000-000039670000}"/>
    <cellStyle name="Normal 2 38 7 5" xfId="27189" xr:uid="{00000000-0005-0000-0000-00003A670000}"/>
    <cellStyle name="Normal 2 38 7 6" xfId="27190" xr:uid="{00000000-0005-0000-0000-00003B670000}"/>
    <cellStyle name="Normal 2 38 8" xfId="27191" xr:uid="{00000000-0005-0000-0000-00003C670000}"/>
    <cellStyle name="Normal 2 38 8 2" xfId="27192" xr:uid="{00000000-0005-0000-0000-00003D670000}"/>
    <cellStyle name="Normal 2 38 8 3" xfId="27193" xr:uid="{00000000-0005-0000-0000-00003E670000}"/>
    <cellStyle name="Normal 2 38 8 4" xfId="27194" xr:uid="{00000000-0005-0000-0000-00003F670000}"/>
    <cellStyle name="Normal 2 38 8 5" xfId="27195" xr:uid="{00000000-0005-0000-0000-000040670000}"/>
    <cellStyle name="Normal 2 38 8 6" xfId="27196" xr:uid="{00000000-0005-0000-0000-000041670000}"/>
    <cellStyle name="Normal 2 38 9" xfId="27197" xr:uid="{00000000-0005-0000-0000-000042670000}"/>
    <cellStyle name="Normal 2 39" xfId="27198" xr:uid="{00000000-0005-0000-0000-000043670000}"/>
    <cellStyle name="Normal 2 39 10" xfId="27199" xr:uid="{00000000-0005-0000-0000-000044670000}"/>
    <cellStyle name="Normal 2 39 11" xfId="27200" xr:uid="{00000000-0005-0000-0000-000045670000}"/>
    <cellStyle name="Normal 2 39 12" xfId="27201" xr:uid="{00000000-0005-0000-0000-000046670000}"/>
    <cellStyle name="Normal 2 39 13" xfId="27202" xr:uid="{00000000-0005-0000-0000-000047670000}"/>
    <cellStyle name="Normal 2 39 14" xfId="27203" xr:uid="{00000000-0005-0000-0000-000048670000}"/>
    <cellStyle name="Normal 2 39 2" xfId="27204" xr:uid="{00000000-0005-0000-0000-000049670000}"/>
    <cellStyle name="Normal 2 39 2 2" xfId="27205" xr:uid="{00000000-0005-0000-0000-00004A670000}"/>
    <cellStyle name="Normal 2 39 2 3" xfId="27206" xr:uid="{00000000-0005-0000-0000-00004B670000}"/>
    <cellStyle name="Normal 2 39 2 4" xfId="27207" xr:uid="{00000000-0005-0000-0000-00004C670000}"/>
    <cellStyle name="Normal 2 39 2 5" xfId="27208" xr:uid="{00000000-0005-0000-0000-00004D670000}"/>
    <cellStyle name="Normal 2 39 2 6" xfId="27209" xr:uid="{00000000-0005-0000-0000-00004E670000}"/>
    <cellStyle name="Normal 2 39 3" xfId="27210" xr:uid="{00000000-0005-0000-0000-00004F670000}"/>
    <cellStyle name="Normal 2 39 3 2" xfId="27211" xr:uid="{00000000-0005-0000-0000-000050670000}"/>
    <cellStyle name="Normal 2 39 3 3" xfId="27212" xr:uid="{00000000-0005-0000-0000-000051670000}"/>
    <cellStyle name="Normal 2 39 3 4" xfId="27213" xr:uid="{00000000-0005-0000-0000-000052670000}"/>
    <cellStyle name="Normal 2 39 3 5" xfId="27214" xr:uid="{00000000-0005-0000-0000-000053670000}"/>
    <cellStyle name="Normal 2 39 3 6" xfId="27215" xr:uid="{00000000-0005-0000-0000-000054670000}"/>
    <cellStyle name="Normal 2 39 4" xfId="27216" xr:uid="{00000000-0005-0000-0000-000055670000}"/>
    <cellStyle name="Normal 2 39 4 2" xfId="27217" xr:uid="{00000000-0005-0000-0000-000056670000}"/>
    <cellStyle name="Normal 2 39 4 3" xfId="27218" xr:uid="{00000000-0005-0000-0000-000057670000}"/>
    <cellStyle name="Normal 2 39 4 4" xfId="27219" xr:uid="{00000000-0005-0000-0000-000058670000}"/>
    <cellStyle name="Normal 2 39 4 5" xfId="27220" xr:uid="{00000000-0005-0000-0000-000059670000}"/>
    <cellStyle name="Normal 2 39 4 6" xfId="27221" xr:uid="{00000000-0005-0000-0000-00005A670000}"/>
    <cellStyle name="Normal 2 39 5" xfId="27222" xr:uid="{00000000-0005-0000-0000-00005B670000}"/>
    <cellStyle name="Normal 2 39 5 2" xfId="27223" xr:uid="{00000000-0005-0000-0000-00005C670000}"/>
    <cellStyle name="Normal 2 39 5 3" xfId="27224" xr:uid="{00000000-0005-0000-0000-00005D670000}"/>
    <cellStyle name="Normal 2 39 5 4" xfId="27225" xr:uid="{00000000-0005-0000-0000-00005E670000}"/>
    <cellStyle name="Normal 2 39 5 5" xfId="27226" xr:uid="{00000000-0005-0000-0000-00005F670000}"/>
    <cellStyle name="Normal 2 39 5 6" xfId="27227" xr:uid="{00000000-0005-0000-0000-000060670000}"/>
    <cellStyle name="Normal 2 39 6" xfId="27228" xr:uid="{00000000-0005-0000-0000-000061670000}"/>
    <cellStyle name="Normal 2 39 6 2" xfId="27229" xr:uid="{00000000-0005-0000-0000-000062670000}"/>
    <cellStyle name="Normal 2 39 6 3" xfId="27230" xr:uid="{00000000-0005-0000-0000-000063670000}"/>
    <cellStyle name="Normal 2 39 6 4" xfId="27231" xr:uid="{00000000-0005-0000-0000-000064670000}"/>
    <cellStyle name="Normal 2 39 6 5" xfId="27232" xr:uid="{00000000-0005-0000-0000-000065670000}"/>
    <cellStyle name="Normal 2 39 6 6" xfId="27233" xr:uid="{00000000-0005-0000-0000-000066670000}"/>
    <cellStyle name="Normal 2 39 7" xfId="27234" xr:uid="{00000000-0005-0000-0000-000067670000}"/>
    <cellStyle name="Normal 2 39 7 2" xfId="27235" xr:uid="{00000000-0005-0000-0000-000068670000}"/>
    <cellStyle name="Normal 2 39 7 3" xfId="27236" xr:uid="{00000000-0005-0000-0000-000069670000}"/>
    <cellStyle name="Normal 2 39 7 4" xfId="27237" xr:uid="{00000000-0005-0000-0000-00006A670000}"/>
    <cellStyle name="Normal 2 39 7 5" xfId="27238" xr:uid="{00000000-0005-0000-0000-00006B670000}"/>
    <cellStyle name="Normal 2 39 7 6" xfId="27239" xr:uid="{00000000-0005-0000-0000-00006C670000}"/>
    <cellStyle name="Normal 2 39 8" xfId="27240" xr:uid="{00000000-0005-0000-0000-00006D670000}"/>
    <cellStyle name="Normal 2 39 8 2" xfId="27241" xr:uid="{00000000-0005-0000-0000-00006E670000}"/>
    <cellStyle name="Normal 2 39 8 3" xfId="27242" xr:uid="{00000000-0005-0000-0000-00006F670000}"/>
    <cellStyle name="Normal 2 39 8 4" xfId="27243" xr:uid="{00000000-0005-0000-0000-000070670000}"/>
    <cellStyle name="Normal 2 39 8 5" xfId="27244" xr:uid="{00000000-0005-0000-0000-000071670000}"/>
    <cellStyle name="Normal 2 39 8 6" xfId="27245" xr:uid="{00000000-0005-0000-0000-000072670000}"/>
    <cellStyle name="Normal 2 39 9" xfId="27246" xr:uid="{00000000-0005-0000-0000-000073670000}"/>
    <cellStyle name="Normal 2 4" xfId="1057" xr:uid="{00000000-0005-0000-0000-000074670000}"/>
    <cellStyle name="Normal 2 4 10" xfId="27247" xr:uid="{00000000-0005-0000-0000-000075670000}"/>
    <cellStyle name="Normal 2 4 11" xfId="27248" xr:uid="{00000000-0005-0000-0000-000076670000}"/>
    <cellStyle name="Normal 2 4 12" xfId="27249" xr:uid="{00000000-0005-0000-0000-000077670000}"/>
    <cellStyle name="Normal 2 4 13" xfId="27250" xr:uid="{00000000-0005-0000-0000-000078670000}"/>
    <cellStyle name="Normal 2 4 14" xfId="27251" xr:uid="{00000000-0005-0000-0000-000079670000}"/>
    <cellStyle name="Normal 2 4 15" xfId="43611" xr:uid="{E0E77219-5C26-44F9-8CC9-74CA8F381886}"/>
    <cellStyle name="Normal 2 4 2" xfId="27252" xr:uid="{00000000-0005-0000-0000-00007A670000}"/>
    <cellStyle name="Normal 2 4 2 2" xfId="27253" xr:uid="{00000000-0005-0000-0000-00007B670000}"/>
    <cellStyle name="Normal 2 4 2 3" xfId="27254" xr:uid="{00000000-0005-0000-0000-00007C670000}"/>
    <cellStyle name="Normal 2 4 2 4" xfId="27255" xr:uid="{00000000-0005-0000-0000-00007D670000}"/>
    <cellStyle name="Normal 2 4 2 5" xfId="27256" xr:uid="{00000000-0005-0000-0000-00007E670000}"/>
    <cellStyle name="Normal 2 4 2 6" xfId="27257" xr:uid="{00000000-0005-0000-0000-00007F670000}"/>
    <cellStyle name="Normal 2 4 3" xfId="27258" xr:uid="{00000000-0005-0000-0000-000080670000}"/>
    <cellStyle name="Normal 2 4 3 2" xfId="27259" xr:uid="{00000000-0005-0000-0000-000081670000}"/>
    <cellStyle name="Normal 2 4 3 3" xfId="27260" xr:uid="{00000000-0005-0000-0000-000082670000}"/>
    <cellStyle name="Normal 2 4 3 4" xfId="27261" xr:uid="{00000000-0005-0000-0000-000083670000}"/>
    <cellStyle name="Normal 2 4 3 5" xfId="27262" xr:uid="{00000000-0005-0000-0000-000084670000}"/>
    <cellStyle name="Normal 2 4 3 6" xfId="27263" xr:uid="{00000000-0005-0000-0000-000085670000}"/>
    <cellStyle name="Normal 2 4 4" xfId="27264" xr:uid="{00000000-0005-0000-0000-000086670000}"/>
    <cellStyle name="Normal 2 4 4 2" xfId="27265" xr:uid="{00000000-0005-0000-0000-000087670000}"/>
    <cellStyle name="Normal 2 4 4 3" xfId="27266" xr:uid="{00000000-0005-0000-0000-000088670000}"/>
    <cellStyle name="Normal 2 4 4 4" xfId="27267" xr:uid="{00000000-0005-0000-0000-000089670000}"/>
    <cellStyle name="Normal 2 4 4 5" xfId="27268" xr:uid="{00000000-0005-0000-0000-00008A670000}"/>
    <cellStyle name="Normal 2 4 4 6" xfId="27269" xr:uid="{00000000-0005-0000-0000-00008B670000}"/>
    <cellStyle name="Normal 2 4 5" xfId="27270" xr:uid="{00000000-0005-0000-0000-00008C670000}"/>
    <cellStyle name="Normal 2 4 5 2" xfId="27271" xr:uid="{00000000-0005-0000-0000-00008D670000}"/>
    <cellStyle name="Normal 2 4 5 3" xfId="27272" xr:uid="{00000000-0005-0000-0000-00008E670000}"/>
    <cellStyle name="Normal 2 4 5 4" xfId="27273" xr:uid="{00000000-0005-0000-0000-00008F670000}"/>
    <cellStyle name="Normal 2 4 5 5" xfId="27274" xr:uid="{00000000-0005-0000-0000-000090670000}"/>
    <cellStyle name="Normal 2 4 5 6" xfId="27275" xr:uid="{00000000-0005-0000-0000-000091670000}"/>
    <cellStyle name="Normal 2 4 6" xfId="27276" xr:uid="{00000000-0005-0000-0000-000092670000}"/>
    <cellStyle name="Normal 2 4 6 2" xfId="27277" xr:uid="{00000000-0005-0000-0000-000093670000}"/>
    <cellStyle name="Normal 2 4 6 3" xfId="27278" xr:uid="{00000000-0005-0000-0000-000094670000}"/>
    <cellStyle name="Normal 2 4 6 4" xfId="27279" xr:uid="{00000000-0005-0000-0000-000095670000}"/>
    <cellStyle name="Normal 2 4 6 5" xfId="27280" xr:uid="{00000000-0005-0000-0000-000096670000}"/>
    <cellStyle name="Normal 2 4 6 6" xfId="27281" xr:uid="{00000000-0005-0000-0000-000097670000}"/>
    <cellStyle name="Normal 2 4 7" xfId="27282" xr:uid="{00000000-0005-0000-0000-000098670000}"/>
    <cellStyle name="Normal 2 4 7 2" xfId="27283" xr:uid="{00000000-0005-0000-0000-000099670000}"/>
    <cellStyle name="Normal 2 4 7 3" xfId="27284" xr:uid="{00000000-0005-0000-0000-00009A670000}"/>
    <cellStyle name="Normal 2 4 7 4" xfId="27285" xr:uid="{00000000-0005-0000-0000-00009B670000}"/>
    <cellStyle name="Normal 2 4 7 5" xfId="27286" xr:uid="{00000000-0005-0000-0000-00009C670000}"/>
    <cellStyle name="Normal 2 4 7 6" xfId="27287" xr:uid="{00000000-0005-0000-0000-00009D670000}"/>
    <cellStyle name="Normal 2 4 8" xfId="27288" xr:uid="{00000000-0005-0000-0000-00009E670000}"/>
    <cellStyle name="Normal 2 4 8 2" xfId="27289" xr:uid="{00000000-0005-0000-0000-00009F670000}"/>
    <cellStyle name="Normal 2 4 8 3" xfId="27290" xr:uid="{00000000-0005-0000-0000-0000A0670000}"/>
    <cellStyle name="Normal 2 4 8 4" xfId="27291" xr:uid="{00000000-0005-0000-0000-0000A1670000}"/>
    <cellStyle name="Normal 2 4 8 5" xfId="27292" xr:uid="{00000000-0005-0000-0000-0000A2670000}"/>
    <cellStyle name="Normal 2 4 8 6" xfId="27293" xr:uid="{00000000-0005-0000-0000-0000A3670000}"/>
    <cellStyle name="Normal 2 4 9" xfId="27294" xr:uid="{00000000-0005-0000-0000-0000A4670000}"/>
    <cellStyle name="Normal 2 40" xfId="27295" xr:uid="{00000000-0005-0000-0000-0000A5670000}"/>
    <cellStyle name="Normal 2 40 10" xfId="27296" xr:uid="{00000000-0005-0000-0000-0000A6670000}"/>
    <cellStyle name="Normal 2 40 11" xfId="27297" xr:uid="{00000000-0005-0000-0000-0000A7670000}"/>
    <cellStyle name="Normal 2 40 12" xfId="27298" xr:uid="{00000000-0005-0000-0000-0000A8670000}"/>
    <cellStyle name="Normal 2 40 13" xfId="27299" xr:uid="{00000000-0005-0000-0000-0000A9670000}"/>
    <cellStyle name="Normal 2 40 14" xfId="27300" xr:uid="{00000000-0005-0000-0000-0000AA670000}"/>
    <cellStyle name="Normal 2 40 15" xfId="27301" xr:uid="{00000000-0005-0000-0000-0000AB670000}"/>
    <cellStyle name="Normal 2 40 16" xfId="27302" xr:uid="{00000000-0005-0000-0000-0000AC670000}"/>
    <cellStyle name="Normal 2 40 17" xfId="27303" xr:uid="{00000000-0005-0000-0000-0000AD670000}"/>
    <cellStyle name="Normal 2 40 18" xfId="27304" xr:uid="{00000000-0005-0000-0000-0000AE670000}"/>
    <cellStyle name="Normal 2 40 19" xfId="27305" xr:uid="{00000000-0005-0000-0000-0000AF670000}"/>
    <cellStyle name="Normal 2 40 2" xfId="27306" xr:uid="{00000000-0005-0000-0000-0000B0670000}"/>
    <cellStyle name="Normal 2 40 20" xfId="27307" xr:uid="{00000000-0005-0000-0000-0000B1670000}"/>
    <cellStyle name="Normal 2 40 21" xfId="27308" xr:uid="{00000000-0005-0000-0000-0000B2670000}"/>
    <cellStyle name="Normal 2 40 22" xfId="27309" xr:uid="{00000000-0005-0000-0000-0000B3670000}"/>
    <cellStyle name="Normal 2 40 23" xfId="27310" xr:uid="{00000000-0005-0000-0000-0000B4670000}"/>
    <cellStyle name="Normal 2 40 24" xfId="27311" xr:uid="{00000000-0005-0000-0000-0000B5670000}"/>
    <cellStyle name="Normal 2 40 25" xfId="27312" xr:uid="{00000000-0005-0000-0000-0000B6670000}"/>
    <cellStyle name="Normal 2 40 26" xfId="27313" xr:uid="{00000000-0005-0000-0000-0000B7670000}"/>
    <cellStyle name="Normal 2 40 27" xfId="27314" xr:uid="{00000000-0005-0000-0000-0000B8670000}"/>
    <cellStyle name="Normal 2 40 28" xfId="27315" xr:uid="{00000000-0005-0000-0000-0000B9670000}"/>
    <cellStyle name="Normal 2 40 29" xfId="27316" xr:uid="{00000000-0005-0000-0000-0000BA670000}"/>
    <cellStyle name="Normal 2 40 3" xfId="27317" xr:uid="{00000000-0005-0000-0000-0000BB670000}"/>
    <cellStyle name="Normal 2 40 30" xfId="27318" xr:uid="{00000000-0005-0000-0000-0000BC670000}"/>
    <cellStyle name="Normal 2 40 31" xfId="27319" xr:uid="{00000000-0005-0000-0000-0000BD670000}"/>
    <cellStyle name="Normal 2 40 32" xfId="27320" xr:uid="{00000000-0005-0000-0000-0000BE670000}"/>
    <cellStyle name="Normal 2 40 33" xfId="27321" xr:uid="{00000000-0005-0000-0000-0000BF670000}"/>
    <cellStyle name="Normal 2 40 34" xfId="27322" xr:uid="{00000000-0005-0000-0000-0000C0670000}"/>
    <cellStyle name="Normal 2 40 35" xfId="27323" xr:uid="{00000000-0005-0000-0000-0000C1670000}"/>
    <cellStyle name="Normal 2 40 36" xfId="27324" xr:uid="{00000000-0005-0000-0000-0000C2670000}"/>
    <cellStyle name="Normal 2 40 37" xfId="27325" xr:uid="{00000000-0005-0000-0000-0000C3670000}"/>
    <cellStyle name="Normal 2 40 38" xfId="27326" xr:uid="{00000000-0005-0000-0000-0000C4670000}"/>
    <cellStyle name="Normal 2 40 4" xfId="27327" xr:uid="{00000000-0005-0000-0000-0000C5670000}"/>
    <cellStyle name="Normal 2 40 5" xfId="27328" xr:uid="{00000000-0005-0000-0000-0000C6670000}"/>
    <cellStyle name="Normal 2 40 6" xfId="27329" xr:uid="{00000000-0005-0000-0000-0000C7670000}"/>
    <cellStyle name="Normal 2 40 7" xfId="27330" xr:uid="{00000000-0005-0000-0000-0000C8670000}"/>
    <cellStyle name="Normal 2 40 8" xfId="27331" xr:uid="{00000000-0005-0000-0000-0000C9670000}"/>
    <cellStyle name="Normal 2 40 9" xfId="27332" xr:uid="{00000000-0005-0000-0000-0000CA670000}"/>
    <cellStyle name="Normal 2 41" xfId="27333" xr:uid="{00000000-0005-0000-0000-0000CB670000}"/>
    <cellStyle name="Normal 2 41 10" xfId="27334" xr:uid="{00000000-0005-0000-0000-0000CC670000}"/>
    <cellStyle name="Normal 2 41 11" xfId="27335" xr:uid="{00000000-0005-0000-0000-0000CD670000}"/>
    <cellStyle name="Normal 2 41 12" xfId="27336" xr:uid="{00000000-0005-0000-0000-0000CE670000}"/>
    <cellStyle name="Normal 2 41 13" xfId="27337" xr:uid="{00000000-0005-0000-0000-0000CF670000}"/>
    <cellStyle name="Normal 2 41 14" xfId="27338" xr:uid="{00000000-0005-0000-0000-0000D0670000}"/>
    <cellStyle name="Normal 2 41 15" xfId="27339" xr:uid="{00000000-0005-0000-0000-0000D1670000}"/>
    <cellStyle name="Normal 2 41 16" xfId="27340" xr:uid="{00000000-0005-0000-0000-0000D2670000}"/>
    <cellStyle name="Normal 2 41 17" xfId="27341" xr:uid="{00000000-0005-0000-0000-0000D3670000}"/>
    <cellStyle name="Normal 2 41 18" xfId="27342" xr:uid="{00000000-0005-0000-0000-0000D4670000}"/>
    <cellStyle name="Normal 2 41 19" xfId="27343" xr:uid="{00000000-0005-0000-0000-0000D5670000}"/>
    <cellStyle name="Normal 2 41 2" xfId="27344" xr:uid="{00000000-0005-0000-0000-0000D6670000}"/>
    <cellStyle name="Normal 2 41 20" xfId="27345" xr:uid="{00000000-0005-0000-0000-0000D7670000}"/>
    <cellStyle name="Normal 2 41 21" xfId="27346" xr:uid="{00000000-0005-0000-0000-0000D8670000}"/>
    <cellStyle name="Normal 2 41 22" xfId="27347" xr:uid="{00000000-0005-0000-0000-0000D9670000}"/>
    <cellStyle name="Normal 2 41 23" xfId="27348" xr:uid="{00000000-0005-0000-0000-0000DA670000}"/>
    <cellStyle name="Normal 2 41 24" xfId="27349" xr:uid="{00000000-0005-0000-0000-0000DB670000}"/>
    <cellStyle name="Normal 2 41 25" xfId="27350" xr:uid="{00000000-0005-0000-0000-0000DC670000}"/>
    <cellStyle name="Normal 2 41 26" xfId="27351" xr:uid="{00000000-0005-0000-0000-0000DD670000}"/>
    <cellStyle name="Normal 2 41 27" xfId="27352" xr:uid="{00000000-0005-0000-0000-0000DE670000}"/>
    <cellStyle name="Normal 2 41 28" xfId="27353" xr:uid="{00000000-0005-0000-0000-0000DF670000}"/>
    <cellStyle name="Normal 2 41 29" xfId="27354" xr:uid="{00000000-0005-0000-0000-0000E0670000}"/>
    <cellStyle name="Normal 2 41 3" xfId="27355" xr:uid="{00000000-0005-0000-0000-0000E1670000}"/>
    <cellStyle name="Normal 2 41 30" xfId="27356" xr:uid="{00000000-0005-0000-0000-0000E2670000}"/>
    <cellStyle name="Normal 2 41 31" xfId="27357" xr:uid="{00000000-0005-0000-0000-0000E3670000}"/>
    <cellStyle name="Normal 2 41 32" xfId="27358" xr:uid="{00000000-0005-0000-0000-0000E4670000}"/>
    <cellStyle name="Normal 2 41 33" xfId="27359" xr:uid="{00000000-0005-0000-0000-0000E5670000}"/>
    <cellStyle name="Normal 2 41 34" xfId="27360" xr:uid="{00000000-0005-0000-0000-0000E6670000}"/>
    <cellStyle name="Normal 2 41 35" xfId="27361" xr:uid="{00000000-0005-0000-0000-0000E7670000}"/>
    <cellStyle name="Normal 2 41 36" xfId="27362" xr:uid="{00000000-0005-0000-0000-0000E8670000}"/>
    <cellStyle name="Normal 2 41 37" xfId="27363" xr:uid="{00000000-0005-0000-0000-0000E9670000}"/>
    <cellStyle name="Normal 2 41 38" xfId="27364" xr:uid="{00000000-0005-0000-0000-0000EA670000}"/>
    <cellStyle name="Normal 2 41 4" xfId="27365" xr:uid="{00000000-0005-0000-0000-0000EB670000}"/>
    <cellStyle name="Normal 2 41 5" xfId="27366" xr:uid="{00000000-0005-0000-0000-0000EC670000}"/>
    <cellStyle name="Normal 2 41 6" xfId="27367" xr:uid="{00000000-0005-0000-0000-0000ED670000}"/>
    <cellStyle name="Normal 2 41 7" xfId="27368" xr:uid="{00000000-0005-0000-0000-0000EE670000}"/>
    <cellStyle name="Normal 2 41 8" xfId="27369" xr:uid="{00000000-0005-0000-0000-0000EF670000}"/>
    <cellStyle name="Normal 2 41 9" xfId="27370" xr:uid="{00000000-0005-0000-0000-0000F0670000}"/>
    <cellStyle name="Normal 2 42" xfId="27371" xr:uid="{00000000-0005-0000-0000-0000F1670000}"/>
    <cellStyle name="Normal 2 42 10" xfId="27372" xr:uid="{00000000-0005-0000-0000-0000F2670000}"/>
    <cellStyle name="Normal 2 42 11" xfId="27373" xr:uid="{00000000-0005-0000-0000-0000F3670000}"/>
    <cellStyle name="Normal 2 42 12" xfId="27374" xr:uid="{00000000-0005-0000-0000-0000F4670000}"/>
    <cellStyle name="Normal 2 42 13" xfId="27375" xr:uid="{00000000-0005-0000-0000-0000F5670000}"/>
    <cellStyle name="Normal 2 42 14" xfId="27376" xr:uid="{00000000-0005-0000-0000-0000F6670000}"/>
    <cellStyle name="Normal 2 42 15" xfId="27377" xr:uid="{00000000-0005-0000-0000-0000F7670000}"/>
    <cellStyle name="Normal 2 42 16" xfId="27378" xr:uid="{00000000-0005-0000-0000-0000F8670000}"/>
    <cellStyle name="Normal 2 42 17" xfId="27379" xr:uid="{00000000-0005-0000-0000-0000F9670000}"/>
    <cellStyle name="Normal 2 42 18" xfId="27380" xr:uid="{00000000-0005-0000-0000-0000FA670000}"/>
    <cellStyle name="Normal 2 42 19" xfId="27381" xr:uid="{00000000-0005-0000-0000-0000FB670000}"/>
    <cellStyle name="Normal 2 42 2" xfId="27382" xr:uid="{00000000-0005-0000-0000-0000FC670000}"/>
    <cellStyle name="Normal 2 42 20" xfId="27383" xr:uid="{00000000-0005-0000-0000-0000FD670000}"/>
    <cellStyle name="Normal 2 42 21" xfId="27384" xr:uid="{00000000-0005-0000-0000-0000FE670000}"/>
    <cellStyle name="Normal 2 42 22" xfId="27385" xr:uid="{00000000-0005-0000-0000-0000FF670000}"/>
    <cellStyle name="Normal 2 42 23" xfId="27386" xr:uid="{00000000-0005-0000-0000-000000680000}"/>
    <cellStyle name="Normal 2 42 24" xfId="27387" xr:uid="{00000000-0005-0000-0000-000001680000}"/>
    <cellStyle name="Normal 2 42 25" xfId="27388" xr:uid="{00000000-0005-0000-0000-000002680000}"/>
    <cellStyle name="Normal 2 42 26" xfId="27389" xr:uid="{00000000-0005-0000-0000-000003680000}"/>
    <cellStyle name="Normal 2 42 27" xfId="27390" xr:uid="{00000000-0005-0000-0000-000004680000}"/>
    <cellStyle name="Normal 2 42 28" xfId="27391" xr:uid="{00000000-0005-0000-0000-000005680000}"/>
    <cellStyle name="Normal 2 42 29" xfId="27392" xr:uid="{00000000-0005-0000-0000-000006680000}"/>
    <cellStyle name="Normal 2 42 3" xfId="27393" xr:uid="{00000000-0005-0000-0000-000007680000}"/>
    <cellStyle name="Normal 2 42 30" xfId="27394" xr:uid="{00000000-0005-0000-0000-000008680000}"/>
    <cellStyle name="Normal 2 42 31" xfId="27395" xr:uid="{00000000-0005-0000-0000-000009680000}"/>
    <cellStyle name="Normal 2 42 32" xfId="27396" xr:uid="{00000000-0005-0000-0000-00000A680000}"/>
    <cellStyle name="Normal 2 42 33" xfId="27397" xr:uid="{00000000-0005-0000-0000-00000B680000}"/>
    <cellStyle name="Normal 2 42 34" xfId="27398" xr:uid="{00000000-0005-0000-0000-00000C680000}"/>
    <cellStyle name="Normal 2 42 35" xfId="27399" xr:uid="{00000000-0005-0000-0000-00000D680000}"/>
    <cellStyle name="Normal 2 42 36" xfId="27400" xr:uid="{00000000-0005-0000-0000-00000E680000}"/>
    <cellStyle name="Normal 2 42 37" xfId="27401" xr:uid="{00000000-0005-0000-0000-00000F680000}"/>
    <cellStyle name="Normal 2 42 38" xfId="27402" xr:uid="{00000000-0005-0000-0000-000010680000}"/>
    <cellStyle name="Normal 2 42 4" xfId="27403" xr:uid="{00000000-0005-0000-0000-000011680000}"/>
    <cellStyle name="Normal 2 42 5" xfId="27404" xr:uid="{00000000-0005-0000-0000-000012680000}"/>
    <cellStyle name="Normal 2 42 6" xfId="27405" xr:uid="{00000000-0005-0000-0000-000013680000}"/>
    <cellStyle name="Normal 2 42 7" xfId="27406" xr:uid="{00000000-0005-0000-0000-000014680000}"/>
    <cellStyle name="Normal 2 42 8" xfId="27407" xr:uid="{00000000-0005-0000-0000-000015680000}"/>
    <cellStyle name="Normal 2 42 9" xfId="27408" xr:uid="{00000000-0005-0000-0000-000016680000}"/>
    <cellStyle name="Normal 2 43" xfId="27409" xr:uid="{00000000-0005-0000-0000-000017680000}"/>
    <cellStyle name="Normal 2 43 10" xfId="27410" xr:uid="{00000000-0005-0000-0000-000018680000}"/>
    <cellStyle name="Normal 2 43 11" xfId="27411" xr:uid="{00000000-0005-0000-0000-000019680000}"/>
    <cellStyle name="Normal 2 43 12" xfId="27412" xr:uid="{00000000-0005-0000-0000-00001A680000}"/>
    <cellStyle name="Normal 2 43 13" xfId="27413" xr:uid="{00000000-0005-0000-0000-00001B680000}"/>
    <cellStyle name="Normal 2 43 14" xfId="27414" xr:uid="{00000000-0005-0000-0000-00001C680000}"/>
    <cellStyle name="Normal 2 43 15" xfId="27415" xr:uid="{00000000-0005-0000-0000-00001D680000}"/>
    <cellStyle name="Normal 2 43 16" xfId="27416" xr:uid="{00000000-0005-0000-0000-00001E680000}"/>
    <cellStyle name="Normal 2 43 17" xfId="27417" xr:uid="{00000000-0005-0000-0000-00001F680000}"/>
    <cellStyle name="Normal 2 43 18" xfId="27418" xr:uid="{00000000-0005-0000-0000-000020680000}"/>
    <cellStyle name="Normal 2 43 19" xfId="27419" xr:uid="{00000000-0005-0000-0000-000021680000}"/>
    <cellStyle name="Normal 2 43 2" xfId="27420" xr:uid="{00000000-0005-0000-0000-000022680000}"/>
    <cellStyle name="Normal 2 43 20" xfId="27421" xr:uid="{00000000-0005-0000-0000-000023680000}"/>
    <cellStyle name="Normal 2 43 21" xfId="27422" xr:uid="{00000000-0005-0000-0000-000024680000}"/>
    <cellStyle name="Normal 2 43 22" xfId="27423" xr:uid="{00000000-0005-0000-0000-000025680000}"/>
    <cellStyle name="Normal 2 43 23" xfId="27424" xr:uid="{00000000-0005-0000-0000-000026680000}"/>
    <cellStyle name="Normal 2 43 24" xfId="27425" xr:uid="{00000000-0005-0000-0000-000027680000}"/>
    <cellStyle name="Normal 2 43 25" xfId="27426" xr:uid="{00000000-0005-0000-0000-000028680000}"/>
    <cellStyle name="Normal 2 43 26" xfId="27427" xr:uid="{00000000-0005-0000-0000-000029680000}"/>
    <cellStyle name="Normal 2 43 27" xfId="27428" xr:uid="{00000000-0005-0000-0000-00002A680000}"/>
    <cellStyle name="Normal 2 43 28" xfId="27429" xr:uid="{00000000-0005-0000-0000-00002B680000}"/>
    <cellStyle name="Normal 2 43 29" xfId="27430" xr:uid="{00000000-0005-0000-0000-00002C680000}"/>
    <cellStyle name="Normal 2 43 3" xfId="27431" xr:uid="{00000000-0005-0000-0000-00002D680000}"/>
    <cellStyle name="Normal 2 43 30" xfId="27432" xr:uid="{00000000-0005-0000-0000-00002E680000}"/>
    <cellStyle name="Normal 2 43 31" xfId="27433" xr:uid="{00000000-0005-0000-0000-00002F680000}"/>
    <cellStyle name="Normal 2 43 32" xfId="27434" xr:uid="{00000000-0005-0000-0000-000030680000}"/>
    <cellStyle name="Normal 2 43 33" xfId="27435" xr:uid="{00000000-0005-0000-0000-000031680000}"/>
    <cellStyle name="Normal 2 43 34" xfId="27436" xr:uid="{00000000-0005-0000-0000-000032680000}"/>
    <cellStyle name="Normal 2 43 35" xfId="27437" xr:uid="{00000000-0005-0000-0000-000033680000}"/>
    <cellStyle name="Normal 2 43 36" xfId="27438" xr:uid="{00000000-0005-0000-0000-000034680000}"/>
    <cellStyle name="Normal 2 43 37" xfId="27439" xr:uid="{00000000-0005-0000-0000-000035680000}"/>
    <cellStyle name="Normal 2 43 38" xfId="27440" xr:uid="{00000000-0005-0000-0000-000036680000}"/>
    <cellStyle name="Normal 2 43 4" xfId="27441" xr:uid="{00000000-0005-0000-0000-000037680000}"/>
    <cellStyle name="Normal 2 43 5" xfId="27442" xr:uid="{00000000-0005-0000-0000-000038680000}"/>
    <cellStyle name="Normal 2 43 6" xfId="27443" xr:uid="{00000000-0005-0000-0000-000039680000}"/>
    <cellStyle name="Normal 2 43 7" xfId="27444" xr:uid="{00000000-0005-0000-0000-00003A680000}"/>
    <cellStyle name="Normal 2 43 8" xfId="27445" xr:uid="{00000000-0005-0000-0000-00003B680000}"/>
    <cellStyle name="Normal 2 43 9" xfId="27446" xr:uid="{00000000-0005-0000-0000-00003C680000}"/>
    <cellStyle name="Normal 2 44" xfId="27447" xr:uid="{00000000-0005-0000-0000-00003D680000}"/>
    <cellStyle name="Normal 2 44 10" xfId="27448" xr:uid="{00000000-0005-0000-0000-00003E680000}"/>
    <cellStyle name="Normal 2 44 11" xfId="27449" xr:uid="{00000000-0005-0000-0000-00003F680000}"/>
    <cellStyle name="Normal 2 44 12" xfId="27450" xr:uid="{00000000-0005-0000-0000-000040680000}"/>
    <cellStyle name="Normal 2 44 13" xfId="27451" xr:uid="{00000000-0005-0000-0000-000041680000}"/>
    <cellStyle name="Normal 2 44 14" xfId="27452" xr:uid="{00000000-0005-0000-0000-000042680000}"/>
    <cellStyle name="Normal 2 44 15" xfId="27453" xr:uid="{00000000-0005-0000-0000-000043680000}"/>
    <cellStyle name="Normal 2 44 16" xfId="27454" xr:uid="{00000000-0005-0000-0000-000044680000}"/>
    <cellStyle name="Normal 2 44 17" xfId="27455" xr:uid="{00000000-0005-0000-0000-000045680000}"/>
    <cellStyle name="Normal 2 44 18" xfId="27456" xr:uid="{00000000-0005-0000-0000-000046680000}"/>
    <cellStyle name="Normal 2 44 19" xfId="27457" xr:uid="{00000000-0005-0000-0000-000047680000}"/>
    <cellStyle name="Normal 2 44 2" xfId="27458" xr:uid="{00000000-0005-0000-0000-000048680000}"/>
    <cellStyle name="Normal 2 44 20" xfId="27459" xr:uid="{00000000-0005-0000-0000-000049680000}"/>
    <cellStyle name="Normal 2 44 21" xfId="27460" xr:uid="{00000000-0005-0000-0000-00004A680000}"/>
    <cellStyle name="Normal 2 44 22" xfId="27461" xr:uid="{00000000-0005-0000-0000-00004B680000}"/>
    <cellStyle name="Normal 2 44 23" xfId="27462" xr:uid="{00000000-0005-0000-0000-00004C680000}"/>
    <cellStyle name="Normal 2 44 24" xfId="27463" xr:uid="{00000000-0005-0000-0000-00004D680000}"/>
    <cellStyle name="Normal 2 44 25" xfId="27464" xr:uid="{00000000-0005-0000-0000-00004E680000}"/>
    <cellStyle name="Normal 2 44 26" xfId="27465" xr:uid="{00000000-0005-0000-0000-00004F680000}"/>
    <cellStyle name="Normal 2 44 27" xfId="27466" xr:uid="{00000000-0005-0000-0000-000050680000}"/>
    <cellStyle name="Normal 2 44 28" xfId="27467" xr:uid="{00000000-0005-0000-0000-000051680000}"/>
    <cellStyle name="Normal 2 44 29" xfId="27468" xr:uid="{00000000-0005-0000-0000-000052680000}"/>
    <cellStyle name="Normal 2 44 3" xfId="27469" xr:uid="{00000000-0005-0000-0000-000053680000}"/>
    <cellStyle name="Normal 2 44 30" xfId="27470" xr:uid="{00000000-0005-0000-0000-000054680000}"/>
    <cellStyle name="Normal 2 44 31" xfId="27471" xr:uid="{00000000-0005-0000-0000-000055680000}"/>
    <cellStyle name="Normal 2 44 32" xfId="27472" xr:uid="{00000000-0005-0000-0000-000056680000}"/>
    <cellStyle name="Normal 2 44 33" xfId="27473" xr:uid="{00000000-0005-0000-0000-000057680000}"/>
    <cellStyle name="Normal 2 44 34" xfId="27474" xr:uid="{00000000-0005-0000-0000-000058680000}"/>
    <cellStyle name="Normal 2 44 35" xfId="27475" xr:uid="{00000000-0005-0000-0000-000059680000}"/>
    <cellStyle name="Normal 2 44 36" xfId="27476" xr:uid="{00000000-0005-0000-0000-00005A680000}"/>
    <cellStyle name="Normal 2 44 37" xfId="27477" xr:uid="{00000000-0005-0000-0000-00005B680000}"/>
    <cellStyle name="Normal 2 44 38" xfId="27478" xr:uid="{00000000-0005-0000-0000-00005C680000}"/>
    <cellStyle name="Normal 2 44 4" xfId="27479" xr:uid="{00000000-0005-0000-0000-00005D680000}"/>
    <cellStyle name="Normal 2 44 5" xfId="27480" xr:uid="{00000000-0005-0000-0000-00005E680000}"/>
    <cellStyle name="Normal 2 44 6" xfId="27481" xr:uid="{00000000-0005-0000-0000-00005F680000}"/>
    <cellStyle name="Normal 2 44 7" xfId="27482" xr:uid="{00000000-0005-0000-0000-000060680000}"/>
    <cellStyle name="Normal 2 44 8" xfId="27483" xr:uid="{00000000-0005-0000-0000-000061680000}"/>
    <cellStyle name="Normal 2 44 9" xfId="27484" xr:uid="{00000000-0005-0000-0000-000062680000}"/>
    <cellStyle name="Normal 2 45" xfId="27485" xr:uid="{00000000-0005-0000-0000-000063680000}"/>
    <cellStyle name="Normal 2 45 10" xfId="27486" xr:uid="{00000000-0005-0000-0000-000064680000}"/>
    <cellStyle name="Normal 2 45 11" xfId="27487" xr:uid="{00000000-0005-0000-0000-000065680000}"/>
    <cellStyle name="Normal 2 45 12" xfId="27488" xr:uid="{00000000-0005-0000-0000-000066680000}"/>
    <cellStyle name="Normal 2 45 13" xfId="27489" xr:uid="{00000000-0005-0000-0000-000067680000}"/>
    <cellStyle name="Normal 2 45 14" xfId="27490" xr:uid="{00000000-0005-0000-0000-000068680000}"/>
    <cellStyle name="Normal 2 45 15" xfId="27491" xr:uid="{00000000-0005-0000-0000-000069680000}"/>
    <cellStyle name="Normal 2 45 16" xfId="27492" xr:uid="{00000000-0005-0000-0000-00006A680000}"/>
    <cellStyle name="Normal 2 45 17" xfId="27493" xr:uid="{00000000-0005-0000-0000-00006B680000}"/>
    <cellStyle name="Normal 2 45 18" xfId="27494" xr:uid="{00000000-0005-0000-0000-00006C680000}"/>
    <cellStyle name="Normal 2 45 19" xfId="27495" xr:uid="{00000000-0005-0000-0000-00006D680000}"/>
    <cellStyle name="Normal 2 45 2" xfId="27496" xr:uid="{00000000-0005-0000-0000-00006E680000}"/>
    <cellStyle name="Normal 2 45 20" xfId="27497" xr:uid="{00000000-0005-0000-0000-00006F680000}"/>
    <cellStyle name="Normal 2 45 21" xfId="27498" xr:uid="{00000000-0005-0000-0000-000070680000}"/>
    <cellStyle name="Normal 2 45 22" xfId="27499" xr:uid="{00000000-0005-0000-0000-000071680000}"/>
    <cellStyle name="Normal 2 45 23" xfId="27500" xr:uid="{00000000-0005-0000-0000-000072680000}"/>
    <cellStyle name="Normal 2 45 24" xfId="27501" xr:uid="{00000000-0005-0000-0000-000073680000}"/>
    <cellStyle name="Normal 2 45 25" xfId="27502" xr:uid="{00000000-0005-0000-0000-000074680000}"/>
    <cellStyle name="Normal 2 45 26" xfId="27503" xr:uid="{00000000-0005-0000-0000-000075680000}"/>
    <cellStyle name="Normal 2 45 27" xfId="27504" xr:uid="{00000000-0005-0000-0000-000076680000}"/>
    <cellStyle name="Normal 2 45 28" xfId="27505" xr:uid="{00000000-0005-0000-0000-000077680000}"/>
    <cellStyle name="Normal 2 45 29" xfId="27506" xr:uid="{00000000-0005-0000-0000-000078680000}"/>
    <cellStyle name="Normal 2 45 3" xfId="27507" xr:uid="{00000000-0005-0000-0000-000079680000}"/>
    <cellStyle name="Normal 2 45 30" xfId="27508" xr:uid="{00000000-0005-0000-0000-00007A680000}"/>
    <cellStyle name="Normal 2 45 31" xfId="27509" xr:uid="{00000000-0005-0000-0000-00007B680000}"/>
    <cellStyle name="Normal 2 45 32" xfId="27510" xr:uid="{00000000-0005-0000-0000-00007C680000}"/>
    <cellStyle name="Normal 2 45 33" xfId="27511" xr:uid="{00000000-0005-0000-0000-00007D680000}"/>
    <cellStyle name="Normal 2 45 34" xfId="27512" xr:uid="{00000000-0005-0000-0000-00007E680000}"/>
    <cellStyle name="Normal 2 45 35" xfId="27513" xr:uid="{00000000-0005-0000-0000-00007F680000}"/>
    <cellStyle name="Normal 2 45 36" xfId="27514" xr:uid="{00000000-0005-0000-0000-000080680000}"/>
    <cellStyle name="Normal 2 45 37" xfId="27515" xr:uid="{00000000-0005-0000-0000-000081680000}"/>
    <cellStyle name="Normal 2 45 38" xfId="27516" xr:uid="{00000000-0005-0000-0000-000082680000}"/>
    <cellStyle name="Normal 2 45 4" xfId="27517" xr:uid="{00000000-0005-0000-0000-000083680000}"/>
    <cellStyle name="Normal 2 45 5" xfId="27518" xr:uid="{00000000-0005-0000-0000-000084680000}"/>
    <cellStyle name="Normal 2 45 6" xfId="27519" xr:uid="{00000000-0005-0000-0000-000085680000}"/>
    <cellStyle name="Normal 2 45 7" xfId="27520" xr:uid="{00000000-0005-0000-0000-000086680000}"/>
    <cellStyle name="Normal 2 45 8" xfId="27521" xr:uid="{00000000-0005-0000-0000-000087680000}"/>
    <cellStyle name="Normal 2 45 9" xfId="27522" xr:uid="{00000000-0005-0000-0000-000088680000}"/>
    <cellStyle name="Normal 2 46" xfId="27523" xr:uid="{00000000-0005-0000-0000-000089680000}"/>
    <cellStyle name="Normal 2 46 10" xfId="27524" xr:uid="{00000000-0005-0000-0000-00008A680000}"/>
    <cellStyle name="Normal 2 46 11" xfId="27525" xr:uid="{00000000-0005-0000-0000-00008B680000}"/>
    <cellStyle name="Normal 2 46 12" xfId="27526" xr:uid="{00000000-0005-0000-0000-00008C680000}"/>
    <cellStyle name="Normal 2 46 13" xfId="27527" xr:uid="{00000000-0005-0000-0000-00008D680000}"/>
    <cellStyle name="Normal 2 46 14" xfId="27528" xr:uid="{00000000-0005-0000-0000-00008E680000}"/>
    <cellStyle name="Normal 2 46 15" xfId="27529" xr:uid="{00000000-0005-0000-0000-00008F680000}"/>
    <cellStyle name="Normal 2 46 16" xfId="27530" xr:uid="{00000000-0005-0000-0000-000090680000}"/>
    <cellStyle name="Normal 2 46 17" xfId="27531" xr:uid="{00000000-0005-0000-0000-000091680000}"/>
    <cellStyle name="Normal 2 46 18" xfId="27532" xr:uid="{00000000-0005-0000-0000-000092680000}"/>
    <cellStyle name="Normal 2 46 19" xfId="27533" xr:uid="{00000000-0005-0000-0000-000093680000}"/>
    <cellStyle name="Normal 2 46 2" xfId="27534" xr:uid="{00000000-0005-0000-0000-000094680000}"/>
    <cellStyle name="Normal 2 46 20" xfId="27535" xr:uid="{00000000-0005-0000-0000-000095680000}"/>
    <cellStyle name="Normal 2 46 21" xfId="27536" xr:uid="{00000000-0005-0000-0000-000096680000}"/>
    <cellStyle name="Normal 2 46 22" xfId="27537" xr:uid="{00000000-0005-0000-0000-000097680000}"/>
    <cellStyle name="Normal 2 46 23" xfId="27538" xr:uid="{00000000-0005-0000-0000-000098680000}"/>
    <cellStyle name="Normal 2 46 24" xfId="27539" xr:uid="{00000000-0005-0000-0000-000099680000}"/>
    <cellStyle name="Normal 2 46 25" xfId="27540" xr:uid="{00000000-0005-0000-0000-00009A680000}"/>
    <cellStyle name="Normal 2 46 26" xfId="27541" xr:uid="{00000000-0005-0000-0000-00009B680000}"/>
    <cellStyle name="Normal 2 46 27" xfId="27542" xr:uid="{00000000-0005-0000-0000-00009C680000}"/>
    <cellStyle name="Normal 2 46 28" xfId="27543" xr:uid="{00000000-0005-0000-0000-00009D680000}"/>
    <cellStyle name="Normal 2 46 29" xfId="27544" xr:uid="{00000000-0005-0000-0000-00009E680000}"/>
    <cellStyle name="Normal 2 46 3" xfId="27545" xr:uid="{00000000-0005-0000-0000-00009F680000}"/>
    <cellStyle name="Normal 2 46 30" xfId="27546" xr:uid="{00000000-0005-0000-0000-0000A0680000}"/>
    <cellStyle name="Normal 2 46 31" xfId="27547" xr:uid="{00000000-0005-0000-0000-0000A1680000}"/>
    <cellStyle name="Normal 2 46 32" xfId="27548" xr:uid="{00000000-0005-0000-0000-0000A2680000}"/>
    <cellStyle name="Normal 2 46 33" xfId="27549" xr:uid="{00000000-0005-0000-0000-0000A3680000}"/>
    <cellStyle name="Normal 2 46 34" xfId="27550" xr:uid="{00000000-0005-0000-0000-0000A4680000}"/>
    <cellStyle name="Normal 2 46 35" xfId="27551" xr:uid="{00000000-0005-0000-0000-0000A5680000}"/>
    <cellStyle name="Normal 2 46 36" xfId="27552" xr:uid="{00000000-0005-0000-0000-0000A6680000}"/>
    <cellStyle name="Normal 2 46 37" xfId="27553" xr:uid="{00000000-0005-0000-0000-0000A7680000}"/>
    <cellStyle name="Normal 2 46 38" xfId="27554" xr:uid="{00000000-0005-0000-0000-0000A8680000}"/>
    <cellStyle name="Normal 2 46 4" xfId="27555" xr:uid="{00000000-0005-0000-0000-0000A9680000}"/>
    <cellStyle name="Normal 2 46 5" xfId="27556" xr:uid="{00000000-0005-0000-0000-0000AA680000}"/>
    <cellStyle name="Normal 2 46 6" xfId="27557" xr:uid="{00000000-0005-0000-0000-0000AB680000}"/>
    <cellStyle name="Normal 2 46 7" xfId="27558" xr:uid="{00000000-0005-0000-0000-0000AC680000}"/>
    <cellStyle name="Normal 2 46 8" xfId="27559" xr:uid="{00000000-0005-0000-0000-0000AD680000}"/>
    <cellStyle name="Normal 2 46 9" xfId="27560" xr:uid="{00000000-0005-0000-0000-0000AE680000}"/>
    <cellStyle name="Normal 2 47" xfId="27561" xr:uid="{00000000-0005-0000-0000-0000AF680000}"/>
    <cellStyle name="Normal 2 47 10" xfId="27562" xr:uid="{00000000-0005-0000-0000-0000B0680000}"/>
    <cellStyle name="Normal 2 47 11" xfId="27563" xr:uid="{00000000-0005-0000-0000-0000B1680000}"/>
    <cellStyle name="Normal 2 47 12" xfId="27564" xr:uid="{00000000-0005-0000-0000-0000B2680000}"/>
    <cellStyle name="Normal 2 47 13" xfId="27565" xr:uid="{00000000-0005-0000-0000-0000B3680000}"/>
    <cellStyle name="Normal 2 47 14" xfId="27566" xr:uid="{00000000-0005-0000-0000-0000B4680000}"/>
    <cellStyle name="Normal 2 47 15" xfId="27567" xr:uid="{00000000-0005-0000-0000-0000B5680000}"/>
    <cellStyle name="Normal 2 47 16" xfId="27568" xr:uid="{00000000-0005-0000-0000-0000B6680000}"/>
    <cellStyle name="Normal 2 47 17" xfId="27569" xr:uid="{00000000-0005-0000-0000-0000B7680000}"/>
    <cellStyle name="Normal 2 47 18" xfId="27570" xr:uid="{00000000-0005-0000-0000-0000B8680000}"/>
    <cellStyle name="Normal 2 47 19" xfId="27571" xr:uid="{00000000-0005-0000-0000-0000B9680000}"/>
    <cellStyle name="Normal 2 47 2" xfId="27572" xr:uid="{00000000-0005-0000-0000-0000BA680000}"/>
    <cellStyle name="Normal 2 47 20" xfId="27573" xr:uid="{00000000-0005-0000-0000-0000BB680000}"/>
    <cellStyle name="Normal 2 47 21" xfId="27574" xr:uid="{00000000-0005-0000-0000-0000BC680000}"/>
    <cellStyle name="Normal 2 47 22" xfId="27575" xr:uid="{00000000-0005-0000-0000-0000BD680000}"/>
    <cellStyle name="Normal 2 47 23" xfId="27576" xr:uid="{00000000-0005-0000-0000-0000BE680000}"/>
    <cellStyle name="Normal 2 47 24" xfId="27577" xr:uid="{00000000-0005-0000-0000-0000BF680000}"/>
    <cellStyle name="Normal 2 47 25" xfId="27578" xr:uid="{00000000-0005-0000-0000-0000C0680000}"/>
    <cellStyle name="Normal 2 47 26" xfId="27579" xr:uid="{00000000-0005-0000-0000-0000C1680000}"/>
    <cellStyle name="Normal 2 47 27" xfId="27580" xr:uid="{00000000-0005-0000-0000-0000C2680000}"/>
    <cellStyle name="Normal 2 47 28" xfId="27581" xr:uid="{00000000-0005-0000-0000-0000C3680000}"/>
    <cellStyle name="Normal 2 47 29" xfId="27582" xr:uid="{00000000-0005-0000-0000-0000C4680000}"/>
    <cellStyle name="Normal 2 47 3" xfId="27583" xr:uid="{00000000-0005-0000-0000-0000C5680000}"/>
    <cellStyle name="Normal 2 47 30" xfId="27584" xr:uid="{00000000-0005-0000-0000-0000C6680000}"/>
    <cellStyle name="Normal 2 47 31" xfId="27585" xr:uid="{00000000-0005-0000-0000-0000C7680000}"/>
    <cellStyle name="Normal 2 47 32" xfId="27586" xr:uid="{00000000-0005-0000-0000-0000C8680000}"/>
    <cellStyle name="Normal 2 47 33" xfId="27587" xr:uid="{00000000-0005-0000-0000-0000C9680000}"/>
    <cellStyle name="Normal 2 47 34" xfId="27588" xr:uid="{00000000-0005-0000-0000-0000CA680000}"/>
    <cellStyle name="Normal 2 47 35" xfId="27589" xr:uid="{00000000-0005-0000-0000-0000CB680000}"/>
    <cellStyle name="Normal 2 47 36" xfId="27590" xr:uid="{00000000-0005-0000-0000-0000CC680000}"/>
    <cellStyle name="Normal 2 47 37" xfId="27591" xr:uid="{00000000-0005-0000-0000-0000CD680000}"/>
    <cellStyle name="Normal 2 47 38" xfId="27592" xr:uid="{00000000-0005-0000-0000-0000CE680000}"/>
    <cellStyle name="Normal 2 47 4" xfId="27593" xr:uid="{00000000-0005-0000-0000-0000CF680000}"/>
    <cellStyle name="Normal 2 47 5" xfId="27594" xr:uid="{00000000-0005-0000-0000-0000D0680000}"/>
    <cellStyle name="Normal 2 47 6" xfId="27595" xr:uid="{00000000-0005-0000-0000-0000D1680000}"/>
    <cellStyle name="Normal 2 47 7" xfId="27596" xr:uid="{00000000-0005-0000-0000-0000D2680000}"/>
    <cellStyle name="Normal 2 47 8" xfId="27597" xr:uid="{00000000-0005-0000-0000-0000D3680000}"/>
    <cellStyle name="Normal 2 47 9" xfId="27598" xr:uid="{00000000-0005-0000-0000-0000D4680000}"/>
    <cellStyle name="Normal 2 48" xfId="27599" xr:uid="{00000000-0005-0000-0000-0000D5680000}"/>
    <cellStyle name="Normal 2 48 10" xfId="27600" xr:uid="{00000000-0005-0000-0000-0000D6680000}"/>
    <cellStyle name="Normal 2 48 11" xfId="27601" xr:uid="{00000000-0005-0000-0000-0000D7680000}"/>
    <cellStyle name="Normal 2 48 12" xfId="27602" xr:uid="{00000000-0005-0000-0000-0000D8680000}"/>
    <cellStyle name="Normal 2 48 13" xfId="27603" xr:uid="{00000000-0005-0000-0000-0000D9680000}"/>
    <cellStyle name="Normal 2 48 14" xfId="27604" xr:uid="{00000000-0005-0000-0000-0000DA680000}"/>
    <cellStyle name="Normal 2 48 15" xfId="27605" xr:uid="{00000000-0005-0000-0000-0000DB680000}"/>
    <cellStyle name="Normal 2 48 16" xfId="27606" xr:uid="{00000000-0005-0000-0000-0000DC680000}"/>
    <cellStyle name="Normal 2 48 17" xfId="27607" xr:uid="{00000000-0005-0000-0000-0000DD680000}"/>
    <cellStyle name="Normal 2 48 18" xfId="27608" xr:uid="{00000000-0005-0000-0000-0000DE680000}"/>
    <cellStyle name="Normal 2 48 19" xfId="27609" xr:uid="{00000000-0005-0000-0000-0000DF680000}"/>
    <cellStyle name="Normal 2 48 2" xfId="27610" xr:uid="{00000000-0005-0000-0000-0000E0680000}"/>
    <cellStyle name="Normal 2 48 20" xfId="27611" xr:uid="{00000000-0005-0000-0000-0000E1680000}"/>
    <cellStyle name="Normal 2 48 21" xfId="27612" xr:uid="{00000000-0005-0000-0000-0000E2680000}"/>
    <cellStyle name="Normal 2 48 22" xfId="27613" xr:uid="{00000000-0005-0000-0000-0000E3680000}"/>
    <cellStyle name="Normal 2 48 23" xfId="27614" xr:uid="{00000000-0005-0000-0000-0000E4680000}"/>
    <cellStyle name="Normal 2 48 24" xfId="27615" xr:uid="{00000000-0005-0000-0000-0000E5680000}"/>
    <cellStyle name="Normal 2 48 25" xfId="27616" xr:uid="{00000000-0005-0000-0000-0000E6680000}"/>
    <cellStyle name="Normal 2 48 26" xfId="27617" xr:uid="{00000000-0005-0000-0000-0000E7680000}"/>
    <cellStyle name="Normal 2 48 27" xfId="27618" xr:uid="{00000000-0005-0000-0000-0000E8680000}"/>
    <cellStyle name="Normal 2 48 28" xfId="27619" xr:uid="{00000000-0005-0000-0000-0000E9680000}"/>
    <cellStyle name="Normal 2 48 29" xfId="27620" xr:uid="{00000000-0005-0000-0000-0000EA680000}"/>
    <cellStyle name="Normal 2 48 3" xfId="27621" xr:uid="{00000000-0005-0000-0000-0000EB680000}"/>
    <cellStyle name="Normal 2 48 30" xfId="27622" xr:uid="{00000000-0005-0000-0000-0000EC680000}"/>
    <cellStyle name="Normal 2 48 31" xfId="27623" xr:uid="{00000000-0005-0000-0000-0000ED680000}"/>
    <cellStyle name="Normal 2 48 32" xfId="27624" xr:uid="{00000000-0005-0000-0000-0000EE680000}"/>
    <cellStyle name="Normal 2 48 33" xfId="27625" xr:uid="{00000000-0005-0000-0000-0000EF680000}"/>
    <cellStyle name="Normal 2 48 34" xfId="27626" xr:uid="{00000000-0005-0000-0000-0000F0680000}"/>
    <cellStyle name="Normal 2 48 35" xfId="27627" xr:uid="{00000000-0005-0000-0000-0000F1680000}"/>
    <cellStyle name="Normal 2 48 36" xfId="27628" xr:uid="{00000000-0005-0000-0000-0000F2680000}"/>
    <cellStyle name="Normal 2 48 37" xfId="27629" xr:uid="{00000000-0005-0000-0000-0000F3680000}"/>
    <cellStyle name="Normal 2 48 38" xfId="27630" xr:uid="{00000000-0005-0000-0000-0000F4680000}"/>
    <cellStyle name="Normal 2 48 4" xfId="27631" xr:uid="{00000000-0005-0000-0000-0000F5680000}"/>
    <cellStyle name="Normal 2 48 5" xfId="27632" xr:uid="{00000000-0005-0000-0000-0000F6680000}"/>
    <cellStyle name="Normal 2 48 6" xfId="27633" xr:uid="{00000000-0005-0000-0000-0000F7680000}"/>
    <cellStyle name="Normal 2 48 7" xfId="27634" xr:uid="{00000000-0005-0000-0000-0000F8680000}"/>
    <cellStyle name="Normal 2 48 8" xfId="27635" xr:uid="{00000000-0005-0000-0000-0000F9680000}"/>
    <cellStyle name="Normal 2 48 9" xfId="27636" xr:uid="{00000000-0005-0000-0000-0000FA680000}"/>
    <cellStyle name="Normal 2 49" xfId="27637" xr:uid="{00000000-0005-0000-0000-0000FB680000}"/>
    <cellStyle name="Normal 2 49 10" xfId="27638" xr:uid="{00000000-0005-0000-0000-0000FC680000}"/>
    <cellStyle name="Normal 2 49 11" xfId="27639" xr:uid="{00000000-0005-0000-0000-0000FD680000}"/>
    <cellStyle name="Normal 2 49 12" xfId="27640" xr:uid="{00000000-0005-0000-0000-0000FE680000}"/>
    <cellStyle name="Normal 2 49 13" xfId="27641" xr:uid="{00000000-0005-0000-0000-0000FF680000}"/>
    <cellStyle name="Normal 2 49 14" xfId="27642" xr:uid="{00000000-0005-0000-0000-000000690000}"/>
    <cellStyle name="Normal 2 49 15" xfId="27643" xr:uid="{00000000-0005-0000-0000-000001690000}"/>
    <cellStyle name="Normal 2 49 16" xfId="27644" xr:uid="{00000000-0005-0000-0000-000002690000}"/>
    <cellStyle name="Normal 2 49 17" xfId="27645" xr:uid="{00000000-0005-0000-0000-000003690000}"/>
    <cellStyle name="Normal 2 49 18" xfId="27646" xr:uid="{00000000-0005-0000-0000-000004690000}"/>
    <cellStyle name="Normal 2 49 19" xfId="27647" xr:uid="{00000000-0005-0000-0000-000005690000}"/>
    <cellStyle name="Normal 2 49 2" xfId="27648" xr:uid="{00000000-0005-0000-0000-000006690000}"/>
    <cellStyle name="Normal 2 49 2 2" xfId="27649" xr:uid="{00000000-0005-0000-0000-000007690000}"/>
    <cellStyle name="Normal 2 49 2 3" xfId="27650" xr:uid="{00000000-0005-0000-0000-000008690000}"/>
    <cellStyle name="Normal 2 49 2 4" xfId="27651" xr:uid="{00000000-0005-0000-0000-000009690000}"/>
    <cellStyle name="Normal 2 49 2 5" xfId="27652" xr:uid="{00000000-0005-0000-0000-00000A690000}"/>
    <cellStyle name="Normal 2 49 2 6" xfId="27653" xr:uid="{00000000-0005-0000-0000-00000B690000}"/>
    <cellStyle name="Normal 2 49 20" xfId="27654" xr:uid="{00000000-0005-0000-0000-00000C690000}"/>
    <cellStyle name="Normal 2 49 21" xfId="27655" xr:uid="{00000000-0005-0000-0000-00000D690000}"/>
    <cellStyle name="Normal 2 49 22" xfId="27656" xr:uid="{00000000-0005-0000-0000-00000E690000}"/>
    <cellStyle name="Normal 2 49 23" xfId="27657" xr:uid="{00000000-0005-0000-0000-00000F690000}"/>
    <cellStyle name="Normal 2 49 24" xfId="27658" xr:uid="{00000000-0005-0000-0000-000010690000}"/>
    <cellStyle name="Normal 2 49 25" xfId="27659" xr:uid="{00000000-0005-0000-0000-000011690000}"/>
    <cellStyle name="Normal 2 49 26" xfId="27660" xr:uid="{00000000-0005-0000-0000-000012690000}"/>
    <cellStyle name="Normal 2 49 27" xfId="27661" xr:uid="{00000000-0005-0000-0000-000013690000}"/>
    <cellStyle name="Normal 2 49 28" xfId="27662" xr:uid="{00000000-0005-0000-0000-000014690000}"/>
    <cellStyle name="Normal 2 49 29" xfId="27663" xr:uid="{00000000-0005-0000-0000-000015690000}"/>
    <cellStyle name="Normal 2 49 3" xfId="27664" xr:uid="{00000000-0005-0000-0000-000016690000}"/>
    <cellStyle name="Normal 2 49 3 2" xfId="27665" xr:uid="{00000000-0005-0000-0000-000017690000}"/>
    <cellStyle name="Normal 2 49 3 3" xfId="27666" xr:uid="{00000000-0005-0000-0000-000018690000}"/>
    <cellStyle name="Normal 2 49 3 4" xfId="27667" xr:uid="{00000000-0005-0000-0000-000019690000}"/>
    <cellStyle name="Normal 2 49 3 5" xfId="27668" xr:uid="{00000000-0005-0000-0000-00001A690000}"/>
    <cellStyle name="Normal 2 49 3 6" xfId="27669" xr:uid="{00000000-0005-0000-0000-00001B690000}"/>
    <cellStyle name="Normal 2 49 30" xfId="27670" xr:uid="{00000000-0005-0000-0000-00001C690000}"/>
    <cellStyle name="Normal 2 49 31" xfId="27671" xr:uid="{00000000-0005-0000-0000-00001D690000}"/>
    <cellStyle name="Normal 2 49 32" xfId="27672" xr:uid="{00000000-0005-0000-0000-00001E690000}"/>
    <cellStyle name="Normal 2 49 33" xfId="27673" xr:uid="{00000000-0005-0000-0000-00001F690000}"/>
    <cellStyle name="Normal 2 49 34" xfId="27674" xr:uid="{00000000-0005-0000-0000-000020690000}"/>
    <cellStyle name="Normal 2 49 35" xfId="27675" xr:uid="{00000000-0005-0000-0000-000021690000}"/>
    <cellStyle name="Normal 2 49 4" xfId="27676" xr:uid="{00000000-0005-0000-0000-000022690000}"/>
    <cellStyle name="Normal 2 49 4 2" xfId="27677" xr:uid="{00000000-0005-0000-0000-000023690000}"/>
    <cellStyle name="Normal 2 49 4 3" xfId="27678" xr:uid="{00000000-0005-0000-0000-000024690000}"/>
    <cellStyle name="Normal 2 49 4 4" xfId="27679" xr:uid="{00000000-0005-0000-0000-000025690000}"/>
    <cellStyle name="Normal 2 49 4 5" xfId="27680" xr:uid="{00000000-0005-0000-0000-000026690000}"/>
    <cellStyle name="Normal 2 49 4 6" xfId="27681" xr:uid="{00000000-0005-0000-0000-000027690000}"/>
    <cellStyle name="Normal 2 49 5" xfId="27682" xr:uid="{00000000-0005-0000-0000-000028690000}"/>
    <cellStyle name="Normal 2 49 5 2" xfId="27683" xr:uid="{00000000-0005-0000-0000-000029690000}"/>
    <cellStyle name="Normal 2 49 5 3" xfId="27684" xr:uid="{00000000-0005-0000-0000-00002A690000}"/>
    <cellStyle name="Normal 2 49 5 4" xfId="27685" xr:uid="{00000000-0005-0000-0000-00002B690000}"/>
    <cellStyle name="Normal 2 49 5 5" xfId="27686" xr:uid="{00000000-0005-0000-0000-00002C690000}"/>
    <cellStyle name="Normal 2 49 5 6" xfId="27687" xr:uid="{00000000-0005-0000-0000-00002D690000}"/>
    <cellStyle name="Normal 2 49 6" xfId="27688" xr:uid="{00000000-0005-0000-0000-00002E690000}"/>
    <cellStyle name="Normal 2 49 6 2" xfId="27689" xr:uid="{00000000-0005-0000-0000-00002F690000}"/>
    <cellStyle name="Normal 2 49 6 3" xfId="27690" xr:uid="{00000000-0005-0000-0000-000030690000}"/>
    <cellStyle name="Normal 2 49 6 4" xfId="27691" xr:uid="{00000000-0005-0000-0000-000031690000}"/>
    <cellStyle name="Normal 2 49 6 5" xfId="27692" xr:uid="{00000000-0005-0000-0000-000032690000}"/>
    <cellStyle name="Normal 2 49 6 6" xfId="27693" xr:uid="{00000000-0005-0000-0000-000033690000}"/>
    <cellStyle name="Normal 2 49 7" xfId="27694" xr:uid="{00000000-0005-0000-0000-000034690000}"/>
    <cellStyle name="Normal 2 49 8" xfId="27695" xr:uid="{00000000-0005-0000-0000-000035690000}"/>
    <cellStyle name="Normal 2 49 9" xfId="27696" xr:uid="{00000000-0005-0000-0000-000036690000}"/>
    <cellStyle name="Normal 2 5" xfId="1058" xr:uid="{00000000-0005-0000-0000-000037690000}"/>
    <cellStyle name="Normal 2 5 10" xfId="27697" xr:uid="{00000000-0005-0000-0000-000038690000}"/>
    <cellStyle name="Normal 2 5 11" xfId="27698" xr:uid="{00000000-0005-0000-0000-000039690000}"/>
    <cellStyle name="Normal 2 5 12" xfId="27699" xr:uid="{00000000-0005-0000-0000-00003A690000}"/>
    <cellStyle name="Normal 2 5 13" xfId="27700" xr:uid="{00000000-0005-0000-0000-00003B690000}"/>
    <cellStyle name="Normal 2 5 14" xfId="27701" xr:uid="{00000000-0005-0000-0000-00003C690000}"/>
    <cellStyle name="Normal 2 5 2" xfId="27702" xr:uid="{00000000-0005-0000-0000-00003D690000}"/>
    <cellStyle name="Normal 2 5 2 2" xfId="27703" xr:uid="{00000000-0005-0000-0000-00003E690000}"/>
    <cellStyle name="Normal 2 5 2 3" xfId="27704" xr:uid="{00000000-0005-0000-0000-00003F690000}"/>
    <cellStyle name="Normal 2 5 2 4" xfId="27705" xr:uid="{00000000-0005-0000-0000-000040690000}"/>
    <cellStyle name="Normal 2 5 2 5" xfId="27706" xr:uid="{00000000-0005-0000-0000-000041690000}"/>
    <cellStyle name="Normal 2 5 2 6" xfId="27707" xr:uid="{00000000-0005-0000-0000-000042690000}"/>
    <cellStyle name="Normal 2 5 3" xfId="27708" xr:uid="{00000000-0005-0000-0000-000043690000}"/>
    <cellStyle name="Normal 2 5 3 2" xfId="27709" xr:uid="{00000000-0005-0000-0000-000044690000}"/>
    <cellStyle name="Normal 2 5 3 3" xfId="27710" xr:uid="{00000000-0005-0000-0000-000045690000}"/>
    <cellStyle name="Normal 2 5 3 4" xfId="27711" xr:uid="{00000000-0005-0000-0000-000046690000}"/>
    <cellStyle name="Normal 2 5 3 5" xfId="27712" xr:uid="{00000000-0005-0000-0000-000047690000}"/>
    <cellStyle name="Normal 2 5 3 6" xfId="27713" xr:uid="{00000000-0005-0000-0000-000048690000}"/>
    <cellStyle name="Normal 2 5 4" xfId="27714" xr:uid="{00000000-0005-0000-0000-000049690000}"/>
    <cellStyle name="Normal 2 5 4 2" xfId="27715" xr:uid="{00000000-0005-0000-0000-00004A690000}"/>
    <cellStyle name="Normal 2 5 4 3" xfId="27716" xr:uid="{00000000-0005-0000-0000-00004B690000}"/>
    <cellStyle name="Normal 2 5 4 4" xfId="27717" xr:uid="{00000000-0005-0000-0000-00004C690000}"/>
    <cellStyle name="Normal 2 5 4 5" xfId="27718" xr:uid="{00000000-0005-0000-0000-00004D690000}"/>
    <cellStyle name="Normal 2 5 4 6" xfId="27719" xr:uid="{00000000-0005-0000-0000-00004E690000}"/>
    <cellStyle name="Normal 2 5 5" xfId="27720" xr:uid="{00000000-0005-0000-0000-00004F690000}"/>
    <cellStyle name="Normal 2 5 5 2" xfId="27721" xr:uid="{00000000-0005-0000-0000-000050690000}"/>
    <cellStyle name="Normal 2 5 5 3" xfId="27722" xr:uid="{00000000-0005-0000-0000-000051690000}"/>
    <cellStyle name="Normal 2 5 5 4" xfId="27723" xr:uid="{00000000-0005-0000-0000-000052690000}"/>
    <cellStyle name="Normal 2 5 5 5" xfId="27724" xr:uid="{00000000-0005-0000-0000-000053690000}"/>
    <cellStyle name="Normal 2 5 5 6" xfId="27725" xr:uid="{00000000-0005-0000-0000-000054690000}"/>
    <cellStyle name="Normal 2 5 6" xfId="27726" xr:uid="{00000000-0005-0000-0000-000055690000}"/>
    <cellStyle name="Normal 2 5 6 2" xfId="27727" xr:uid="{00000000-0005-0000-0000-000056690000}"/>
    <cellStyle name="Normal 2 5 6 3" xfId="27728" xr:uid="{00000000-0005-0000-0000-000057690000}"/>
    <cellStyle name="Normal 2 5 6 4" xfId="27729" xr:uid="{00000000-0005-0000-0000-000058690000}"/>
    <cellStyle name="Normal 2 5 6 5" xfId="27730" xr:uid="{00000000-0005-0000-0000-000059690000}"/>
    <cellStyle name="Normal 2 5 6 6" xfId="27731" xr:uid="{00000000-0005-0000-0000-00005A690000}"/>
    <cellStyle name="Normal 2 5 7" xfId="27732" xr:uid="{00000000-0005-0000-0000-00005B690000}"/>
    <cellStyle name="Normal 2 5 7 2" xfId="27733" xr:uid="{00000000-0005-0000-0000-00005C690000}"/>
    <cellStyle name="Normal 2 5 7 3" xfId="27734" xr:uid="{00000000-0005-0000-0000-00005D690000}"/>
    <cellStyle name="Normal 2 5 7 4" xfId="27735" xr:uid="{00000000-0005-0000-0000-00005E690000}"/>
    <cellStyle name="Normal 2 5 7 5" xfId="27736" xr:uid="{00000000-0005-0000-0000-00005F690000}"/>
    <cellStyle name="Normal 2 5 7 6" xfId="27737" xr:uid="{00000000-0005-0000-0000-000060690000}"/>
    <cellStyle name="Normal 2 5 8" xfId="27738" xr:uid="{00000000-0005-0000-0000-000061690000}"/>
    <cellStyle name="Normal 2 5 8 2" xfId="27739" xr:uid="{00000000-0005-0000-0000-000062690000}"/>
    <cellStyle name="Normal 2 5 8 3" xfId="27740" xr:uid="{00000000-0005-0000-0000-000063690000}"/>
    <cellStyle name="Normal 2 5 8 4" xfId="27741" xr:uid="{00000000-0005-0000-0000-000064690000}"/>
    <cellStyle name="Normal 2 5 8 5" xfId="27742" xr:uid="{00000000-0005-0000-0000-000065690000}"/>
    <cellStyle name="Normal 2 5 8 6" xfId="27743" xr:uid="{00000000-0005-0000-0000-000066690000}"/>
    <cellStyle name="Normal 2 5 9" xfId="27744" xr:uid="{00000000-0005-0000-0000-000067690000}"/>
    <cellStyle name="Normal 2 50" xfId="27745" xr:uid="{00000000-0005-0000-0000-000068690000}"/>
    <cellStyle name="Normal 2 50 2" xfId="27746" xr:uid="{00000000-0005-0000-0000-000069690000}"/>
    <cellStyle name="Normal 2 50 3" xfId="27747" xr:uid="{00000000-0005-0000-0000-00006A690000}"/>
    <cellStyle name="Normal 2 50 4" xfId="27748" xr:uid="{00000000-0005-0000-0000-00006B690000}"/>
    <cellStyle name="Normal 2 50 5" xfId="27749" xr:uid="{00000000-0005-0000-0000-00006C690000}"/>
    <cellStyle name="Normal 2 50 6" xfId="27750" xr:uid="{00000000-0005-0000-0000-00006D690000}"/>
    <cellStyle name="Normal 2 50 7" xfId="27751" xr:uid="{00000000-0005-0000-0000-00006E690000}"/>
    <cellStyle name="Normal 2 51" xfId="27752" xr:uid="{00000000-0005-0000-0000-00006F690000}"/>
    <cellStyle name="Normal 2 51 2" xfId="27753" xr:uid="{00000000-0005-0000-0000-000070690000}"/>
    <cellStyle name="Normal 2 51 3" xfId="27754" xr:uid="{00000000-0005-0000-0000-000071690000}"/>
    <cellStyle name="Normal 2 51 4" xfId="27755" xr:uid="{00000000-0005-0000-0000-000072690000}"/>
    <cellStyle name="Normal 2 51 5" xfId="27756" xr:uid="{00000000-0005-0000-0000-000073690000}"/>
    <cellStyle name="Normal 2 51 6" xfId="27757" xr:uid="{00000000-0005-0000-0000-000074690000}"/>
    <cellStyle name="Normal 2 51 7" xfId="27758" xr:uid="{00000000-0005-0000-0000-000075690000}"/>
    <cellStyle name="Normal 2 52" xfId="27759" xr:uid="{00000000-0005-0000-0000-000076690000}"/>
    <cellStyle name="Normal 2 52 2" xfId="27760" xr:uid="{00000000-0005-0000-0000-000077690000}"/>
    <cellStyle name="Normal 2 52 3" xfId="27761" xr:uid="{00000000-0005-0000-0000-000078690000}"/>
    <cellStyle name="Normal 2 52 4" xfId="27762" xr:uid="{00000000-0005-0000-0000-000079690000}"/>
    <cellStyle name="Normal 2 52 5" xfId="27763" xr:uid="{00000000-0005-0000-0000-00007A690000}"/>
    <cellStyle name="Normal 2 52 6" xfId="27764" xr:uid="{00000000-0005-0000-0000-00007B690000}"/>
    <cellStyle name="Normal 2 52 7" xfId="27765" xr:uid="{00000000-0005-0000-0000-00007C690000}"/>
    <cellStyle name="Normal 2 53" xfId="27766" xr:uid="{00000000-0005-0000-0000-00007D690000}"/>
    <cellStyle name="Normal 2 53 2" xfId="27767" xr:uid="{00000000-0005-0000-0000-00007E690000}"/>
    <cellStyle name="Normal 2 53 3" xfId="27768" xr:uid="{00000000-0005-0000-0000-00007F690000}"/>
    <cellStyle name="Normal 2 53 4" xfId="27769" xr:uid="{00000000-0005-0000-0000-000080690000}"/>
    <cellStyle name="Normal 2 53 5" xfId="27770" xr:uid="{00000000-0005-0000-0000-000081690000}"/>
    <cellStyle name="Normal 2 53 6" xfId="27771" xr:uid="{00000000-0005-0000-0000-000082690000}"/>
    <cellStyle name="Normal 2 53 7" xfId="27772" xr:uid="{00000000-0005-0000-0000-000083690000}"/>
    <cellStyle name="Normal 2 54" xfId="27773" xr:uid="{00000000-0005-0000-0000-000084690000}"/>
    <cellStyle name="Normal 2 54 2" xfId="27774" xr:uid="{00000000-0005-0000-0000-000085690000}"/>
    <cellStyle name="Normal 2 54 3" xfId="27775" xr:uid="{00000000-0005-0000-0000-000086690000}"/>
    <cellStyle name="Normal 2 54 4" xfId="27776" xr:uid="{00000000-0005-0000-0000-000087690000}"/>
    <cellStyle name="Normal 2 54 5" xfId="27777" xr:uid="{00000000-0005-0000-0000-000088690000}"/>
    <cellStyle name="Normal 2 54 6" xfId="27778" xr:uid="{00000000-0005-0000-0000-000089690000}"/>
    <cellStyle name="Normal 2 54 7" xfId="27779" xr:uid="{00000000-0005-0000-0000-00008A690000}"/>
    <cellStyle name="Normal 2 55" xfId="27780" xr:uid="{00000000-0005-0000-0000-00008B690000}"/>
    <cellStyle name="Normal 2 55 2" xfId="27781" xr:uid="{00000000-0005-0000-0000-00008C690000}"/>
    <cellStyle name="Normal 2 55 3" xfId="27782" xr:uid="{00000000-0005-0000-0000-00008D690000}"/>
    <cellStyle name="Normal 2 55 4" xfId="27783" xr:uid="{00000000-0005-0000-0000-00008E690000}"/>
    <cellStyle name="Normal 2 55 5" xfId="27784" xr:uid="{00000000-0005-0000-0000-00008F690000}"/>
    <cellStyle name="Normal 2 55 6" xfId="27785" xr:uid="{00000000-0005-0000-0000-000090690000}"/>
    <cellStyle name="Normal 2 55 7" xfId="27786" xr:uid="{00000000-0005-0000-0000-000091690000}"/>
    <cellStyle name="Normal 2 56" xfId="27787" xr:uid="{00000000-0005-0000-0000-000092690000}"/>
    <cellStyle name="Normal 2 56 2" xfId="27788" xr:uid="{00000000-0005-0000-0000-000093690000}"/>
    <cellStyle name="Normal 2 56 3" xfId="27789" xr:uid="{00000000-0005-0000-0000-000094690000}"/>
    <cellStyle name="Normal 2 56 4" xfId="27790" xr:uid="{00000000-0005-0000-0000-000095690000}"/>
    <cellStyle name="Normal 2 56 5" xfId="27791" xr:uid="{00000000-0005-0000-0000-000096690000}"/>
    <cellStyle name="Normal 2 56 6" xfId="27792" xr:uid="{00000000-0005-0000-0000-000097690000}"/>
    <cellStyle name="Normal 2 56 7" xfId="27793" xr:uid="{00000000-0005-0000-0000-000098690000}"/>
    <cellStyle name="Normal 2 57" xfId="27794" xr:uid="{00000000-0005-0000-0000-000099690000}"/>
    <cellStyle name="Normal 2 57 2" xfId="27795" xr:uid="{00000000-0005-0000-0000-00009A690000}"/>
    <cellStyle name="Normal 2 57 3" xfId="27796" xr:uid="{00000000-0005-0000-0000-00009B690000}"/>
    <cellStyle name="Normal 2 57 4" xfId="27797" xr:uid="{00000000-0005-0000-0000-00009C690000}"/>
    <cellStyle name="Normal 2 57 5" xfId="27798" xr:uid="{00000000-0005-0000-0000-00009D690000}"/>
    <cellStyle name="Normal 2 57 6" xfId="27799" xr:uid="{00000000-0005-0000-0000-00009E690000}"/>
    <cellStyle name="Normal 2 57 7" xfId="27800" xr:uid="{00000000-0005-0000-0000-00009F690000}"/>
    <cellStyle name="Normal 2 58" xfId="27801" xr:uid="{00000000-0005-0000-0000-0000A0690000}"/>
    <cellStyle name="Normal 2 58 2" xfId="27802" xr:uid="{00000000-0005-0000-0000-0000A1690000}"/>
    <cellStyle name="Normal 2 58 3" xfId="27803" xr:uid="{00000000-0005-0000-0000-0000A2690000}"/>
    <cellStyle name="Normal 2 58 4" xfId="27804" xr:uid="{00000000-0005-0000-0000-0000A3690000}"/>
    <cellStyle name="Normal 2 58 5" xfId="27805" xr:uid="{00000000-0005-0000-0000-0000A4690000}"/>
    <cellStyle name="Normal 2 58 6" xfId="27806" xr:uid="{00000000-0005-0000-0000-0000A5690000}"/>
    <cellStyle name="Normal 2 58 7" xfId="27807" xr:uid="{00000000-0005-0000-0000-0000A6690000}"/>
    <cellStyle name="Normal 2 59" xfId="27808" xr:uid="{00000000-0005-0000-0000-0000A7690000}"/>
    <cellStyle name="Normal 2 59 2" xfId="27809" xr:uid="{00000000-0005-0000-0000-0000A8690000}"/>
    <cellStyle name="Normal 2 59 3" xfId="27810" xr:uid="{00000000-0005-0000-0000-0000A9690000}"/>
    <cellStyle name="Normal 2 59 4" xfId="27811" xr:uid="{00000000-0005-0000-0000-0000AA690000}"/>
    <cellStyle name="Normal 2 59 5" xfId="27812" xr:uid="{00000000-0005-0000-0000-0000AB690000}"/>
    <cellStyle name="Normal 2 59 6" xfId="27813" xr:uid="{00000000-0005-0000-0000-0000AC690000}"/>
    <cellStyle name="Normal 2 59 7" xfId="27814" xr:uid="{00000000-0005-0000-0000-0000AD690000}"/>
    <cellStyle name="Normal 2 6" xfId="1059" xr:uid="{00000000-0005-0000-0000-0000AE690000}"/>
    <cellStyle name="Normal 2 6 10" xfId="27815" xr:uid="{00000000-0005-0000-0000-0000AF690000}"/>
    <cellStyle name="Normal 2 6 11" xfId="27816" xr:uid="{00000000-0005-0000-0000-0000B0690000}"/>
    <cellStyle name="Normal 2 6 12" xfId="27817" xr:uid="{00000000-0005-0000-0000-0000B1690000}"/>
    <cellStyle name="Normal 2 6 13" xfId="27818" xr:uid="{00000000-0005-0000-0000-0000B2690000}"/>
    <cellStyle name="Normal 2 6 14" xfId="27819" xr:uid="{00000000-0005-0000-0000-0000B3690000}"/>
    <cellStyle name="Normal 2 6 15" xfId="27820" xr:uid="{00000000-0005-0000-0000-0000B4690000}"/>
    <cellStyle name="Normal 2 6 16" xfId="27821" xr:uid="{00000000-0005-0000-0000-0000B5690000}"/>
    <cellStyle name="Normal 2 6 17" xfId="27822" xr:uid="{00000000-0005-0000-0000-0000B6690000}"/>
    <cellStyle name="Normal 2 6 18" xfId="27823" xr:uid="{00000000-0005-0000-0000-0000B7690000}"/>
    <cellStyle name="Normal 2 6 19" xfId="27824" xr:uid="{00000000-0005-0000-0000-0000B8690000}"/>
    <cellStyle name="Normal 2 6 2" xfId="27825" xr:uid="{00000000-0005-0000-0000-0000B9690000}"/>
    <cellStyle name="Normal 2 6 2 10" xfId="27826" xr:uid="{00000000-0005-0000-0000-0000BA690000}"/>
    <cellStyle name="Normal 2 6 2 10 2" xfId="27827" xr:uid="{00000000-0005-0000-0000-0000BB690000}"/>
    <cellStyle name="Normal 2 6 2 10 3" xfId="27828" xr:uid="{00000000-0005-0000-0000-0000BC690000}"/>
    <cellStyle name="Normal 2 6 2 10 4" xfId="27829" xr:uid="{00000000-0005-0000-0000-0000BD690000}"/>
    <cellStyle name="Normal 2 6 2 10 5" xfId="27830" xr:uid="{00000000-0005-0000-0000-0000BE690000}"/>
    <cellStyle name="Normal 2 6 2 10 6" xfId="27831" xr:uid="{00000000-0005-0000-0000-0000BF690000}"/>
    <cellStyle name="Normal 2 6 2 11" xfId="27832" xr:uid="{00000000-0005-0000-0000-0000C0690000}"/>
    <cellStyle name="Normal 2 6 2 11 2" xfId="27833" xr:uid="{00000000-0005-0000-0000-0000C1690000}"/>
    <cellStyle name="Normal 2 6 2 11 3" xfId="27834" xr:uid="{00000000-0005-0000-0000-0000C2690000}"/>
    <cellStyle name="Normal 2 6 2 11 4" xfId="27835" xr:uid="{00000000-0005-0000-0000-0000C3690000}"/>
    <cellStyle name="Normal 2 6 2 11 5" xfId="27836" xr:uid="{00000000-0005-0000-0000-0000C4690000}"/>
    <cellStyle name="Normal 2 6 2 11 6" xfId="27837" xr:uid="{00000000-0005-0000-0000-0000C5690000}"/>
    <cellStyle name="Normal 2 6 2 12" xfId="27838" xr:uid="{00000000-0005-0000-0000-0000C6690000}"/>
    <cellStyle name="Normal 2 6 2 12 2" xfId="27839" xr:uid="{00000000-0005-0000-0000-0000C7690000}"/>
    <cellStyle name="Normal 2 6 2 12 3" xfId="27840" xr:uid="{00000000-0005-0000-0000-0000C8690000}"/>
    <cellStyle name="Normal 2 6 2 12 4" xfId="27841" xr:uid="{00000000-0005-0000-0000-0000C9690000}"/>
    <cellStyle name="Normal 2 6 2 12 5" xfId="27842" xr:uid="{00000000-0005-0000-0000-0000CA690000}"/>
    <cellStyle name="Normal 2 6 2 12 6" xfId="27843" xr:uid="{00000000-0005-0000-0000-0000CB690000}"/>
    <cellStyle name="Normal 2 6 2 13" xfId="27844" xr:uid="{00000000-0005-0000-0000-0000CC690000}"/>
    <cellStyle name="Normal 2 6 2 13 2" xfId="27845" xr:uid="{00000000-0005-0000-0000-0000CD690000}"/>
    <cellStyle name="Normal 2 6 2 13 3" xfId="27846" xr:uid="{00000000-0005-0000-0000-0000CE690000}"/>
    <cellStyle name="Normal 2 6 2 13 4" xfId="27847" xr:uid="{00000000-0005-0000-0000-0000CF690000}"/>
    <cellStyle name="Normal 2 6 2 13 5" xfId="27848" xr:uid="{00000000-0005-0000-0000-0000D0690000}"/>
    <cellStyle name="Normal 2 6 2 13 6" xfId="27849" xr:uid="{00000000-0005-0000-0000-0000D1690000}"/>
    <cellStyle name="Normal 2 6 2 14" xfId="27850" xr:uid="{00000000-0005-0000-0000-0000D2690000}"/>
    <cellStyle name="Normal 2 6 2 14 2" xfId="27851" xr:uid="{00000000-0005-0000-0000-0000D3690000}"/>
    <cellStyle name="Normal 2 6 2 14 3" xfId="27852" xr:uid="{00000000-0005-0000-0000-0000D4690000}"/>
    <cellStyle name="Normal 2 6 2 14 4" xfId="27853" xr:uid="{00000000-0005-0000-0000-0000D5690000}"/>
    <cellStyle name="Normal 2 6 2 14 5" xfId="27854" xr:uid="{00000000-0005-0000-0000-0000D6690000}"/>
    <cellStyle name="Normal 2 6 2 14 6" xfId="27855" xr:uid="{00000000-0005-0000-0000-0000D7690000}"/>
    <cellStyle name="Normal 2 6 2 15" xfId="27856" xr:uid="{00000000-0005-0000-0000-0000D8690000}"/>
    <cellStyle name="Normal 2 6 2 15 2" xfId="27857" xr:uid="{00000000-0005-0000-0000-0000D9690000}"/>
    <cellStyle name="Normal 2 6 2 15 3" xfId="27858" xr:uid="{00000000-0005-0000-0000-0000DA690000}"/>
    <cellStyle name="Normal 2 6 2 15 4" xfId="27859" xr:uid="{00000000-0005-0000-0000-0000DB690000}"/>
    <cellStyle name="Normal 2 6 2 15 5" xfId="27860" xr:uid="{00000000-0005-0000-0000-0000DC690000}"/>
    <cellStyle name="Normal 2 6 2 15 6" xfId="27861" xr:uid="{00000000-0005-0000-0000-0000DD690000}"/>
    <cellStyle name="Normal 2 6 2 16" xfId="27862" xr:uid="{00000000-0005-0000-0000-0000DE690000}"/>
    <cellStyle name="Normal 2 6 2 17" xfId="27863" xr:uid="{00000000-0005-0000-0000-0000DF690000}"/>
    <cellStyle name="Normal 2 6 2 18" xfId="27864" xr:uid="{00000000-0005-0000-0000-0000E0690000}"/>
    <cellStyle name="Normal 2 6 2 19" xfId="27865" xr:uid="{00000000-0005-0000-0000-0000E1690000}"/>
    <cellStyle name="Normal 2 6 2 2" xfId="27866" xr:uid="{00000000-0005-0000-0000-0000E2690000}"/>
    <cellStyle name="Normal 2 6 2 2 2" xfId="27867" xr:uid="{00000000-0005-0000-0000-0000E3690000}"/>
    <cellStyle name="Normal 2 6 2 2 2 2" xfId="27868" xr:uid="{00000000-0005-0000-0000-0000E4690000}"/>
    <cellStyle name="Normal 2 6 2 2 2 3" xfId="27869" xr:uid="{00000000-0005-0000-0000-0000E5690000}"/>
    <cellStyle name="Normal 2 6 2 2 2 4" xfId="27870" xr:uid="{00000000-0005-0000-0000-0000E6690000}"/>
    <cellStyle name="Normal 2 6 2 2 3" xfId="27871" xr:uid="{00000000-0005-0000-0000-0000E7690000}"/>
    <cellStyle name="Normal 2 6 2 2 4" xfId="27872" xr:uid="{00000000-0005-0000-0000-0000E8690000}"/>
    <cellStyle name="Normal 2 6 2 2 5" xfId="27873" xr:uid="{00000000-0005-0000-0000-0000E9690000}"/>
    <cellStyle name="Normal 2 6 2 20" xfId="27874" xr:uid="{00000000-0005-0000-0000-0000EA690000}"/>
    <cellStyle name="Normal 2 6 2 3" xfId="27875" xr:uid="{00000000-0005-0000-0000-0000EB690000}"/>
    <cellStyle name="Normal 2 6 2 3 2" xfId="27876" xr:uid="{00000000-0005-0000-0000-0000EC690000}"/>
    <cellStyle name="Normal 2 6 2 3 3" xfId="27877" xr:uid="{00000000-0005-0000-0000-0000ED690000}"/>
    <cellStyle name="Normal 2 6 2 3 4" xfId="27878" xr:uid="{00000000-0005-0000-0000-0000EE690000}"/>
    <cellStyle name="Normal 2 6 2 4" xfId="27879" xr:uid="{00000000-0005-0000-0000-0000EF690000}"/>
    <cellStyle name="Normal 2 6 2 5" xfId="27880" xr:uid="{00000000-0005-0000-0000-0000F0690000}"/>
    <cellStyle name="Normal 2 6 2 6" xfId="27881" xr:uid="{00000000-0005-0000-0000-0000F1690000}"/>
    <cellStyle name="Normal 2 6 2 7" xfId="27882" xr:uid="{00000000-0005-0000-0000-0000F2690000}"/>
    <cellStyle name="Normal 2 6 2 8" xfId="27883" xr:uid="{00000000-0005-0000-0000-0000F3690000}"/>
    <cellStyle name="Normal 2 6 2 9" xfId="27884" xr:uid="{00000000-0005-0000-0000-0000F4690000}"/>
    <cellStyle name="Normal 2 6 2 9 2" xfId="27885" xr:uid="{00000000-0005-0000-0000-0000F5690000}"/>
    <cellStyle name="Normal 2 6 2 9 3" xfId="27886" xr:uid="{00000000-0005-0000-0000-0000F6690000}"/>
    <cellStyle name="Normal 2 6 2 9 4" xfId="27887" xr:uid="{00000000-0005-0000-0000-0000F7690000}"/>
    <cellStyle name="Normal 2 6 2 9 5" xfId="27888" xr:uid="{00000000-0005-0000-0000-0000F8690000}"/>
    <cellStyle name="Normal 2 6 2 9 6" xfId="27889" xr:uid="{00000000-0005-0000-0000-0000F9690000}"/>
    <cellStyle name="Normal 2 6 20" xfId="27890" xr:uid="{00000000-0005-0000-0000-0000FA690000}"/>
    <cellStyle name="Normal 2 6 21" xfId="27891" xr:uid="{00000000-0005-0000-0000-0000FB690000}"/>
    <cellStyle name="Normal 2 6 22" xfId="27892" xr:uid="{00000000-0005-0000-0000-0000FC690000}"/>
    <cellStyle name="Normal 2 6 23" xfId="27893" xr:uid="{00000000-0005-0000-0000-0000FD690000}"/>
    <cellStyle name="Normal 2 6 24" xfId="27894" xr:uid="{00000000-0005-0000-0000-0000FE690000}"/>
    <cellStyle name="Normal 2 6 25" xfId="27895" xr:uid="{00000000-0005-0000-0000-0000FF690000}"/>
    <cellStyle name="Normal 2 6 26" xfId="27896" xr:uid="{00000000-0005-0000-0000-0000006A0000}"/>
    <cellStyle name="Normal 2 6 27" xfId="27897" xr:uid="{00000000-0005-0000-0000-0000016A0000}"/>
    <cellStyle name="Normal 2 6 28" xfId="27898" xr:uid="{00000000-0005-0000-0000-0000026A0000}"/>
    <cellStyle name="Normal 2 6 29" xfId="27899" xr:uid="{00000000-0005-0000-0000-0000036A0000}"/>
    <cellStyle name="Normal 2 6 3" xfId="27900" xr:uid="{00000000-0005-0000-0000-0000046A0000}"/>
    <cellStyle name="Normal 2 6 3 10" xfId="27901" xr:uid="{00000000-0005-0000-0000-0000056A0000}"/>
    <cellStyle name="Normal 2 6 3 11" xfId="27902" xr:uid="{00000000-0005-0000-0000-0000066A0000}"/>
    <cellStyle name="Normal 2 6 3 12" xfId="27903" xr:uid="{00000000-0005-0000-0000-0000076A0000}"/>
    <cellStyle name="Normal 2 6 3 13" xfId="27904" xr:uid="{00000000-0005-0000-0000-0000086A0000}"/>
    <cellStyle name="Normal 2 6 3 2" xfId="27905" xr:uid="{00000000-0005-0000-0000-0000096A0000}"/>
    <cellStyle name="Normal 2 6 3 2 2" xfId="27906" xr:uid="{00000000-0005-0000-0000-00000A6A0000}"/>
    <cellStyle name="Normal 2 6 3 2 3" xfId="27907" xr:uid="{00000000-0005-0000-0000-00000B6A0000}"/>
    <cellStyle name="Normal 2 6 3 2 4" xfId="27908" xr:uid="{00000000-0005-0000-0000-00000C6A0000}"/>
    <cellStyle name="Normal 2 6 3 2 5" xfId="27909" xr:uid="{00000000-0005-0000-0000-00000D6A0000}"/>
    <cellStyle name="Normal 2 6 3 2 6" xfId="27910" xr:uid="{00000000-0005-0000-0000-00000E6A0000}"/>
    <cellStyle name="Normal 2 6 3 3" xfId="27911" xr:uid="{00000000-0005-0000-0000-00000F6A0000}"/>
    <cellStyle name="Normal 2 6 3 3 2" xfId="27912" xr:uid="{00000000-0005-0000-0000-0000106A0000}"/>
    <cellStyle name="Normal 2 6 3 3 3" xfId="27913" xr:uid="{00000000-0005-0000-0000-0000116A0000}"/>
    <cellStyle name="Normal 2 6 3 3 4" xfId="27914" xr:uid="{00000000-0005-0000-0000-0000126A0000}"/>
    <cellStyle name="Normal 2 6 3 3 5" xfId="27915" xr:uid="{00000000-0005-0000-0000-0000136A0000}"/>
    <cellStyle name="Normal 2 6 3 3 6" xfId="27916" xr:uid="{00000000-0005-0000-0000-0000146A0000}"/>
    <cellStyle name="Normal 2 6 3 4" xfId="27917" xr:uid="{00000000-0005-0000-0000-0000156A0000}"/>
    <cellStyle name="Normal 2 6 3 4 2" xfId="27918" xr:uid="{00000000-0005-0000-0000-0000166A0000}"/>
    <cellStyle name="Normal 2 6 3 4 3" xfId="27919" xr:uid="{00000000-0005-0000-0000-0000176A0000}"/>
    <cellStyle name="Normal 2 6 3 4 4" xfId="27920" xr:uid="{00000000-0005-0000-0000-0000186A0000}"/>
    <cellStyle name="Normal 2 6 3 4 5" xfId="27921" xr:uid="{00000000-0005-0000-0000-0000196A0000}"/>
    <cellStyle name="Normal 2 6 3 4 6" xfId="27922" xr:uid="{00000000-0005-0000-0000-00001A6A0000}"/>
    <cellStyle name="Normal 2 6 3 5" xfId="27923" xr:uid="{00000000-0005-0000-0000-00001B6A0000}"/>
    <cellStyle name="Normal 2 6 3 5 2" xfId="27924" xr:uid="{00000000-0005-0000-0000-00001C6A0000}"/>
    <cellStyle name="Normal 2 6 3 5 3" xfId="27925" xr:uid="{00000000-0005-0000-0000-00001D6A0000}"/>
    <cellStyle name="Normal 2 6 3 5 4" xfId="27926" xr:uid="{00000000-0005-0000-0000-00001E6A0000}"/>
    <cellStyle name="Normal 2 6 3 5 5" xfId="27927" xr:uid="{00000000-0005-0000-0000-00001F6A0000}"/>
    <cellStyle name="Normal 2 6 3 5 6" xfId="27928" xr:uid="{00000000-0005-0000-0000-0000206A0000}"/>
    <cellStyle name="Normal 2 6 3 6" xfId="27929" xr:uid="{00000000-0005-0000-0000-0000216A0000}"/>
    <cellStyle name="Normal 2 6 3 6 2" xfId="27930" xr:uid="{00000000-0005-0000-0000-0000226A0000}"/>
    <cellStyle name="Normal 2 6 3 6 3" xfId="27931" xr:uid="{00000000-0005-0000-0000-0000236A0000}"/>
    <cellStyle name="Normal 2 6 3 6 4" xfId="27932" xr:uid="{00000000-0005-0000-0000-0000246A0000}"/>
    <cellStyle name="Normal 2 6 3 6 5" xfId="27933" xr:uid="{00000000-0005-0000-0000-0000256A0000}"/>
    <cellStyle name="Normal 2 6 3 6 6" xfId="27934" xr:uid="{00000000-0005-0000-0000-0000266A0000}"/>
    <cellStyle name="Normal 2 6 3 7" xfId="27935" xr:uid="{00000000-0005-0000-0000-0000276A0000}"/>
    <cellStyle name="Normal 2 6 3 7 2" xfId="27936" xr:uid="{00000000-0005-0000-0000-0000286A0000}"/>
    <cellStyle name="Normal 2 6 3 7 3" xfId="27937" xr:uid="{00000000-0005-0000-0000-0000296A0000}"/>
    <cellStyle name="Normal 2 6 3 7 4" xfId="27938" xr:uid="{00000000-0005-0000-0000-00002A6A0000}"/>
    <cellStyle name="Normal 2 6 3 7 5" xfId="27939" xr:uid="{00000000-0005-0000-0000-00002B6A0000}"/>
    <cellStyle name="Normal 2 6 3 7 6" xfId="27940" xr:uid="{00000000-0005-0000-0000-00002C6A0000}"/>
    <cellStyle name="Normal 2 6 3 8" xfId="27941" xr:uid="{00000000-0005-0000-0000-00002D6A0000}"/>
    <cellStyle name="Normal 2 6 3 8 2" xfId="27942" xr:uid="{00000000-0005-0000-0000-00002E6A0000}"/>
    <cellStyle name="Normal 2 6 3 8 3" xfId="27943" xr:uid="{00000000-0005-0000-0000-00002F6A0000}"/>
    <cellStyle name="Normal 2 6 3 8 4" xfId="27944" xr:uid="{00000000-0005-0000-0000-0000306A0000}"/>
    <cellStyle name="Normal 2 6 3 8 5" xfId="27945" xr:uid="{00000000-0005-0000-0000-0000316A0000}"/>
    <cellStyle name="Normal 2 6 3 8 6" xfId="27946" xr:uid="{00000000-0005-0000-0000-0000326A0000}"/>
    <cellStyle name="Normal 2 6 3 9" xfId="27947" xr:uid="{00000000-0005-0000-0000-0000336A0000}"/>
    <cellStyle name="Normal 2 6 30" xfId="27948" xr:uid="{00000000-0005-0000-0000-0000346A0000}"/>
    <cellStyle name="Normal 2 6 31" xfId="27949" xr:uid="{00000000-0005-0000-0000-0000356A0000}"/>
    <cellStyle name="Normal 2 6 32" xfId="27950" xr:uid="{00000000-0005-0000-0000-0000366A0000}"/>
    <cellStyle name="Normal 2 6 33" xfId="27951" xr:uid="{00000000-0005-0000-0000-0000376A0000}"/>
    <cellStyle name="Normal 2 6 34" xfId="27952" xr:uid="{00000000-0005-0000-0000-0000386A0000}"/>
    <cellStyle name="Normal 2 6 35" xfId="27953" xr:uid="{00000000-0005-0000-0000-0000396A0000}"/>
    <cellStyle name="Normal 2 6 36" xfId="27954" xr:uid="{00000000-0005-0000-0000-00003A6A0000}"/>
    <cellStyle name="Normal 2 6 37" xfId="27955" xr:uid="{00000000-0005-0000-0000-00003B6A0000}"/>
    <cellStyle name="Normal 2 6 38" xfId="27956" xr:uid="{00000000-0005-0000-0000-00003C6A0000}"/>
    <cellStyle name="Normal 2 6 39" xfId="27957" xr:uid="{00000000-0005-0000-0000-00003D6A0000}"/>
    <cellStyle name="Normal 2 6 4" xfId="27958" xr:uid="{00000000-0005-0000-0000-00003E6A0000}"/>
    <cellStyle name="Normal 2 6 4 10" xfId="27959" xr:uid="{00000000-0005-0000-0000-00003F6A0000}"/>
    <cellStyle name="Normal 2 6 4 11" xfId="27960" xr:uid="{00000000-0005-0000-0000-0000406A0000}"/>
    <cellStyle name="Normal 2 6 4 12" xfId="27961" xr:uid="{00000000-0005-0000-0000-0000416A0000}"/>
    <cellStyle name="Normal 2 6 4 13" xfId="27962" xr:uid="{00000000-0005-0000-0000-0000426A0000}"/>
    <cellStyle name="Normal 2 6 4 2" xfId="27963" xr:uid="{00000000-0005-0000-0000-0000436A0000}"/>
    <cellStyle name="Normal 2 6 4 2 2" xfId="27964" xr:uid="{00000000-0005-0000-0000-0000446A0000}"/>
    <cellStyle name="Normal 2 6 4 2 3" xfId="27965" xr:uid="{00000000-0005-0000-0000-0000456A0000}"/>
    <cellStyle name="Normal 2 6 4 2 4" xfId="27966" xr:uid="{00000000-0005-0000-0000-0000466A0000}"/>
    <cellStyle name="Normal 2 6 4 2 5" xfId="27967" xr:uid="{00000000-0005-0000-0000-0000476A0000}"/>
    <cellStyle name="Normal 2 6 4 2 6" xfId="27968" xr:uid="{00000000-0005-0000-0000-0000486A0000}"/>
    <cellStyle name="Normal 2 6 4 3" xfId="27969" xr:uid="{00000000-0005-0000-0000-0000496A0000}"/>
    <cellStyle name="Normal 2 6 4 3 2" xfId="27970" xr:uid="{00000000-0005-0000-0000-00004A6A0000}"/>
    <cellStyle name="Normal 2 6 4 3 3" xfId="27971" xr:uid="{00000000-0005-0000-0000-00004B6A0000}"/>
    <cellStyle name="Normal 2 6 4 3 4" xfId="27972" xr:uid="{00000000-0005-0000-0000-00004C6A0000}"/>
    <cellStyle name="Normal 2 6 4 3 5" xfId="27973" xr:uid="{00000000-0005-0000-0000-00004D6A0000}"/>
    <cellStyle name="Normal 2 6 4 3 6" xfId="27974" xr:uid="{00000000-0005-0000-0000-00004E6A0000}"/>
    <cellStyle name="Normal 2 6 4 4" xfId="27975" xr:uid="{00000000-0005-0000-0000-00004F6A0000}"/>
    <cellStyle name="Normal 2 6 4 4 2" xfId="27976" xr:uid="{00000000-0005-0000-0000-0000506A0000}"/>
    <cellStyle name="Normal 2 6 4 4 3" xfId="27977" xr:uid="{00000000-0005-0000-0000-0000516A0000}"/>
    <cellStyle name="Normal 2 6 4 4 4" xfId="27978" xr:uid="{00000000-0005-0000-0000-0000526A0000}"/>
    <cellStyle name="Normal 2 6 4 4 5" xfId="27979" xr:uid="{00000000-0005-0000-0000-0000536A0000}"/>
    <cellStyle name="Normal 2 6 4 4 6" xfId="27980" xr:uid="{00000000-0005-0000-0000-0000546A0000}"/>
    <cellStyle name="Normal 2 6 4 5" xfId="27981" xr:uid="{00000000-0005-0000-0000-0000556A0000}"/>
    <cellStyle name="Normal 2 6 4 5 2" xfId="27982" xr:uid="{00000000-0005-0000-0000-0000566A0000}"/>
    <cellStyle name="Normal 2 6 4 5 3" xfId="27983" xr:uid="{00000000-0005-0000-0000-0000576A0000}"/>
    <cellStyle name="Normal 2 6 4 5 4" xfId="27984" xr:uid="{00000000-0005-0000-0000-0000586A0000}"/>
    <cellStyle name="Normal 2 6 4 5 5" xfId="27985" xr:uid="{00000000-0005-0000-0000-0000596A0000}"/>
    <cellStyle name="Normal 2 6 4 5 6" xfId="27986" xr:uid="{00000000-0005-0000-0000-00005A6A0000}"/>
    <cellStyle name="Normal 2 6 4 6" xfId="27987" xr:uid="{00000000-0005-0000-0000-00005B6A0000}"/>
    <cellStyle name="Normal 2 6 4 6 2" xfId="27988" xr:uid="{00000000-0005-0000-0000-00005C6A0000}"/>
    <cellStyle name="Normal 2 6 4 6 3" xfId="27989" xr:uid="{00000000-0005-0000-0000-00005D6A0000}"/>
    <cellStyle name="Normal 2 6 4 6 4" xfId="27990" xr:uid="{00000000-0005-0000-0000-00005E6A0000}"/>
    <cellStyle name="Normal 2 6 4 6 5" xfId="27991" xr:uid="{00000000-0005-0000-0000-00005F6A0000}"/>
    <cellStyle name="Normal 2 6 4 6 6" xfId="27992" xr:uid="{00000000-0005-0000-0000-0000606A0000}"/>
    <cellStyle name="Normal 2 6 4 7" xfId="27993" xr:uid="{00000000-0005-0000-0000-0000616A0000}"/>
    <cellStyle name="Normal 2 6 4 7 2" xfId="27994" xr:uid="{00000000-0005-0000-0000-0000626A0000}"/>
    <cellStyle name="Normal 2 6 4 7 3" xfId="27995" xr:uid="{00000000-0005-0000-0000-0000636A0000}"/>
    <cellStyle name="Normal 2 6 4 7 4" xfId="27996" xr:uid="{00000000-0005-0000-0000-0000646A0000}"/>
    <cellStyle name="Normal 2 6 4 7 5" xfId="27997" xr:uid="{00000000-0005-0000-0000-0000656A0000}"/>
    <cellStyle name="Normal 2 6 4 7 6" xfId="27998" xr:uid="{00000000-0005-0000-0000-0000666A0000}"/>
    <cellStyle name="Normal 2 6 4 8" xfId="27999" xr:uid="{00000000-0005-0000-0000-0000676A0000}"/>
    <cellStyle name="Normal 2 6 4 8 2" xfId="28000" xr:uid="{00000000-0005-0000-0000-0000686A0000}"/>
    <cellStyle name="Normal 2 6 4 8 3" xfId="28001" xr:uid="{00000000-0005-0000-0000-0000696A0000}"/>
    <cellStyle name="Normal 2 6 4 8 4" xfId="28002" xr:uid="{00000000-0005-0000-0000-00006A6A0000}"/>
    <cellStyle name="Normal 2 6 4 8 5" xfId="28003" xr:uid="{00000000-0005-0000-0000-00006B6A0000}"/>
    <cellStyle name="Normal 2 6 4 8 6" xfId="28004" xr:uid="{00000000-0005-0000-0000-00006C6A0000}"/>
    <cellStyle name="Normal 2 6 4 9" xfId="28005" xr:uid="{00000000-0005-0000-0000-00006D6A0000}"/>
    <cellStyle name="Normal 2 6 40" xfId="28006" xr:uid="{00000000-0005-0000-0000-00006E6A0000}"/>
    <cellStyle name="Normal 2 6 41" xfId="28007" xr:uid="{00000000-0005-0000-0000-00006F6A0000}"/>
    <cellStyle name="Normal 2 6 42" xfId="28008" xr:uid="{00000000-0005-0000-0000-0000706A0000}"/>
    <cellStyle name="Normal 2 6 43" xfId="28009" xr:uid="{00000000-0005-0000-0000-0000716A0000}"/>
    <cellStyle name="Normal 2 6 44" xfId="28010" xr:uid="{00000000-0005-0000-0000-0000726A0000}"/>
    <cellStyle name="Normal 2 6 45" xfId="28011" xr:uid="{00000000-0005-0000-0000-0000736A0000}"/>
    <cellStyle name="Normal 2 6 46" xfId="28012" xr:uid="{00000000-0005-0000-0000-0000746A0000}"/>
    <cellStyle name="Normal 2 6 47" xfId="28013" xr:uid="{00000000-0005-0000-0000-0000756A0000}"/>
    <cellStyle name="Normal 2 6 48" xfId="28014" xr:uid="{00000000-0005-0000-0000-0000766A0000}"/>
    <cellStyle name="Normal 2 6 49" xfId="28015" xr:uid="{00000000-0005-0000-0000-0000776A0000}"/>
    <cellStyle name="Normal 2 6 5" xfId="28016" xr:uid="{00000000-0005-0000-0000-0000786A0000}"/>
    <cellStyle name="Normal 2 6 5 10" xfId="28017" xr:uid="{00000000-0005-0000-0000-0000796A0000}"/>
    <cellStyle name="Normal 2 6 5 11" xfId="28018" xr:uid="{00000000-0005-0000-0000-00007A6A0000}"/>
    <cellStyle name="Normal 2 6 5 12" xfId="28019" xr:uid="{00000000-0005-0000-0000-00007B6A0000}"/>
    <cellStyle name="Normal 2 6 5 13" xfId="28020" xr:uid="{00000000-0005-0000-0000-00007C6A0000}"/>
    <cellStyle name="Normal 2 6 5 2" xfId="28021" xr:uid="{00000000-0005-0000-0000-00007D6A0000}"/>
    <cellStyle name="Normal 2 6 5 2 2" xfId="28022" xr:uid="{00000000-0005-0000-0000-00007E6A0000}"/>
    <cellStyle name="Normal 2 6 5 2 3" xfId="28023" xr:uid="{00000000-0005-0000-0000-00007F6A0000}"/>
    <cellStyle name="Normal 2 6 5 2 4" xfId="28024" xr:uid="{00000000-0005-0000-0000-0000806A0000}"/>
    <cellStyle name="Normal 2 6 5 2 5" xfId="28025" xr:uid="{00000000-0005-0000-0000-0000816A0000}"/>
    <cellStyle name="Normal 2 6 5 2 6" xfId="28026" xr:uid="{00000000-0005-0000-0000-0000826A0000}"/>
    <cellStyle name="Normal 2 6 5 3" xfId="28027" xr:uid="{00000000-0005-0000-0000-0000836A0000}"/>
    <cellStyle name="Normal 2 6 5 3 2" xfId="28028" xr:uid="{00000000-0005-0000-0000-0000846A0000}"/>
    <cellStyle name="Normal 2 6 5 3 3" xfId="28029" xr:uid="{00000000-0005-0000-0000-0000856A0000}"/>
    <cellStyle name="Normal 2 6 5 3 4" xfId="28030" xr:uid="{00000000-0005-0000-0000-0000866A0000}"/>
    <cellStyle name="Normal 2 6 5 3 5" xfId="28031" xr:uid="{00000000-0005-0000-0000-0000876A0000}"/>
    <cellStyle name="Normal 2 6 5 3 6" xfId="28032" xr:uid="{00000000-0005-0000-0000-0000886A0000}"/>
    <cellStyle name="Normal 2 6 5 4" xfId="28033" xr:uid="{00000000-0005-0000-0000-0000896A0000}"/>
    <cellStyle name="Normal 2 6 5 4 2" xfId="28034" xr:uid="{00000000-0005-0000-0000-00008A6A0000}"/>
    <cellStyle name="Normal 2 6 5 4 3" xfId="28035" xr:uid="{00000000-0005-0000-0000-00008B6A0000}"/>
    <cellStyle name="Normal 2 6 5 4 4" xfId="28036" xr:uid="{00000000-0005-0000-0000-00008C6A0000}"/>
    <cellStyle name="Normal 2 6 5 4 5" xfId="28037" xr:uid="{00000000-0005-0000-0000-00008D6A0000}"/>
    <cellStyle name="Normal 2 6 5 4 6" xfId="28038" xr:uid="{00000000-0005-0000-0000-00008E6A0000}"/>
    <cellStyle name="Normal 2 6 5 5" xfId="28039" xr:uid="{00000000-0005-0000-0000-00008F6A0000}"/>
    <cellStyle name="Normal 2 6 5 5 2" xfId="28040" xr:uid="{00000000-0005-0000-0000-0000906A0000}"/>
    <cellStyle name="Normal 2 6 5 5 3" xfId="28041" xr:uid="{00000000-0005-0000-0000-0000916A0000}"/>
    <cellStyle name="Normal 2 6 5 5 4" xfId="28042" xr:uid="{00000000-0005-0000-0000-0000926A0000}"/>
    <cellStyle name="Normal 2 6 5 5 5" xfId="28043" xr:uid="{00000000-0005-0000-0000-0000936A0000}"/>
    <cellStyle name="Normal 2 6 5 5 6" xfId="28044" xr:uid="{00000000-0005-0000-0000-0000946A0000}"/>
    <cellStyle name="Normal 2 6 5 6" xfId="28045" xr:uid="{00000000-0005-0000-0000-0000956A0000}"/>
    <cellStyle name="Normal 2 6 5 6 2" xfId="28046" xr:uid="{00000000-0005-0000-0000-0000966A0000}"/>
    <cellStyle name="Normal 2 6 5 6 3" xfId="28047" xr:uid="{00000000-0005-0000-0000-0000976A0000}"/>
    <cellStyle name="Normal 2 6 5 6 4" xfId="28048" xr:uid="{00000000-0005-0000-0000-0000986A0000}"/>
    <cellStyle name="Normal 2 6 5 6 5" xfId="28049" xr:uid="{00000000-0005-0000-0000-0000996A0000}"/>
    <cellStyle name="Normal 2 6 5 6 6" xfId="28050" xr:uid="{00000000-0005-0000-0000-00009A6A0000}"/>
    <cellStyle name="Normal 2 6 5 7" xfId="28051" xr:uid="{00000000-0005-0000-0000-00009B6A0000}"/>
    <cellStyle name="Normal 2 6 5 7 2" xfId="28052" xr:uid="{00000000-0005-0000-0000-00009C6A0000}"/>
    <cellStyle name="Normal 2 6 5 7 3" xfId="28053" xr:uid="{00000000-0005-0000-0000-00009D6A0000}"/>
    <cellStyle name="Normal 2 6 5 7 4" xfId="28054" xr:uid="{00000000-0005-0000-0000-00009E6A0000}"/>
    <cellStyle name="Normal 2 6 5 7 5" xfId="28055" xr:uid="{00000000-0005-0000-0000-00009F6A0000}"/>
    <cellStyle name="Normal 2 6 5 7 6" xfId="28056" xr:uid="{00000000-0005-0000-0000-0000A06A0000}"/>
    <cellStyle name="Normal 2 6 5 8" xfId="28057" xr:uid="{00000000-0005-0000-0000-0000A16A0000}"/>
    <cellStyle name="Normal 2 6 5 8 2" xfId="28058" xr:uid="{00000000-0005-0000-0000-0000A26A0000}"/>
    <cellStyle name="Normal 2 6 5 8 3" xfId="28059" xr:uid="{00000000-0005-0000-0000-0000A36A0000}"/>
    <cellStyle name="Normal 2 6 5 8 4" xfId="28060" xr:uid="{00000000-0005-0000-0000-0000A46A0000}"/>
    <cellStyle name="Normal 2 6 5 8 5" xfId="28061" xr:uid="{00000000-0005-0000-0000-0000A56A0000}"/>
    <cellStyle name="Normal 2 6 5 8 6" xfId="28062" xr:uid="{00000000-0005-0000-0000-0000A66A0000}"/>
    <cellStyle name="Normal 2 6 5 9" xfId="28063" xr:uid="{00000000-0005-0000-0000-0000A76A0000}"/>
    <cellStyle name="Normal 2 6 50" xfId="28064" xr:uid="{00000000-0005-0000-0000-0000A86A0000}"/>
    <cellStyle name="Normal 2 6 51" xfId="28065" xr:uid="{00000000-0005-0000-0000-0000A96A0000}"/>
    <cellStyle name="Normal 2 6 52" xfId="28066" xr:uid="{00000000-0005-0000-0000-0000AA6A0000}"/>
    <cellStyle name="Normal 2 6 53" xfId="28067" xr:uid="{00000000-0005-0000-0000-0000AB6A0000}"/>
    <cellStyle name="Normal 2 6 6" xfId="28068" xr:uid="{00000000-0005-0000-0000-0000AC6A0000}"/>
    <cellStyle name="Normal 2 6 6 10" xfId="28069" xr:uid="{00000000-0005-0000-0000-0000AD6A0000}"/>
    <cellStyle name="Normal 2 6 6 11" xfId="28070" xr:uid="{00000000-0005-0000-0000-0000AE6A0000}"/>
    <cellStyle name="Normal 2 6 6 12" xfId="28071" xr:uid="{00000000-0005-0000-0000-0000AF6A0000}"/>
    <cellStyle name="Normal 2 6 6 13" xfId="28072" xr:uid="{00000000-0005-0000-0000-0000B06A0000}"/>
    <cellStyle name="Normal 2 6 6 2" xfId="28073" xr:uid="{00000000-0005-0000-0000-0000B16A0000}"/>
    <cellStyle name="Normal 2 6 6 2 2" xfId="28074" xr:uid="{00000000-0005-0000-0000-0000B26A0000}"/>
    <cellStyle name="Normal 2 6 6 2 3" xfId="28075" xr:uid="{00000000-0005-0000-0000-0000B36A0000}"/>
    <cellStyle name="Normal 2 6 6 2 4" xfId="28076" xr:uid="{00000000-0005-0000-0000-0000B46A0000}"/>
    <cellStyle name="Normal 2 6 6 2 5" xfId="28077" xr:uid="{00000000-0005-0000-0000-0000B56A0000}"/>
    <cellStyle name="Normal 2 6 6 2 6" xfId="28078" xr:uid="{00000000-0005-0000-0000-0000B66A0000}"/>
    <cellStyle name="Normal 2 6 6 3" xfId="28079" xr:uid="{00000000-0005-0000-0000-0000B76A0000}"/>
    <cellStyle name="Normal 2 6 6 3 2" xfId="28080" xr:uid="{00000000-0005-0000-0000-0000B86A0000}"/>
    <cellStyle name="Normal 2 6 6 3 3" xfId="28081" xr:uid="{00000000-0005-0000-0000-0000B96A0000}"/>
    <cellStyle name="Normal 2 6 6 3 4" xfId="28082" xr:uid="{00000000-0005-0000-0000-0000BA6A0000}"/>
    <cellStyle name="Normal 2 6 6 3 5" xfId="28083" xr:uid="{00000000-0005-0000-0000-0000BB6A0000}"/>
    <cellStyle name="Normal 2 6 6 3 6" xfId="28084" xr:uid="{00000000-0005-0000-0000-0000BC6A0000}"/>
    <cellStyle name="Normal 2 6 6 4" xfId="28085" xr:uid="{00000000-0005-0000-0000-0000BD6A0000}"/>
    <cellStyle name="Normal 2 6 6 4 2" xfId="28086" xr:uid="{00000000-0005-0000-0000-0000BE6A0000}"/>
    <cellStyle name="Normal 2 6 6 4 3" xfId="28087" xr:uid="{00000000-0005-0000-0000-0000BF6A0000}"/>
    <cellStyle name="Normal 2 6 6 4 4" xfId="28088" xr:uid="{00000000-0005-0000-0000-0000C06A0000}"/>
    <cellStyle name="Normal 2 6 6 4 5" xfId="28089" xr:uid="{00000000-0005-0000-0000-0000C16A0000}"/>
    <cellStyle name="Normal 2 6 6 4 6" xfId="28090" xr:uid="{00000000-0005-0000-0000-0000C26A0000}"/>
    <cellStyle name="Normal 2 6 6 5" xfId="28091" xr:uid="{00000000-0005-0000-0000-0000C36A0000}"/>
    <cellStyle name="Normal 2 6 6 5 2" xfId="28092" xr:uid="{00000000-0005-0000-0000-0000C46A0000}"/>
    <cellStyle name="Normal 2 6 6 5 3" xfId="28093" xr:uid="{00000000-0005-0000-0000-0000C56A0000}"/>
    <cellStyle name="Normal 2 6 6 5 4" xfId="28094" xr:uid="{00000000-0005-0000-0000-0000C66A0000}"/>
    <cellStyle name="Normal 2 6 6 5 5" xfId="28095" xr:uid="{00000000-0005-0000-0000-0000C76A0000}"/>
    <cellStyle name="Normal 2 6 6 5 6" xfId="28096" xr:uid="{00000000-0005-0000-0000-0000C86A0000}"/>
    <cellStyle name="Normal 2 6 6 6" xfId="28097" xr:uid="{00000000-0005-0000-0000-0000C96A0000}"/>
    <cellStyle name="Normal 2 6 6 6 2" xfId="28098" xr:uid="{00000000-0005-0000-0000-0000CA6A0000}"/>
    <cellStyle name="Normal 2 6 6 6 3" xfId="28099" xr:uid="{00000000-0005-0000-0000-0000CB6A0000}"/>
    <cellStyle name="Normal 2 6 6 6 4" xfId="28100" xr:uid="{00000000-0005-0000-0000-0000CC6A0000}"/>
    <cellStyle name="Normal 2 6 6 6 5" xfId="28101" xr:uid="{00000000-0005-0000-0000-0000CD6A0000}"/>
    <cellStyle name="Normal 2 6 6 6 6" xfId="28102" xr:uid="{00000000-0005-0000-0000-0000CE6A0000}"/>
    <cellStyle name="Normal 2 6 6 7" xfId="28103" xr:uid="{00000000-0005-0000-0000-0000CF6A0000}"/>
    <cellStyle name="Normal 2 6 6 7 2" xfId="28104" xr:uid="{00000000-0005-0000-0000-0000D06A0000}"/>
    <cellStyle name="Normal 2 6 6 7 3" xfId="28105" xr:uid="{00000000-0005-0000-0000-0000D16A0000}"/>
    <cellStyle name="Normal 2 6 6 7 4" xfId="28106" xr:uid="{00000000-0005-0000-0000-0000D26A0000}"/>
    <cellStyle name="Normal 2 6 6 7 5" xfId="28107" xr:uid="{00000000-0005-0000-0000-0000D36A0000}"/>
    <cellStyle name="Normal 2 6 6 7 6" xfId="28108" xr:uid="{00000000-0005-0000-0000-0000D46A0000}"/>
    <cellStyle name="Normal 2 6 6 8" xfId="28109" xr:uid="{00000000-0005-0000-0000-0000D56A0000}"/>
    <cellStyle name="Normal 2 6 6 8 2" xfId="28110" xr:uid="{00000000-0005-0000-0000-0000D66A0000}"/>
    <cellStyle name="Normal 2 6 6 8 3" xfId="28111" xr:uid="{00000000-0005-0000-0000-0000D76A0000}"/>
    <cellStyle name="Normal 2 6 6 8 4" xfId="28112" xr:uid="{00000000-0005-0000-0000-0000D86A0000}"/>
    <cellStyle name="Normal 2 6 6 8 5" xfId="28113" xr:uid="{00000000-0005-0000-0000-0000D96A0000}"/>
    <cellStyle name="Normal 2 6 6 8 6" xfId="28114" xr:uid="{00000000-0005-0000-0000-0000DA6A0000}"/>
    <cellStyle name="Normal 2 6 6 9" xfId="28115" xr:uid="{00000000-0005-0000-0000-0000DB6A0000}"/>
    <cellStyle name="Normal 2 6 7" xfId="28116" xr:uid="{00000000-0005-0000-0000-0000DC6A0000}"/>
    <cellStyle name="Normal 2 6 7 10" xfId="28117" xr:uid="{00000000-0005-0000-0000-0000DD6A0000}"/>
    <cellStyle name="Normal 2 6 7 11" xfId="28118" xr:uid="{00000000-0005-0000-0000-0000DE6A0000}"/>
    <cellStyle name="Normal 2 6 7 12" xfId="28119" xr:uid="{00000000-0005-0000-0000-0000DF6A0000}"/>
    <cellStyle name="Normal 2 6 7 13" xfId="28120" xr:uid="{00000000-0005-0000-0000-0000E06A0000}"/>
    <cellStyle name="Normal 2 6 7 2" xfId="28121" xr:uid="{00000000-0005-0000-0000-0000E16A0000}"/>
    <cellStyle name="Normal 2 6 7 2 2" xfId="28122" xr:uid="{00000000-0005-0000-0000-0000E26A0000}"/>
    <cellStyle name="Normal 2 6 7 2 3" xfId="28123" xr:uid="{00000000-0005-0000-0000-0000E36A0000}"/>
    <cellStyle name="Normal 2 6 7 2 4" xfId="28124" xr:uid="{00000000-0005-0000-0000-0000E46A0000}"/>
    <cellStyle name="Normal 2 6 7 2 5" xfId="28125" xr:uid="{00000000-0005-0000-0000-0000E56A0000}"/>
    <cellStyle name="Normal 2 6 7 2 6" xfId="28126" xr:uid="{00000000-0005-0000-0000-0000E66A0000}"/>
    <cellStyle name="Normal 2 6 7 3" xfId="28127" xr:uid="{00000000-0005-0000-0000-0000E76A0000}"/>
    <cellStyle name="Normal 2 6 7 3 2" xfId="28128" xr:uid="{00000000-0005-0000-0000-0000E86A0000}"/>
    <cellStyle name="Normal 2 6 7 3 3" xfId="28129" xr:uid="{00000000-0005-0000-0000-0000E96A0000}"/>
    <cellStyle name="Normal 2 6 7 3 4" xfId="28130" xr:uid="{00000000-0005-0000-0000-0000EA6A0000}"/>
    <cellStyle name="Normal 2 6 7 3 5" xfId="28131" xr:uid="{00000000-0005-0000-0000-0000EB6A0000}"/>
    <cellStyle name="Normal 2 6 7 3 6" xfId="28132" xr:uid="{00000000-0005-0000-0000-0000EC6A0000}"/>
    <cellStyle name="Normal 2 6 7 4" xfId="28133" xr:uid="{00000000-0005-0000-0000-0000ED6A0000}"/>
    <cellStyle name="Normal 2 6 7 4 2" xfId="28134" xr:uid="{00000000-0005-0000-0000-0000EE6A0000}"/>
    <cellStyle name="Normal 2 6 7 4 3" xfId="28135" xr:uid="{00000000-0005-0000-0000-0000EF6A0000}"/>
    <cellStyle name="Normal 2 6 7 4 4" xfId="28136" xr:uid="{00000000-0005-0000-0000-0000F06A0000}"/>
    <cellStyle name="Normal 2 6 7 4 5" xfId="28137" xr:uid="{00000000-0005-0000-0000-0000F16A0000}"/>
    <cellStyle name="Normal 2 6 7 4 6" xfId="28138" xr:uid="{00000000-0005-0000-0000-0000F26A0000}"/>
    <cellStyle name="Normal 2 6 7 5" xfId="28139" xr:uid="{00000000-0005-0000-0000-0000F36A0000}"/>
    <cellStyle name="Normal 2 6 7 5 2" xfId="28140" xr:uid="{00000000-0005-0000-0000-0000F46A0000}"/>
    <cellStyle name="Normal 2 6 7 5 3" xfId="28141" xr:uid="{00000000-0005-0000-0000-0000F56A0000}"/>
    <cellStyle name="Normal 2 6 7 5 4" xfId="28142" xr:uid="{00000000-0005-0000-0000-0000F66A0000}"/>
    <cellStyle name="Normal 2 6 7 5 5" xfId="28143" xr:uid="{00000000-0005-0000-0000-0000F76A0000}"/>
    <cellStyle name="Normal 2 6 7 5 6" xfId="28144" xr:uid="{00000000-0005-0000-0000-0000F86A0000}"/>
    <cellStyle name="Normal 2 6 7 6" xfId="28145" xr:uid="{00000000-0005-0000-0000-0000F96A0000}"/>
    <cellStyle name="Normal 2 6 7 6 2" xfId="28146" xr:uid="{00000000-0005-0000-0000-0000FA6A0000}"/>
    <cellStyle name="Normal 2 6 7 6 3" xfId="28147" xr:uid="{00000000-0005-0000-0000-0000FB6A0000}"/>
    <cellStyle name="Normal 2 6 7 6 4" xfId="28148" xr:uid="{00000000-0005-0000-0000-0000FC6A0000}"/>
    <cellStyle name="Normal 2 6 7 6 5" xfId="28149" xr:uid="{00000000-0005-0000-0000-0000FD6A0000}"/>
    <cellStyle name="Normal 2 6 7 6 6" xfId="28150" xr:uid="{00000000-0005-0000-0000-0000FE6A0000}"/>
    <cellStyle name="Normal 2 6 7 7" xfId="28151" xr:uid="{00000000-0005-0000-0000-0000FF6A0000}"/>
    <cellStyle name="Normal 2 6 7 7 2" xfId="28152" xr:uid="{00000000-0005-0000-0000-0000006B0000}"/>
    <cellStyle name="Normal 2 6 7 7 3" xfId="28153" xr:uid="{00000000-0005-0000-0000-0000016B0000}"/>
    <cellStyle name="Normal 2 6 7 7 4" xfId="28154" xr:uid="{00000000-0005-0000-0000-0000026B0000}"/>
    <cellStyle name="Normal 2 6 7 7 5" xfId="28155" xr:uid="{00000000-0005-0000-0000-0000036B0000}"/>
    <cellStyle name="Normal 2 6 7 7 6" xfId="28156" xr:uid="{00000000-0005-0000-0000-0000046B0000}"/>
    <cellStyle name="Normal 2 6 7 8" xfId="28157" xr:uid="{00000000-0005-0000-0000-0000056B0000}"/>
    <cellStyle name="Normal 2 6 7 8 2" xfId="28158" xr:uid="{00000000-0005-0000-0000-0000066B0000}"/>
    <cellStyle name="Normal 2 6 7 8 3" xfId="28159" xr:uid="{00000000-0005-0000-0000-0000076B0000}"/>
    <cellStyle name="Normal 2 6 7 8 4" xfId="28160" xr:uid="{00000000-0005-0000-0000-0000086B0000}"/>
    <cellStyle name="Normal 2 6 7 8 5" xfId="28161" xr:uid="{00000000-0005-0000-0000-0000096B0000}"/>
    <cellStyle name="Normal 2 6 7 8 6" xfId="28162" xr:uid="{00000000-0005-0000-0000-00000A6B0000}"/>
    <cellStyle name="Normal 2 6 7 9" xfId="28163" xr:uid="{00000000-0005-0000-0000-00000B6B0000}"/>
    <cellStyle name="Normal 2 6 8" xfId="28164" xr:uid="{00000000-0005-0000-0000-00000C6B0000}"/>
    <cellStyle name="Normal 2 6 8 10" xfId="28165" xr:uid="{00000000-0005-0000-0000-00000D6B0000}"/>
    <cellStyle name="Normal 2 6 8 11" xfId="28166" xr:uid="{00000000-0005-0000-0000-00000E6B0000}"/>
    <cellStyle name="Normal 2 6 8 12" xfId="28167" xr:uid="{00000000-0005-0000-0000-00000F6B0000}"/>
    <cellStyle name="Normal 2 6 8 13" xfId="28168" xr:uid="{00000000-0005-0000-0000-0000106B0000}"/>
    <cellStyle name="Normal 2 6 8 2" xfId="28169" xr:uid="{00000000-0005-0000-0000-0000116B0000}"/>
    <cellStyle name="Normal 2 6 8 2 2" xfId="28170" xr:uid="{00000000-0005-0000-0000-0000126B0000}"/>
    <cellStyle name="Normal 2 6 8 2 3" xfId="28171" xr:uid="{00000000-0005-0000-0000-0000136B0000}"/>
    <cellStyle name="Normal 2 6 8 2 4" xfId="28172" xr:uid="{00000000-0005-0000-0000-0000146B0000}"/>
    <cellStyle name="Normal 2 6 8 2 5" xfId="28173" xr:uid="{00000000-0005-0000-0000-0000156B0000}"/>
    <cellStyle name="Normal 2 6 8 2 6" xfId="28174" xr:uid="{00000000-0005-0000-0000-0000166B0000}"/>
    <cellStyle name="Normal 2 6 8 3" xfId="28175" xr:uid="{00000000-0005-0000-0000-0000176B0000}"/>
    <cellStyle name="Normal 2 6 8 3 2" xfId="28176" xr:uid="{00000000-0005-0000-0000-0000186B0000}"/>
    <cellStyle name="Normal 2 6 8 3 3" xfId="28177" xr:uid="{00000000-0005-0000-0000-0000196B0000}"/>
    <cellStyle name="Normal 2 6 8 3 4" xfId="28178" xr:uid="{00000000-0005-0000-0000-00001A6B0000}"/>
    <cellStyle name="Normal 2 6 8 3 5" xfId="28179" xr:uid="{00000000-0005-0000-0000-00001B6B0000}"/>
    <cellStyle name="Normal 2 6 8 3 6" xfId="28180" xr:uid="{00000000-0005-0000-0000-00001C6B0000}"/>
    <cellStyle name="Normal 2 6 8 4" xfId="28181" xr:uid="{00000000-0005-0000-0000-00001D6B0000}"/>
    <cellStyle name="Normal 2 6 8 4 2" xfId="28182" xr:uid="{00000000-0005-0000-0000-00001E6B0000}"/>
    <cellStyle name="Normal 2 6 8 4 3" xfId="28183" xr:uid="{00000000-0005-0000-0000-00001F6B0000}"/>
    <cellStyle name="Normal 2 6 8 4 4" xfId="28184" xr:uid="{00000000-0005-0000-0000-0000206B0000}"/>
    <cellStyle name="Normal 2 6 8 4 5" xfId="28185" xr:uid="{00000000-0005-0000-0000-0000216B0000}"/>
    <cellStyle name="Normal 2 6 8 4 6" xfId="28186" xr:uid="{00000000-0005-0000-0000-0000226B0000}"/>
    <cellStyle name="Normal 2 6 8 5" xfId="28187" xr:uid="{00000000-0005-0000-0000-0000236B0000}"/>
    <cellStyle name="Normal 2 6 8 5 2" xfId="28188" xr:uid="{00000000-0005-0000-0000-0000246B0000}"/>
    <cellStyle name="Normal 2 6 8 5 3" xfId="28189" xr:uid="{00000000-0005-0000-0000-0000256B0000}"/>
    <cellStyle name="Normal 2 6 8 5 4" xfId="28190" xr:uid="{00000000-0005-0000-0000-0000266B0000}"/>
    <cellStyle name="Normal 2 6 8 5 5" xfId="28191" xr:uid="{00000000-0005-0000-0000-0000276B0000}"/>
    <cellStyle name="Normal 2 6 8 5 6" xfId="28192" xr:uid="{00000000-0005-0000-0000-0000286B0000}"/>
    <cellStyle name="Normal 2 6 8 6" xfId="28193" xr:uid="{00000000-0005-0000-0000-0000296B0000}"/>
    <cellStyle name="Normal 2 6 8 6 2" xfId="28194" xr:uid="{00000000-0005-0000-0000-00002A6B0000}"/>
    <cellStyle name="Normal 2 6 8 6 3" xfId="28195" xr:uid="{00000000-0005-0000-0000-00002B6B0000}"/>
    <cellStyle name="Normal 2 6 8 6 4" xfId="28196" xr:uid="{00000000-0005-0000-0000-00002C6B0000}"/>
    <cellStyle name="Normal 2 6 8 6 5" xfId="28197" xr:uid="{00000000-0005-0000-0000-00002D6B0000}"/>
    <cellStyle name="Normal 2 6 8 6 6" xfId="28198" xr:uid="{00000000-0005-0000-0000-00002E6B0000}"/>
    <cellStyle name="Normal 2 6 8 7" xfId="28199" xr:uid="{00000000-0005-0000-0000-00002F6B0000}"/>
    <cellStyle name="Normal 2 6 8 7 2" xfId="28200" xr:uid="{00000000-0005-0000-0000-0000306B0000}"/>
    <cellStyle name="Normal 2 6 8 7 3" xfId="28201" xr:uid="{00000000-0005-0000-0000-0000316B0000}"/>
    <cellStyle name="Normal 2 6 8 7 4" xfId="28202" xr:uid="{00000000-0005-0000-0000-0000326B0000}"/>
    <cellStyle name="Normal 2 6 8 7 5" xfId="28203" xr:uid="{00000000-0005-0000-0000-0000336B0000}"/>
    <cellStyle name="Normal 2 6 8 7 6" xfId="28204" xr:uid="{00000000-0005-0000-0000-0000346B0000}"/>
    <cellStyle name="Normal 2 6 8 8" xfId="28205" xr:uid="{00000000-0005-0000-0000-0000356B0000}"/>
    <cellStyle name="Normal 2 6 8 8 2" xfId="28206" xr:uid="{00000000-0005-0000-0000-0000366B0000}"/>
    <cellStyle name="Normal 2 6 8 8 3" xfId="28207" xr:uid="{00000000-0005-0000-0000-0000376B0000}"/>
    <cellStyle name="Normal 2 6 8 8 4" xfId="28208" xr:uid="{00000000-0005-0000-0000-0000386B0000}"/>
    <cellStyle name="Normal 2 6 8 8 5" xfId="28209" xr:uid="{00000000-0005-0000-0000-0000396B0000}"/>
    <cellStyle name="Normal 2 6 8 8 6" xfId="28210" xr:uid="{00000000-0005-0000-0000-00003A6B0000}"/>
    <cellStyle name="Normal 2 6 8 9" xfId="28211" xr:uid="{00000000-0005-0000-0000-00003B6B0000}"/>
    <cellStyle name="Normal 2 6 9" xfId="28212" xr:uid="{00000000-0005-0000-0000-00003C6B0000}"/>
    <cellStyle name="Normal 2 60" xfId="28213" xr:uid="{00000000-0005-0000-0000-00003D6B0000}"/>
    <cellStyle name="Normal 2 60 2" xfId="28214" xr:uid="{00000000-0005-0000-0000-00003E6B0000}"/>
    <cellStyle name="Normal 2 60 3" xfId="28215" xr:uid="{00000000-0005-0000-0000-00003F6B0000}"/>
    <cellStyle name="Normal 2 60 4" xfId="28216" xr:uid="{00000000-0005-0000-0000-0000406B0000}"/>
    <cellStyle name="Normal 2 60 5" xfId="28217" xr:uid="{00000000-0005-0000-0000-0000416B0000}"/>
    <cellStyle name="Normal 2 60 6" xfId="28218" xr:uid="{00000000-0005-0000-0000-0000426B0000}"/>
    <cellStyle name="Normal 2 60 7" xfId="28219" xr:uid="{00000000-0005-0000-0000-0000436B0000}"/>
    <cellStyle name="Normal 2 61" xfId="28220" xr:uid="{00000000-0005-0000-0000-0000446B0000}"/>
    <cellStyle name="Normal 2 61 2" xfId="28221" xr:uid="{00000000-0005-0000-0000-0000456B0000}"/>
    <cellStyle name="Normal 2 61 3" xfId="28222" xr:uid="{00000000-0005-0000-0000-0000466B0000}"/>
    <cellStyle name="Normal 2 61 4" xfId="28223" xr:uid="{00000000-0005-0000-0000-0000476B0000}"/>
    <cellStyle name="Normal 2 61 5" xfId="28224" xr:uid="{00000000-0005-0000-0000-0000486B0000}"/>
    <cellStyle name="Normal 2 61 6" xfId="28225" xr:uid="{00000000-0005-0000-0000-0000496B0000}"/>
    <cellStyle name="Normal 2 61 7" xfId="28226" xr:uid="{00000000-0005-0000-0000-00004A6B0000}"/>
    <cellStyle name="Normal 2 62" xfId="28227" xr:uid="{00000000-0005-0000-0000-00004B6B0000}"/>
    <cellStyle name="Normal 2 62 2" xfId="28228" xr:uid="{00000000-0005-0000-0000-00004C6B0000}"/>
    <cellStyle name="Normal 2 62 3" xfId="28229" xr:uid="{00000000-0005-0000-0000-00004D6B0000}"/>
    <cellStyle name="Normal 2 62 4" xfId="28230" xr:uid="{00000000-0005-0000-0000-00004E6B0000}"/>
    <cellStyle name="Normal 2 62 5" xfId="28231" xr:uid="{00000000-0005-0000-0000-00004F6B0000}"/>
    <cellStyle name="Normal 2 62 6" xfId="28232" xr:uid="{00000000-0005-0000-0000-0000506B0000}"/>
    <cellStyle name="Normal 2 62 7" xfId="28233" xr:uid="{00000000-0005-0000-0000-0000516B0000}"/>
    <cellStyle name="Normal 2 63" xfId="28234" xr:uid="{00000000-0005-0000-0000-0000526B0000}"/>
    <cellStyle name="Normal 2 63 2" xfId="28235" xr:uid="{00000000-0005-0000-0000-0000536B0000}"/>
    <cellStyle name="Normal 2 63 3" xfId="28236" xr:uid="{00000000-0005-0000-0000-0000546B0000}"/>
    <cellStyle name="Normal 2 63 4" xfId="28237" xr:uid="{00000000-0005-0000-0000-0000556B0000}"/>
    <cellStyle name="Normal 2 63 5" xfId="28238" xr:uid="{00000000-0005-0000-0000-0000566B0000}"/>
    <cellStyle name="Normal 2 63 6" xfId="28239" xr:uid="{00000000-0005-0000-0000-0000576B0000}"/>
    <cellStyle name="Normal 2 63 7" xfId="28240" xr:uid="{00000000-0005-0000-0000-0000586B0000}"/>
    <cellStyle name="Normal 2 64" xfId="28241" xr:uid="{00000000-0005-0000-0000-0000596B0000}"/>
    <cellStyle name="Normal 2 65" xfId="28242" xr:uid="{00000000-0005-0000-0000-00005A6B0000}"/>
    <cellStyle name="Normal 2 66" xfId="28243" xr:uid="{00000000-0005-0000-0000-00005B6B0000}"/>
    <cellStyle name="Normal 2 67" xfId="28244" xr:uid="{00000000-0005-0000-0000-00005C6B0000}"/>
    <cellStyle name="Normal 2 68" xfId="28245" xr:uid="{00000000-0005-0000-0000-00005D6B0000}"/>
    <cellStyle name="Normal 2 68 2" xfId="28246" xr:uid="{00000000-0005-0000-0000-00005E6B0000}"/>
    <cellStyle name="Normal 2 68 2 2" xfId="28247" xr:uid="{00000000-0005-0000-0000-00005F6B0000}"/>
    <cellStyle name="Normal 2 68 2 2 2" xfId="28248" xr:uid="{00000000-0005-0000-0000-0000606B0000}"/>
    <cellStyle name="Normal 2 68 2 2 2 2" xfId="28249" xr:uid="{00000000-0005-0000-0000-0000616B0000}"/>
    <cellStyle name="Normal 2 68 2 2 2 3" xfId="28250" xr:uid="{00000000-0005-0000-0000-0000626B0000}"/>
    <cellStyle name="Normal 2 68 2 2 2 4" xfId="28251" xr:uid="{00000000-0005-0000-0000-0000636B0000}"/>
    <cellStyle name="Normal 2 68 2 2 2 5" xfId="28252" xr:uid="{00000000-0005-0000-0000-0000646B0000}"/>
    <cellStyle name="Normal 2 68 2 2 2 6" xfId="28253" xr:uid="{00000000-0005-0000-0000-0000656B0000}"/>
    <cellStyle name="Normal 2 68 2 3" xfId="28254" xr:uid="{00000000-0005-0000-0000-0000666B0000}"/>
    <cellStyle name="Normal 2 68 2 4" xfId="28255" xr:uid="{00000000-0005-0000-0000-0000676B0000}"/>
    <cellStyle name="Normal 2 68 2 5" xfId="28256" xr:uid="{00000000-0005-0000-0000-0000686B0000}"/>
    <cellStyle name="Normal 2 68 2 6" xfId="28257" xr:uid="{00000000-0005-0000-0000-0000696B0000}"/>
    <cellStyle name="Normal 2 68 2 7" xfId="28258" xr:uid="{00000000-0005-0000-0000-00006A6B0000}"/>
    <cellStyle name="Normal 2 68 3" xfId="28259" xr:uid="{00000000-0005-0000-0000-00006B6B0000}"/>
    <cellStyle name="Normal 2 68 3 2" xfId="28260" xr:uid="{00000000-0005-0000-0000-00006C6B0000}"/>
    <cellStyle name="Normal 2 68 3 3" xfId="28261" xr:uid="{00000000-0005-0000-0000-00006D6B0000}"/>
    <cellStyle name="Normal 2 68 3 4" xfId="28262" xr:uid="{00000000-0005-0000-0000-00006E6B0000}"/>
    <cellStyle name="Normal 2 68 3 5" xfId="28263" xr:uid="{00000000-0005-0000-0000-00006F6B0000}"/>
    <cellStyle name="Normal 2 68 3 6" xfId="28264" xr:uid="{00000000-0005-0000-0000-0000706B0000}"/>
    <cellStyle name="Normal 2 69" xfId="28265" xr:uid="{00000000-0005-0000-0000-0000716B0000}"/>
    <cellStyle name="Normal 2 69 2" xfId="28266" xr:uid="{00000000-0005-0000-0000-0000726B0000}"/>
    <cellStyle name="Normal 2 69 3" xfId="28267" xr:uid="{00000000-0005-0000-0000-0000736B0000}"/>
    <cellStyle name="Normal 2 69 4" xfId="28268" xr:uid="{00000000-0005-0000-0000-0000746B0000}"/>
    <cellStyle name="Normal 2 69 5" xfId="28269" xr:uid="{00000000-0005-0000-0000-0000756B0000}"/>
    <cellStyle name="Normal 2 69 6" xfId="28270" xr:uid="{00000000-0005-0000-0000-0000766B0000}"/>
    <cellStyle name="Normal 2 7" xfId="1886" xr:uid="{00000000-0005-0000-0000-0000776B0000}"/>
    <cellStyle name="Normal 2 7 10" xfId="28271" xr:uid="{00000000-0005-0000-0000-0000786B0000}"/>
    <cellStyle name="Normal 2 7 11" xfId="28272" xr:uid="{00000000-0005-0000-0000-0000796B0000}"/>
    <cellStyle name="Normal 2 7 12" xfId="28273" xr:uid="{00000000-0005-0000-0000-00007A6B0000}"/>
    <cellStyle name="Normal 2 7 13" xfId="28274" xr:uid="{00000000-0005-0000-0000-00007B6B0000}"/>
    <cellStyle name="Normal 2 7 14" xfId="28275" xr:uid="{00000000-0005-0000-0000-00007C6B0000}"/>
    <cellStyle name="Normal 2 7 15" xfId="28276" xr:uid="{00000000-0005-0000-0000-00007D6B0000}"/>
    <cellStyle name="Normal 2 7 16" xfId="28277" xr:uid="{00000000-0005-0000-0000-00007E6B0000}"/>
    <cellStyle name="Normal 2 7 17" xfId="28278" xr:uid="{00000000-0005-0000-0000-00007F6B0000}"/>
    <cellStyle name="Normal 2 7 18" xfId="28279" xr:uid="{00000000-0005-0000-0000-0000806B0000}"/>
    <cellStyle name="Normal 2 7 19" xfId="28280" xr:uid="{00000000-0005-0000-0000-0000816B0000}"/>
    <cellStyle name="Normal 2 7 2" xfId="28281" xr:uid="{00000000-0005-0000-0000-0000826B0000}"/>
    <cellStyle name="Normal 2 7 20" xfId="28282" xr:uid="{00000000-0005-0000-0000-0000836B0000}"/>
    <cellStyle name="Normal 2 7 21" xfId="28283" xr:uid="{00000000-0005-0000-0000-0000846B0000}"/>
    <cellStyle name="Normal 2 7 22" xfId="28284" xr:uid="{00000000-0005-0000-0000-0000856B0000}"/>
    <cellStyle name="Normal 2 7 23" xfId="28285" xr:uid="{00000000-0005-0000-0000-0000866B0000}"/>
    <cellStyle name="Normal 2 7 24" xfId="28286" xr:uid="{00000000-0005-0000-0000-0000876B0000}"/>
    <cellStyle name="Normal 2 7 25" xfId="28287" xr:uid="{00000000-0005-0000-0000-0000886B0000}"/>
    <cellStyle name="Normal 2 7 26" xfId="28288" xr:uid="{00000000-0005-0000-0000-0000896B0000}"/>
    <cellStyle name="Normal 2 7 27" xfId="28289" xr:uid="{00000000-0005-0000-0000-00008A6B0000}"/>
    <cellStyle name="Normal 2 7 28" xfId="28290" xr:uid="{00000000-0005-0000-0000-00008B6B0000}"/>
    <cellStyle name="Normal 2 7 29" xfId="28291" xr:uid="{00000000-0005-0000-0000-00008C6B0000}"/>
    <cellStyle name="Normal 2 7 3" xfId="28292" xr:uid="{00000000-0005-0000-0000-00008D6B0000}"/>
    <cellStyle name="Normal 2 7 30" xfId="28293" xr:uid="{00000000-0005-0000-0000-00008E6B0000}"/>
    <cellStyle name="Normal 2 7 31" xfId="28294" xr:uid="{00000000-0005-0000-0000-00008F6B0000}"/>
    <cellStyle name="Normal 2 7 32" xfId="28295" xr:uid="{00000000-0005-0000-0000-0000906B0000}"/>
    <cellStyle name="Normal 2 7 33" xfId="28296" xr:uid="{00000000-0005-0000-0000-0000916B0000}"/>
    <cellStyle name="Normal 2 7 34" xfId="28297" xr:uid="{00000000-0005-0000-0000-0000926B0000}"/>
    <cellStyle name="Normal 2 7 35" xfId="28298" xr:uid="{00000000-0005-0000-0000-0000936B0000}"/>
    <cellStyle name="Normal 2 7 36" xfId="28299" xr:uid="{00000000-0005-0000-0000-0000946B0000}"/>
    <cellStyle name="Normal 2 7 37" xfId="28300" xr:uid="{00000000-0005-0000-0000-0000956B0000}"/>
    <cellStyle name="Normal 2 7 38" xfId="28301" xr:uid="{00000000-0005-0000-0000-0000966B0000}"/>
    <cellStyle name="Normal 2 7 39" xfId="28302" xr:uid="{00000000-0005-0000-0000-0000976B0000}"/>
    <cellStyle name="Normal 2 7 4" xfId="28303" xr:uid="{00000000-0005-0000-0000-0000986B0000}"/>
    <cellStyle name="Normal 2 7 40" xfId="28304" xr:uid="{00000000-0005-0000-0000-0000996B0000}"/>
    <cellStyle name="Normal 2 7 41" xfId="28305" xr:uid="{00000000-0005-0000-0000-00009A6B0000}"/>
    <cellStyle name="Normal 2 7 42" xfId="28306" xr:uid="{00000000-0005-0000-0000-00009B6B0000}"/>
    <cellStyle name="Normal 2 7 43" xfId="28307" xr:uid="{00000000-0005-0000-0000-00009C6B0000}"/>
    <cellStyle name="Normal 2 7 44" xfId="28308" xr:uid="{00000000-0005-0000-0000-00009D6B0000}"/>
    <cellStyle name="Normal 2 7 45" xfId="28309" xr:uid="{00000000-0005-0000-0000-00009E6B0000}"/>
    <cellStyle name="Normal 2 7 46" xfId="28310" xr:uid="{00000000-0005-0000-0000-00009F6B0000}"/>
    <cellStyle name="Normal 2 7 47" xfId="28311" xr:uid="{00000000-0005-0000-0000-0000A06B0000}"/>
    <cellStyle name="Normal 2 7 48" xfId="28312" xr:uid="{00000000-0005-0000-0000-0000A16B0000}"/>
    <cellStyle name="Normal 2 7 49" xfId="28313" xr:uid="{00000000-0005-0000-0000-0000A26B0000}"/>
    <cellStyle name="Normal 2 7 5" xfId="28314" xr:uid="{00000000-0005-0000-0000-0000A36B0000}"/>
    <cellStyle name="Normal 2 7 50" xfId="28315" xr:uid="{00000000-0005-0000-0000-0000A46B0000}"/>
    <cellStyle name="Normal 2 7 51" xfId="28316" xr:uid="{00000000-0005-0000-0000-0000A56B0000}"/>
    <cellStyle name="Normal 2 7 52" xfId="28317" xr:uid="{00000000-0005-0000-0000-0000A66B0000}"/>
    <cellStyle name="Normal 2 7 53" xfId="28318" xr:uid="{00000000-0005-0000-0000-0000A76B0000}"/>
    <cellStyle name="Normal 2 7 6" xfId="28319" xr:uid="{00000000-0005-0000-0000-0000A86B0000}"/>
    <cellStyle name="Normal 2 7 7" xfId="28320" xr:uid="{00000000-0005-0000-0000-0000A96B0000}"/>
    <cellStyle name="Normal 2 7 8" xfId="28321" xr:uid="{00000000-0005-0000-0000-0000AA6B0000}"/>
    <cellStyle name="Normal 2 7 9" xfId="28322" xr:uid="{00000000-0005-0000-0000-0000AB6B0000}"/>
    <cellStyle name="Normal 2 70" xfId="28323" xr:uid="{00000000-0005-0000-0000-0000AC6B0000}"/>
    <cellStyle name="Normal 2 70 2" xfId="28324" xr:uid="{00000000-0005-0000-0000-0000AD6B0000}"/>
    <cellStyle name="Normal 2 70 3" xfId="28325" xr:uid="{00000000-0005-0000-0000-0000AE6B0000}"/>
    <cellStyle name="Normal 2 70 4" xfId="28326" xr:uid="{00000000-0005-0000-0000-0000AF6B0000}"/>
    <cellStyle name="Normal 2 70 5" xfId="28327" xr:uid="{00000000-0005-0000-0000-0000B06B0000}"/>
    <cellStyle name="Normal 2 70 6" xfId="28328" xr:uid="{00000000-0005-0000-0000-0000B16B0000}"/>
    <cellStyle name="Normal 2 71" xfId="28329" xr:uid="{00000000-0005-0000-0000-0000B26B0000}"/>
    <cellStyle name="Normal 2 71 2" xfId="28330" xr:uid="{00000000-0005-0000-0000-0000B36B0000}"/>
    <cellStyle name="Normal 2 71 3" xfId="28331" xr:uid="{00000000-0005-0000-0000-0000B46B0000}"/>
    <cellStyle name="Normal 2 71 4" xfId="28332" xr:uid="{00000000-0005-0000-0000-0000B56B0000}"/>
    <cellStyle name="Normal 2 71 5" xfId="28333" xr:uid="{00000000-0005-0000-0000-0000B66B0000}"/>
    <cellStyle name="Normal 2 71 6" xfId="28334" xr:uid="{00000000-0005-0000-0000-0000B76B0000}"/>
    <cellStyle name="Normal 2 72" xfId="28335" xr:uid="{00000000-0005-0000-0000-0000B86B0000}"/>
    <cellStyle name="Normal 2 72 2" xfId="28336" xr:uid="{00000000-0005-0000-0000-0000B96B0000}"/>
    <cellStyle name="Normal 2 72 3" xfId="28337" xr:uid="{00000000-0005-0000-0000-0000BA6B0000}"/>
    <cellStyle name="Normal 2 72 4" xfId="28338" xr:uid="{00000000-0005-0000-0000-0000BB6B0000}"/>
    <cellStyle name="Normal 2 72 5" xfId="28339" xr:uid="{00000000-0005-0000-0000-0000BC6B0000}"/>
    <cellStyle name="Normal 2 72 6" xfId="28340" xr:uid="{00000000-0005-0000-0000-0000BD6B0000}"/>
    <cellStyle name="Normal 2 73" xfId="28341" xr:uid="{00000000-0005-0000-0000-0000BE6B0000}"/>
    <cellStyle name="Normal 2 73 2" xfId="28342" xr:uid="{00000000-0005-0000-0000-0000BF6B0000}"/>
    <cellStyle name="Normal 2 73 3" xfId="28343" xr:uid="{00000000-0005-0000-0000-0000C06B0000}"/>
    <cellStyle name="Normal 2 73 4" xfId="28344" xr:uid="{00000000-0005-0000-0000-0000C16B0000}"/>
    <cellStyle name="Normal 2 73 5" xfId="28345" xr:uid="{00000000-0005-0000-0000-0000C26B0000}"/>
    <cellStyle name="Normal 2 73 6" xfId="28346" xr:uid="{00000000-0005-0000-0000-0000C36B0000}"/>
    <cellStyle name="Normal 2 74" xfId="28347" xr:uid="{00000000-0005-0000-0000-0000C46B0000}"/>
    <cellStyle name="Normal 2 74 2" xfId="28348" xr:uid="{00000000-0005-0000-0000-0000C56B0000}"/>
    <cellStyle name="Normal 2 74 3" xfId="28349" xr:uid="{00000000-0005-0000-0000-0000C66B0000}"/>
    <cellStyle name="Normal 2 74 4" xfId="28350" xr:uid="{00000000-0005-0000-0000-0000C76B0000}"/>
    <cellStyle name="Normal 2 74 5" xfId="28351" xr:uid="{00000000-0005-0000-0000-0000C86B0000}"/>
    <cellStyle name="Normal 2 74 6" xfId="28352" xr:uid="{00000000-0005-0000-0000-0000C96B0000}"/>
    <cellStyle name="Normal 2 75" xfId="28353" xr:uid="{00000000-0005-0000-0000-0000CA6B0000}"/>
    <cellStyle name="Normal 2 75 2" xfId="28354" xr:uid="{00000000-0005-0000-0000-0000CB6B0000}"/>
    <cellStyle name="Normal 2 75 3" xfId="28355" xr:uid="{00000000-0005-0000-0000-0000CC6B0000}"/>
    <cellStyle name="Normal 2 75 4" xfId="28356" xr:uid="{00000000-0005-0000-0000-0000CD6B0000}"/>
    <cellStyle name="Normal 2 75 5" xfId="28357" xr:uid="{00000000-0005-0000-0000-0000CE6B0000}"/>
    <cellStyle name="Normal 2 75 6" xfId="28358" xr:uid="{00000000-0005-0000-0000-0000CF6B0000}"/>
    <cellStyle name="Normal 2 76" xfId="28359" xr:uid="{00000000-0005-0000-0000-0000D06B0000}"/>
    <cellStyle name="Normal 2 76 2" xfId="28360" xr:uid="{00000000-0005-0000-0000-0000D16B0000}"/>
    <cellStyle name="Normal 2 76 3" xfId="28361" xr:uid="{00000000-0005-0000-0000-0000D26B0000}"/>
    <cellStyle name="Normal 2 76 4" xfId="28362" xr:uid="{00000000-0005-0000-0000-0000D36B0000}"/>
    <cellStyle name="Normal 2 76 5" xfId="28363" xr:uid="{00000000-0005-0000-0000-0000D46B0000}"/>
    <cellStyle name="Normal 2 76 6" xfId="28364" xr:uid="{00000000-0005-0000-0000-0000D56B0000}"/>
    <cellStyle name="Normal 2 77" xfId="28365" xr:uid="{00000000-0005-0000-0000-0000D66B0000}"/>
    <cellStyle name="Normal 2 77 2" xfId="28366" xr:uid="{00000000-0005-0000-0000-0000D76B0000}"/>
    <cellStyle name="Normal 2 77 3" xfId="28367" xr:uid="{00000000-0005-0000-0000-0000D86B0000}"/>
    <cellStyle name="Normal 2 77 4" xfId="28368" xr:uid="{00000000-0005-0000-0000-0000D96B0000}"/>
    <cellStyle name="Normal 2 77 5" xfId="28369" xr:uid="{00000000-0005-0000-0000-0000DA6B0000}"/>
    <cellStyle name="Normal 2 77 6" xfId="28370" xr:uid="{00000000-0005-0000-0000-0000DB6B0000}"/>
    <cellStyle name="Normal 2 78" xfId="28371" xr:uid="{00000000-0005-0000-0000-0000DC6B0000}"/>
    <cellStyle name="Normal 2 78 2" xfId="28372" xr:uid="{00000000-0005-0000-0000-0000DD6B0000}"/>
    <cellStyle name="Normal 2 78 3" xfId="28373" xr:uid="{00000000-0005-0000-0000-0000DE6B0000}"/>
    <cellStyle name="Normal 2 78 4" xfId="28374" xr:uid="{00000000-0005-0000-0000-0000DF6B0000}"/>
    <cellStyle name="Normal 2 78 5" xfId="28375" xr:uid="{00000000-0005-0000-0000-0000E06B0000}"/>
    <cellStyle name="Normal 2 78 6" xfId="28376" xr:uid="{00000000-0005-0000-0000-0000E16B0000}"/>
    <cellStyle name="Normal 2 79" xfId="28377" xr:uid="{00000000-0005-0000-0000-0000E26B0000}"/>
    <cellStyle name="Normal 2 79 2" xfId="28378" xr:uid="{00000000-0005-0000-0000-0000E36B0000}"/>
    <cellStyle name="Normal 2 79 3" xfId="28379" xr:uid="{00000000-0005-0000-0000-0000E46B0000}"/>
    <cellStyle name="Normal 2 79 4" xfId="28380" xr:uid="{00000000-0005-0000-0000-0000E56B0000}"/>
    <cellStyle name="Normal 2 79 5" xfId="28381" xr:uid="{00000000-0005-0000-0000-0000E66B0000}"/>
    <cellStyle name="Normal 2 79 6" xfId="28382" xr:uid="{00000000-0005-0000-0000-0000E76B0000}"/>
    <cellStyle name="Normal 2 8" xfId="28383" xr:uid="{00000000-0005-0000-0000-0000E86B0000}"/>
    <cellStyle name="Normal 2 8 10" xfId="28384" xr:uid="{00000000-0005-0000-0000-0000E96B0000}"/>
    <cellStyle name="Normal 2 8 11" xfId="28385" xr:uid="{00000000-0005-0000-0000-0000EA6B0000}"/>
    <cellStyle name="Normal 2 8 12" xfId="28386" xr:uid="{00000000-0005-0000-0000-0000EB6B0000}"/>
    <cellStyle name="Normal 2 8 13" xfId="28387" xr:uid="{00000000-0005-0000-0000-0000EC6B0000}"/>
    <cellStyle name="Normal 2 8 14" xfId="28388" xr:uid="{00000000-0005-0000-0000-0000ED6B0000}"/>
    <cellStyle name="Normal 2 8 15" xfId="28389" xr:uid="{00000000-0005-0000-0000-0000EE6B0000}"/>
    <cellStyle name="Normal 2 8 16" xfId="28390" xr:uid="{00000000-0005-0000-0000-0000EF6B0000}"/>
    <cellStyle name="Normal 2 8 17" xfId="28391" xr:uid="{00000000-0005-0000-0000-0000F06B0000}"/>
    <cellStyle name="Normal 2 8 18" xfId="28392" xr:uid="{00000000-0005-0000-0000-0000F16B0000}"/>
    <cellStyle name="Normal 2 8 19" xfId="28393" xr:uid="{00000000-0005-0000-0000-0000F26B0000}"/>
    <cellStyle name="Normal 2 8 2" xfId="28394" xr:uid="{00000000-0005-0000-0000-0000F36B0000}"/>
    <cellStyle name="Normal 2 8 20" xfId="28395" xr:uid="{00000000-0005-0000-0000-0000F46B0000}"/>
    <cellStyle name="Normal 2 8 21" xfId="28396" xr:uid="{00000000-0005-0000-0000-0000F56B0000}"/>
    <cellStyle name="Normal 2 8 22" xfId="28397" xr:uid="{00000000-0005-0000-0000-0000F66B0000}"/>
    <cellStyle name="Normal 2 8 23" xfId="28398" xr:uid="{00000000-0005-0000-0000-0000F76B0000}"/>
    <cellStyle name="Normal 2 8 24" xfId="28399" xr:uid="{00000000-0005-0000-0000-0000F86B0000}"/>
    <cellStyle name="Normal 2 8 25" xfId="28400" xr:uid="{00000000-0005-0000-0000-0000F96B0000}"/>
    <cellStyle name="Normal 2 8 26" xfId="28401" xr:uid="{00000000-0005-0000-0000-0000FA6B0000}"/>
    <cellStyle name="Normal 2 8 27" xfId="28402" xr:uid="{00000000-0005-0000-0000-0000FB6B0000}"/>
    <cellStyle name="Normal 2 8 28" xfId="28403" xr:uid="{00000000-0005-0000-0000-0000FC6B0000}"/>
    <cellStyle name="Normal 2 8 29" xfId="28404" xr:uid="{00000000-0005-0000-0000-0000FD6B0000}"/>
    <cellStyle name="Normal 2 8 3" xfId="28405" xr:uid="{00000000-0005-0000-0000-0000FE6B0000}"/>
    <cellStyle name="Normal 2 8 30" xfId="28406" xr:uid="{00000000-0005-0000-0000-0000FF6B0000}"/>
    <cellStyle name="Normal 2 8 31" xfId="28407" xr:uid="{00000000-0005-0000-0000-0000006C0000}"/>
    <cellStyle name="Normal 2 8 32" xfId="28408" xr:uid="{00000000-0005-0000-0000-0000016C0000}"/>
    <cellStyle name="Normal 2 8 33" xfId="28409" xr:uid="{00000000-0005-0000-0000-0000026C0000}"/>
    <cellStyle name="Normal 2 8 34" xfId="28410" xr:uid="{00000000-0005-0000-0000-0000036C0000}"/>
    <cellStyle name="Normal 2 8 35" xfId="28411" xr:uid="{00000000-0005-0000-0000-0000046C0000}"/>
    <cellStyle name="Normal 2 8 36" xfId="28412" xr:uid="{00000000-0005-0000-0000-0000056C0000}"/>
    <cellStyle name="Normal 2 8 37" xfId="28413" xr:uid="{00000000-0005-0000-0000-0000066C0000}"/>
    <cellStyle name="Normal 2 8 38" xfId="28414" xr:uid="{00000000-0005-0000-0000-0000076C0000}"/>
    <cellStyle name="Normal 2 8 39" xfId="28415" xr:uid="{00000000-0005-0000-0000-0000086C0000}"/>
    <cellStyle name="Normal 2 8 4" xfId="28416" xr:uid="{00000000-0005-0000-0000-0000096C0000}"/>
    <cellStyle name="Normal 2 8 40" xfId="28417" xr:uid="{00000000-0005-0000-0000-00000A6C0000}"/>
    <cellStyle name="Normal 2 8 41" xfId="28418" xr:uid="{00000000-0005-0000-0000-00000B6C0000}"/>
    <cellStyle name="Normal 2 8 42" xfId="28419" xr:uid="{00000000-0005-0000-0000-00000C6C0000}"/>
    <cellStyle name="Normal 2 8 43" xfId="28420" xr:uid="{00000000-0005-0000-0000-00000D6C0000}"/>
    <cellStyle name="Normal 2 8 44" xfId="28421" xr:uid="{00000000-0005-0000-0000-00000E6C0000}"/>
    <cellStyle name="Normal 2 8 45" xfId="28422" xr:uid="{00000000-0005-0000-0000-00000F6C0000}"/>
    <cellStyle name="Normal 2 8 46" xfId="28423" xr:uid="{00000000-0005-0000-0000-0000106C0000}"/>
    <cellStyle name="Normal 2 8 47" xfId="28424" xr:uid="{00000000-0005-0000-0000-0000116C0000}"/>
    <cellStyle name="Normal 2 8 48" xfId="28425" xr:uid="{00000000-0005-0000-0000-0000126C0000}"/>
    <cellStyle name="Normal 2 8 49" xfId="28426" xr:uid="{00000000-0005-0000-0000-0000136C0000}"/>
    <cellStyle name="Normal 2 8 5" xfId="28427" xr:uid="{00000000-0005-0000-0000-0000146C0000}"/>
    <cellStyle name="Normal 2 8 50" xfId="28428" xr:uid="{00000000-0005-0000-0000-0000156C0000}"/>
    <cellStyle name="Normal 2 8 51" xfId="28429" xr:uid="{00000000-0005-0000-0000-0000166C0000}"/>
    <cellStyle name="Normal 2 8 52" xfId="28430" xr:uid="{00000000-0005-0000-0000-0000176C0000}"/>
    <cellStyle name="Normal 2 8 53" xfId="28431" xr:uid="{00000000-0005-0000-0000-0000186C0000}"/>
    <cellStyle name="Normal 2 8 6" xfId="28432" xr:uid="{00000000-0005-0000-0000-0000196C0000}"/>
    <cellStyle name="Normal 2 8 7" xfId="28433" xr:uid="{00000000-0005-0000-0000-00001A6C0000}"/>
    <cellStyle name="Normal 2 8 8" xfId="28434" xr:uid="{00000000-0005-0000-0000-00001B6C0000}"/>
    <cellStyle name="Normal 2 8 9" xfId="28435" xr:uid="{00000000-0005-0000-0000-00001C6C0000}"/>
    <cellStyle name="Normal 2 80" xfId="28436" xr:uid="{00000000-0005-0000-0000-00001D6C0000}"/>
    <cellStyle name="Normal 2 80 2" xfId="28437" xr:uid="{00000000-0005-0000-0000-00001E6C0000}"/>
    <cellStyle name="Normal 2 80 3" xfId="28438" xr:uid="{00000000-0005-0000-0000-00001F6C0000}"/>
    <cellStyle name="Normal 2 80 4" xfId="28439" xr:uid="{00000000-0005-0000-0000-0000206C0000}"/>
    <cellStyle name="Normal 2 80 5" xfId="28440" xr:uid="{00000000-0005-0000-0000-0000216C0000}"/>
    <cellStyle name="Normal 2 80 6" xfId="28441" xr:uid="{00000000-0005-0000-0000-0000226C0000}"/>
    <cellStyle name="Normal 2 81" xfId="28442" xr:uid="{00000000-0005-0000-0000-0000236C0000}"/>
    <cellStyle name="Normal 2 81 2" xfId="28443" xr:uid="{00000000-0005-0000-0000-0000246C0000}"/>
    <cellStyle name="Normal 2 81 3" xfId="28444" xr:uid="{00000000-0005-0000-0000-0000256C0000}"/>
    <cellStyle name="Normal 2 81 4" xfId="28445" xr:uid="{00000000-0005-0000-0000-0000266C0000}"/>
    <cellStyle name="Normal 2 81 5" xfId="28446" xr:uid="{00000000-0005-0000-0000-0000276C0000}"/>
    <cellStyle name="Normal 2 81 6" xfId="28447" xr:uid="{00000000-0005-0000-0000-0000286C0000}"/>
    <cellStyle name="Normal 2 82" xfId="28448" xr:uid="{00000000-0005-0000-0000-0000296C0000}"/>
    <cellStyle name="Normal 2 82 2" xfId="28449" xr:uid="{00000000-0005-0000-0000-00002A6C0000}"/>
    <cellStyle name="Normal 2 82 3" xfId="28450" xr:uid="{00000000-0005-0000-0000-00002B6C0000}"/>
    <cellStyle name="Normal 2 82 4" xfId="28451" xr:uid="{00000000-0005-0000-0000-00002C6C0000}"/>
    <cellStyle name="Normal 2 82 5" xfId="28452" xr:uid="{00000000-0005-0000-0000-00002D6C0000}"/>
    <cellStyle name="Normal 2 82 6" xfId="28453" xr:uid="{00000000-0005-0000-0000-00002E6C0000}"/>
    <cellStyle name="Normal 2 83" xfId="28454" xr:uid="{00000000-0005-0000-0000-00002F6C0000}"/>
    <cellStyle name="Normal 2 83 2" xfId="28455" xr:uid="{00000000-0005-0000-0000-0000306C0000}"/>
    <cellStyle name="Normal 2 83 3" xfId="28456" xr:uid="{00000000-0005-0000-0000-0000316C0000}"/>
    <cellStyle name="Normal 2 83 4" xfId="28457" xr:uid="{00000000-0005-0000-0000-0000326C0000}"/>
    <cellStyle name="Normal 2 83 5" xfId="28458" xr:uid="{00000000-0005-0000-0000-0000336C0000}"/>
    <cellStyle name="Normal 2 83 6" xfId="28459" xr:uid="{00000000-0005-0000-0000-0000346C0000}"/>
    <cellStyle name="Normal 2 84" xfId="28460" xr:uid="{00000000-0005-0000-0000-0000356C0000}"/>
    <cellStyle name="Normal 2 84 2" xfId="28461" xr:uid="{00000000-0005-0000-0000-0000366C0000}"/>
    <cellStyle name="Normal 2 84 3" xfId="28462" xr:uid="{00000000-0005-0000-0000-0000376C0000}"/>
    <cellStyle name="Normal 2 84 4" xfId="28463" xr:uid="{00000000-0005-0000-0000-0000386C0000}"/>
    <cellStyle name="Normal 2 84 5" xfId="28464" xr:uid="{00000000-0005-0000-0000-0000396C0000}"/>
    <cellStyle name="Normal 2 84 6" xfId="28465" xr:uid="{00000000-0005-0000-0000-00003A6C0000}"/>
    <cellStyle name="Normal 2 85" xfId="28466" xr:uid="{00000000-0005-0000-0000-00003B6C0000}"/>
    <cellStyle name="Normal 2 85 2" xfId="28467" xr:uid="{00000000-0005-0000-0000-00003C6C0000}"/>
    <cellStyle name="Normal 2 85 3" xfId="28468" xr:uid="{00000000-0005-0000-0000-00003D6C0000}"/>
    <cellStyle name="Normal 2 85 4" xfId="28469" xr:uid="{00000000-0005-0000-0000-00003E6C0000}"/>
    <cellStyle name="Normal 2 85 5" xfId="28470" xr:uid="{00000000-0005-0000-0000-00003F6C0000}"/>
    <cellStyle name="Normal 2 85 6" xfId="28471" xr:uid="{00000000-0005-0000-0000-0000406C0000}"/>
    <cellStyle name="Normal 2 86" xfId="28472" xr:uid="{00000000-0005-0000-0000-0000416C0000}"/>
    <cellStyle name="Normal 2 86 2" xfId="28473" xr:uid="{00000000-0005-0000-0000-0000426C0000}"/>
    <cellStyle name="Normal 2 86 3" xfId="28474" xr:uid="{00000000-0005-0000-0000-0000436C0000}"/>
    <cellStyle name="Normal 2 86 4" xfId="28475" xr:uid="{00000000-0005-0000-0000-0000446C0000}"/>
    <cellStyle name="Normal 2 86 5" xfId="28476" xr:uid="{00000000-0005-0000-0000-0000456C0000}"/>
    <cellStyle name="Normal 2 86 6" xfId="28477" xr:uid="{00000000-0005-0000-0000-0000466C0000}"/>
    <cellStyle name="Normal 2 87" xfId="28478" xr:uid="{00000000-0005-0000-0000-0000476C0000}"/>
    <cellStyle name="Normal 2 87 2" xfId="28479" xr:uid="{00000000-0005-0000-0000-0000486C0000}"/>
    <cellStyle name="Normal 2 87 3" xfId="28480" xr:uid="{00000000-0005-0000-0000-0000496C0000}"/>
    <cellStyle name="Normal 2 87 4" xfId="28481" xr:uid="{00000000-0005-0000-0000-00004A6C0000}"/>
    <cellStyle name="Normal 2 87 5" xfId="28482" xr:uid="{00000000-0005-0000-0000-00004B6C0000}"/>
    <cellStyle name="Normal 2 87 6" xfId="28483" xr:uid="{00000000-0005-0000-0000-00004C6C0000}"/>
    <cellStyle name="Normal 2 88" xfId="28484" xr:uid="{00000000-0005-0000-0000-00004D6C0000}"/>
    <cellStyle name="Normal 2 88 2" xfId="28485" xr:uid="{00000000-0005-0000-0000-00004E6C0000}"/>
    <cellStyle name="Normal 2 88 2 2" xfId="28486" xr:uid="{00000000-0005-0000-0000-00004F6C0000}"/>
    <cellStyle name="Normal 2 88 2 3" xfId="28487" xr:uid="{00000000-0005-0000-0000-0000506C0000}"/>
    <cellStyle name="Normal 2 88 2 4" xfId="28488" xr:uid="{00000000-0005-0000-0000-0000516C0000}"/>
    <cellStyle name="Normal 2 88 2 5" xfId="28489" xr:uid="{00000000-0005-0000-0000-0000526C0000}"/>
    <cellStyle name="Normal 2 88 2 6" xfId="28490" xr:uid="{00000000-0005-0000-0000-0000536C0000}"/>
    <cellStyle name="Normal 2 89" xfId="28491" xr:uid="{00000000-0005-0000-0000-0000546C0000}"/>
    <cellStyle name="Normal 2 9" xfId="28492" xr:uid="{00000000-0005-0000-0000-0000556C0000}"/>
    <cellStyle name="Normal 2 9 10" xfId="28493" xr:uid="{00000000-0005-0000-0000-0000566C0000}"/>
    <cellStyle name="Normal 2 9 11" xfId="28494" xr:uid="{00000000-0005-0000-0000-0000576C0000}"/>
    <cellStyle name="Normal 2 9 12" xfId="28495" xr:uid="{00000000-0005-0000-0000-0000586C0000}"/>
    <cellStyle name="Normal 2 9 13" xfId="28496" xr:uid="{00000000-0005-0000-0000-0000596C0000}"/>
    <cellStyle name="Normal 2 9 14" xfId="28497" xr:uid="{00000000-0005-0000-0000-00005A6C0000}"/>
    <cellStyle name="Normal 2 9 15" xfId="28498" xr:uid="{00000000-0005-0000-0000-00005B6C0000}"/>
    <cellStyle name="Normal 2 9 16" xfId="28499" xr:uid="{00000000-0005-0000-0000-00005C6C0000}"/>
    <cellStyle name="Normal 2 9 17" xfId="28500" xr:uid="{00000000-0005-0000-0000-00005D6C0000}"/>
    <cellStyle name="Normal 2 9 18" xfId="28501" xr:uid="{00000000-0005-0000-0000-00005E6C0000}"/>
    <cellStyle name="Normal 2 9 19" xfId="28502" xr:uid="{00000000-0005-0000-0000-00005F6C0000}"/>
    <cellStyle name="Normal 2 9 2" xfId="28503" xr:uid="{00000000-0005-0000-0000-0000606C0000}"/>
    <cellStyle name="Normal 2 9 20" xfId="28504" xr:uid="{00000000-0005-0000-0000-0000616C0000}"/>
    <cellStyle name="Normal 2 9 21" xfId="28505" xr:uid="{00000000-0005-0000-0000-0000626C0000}"/>
    <cellStyle name="Normal 2 9 22" xfId="28506" xr:uid="{00000000-0005-0000-0000-0000636C0000}"/>
    <cellStyle name="Normal 2 9 23" xfId="28507" xr:uid="{00000000-0005-0000-0000-0000646C0000}"/>
    <cellStyle name="Normal 2 9 24" xfId="28508" xr:uid="{00000000-0005-0000-0000-0000656C0000}"/>
    <cellStyle name="Normal 2 9 25" xfId="28509" xr:uid="{00000000-0005-0000-0000-0000666C0000}"/>
    <cellStyle name="Normal 2 9 26" xfId="28510" xr:uid="{00000000-0005-0000-0000-0000676C0000}"/>
    <cellStyle name="Normal 2 9 27" xfId="28511" xr:uid="{00000000-0005-0000-0000-0000686C0000}"/>
    <cellStyle name="Normal 2 9 28" xfId="28512" xr:uid="{00000000-0005-0000-0000-0000696C0000}"/>
    <cellStyle name="Normal 2 9 29" xfId="28513" xr:uid="{00000000-0005-0000-0000-00006A6C0000}"/>
    <cellStyle name="Normal 2 9 3" xfId="28514" xr:uid="{00000000-0005-0000-0000-00006B6C0000}"/>
    <cellStyle name="Normal 2 9 30" xfId="28515" xr:uid="{00000000-0005-0000-0000-00006C6C0000}"/>
    <cellStyle name="Normal 2 9 31" xfId="28516" xr:uid="{00000000-0005-0000-0000-00006D6C0000}"/>
    <cellStyle name="Normal 2 9 32" xfId="28517" xr:uid="{00000000-0005-0000-0000-00006E6C0000}"/>
    <cellStyle name="Normal 2 9 33" xfId="28518" xr:uid="{00000000-0005-0000-0000-00006F6C0000}"/>
    <cellStyle name="Normal 2 9 34" xfId="28519" xr:uid="{00000000-0005-0000-0000-0000706C0000}"/>
    <cellStyle name="Normal 2 9 35" xfId="28520" xr:uid="{00000000-0005-0000-0000-0000716C0000}"/>
    <cellStyle name="Normal 2 9 36" xfId="28521" xr:uid="{00000000-0005-0000-0000-0000726C0000}"/>
    <cellStyle name="Normal 2 9 37" xfId="28522" xr:uid="{00000000-0005-0000-0000-0000736C0000}"/>
    <cellStyle name="Normal 2 9 38" xfId="28523" xr:uid="{00000000-0005-0000-0000-0000746C0000}"/>
    <cellStyle name="Normal 2 9 39" xfId="28524" xr:uid="{00000000-0005-0000-0000-0000756C0000}"/>
    <cellStyle name="Normal 2 9 4" xfId="28525" xr:uid="{00000000-0005-0000-0000-0000766C0000}"/>
    <cellStyle name="Normal 2 9 40" xfId="28526" xr:uid="{00000000-0005-0000-0000-0000776C0000}"/>
    <cellStyle name="Normal 2 9 41" xfId="28527" xr:uid="{00000000-0005-0000-0000-0000786C0000}"/>
    <cellStyle name="Normal 2 9 42" xfId="28528" xr:uid="{00000000-0005-0000-0000-0000796C0000}"/>
    <cellStyle name="Normal 2 9 43" xfId="28529" xr:uid="{00000000-0005-0000-0000-00007A6C0000}"/>
    <cellStyle name="Normal 2 9 44" xfId="28530" xr:uid="{00000000-0005-0000-0000-00007B6C0000}"/>
    <cellStyle name="Normal 2 9 45" xfId="28531" xr:uid="{00000000-0005-0000-0000-00007C6C0000}"/>
    <cellStyle name="Normal 2 9 46" xfId="28532" xr:uid="{00000000-0005-0000-0000-00007D6C0000}"/>
    <cellStyle name="Normal 2 9 47" xfId="28533" xr:uid="{00000000-0005-0000-0000-00007E6C0000}"/>
    <cellStyle name="Normal 2 9 48" xfId="28534" xr:uid="{00000000-0005-0000-0000-00007F6C0000}"/>
    <cellStyle name="Normal 2 9 49" xfId="28535" xr:uid="{00000000-0005-0000-0000-0000806C0000}"/>
    <cellStyle name="Normal 2 9 5" xfId="28536" xr:uid="{00000000-0005-0000-0000-0000816C0000}"/>
    <cellStyle name="Normal 2 9 50" xfId="28537" xr:uid="{00000000-0005-0000-0000-0000826C0000}"/>
    <cellStyle name="Normal 2 9 51" xfId="28538" xr:uid="{00000000-0005-0000-0000-0000836C0000}"/>
    <cellStyle name="Normal 2 9 52" xfId="28539" xr:uid="{00000000-0005-0000-0000-0000846C0000}"/>
    <cellStyle name="Normal 2 9 53" xfId="28540" xr:uid="{00000000-0005-0000-0000-0000856C0000}"/>
    <cellStyle name="Normal 2 9 6" xfId="28541" xr:uid="{00000000-0005-0000-0000-0000866C0000}"/>
    <cellStyle name="Normal 2 9 7" xfId="28542" xr:uid="{00000000-0005-0000-0000-0000876C0000}"/>
    <cellStyle name="Normal 2 9 8" xfId="28543" xr:uid="{00000000-0005-0000-0000-0000886C0000}"/>
    <cellStyle name="Normal 2 9 9" xfId="28544" xr:uid="{00000000-0005-0000-0000-0000896C0000}"/>
    <cellStyle name="Normal 2 90" xfId="28545" xr:uid="{00000000-0005-0000-0000-00008A6C0000}"/>
    <cellStyle name="Normal 2 91" xfId="28546" xr:uid="{00000000-0005-0000-0000-00008B6C0000}"/>
    <cellStyle name="Normal 2 92" xfId="28547" xr:uid="{00000000-0005-0000-0000-00008C6C0000}"/>
    <cellStyle name="Normal 2 93" xfId="28548" xr:uid="{00000000-0005-0000-0000-00008D6C0000}"/>
    <cellStyle name="Normal 2 94" xfId="28549" xr:uid="{00000000-0005-0000-0000-00008E6C0000}"/>
    <cellStyle name="Normal 2 95" xfId="28550" xr:uid="{00000000-0005-0000-0000-00008F6C0000}"/>
    <cellStyle name="Normal 2 96" xfId="28551" xr:uid="{00000000-0005-0000-0000-0000906C0000}"/>
    <cellStyle name="Normal 2 97" xfId="28552" xr:uid="{00000000-0005-0000-0000-0000916C0000}"/>
    <cellStyle name="Normal 2 98" xfId="28553" xr:uid="{00000000-0005-0000-0000-0000926C0000}"/>
    <cellStyle name="Normal 2 99" xfId="43191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4" xr:uid="{00000000-0005-0000-0000-0000966C0000}"/>
    <cellStyle name="Normal 20 10 10" xfId="28555" xr:uid="{00000000-0005-0000-0000-0000976C0000}"/>
    <cellStyle name="Normal 20 10 11" xfId="28556" xr:uid="{00000000-0005-0000-0000-0000986C0000}"/>
    <cellStyle name="Normal 20 10 12" xfId="28557" xr:uid="{00000000-0005-0000-0000-0000996C0000}"/>
    <cellStyle name="Normal 20 10 13" xfId="28558" xr:uid="{00000000-0005-0000-0000-00009A6C0000}"/>
    <cellStyle name="Normal 20 10 2" xfId="28559" xr:uid="{00000000-0005-0000-0000-00009B6C0000}"/>
    <cellStyle name="Normal 20 10 2 2" xfId="28560" xr:uid="{00000000-0005-0000-0000-00009C6C0000}"/>
    <cellStyle name="Normal 20 10 2 3" xfId="28561" xr:uid="{00000000-0005-0000-0000-00009D6C0000}"/>
    <cellStyle name="Normal 20 10 2 4" xfId="28562" xr:uid="{00000000-0005-0000-0000-00009E6C0000}"/>
    <cellStyle name="Normal 20 10 2 5" xfId="28563" xr:uid="{00000000-0005-0000-0000-00009F6C0000}"/>
    <cellStyle name="Normal 20 10 2 6" xfId="28564" xr:uid="{00000000-0005-0000-0000-0000A06C0000}"/>
    <cellStyle name="Normal 20 10 3" xfId="28565" xr:uid="{00000000-0005-0000-0000-0000A16C0000}"/>
    <cellStyle name="Normal 20 10 3 2" xfId="28566" xr:uid="{00000000-0005-0000-0000-0000A26C0000}"/>
    <cellStyle name="Normal 20 10 3 3" xfId="28567" xr:uid="{00000000-0005-0000-0000-0000A36C0000}"/>
    <cellStyle name="Normal 20 10 3 4" xfId="28568" xr:uid="{00000000-0005-0000-0000-0000A46C0000}"/>
    <cellStyle name="Normal 20 10 3 5" xfId="28569" xr:uid="{00000000-0005-0000-0000-0000A56C0000}"/>
    <cellStyle name="Normal 20 10 3 6" xfId="28570" xr:uid="{00000000-0005-0000-0000-0000A66C0000}"/>
    <cellStyle name="Normal 20 10 4" xfId="28571" xr:uid="{00000000-0005-0000-0000-0000A76C0000}"/>
    <cellStyle name="Normal 20 10 4 2" xfId="28572" xr:uid="{00000000-0005-0000-0000-0000A86C0000}"/>
    <cellStyle name="Normal 20 10 4 3" xfId="28573" xr:uid="{00000000-0005-0000-0000-0000A96C0000}"/>
    <cellStyle name="Normal 20 10 4 4" xfId="28574" xr:uid="{00000000-0005-0000-0000-0000AA6C0000}"/>
    <cellStyle name="Normal 20 10 4 5" xfId="28575" xr:uid="{00000000-0005-0000-0000-0000AB6C0000}"/>
    <cellStyle name="Normal 20 10 4 6" xfId="28576" xr:uid="{00000000-0005-0000-0000-0000AC6C0000}"/>
    <cellStyle name="Normal 20 10 5" xfId="28577" xr:uid="{00000000-0005-0000-0000-0000AD6C0000}"/>
    <cellStyle name="Normal 20 10 5 2" xfId="28578" xr:uid="{00000000-0005-0000-0000-0000AE6C0000}"/>
    <cellStyle name="Normal 20 10 5 3" xfId="28579" xr:uid="{00000000-0005-0000-0000-0000AF6C0000}"/>
    <cellStyle name="Normal 20 10 5 4" xfId="28580" xr:uid="{00000000-0005-0000-0000-0000B06C0000}"/>
    <cellStyle name="Normal 20 10 5 5" xfId="28581" xr:uid="{00000000-0005-0000-0000-0000B16C0000}"/>
    <cellStyle name="Normal 20 10 5 6" xfId="28582" xr:uid="{00000000-0005-0000-0000-0000B26C0000}"/>
    <cellStyle name="Normal 20 10 6" xfId="28583" xr:uid="{00000000-0005-0000-0000-0000B36C0000}"/>
    <cellStyle name="Normal 20 10 6 2" xfId="28584" xr:uid="{00000000-0005-0000-0000-0000B46C0000}"/>
    <cellStyle name="Normal 20 10 6 3" xfId="28585" xr:uid="{00000000-0005-0000-0000-0000B56C0000}"/>
    <cellStyle name="Normal 20 10 6 4" xfId="28586" xr:uid="{00000000-0005-0000-0000-0000B66C0000}"/>
    <cellStyle name="Normal 20 10 6 5" xfId="28587" xr:uid="{00000000-0005-0000-0000-0000B76C0000}"/>
    <cellStyle name="Normal 20 10 6 6" xfId="28588" xr:uid="{00000000-0005-0000-0000-0000B86C0000}"/>
    <cellStyle name="Normal 20 10 7" xfId="28589" xr:uid="{00000000-0005-0000-0000-0000B96C0000}"/>
    <cellStyle name="Normal 20 10 7 2" xfId="28590" xr:uid="{00000000-0005-0000-0000-0000BA6C0000}"/>
    <cellStyle name="Normal 20 10 7 3" xfId="28591" xr:uid="{00000000-0005-0000-0000-0000BB6C0000}"/>
    <cellStyle name="Normal 20 10 7 4" xfId="28592" xr:uid="{00000000-0005-0000-0000-0000BC6C0000}"/>
    <cellStyle name="Normal 20 10 7 5" xfId="28593" xr:uid="{00000000-0005-0000-0000-0000BD6C0000}"/>
    <cellStyle name="Normal 20 10 7 6" xfId="28594" xr:uid="{00000000-0005-0000-0000-0000BE6C0000}"/>
    <cellStyle name="Normal 20 10 8" xfId="28595" xr:uid="{00000000-0005-0000-0000-0000BF6C0000}"/>
    <cellStyle name="Normal 20 10 8 2" xfId="28596" xr:uid="{00000000-0005-0000-0000-0000C06C0000}"/>
    <cellStyle name="Normal 20 10 8 3" xfId="28597" xr:uid="{00000000-0005-0000-0000-0000C16C0000}"/>
    <cellStyle name="Normal 20 10 8 4" xfId="28598" xr:uid="{00000000-0005-0000-0000-0000C26C0000}"/>
    <cellStyle name="Normal 20 10 8 5" xfId="28599" xr:uid="{00000000-0005-0000-0000-0000C36C0000}"/>
    <cellStyle name="Normal 20 10 8 6" xfId="28600" xr:uid="{00000000-0005-0000-0000-0000C46C0000}"/>
    <cellStyle name="Normal 20 10 9" xfId="28601" xr:uid="{00000000-0005-0000-0000-0000C56C0000}"/>
    <cellStyle name="Normal 20 11" xfId="28602" xr:uid="{00000000-0005-0000-0000-0000C66C0000}"/>
    <cellStyle name="Normal 20 11 10" xfId="28603" xr:uid="{00000000-0005-0000-0000-0000C76C0000}"/>
    <cellStyle name="Normal 20 11 11" xfId="28604" xr:uid="{00000000-0005-0000-0000-0000C86C0000}"/>
    <cellStyle name="Normal 20 11 12" xfId="28605" xr:uid="{00000000-0005-0000-0000-0000C96C0000}"/>
    <cellStyle name="Normal 20 11 13" xfId="28606" xr:uid="{00000000-0005-0000-0000-0000CA6C0000}"/>
    <cellStyle name="Normal 20 11 2" xfId="28607" xr:uid="{00000000-0005-0000-0000-0000CB6C0000}"/>
    <cellStyle name="Normal 20 11 2 2" xfId="28608" xr:uid="{00000000-0005-0000-0000-0000CC6C0000}"/>
    <cellStyle name="Normal 20 11 2 3" xfId="28609" xr:uid="{00000000-0005-0000-0000-0000CD6C0000}"/>
    <cellStyle name="Normal 20 11 2 4" xfId="28610" xr:uid="{00000000-0005-0000-0000-0000CE6C0000}"/>
    <cellStyle name="Normal 20 11 2 5" xfId="28611" xr:uid="{00000000-0005-0000-0000-0000CF6C0000}"/>
    <cellStyle name="Normal 20 11 2 6" xfId="28612" xr:uid="{00000000-0005-0000-0000-0000D06C0000}"/>
    <cellStyle name="Normal 20 11 3" xfId="28613" xr:uid="{00000000-0005-0000-0000-0000D16C0000}"/>
    <cellStyle name="Normal 20 11 3 2" xfId="28614" xr:uid="{00000000-0005-0000-0000-0000D26C0000}"/>
    <cellStyle name="Normal 20 11 3 3" xfId="28615" xr:uid="{00000000-0005-0000-0000-0000D36C0000}"/>
    <cellStyle name="Normal 20 11 3 4" xfId="28616" xr:uid="{00000000-0005-0000-0000-0000D46C0000}"/>
    <cellStyle name="Normal 20 11 3 5" xfId="28617" xr:uid="{00000000-0005-0000-0000-0000D56C0000}"/>
    <cellStyle name="Normal 20 11 3 6" xfId="28618" xr:uid="{00000000-0005-0000-0000-0000D66C0000}"/>
    <cellStyle name="Normal 20 11 4" xfId="28619" xr:uid="{00000000-0005-0000-0000-0000D76C0000}"/>
    <cellStyle name="Normal 20 11 4 2" xfId="28620" xr:uid="{00000000-0005-0000-0000-0000D86C0000}"/>
    <cellStyle name="Normal 20 11 4 3" xfId="28621" xr:uid="{00000000-0005-0000-0000-0000D96C0000}"/>
    <cellStyle name="Normal 20 11 4 4" xfId="28622" xr:uid="{00000000-0005-0000-0000-0000DA6C0000}"/>
    <cellStyle name="Normal 20 11 4 5" xfId="28623" xr:uid="{00000000-0005-0000-0000-0000DB6C0000}"/>
    <cellStyle name="Normal 20 11 4 6" xfId="28624" xr:uid="{00000000-0005-0000-0000-0000DC6C0000}"/>
    <cellStyle name="Normal 20 11 5" xfId="28625" xr:uid="{00000000-0005-0000-0000-0000DD6C0000}"/>
    <cellStyle name="Normal 20 11 5 2" xfId="28626" xr:uid="{00000000-0005-0000-0000-0000DE6C0000}"/>
    <cellStyle name="Normal 20 11 5 3" xfId="28627" xr:uid="{00000000-0005-0000-0000-0000DF6C0000}"/>
    <cellStyle name="Normal 20 11 5 4" xfId="28628" xr:uid="{00000000-0005-0000-0000-0000E06C0000}"/>
    <cellStyle name="Normal 20 11 5 5" xfId="28629" xr:uid="{00000000-0005-0000-0000-0000E16C0000}"/>
    <cellStyle name="Normal 20 11 5 6" xfId="28630" xr:uid="{00000000-0005-0000-0000-0000E26C0000}"/>
    <cellStyle name="Normal 20 11 6" xfId="28631" xr:uid="{00000000-0005-0000-0000-0000E36C0000}"/>
    <cellStyle name="Normal 20 11 6 2" xfId="28632" xr:uid="{00000000-0005-0000-0000-0000E46C0000}"/>
    <cellStyle name="Normal 20 11 6 3" xfId="28633" xr:uid="{00000000-0005-0000-0000-0000E56C0000}"/>
    <cellStyle name="Normal 20 11 6 4" xfId="28634" xr:uid="{00000000-0005-0000-0000-0000E66C0000}"/>
    <cellStyle name="Normal 20 11 6 5" xfId="28635" xr:uid="{00000000-0005-0000-0000-0000E76C0000}"/>
    <cellStyle name="Normal 20 11 6 6" xfId="28636" xr:uid="{00000000-0005-0000-0000-0000E86C0000}"/>
    <cellStyle name="Normal 20 11 7" xfId="28637" xr:uid="{00000000-0005-0000-0000-0000E96C0000}"/>
    <cellStyle name="Normal 20 11 7 2" xfId="28638" xr:uid="{00000000-0005-0000-0000-0000EA6C0000}"/>
    <cellStyle name="Normal 20 11 7 3" xfId="28639" xr:uid="{00000000-0005-0000-0000-0000EB6C0000}"/>
    <cellStyle name="Normal 20 11 7 4" xfId="28640" xr:uid="{00000000-0005-0000-0000-0000EC6C0000}"/>
    <cellStyle name="Normal 20 11 7 5" xfId="28641" xr:uid="{00000000-0005-0000-0000-0000ED6C0000}"/>
    <cellStyle name="Normal 20 11 7 6" xfId="28642" xr:uid="{00000000-0005-0000-0000-0000EE6C0000}"/>
    <cellStyle name="Normal 20 11 8" xfId="28643" xr:uid="{00000000-0005-0000-0000-0000EF6C0000}"/>
    <cellStyle name="Normal 20 11 8 2" xfId="28644" xr:uid="{00000000-0005-0000-0000-0000F06C0000}"/>
    <cellStyle name="Normal 20 11 8 3" xfId="28645" xr:uid="{00000000-0005-0000-0000-0000F16C0000}"/>
    <cellStyle name="Normal 20 11 8 4" xfId="28646" xr:uid="{00000000-0005-0000-0000-0000F26C0000}"/>
    <cellStyle name="Normal 20 11 8 5" xfId="28647" xr:uid="{00000000-0005-0000-0000-0000F36C0000}"/>
    <cellStyle name="Normal 20 11 8 6" xfId="28648" xr:uid="{00000000-0005-0000-0000-0000F46C0000}"/>
    <cellStyle name="Normal 20 11 9" xfId="28649" xr:uid="{00000000-0005-0000-0000-0000F56C0000}"/>
    <cellStyle name="Normal 20 12" xfId="28650" xr:uid="{00000000-0005-0000-0000-0000F66C0000}"/>
    <cellStyle name="Normal 20 12 10" xfId="28651" xr:uid="{00000000-0005-0000-0000-0000F76C0000}"/>
    <cellStyle name="Normal 20 12 11" xfId="28652" xr:uid="{00000000-0005-0000-0000-0000F86C0000}"/>
    <cellStyle name="Normal 20 12 12" xfId="28653" xr:uid="{00000000-0005-0000-0000-0000F96C0000}"/>
    <cellStyle name="Normal 20 12 13" xfId="28654" xr:uid="{00000000-0005-0000-0000-0000FA6C0000}"/>
    <cellStyle name="Normal 20 12 2" xfId="28655" xr:uid="{00000000-0005-0000-0000-0000FB6C0000}"/>
    <cellStyle name="Normal 20 12 2 2" xfId="28656" xr:uid="{00000000-0005-0000-0000-0000FC6C0000}"/>
    <cellStyle name="Normal 20 12 2 3" xfId="28657" xr:uid="{00000000-0005-0000-0000-0000FD6C0000}"/>
    <cellStyle name="Normal 20 12 2 4" xfId="28658" xr:uid="{00000000-0005-0000-0000-0000FE6C0000}"/>
    <cellStyle name="Normal 20 12 2 5" xfId="28659" xr:uid="{00000000-0005-0000-0000-0000FF6C0000}"/>
    <cellStyle name="Normal 20 12 2 6" xfId="28660" xr:uid="{00000000-0005-0000-0000-0000006D0000}"/>
    <cellStyle name="Normal 20 12 3" xfId="28661" xr:uid="{00000000-0005-0000-0000-0000016D0000}"/>
    <cellStyle name="Normal 20 12 3 2" xfId="28662" xr:uid="{00000000-0005-0000-0000-0000026D0000}"/>
    <cellStyle name="Normal 20 12 3 3" xfId="28663" xr:uid="{00000000-0005-0000-0000-0000036D0000}"/>
    <cellStyle name="Normal 20 12 3 4" xfId="28664" xr:uid="{00000000-0005-0000-0000-0000046D0000}"/>
    <cellStyle name="Normal 20 12 3 5" xfId="28665" xr:uid="{00000000-0005-0000-0000-0000056D0000}"/>
    <cellStyle name="Normal 20 12 3 6" xfId="28666" xr:uid="{00000000-0005-0000-0000-0000066D0000}"/>
    <cellStyle name="Normal 20 12 4" xfId="28667" xr:uid="{00000000-0005-0000-0000-0000076D0000}"/>
    <cellStyle name="Normal 20 12 4 2" xfId="28668" xr:uid="{00000000-0005-0000-0000-0000086D0000}"/>
    <cellStyle name="Normal 20 12 4 3" xfId="28669" xr:uid="{00000000-0005-0000-0000-0000096D0000}"/>
    <cellStyle name="Normal 20 12 4 4" xfId="28670" xr:uid="{00000000-0005-0000-0000-00000A6D0000}"/>
    <cellStyle name="Normal 20 12 4 5" xfId="28671" xr:uid="{00000000-0005-0000-0000-00000B6D0000}"/>
    <cellStyle name="Normal 20 12 4 6" xfId="28672" xr:uid="{00000000-0005-0000-0000-00000C6D0000}"/>
    <cellStyle name="Normal 20 12 5" xfId="28673" xr:uid="{00000000-0005-0000-0000-00000D6D0000}"/>
    <cellStyle name="Normal 20 12 5 2" xfId="28674" xr:uid="{00000000-0005-0000-0000-00000E6D0000}"/>
    <cellStyle name="Normal 20 12 5 3" xfId="28675" xr:uid="{00000000-0005-0000-0000-00000F6D0000}"/>
    <cellStyle name="Normal 20 12 5 4" xfId="28676" xr:uid="{00000000-0005-0000-0000-0000106D0000}"/>
    <cellStyle name="Normal 20 12 5 5" xfId="28677" xr:uid="{00000000-0005-0000-0000-0000116D0000}"/>
    <cellStyle name="Normal 20 12 5 6" xfId="28678" xr:uid="{00000000-0005-0000-0000-0000126D0000}"/>
    <cellStyle name="Normal 20 12 6" xfId="28679" xr:uid="{00000000-0005-0000-0000-0000136D0000}"/>
    <cellStyle name="Normal 20 12 6 2" xfId="28680" xr:uid="{00000000-0005-0000-0000-0000146D0000}"/>
    <cellStyle name="Normal 20 12 6 3" xfId="28681" xr:uid="{00000000-0005-0000-0000-0000156D0000}"/>
    <cellStyle name="Normal 20 12 6 4" xfId="28682" xr:uid="{00000000-0005-0000-0000-0000166D0000}"/>
    <cellStyle name="Normal 20 12 6 5" xfId="28683" xr:uid="{00000000-0005-0000-0000-0000176D0000}"/>
    <cellStyle name="Normal 20 12 6 6" xfId="28684" xr:uid="{00000000-0005-0000-0000-0000186D0000}"/>
    <cellStyle name="Normal 20 12 7" xfId="28685" xr:uid="{00000000-0005-0000-0000-0000196D0000}"/>
    <cellStyle name="Normal 20 12 7 2" xfId="28686" xr:uid="{00000000-0005-0000-0000-00001A6D0000}"/>
    <cellStyle name="Normal 20 12 7 3" xfId="28687" xr:uid="{00000000-0005-0000-0000-00001B6D0000}"/>
    <cellStyle name="Normal 20 12 7 4" xfId="28688" xr:uid="{00000000-0005-0000-0000-00001C6D0000}"/>
    <cellStyle name="Normal 20 12 7 5" xfId="28689" xr:uid="{00000000-0005-0000-0000-00001D6D0000}"/>
    <cellStyle name="Normal 20 12 7 6" xfId="28690" xr:uid="{00000000-0005-0000-0000-00001E6D0000}"/>
    <cellStyle name="Normal 20 12 8" xfId="28691" xr:uid="{00000000-0005-0000-0000-00001F6D0000}"/>
    <cellStyle name="Normal 20 12 8 2" xfId="28692" xr:uid="{00000000-0005-0000-0000-0000206D0000}"/>
    <cellStyle name="Normal 20 12 8 3" xfId="28693" xr:uid="{00000000-0005-0000-0000-0000216D0000}"/>
    <cellStyle name="Normal 20 12 8 4" xfId="28694" xr:uid="{00000000-0005-0000-0000-0000226D0000}"/>
    <cellStyle name="Normal 20 12 8 5" xfId="28695" xr:uid="{00000000-0005-0000-0000-0000236D0000}"/>
    <cellStyle name="Normal 20 12 8 6" xfId="28696" xr:uid="{00000000-0005-0000-0000-0000246D0000}"/>
    <cellStyle name="Normal 20 12 9" xfId="28697" xr:uid="{00000000-0005-0000-0000-0000256D0000}"/>
    <cellStyle name="Normal 20 13" xfId="28698" xr:uid="{00000000-0005-0000-0000-0000266D0000}"/>
    <cellStyle name="Normal 20 13 10" xfId="28699" xr:uid="{00000000-0005-0000-0000-0000276D0000}"/>
    <cellStyle name="Normal 20 13 11" xfId="28700" xr:uid="{00000000-0005-0000-0000-0000286D0000}"/>
    <cellStyle name="Normal 20 13 12" xfId="28701" xr:uid="{00000000-0005-0000-0000-0000296D0000}"/>
    <cellStyle name="Normal 20 13 13" xfId="28702" xr:uid="{00000000-0005-0000-0000-00002A6D0000}"/>
    <cellStyle name="Normal 20 13 2" xfId="28703" xr:uid="{00000000-0005-0000-0000-00002B6D0000}"/>
    <cellStyle name="Normal 20 13 2 2" xfId="28704" xr:uid="{00000000-0005-0000-0000-00002C6D0000}"/>
    <cellStyle name="Normal 20 13 2 3" xfId="28705" xr:uid="{00000000-0005-0000-0000-00002D6D0000}"/>
    <cellStyle name="Normal 20 13 2 4" xfId="28706" xr:uid="{00000000-0005-0000-0000-00002E6D0000}"/>
    <cellStyle name="Normal 20 13 2 5" xfId="28707" xr:uid="{00000000-0005-0000-0000-00002F6D0000}"/>
    <cellStyle name="Normal 20 13 2 6" xfId="28708" xr:uid="{00000000-0005-0000-0000-0000306D0000}"/>
    <cellStyle name="Normal 20 13 3" xfId="28709" xr:uid="{00000000-0005-0000-0000-0000316D0000}"/>
    <cellStyle name="Normal 20 13 3 2" xfId="28710" xr:uid="{00000000-0005-0000-0000-0000326D0000}"/>
    <cellStyle name="Normal 20 13 3 3" xfId="28711" xr:uid="{00000000-0005-0000-0000-0000336D0000}"/>
    <cellStyle name="Normal 20 13 3 4" xfId="28712" xr:uid="{00000000-0005-0000-0000-0000346D0000}"/>
    <cellStyle name="Normal 20 13 3 5" xfId="28713" xr:uid="{00000000-0005-0000-0000-0000356D0000}"/>
    <cellStyle name="Normal 20 13 3 6" xfId="28714" xr:uid="{00000000-0005-0000-0000-0000366D0000}"/>
    <cellStyle name="Normal 20 13 4" xfId="28715" xr:uid="{00000000-0005-0000-0000-0000376D0000}"/>
    <cellStyle name="Normal 20 13 4 2" xfId="28716" xr:uid="{00000000-0005-0000-0000-0000386D0000}"/>
    <cellStyle name="Normal 20 13 4 3" xfId="28717" xr:uid="{00000000-0005-0000-0000-0000396D0000}"/>
    <cellStyle name="Normal 20 13 4 4" xfId="28718" xr:uid="{00000000-0005-0000-0000-00003A6D0000}"/>
    <cellStyle name="Normal 20 13 4 5" xfId="28719" xr:uid="{00000000-0005-0000-0000-00003B6D0000}"/>
    <cellStyle name="Normal 20 13 4 6" xfId="28720" xr:uid="{00000000-0005-0000-0000-00003C6D0000}"/>
    <cellStyle name="Normal 20 13 5" xfId="28721" xr:uid="{00000000-0005-0000-0000-00003D6D0000}"/>
    <cellStyle name="Normal 20 13 5 2" xfId="28722" xr:uid="{00000000-0005-0000-0000-00003E6D0000}"/>
    <cellStyle name="Normal 20 13 5 3" xfId="28723" xr:uid="{00000000-0005-0000-0000-00003F6D0000}"/>
    <cellStyle name="Normal 20 13 5 4" xfId="28724" xr:uid="{00000000-0005-0000-0000-0000406D0000}"/>
    <cellStyle name="Normal 20 13 5 5" xfId="28725" xr:uid="{00000000-0005-0000-0000-0000416D0000}"/>
    <cellStyle name="Normal 20 13 5 6" xfId="28726" xr:uid="{00000000-0005-0000-0000-0000426D0000}"/>
    <cellStyle name="Normal 20 13 6" xfId="28727" xr:uid="{00000000-0005-0000-0000-0000436D0000}"/>
    <cellStyle name="Normal 20 13 6 2" xfId="28728" xr:uid="{00000000-0005-0000-0000-0000446D0000}"/>
    <cellStyle name="Normal 20 13 6 3" xfId="28729" xr:uid="{00000000-0005-0000-0000-0000456D0000}"/>
    <cellStyle name="Normal 20 13 6 4" xfId="28730" xr:uid="{00000000-0005-0000-0000-0000466D0000}"/>
    <cellStyle name="Normal 20 13 6 5" xfId="28731" xr:uid="{00000000-0005-0000-0000-0000476D0000}"/>
    <cellStyle name="Normal 20 13 6 6" xfId="28732" xr:uid="{00000000-0005-0000-0000-0000486D0000}"/>
    <cellStyle name="Normal 20 13 7" xfId="28733" xr:uid="{00000000-0005-0000-0000-0000496D0000}"/>
    <cellStyle name="Normal 20 13 7 2" xfId="28734" xr:uid="{00000000-0005-0000-0000-00004A6D0000}"/>
    <cellStyle name="Normal 20 13 7 3" xfId="28735" xr:uid="{00000000-0005-0000-0000-00004B6D0000}"/>
    <cellStyle name="Normal 20 13 7 4" xfId="28736" xr:uid="{00000000-0005-0000-0000-00004C6D0000}"/>
    <cellStyle name="Normal 20 13 7 5" xfId="28737" xr:uid="{00000000-0005-0000-0000-00004D6D0000}"/>
    <cellStyle name="Normal 20 13 7 6" xfId="28738" xr:uid="{00000000-0005-0000-0000-00004E6D0000}"/>
    <cellStyle name="Normal 20 13 8" xfId="28739" xr:uid="{00000000-0005-0000-0000-00004F6D0000}"/>
    <cellStyle name="Normal 20 13 8 2" xfId="28740" xr:uid="{00000000-0005-0000-0000-0000506D0000}"/>
    <cellStyle name="Normal 20 13 8 3" xfId="28741" xr:uid="{00000000-0005-0000-0000-0000516D0000}"/>
    <cellStyle name="Normal 20 13 8 4" xfId="28742" xr:uid="{00000000-0005-0000-0000-0000526D0000}"/>
    <cellStyle name="Normal 20 13 8 5" xfId="28743" xr:uid="{00000000-0005-0000-0000-0000536D0000}"/>
    <cellStyle name="Normal 20 13 8 6" xfId="28744" xr:uid="{00000000-0005-0000-0000-0000546D0000}"/>
    <cellStyle name="Normal 20 13 9" xfId="28745" xr:uid="{00000000-0005-0000-0000-0000556D0000}"/>
    <cellStyle name="Normal 20 14" xfId="28746" xr:uid="{00000000-0005-0000-0000-0000566D0000}"/>
    <cellStyle name="Normal 20 14 10" xfId="28747" xr:uid="{00000000-0005-0000-0000-0000576D0000}"/>
    <cellStyle name="Normal 20 14 11" xfId="28748" xr:uid="{00000000-0005-0000-0000-0000586D0000}"/>
    <cellStyle name="Normal 20 14 12" xfId="28749" xr:uid="{00000000-0005-0000-0000-0000596D0000}"/>
    <cellStyle name="Normal 20 14 13" xfId="28750" xr:uid="{00000000-0005-0000-0000-00005A6D0000}"/>
    <cellStyle name="Normal 20 14 2" xfId="28751" xr:uid="{00000000-0005-0000-0000-00005B6D0000}"/>
    <cellStyle name="Normal 20 14 2 2" xfId="28752" xr:uid="{00000000-0005-0000-0000-00005C6D0000}"/>
    <cellStyle name="Normal 20 14 2 3" xfId="28753" xr:uid="{00000000-0005-0000-0000-00005D6D0000}"/>
    <cellStyle name="Normal 20 14 2 4" xfId="28754" xr:uid="{00000000-0005-0000-0000-00005E6D0000}"/>
    <cellStyle name="Normal 20 14 2 5" xfId="28755" xr:uid="{00000000-0005-0000-0000-00005F6D0000}"/>
    <cellStyle name="Normal 20 14 2 6" xfId="28756" xr:uid="{00000000-0005-0000-0000-0000606D0000}"/>
    <cellStyle name="Normal 20 14 3" xfId="28757" xr:uid="{00000000-0005-0000-0000-0000616D0000}"/>
    <cellStyle name="Normal 20 14 3 2" xfId="28758" xr:uid="{00000000-0005-0000-0000-0000626D0000}"/>
    <cellStyle name="Normal 20 14 3 3" xfId="28759" xr:uid="{00000000-0005-0000-0000-0000636D0000}"/>
    <cellStyle name="Normal 20 14 3 4" xfId="28760" xr:uid="{00000000-0005-0000-0000-0000646D0000}"/>
    <cellStyle name="Normal 20 14 3 5" xfId="28761" xr:uid="{00000000-0005-0000-0000-0000656D0000}"/>
    <cellStyle name="Normal 20 14 3 6" xfId="28762" xr:uid="{00000000-0005-0000-0000-0000666D0000}"/>
    <cellStyle name="Normal 20 14 4" xfId="28763" xr:uid="{00000000-0005-0000-0000-0000676D0000}"/>
    <cellStyle name="Normal 20 14 4 2" xfId="28764" xr:uid="{00000000-0005-0000-0000-0000686D0000}"/>
    <cellStyle name="Normal 20 14 4 3" xfId="28765" xr:uid="{00000000-0005-0000-0000-0000696D0000}"/>
    <cellStyle name="Normal 20 14 4 4" xfId="28766" xr:uid="{00000000-0005-0000-0000-00006A6D0000}"/>
    <cellStyle name="Normal 20 14 4 5" xfId="28767" xr:uid="{00000000-0005-0000-0000-00006B6D0000}"/>
    <cellStyle name="Normal 20 14 4 6" xfId="28768" xr:uid="{00000000-0005-0000-0000-00006C6D0000}"/>
    <cellStyle name="Normal 20 14 5" xfId="28769" xr:uid="{00000000-0005-0000-0000-00006D6D0000}"/>
    <cellStyle name="Normal 20 14 5 2" xfId="28770" xr:uid="{00000000-0005-0000-0000-00006E6D0000}"/>
    <cellStyle name="Normal 20 14 5 3" xfId="28771" xr:uid="{00000000-0005-0000-0000-00006F6D0000}"/>
    <cellStyle name="Normal 20 14 5 4" xfId="28772" xr:uid="{00000000-0005-0000-0000-0000706D0000}"/>
    <cellStyle name="Normal 20 14 5 5" xfId="28773" xr:uid="{00000000-0005-0000-0000-0000716D0000}"/>
    <cellStyle name="Normal 20 14 5 6" xfId="28774" xr:uid="{00000000-0005-0000-0000-0000726D0000}"/>
    <cellStyle name="Normal 20 14 6" xfId="28775" xr:uid="{00000000-0005-0000-0000-0000736D0000}"/>
    <cellStyle name="Normal 20 14 6 2" xfId="28776" xr:uid="{00000000-0005-0000-0000-0000746D0000}"/>
    <cellStyle name="Normal 20 14 6 3" xfId="28777" xr:uid="{00000000-0005-0000-0000-0000756D0000}"/>
    <cellStyle name="Normal 20 14 6 4" xfId="28778" xr:uid="{00000000-0005-0000-0000-0000766D0000}"/>
    <cellStyle name="Normal 20 14 6 5" xfId="28779" xr:uid="{00000000-0005-0000-0000-0000776D0000}"/>
    <cellStyle name="Normal 20 14 6 6" xfId="28780" xr:uid="{00000000-0005-0000-0000-0000786D0000}"/>
    <cellStyle name="Normal 20 14 7" xfId="28781" xr:uid="{00000000-0005-0000-0000-0000796D0000}"/>
    <cellStyle name="Normal 20 14 7 2" xfId="28782" xr:uid="{00000000-0005-0000-0000-00007A6D0000}"/>
    <cellStyle name="Normal 20 14 7 3" xfId="28783" xr:uid="{00000000-0005-0000-0000-00007B6D0000}"/>
    <cellStyle name="Normal 20 14 7 4" xfId="28784" xr:uid="{00000000-0005-0000-0000-00007C6D0000}"/>
    <cellStyle name="Normal 20 14 7 5" xfId="28785" xr:uid="{00000000-0005-0000-0000-00007D6D0000}"/>
    <cellStyle name="Normal 20 14 7 6" xfId="28786" xr:uid="{00000000-0005-0000-0000-00007E6D0000}"/>
    <cellStyle name="Normal 20 14 8" xfId="28787" xr:uid="{00000000-0005-0000-0000-00007F6D0000}"/>
    <cellStyle name="Normal 20 14 8 2" xfId="28788" xr:uid="{00000000-0005-0000-0000-0000806D0000}"/>
    <cellStyle name="Normal 20 14 8 3" xfId="28789" xr:uid="{00000000-0005-0000-0000-0000816D0000}"/>
    <cellStyle name="Normal 20 14 8 4" xfId="28790" xr:uid="{00000000-0005-0000-0000-0000826D0000}"/>
    <cellStyle name="Normal 20 14 8 5" xfId="28791" xr:uid="{00000000-0005-0000-0000-0000836D0000}"/>
    <cellStyle name="Normal 20 14 8 6" xfId="28792" xr:uid="{00000000-0005-0000-0000-0000846D0000}"/>
    <cellStyle name="Normal 20 14 9" xfId="28793" xr:uid="{00000000-0005-0000-0000-0000856D0000}"/>
    <cellStyle name="Normal 20 15" xfId="28794" xr:uid="{00000000-0005-0000-0000-0000866D0000}"/>
    <cellStyle name="Normal 20 15 10" xfId="28795" xr:uid="{00000000-0005-0000-0000-0000876D0000}"/>
    <cellStyle name="Normal 20 15 11" xfId="28796" xr:uid="{00000000-0005-0000-0000-0000886D0000}"/>
    <cellStyle name="Normal 20 15 12" xfId="28797" xr:uid="{00000000-0005-0000-0000-0000896D0000}"/>
    <cellStyle name="Normal 20 15 13" xfId="28798" xr:uid="{00000000-0005-0000-0000-00008A6D0000}"/>
    <cellStyle name="Normal 20 15 2" xfId="28799" xr:uid="{00000000-0005-0000-0000-00008B6D0000}"/>
    <cellStyle name="Normal 20 15 2 2" xfId="28800" xr:uid="{00000000-0005-0000-0000-00008C6D0000}"/>
    <cellStyle name="Normal 20 15 2 3" xfId="28801" xr:uid="{00000000-0005-0000-0000-00008D6D0000}"/>
    <cellStyle name="Normal 20 15 2 4" xfId="28802" xr:uid="{00000000-0005-0000-0000-00008E6D0000}"/>
    <cellStyle name="Normal 20 15 2 5" xfId="28803" xr:uid="{00000000-0005-0000-0000-00008F6D0000}"/>
    <cellStyle name="Normal 20 15 2 6" xfId="28804" xr:uid="{00000000-0005-0000-0000-0000906D0000}"/>
    <cellStyle name="Normal 20 15 3" xfId="28805" xr:uid="{00000000-0005-0000-0000-0000916D0000}"/>
    <cellStyle name="Normal 20 15 3 2" xfId="28806" xr:uid="{00000000-0005-0000-0000-0000926D0000}"/>
    <cellStyle name="Normal 20 15 3 3" xfId="28807" xr:uid="{00000000-0005-0000-0000-0000936D0000}"/>
    <cellStyle name="Normal 20 15 3 4" xfId="28808" xr:uid="{00000000-0005-0000-0000-0000946D0000}"/>
    <cellStyle name="Normal 20 15 3 5" xfId="28809" xr:uid="{00000000-0005-0000-0000-0000956D0000}"/>
    <cellStyle name="Normal 20 15 3 6" xfId="28810" xr:uid="{00000000-0005-0000-0000-0000966D0000}"/>
    <cellStyle name="Normal 20 15 4" xfId="28811" xr:uid="{00000000-0005-0000-0000-0000976D0000}"/>
    <cellStyle name="Normal 20 15 4 2" xfId="28812" xr:uid="{00000000-0005-0000-0000-0000986D0000}"/>
    <cellStyle name="Normal 20 15 4 3" xfId="28813" xr:uid="{00000000-0005-0000-0000-0000996D0000}"/>
    <cellStyle name="Normal 20 15 4 4" xfId="28814" xr:uid="{00000000-0005-0000-0000-00009A6D0000}"/>
    <cellStyle name="Normal 20 15 4 5" xfId="28815" xr:uid="{00000000-0005-0000-0000-00009B6D0000}"/>
    <cellStyle name="Normal 20 15 4 6" xfId="28816" xr:uid="{00000000-0005-0000-0000-00009C6D0000}"/>
    <cellStyle name="Normal 20 15 5" xfId="28817" xr:uid="{00000000-0005-0000-0000-00009D6D0000}"/>
    <cellStyle name="Normal 20 15 5 2" xfId="28818" xr:uid="{00000000-0005-0000-0000-00009E6D0000}"/>
    <cellStyle name="Normal 20 15 5 3" xfId="28819" xr:uid="{00000000-0005-0000-0000-00009F6D0000}"/>
    <cellStyle name="Normal 20 15 5 4" xfId="28820" xr:uid="{00000000-0005-0000-0000-0000A06D0000}"/>
    <cellStyle name="Normal 20 15 5 5" xfId="28821" xr:uid="{00000000-0005-0000-0000-0000A16D0000}"/>
    <cellStyle name="Normal 20 15 5 6" xfId="28822" xr:uid="{00000000-0005-0000-0000-0000A26D0000}"/>
    <cellStyle name="Normal 20 15 6" xfId="28823" xr:uid="{00000000-0005-0000-0000-0000A36D0000}"/>
    <cellStyle name="Normal 20 15 6 2" xfId="28824" xr:uid="{00000000-0005-0000-0000-0000A46D0000}"/>
    <cellStyle name="Normal 20 15 6 3" xfId="28825" xr:uid="{00000000-0005-0000-0000-0000A56D0000}"/>
    <cellStyle name="Normal 20 15 6 4" xfId="28826" xr:uid="{00000000-0005-0000-0000-0000A66D0000}"/>
    <cellStyle name="Normal 20 15 6 5" xfId="28827" xr:uid="{00000000-0005-0000-0000-0000A76D0000}"/>
    <cellStyle name="Normal 20 15 6 6" xfId="28828" xr:uid="{00000000-0005-0000-0000-0000A86D0000}"/>
    <cellStyle name="Normal 20 15 7" xfId="28829" xr:uid="{00000000-0005-0000-0000-0000A96D0000}"/>
    <cellStyle name="Normal 20 15 7 2" xfId="28830" xr:uid="{00000000-0005-0000-0000-0000AA6D0000}"/>
    <cellStyle name="Normal 20 15 7 3" xfId="28831" xr:uid="{00000000-0005-0000-0000-0000AB6D0000}"/>
    <cellStyle name="Normal 20 15 7 4" xfId="28832" xr:uid="{00000000-0005-0000-0000-0000AC6D0000}"/>
    <cellStyle name="Normal 20 15 7 5" xfId="28833" xr:uid="{00000000-0005-0000-0000-0000AD6D0000}"/>
    <cellStyle name="Normal 20 15 7 6" xfId="28834" xr:uid="{00000000-0005-0000-0000-0000AE6D0000}"/>
    <cellStyle name="Normal 20 15 8" xfId="28835" xr:uid="{00000000-0005-0000-0000-0000AF6D0000}"/>
    <cellStyle name="Normal 20 15 8 2" xfId="28836" xr:uid="{00000000-0005-0000-0000-0000B06D0000}"/>
    <cellStyle name="Normal 20 15 8 3" xfId="28837" xr:uid="{00000000-0005-0000-0000-0000B16D0000}"/>
    <cellStyle name="Normal 20 15 8 4" xfId="28838" xr:uid="{00000000-0005-0000-0000-0000B26D0000}"/>
    <cellStyle name="Normal 20 15 8 5" xfId="28839" xr:uid="{00000000-0005-0000-0000-0000B36D0000}"/>
    <cellStyle name="Normal 20 15 8 6" xfId="28840" xr:uid="{00000000-0005-0000-0000-0000B46D0000}"/>
    <cellStyle name="Normal 20 15 9" xfId="28841" xr:uid="{00000000-0005-0000-0000-0000B56D0000}"/>
    <cellStyle name="Normal 20 16" xfId="28842" xr:uid="{00000000-0005-0000-0000-0000B66D0000}"/>
    <cellStyle name="Normal 20 16 10" xfId="28843" xr:uid="{00000000-0005-0000-0000-0000B76D0000}"/>
    <cellStyle name="Normal 20 16 11" xfId="28844" xr:uid="{00000000-0005-0000-0000-0000B86D0000}"/>
    <cellStyle name="Normal 20 16 12" xfId="28845" xr:uid="{00000000-0005-0000-0000-0000B96D0000}"/>
    <cellStyle name="Normal 20 16 13" xfId="28846" xr:uid="{00000000-0005-0000-0000-0000BA6D0000}"/>
    <cellStyle name="Normal 20 16 2" xfId="28847" xr:uid="{00000000-0005-0000-0000-0000BB6D0000}"/>
    <cellStyle name="Normal 20 16 2 2" xfId="28848" xr:uid="{00000000-0005-0000-0000-0000BC6D0000}"/>
    <cellStyle name="Normal 20 16 2 3" xfId="28849" xr:uid="{00000000-0005-0000-0000-0000BD6D0000}"/>
    <cellStyle name="Normal 20 16 2 4" xfId="28850" xr:uid="{00000000-0005-0000-0000-0000BE6D0000}"/>
    <cellStyle name="Normal 20 16 2 5" xfId="28851" xr:uid="{00000000-0005-0000-0000-0000BF6D0000}"/>
    <cellStyle name="Normal 20 16 2 6" xfId="28852" xr:uid="{00000000-0005-0000-0000-0000C06D0000}"/>
    <cellStyle name="Normal 20 16 3" xfId="28853" xr:uid="{00000000-0005-0000-0000-0000C16D0000}"/>
    <cellStyle name="Normal 20 16 3 2" xfId="28854" xr:uid="{00000000-0005-0000-0000-0000C26D0000}"/>
    <cellStyle name="Normal 20 16 3 3" xfId="28855" xr:uid="{00000000-0005-0000-0000-0000C36D0000}"/>
    <cellStyle name="Normal 20 16 3 4" xfId="28856" xr:uid="{00000000-0005-0000-0000-0000C46D0000}"/>
    <cellStyle name="Normal 20 16 3 5" xfId="28857" xr:uid="{00000000-0005-0000-0000-0000C56D0000}"/>
    <cellStyle name="Normal 20 16 3 6" xfId="28858" xr:uid="{00000000-0005-0000-0000-0000C66D0000}"/>
    <cellStyle name="Normal 20 16 4" xfId="28859" xr:uid="{00000000-0005-0000-0000-0000C76D0000}"/>
    <cellStyle name="Normal 20 16 4 2" xfId="28860" xr:uid="{00000000-0005-0000-0000-0000C86D0000}"/>
    <cellStyle name="Normal 20 16 4 3" xfId="28861" xr:uid="{00000000-0005-0000-0000-0000C96D0000}"/>
    <cellStyle name="Normal 20 16 4 4" xfId="28862" xr:uid="{00000000-0005-0000-0000-0000CA6D0000}"/>
    <cellStyle name="Normal 20 16 4 5" xfId="28863" xr:uid="{00000000-0005-0000-0000-0000CB6D0000}"/>
    <cellStyle name="Normal 20 16 4 6" xfId="28864" xr:uid="{00000000-0005-0000-0000-0000CC6D0000}"/>
    <cellStyle name="Normal 20 16 5" xfId="28865" xr:uid="{00000000-0005-0000-0000-0000CD6D0000}"/>
    <cellStyle name="Normal 20 16 5 2" xfId="28866" xr:uid="{00000000-0005-0000-0000-0000CE6D0000}"/>
    <cellStyle name="Normal 20 16 5 3" xfId="28867" xr:uid="{00000000-0005-0000-0000-0000CF6D0000}"/>
    <cellStyle name="Normal 20 16 5 4" xfId="28868" xr:uid="{00000000-0005-0000-0000-0000D06D0000}"/>
    <cellStyle name="Normal 20 16 5 5" xfId="28869" xr:uid="{00000000-0005-0000-0000-0000D16D0000}"/>
    <cellStyle name="Normal 20 16 5 6" xfId="28870" xr:uid="{00000000-0005-0000-0000-0000D26D0000}"/>
    <cellStyle name="Normal 20 16 6" xfId="28871" xr:uid="{00000000-0005-0000-0000-0000D36D0000}"/>
    <cellStyle name="Normal 20 16 6 2" xfId="28872" xr:uid="{00000000-0005-0000-0000-0000D46D0000}"/>
    <cellStyle name="Normal 20 16 6 3" xfId="28873" xr:uid="{00000000-0005-0000-0000-0000D56D0000}"/>
    <cellStyle name="Normal 20 16 6 4" xfId="28874" xr:uid="{00000000-0005-0000-0000-0000D66D0000}"/>
    <cellStyle name="Normal 20 16 6 5" xfId="28875" xr:uid="{00000000-0005-0000-0000-0000D76D0000}"/>
    <cellStyle name="Normal 20 16 6 6" xfId="28876" xr:uid="{00000000-0005-0000-0000-0000D86D0000}"/>
    <cellStyle name="Normal 20 16 7" xfId="28877" xr:uid="{00000000-0005-0000-0000-0000D96D0000}"/>
    <cellStyle name="Normal 20 16 7 2" xfId="28878" xr:uid="{00000000-0005-0000-0000-0000DA6D0000}"/>
    <cellStyle name="Normal 20 16 7 3" xfId="28879" xr:uid="{00000000-0005-0000-0000-0000DB6D0000}"/>
    <cellStyle name="Normal 20 16 7 4" xfId="28880" xr:uid="{00000000-0005-0000-0000-0000DC6D0000}"/>
    <cellStyle name="Normal 20 16 7 5" xfId="28881" xr:uid="{00000000-0005-0000-0000-0000DD6D0000}"/>
    <cellStyle name="Normal 20 16 7 6" xfId="28882" xr:uid="{00000000-0005-0000-0000-0000DE6D0000}"/>
    <cellStyle name="Normal 20 16 8" xfId="28883" xr:uid="{00000000-0005-0000-0000-0000DF6D0000}"/>
    <cellStyle name="Normal 20 16 8 2" xfId="28884" xr:uid="{00000000-0005-0000-0000-0000E06D0000}"/>
    <cellStyle name="Normal 20 16 8 3" xfId="28885" xr:uid="{00000000-0005-0000-0000-0000E16D0000}"/>
    <cellStyle name="Normal 20 16 8 4" xfId="28886" xr:uid="{00000000-0005-0000-0000-0000E26D0000}"/>
    <cellStyle name="Normal 20 16 8 5" xfId="28887" xr:uid="{00000000-0005-0000-0000-0000E36D0000}"/>
    <cellStyle name="Normal 20 16 8 6" xfId="28888" xr:uid="{00000000-0005-0000-0000-0000E46D0000}"/>
    <cellStyle name="Normal 20 16 9" xfId="28889" xr:uid="{00000000-0005-0000-0000-0000E56D0000}"/>
    <cellStyle name="Normal 20 17" xfId="28890" xr:uid="{00000000-0005-0000-0000-0000E66D0000}"/>
    <cellStyle name="Normal 20 17 10" xfId="28891" xr:uid="{00000000-0005-0000-0000-0000E76D0000}"/>
    <cellStyle name="Normal 20 17 11" xfId="28892" xr:uid="{00000000-0005-0000-0000-0000E86D0000}"/>
    <cellStyle name="Normal 20 17 12" xfId="28893" xr:uid="{00000000-0005-0000-0000-0000E96D0000}"/>
    <cellStyle name="Normal 20 17 13" xfId="28894" xr:uid="{00000000-0005-0000-0000-0000EA6D0000}"/>
    <cellStyle name="Normal 20 17 2" xfId="28895" xr:uid="{00000000-0005-0000-0000-0000EB6D0000}"/>
    <cellStyle name="Normal 20 17 2 2" xfId="28896" xr:uid="{00000000-0005-0000-0000-0000EC6D0000}"/>
    <cellStyle name="Normal 20 17 2 3" xfId="28897" xr:uid="{00000000-0005-0000-0000-0000ED6D0000}"/>
    <cellStyle name="Normal 20 17 2 4" xfId="28898" xr:uid="{00000000-0005-0000-0000-0000EE6D0000}"/>
    <cellStyle name="Normal 20 17 2 5" xfId="28899" xr:uid="{00000000-0005-0000-0000-0000EF6D0000}"/>
    <cellStyle name="Normal 20 17 2 6" xfId="28900" xr:uid="{00000000-0005-0000-0000-0000F06D0000}"/>
    <cellStyle name="Normal 20 17 3" xfId="28901" xr:uid="{00000000-0005-0000-0000-0000F16D0000}"/>
    <cellStyle name="Normal 20 17 3 2" xfId="28902" xr:uid="{00000000-0005-0000-0000-0000F26D0000}"/>
    <cellStyle name="Normal 20 17 3 3" xfId="28903" xr:uid="{00000000-0005-0000-0000-0000F36D0000}"/>
    <cellStyle name="Normal 20 17 3 4" xfId="28904" xr:uid="{00000000-0005-0000-0000-0000F46D0000}"/>
    <cellStyle name="Normal 20 17 3 5" xfId="28905" xr:uid="{00000000-0005-0000-0000-0000F56D0000}"/>
    <cellStyle name="Normal 20 17 3 6" xfId="28906" xr:uid="{00000000-0005-0000-0000-0000F66D0000}"/>
    <cellStyle name="Normal 20 17 4" xfId="28907" xr:uid="{00000000-0005-0000-0000-0000F76D0000}"/>
    <cellStyle name="Normal 20 17 4 2" xfId="28908" xr:uid="{00000000-0005-0000-0000-0000F86D0000}"/>
    <cellStyle name="Normal 20 17 4 3" xfId="28909" xr:uid="{00000000-0005-0000-0000-0000F96D0000}"/>
    <cellStyle name="Normal 20 17 4 4" xfId="28910" xr:uid="{00000000-0005-0000-0000-0000FA6D0000}"/>
    <cellStyle name="Normal 20 17 4 5" xfId="28911" xr:uid="{00000000-0005-0000-0000-0000FB6D0000}"/>
    <cellStyle name="Normal 20 17 4 6" xfId="28912" xr:uid="{00000000-0005-0000-0000-0000FC6D0000}"/>
    <cellStyle name="Normal 20 17 5" xfId="28913" xr:uid="{00000000-0005-0000-0000-0000FD6D0000}"/>
    <cellStyle name="Normal 20 17 5 2" xfId="28914" xr:uid="{00000000-0005-0000-0000-0000FE6D0000}"/>
    <cellStyle name="Normal 20 17 5 3" xfId="28915" xr:uid="{00000000-0005-0000-0000-0000FF6D0000}"/>
    <cellStyle name="Normal 20 17 5 4" xfId="28916" xr:uid="{00000000-0005-0000-0000-0000006E0000}"/>
    <cellStyle name="Normal 20 17 5 5" xfId="28917" xr:uid="{00000000-0005-0000-0000-0000016E0000}"/>
    <cellStyle name="Normal 20 17 5 6" xfId="28918" xr:uid="{00000000-0005-0000-0000-0000026E0000}"/>
    <cellStyle name="Normal 20 17 6" xfId="28919" xr:uid="{00000000-0005-0000-0000-0000036E0000}"/>
    <cellStyle name="Normal 20 17 6 2" xfId="28920" xr:uid="{00000000-0005-0000-0000-0000046E0000}"/>
    <cellStyle name="Normal 20 17 6 3" xfId="28921" xr:uid="{00000000-0005-0000-0000-0000056E0000}"/>
    <cellStyle name="Normal 20 17 6 4" xfId="28922" xr:uid="{00000000-0005-0000-0000-0000066E0000}"/>
    <cellStyle name="Normal 20 17 6 5" xfId="28923" xr:uid="{00000000-0005-0000-0000-0000076E0000}"/>
    <cellStyle name="Normal 20 17 6 6" xfId="28924" xr:uid="{00000000-0005-0000-0000-0000086E0000}"/>
    <cellStyle name="Normal 20 17 7" xfId="28925" xr:uid="{00000000-0005-0000-0000-0000096E0000}"/>
    <cellStyle name="Normal 20 17 7 2" xfId="28926" xr:uid="{00000000-0005-0000-0000-00000A6E0000}"/>
    <cellStyle name="Normal 20 17 7 3" xfId="28927" xr:uid="{00000000-0005-0000-0000-00000B6E0000}"/>
    <cellStyle name="Normal 20 17 7 4" xfId="28928" xr:uid="{00000000-0005-0000-0000-00000C6E0000}"/>
    <cellStyle name="Normal 20 17 7 5" xfId="28929" xr:uid="{00000000-0005-0000-0000-00000D6E0000}"/>
    <cellStyle name="Normal 20 17 7 6" xfId="28930" xr:uid="{00000000-0005-0000-0000-00000E6E0000}"/>
    <cellStyle name="Normal 20 17 8" xfId="28931" xr:uid="{00000000-0005-0000-0000-00000F6E0000}"/>
    <cellStyle name="Normal 20 17 8 2" xfId="28932" xr:uid="{00000000-0005-0000-0000-0000106E0000}"/>
    <cellStyle name="Normal 20 17 8 3" xfId="28933" xr:uid="{00000000-0005-0000-0000-0000116E0000}"/>
    <cellStyle name="Normal 20 17 8 4" xfId="28934" xr:uid="{00000000-0005-0000-0000-0000126E0000}"/>
    <cellStyle name="Normal 20 17 8 5" xfId="28935" xr:uid="{00000000-0005-0000-0000-0000136E0000}"/>
    <cellStyle name="Normal 20 17 8 6" xfId="28936" xr:uid="{00000000-0005-0000-0000-0000146E0000}"/>
    <cellStyle name="Normal 20 17 9" xfId="28937" xr:uid="{00000000-0005-0000-0000-0000156E0000}"/>
    <cellStyle name="Normal 20 18" xfId="28938" xr:uid="{00000000-0005-0000-0000-0000166E0000}"/>
    <cellStyle name="Normal 20 18 10" xfId="28939" xr:uid="{00000000-0005-0000-0000-0000176E0000}"/>
    <cellStyle name="Normal 20 18 11" xfId="28940" xr:uid="{00000000-0005-0000-0000-0000186E0000}"/>
    <cellStyle name="Normal 20 18 12" xfId="28941" xr:uid="{00000000-0005-0000-0000-0000196E0000}"/>
    <cellStyle name="Normal 20 18 13" xfId="28942" xr:uid="{00000000-0005-0000-0000-00001A6E0000}"/>
    <cellStyle name="Normal 20 18 2" xfId="28943" xr:uid="{00000000-0005-0000-0000-00001B6E0000}"/>
    <cellStyle name="Normal 20 18 2 2" xfId="28944" xr:uid="{00000000-0005-0000-0000-00001C6E0000}"/>
    <cellStyle name="Normal 20 18 2 3" xfId="28945" xr:uid="{00000000-0005-0000-0000-00001D6E0000}"/>
    <cellStyle name="Normal 20 18 2 4" xfId="28946" xr:uid="{00000000-0005-0000-0000-00001E6E0000}"/>
    <cellStyle name="Normal 20 18 2 5" xfId="28947" xr:uid="{00000000-0005-0000-0000-00001F6E0000}"/>
    <cellStyle name="Normal 20 18 2 6" xfId="28948" xr:uid="{00000000-0005-0000-0000-0000206E0000}"/>
    <cellStyle name="Normal 20 18 3" xfId="28949" xr:uid="{00000000-0005-0000-0000-0000216E0000}"/>
    <cellStyle name="Normal 20 18 3 2" xfId="28950" xr:uid="{00000000-0005-0000-0000-0000226E0000}"/>
    <cellStyle name="Normal 20 18 3 3" xfId="28951" xr:uid="{00000000-0005-0000-0000-0000236E0000}"/>
    <cellStyle name="Normal 20 18 3 4" xfId="28952" xr:uid="{00000000-0005-0000-0000-0000246E0000}"/>
    <cellStyle name="Normal 20 18 3 5" xfId="28953" xr:uid="{00000000-0005-0000-0000-0000256E0000}"/>
    <cellStyle name="Normal 20 18 3 6" xfId="28954" xr:uid="{00000000-0005-0000-0000-0000266E0000}"/>
    <cellStyle name="Normal 20 18 4" xfId="28955" xr:uid="{00000000-0005-0000-0000-0000276E0000}"/>
    <cellStyle name="Normal 20 18 4 2" xfId="28956" xr:uid="{00000000-0005-0000-0000-0000286E0000}"/>
    <cellStyle name="Normal 20 18 4 3" xfId="28957" xr:uid="{00000000-0005-0000-0000-0000296E0000}"/>
    <cellStyle name="Normal 20 18 4 4" xfId="28958" xr:uid="{00000000-0005-0000-0000-00002A6E0000}"/>
    <cellStyle name="Normal 20 18 4 5" xfId="28959" xr:uid="{00000000-0005-0000-0000-00002B6E0000}"/>
    <cellStyle name="Normal 20 18 4 6" xfId="28960" xr:uid="{00000000-0005-0000-0000-00002C6E0000}"/>
    <cellStyle name="Normal 20 18 5" xfId="28961" xr:uid="{00000000-0005-0000-0000-00002D6E0000}"/>
    <cellStyle name="Normal 20 18 5 2" xfId="28962" xr:uid="{00000000-0005-0000-0000-00002E6E0000}"/>
    <cellStyle name="Normal 20 18 5 3" xfId="28963" xr:uid="{00000000-0005-0000-0000-00002F6E0000}"/>
    <cellStyle name="Normal 20 18 5 4" xfId="28964" xr:uid="{00000000-0005-0000-0000-0000306E0000}"/>
    <cellStyle name="Normal 20 18 5 5" xfId="28965" xr:uid="{00000000-0005-0000-0000-0000316E0000}"/>
    <cellStyle name="Normal 20 18 5 6" xfId="28966" xr:uid="{00000000-0005-0000-0000-0000326E0000}"/>
    <cellStyle name="Normal 20 18 6" xfId="28967" xr:uid="{00000000-0005-0000-0000-0000336E0000}"/>
    <cellStyle name="Normal 20 18 6 2" xfId="28968" xr:uid="{00000000-0005-0000-0000-0000346E0000}"/>
    <cellStyle name="Normal 20 18 6 3" xfId="28969" xr:uid="{00000000-0005-0000-0000-0000356E0000}"/>
    <cellStyle name="Normal 20 18 6 4" xfId="28970" xr:uid="{00000000-0005-0000-0000-0000366E0000}"/>
    <cellStyle name="Normal 20 18 6 5" xfId="28971" xr:uid="{00000000-0005-0000-0000-0000376E0000}"/>
    <cellStyle name="Normal 20 18 6 6" xfId="28972" xr:uid="{00000000-0005-0000-0000-0000386E0000}"/>
    <cellStyle name="Normal 20 18 7" xfId="28973" xr:uid="{00000000-0005-0000-0000-0000396E0000}"/>
    <cellStyle name="Normal 20 18 7 2" xfId="28974" xr:uid="{00000000-0005-0000-0000-00003A6E0000}"/>
    <cellStyle name="Normal 20 18 7 3" xfId="28975" xr:uid="{00000000-0005-0000-0000-00003B6E0000}"/>
    <cellStyle name="Normal 20 18 7 4" xfId="28976" xr:uid="{00000000-0005-0000-0000-00003C6E0000}"/>
    <cellStyle name="Normal 20 18 7 5" xfId="28977" xr:uid="{00000000-0005-0000-0000-00003D6E0000}"/>
    <cellStyle name="Normal 20 18 7 6" xfId="28978" xr:uid="{00000000-0005-0000-0000-00003E6E0000}"/>
    <cellStyle name="Normal 20 18 8" xfId="28979" xr:uid="{00000000-0005-0000-0000-00003F6E0000}"/>
    <cellStyle name="Normal 20 18 8 2" xfId="28980" xr:uid="{00000000-0005-0000-0000-0000406E0000}"/>
    <cellStyle name="Normal 20 18 8 3" xfId="28981" xr:uid="{00000000-0005-0000-0000-0000416E0000}"/>
    <cellStyle name="Normal 20 18 8 4" xfId="28982" xr:uid="{00000000-0005-0000-0000-0000426E0000}"/>
    <cellStyle name="Normal 20 18 8 5" xfId="28983" xr:uid="{00000000-0005-0000-0000-0000436E0000}"/>
    <cellStyle name="Normal 20 18 8 6" xfId="28984" xr:uid="{00000000-0005-0000-0000-0000446E0000}"/>
    <cellStyle name="Normal 20 18 9" xfId="28985" xr:uid="{00000000-0005-0000-0000-0000456E0000}"/>
    <cellStyle name="Normal 20 19" xfId="28986" xr:uid="{00000000-0005-0000-0000-0000466E0000}"/>
    <cellStyle name="Normal 20 19 10" xfId="28987" xr:uid="{00000000-0005-0000-0000-0000476E0000}"/>
    <cellStyle name="Normal 20 19 11" xfId="28988" xr:uid="{00000000-0005-0000-0000-0000486E0000}"/>
    <cellStyle name="Normal 20 19 12" xfId="28989" xr:uid="{00000000-0005-0000-0000-0000496E0000}"/>
    <cellStyle name="Normal 20 19 13" xfId="28990" xr:uid="{00000000-0005-0000-0000-00004A6E0000}"/>
    <cellStyle name="Normal 20 19 2" xfId="28991" xr:uid="{00000000-0005-0000-0000-00004B6E0000}"/>
    <cellStyle name="Normal 20 19 2 2" xfId="28992" xr:uid="{00000000-0005-0000-0000-00004C6E0000}"/>
    <cellStyle name="Normal 20 19 2 3" xfId="28993" xr:uid="{00000000-0005-0000-0000-00004D6E0000}"/>
    <cellStyle name="Normal 20 19 2 4" xfId="28994" xr:uid="{00000000-0005-0000-0000-00004E6E0000}"/>
    <cellStyle name="Normal 20 19 2 5" xfId="28995" xr:uid="{00000000-0005-0000-0000-00004F6E0000}"/>
    <cellStyle name="Normal 20 19 2 6" xfId="28996" xr:uid="{00000000-0005-0000-0000-0000506E0000}"/>
    <cellStyle name="Normal 20 19 3" xfId="28997" xr:uid="{00000000-0005-0000-0000-0000516E0000}"/>
    <cellStyle name="Normal 20 19 3 2" xfId="28998" xr:uid="{00000000-0005-0000-0000-0000526E0000}"/>
    <cellStyle name="Normal 20 19 3 3" xfId="28999" xr:uid="{00000000-0005-0000-0000-0000536E0000}"/>
    <cellStyle name="Normal 20 19 3 4" xfId="29000" xr:uid="{00000000-0005-0000-0000-0000546E0000}"/>
    <cellStyle name="Normal 20 19 3 5" xfId="29001" xr:uid="{00000000-0005-0000-0000-0000556E0000}"/>
    <cellStyle name="Normal 20 19 3 6" xfId="29002" xr:uid="{00000000-0005-0000-0000-0000566E0000}"/>
    <cellStyle name="Normal 20 19 4" xfId="29003" xr:uid="{00000000-0005-0000-0000-0000576E0000}"/>
    <cellStyle name="Normal 20 19 4 2" xfId="29004" xr:uid="{00000000-0005-0000-0000-0000586E0000}"/>
    <cellStyle name="Normal 20 19 4 3" xfId="29005" xr:uid="{00000000-0005-0000-0000-0000596E0000}"/>
    <cellStyle name="Normal 20 19 4 4" xfId="29006" xr:uid="{00000000-0005-0000-0000-00005A6E0000}"/>
    <cellStyle name="Normal 20 19 4 5" xfId="29007" xr:uid="{00000000-0005-0000-0000-00005B6E0000}"/>
    <cellStyle name="Normal 20 19 4 6" xfId="29008" xr:uid="{00000000-0005-0000-0000-00005C6E0000}"/>
    <cellStyle name="Normal 20 19 5" xfId="29009" xr:uid="{00000000-0005-0000-0000-00005D6E0000}"/>
    <cellStyle name="Normal 20 19 5 2" xfId="29010" xr:uid="{00000000-0005-0000-0000-00005E6E0000}"/>
    <cellStyle name="Normal 20 19 5 3" xfId="29011" xr:uid="{00000000-0005-0000-0000-00005F6E0000}"/>
    <cellStyle name="Normal 20 19 5 4" xfId="29012" xr:uid="{00000000-0005-0000-0000-0000606E0000}"/>
    <cellStyle name="Normal 20 19 5 5" xfId="29013" xr:uid="{00000000-0005-0000-0000-0000616E0000}"/>
    <cellStyle name="Normal 20 19 5 6" xfId="29014" xr:uid="{00000000-0005-0000-0000-0000626E0000}"/>
    <cellStyle name="Normal 20 19 6" xfId="29015" xr:uid="{00000000-0005-0000-0000-0000636E0000}"/>
    <cellStyle name="Normal 20 19 6 2" xfId="29016" xr:uid="{00000000-0005-0000-0000-0000646E0000}"/>
    <cellStyle name="Normal 20 19 6 3" xfId="29017" xr:uid="{00000000-0005-0000-0000-0000656E0000}"/>
    <cellStyle name="Normal 20 19 6 4" xfId="29018" xr:uid="{00000000-0005-0000-0000-0000666E0000}"/>
    <cellStyle name="Normal 20 19 6 5" xfId="29019" xr:uid="{00000000-0005-0000-0000-0000676E0000}"/>
    <cellStyle name="Normal 20 19 6 6" xfId="29020" xr:uid="{00000000-0005-0000-0000-0000686E0000}"/>
    <cellStyle name="Normal 20 19 7" xfId="29021" xr:uid="{00000000-0005-0000-0000-0000696E0000}"/>
    <cellStyle name="Normal 20 19 7 2" xfId="29022" xr:uid="{00000000-0005-0000-0000-00006A6E0000}"/>
    <cellStyle name="Normal 20 19 7 3" xfId="29023" xr:uid="{00000000-0005-0000-0000-00006B6E0000}"/>
    <cellStyle name="Normal 20 19 7 4" xfId="29024" xr:uid="{00000000-0005-0000-0000-00006C6E0000}"/>
    <cellStyle name="Normal 20 19 7 5" xfId="29025" xr:uid="{00000000-0005-0000-0000-00006D6E0000}"/>
    <cellStyle name="Normal 20 19 7 6" xfId="29026" xr:uid="{00000000-0005-0000-0000-00006E6E0000}"/>
    <cellStyle name="Normal 20 19 8" xfId="29027" xr:uid="{00000000-0005-0000-0000-00006F6E0000}"/>
    <cellStyle name="Normal 20 19 8 2" xfId="29028" xr:uid="{00000000-0005-0000-0000-0000706E0000}"/>
    <cellStyle name="Normal 20 19 8 3" xfId="29029" xr:uid="{00000000-0005-0000-0000-0000716E0000}"/>
    <cellStyle name="Normal 20 19 8 4" xfId="29030" xr:uid="{00000000-0005-0000-0000-0000726E0000}"/>
    <cellStyle name="Normal 20 19 8 5" xfId="29031" xr:uid="{00000000-0005-0000-0000-0000736E0000}"/>
    <cellStyle name="Normal 20 19 8 6" xfId="29032" xr:uid="{00000000-0005-0000-0000-0000746E0000}"/>
    <cellStyle name="Normal 20 19 9" xfId="29033" xr:uid="{00000000-0005-0000-0000-0000756E0000}"/>
    <cellStyle name="Normal 20 2" xfId="29034" xr:uid="{00000000-0005-0000-0000-0000766E0000}"/>
    <cellStyle name="Normal 20 2 10" xfId="29035" xr:uid="{00000000-0005-0000-0000-0000776E0000}"/>
    <cellStyle name="Normal 20 2 11" xfId="29036" xr:uid="{00000000-0005-0000-0000-0000786E0000}"/>
    <cellStyle name="Normal 20 2 12" xfId="29037" xr:uid="{00000000-0005-0000-0000-0000796E0000}"/>
    <cellStyle name="Normal 20 2 13" xfId="29038" xr:uid="{00000000-0005-0000-0000-00007A6E0000}"/>
    <cellStyle name="Normal 20 2 2" xfId="29039" xr:uid="{00000000-0005-0000-0000-00007B6E0000}"/>
    <cellStyle name="Normal 20 2 2 2" xfId="29040" xr:uid="{00000000-0005-0000-0000-00007C6E0000}"/>
    <cellStyle name="Normal 20 2 2 3" xfId="29041" xr:uid="{00000000-0005-0000-0000-00007D6E0000}"/>
    <cellStyle name="Normal 20 2 2 4" xfId="29042" xr:uid="{00000000-0005-0000-0000-00007E6E0000}"/>
    <cellStyle name="Normal 20 2 2 5" xfId="29043" xr:uid="{00000000-0005-0000-0000-00007F6E0000}"/>
    <cellStyle name="Normal 20 2 2 6" xfId="29044" xr:uid="{00000000-0005-0000-0000-0000806E0000}"/>
    <cellStyle name="Normal 20 2 3" xfId="29045" xr:uid="{00000000-0005-0000-0000-0000816E0000}"/>
    <cellStyle name="Normal 20 2 3 2" xfId="29046" xr:uid="{00000000-0005-0000-0000-0000826E0000}"/>
    <cellStyle name="Normal 20 2 3 3" xfId="29047" xr:uid="{00000000-0005-0000-0000-0000836E0000}"/>
    <cellStyle name="Normal 20 2 3 4" xfId="29048" xr:uid="{00000000-0005-0000-0000-0000846E0000}"/>
    <cellStyle name="Normal 20 2 3 5" xfId="29049" xr:uid="{00000000-0005-0000-0000-0000856E0000}"/>
    <cellStyle name="Normal 20 2 3 6" xfId="29050" xr:uid="{00000000-0005-0000-0000-0000866E0000}"/>
    <cellStyle name="Normal 20 2 4" xfId="29051" xr:uid="{00000000-0005-0000-0000-0000876E0000}"/>
    <cellStyle name="Normal 20 2 4 2" xfId="29052" xr:uid="{00000000-0005-0000-0000-0000886E0000}"/>
    <cellStyle name="Normal 20 2 4 3" xfId="29053" xr:uid="{00000000-0005-0000-0000-0000896E0000}"/>
    <cellStyle name="Normal 20 2 4 4" xfId="29054" xr:uid="{00000000-0005-0000-0000-00008A6E0000}"/>
    <cellStyle name="Normal 20 2 4 5" xfId="29055" xr:uid="{00000000-0005-0000-0000-00008B6E0000}"/>
    <cellStyle name="Normal 20 2 4 6" xfId="29056" xr:uid="{00000000-0005-0000-0000-00008C6E0000}"/>
    <cellStyle name="Normal 20 2 5" xfId="29057" xr:uid="{00000000-0005-0000-0000-00008D6E0000}"/>
    <cellStyle name="Normal 20 2 5 2" xfId="29058" xr:uid="{00000000-0005-0000-0000-00008E6E0000}"/>
    <cellStyle name="Normal 20 2 5 3" xfId="29059" xr:uid="{00000000-0005-0000-0000-00008F6E0000}"/>
    <cellStyle name="Normal 20 2 5 4" xfId="29060" xr:uid="{00000000-0005-0000-0000-0000906E0000}"/>
    <cellStyle name="Normal 20 2 5 5" xfId="29061" xr:uid="{00000000-0005-0000-0000-0000916E0000}"/>
    <cellStyle name="Normal 20 2 5 6" xfId="29062" xr:uid="{00000000-0005-0000-0000-0000926E0000}"/>
    <cellStyle name="Normal 20 2 6" xfId="29063" xr:uid="{00000000-0005-0000-0000-0000936E0000}"/>
    <cellStyle name="Normal 20 2 6 2" xfId="29064" xr:uid="{00000000-0005-0000-0000-0000946E0000}"/>
    <cellStyle name="Normal 20 2 6 3" xfId="29065" xr:uid="{00000000-0005-0000-0000-0000956E0000}"/>
    <cellStyle name="Normal 20 2 6 4" xfId="29066" xr:uid="{00000000-0005-0000-0000-0000966E0000}"/>
    <cellStyle name="Normal 20 2 6 5" xfId="29067" xr:uid="{00000000-0005-0000-0000-0000976E0000}"/>
    <cellStyle name="Normal 20 2 6 6" xfId="29068" xr:uid="{00000000-0005-0000-0000-0000986E0000}"/>
    <cellStyle name="Normal 20 2 7" xfId="29069" xr:uid="{00000000-0005-0000-0000-0000996E0000}"/>
    <cellStyle name="Normal 20 2 7 2" xfId="29070" xr:uid="{00000000-0005-0000-0000-00009A6E0000}"/>
    <cellStyle name="Normal 20 2 7 3" xfId="29071" xr:uid="{00000000-0005-0000-0000-00009B6E0000}"/>
    <cellStyle name="Normal 20 2 7 4" xfId="29072" xr:uid="{00000000-0005-0000-0000-00009C6E0000}"/>
    <cellStyle name="Normal 20 2 7 5" xfId="29073" xr:uid="{00000000-0005-0000-0000-00009D6E0000}"/>
    <cellStyle name="Normal 20 2 7 6" xfId="29074" xr:uid="{00000000-0005-0000-0000-00009E6E0000}"/>
    <cellStyle name="Normal 20 2 8" xfId="29075" xr:uid="{00000000-0005-0000-0000-00009F6E0000}"/>
    <cellStyle name="Normal 20 2 8 2" xfId="29076" xr:uid="{00000000-0005-0000-0000-0000A06E0000}"/>
    <cellStyle name="Normal 20 2 8 3" xfId="29077" xr:uid="{00000000-0005-0000-0000-0000A16E0000}"/>
    <cellStyle name="Normal 20 2 8 4" xfId="29078" xr:uid="{00000000-0005-0000-0000-0000A26E0000}"/>
    <cellStyle name="Normal 20 2 8 5" xfId="29079" xr:uid="{00000000-0005-0000-0000-0000A36E0000}"/>
    <cellStyle name="Normal 20 2 8 6" xfId="29080" xr:uid="{00000000-0005-0000-0000-0000A46E0000}"/>
    <cellStyle name="Normal 20 2 9" xfId="29081" xr:uid="{00000000-0005-0000-0000-0000A56E0000}"/>
    <cellStyle name="Normal 20 20" xfId="29082" xr:uid="{00000000-0005-0000-0000-0000A66E0000}"/>
    <cellStyle name="Normal 20 20 10" xfId="29083" xr:uid="{00000000-0005-0000-0000-0000A76E0000}"/>
    <cellStyle name="Normal 20 20 11" xfId="29084" xr:uid="{00000000-0005-0000-0000-0000A86E0000}"/>
    <cellStyle name="Normal 20 20 12" xfId="29085" xr:uid="{00000000-0005-0000-0000-0000A96E0000}"/>
    <cellStyle name="Normal 20 20 13" xfId="29086" xr:uid="{00000000-0005-0000-0000-0000AA6E0000}"/>
    <cellStyle name="Normal 20 20 2" xfId="29087" xr:uid="{00000000-0005-0000-0000-0000AB6E0000}"/>
    <cellStyle name="Normal 20 20 2 2" xfId="29088" xr:uid="{00000000-0005-0000-0000-0000AC6E0000}"/>
    <cellStyle name="Normal 20 20 2 3" xfId="29089" xr:uid="{00000000-0005-0000-0000-0000AD6E0000}"/>
    <cellStyle name="Normal 20 20 2 4" xfId="29090" xr:uid="{00000000-0005-0000-0000-0000AE6E0000}"/>
    <cellStyle name="Normal 20 20 2 5" xfId="29091" xr:uid="{00000000-0005-0000-0000-0000AF6E0000}"/>
    <cellStyle name="Normal 20 20 2 6" xfId="29092" xr:uid="{00000000-0005-0000-0000-0000B06E0000}"/>
    <cellStyle name="Normal 20 20 3" xfId="29093" xr:uid="{00000000-0005-0000-0000-0000B16E0000}"/>
    <cellStyle name="Normal 20 20 3 2" xfId="29094" xr:uid="{00000000-0005-0000-0000-0000B26E0000}"/>
    <cellStyle name="Normal 20 20 3 3" xfId="29095" xr:uid="{00000000-0005-0000-0000-0000B36E0000}"/>
    <cellStyle name="Normal 20 20 3 4" xfId="29096" xr:uid="{00000000-0005-0000-0000-0000B46E0000}"/>
    <cellStyle name="Normal 20 20 3 5" xfId="29097" xr:uid="{00000000-0005-0000-0000-0000B56E0000}"/>
    <cellStyle name="Normal 20 20 3 6" xfId="29098" xr:uid="{00000000-0005-0000-0000-0000B66E0000}"/>
    <cellStyle name="Normal 20 20 4" xfId="29099" xr:uid="{00000000-0005-0000-0000-0000B76E0000}"/>
    <cellStyle name="Normal 20 20 4 2" xfId="29100" xr:uid="{00000000-0005-0000-0000-0000B86E0000}"/>
    <cellStyle name="Normal 20 20 4 3" xfId="29101" xr:uid="{00000000-0005-0000-0000-0000B96E0000}"/>
    <cellStyle name="Normal 20 20 4 4" xfId="29102" xr:uid="{00000000-0005-0000-0000-0000BA6E0000}"/>
    <cellStyle name="Normal 20 20 4 5" xfId="29103" xr:uid="{00000000-0005-0000-0000-0000BB6E0000}"/>
    <cellStyle name="Normal 20 20 4 6" xfId="29104" xr:uid="{00000000-0005-0000-0000-0000BC6E0000}"/>
    <cellStyle name="Normal 20 20 5" xfId="29105" xr:uid="{00000000-0005-0000-0000-0000BD6E0000}"/>
    <cellStyle name="Normal 20 20 5 2" xfId="29106" xr:uid="{00000000-0005-0000-0000-0000BE6E0000}"/>
    <cellStyle name="Normal 20 20 5 3" xfId="29107" xr:uid="{00000000-0005-0000-0000-0000BF6E0000}"/>
    <cellStyle name="Normal 20 20 5 4" xfId="29108" xr:uid="{00000000-0005-0000-0000-0000C06E0000}"/>
    <cellStyle name="Normal 20 20 5 5" xfId="29109" xr:uid="{00000000-0005-0000-0000-0000C16E0000}"/>
    <cellStyle name="Normal 20 20 5 6" xfId="29110" xr:uid="{00000000-0005-0000-0000-0000C26E0000}"/>
    <cellStyle name="Normal 20 20 6" xfId="29111" xr:uid="{00000000-0005-0000-0000-0000C36E0000}"/>
    <cellStyle name="Normal 20 20 6 2" xfId="29112" xr:uid="{00000000-0005-0000-0000-0000C46E0000}"/>
    <cellStyle name="Normal 20 20 6 3" xfId="29113" xr:uid="{00000000-0005-0000-0000-0000C56E0000}"/>
    <cellStyle name="Normal 20 20 6 4" xfId="29114" xr:uid="{00000000-0005-0000-0000-0000C66E0000}"/>
    <cellStyle name="Normal 20 20 6 5" xfId="29115" xr:uid="{00000000-0005-0000-0000-0000C76E0000}"/>
    <cellStyle name="Normal 20 20 6 6" xfId="29116" xr:uid="{00000000-0005-0000-0000-0000C86E0000}"/>
    <cellStyle name="Normal 20 20 7" xfId="29117" xr:uid="{00000000-0005-0000-0000-0000C96E0000}"/>
    <cellStyle name="Normal 20 20 7 2" xfId="29118" xr:uid="{00000000-0005-0000-0000-0000CA6E0000}"/>
    <cellStyle name="Normal 20 20 7 3" xfId="29119" xr:uid="{00000000-0005-0000-0000-0000CB6E0000}"/>
    <cellStyle name="Normal 20 20 7 4" xfId="29120" xr:uid="{00000000-0005-0000-0000-0000CC6E0000}"/>
    <cellStyle name="Normal 20 20 7 5" xfId="29121" xr:uid="{00000000-0005-0000-0000-0000CD6E0000}"/>
    <cellStyle name="Normal 20 20 7 6" xfId="29122" xr:uid="{00000000-0005-0000-0000-0000CE6E0000}"/>
    <cellStyle name="Normal 20 20 8" xfId="29123" xr:uid="{00000000-0005-0000-0000-0000CF6E0000}"/>
    <cellStyle name="Normal 20 20 8 2" xfId="29124" xr:uid="{00000000-0005-0000-0000-0000D06E0000}"/>
    <cellStyle name="Normal 20 20 8 3" xfId="29125" xr:uid="{00000000-0005-0000-0000-0000D16E0000}"/>
    <cellStyle name="Normal 20 20 8 4" xfId="29126" xr:uid="{00000000-0005-0000-0000-0000D26E0000}"/>
    <cellStyle name="Normal 20 20 8 5" xfId="29127" xr:uid="{00000000-0005-0000-0000-0000D36E0000}"/>
    <cellStyle name="Normal 20 20 8 6" xfId="29128" xr:uid="{00000000-0005-0000-0000-0000D46E0000}"/>
    <cellStyle name="Normal 20 20 9" xfId="29129" xr:uid="{00000000-0005-0000-0000-0000D56E0000}"/>
    <cellStyle name="Normal 20 21" xfId="29130" xr:uid="{00000000-0005-0000-0000-0000D66E0000}"/>
    <cellStyle name="Normal 20 21 10" xfId="29131" xr:uid="{00000000-0005-0000-0000-0000D76E0000}"/>
    <cellStyle name="Normal 20 21 11" xfId="29132" xr:uid="{00000000-0005-0000-0000-0000D86E0000}"/>
    <cellStyle name="Normal 20 21 12" xfId="29133" xr:uid="{00000000-0005-0000-0000-0000D96E0000}"/>
    <cellStyle name="Normal 20 21 13" xfId="29134" xr:uid="{00000000-0005-0000-0000-0000DA6E0000}"/>
    <cellStyle name="Normal 20 21 2" xfId="29135" xr:uid="{00000000-0005-0000-0000-0000DB6E0000}"/>
    <cellStyle name="Normal 20 21 2 2" xfId="29136" xr:uid="{00000000-0005-0000-0000-0000DC6E0000}"/>
    <cellStyle name="Normal 20 21 2 3" xfId="29137" xr:uid="{00000000-0005-0000-0000-0000DD6E0000}"/>
    <cellStyle name="Normal 20 21 2 4" xfId="29138" xr:uid="{00000000-0005-0000-0000-0000DE6E0000}"/>
    <cellStyle name="Normal 20 21 2 5" xfId="29139" xr:uid="{00000000-0005-0000-0000-0000DF6E0000}"/>
    <cellStyle name="Normal 20 21 2 6" xfId="29140" xr:uid="{00000000-0005-0000-0000-0000E06E0000}"/>
    <cellStyle name="Normal 20 21 3" xfId="29141" xr:uid="{00000000-0005-0000-0000-0000E16E0000}"/>
    <cellStyle name="Normal 20 21 3 2" xfId="29142" xr:uid="{00000000-0005-0000-0000-0000E26E0000}"/>
    <cellStyle name="Normal 20 21 3 3" xfId="29143" xr:uid="{00000000-0005-0000-0000-0000E36E0000}"/>
    <cellStyle name="Normal 20 21 3 4" xfId="29144" xr:uid="{00000000-0005-0000-0000-0000E46E0000}"/>
    <cellStyle name="Normal 20 21 3 5" xfId="29145" xr:uid="{00000000-0005-0000-0000-0000E56E0000}"/>
    <cellStyle name="Normal 20 21 3 6" xfId="29146" xr:uid="{00000000-0005-0000-0000-0000E66E0000}"/>
    <cellStyle name="Normal 20 21 4" xfId="29147" xr:uid="{00000000-0005-0000-0000-0000E76E0000}"/>
    <cellStyle name="Normal 20 21 4 2" xfId="29148" xr:uid="{00000000-0005-0000-0000-0000E86E0000}"/>
    <cellStyle name="Normal 20 21 4 3" xfId="29149" xr:uid="{00000000-0005-0000-0000-0000E96E0000}"/>
    <cellStyle name="Normal 20 21 4 4" xfId="29150" xr:uid="{00000000-0005-0000-0000-0000EA6E0000}"/>
    <cellStyle name="Normal 20 21 4 5" xfId="29151" xr:uid="{00000000-0005-0000-0000-0000EB6E0000}"/>
    <cellStyle name="Normal 20 21 4 6" xfId="29152" xr:uid="{00000000-0005-0000-0000-0000EC6E0000}"/>
    <cellStyle name="Normal 20 21 5" xfId="29153" xr:uid="{00000000-0005-0000-0000-0000ED6E0000}"/>
    <cellStyle name="Normal 20 21 5 2" xfId="29154" xr:uid="{00000000-0005-0000-0000-0000EE6E0000}"/>
    <cellStyle name="Normal 20 21 5 3" xfId="29155" xr:uid="{00000000-0005-0000-0000-0000EF6E0000}"/>
    <cellStyle name="Normal 20 21 5 4" xfId="29156" xr:uid="{00000000-0005-0000-0000-0000F06E0000}"/>
    <cellStyle name="Normal 20 21 5 5" xfId="29157" xr:uid="{00000000-0005-0000-0000-0000F16E0000}"/>
    <cellStyle name="Normal 20 21 5 6" xfId="29158" xr:uid="{00000000-0005-0000-0000-0000F26E0000}"/>
    <cellStyle name="Normal 20 21 6" xfId="29159" xr:uid="{00000000-0005-0000-0000-0000F36E0000}"/>
    <cellStyle name="Normal 20 21 6 2" xfId="29160" xr:uid="{00000000-0005-0000-0000-0000F46E0000}"/>
    <cellStyle name="Normal 20 21 6 3" xfId="29161" xr:uid="{00000000-0005-0000-0000-0000F56E0000}"/>
    <cellStyle name="Normal 20 21 6 4" xfId="29162" xr:uid="{00000000-0005-0000-0000-0000F66E0000}"/>
    <cellStyle name="Normal 20 21 6 5" xfId="29163" xr:uid="{00000000-0005-0000-0000-0000F76E0000}"/>
    <cellStyle name="Normal 20 21 6 6" xfId="29164" xr:uid="{00000000-0005-0000-0000-0000F86E0000}"/>
    <cellStyle name="Normal 20 21 7" xfId="29165" xr:uid="{00000000-0005-0000-0000-0000F96E0000}"/>
    <cellStyle name="Normal 20 21 7 2" xfId="29166" xr:uid="{00000000-0005-0000-0000-0000FA6E0000}"/>
    <cellStyle name="Normal 20 21 7 3" xfId="29167" xr:uid="{00000000-0005-0000-0000-0000FB6E0000}"/>
    <cellStyle name="Normal 20 21 7 4" xfId="29168" xr:uid="{00000000-0005-0000-0000-0000FC6E0000}"/>
    <cellStyle name="Normal 20 21 7 5" xfId="29169" xr:uid="{00000000-0005-0000-0000-0000FD6E0000}"/>
    <cellStyle name="Normal 20 21 7 6" xfId="29170" xr:uid="{00000000-0005-0000-0000-0000FE6E0000}"/>
    <cellStyle name="Normal 20 21 8" xfId="29171" xr:uid="{00000000-0005-0000-0000-0000FF6E0000}"/>
    <cellStyle name="Normal 20 21 8 2" xfId="29172" xr:uid="{00000000-0005-0000-0000-0000006F0000}"/>
    <cellStyle name="Normal 20 21 8 3" xfId="29173" xr:uid="{00000000-0005-0000-0000-0000016F0000}"/>
    <cellStyle name="Normal 20 21 8 4" xfId="29174" xr:uid="{00000000-0005-0000-0000-0000026F0000}"/>
    <cellStyle name="Normal 20 21 8 5" xfId="29175" xr:uid="{00000000-0005-0000-0000-0000036F0000}"/>
    <cellStyle name="Normal 20 21 8 6" xfId="29176" xr:uid="{00000000-0005-0000-0000-0000046F0000}"/>
    <cellStyle name="Normal 20 21 9" xfId="29177" xr:uid="{00000000-0005-0000-0000-0000056F0000}"/>
    <cellStyle name="Normal 20 22" xfId="29178" xr:uid="{00000000-0005-0000-0000-0000066F0000}"/>
    <cellStyle name="Normal 20 22 10" xfId="29179" xr:uid="{00000000-0005-0000-0000-0000076F0000}"/>
    <cellStyle name="Normal 20 22 11" xfId="29180" xr:uid="{00000000-0005-0000-0000-0000086F0000}"/>
    <cellStyle name="Normal 20 22 12" xfId="29181" xr:uid="{00000000-0005-0000-0000-0000096F0000}"/>
    <cellStyle name="Normal 20 22 13" xfId="29182" xr:uid="{00000000-0005-0000-0000-00000A6F0000}"/>
    <cellStyle name="Normal 20 22 2" xfId="29183" xr:uid="{00000000-0005-0000-0000-00000B6F0000}"/>
    <cellStyle name="Normal 20 22 2 2" xfId="29184" xr:uid="{00000000-0005-0000-0000-00000C6F0000}"/>
    <cellStyle name="Normal 20 22 2 3" xfId="29185" xr:uid="{00000000-0005-0000-0000-00000D6F0000}"/>
    <cellStyle name="Normal 20 22 2 4" xfId="29186" xr:uid="{00000000-0005-0000-0000-00000E6F0000}"/>
    <cellStyle name="Normal 20 22 2 5" xfId="29187" xr:uid="{00000000-0005-0000-0000-00000F6F0000}"/>
    <cellStyle name="Normal 20 22 2 6" xfId="29188" xr:uid="{00000000-0005-0000-0000-0000106F0000}"/>
    <cellStyle name="Normal 20 22 3" xfId="29189" xr:uid="{00000000-0005-0000-0000-0000116F0000}"/>
    <cellStyle name="Normal 20 22 3 2" xfId="29190" xr:uid="{00000000-0005-0000-0000-0000126F0000}"/>
    <cellStyle name="Normal 20 22 3 3" xfId="29191" xr:uid="{00000000-0005-0000-0000-0000136F0000}"/>
    <cellStyle name="Normal 20 22 3 4" xfId="29192" xr:uid="{00000000-0005-0000-0000-0000146F0000}"/>
    <cellStyle name="Normal 20 22 3 5" xfId="29193" xr:uid="{00000000-0005-0000-0000-0000156F0000}"/>
    <cellStyle name="Normal 20 22 3 6" xfId="29194" xr:uid="{00000000-0005-0000-0000-0000166F0000}"/>
    <cellStyle name="Normal 20 22 4" xfId="29195" xr:uid="{00000000-0005-0000-0000-0000176F0000}"/>
    <cellStyle name="Normal 20 22 4 2" xfId="29196" xr:uid="{00000000-0005-0000-0000-0000186F0000}"/>
    <cellStyle name="Normal 20 22 4 3" xfId="29197" xr:uid="{00000000-0005-0000-0000-0000196F0000}"/>
    <cellStyle name="Normal 20 22 4 4" xfId="29198" xr:uid="{00000000-0005-0000-0000-00001A6F0000}"/>
    <cellStyle name="Normal 20 22 4 5" xfId="29199" xr:uid="{00000000-0005-0000-0000-00001B6F0000}"/>
    <cellStyle name="Normal 20 22 4 6" xfId="29200" xr:uid="{00000000-0005-0000-0000-00001C6F0000}"/>
    <cellStyle name="Normal 20 22 5" xfId="29201" xr:uid="{00000000-0005-0000-0000-00001D6F0000}"/>
    <cellStyle name="Normal 20 22 5 2" xfId="29202" xr:uid="{00000000-0005-0000-0000-00001E6F0000}"/>
    <cellStyle name="Normal 20 22 5 3" xfId="29203" xr:uid="{00000000-0005-0000-0000-00001F6F0000}"/>
    <cellStyle name="Normal 20 22 5 4" xfId="29204" xr:uid="{00000000-0005-0000-0000-0000206F0000}"/>
    <cellStyle name="Normal 20 22 5 5" xfId="29205" xr:uid="{00000000-0005-0000-0000-0000216F0000}"/>
    <cellStyle name="Normal 20 22 5 6" xfId="29206" xr:uid="{00000000-0005-0000-0000-0000226F0000}"/>
    <cellStyle name="Normal 20 22 6" xfId="29207" xr:uid="{00000000-0005-0000-0000-0000236F0000}"/>
    <cellStyle name="Normal 20 22 6 2" xfId="29208" xr:uid="{00000000-0005-0000-0000-0000246F0000}"/>
    <cellStyle name="Normal 20 22 6 3" xfId="29209" xr:uid="{00000000-0005-0000-0000-0000256F0000}"/>
    <cellStyle name="Normal 20 22 6 4" xfId="29210" xr:uid="{00000000-0005-0000-0000-0000266F0000}"/>
    <cellStyle name="Normal 20 22 6 5" xfId="29211" xr:uid="{00000000-0005-0000-0000-0000276F0000}"/>
    <cellStyle name="Normal 20 22 6 6" xfId="29212" xr:uid="{00000000-0005-0000-0000-0000286F0000}"/>
    <cellStyle name="Normal 20 22 7" xfId="29213" xr:uid="{00000000-0005-0000-0000-0000296F0000}"/>
    <cellStyle name="Normal 20 22 7 2" xfId="29214" xr:uid="{00000000-0005-0000-0000-00002A6F0000}"/>
    <cellStyle name="Normal 20 22 7 3" xfId="29215" xr:uid="{00000000-0005-0000-0000-00002B6F0000}"/>
    <cellStyle name="Normal 20 22 7 4" xfId="29216" xr:uid="{00000000-0005-0000-0000-00002C6F0000}"/>
    <cellStyle name="Normal 20 22 7 5" xfId="29217" xr:uid="{00000000-0005-0000-0000-00002D6F0000}"/>
    <cellStyle name="Normal 20 22 7 6" xfId="29218" xr:uid="{00000000-0005-0000-0000-00002E6F0000}"/>
    <cellStyle name="Normal 20 22 8" xfId="29219" xr:uid="{00000000-0005-0000-0000-00002F6F0000}"/>
    <cellStyle name="Normal 20 22 8 2" xfId="29220" xr:uid="{00000000-0005-0000-0000-0000306F0000}"/>
    <cellStyle name="Normal 20 22 8 3" xfId="29221" xr:uid="{00000000-0005-0000-0000-0000316F0000}"/>
    <cellStyle name="Normal 20 22 8 4" xfId="29222" xr:uid="{00000000-0005-0000-0000-0000326F0000}"/>
    <cellStyle name="Normal 20 22 8 5" xfId="29223" xr:uid="{00000000-0005-0000-0000-0000336F0000}"/>
    <cellStyle name="Normal 20 22 8 6" xfId="29224" xr:uid="{00000000-0005-0000-0000-0000346F0000}"/>
    <cellStyle name="Normal 20 22 9" xfId="29225" xr:uid="{00000000-0005-0000-0000-0000356F0000}"/>
    <cellStyle name="Normal 20 23" xfId="29226" xr:uid="{00000000-0005-0000-0000-0000366F0000}"/>
    <cellStyle name="Normal 20 23 10" xfId="29227" xr:uid="{00000000-0005-0000-0000-0000376F0000}"/>
    <cellStyle name="Normal 20 23 11" xfId="29228" xr:uid="{00000000-0005-0000-0000-0000386F0000}"/>
    <cellStyle name="Normal 20 23 12" xfId="29229" xr:uid="{00000000-0005-0000-0000-0000396F0000}"/>
    <cellStyle name="Normal 20 23 13" xfId="29230" xr:uid="{00000000-0005-0000-0000-00003A6F0000}"/>
    <cellStyle name="Normal 20 23 2" xfId="29231" xr:uid="{00000000-0005-0000-0000-00003B6F0000}"/>
    <cellStyle name="Normal 20 23 2 2" xfId="29232" xr:uid="{00000000-0005-0000-0000-00003C6F0000}"/>
    <cellStyle name="Normal 20 23 2 3" xfId="29233" xr:uid="{00000000-0005-0000-0000-00003D6F0000}"/>
    <cellStyle name="Normal 20 23 2 4" xfId="29234" xr:uid="{00000000-0005-0000-0000-00003E6F0000}"/>
    <cellStyle name="Normal 20 23 2 5" xfId="29235" xr:uid="{00000000-0005-0000-0000-00003F6F0000}"/>
    <cellStyle name="Normal 20 23 2 6" xfId="29236" xr:uid="{00000000-0005-0000-0000-0000406F0000}"/>
    <cellStyle name="Normal 20 23 3" xfId="29237" xr:uid="{00000000-0005-0000-0000-0000416F0000}"/>
    <cellStyle name="Normal 20 23 3 2" xfId="29238" xr:uid="{00000000-0005-0000-0000-0000426F0000}"/>
    <cellStyle name="Normal 20 23 3 3" xfId="29239" xr:uid="{00000000-0005-0000-0000-0000436F0000}"/>
    <cellStyle name="Normal 20 23 3 4" xfId="29240" xr:uid="{00000000-0005-0000-0000-0000446F0000}"/>
    <cellStyle name="Normal 20 23 3 5" xfId="29241" xr:uid="{00000000-0005-0000-0000-0000456F0000}"/>
    <cellStyle name="Normal 20 23 3 6" xfId="29242" xr:uid="{00000000-0005-0000-0000-0000466F0000}"/>
    <cellStyle name="Normal 20 23 4" xfId="29243" xr:uid="{00000000-0005-0000-0000-0000476F0000}"/>
    <cellStyle name="Normal 20 23 4 2" xfId="29244" xr:uid="{00000000-0005-0000-0000-0000486F0000}"/>
    <cellStyle name="Normal 20 23 4 3" xfId="29245" xr:uid="{00000000-0005-0000-0000-0000496F0000}"/>
    <cellStyle name="Normal 20 23 4 4" xfId="29246" xr:uid="{00000000-0005-0000-0000-00004A6F0000}"/>
    <cellStyle name="Normal 20 23 4 5" xfId="29247" xr:uid="{00000000-0005-0000-0000-00004B6F0000}"/>
    <cellStyle name="Normal 20 23 4 6" xfId="29248" xr:uid="{00000000-0005-0000-0000-00004C6F0000}"/>
    <cellStyle name="Normal 20 23 5" xfId="29249" xr:uid="{00000000-0005-0000-0000-00004D6F0000}"/>
    <cellStyle name="Normal 20 23 5 2" xfId="29250" xr:uid="{00000000-0005-0000-0000-00004E6F0000}"/>
    <cellStyle name="Normal 20 23 5 3" xfId="29251" xr:uid="{00000000-0005-0000-0000-00004F6F0000}"/>
    <cellStyle name="Normal 20 23 5 4" xfId="29252" xr:uid="{00000000-0005-0000-0000-0000506F0000}"/>
    <cellStyle name="Normal 20 23 5 5" xfId="29253" xr:uid="{00000000-0005-0000-0000-0000516F0000}"/>
    <cellStyle name="Normal 20 23 5 6" xfId="29254" xr:uid="{00000000-0005-0000-0000-0000526F0000}"/>
    <cellStyle name="Normal 20 23 6" xfId="29255" xr:uid="{00000000-0005-0000-0000-0000536F0000}"/>
    <cellStyle name="Normal 20 23 6 2" xfId="29256" xr:uid="{00000000-0005-0000-0000-0000546F0000}"/>
    <cellStyle name="Normal 20 23 6 3" xfId="29257" xr:uid="{00000000-0005-0000-0000-0000556F0000}"/>
    <cellStyle name="Normal 20 23 6 4" xfId="29258" xr:uid="{00000000-0005-0000-0000-0000566F0000}"/>
    <cellStyle name="Normal 20 23 6 5" xfId="29259" xr:uid="{00000000-0005-0000-0000-0000576F0000}"/>
    <cellStyle name="Normal 20 23 6 6" xfId="29260" xr:uid="{00000000-0005-0000-0000-0000586F0000}"/>
    <cellStyle name="Normal 20 23 7" xfId="29261" xr:uid="{00000000-0005-0000-0000-0000596F0000}"/>
    <cellStyle name="Normal 20 23 7 2" xfId="29262" xr:uid="{00000000-0005-0000-0000-00005A6F0000}"/>
    <cellStyle name="Normal 20 23 7 3" xfId="29263" xr:uid="{00000000-0005-0000-0000-00005B6F0000}"/>
    <cellStyle name="Normal 20 23 7 4" xfId="29264" xr:uid="{00000000-0005-0000-0000-00005C6F0000}"/>
    <cellStyle name="Normal 20 23 7 5" xfId="29265" xr:uid="{00000000-0005-0000-0000-00005D6F0000}"/>
    <cellStyle name="Normal 20 23 7 6" xfId="29266" xr:uid="{00000000-0005-0000-0000-00005E6F0000}"/>
    <cellStyle name="Normal 20 23 8" xfId="29267" xr:uid="{00000000-0005-0000-0000-00005F6F0000}"/>
    <cellStyle name="Normal 20 23 8 2" xfId="29268" xr:uid="{00000000-0005-0000-0000-0000606F0000}"/>
    <cellStyle name="Normal 20 23 8 3" xfId="29269" xr:uid="{00000000-0005-0000-0000-0000616F0000}"/>
    <cellStyle name="Normal 20 23 8 4" xfId="29270" xr:uid="{00000000-0005-0000-0000-0000626F0000}"/>
    <cellStyle name="Normal 20 23 8 5" xfId="29271" xr:uid="{00000000-0005-0000-0000-0000636F0000}"/>
    <cellStyle name="Normal 20 23 8 6" xfId="29272" xr:uid="{00000000-0005-0000-0000-0000646F0000}"/>
    <cellStyle name="Normal 20 23 9" xfId="29273" xr:uid="{00000000-0005-0000-0000-0000656F0000}"/>
    <cellStyle name="Normal 20 24" xfId="29274" xr:uid="{00000000-0005-0000-0000-0000666F0000}"/>
    <cellStyle name="Normal 20 24 10" xfId="29275" xr:uid="{00000000-0005-0000-0000-0000676F0000}"/>
    <cellStyle name="Normal 20 24 11" xfId="29276" xr:uid="{00000000-0005-0000-0000-0000686F0000}"/>
    <cellStyle name="Normal 20 24 12" xfId="29277" xr:uid="{00000000-0005-0000-0000-0000696F0000}"/>
    <cellStyle name="Normal 20 24 13" xfId="29278" xr:uid="{00000000-0005-0000-0000-00006A6F0000}"/>
    <cellStyle name="Normal 20 24 2" xfId="29279" xr:uid="{00000000-0005-0000-0000-00006B6F0000}"/>
    <cellStyle name="Normal 20 24 2 2" xfId="29280" xr:uid="{00000000-0005-0000-0000-00006C6F0000}"/>
    <cellStyle name="Normal 20 24 2 3" xfId="29281" xr:uid="{00000000-0005-0000-0000-00006D6F0000}"/>
    <cellStyle name="Normal 20 24 2 4" xfId="29282" xr:uid="{00000000-0005-0000-0000-00006E6F0000}"/>
    <cellStyle name="Normal 20 24 2 5" xfId="29283" xr:uid="{00000000-0005-0000-0000-00006F6F0000}"/>
    <cellStyle name="Normal 20 24 2 6" xfId="29284" xr:uid="{00000000-0005-0000-0000-0000706F0000}"/>
    <cellStyle name="Normal 20 24 3" xfId="29285" xr:uid="{00000000-0005-0000-0000-0000716F0000}"/>
    <cellStyle name="Normal 20 24 3 2" xfId="29286" xr:uid="{00000000-0005-0000-0000-0000726F0000}"/>
    <cellStyle name="Normal 20 24 3 3" xfId="29287" xr:uid="{00000000-0005-0000-0000-0000736F0000}"/>
    <cellStyle name="Normal 20 24 3 4" xfId="29288" xr:uid="{00000000-0005-0000-0000-0000746F0000}"/>
    <cellStyle name="Normal 20 24 3 5" xfId="29289" xr:uid="{00000000-0005-0000-0000-0000756F0000}"/>
    <cellStyle name="Normal 20 24 3 6" xfId="29290" xr:uid="{00000000-0005-0000-0000-0000766F0000}"/>
    <cellStyle name="Normal 20 24 4" xfId="29291" xr:uid="{00000000-0005-0000-0000-0000776F0000}"/>
    <cellStyle name="Normal 20 24 4 2" xfId="29292" xr:uid="{00000000-0005-0000-0000-0000786F0000}"/>
    <cellStyle name="Normal 20 24 4 3" xfId="29293" xr:uid="{00000000-0005-0000-0000-0000796F0000}"/>
    <cellStyle name="Normal 20 24 4 4" xfId="29294" xr:uid="{00000000-0005-0000-0000-00007A6F0000}"/>
    <cellStyle name="Normal 20 24 4 5" xfId="29295" xr:uid="{00000000-0005-0000-0000-00007B6F0000}"/>
    <cellStyle name="Normal 20 24 4 6" xfId="29296" xr:uid="{00000000-0005-0000-0000-00007C6F0000}"/>
    <cellStyle name="Normal 20 24 5" xfId="29297" xr:uid="{00000000-0005-0000-0000-00007D6F0000}"/>
    <cellStyle name="Normal 20 24 5 2" xfId="29298" xr:uid="{00000000-0005-0000-0000-00007E6F0000}"/>
    <cellStyle name="Normal 20 24 5 3" xfId="29299" xr:uid="{00000000-0005-0000-0000-00007F6F0000}"/>
    <cellStyle name="Normal 20 24 5 4" xfId="29300" xr:uid="{00000000-0005-0000-0000-0000806F0000}"/>
    <cellStyle name="Normal 20 24 5 5" xfId="29301" xr:uid="{00000000-0005-0000-0000-0000816F0000}"/>
    <cellStyle name="Normal 20 24 5 6" xfId="29302" xr:uid="{00000000-0005-0000-0000-0000826F0000}"/>
    <cellStyle name="Normal 20 24 6" xfId="29303" xr:uid="{00000000-0005-0000-0000-0000836F0000}"/>
    <cellStyle name="Normal 20 24 6 2" xfId="29304" xr:uid="{00000000-0005-0000-0000-0000846F0000}"/>
    <cellStyle name="Normal 20 24 6 3" xfId="29305" xr:uid="{00000000-0005-0000-0000-0000856F0000}"/>
    <cellStyle name="Normal 20 24 6 4" xfId="29306" xr:uid="{00000000-0005-0000-0000-0000866F0000}"/>
    <cellStyle name="Normal 20 24 6 5" xfId="29307" xr:uid="{00000000-0005-0000-0000-0000876F0000}"/>
    <cellStyle name="Normal 20 24 6 6" xfId="29308" xr:uid="{00000000-0005-0000-0000-0000886F0000}"/>
    <cellStyle name="Normal 20 24 7" xfId="29309" xr:uid="{00000000-0005-0000-0000-0000896F0000}"/>
    <cellStyle name="Normal 20 24 7 2" xfId="29310" xr:uid="{00000000-0005-0000-0000-00008A6F0000}"/>
    <cellStyle name="Normal 20 24 7 3" xfId="29311" xr:uid="{00000000-0005-0000-0000-00008B6F0000}"/>
    <cellStyle name="Normal 20 24 7 4" xfId="29312" xr:uid="{00000000-0005-0000-0000-00008C6F0000}"/>
    <cellStyle name="Normal 20 24 7 5" xfId="29313" xr:uid="{00000000-0005-0000-0000-00008D6F0000}"/>
    <cellStyle name="Normal 20 24 7 6" xfId="29314" xr:uid="{00000000-0005-0000-0000-00008E6F0000}"/>
    <cellStyle name="Normal 20 24 8" xfId="29315" xr:uid="{00000000-0005-0000-0000-00008F6F0000}"/>
    <cellStyle name="Normal 20 24 8 2" xfId="29316" xr:uid="{00000000-0005-0000-0000-0000906F0000}"/>
    <cellStyle name="Normal 20 24 8 3" xfId="29317" xr:uid="{00000000-0005-0000-0000-0000916F0000}"/>
    <cellStyle name="Normal 20 24 8 4" xfId="29318" xr:uid="{00000000-0005-0000-0000-0000926F0000}"/>
    <cellStyle name="Normal 20 24 8 5" xfId="29319" xr:uid="{00000000-0005-0000-0000-0000936F0000}"/>
    <cellStyle name="Normal 20 24 8 6" xfId="29320" xr:uid="{00000000-0005-0000-0000-0000946F0000}"/>
    <cellStyle name="Normal 20 24 9" xfId="29321" xr:uid="{00000000-0005-0000-0000-0000956F0000}"/>
    <cellStyle name="Normal 20 25" xfId="29322" xr:uid="{00000000-0005-0000-0000-0000966F0000}"/>
    <cellStyle name="Normal 20 25 2" xfId="29323" xr:uid="{00000000-0005-0000-0000-0000976F0000}"/>
    <cellStyle name="Normal 20 25 3" xfId="29324" xr:uid="{00000000-0005-0000-0000-0000986F0000}"/>
    <cellStyle name="Normal 20 25 4" xfId="29325" xr:uid="{00000000-0005-0000-0000-0000996F0000}"/>
    <cellStyle name="Normal 20 25 5" xfId="29326" xr:uid="{00000000-0005-0000-0000-00009A6F0000}"/>
    <cellStyle name="Normal 20 25 6" xfId="29327" xr:uid="{00000000-0005-0000-0000-00009B6F0000}"/>
    <cellStyle name="Normal 20 26" xfId="29328" xr:uid="{00000000-0005-0000-0000-00009C6F0000}"/>
    <cellStyle name="Normal 20 26 2" xfId="29329" xr:uid="{00000000-0005-0000-0000-00009D6F0000}"/>
    <cellStyle name="Normal 20 26 3" xfId="29330" xr:uid="{00000000-0005-0000-0000-00009E6F0000}"/>
    <cellStyle name="Normal 20 26 4" xfId="29331" xr:uid="{00000000-0005-0000-0000-00009F6F0000}"/>
    <cellStyle name="Normal 20 26 5" xfId="29332" xr:uid="{00000000-0005-0000-0000-0000A06F0000}"/>
    <cellStyle name="Normal 20 26 6" xfId="29333" xr:uid="{00000000-0005-0000-0000-0000A16F0000}"/>
    <cellStyle name="Normal 20 27" xfId="29334" xr:uid="{00000000-0005-0000-0000-0000A26F0000}"/>
    <cellStyle name="Normal 20 27 2" xfId="29335" xr:uid="{00000000-0005-0000-0000-0000A36F0000}"/>
    <cellStyle name="Normal 20 27 3" xfId="29336" xr:uid="{00000000-0005-0000-0000-0000A46F0000}"/>
    <cellStyle name="Normal 20 27 4" xfId="29337" xr:uid="{00000000-0005-0000-0000-0000A56F0000}"/>
    <cellStyle name="Normal 20 27 5" xfId="29338" xr:uid="{00000000-0005-0000-0000-0000A66F0000}"/>
    <cellStyle name="Normal 20 27 6" xfId="29339" xr:uid="{00000000-0005-0000-0000-0000A76F0000}"/>
    <cellStyle name="Normal 20 28" xfId="29340" xr:uid="{00000000-0005-0000-0000-0000A86F0000}"/>
    <cellStyle name="Normal 20 28 2" xfId="29341" xr:uid="{00000000-0005-0000-0000-0000A96F0000}"/>
    <cellStyle name="Normal 20 28 3" xfId="29342" xr:uid="{00000000-0005-0000-0000-0000AA6F0000}"/>
    <cellStyle name="Normal 20 28 4" xfId="29343" xr:uid="{00000000-0005-0000-0000-0000AB6F0000}"/>
    <cellStyle name="Normal 20 28 5" xfId="29344" xr:uid="{00000000-0005-0000-0000-0000AC6F0000}"/>
    <cellStyle name="Normal 20 28 6" xfId="29345" xr:uid="{00000000-0005-0000-0000-0000AD6F0000}"/>
    <cellStyle name="Normal 20 29" xfId="29346" xr:uid="{00000000-0005-0000-0000-0000AE6F0000}"/>
    <cellStyle name="Normal 20 29 2" xfId="29347" xr:uid="{00000000-0005-0000-0000-0000AF6F0000}"/>
    <cellStyle name="Normal 20 29 3" xfId="29348" xr:uid="{00000000-0005-0000-0000-0000B06F0000}"/>
    <cellStyle name="Normal 20 29 4" xfId="29349" xr:uid="{00000000-0005-0000-0000-0000B16F0000}"/>
    <cellStyle name="Normal 20 29 5" xfId="29350" xr:uid="{00000000-0005-0000-0000-0000B26F0000}"/>
    <cellStyle name="Normal 20 29 6" xfId="29351" xr:uid="{00000000-0005-0000-0000-0000B36F0000}"/>
    <cellStyle name="Normal 20 3" xfId="29352" xr:uid="{00000000-0005-0000-0000-0000B46F0000}"/>
    <cellStyle name="Normal 20 3 10" xfId="29353" xr:uid="{00000000-0005-0000-0000-0000B56F0000}"/>
    <cellStyle name="Normal 20 3 11" xfId="29354" xr:uid="{00000000-0005-0000-0000-0000B66F0000}"/>
    <cellStyle name="Normal 20 3 12" xfId="29355" xr:uid="{00000000-0005-0000-0000-0000B76F0000}"/>
    <cellStyle name="Normal 20 3 13" xfId="29356" xr:uid="{00000000-0005-0000-0000-0000B86F0000}"/>
    <cellStyle name="Normal 20 3 2" xfId="29357" xr:uid="{00000000-0005-0000-0000-0000B96F0000}"/>
    <cellStyle name="Normal 20 3 2 2" xfId="29358" xr:uid="{00000000-0005-0000-0000-0000BA6F0000}"/>
    <cellStyle name="Normal 20 3 2 3" xfId="29359" xr:uid="{00000000-0005-0000-0000-0000BB6F0000}"/>
    <cellStyle name="Normal 20 3 2 4" xfId="29360" xr:uid="{00000000-0005-0000-0000-0000BC6F0000}"/>
    <cellStyle name="Normal 20 3 2 5" xfId="29361" xr:uid="{00000000-0005-0000-0000-0000BD6F0000}"/>
    <cellStyle name="Normal 20 3 2 6" xfId="29362" xr:uid="{00000000-0005-0000-0000-0000BE6F0000}"/>
    <cellStyle name="Normal 20 3 3" xfId="29363" xr:uid="{00000000-0005-0000-0000-0000BF6F0000}"/>
    <cellStyle name="Normal 20 3 3 2" xfId="29364" xr:uid="{00000000-0005-0000-0000-0000C06F0000}"/>
    <cellStyle name="Normal 20 3 3 3" xfId="29365" xr:uid="{00000000-0005-0000-0000-0000C16F0000}"/>
    <cellStyle name="Normal 20 3 3 4" xfId="29366" xr:uid="{00000000-0005-0000-0000-0000C26F0000}"/>
    <cellStyle name="Normal 20 3 3 5" xfId="29367" xr:uid="{00000000-0005-0000-0000-0000C36F0000}"/>
    <cellStyle name="Normal 20 3 3 6" xfId="29368" xr:uid="{00000000-0005-0000-0000-0000C46F0000}"/>
    <cellStyle name="Normal 20 3 4" xfId="29369" xr:uid="{00000000-0005-0000-0000-0000C56F0000}"/>
    <cellStyle name="Normal 20 3 4 2" xfId="29370" xr:uid="{00000000-0005-0000-0000-0000C66F0000}"/>
    <cellStyle name="Normal 20 3 4 3" xfId="29371" xr:uid="{00000000-0005-0000-0000-0000C76F0000}"/>
    <cellStyle name="Normal 20 3 4 4" xfId="29372" xr:uid="{00000000-0005-0000-0000-0000C86F0000}"/>
    <cellStyle name="Normal 20 3 4 5" xfId="29373" xr:uid="{00000000-0005-0000-0000-0000C96F0000}"/>
    <cellStyle name="Normal 20 3 4 6" xfId="29374" xr:uid="{00000000-0005-0000-0000-0000CA6F0000}"/>
    <cellStyle name="Normal 20 3 5" xfId="29375" xr:uid="{00000000-0005-0000-0000-0000CB6F0000}"/>
    <cellStyle name="Normal 20 3 5 2" xfId="29376" xr:uid="{00000000-0005-0000-0000-0000CC6F0000}"/>
    <cellStyle name="Normal 20 3 5 3" xfId="29377" xr:uid="{00000000-0005-0000-0000-0000CD6F0000}"/>
    <cellStyle name="Normal 20 3 5 4" xfId="29378" xr:uid="{00000000-0005-0000-0000-0000CE6F0000}"/>
    <cellStyle name="Normal 20 3 5 5" xfId="29379" xr:uid="{00000000-0005-0000-0000-0000CF6F0000}"/>
    <cellStyle name="Normal 20 3 5 6" xfId="29380" xr:uid="{00000000-0005-0000-0000-0000D06F0000}"/>
    <cellStyle name="Normal 20 3 6" xfId="29381" xr:uid="{00000000-0005-0000-0000-0000D16F0000}"/>
    <cellStyle name="Normal 20 3 6 2" xfId="29382" xr:uid="{00000000-0005-0000-0000-0000D26F0000}"/>
    <cellStyle name="Normal 20 3 6 3" xfId="29383" xr:uid="{00000000-0005-0000-0000-0000D36F0000}"/>
    <cellStyle name="Normal 20 3 6 4" xfId="29384" xr:uid="{00000000-0005-0000-0000-0000D46F0000}"/>
    <cellStyle name="Normal 20 3 6 5" xfId="29385" xr:uid="{00000000-0005-0000-0000-0000D56F0000}"/>
    <cellStyle name="Normal 20 3 6 6" xfId="29386" xr:uid="{00000000-0005-0000-0000-0000D66F0000}"/>
    <cellStyle name="Normal 20 3 7" xfId="29387" xr:uid="{00000000-0005-0000-0000-0000D76F0000}"/>
    <cellStyle name="Normal 20 3 7 2" xfId="29388" xr:uid="{00000000-0005-0000-0000-0000D86F0000}"/>
    <cellStyle name="Normal 20 3 7 3" xfId="29389" xr:uid="{00000000-0005-0000-0000-0000D96F0000}"/>
    <cellStyle name="Normal 20 3 7 4" xfId="29390" xr:uid="{00000000-0005-0000-0000-0000DA6F0000}"/>
    <cellStyle name="Normal 20 3 7 5" xfId="29391" xr:uid="{00000000-0005-0000-0000-0000DB6F0000}"/>
    <cellStyle name="Normal 20 3 7 6" xfId="29392" xr:uid="{00000000-0005-0000-0000-0000DC6F0000}"/>
    <cellStyle name="Normal 20 3 8" xfId="29393" xr:uid="{00000000-0005-0000-0000-0000DD6F0000}"/>
    <cellStyle name="Normal 20 3 8 2" xfId="29394" xr:uid="{00000000-0005-0000-0000-0000DE6F0000}"/>
    <cellStyle name="Normal 20 3 8 3" xfId="29395" xr:uid="{00000000-0005-0000-0000-0000DF6F0000}"/>
    <cellStyle name="Normal 20 3 8 4" xfId="29396" xr:uid="{00000000-0005-0000-0000-0000E06F0000}"/>
    <cellStyle name="Normal 20 3 8 5" xfId="29397" xr:uid="{00000000-0005-0000-0000-0000E16F0000}"/>
    <cellStyle name="Normal 20 3 8 6" xfId="29398" xr:uid="{00000000-0005-0000-0000-0000E26F0000}"/>
    <cellStyle name="Normal 20 3 9" xfId="29399" xr:uid="{00000000-0005-0000-0000-0000E36F0000}"/>
    <cellStyle name="Normal 20 30" xfId="29400" xr:uid="{00000000-0005-0000-0000-0000E46F0000}"/>
    <cellStyle name="Normal 20 30 2" xfId="29401" xr:uid="{00000000-0005-0000-0000-0000E56F0000}"/>
    <cellStyle name="Normal 20 30 3" xfId="29402" xr:uid="{00000000-0005-0000-0000-0000E66F0000}"/>
    <cellStyle name="Normal 20 30 4" xfId="29403" xr:uid="{00000000-0005-0000-0000-0000E76F0000}"/>
    <cellStyle name="Normal 20 30 5" xfId="29404" xr:uid="{00000000-0005-0000-0000-0000E86F0000}"/>
    <cellStyle name="Normal 20 30 6" xfId="29405" xr:uid="{00000000-0005-0000-0000-0000E96F0000}"/>
    <cellStyle name="Normal 20 31" xfId="29406" xr:uid="{00000000-0005-0000-0000-0000EA6F0000}"/>
    <cellStyle name="Normal 20 31 2" xfId="29407" xr:uid="{00000000-0005-0000-0000-0000EB6F0000}"/>
    <cellStyle name="Normal 20 31 3" xfId="29408" xr:uid="{00000000-0005-0000-0000-0000EC6F0000}"/>
    <cellStyle name="Normal 20 31 4" xfId="29409" xr:uid="{00000000-0005-0000-0000-0000ED6F0000}"/>
    <cellStyle name="Normal 20 31 5" xfId="29410" xr:uid="{00000000-0005-0000-0000-0000EE6F0000}"/>
    <cellStyle name="Normal 20 31 6" xfId="29411" xr:uid="{00000000-0005-0000-0000-0000EF6F0000}"/>
    <cellStyle name="Normal 20 32" xfId="29412" xr:uid="{00000000-0005-0000-0000-0000F06F0000}"/>
    <cellStyle name="Normal 20 33" xfId="29413" xr:uid="{00000000-0005-0000-0000-0000F16F0000}"/>
    <cellStyle name="Normal 20 34" xfId="29414" xr:uid="{00000000-0005-0000-0000-0000F26F0000}"/>
    <cellStyle name="Normal 20 35" xfId="29415" xr:uid="{00000000-0005-0000-0000-0000F36F0000}"/>
    <cellStyle name="Normal 20 36" xfId="29416" xr:uid="{00000000-0005-0000-0000-0000F46F0000}"/>
    <cellStyle name="Normal 20 4" xfId="29417" xr:uid="{00000000-0005-0000-0000-0000F56F0000}"/>
    <cellStyle name="Normal 20 4 10" xfId="29418" xr:uid="{00000000-0005-0000-0000-0000F66F0000}"/>
    <cellStyle name="Normal 20 4 11" xfId="29419" xr:uid="{00000000-0005-0000-0000-0000F76F0000}"/>
    <cellStyle name="Normal 20 4 12" xfId="29420" xr:uid="{00000000-0005-0000-0000-0000F86F0000}"/>
    <cellStyle name="Normal 20 4 13" xfId="29421" xr:uid="{00000000-0005-0000-0000-0000F96F0000}"/>
    <cellStyle name="Normal 20 4 2" xfId="29422" xr:uid="{00000000-0005-0000-0000-0000FA6F0000}"/>
    <cellStyle name="Normal 20 4 2 2" xfId="29423" xr:uid="{00000000-0005-0000-0000-0000FB6F0000}"/>
    <cellStyle name="Normal 20 4 2 3" xfId="29424" xr:uid="{00000000-0005-0000-0000-0000FC6F0000}"/>
    <cellStyle name="Normal 20 4 2 4" xfId="29425" xr:uid="{00000000-0005-0000-0000-0000FD6F0000}"/>
    <cellStyle name="Normal 20 4 2 5" xfId="29426" xr:uid="{00000000-0005-0000-0000-0000FE6F0000}"/>
    <cellStyle name="Normal 20 4 2 6" xfId="29427" xr:uid="{00000000-0005-0000-0000-0000FF6F0000}"/>
    <cellStyle name="Normal 20 4 3" xfId="29428" xr:uid="{00000000-0005-0000-0000-000000700000}"/>
    <cellStyle name="Normal 20 4 3 2" xfId="29429" xr:uid="{00000000-0005-0000-0000-000001700000}"/>
    <cellStyle name="Normal 20 4 3 3" xfId="29430" xr:uid="{00000000-0005-0000-0000-000002700000}"/>
    <cellStyle name="Normal 20 4 3 4" xfId="29431" xr:uid="{00000000-0005-0000-0000-000003700000}"/>
    <cellStyle name="Normal 20 4 3 5" xfId="29432" xr:uid="{00000000-0005-0000-0000-000004700000}"/>
    <cellStyle name="Normal 20 4 3 6" xfId="29433" xr:uid="{00000000-0005-0000-0000-000005700000}"/>
    <cellStyle name="Normal 20 4 4" xfId="29434" xr:uid="{00000000-0005-0000-0000-000006700000}"/>
    <cellStyle name="Normal 20 4 4 2" xfId="29435" xr:uid="{00000000-0005-0000-0000-000007700000}"/>
    <cellStyle name="Normal 20 4 4 3" xfId="29436" xr:uid="{00000000-0005-0000-0000-000008700000}"/>
    <cellStyle name="Normal 20 4 4 4" xfId="29437" xr:uid="{00000000-0005-0000-0000-000009700000}"/>
    <cellStyle name="Normal 20 4 4 5" xfId="29438" xr:uid="{00000000-0005-0000-0000-00000A700000}"/>
    <cellStyle name="Normal 20 4 4 6" xfId="29439" xr:uid="{00000000-0005-0000-0000-00000B700000}"/>
    <cellStyle name="Normal 20 4 5" xfId="29440" xr:uid="{00000000-0005-0000-0000-00000C700000}"/>
    <cellStyle name="Normal 20 4 5 2" xfId="29441" xr:uid="{00000000-0005-0000-0000-00000D700000}"/>
    <cellStyle name="Normal 20 4 5 3" xfId="29442" xr:uid="{00000000-0005-0000-0000-00000E700000}"/>
    <cellStyle name="Normal 20 4 5 4" xfId="29443" xr:uid="{00000000-0005-0000-0000-00000F700000}"/>
    <cellStyle name="Normal 20 4 5 5" xfId="29444" xr:uid="{00000000-0005-0000-0000-000010700000}"/>
    <cellStyle name="Normal 20 4 5 6" xfId="29445" xr:uid="{00000000-0005-0000-0000-000011700000}"/>
    <cellStyle name="Normal 20 4 6" xfId="29446" xr:uid="{00000000-0005-0000-0000-000012700000}"/>
    <cellStyle name="Normal 20 4 6 2" xfId="29447" xr:uid="{00000000-0005-0000-0000-000013700000}"/>
    <cellStyle name="Normal 20 4 6 3" xfId="29448" xr:uid="{00000000-0005-0000-0000-000014700000}"/>
    <cellStyle name="Normal 20 4 6 4" xfId="29449" xr:uid="{00000000-0005-0000-0000-000015700000}"/>
    <cellStyle name="Normal 20 4 6 5" xfId="29450" xr:uid="{00000000-0005-0000-0000-000016700000}"/>
    <cellStyle name="Normal 20 4 6 6" xfId="29451" xr:uid="{00000000-0005-0000-0000-000017700000}"/>
    <cellStyle name="Normal 20 4 7" xfId="29452" xr:uid="{00000000-0005-0000-0000-000018700000}"/>
    <cellStyle name="Normal 20 4 7 2" xfId="29453" xr:uid="{00000000-0005-0000-0000-000019700000}"/>
    <cellStyle name="Normal 20 4 7 3" xfId="29454" xr:uid="{00000000-0005-0000-0000-00001A700000}"/>
    <cellStyle name="Normal 20 4 7 4" xfId="29455" xr:uid="{00000000-0005-0000-0000-00001B700000}"/>
    <cellStyle name="Normal 20 4 7 5" xfId="29456" xr:uid="{00000000-0005-0000-0000-00001C700000}"/>
    <cellStyle name="Normal 20 4 7 6" xfId="29457" xr:uid="{00000000-0005-0000-0000-00001D700000}"/>
    <cellStyle name="Normal 20 4 8" xfId="29458" xr:uid="{00000000-0005-0000-0000-00001E700000}"/>
    <cellStyle name="Normal 20 4 8 2" xfId="29459" xr:uid="{00000000-0005-0000-0000-00001F700000}"/>
    <cellStyle name="Normal 20 4 8 3" xfId="29460" xr:uid="{00000000-0005-0000-0000-000020700000}"/>
    <cellStyle name="Normal 20 4 8 4" xfId="29461" xr:uid="{00000000-0005-0000-0000-000021700000}"/>
    <cellStyle name="Normal 20 4 8 5" xfId="29462" xr:uid="{00000000-0005-0000-0000-000022700000}"/>
    <cellStyle name="Normal 20 4 8 6" xfId="29463" xr:uid="{00000000-0005-0000-0000-000023700000}"/>
    <cellStyle name="Normal 20 4 9" xfId="29464" xr:uid="{00000000-0005-0000-0000-000024700000}"/>
    <cellStyle name="Normal 20 5" xfId="29465" xr:uid="{00000000-0005-0000-0000-000025700000}"/>
    <cellStyle name="Normal 20 5 10" xfId="29466" xr:uid="{00000000-0005-0000-0000-000026700000}"/>
    <cellStyle name="Normal 20 5 11" xfId="29467" xr:uid="{00000000-0005-0000-0000-000027700000}"/>
    <cellStyle name="Normal 20 5 12" xfId="29468" xr:uid="{00000000-0005-0000-0000-000028700000}"/>
    <cellStyle name="Normal 20 5 13" xfId="29469" xr:uid="{00000000-0005-0000-0000-000029700000}"/>
    <cellStyle name="Normal 20 5 2" xfId="29470" xr:uid="{00000000-0005-0000-0000-00002A700000}"/>
    <cellStyle name="Normal 20 5 2 2" xfId="29471" xr:uid="{00000000-0005-0000-0000-00002B700000}"/>
    <cellStyle name="Normal 20 5 2 3" xfId="29472" xr:uid="{00000000-0005-0000-0000-00002C700000}"/>
    <cellStyle name="Normal 20 5 2 4" xfId="29473" xr:uid="{00000000-0005-0000-0000-00002D700000}"/>
    <cellStyle name="Normal 20 5 2 5" xfId="29474" xr:uid="{00000000-0005-0000-0000-00002E700000}"/>
    <cellStyle name="Normal 20 5 2 6" xfId="29475" xr:uid="{00000000-0005-0000-0000-00002F700000}"/>
    <cellStyle name="Normal 20 5 3" xfId="29476" xr:uid="{00000000-0005-0000-0000-000030700000}"/>
    <cellStyle name="Normal 20 5 3 2" xfId="29477" xr:uid="{00000000-0005-0000-0000-000031700000}"/>
    <cellStyle name="Normal 20 5 3 3" xfId="29478" xr:uid="{00000000-0005-0000-0000-000032700000}"/>
    <cellStyle name="Normal 20 5 3 4" xfId="29479" xr:uid="{00000000-0005-0000-0000-000033700000}"/>
    <cellStyle name="Normal 20 5 3 5" xfId="29480" xr:uid="{00000000-0005-0000-0000-000034700000}"/>
    <cellStyle name="Normal 20 5 3 6" xfId="29481" xr:uid="{00000000-0005-0000-0000-000035700000}"/>
    <cellStyle name="Normal 20 5 4" xfId="29482" xr:uid="{00000000-0005-0000-0000-000036700000}"/>
    <cellStyle name="Normal 20 5 4 2" xfId="29483" xr:uid="{00000000-0005-0000-0000-000037700000}"/>
    <cellStyle name="Normal 20 5 4 3" xfId="29484" xr:uid="{00000000-0005-0000-0000-000038700000}"/>
    <cellStyle name="Normal 20 5 4 4" xfId="29485" xr:uid="{00000000-0005-0000-0000-000039700000}"/>
    <cellStyle name="Normal 20 5 4 5" xfId="29486" xr:uid="{00000000-0005-0000-0000-00003A700000}"/>
    <cellStyle name="Normal 20 5 4 6" xfId="29487" xr:uid="{00000000-0005-0000-0000-00003B700000}"/>
    <cellStyle name="Normal 20 5 5" xfId="29488" xr:uid="{00000000-0005-0000-0000-00003C700000}"/>
    <cellStyle name="Normal 20 5 5 2" xfId="29489" xr:uid="{00000000-0005-0000-0000-00003D700000}"/>
    <cellStyle name="Normal 20 5 5 3" xfId="29490" xr:uid="{00000000-0005-0000-0000-00003E700000}"/>
    <cellStyle name="Normal 20 5 5 4" xfId="29491" xr:uid="{00000000-0005-0000-0000-00003F700000}"/>
    <cellStyle name="Normal 20 5 5 5" xfId="29492" xr:uid="{00000000-0005-0000-0000-000040700000}"/>
    <cellStyle name="Normal 20 5 5 6" xfId="29493" xr:uid="{00000000-0005-0000-0000-000041700000}"/>
    <cellStyle name="Normal 20 5 6" xfId="29494" xr:uid="{00000000-0005-0000-0000-000042700000}"/>
    <cellStyle name="Normal 20 5 6 2" xfId="29495" xr:uid="{00000000-0005-0000-0000-000043700000}"/>
    <cellStyle name="Normal 20 5 6 3" xfId="29496" xr:uid="{00000000-0005-0000-0000-000044700000}"/>
    <cellStyle name="Normal 20 5 6 4" xfId="29497" xr:uid="{00000000-0005-0000-0000-000045700000}"/>
    <cellStyle name="Normal 20 5 6 5" xfId="29498" xr:uid="{00000000-0005-0000-0000-000046700000}"/>
    <cellStyle name="Normal 20 5 6 6" xfId="29499" xr:uid="{00000000-0005-0000-0000-000047700000}"/>
    <cellStyle name="Normal 20 5 7" xfId="29500" xr:uid="{00000000-0005-0000-0000-000048700000}"/>
    <cellStyle name="Normal 20 5 7 2" xfId="29501" xr:uid="{00000000-0005-0000-0000-000049700000}"/>
    <cellStyle name="Normal 20 5 7 3" xfId="29502" xr:uid="{00000000-0005-0000-0000-00004A700000}"/>
    <cellStyle name="Normal 20 5 7 4" xfId="29503" xr:uid="{00000000-0005-0000-0000-00004B700000}"/>
    <cellStyle name="Normal 20 5 7 5" xfId="29504" xr:uid="{00000000-0005-0000-0000-00004C700000}"/>
    <cellStyle name="Normal 20 5 7 6" xfId="29505" xr:uid="{00000000-0005-0000-0000-00004D700000}"/>
    <cellStyle name="Normal 20 5 8" xfId="29506" xr:uid="{00000000-0005-0000-0000-00004E700000}"/>
    <cellStyle name="Normal 20 5 8 2" xfId="29507" xr:uid="{00000000-0005-0000-0000-00004F700000}"/>
    <cellStyle name="Normal 20 5 8 3" xfId="29508" xr:uid="{00000000-0005-0000-0000-000050700000}"/>
    <cellStyle name="Normal 20 5 8 4" xfId="29509" xr:uid="{00000000-0005-0000-0000-000051700000}"/>
    <cellStyle name="Normal 20 5 8 5" xfId="29510" xr:uid="{00000000-0005-0000-0000-000052700000}"/>
    <cellStyle name="Normal 20 5 8 6" xfId="29511" xr:uid="{00000000-0005-0000-0000-000053700000}"/>
    <cellStyle name="Normal 20 5 9" xfId="29512" xr:uid="{00000000-0005-0000-0000-000054700000}"/>
    <cellStyle name="Normal 20 6" xfId="29513" xr:uid="{00000000-0005-0000-0000-000055700000}"/>
    <cellStyle name="Normal 20 6 10" xfId="29514" xr:uid="{00000000-0005-0000-0000-000056700000}"/>
    <cellStyle name="Normal 20 6 11" xfId="29515" xr:uid="{00000000-0005-0000-0000-000057700000}"/>
    <cellStyle name="Normal 20 6 12" xfId="29516" xr:uid="{00000000-0005-0000-0000-000058700000}"/>
    <cellStyle name="Normal 20 6 13" xfId="29517" xr:uid="{00000000-0005-0000-0000-000059700000}"/>
    <cellStyle name="Normal 20 6 2" xfId="29518" xr:uid="{00000000-0005-0000-0000-00005A700000}"/>
    <cellStyle name="Normal 20 6 2 2" xfId="29519" xr:uid="{00000000-0005-0000-0000-00005B700000}"/>
    <cellStyle name="Normal 20 6 2 3" xfId="29520" xr:uid="{00000000-0005-0000-0000-00005C700000}"/>
    <cellStyle name="Normal 20 6 2 4" xfId="29521" xr:uid="{00000000-0005-0000-0000-00005D700000}"/>
    <cellStyle name="Normal 20 6 2 5" xfId="29522" xr:uid="{00000000-0005-0000-0000-00005E700000}"/>
    <cellStyle name="Normal 20 6 2 6" xfId="29523" xr:uid="{00000000-0005-0000-0000-00005F700000}"/>
    <cellStyle name="Normal 20 6 3" xfId="29524" xr:uid="{00000000-0005-0000-0000-000060700000}"/>
    <cellStyle name="Normal 20 6 3 2" xfId="29525" xr:uid="{00000000-0005-0000-0000-000061700000}"/>
    <cellStyle name="Normal 20 6 3 3" xfId="29526" xr:uid="{00000000-0005-0000-0000-000062700000}"/>
    <cellStyle name="Normal 20 6 3 4" xfId="29527" xr:uid="{00000000-0005-0000-0000-000063700000}"/>
    <cellStyle name="Normal 20 6 3 5" xfId="29528" xr:uid="{00000000-0005-0000-0000-000064700000}"/>
    <cellStyle name="Normal 20 6 3 6" xfId="29529" xr:uid="{00000000-0005-0000-0000-000065700000}"/>
    <cellStyle name="Normal 20 6 4" xfId="29530" xr:uid="{00000000-0005-0000-0000-000066700000}"/>
    <cellStyle name="Normal 20 6 4 2" xfId="29531" xr:uid="{00000000-0005-0000-0000-000067700000}"/>
    <cellStyle name="Normal 20 6 4 3" xfId="29532" xr:uid="{00000000-0005-0000-0000-000068700000}"/>
    <cellStyle name="Normal 20 6 4 4" xfId="29533" xr:uid="{00000000-0005-0000-0000-000069700000}"/>
    <cellStyle name="Normal 20 6 4 5" xfId="29534" xr:uid="{00000000-0005-0000-0000-00006A700000}"/>
    <cellStyle name="Normal 20 6 4 6" xfId="29535" xr:uid="{00000000-0005-0000-0000-00006B700000}"/>
    <cellStyle name="Normal 20 6 5" xfId="29536" xr:uid="{00000000-0005-0000-0000-00006C700000}"/>
    <cellStyle name="Normal 20 6 5 2" xfId="29537" xr:uid="{00000000-0005-0000-0000-00006D700000}"/>
    <cellStyle name="Normal 20 6 5 3" xfId="29538" xr:uid="{00000000-0005-0000-0000-00006E700000}"/>
    <cellStyle name="Normal 20 6 5 4" xfId="29539" xr:uid="{00000000-0005-0000-0000-00006F700000}"/>
    <cellStyle name="Normal 20 6 5 5" xfId="29540" xr:uid="{00000000-0005-0000-0000-000070700000}"/>
    <cellStyle name="Normal 20 6 5 6" xfId="29541" xr:uid="{00000000-0005-0000-0000-000071700000}"/>
    <cellStyle name="Normal 20 6 6" xfId="29542" xr:uid="{00000000-0005-0000-0000-000072700000}"/>
    <cellStyle name="Normal 20 6 6 2" xfId="29543" xr:uid="{00000000-0005-0000-0000-000073700000}"/>
    <cellStyle name="Normal 20 6 6 3" xfId="29544" xr:uid="{00000000-0005-0000-0000-000074700000}"/>
    <cellStyle name="Normal 20 6 6 4" xfId="29545" xr:uid="{00000000-0005-0000-0000-000075700000}"/>
    <cellStyle name="Normal 20 6 6 5" xfId="29546" xr:uid="{00000000-0005-0000-0000-000076700000}"/>
    <cellStyle name="Normal 20 6 6 6" xfId="29547" xr:uid="{00000000-0005-0000-0000-000077700000}"/>
    <cellStyle name="Normal 20 6 7" xfId="29548" xr:uid="{00000000-0005-0000-0000-000078700000}"/>
    <cellStyle name="Normal 20 6 7 2" xfId="29549" xr:uid="{00000000-0005-0000-0000-000079700000}"/>
    <cellStyle name="Normal 20 6 7 3" xfId="29550" xr:uid="{00000000-0005-0000-0000-00007A700000}"/>
    <cellStyle name="Normal 20 6 7 4" xfId="29551" xr:uid="{00000000-0005-0000-0000-00007B700000}"/>
    <cellStyle name="Normal 20 6 7 5" xfId="29552" xr:uid="{00000000-0005-0000-0000-00007C700000}"/>
    <cellStyle name="Normal 20 6 7 6" xfId="29553" xr:uid="{00000000-0005-0000-0000-00007D700000}"/>
    <cellStyle name="Normal 20 6 8" xfId="29554" xr:uid="{00000000-0005-0000-0000-00007E700000}"/>
    <cellStyle name="Normal 20 6 8 2" xfId="29555" xr:uid="{00000000-0005-0000-0000-00007F700000}"/>
    <cellStyle name="Normal 20 6 8 3" xfId="29556" xr:uid="{00000000-0005-0000-0000-000080700000}"/>
    <cellStyle name="Normal 20 6 8 4" xfId="29557" xr:uid="{00000000-0005-0000-0000-000081700000}"/>
    <cellStyle name="Normal 20 6 8 5" xfId="29558" xr:uid="{00000000-0005-0000-0000-000082700000}"/>
    <cellStyle name="Normal 20 6 8 6" xfId="29559" xr:uid="{00000000-0005-0000-0000-000083700000}"/>
    <cellStyle name="Normal 20 6 9" xfId="29560" xr:uid="{00000000-0005-0000-0000-000084700000}"/>
    <cellStyle name="Normal 20 7" xfId="29561" xr:uid="{00000000-0005-0000-0000-000085700000}"/>
    <cellStyle name="Normal 20 7 10" xfId="29562" xr:uid="{00000000-0005-0000-0000-000086700000}"/>
    <cellStyle name="Normal 20 7 11" xfId="29563" xr:uid="{00000000-0005-0000-0000-000087700000}"/>
    <cellStyle name="Normal 20 7 12" xfId="29564" xr:uid="{00000000-0005-0000-0000-000088700000}"/>
    <cellStyle name="Normal 20 7 13" xfId="29565" xr:uid="{00000000-0005-0000-0000-000089700000}"/>
    <cellStyle name="Normal 20 7 2" xfId="29566" xr:uid="{00000000-0005-0000-0000-00008A700000}"/>
    <cellStyle name="Normal 20 7 2 2" xfId="29567" xr:uid="{00000000-0005-0000-0000-00008B700000}"/>
    <cellStyle name="Normal 20 7 2 3" xfId="29568" xr:uid="{00000000-0005-0000-0000-00008C700000}"/>
    <cellStyle name="Normal 20 7 2 4" xfId="29569" xr:uid="{00000000-0005-0000-0000-00008D700000}"/>
    <cellStyle name="Normal 20 7 2 5" xfId="29570" xr:uid="{00000000-0005-0000-0000-00008E700000}"/>
    <cellStyle name="Normal 20 7 2 6" xfId="29571" xr:uid="{00000000-0005-0000-0000-00008F700000}"/>
    <cellStyle name="Normal 20 7 3" xfId="29572" xr:uid="{00000000-0005-0000-0000-000090700000}"/>
    <cellStyle name="Normal 20 7 3 2" xfId="29573" xr:uid="{00000000-0005-0000-0000-000091700000}"/>
    <cellStyle name="Normal 20 7 3 3" xfId="29574" xr:uid="{00000000-0005-0000-0000-000092700000}"/>
    <cellStyle name="Normal 20 7 3 4" xfId="29575" xr:uid="{00000000-0005-0000-0000-000093700000}"/>
    <cellStyle name="Normal 20 7 3 5" xfId="29576" xr:uid="{00000000-0005-0000-0000-000094700000}"/>
    <cellStyle name="Normal 20 7 3 6" xfId="29577" xr:uid="{00000000-0005-0000-0000-000095700000}"/>
    <cellStyle name="Normal 20 7 4" xfId="29578" xr:uid="{00000000-0005-0000-0000-000096700000}"/>
    <cellStyle name="Normal 20 7 4 2" xfId="29579" xr:uid="{00000000-0005-0000-0000-000097700000}"/>
    <cellStyle name="Normal 20 7 4 3" xfId="29580" xr:uid="{00000000-0005-0000-0000-000098700000}"/>
    <cellStyle name="Normal 20 7 4 4" xfId="29581" xr:uid="{00000000-0005-0000-0000-000099700000}"/>
    <cellStyle name="Normal 20 7 4 5" xfId="29582" xr:uid="{00000000-0005-0000-0000-00009A700000}"/>
    <cellStyle name="Normal 20 7 4 6" xfId="29583" xr:uid="{00000000-0005-0000-0000-00009B700000}"/>
    <cellStyle name="Normal 20 7 5" xfId="29584" xr:uid="{00000000-0005-0000-0000-00009C700000}"/>
    <cellStyle name="Normal 20 7 5 2" xfId="29585" xr:uid="{00000000-0005-0000-0000-00009D700000}"/>
    <cellStyle name="Normal 20 7 5 3" xfId="29586" xr:uid="{00000000-0005-0000-0000-00009E700000}"/>
    <cellStyle name="Normal 20 7 5 4" xfId="29587" xr:uid="{00000000-0005-0000-0000-00009F700000}"/>
    <cellStyle name="Normal 20 7 5 5" xfId="29588" xr:uid="{00000000-0005-0000-0000-0000A0700000}"/>
    <cellStyle name="Normal 20 7 5 6" xfId="29589" xr:uid="{00000000-0005-0000-0000-0000A1700000}"/>
    <cellStyle name="Normal 20 7 6" xfId="29590" xr:uid="{00000000-0005-0000-0000-0000A2700000}"/>
    <cellStyle name="Normal 20 7 6 2" xfId="29591" xr:uid="{00000000-0005-0000-0000-0000A3700000}"/>
    <cellStyle name="Normal 20 7 6 3" xfId="29592" xr:uid="{00000000-0005-0000-0000-0000A4700000}"/>
    <cellStyle name="Normal 20 7 6 4" xfId="29593" xr:uid="{00000000-0005-0000-0000-0000A5700000}"/>
    <cellStyle name="Normal 20 7 6 5" xfId="29594" xr:uid="{00000000-0005-0000-0000-0000A6700000}"/>
    <cellStyle name="Normal 20 7 6 6" xfId="29595" xr:uid="{00000000-0005-0000-0000-0000A7700000}"/>
    <cellStyle name="Normal 20 7 7" xfId="29596" xr:uid="{00000000-0005-0000-0000-0000A8700000}"/>
    <cellStyle name="Normal 20 7 7 2" xfId="29597" xr:uid="{00000000-0005-0000-0000-0000A9700000}"/>
    <cellStyle name="Normal 20 7 7 3" xfId="29598" xr:uid="{00000000-0005-0000-0000-0000AA700000}"/>
    <cellStyle name="Normal 20 7 7 4" xfId="29599" xr:uid="{00000000-0005-0000-0000-0000AB700000}"/>
    <cellStyle name="Normal 20 7 7 5" xfId="29600" xr:uid="{00000000-0005-0000-0000-0000AC700000}"/>
    <cellStyle name="Normal 20 7 7 6" xfId="29601" xr:uid="{00000000-0005-0000-0000-0000AD700000}"/>
    <cellStyle name="Normal 20 7 8" xfId="29602" xr:uid="{00000000-0005-0000-0000-0000AE700000}"/>
    <cellStyle name="Normal 20 7 8 2" xfId="29603" xr:uid="{00000000-0005-0000-0000-0000AF700000}"/>
    <cellStyle name="Normal 20 7 8 3" xfId="29604" xr:uid="{00000000-0005-0000-0000-0000B0700000}"/>
    <cellStyle name="Normal 20 7 8 4" xfId="29605" xr:uid="{00000000-0005-0000-0000-0000B1700000}"/>
    <cellStyle name="Normal 20 7 8 5" xfId="29606" xr:uid="{00000000-0005-0000-0000-0000B2700000}"/>
    <cellStyle name="Normal 20 7 8 6" xfId="29607" xr:uid="{00000000-0005-0000-0000-0000B3700000}"/>
    <cellStyle name="Normal 20 7 9" xfId="29608" xr:uid="{00000000-0005-0000-0000-0000B4700000}"/>
    <cellStyle name="Normal 20 8" xfId="29609" xr:uid="{00000000-0005-0000-0000-0000B5700000}"/>
    <cellStyle name="Normal 20 8 10" xfId="29610" xr:uid="{00000000-0005-0000-0000-0000B6700000}"/>
    <cellStyle name="Normal 20 8 11" xfId="29611" xr:uid="{00000000-0005-0000-0000-0000B7700000}"/>
    <cellStyle name="Normal 20 8 12" xfId="29612" xr:uid="{00000000-0005-0000-0000-0000B8700000}"/>
    <cellStyle name="Normal 20 8 13" xfId="29613" xr:uid="{00000000-0005-0000-0000-0000B9700000}"/>
    <cellStyle name="Normal 20 8 2" xfId="29614" xr:uid="{00000000-0005-0000-0000-0000BA700000}"/>
    <cellStyle name="Normal 20 8 2 2" xfId="29615" xr:uid="{00000000-0005-0000-0000-0000BB700000}"/>
    <cellStyle name="Normal 20 8 2 3" xfId="29616" xr:uid="{00000000-0005-0000-0000-0000BC700000}"/>
    <cellStyle name="Normal 20 8 2 4" xfId="29617" xr:uid="{00000000-0005-0000-0000-0000BD700000}"/>
    <cellStyle name="Normal 20 8 2 5" xfId="29618" xr:uid="{00000000-0005-0000-0000-0000BE700000}"/>
    <cellStyle name="Normal 20 8 2 6" xfId="29619" xr:uid="{00000000-0005-0000-0000-0000BF700000}"/>
    <cellStyle name="Normal 20 8 3" xfId="29620" xr:uid="{00000000-0005-0000-0000-0000C0700000}"/>
    <cellStyle name="Normal 20 8 3 2" xfId="29621" xr:uid="{00000000-0005-0000-0000-0000C1700000}"/>
    <cellStyle name="Normal 20 8 3 3" xfId="29622" xr:uid="{00000000-0005-0000-0000-0000C2700000}"/>
    <cellStyle name="Normal 20 8 3 4" xfId="29623" xr:uid="{00000000-0005-0000-0000-0000C3700000}"/>
    <cellStyle name="Normal 20 8 3 5" xfId="29624" xr:uid="{00000000-0005-0000-0000-0000C4700000}"/>
    <cellStyle name="Normal 20 8 3 6" xfId="29625" xr:uid="{00000000-0005-0000-0000-0000C5700000}"/>
    <cellStyle name="Normal 20 8 4" xfId="29626" xr:uid="{00000000-0005-0000-0000-0000C6700000}"/>
    <cellStyle name="Normal 20 8 4 2" xfId="29627" xr:uid="{00000000-0005-0000-0000-0000C7700000}"/>
    <cellStyle name="Normal 20 8 4 3" xfId="29628" xr:uid="{00000000-0005-0000-0000-0000C8700000}"/>
    <cellStyle name="Normal 20 8 4 4" xfId="29629" xr:uid="{00000000-0005-0000-0000-0000C9700000}"/>
    <cellStyle name="Normal 20 8 4 5" xfId="29630" xr:uid="{00000000-0005-0000-0000-0000CA700000}"/>
    <cellStyle name="Normal 20 8 4 6" xfId="29631" xr:uid="{00000000-0005-0000-0000-0000CB700000}"/>
    <cellStyle name="Normal 20 8 5" xfId="29632" xr:uid="{00000000-0005-0000-0000-0000CC700000}"/>
    <cellStyle name="Normal 20 8 5 2" xfId="29633" xr:uid="{00000000-0005-0000-0000-0000CD700000}"/>
    <cellStyle name="Normal 20 8 5 3" xfId="29634" xr:uid="{00000000-0005-0000-0000-0000CE700000}"/>
    <cellStyle name="Normal 20 8 5 4" xfId="29635" xr:uid="{00000000-0005-0000-0000-0000CF700000}"/>
    <cellStyle name="Normal 20 8 5 5" xfId="29636" xr:uid="{00000000-0005-0000-0000-0000D0700000}"/>
    <cellStyle name="Normal 20 8 5 6" xfId="29637" xr:uid="{00000000-0005-0000-0000-0000D1700000}"/>
    <cellStyle name="Normal 20 8 6" xfId="29638" xr:uid="{00000000-0005-0000-0000-0000D2700000}"/>
    <cellStyle name="Normal 20 8 6 2" xfId="29639" xr:uid="{00000000-0005-0000-0000-0000D3700000}"/>
    <cellStyle name="Normal 20 8 6 3" xfId="29640" xr:uid="{00000000-0005-0000-0000-0000D4700000}"/>
    <cellStyle name="Normal 20 8 6 4" xfId="29641" xr:uid="{00000000-0005-0000-0000-0000D5700000}"/>
    <cellStyle name="Normal 20 8 6 5" xfId="29642" xr:uid="{00000000-0005-0000-0000-0000D6700000}"/>
    <cellStyle name="Normal 20 8 6 6" xfId="29643" xr:uid="{00000000-0005-0000-0000-0000D7700000}"/>
    <cellStyle name="Normal 20 8 7" xfId="29644" xr:uid="{00000000-0005-0000-0000-0000D8700000}"/>
    <cellStyle name="Normal 20 8 7 2" xfId="29645" xr:uid="{00000000-0005-0000-0000-0000D9700000}"/>
    <cellStyle name="Normal 20 8 7 3" xfId="29646" xr:uid="{00000000-0005-0000-0000-0000DA700000}"/>
    <cellStyle name="Normal 20 8 7 4" xfId="29647" xr:uid="{00000000-0005-0000-0000-0000DB700000}"/>
    <cellStyle name="Normal 20 8 7 5" xfId="29648" xr:uid="{00000000-0005-0000-0000-0000DC700000}"/>
    <cellStyle name="Normal 20 8 7 6" xfId="29649" xr:uid="{00000000-0005-0000-0000-0000DD700000}"/>
    <cellStyle name="Normal 20 8 8" xfId="29650" xr:uid="{00000000-0005-0000-0000-0000DE700000}"/>
    <cellStyle name="Normal 20 8 8 2" xfId="29651" xr:uid="{00000000-0005-0000-0000-0000DF700000}"/>
    <cellStyle name="Normal 20 8 8 3" xfId="29652" xr:uid="{00000000-0005-0000-0000-0000E0700000}"/>
    <cellStyle name="Normal 20 8 8 4" xfId="29653" xr:uid="{00000000-0005-0000-0000-0000E1700000}"/>
    <cellStyle name="Normal 20 8 8 5" xfId="29654" xr:uid="{00000000-0005-0000-0000-0000E2700000}"/>
    <cellStyle name="Normal 20 8 8 6" xfId="29655" xr:uid="{00000000-0005-0000-0000-0000E3700000}"/>
    <cellStyle name="Normal 20 8 9" xfId="29656" xr:uid="{00000000-0005-0000-0000-0000E4700000}"/>
    <cellStyle name="Normal 20 9" xfId="29657" xr:uid="{00000000-0005-0000-0000-0000E5700000}"/>
    <cellStyle name="Normal 20 9 10" xfId="29658" xr:uid="{00000000-0005-0000-0000-0000E6700000}"/>
    <cellStyle name="Normal 20 9 11" xfId="29659" xr:uid="{00000000-0005-0000-0000-0000E7700000}"/>
    <cellStyle name="Normal 20 9 12" xfId="29660" xr:uid="{00000000-0005-0000-0000-0000E8700000}"/>
    <cellStyle name="Normal 20 9 13" xfId="29661" xr:uid="{00000000-0005-0000-0000-0000E9700000}"/>
    <cellStyle name="Normal 20 9 2" xfId="29662" xr:uid="{00000000-0005-0000-0000-0000EA700000}"/>
    <cellStyle name="Normal 20 9 2 2" xfId="29663" xr:uid="{00000000-0005-0000-0000-0000EB700000}"/>
    <cellStyle name="Normal 20 9 2 3" xfId="29664" xr:uid="{00000000-0005-0000-0000-0000EC700000}"/>
    <cellStyle name="Normal 20 9 2 4" xfId="29665" xr:uid="{00000000-0005-0000-0000-0000ED700000}"/>
    <cellStyle name="Normal 20 9 2 5" xfId="29666" xr:uid="{00000000-0005-0000-0000-0000EE700000}"/>
    <cellStyle name="Normal 20 9 2 6" xfId="29667" xr:uid="{00000000-0005-0000-0000-0000EF700000}"/>
    <cellStyle name="Normal 20 9 3" xfId="29668" xr:uid="{00000000-0005-0000-0000-0000F0700000}"/>
    <cellStyle name="Normal 20 9 3 2" xfId="29669" xr:uid="{00000000-0005-0000-0000-0000F1700000}"/>
    <cellStyle name="Normal 20 9 3 3" xfId="29670" xr:uid="{00000000-0005-0000-0000-0000F2700000}"/>
    <cellStyle name="Normal 20 9 3 4" xfId="29671" xr:uid="{00000000-0005-0000-0000-0000F3700000}"/>
    <cellStyle name="Normal 20 9 3 5" xfId="29672" xr:uid="{00000000-0005-0000-0000-0000F4700000}"/>
    <cellStyle name="Normal 20 9 3 6" xfId="29673" xr:uid="{00000000-0005-0000-0000-0000F5700000}"/>
    <cellStyle name="Normal 20 9 4" xfId="29674" xr:uid="{00000000-0005-0000-0000-0000F6700000}"/>
    <cellStyle name="Normal 20 9 4 2" xfId="29675" xr:uid="{00000000-0005-0000-0000-0000F7700000}"/>
    <cellStyle name="Normal 20 9 4 3" xfId="29676" xr:uid="{00000000-0005-0000-0000-0000F8700000}"/>
    <cellStyle name="Normal 20 9 4 4" xfId="29677" xr:uid="{00000000-0005-0000-0000-0000F9700000}"/>
    <cellStyle name="Normal 20 9 4 5" xfId="29678" xr:uid="{00000000-0005-0000-0000-0000FA700000}"/>
    <cellStyle name="Normal 20 9 4 6" xfId="29679" xr:uid="{00000000-0005-0000-0000-0000FB700000}"/>
    <cellStyle name="Normal 20 9 5" xfId="29680" xr:uid="{00000000-0005-0000-0000-0000FC700000}"/>
    <cellStyle name="Normal 20 9 5 2" xfId="29681" xr:uid="{00000000-0005-0000-0000-0000FD700000}"/>
    <cellStyle name="Normal 20 9 5 3" xfId="29682" xr:uid="{00000000-0005-0000-0000-0000FE700000}"/>
    <cellStyle name="Normal 20 9 5 4" xfId="29683" xr:uid="{00000000-0005-0000-0000-0000FF700000}"/>
    <cellStyle name="Normal 20 9 5 5" xfId="29684" xr:uid="{00000000-0005-0000-0000-000000710000}"/>
    <cellStyle name="Normal 20 9 5 6" xfId="29685" xr:uid="{00000000-0005-0000-0000-000001710000}"/>
    <cellStyle name="Normal 20 9 6" xfId="29686" xr:uid="{00000000-0005-0000-0000-000002710000}"/>
    <cellStyle name="Normal 20 9 6 2" xfId="29687" xr:uid="{00000000-0005-0000-0000-000003710000}"/>
    <cellStyle name="Normal 20 9 6 3" xfId="29688" xr:uid="{00000000-0005-0000-0000-000004710000}"/>
    <cellStyle name="Normal 20 9 6 4" xfId="29689" xr:uid="{00000000-0005-0000-0000-000005710000}"/>
    <cellStyle name="Normal 20 9 6 5" xfId="29690" xr:uid="{00000000-0005-0000-0000-000006710000}"/>
    <cellStyle name="Normal 20 9 6 6" xfId="29691" xr:uid="{00000000-0005-0000-0000-000007710000}"/>
    <cellStyle name="Normal 20 9 7" xfId="29692" xr:uid="{00000000-0005-0000-0000-000008710000}"/>
    <cellStyle name="Normal 20 9 7 2" xfId="29693" xr:uid="{00000000-0005-0000-0000-000009710000}"/>
    <cellStyle name="Normal 20 9 7 3" xfId="29694" xr:uid="{00000000-0005-0000-0000-00000A710000}"/>
    <cellStyle name="Normal 20 9 7 4" xfId="29695" xr:uid="{00000000-0005-0000-0000-00000B710000}"/>
    <cellStyle name="Normal 20 9 7 5" xfId="29696" xr:uid="{00000000-0005-0000-0000-00000C710000}"/>
    <cellStyle name="Normal 20 9 7 6" xfId="29697" xr:uid="{00000000-0005-0000-0000-00000D710000}"/>
    <cellStyle name="Normal 20 9 8" xfId="29698" xr:uid="{00000000-0005-0000-0000-00000E710000}"/>
    <cellStyle name="Normal 20 9 8 2" xfId="29699" xr:uid="{00000000-0005-0000-0000-00000F710000}"/>
    <cellStyle name="Normal 20 9 8 3" xfId="29700" xr:uid="{00000000-0005-0000-0000-000010710000}"/>
    <cellStyle name="Normal 20 9 8 4" xfId="29701" xr:uid="{00000000-0005-0000-0000-000011710000}"/>
    <cellStyle name="Normal 20 9 8 5" xfId="29702" xr:uid="{00000000-0005-0000-0000-000012710000}"/>
    <cellStyle name="Normal 20 9 8 6" xfId="29703" xr:uid="{00000000-0005-0000-0000-000013710000}"/>
    <cellStyle name="Normal 20 9 9" xfId="29704" xr:uid="{00000000-0005-0000-0000-000014710000}"/>
    <cellStyle name="Normal 21" xfId="1062" xr:uid="{00000000-0005-0000-0000-000015710000}"/>
    <cellStyle name="Normal 21 10" xfId="29705" xr:uid="{00000000-0005-0000-0000-000016710000}"/>
    <cellStyle name="Normal 21 10 10" xfId="29706" xr:uid="{00000000-0005-0000-0000-000017710000}"/>
    <cellStyle name="Normal 21 10 11" xfId="29707" xr:uid="{00000000-0005-0000-0000-000018710000}"/>
    <cellStyle name="Normal 21 10 12" xfId="29708" xr:uid="{00000000-0005-0000-0000-000019710000}"/>
    <cellStyle name="Normal 21 10 13" xfId="29709" xr:uid="{00000000-0005-0000-0000-00001A710000}"/>
    <cellStyle name="Normal 21 10 2" xfId="29710" xr:uid="{00000000-0005-0000-0000-00001B710000}"/>
    <cellStyle name="Normal 21 10 2 2" xfId="29711" xr:uid="{00000000-0005-0000-0000-00001C710000}"/>
    <cellStyle name="Normal 21 10 2 3" xfId="29712" xr:uid="{00000000-0005-0000-0000-00001D710000}"/>
    <cellStyle name="Normal 21 10 2 4" xfId="29713" xr:uid="{00000000-0005-0000-0000-00001E710000}"/>
    <cellStyle name="Normal 21 10 2 5" xfId="29714" xr:uid="{00000000-0005-0000-0000-00001F710000}"/>
    <cellStyle name="Normal 21 10 2 6" xfId="29715" xr:uid="{00000000-0005-0000-0000-000020710000}"/>
    <cellStyle name="Normal 21 10 3" xfId="29716" xr:uid="{00000000-0005-0000-0000-000021710000}"/>
    <cellStyle name="Normal 21 10 3 2" xfId="29717" xr:uid="{00000000-0005-0000-0000-000022710000}"/>
    <cellStyle name="Normal 21 10 3 3" xfId="29718" xr:uid="{00000000-0005-0000-0000-000023710000}"/>
    <cellStyle name="Normal 21 10 3 4" xfId="29719" xr:uid="{00000000-0005-0000-0000-000024710000}"/>
    <cellStyle name="Normal 21 10 3 5" xfId="29720" xr:uid="{00000000-0005-0000-0000-000025710000}"/>
    <cellStyle name="Normal 21 10 3 6" xfId="29721" xr:uid="{00000000-0005-0000-0000-000026710000}"/>
    <cellStyle name="Normal 21 10 4" xfId="29722" xr:uid="{00000000-0005-0000-0000-000027710000}"/>
    <cellStyle name="Normal 21 10 4 2" xfId="29723" xr:uid="{00000000-0005-0000-0000-000028710000}"/>
    <cellStyle name="Normal 21 10 4 3" xfId="29724" xr:uid="{00000000-0005-0000-0000-000029710000}"/>
    <cellStyle name="Normal 21 10 4 4" xfId="29725" xr:uid="{00000000-0005-0000-0000-00002A710000}"/>
    <cellStyle name="Normal 21 10 4 5" xfId="29726" xr:uid="{00000000-0005-0000-0000-00002B710000}"/>
    <cellStyle name="Normal 21 10 4 6" xfId="29727" xr:uid="{00000000-0005-0000-0000-00002C710000}"/>
    <cellStyle name="Normal 21 10 5" xfId="29728" xr:uid="{00000000-0005-0000-0000-00002D710000}"/>
    <cellStyle name="Normal 21 10 5 2" xfId="29729" xr:uid="{00000000-0005-0000-0000-00002E710000}"/>
    <cellStyle name="Normal 21 10 5 3" xfId="29730" xr:uid="{00000000-0005-0000-0000-00002F710000}"/>
    <cellStyle name="Normal 21 10 5 4" xfId="29731" xr:uid="{00000000-0005-0000-0000-000030710000}"/>
    <cellStyle name="Normal 21 10 5 5" xfId="29732" xr:uid="{00000000-0005-0000-0000-000031710000}"/>
    <cellStyle name="Normal 21 10 5 6" xfId="29733" xr:uid="{00000000-0005-0000-0000-000032710000}"/>
    <cellStyle name="Normal 21 10 6" xfId="29734" xr:uid="{00000000-0005-0000-0000-000033710000}"/>
    <cellStyle name="Normal 21 10 6 2" xfId="29735" xr:uid="{00000000-0005-0000-0000-000034710000}"/>
    <cellStyle name="Normal 21 10 6 3" xfId="29736" xr:uid="{00000000-0005-0000-0000-000035710000}"/>
    <cellStyle name="Normal 21 10 6 4" xfId="29737" xr:uid="{00000000-0005-0000-0000-000036710000}"/>
    <cellStyle name="Normal 21 10 6 5" xfId="29738" xr:uid="{00000000-0005-0000-0000-000037710000}"/>
    <cellStyle name="Normal 21 10 6 6" xfId="29739" xr:uid="{00000000-0005-0000-0000-000038710000}"/>
    <cellStyle name="Normal 21 10 7" xfId="29740" xr:uid="{00000000-0005-0000-0000-000039710000}"/>
    <cellStyle name="Normal 21 10 7 2" xfId="29741" xr:uid="{00000000-0005-0000-0000-00003A710000}"/>
    <cellStyle name="Normal 21 10 7 3" xfId="29742" xr:uid="{00000000-0005-0000-0000-00003B710000}"/>
    <cellStyle name="Normal 21 10 7 4" xfId="29743" xr:uid="{00000000-0005-0000-0000-00003C710000}"/>
    <cellStyle name="Normal 21 10 7 5" xfId="29744" xr:uid="{00000000-0005-0000-0000-00003D710000}"/>
    <cellStyle name="Normal 21 10 7 6" xfId="29745" xr:uid="{00000000-0005-0000-0000-00003E710000}"/>
    <cellStyle name="Normal 21 10 8" xfId="29746" xr:uid="{00000000-0005-0000-0000-00003F710000}"/>
    <cellStyle name="Normal 21 10 8 2" xfId="29747" xr:uid="{00000000-0005-0000-0000-000040710000}"/>
    <cellStyle name="Normal 21 10 8 3" xfId="29748" xr:uid="{00000000-0005-0000-0000-000041710000}"/>
    <cellStyle name="Normal 21 10 8 4" xfId="29749" xr:uid="{00000000-0005-0000-0000-000042710000}"/>
    <cellStyle name="Normal 21 10 8 5" xfId="29750" xr:uid="{00000000-0005-0000-0000-000043710000}"/>
    <cellStyle name="Normal 21 10 8 6" xfId="29751" xr:uid="{00000000-0005-0000-0000-000044710000}"/>
    <cellStyle name="Normal 21 10 9" xfId="29752" xr:uid="{00000000-0005-0000-0000-000045710000}"/>
    <cellStyle name="Normal 21 11" xfId="29753" xr:uid="{00000000-0005-0000-0000-000046710000}"/>
    <cellStyle name="Normal 21 11 10" xfId="29754" xr:uid="{00000000-0005-0000-0000-000047710000}"/>
    <cellStyle name="Normal 21 11 11" xfId="29755" xr:uid="{00000000-0005-0000-0000-000048710000}"/>
    <cellStyle name="Normal 21 11 12" xfId="29756" xr:uid="{00000000-0005-0000-0000-000049710000}"/>
    <cellStyle name="Normal 21 11 13" xfId="29757" xr:uid="{00000000-0005-0000-0000-00004A710000}"/>
    <cellStyle name="Normal 21 11 2" xfId="29758" xr:uid="{00000000-0005-0000-0000-00004B710000}"/>
    <cellStyle name="Normal 21 11 2 2" xfId="29759" xr:uid="{00000000-0005-0000-0000-00004C710000}"/>
    <cellStyle name="Normal 21 11 2 3" xfId="29760" xr:uid="{00000000-0005-0000-0000-00004D710000}"/>
    <cellStyle name="Normal 21 11 2 4" xfId="29761" xr:uid="{00000000-0005-0000-0000-00004E710000}"/>
    <cellStyle name="Normal 21 11 2 5" xfId="29762" xr:uid="{00000000-0005-0000-0000-00004F710000}"/>
    <cellStyle name="Normal 21 11 2 6" xfId="29763" xr:uid="{00000000-0005-0000-0000-000050710000}"/>
    <cellStyle name="Normal 21 11 3" xfId="29764" xr:uid="{00000000-0005-0000-0000-000051710000}"/>
    <cellStyle name="Normal 21 11 3 2" xfId="29765" xr:uid="{00000000-0005-0000-0000-000052710000}"/>
    <cellStyle name="Normal 21 11 3 3" xfId="29766" xr:uid="{00000000-0005-0000-0000-000053710000}"/>
    <cellStyle name="Normal 21 11 3 4" xfId="29767" xr:uid="{00000000-0005-0000-0000-000054710000}"/>
    <cellStyle name="Normal 21 11 3 5" xfId="29768" xr:uid="{00000000-0005-0000-0000-000055710000}"/>
    <cellStyle name="Normal 21 11 3 6" xfId="29769" xr:uid="{00000000-0005-0000-0000-000056710000}"/>
    <cellStyle name="Normal 21 11 4" xfId="29770" xr:uid="{00000000-0005-0000-0000-000057710000}"/>
    <cellStyle name="Normal 21 11 4 2" xfId="29771" xr:uid="{00000000-0005-0000-0000-000058710000}"/>
    <cellStyle name="Normal 21 11 4 3" xfId="29772" xr:uid="{00000000-0005-0000-0000-000059710000}"/>
    <cellStyle name="Normal 21 11 4 4" xfId="29773" xr:uid="{00000000-0005-0000-0000-00005A710000}"/>
    <cellStyle name="Normal 21 11 4 5" xfId="29774" xr:uid="{00000000-0005-0000-0000-00005B710000}"/>
    <cellStyle name="Normal 21 11 4 6" xfId="29775" xr:uid="{00000000-0005-0000-0000-00005C710000}"/>
    <cellStyle name="Normal 21 11 5" xfId="29776" xr:uid="{00000000-0005-0000-0000-00005D710000}"/>
    <cellStyle name="Normal 21 11 5 2" xfId="29777" xr:uid="{00000000-0005-0000-0000-00005E710000}"/>
    <cellStyle name="Normal 21 11 5 3" xfId="29778" xr:uid="{00000000-0005-0000-0000-00005F710000}"/>
    <cellStyle name="Normal 21 11 5 4" xfId="29779" xr:uid="{00000000-0005-0000-0000-000060710000}"/>
    <cellStyle name="Normal 21 11 5 5" xfId="29780" xr:uid="{00000000-0005-0000-0000-000061710000}"/>
    <cellStyle name="Normal 21 11 5 6" xfId="29781" xr:uid="{00000000-0005-0000-0000-000062710000}"/>
    <cellStyle name="Normal 21 11 6" xfId="29782" xr:uid="{00000000-0005-0000-0000-000063710000}"/>
    <cellStyle name="Normal 21 11 6 2" xfId="29783" xr:uid="{00000000-0005-0000-0000-000064710000}"/>
    <cellStyle name="Normal 21 11 6 3" xfId="29784" xr:uid="{00000000-0005-0000-0000-000065710000}"/>
    <cellStyle name="Normal 21 11 6 4" xfId="29785" xr:uid="{00000000-0005-0000-0000-000066710000}"/>
    <cellStyle name="Normal 21 11 6 5" xfId="29786" xr:uid="{00000000-0005-0000-0000-000067710000}"/>
    <cellStyle name="Normal 21 11 6 6" xfId="29787" xr:uid="{00000000-0005-0000-0000-000068710000}"/>
    <cellStyle name="Normal 21 11 7" xfId="29788" xr:uid="{00000000-0005-0000-0000-000069710000}"/>
    <cellStyle name="Normal 21 11 7 2" xfId="29789" xr:uid="{00000000-0005-0000-0000-00006A710000}"/>
    <cellStyle name="Normal 21 11 7 3" xfId="29790" xr:uid="{00000000-0005-0000-0000-00006B710000}"/>
    <cellStyle name="Normal 21 11 7 4" xfId="29791" xr:uid="{00000000-0005-0000-0000-00006C710000}"/>
    <cellStyle name="Normal 21 11 7 5" xfId="29792" xr:uid="{00000000-0005-0000-0000-00006D710000}"/>
    <cellStyle name="Normal 21 11 7 6" xfId="29793" xr:uid="{00000000-0005-0000-0000-00006E710000}"/>
    <cellStyle name="Normal 21 11 8" xfId="29794" xr:uid="{00000000-0005-0000-0000-00006F710000}"/>
    <cellStyle name="Normal 21 11 8 2" xfId="29795" xr:uid="{00000000-0005-0000-0000-000070710000}"/>
    <cellStyle name="Normal 21 11 8 3" xfId="29796" xr:uid="{00000000-0005-0000-0000-000071710000}"/>
    <cellStyle name="Normal 21 11 8 4" xfId="29797" xr:uid="{00000000-0005-0000-0000-000072710000}"/>
    <cellStyle name="Normal 21 11 8 5" xfId="29798" xr:uid="{00000000-0005-0000-0000-000073710000}"/>
    <cellStyle name="Normal 21 11 8 6" xfId="29799" xr:uid="{00000000-0005-0000-0000-000074710000}"/>
    <cellStyle name="Normal 21 11 9" xfId="29800" xr:uid="{00000000-0005-0000-0000-000075710000}"/>
    <cellStyle name="Normal 21 12" xfId="29801" xr:uid="{00000000-0005-0000-0000-000076710000}"/>
    <cellStyle name="Normal 21 12 10" xfId="29802" xr:uid="{00000000-0005-0000-0000-000077710000}"/>
    <cellStyle name="Normal 21 12 11" xfId="29803" xr:uid="{00000000-0005-0000-0000-000078710000}"/>
    <cellStyle name="Normal 21 12 12" xfId="29804" xr:uid="{00000000-0005-0000-0000-000079710000}"/>
    <cellStyle name="Normal 21 12 13" xfId="29805" xr:uid="{00000000-0005-0000-0000-00007A710000}"/>
    <cellStyle name="Normal 21 12 2" xfId="29806" xr:uid="{00000000-0005-0000-0000-00007B710000}"/>
    <cellStyle name="Normal 21 12 2 2" xfId="29807" xr:uid="{00000000-0005-0000-0000-00007C710000}"/>
    <cellStyle name="Normal 21 12 2 3" xfId="29808" xr:uid="{00000000-0005-0000-0000-00007D710000}"/>
    <cellStyle name="Normal 21 12 2 4" xfId="29809" xr:uid="{00000000-0005-0000-0000-00007E710000}"/>
    <cellStyle name="Normal 21 12 2 5" xfId="29810" xr:uid="{00000000-0005-0000-0000-00007F710000}"/>
    <cellStyle name="Normal 21 12 2 6" xfId="29811" xr:uid="{00000000-0005-0000-0000-000080710000}"/>
    <cellStyle name="Normal 21 12 3" xfId="29812" xr:uid="{00000000-0005-0000-0000-000081710000}"/>
    <cellStyle name="Normal 21 12 3 2" xfId="29813" xr:uid="{00000000-0005-0000-0000-000082710000}"/>
    <cellStyle name="Normal 21 12 3 3" xfId="29814" xr:uid="{00000000-0005-0000-0000-000083710000}"/>
    <cellStyle name="Normal 21 12 3 4" xfId="29815" xr:uid="{00000000-0005-0000-0000-000084710000}"/>
    <cellStyle name="Normal 21 12 3 5" xfId="29816" xr:uid="{00000000-0005-0000-0000-000085710000}"/>
    <cellStyle name="Normal 21 12 3 6" xfId="29817" xr:uid="{00000000-0005-0000-0000-000086710000}"/>
    <cellStyle name="Normal 21 12 4" xfId="29818" xr:uid="{00000000-0005-0000-0000-000087710000}"/>
    <cellStyle name="Normal 21 12 4 2" xfId="29819" xr:uid="{00000000-0005-0000-0000-000088710000}"/>
    <cellStyle name="Normal 21 12 4 3" xfId="29820" xr:uid="{00000000-0005-0000-0000-000089710000}"/>
    <cellStyle name="Normal 21 12 4 4" xfId="29821" xr:uid="{00000000-0005-0000-0000-00008A710000}"/>
    <cellStyle name="Normal 21 12 4 5" xfId="29822" xr:uid="{00000000-0005-0000-0000-00008B710000}"/>
    <cellStyle name="Normal 21 12 4 6" xfId="29823" xr:uid="{00000000-0005-0000-0000-00008C710000}"/>
    <cellStyle name="Normal 21 12 5" xfId="29824" xr:uid="{00000000-0005-0000-0000-00008D710000}"/>
    <cellStyle name="Normal 21 12 5 2" xfId="29825" xr:uid="{00000000-0005-0000-0000-00008E710000}"/>
    <cellStyle name="Normal 21 12 5 3" xfId="29826" xr:uid="{00000000-0005-0000-0000-00008F710000}"/>
    <cellStyle name="Normal 21 12 5 4" xfId="29827" xr:uid="{00000000-0005-0000-0000-000090710000}"/>
    <cellStyle name="Normal 21 12 5 5" xfId="29828" xr:uid="{00000000-0005-0000-0000-000091710000}"/>
    <cellStyle name="Normal 21 12 5 6" xfId="29829" xr:uid="{00000000-0005-0000-0000-000092710000}"/>
    <cellStyle name="Normal 21 12 6" xfId="29830" xr:uid="{00000000-0005-0000-0000-000093710000}"/>
    <cellStyle name="Normal 21 12 6 2" xfId="29831" xr:uid="{00000000-0005-0000-0000-000094710000}"/>
    <cellStyle name="Normal 21 12 6 3" xfId="29832" xr:uid="{00000000-0005-0000-0000-000095710000}"/>
    <cellStyle name="Normal 21 12 6 4" xfId="29833" xr:uid="{00000000-0005-0000-0000-000096710000}"/>
    <cellStyle name="Normal 21 12 6 5" xfId="29834" xr:uid="{00000000-0005-0000-0000-000097710000}"/>
    <cellStyle name="Normal 21 12 6 6" xfId="29835" xr:uid="{00000000-0005-0000-0000-000098710000}"/>
    <cellStyle name="Normal 21 12 7" xfId="29836" xr:uid="{00000000-0005-0000-0000-000099710000}"/>
    <cellStyle name="Normal 21 12 7 2" xfId="29837" xr:uid="{00000000-0005-0000-0000-00009A710000}"/>
    <cellStyle name="Normal 21 12 7 3" xfId="29838" xr:uid="{00000000-0005-0000-0000-00009B710000}"/>
    <cellStyle name="Normal 21 12 7 4" xfId="29839" xr:uid="{00000000-0005-0000-0000-00009C710000}"/>
    <cellStyle name="Normal 21 12 7 5" xfId="29840" xr:uid="{00000000-0005-0000-0000-00009D710000}"/>
    <cellStyle name="Normal 21 12 7 6" xfId="29841" xr:uid="{00000000-0005-0000-0000-00009E710000}"/>
    <cellStyle name="Normal 21 12 8" xfId="29842" xr:uid="{00000000-0005-0000-0000-00009F710000}"/>
    <cellStyle name="Normal 21 12 8 2" xfId="29843" xr:uid="{00000000-0005-0000-0000-0000A0710000}"/>
    <cellStyle name="Normal 21 12 8 3" xfId="29844" xr:uid="{00000000-0005-0000-0000-0000A1710000}"/>
    <cellStyle name="Normal 21 12 8 4" xfId="29845" xr:uid="{00000000-0005-0000-0000-0000A2710000}"/>
    <cellStyle name="Normal 21 12 8 5" xfId="29846" xr:uid="{00000000-0005-0000-0000-0000A3710000}"/>
    <cellStyle name="Normal 21 12 8 6" xfId="29847" xr:uid="{00000000-0005-0000-0000-0000A4710000}"/>
    <cellStyle name="Normal 21 12 9" xfId="29848" xr:uid="{00000000-0005-0000-0000-0000A5710000}"/>
    <cellStyle name="Normal 21 13" xfId="29849" xr:uid="{00000000-0005-0000-0000-0000A6710000}"/>
    <cellStyle name="Normal 21 13 10" xfId="29850" xr:uid="{00000000-0005-0000-0000-0000A7710000}"/>
    <cellStyle name="Normal 21 13 11" xfId="29851" xr:uid="{00000000-0005-0000-0000-0000A8710000}"/>
    <cellStyle name="Normal 21 13 12" xfId="29852" xr:uid="{00000000-0005-0000-0000-0000A9710000}"/>
    <cellStyle name="Normal 21 13 13" xfId="29853" xr:uid="{00000000-0005-0000-0000-0000AA710000}"/>
    <cellStyle name="Normal 21 13 2" xfId="29854" xr:uid="{00000000-0005-0000-0000-0000AB710000}"/>
    <cellStyle name="Normal 21 13 2 2" xfId="29855" xr:uid="{00000000-0005-0000-0000-0000AC710000}"/>
    <cellStyle name="Normal 21 13 2 3" xfId="29856" xr:uid="{00000000-0005-0000-0000-0000AD710000}"/>
    <cellStyle name="Normal 21 13 2 4" xfId="29857" xr:uid="{00000000-0005-0000-0000-0000AE710000}"/>
    <cellStyle name="Normal 21 13 2 5" xfId="29858" xr:uid="{00000000-0005-0000-0000-0000AF710000}"/>
    <cellStyle name="Normal 21 13 2 6" xfId="29859" xr:uid="{00000000-0005-0000-0000-0000B0710000}"/>
    <cellStyle name="Normal 21 13 3" xfId="29860" xr:uid="{00000000-0005-0000-0000-0000B1710000}"/>
    <cellStyle name="Normal 21 13 3 2" xfId="29861" xr:uid="{00000000-0005-0000-0000-0000B2710000}"/>
    <cellStyle name="Normal 21 13 3 3" xfId="29862" xr:uid="{00000000-0005-0000-0000-0000B3710000}"/>
    <cellStyle name="Normal 21 13 3 4" xfId="29863" xr:uid="{00000000-0005-0000-0000-0000B4710000}"/>
    <cellStyle name="Normal 21 13 3 5" xfId="29864" xr:uid="{00000000-0005-0000-0000-0000B5710000}"/>
    <cellStyle name="Normal 21 13 3 6" xfId="29865" xr:uid="{00000000-0005-0000-0000-0000B6710000}"/>
    <cellStyle name="Normal 21 13 4" xfId="29866" xr:uid="{00000000-0005-0000-0000-0000B7710000}"/>
    <cellStyle name="Normal 21 13 4 2" xfId="29867" xr:uid="{00000000-0005-0000-0000-0000B8710000}"/>
    <cellStyle name="Normal 21 13 4 3" xfId="29868" xr:uid="{00000000-0005-0000-0000-0000B9710000}"/>
    <cellStyle name="Normal 21 13 4 4" xfId="29869" xr:uid="{00000000-0005-0000-0000-0000BA710000}"/>
    <cellStyle name="Normal 21 13 4 5" xfId="29870" xr:uid="{00000000-0005-0000-0000-0000BB710000}"/>
    <cellStyle name="Normal 21 13 4 6" xfId="29871" xr:uid="{00000000-0005-0000-0000-0000BC710000}"/>
    <cellStyle name="Normal 21 13 5" xfId="29872" xr:uid="{00000000-0005-0000-0000-0000BD710000}"/>
    <cellStyle name="Normal 21 13 5 2" xfId="29873" xr:uid="{00000000-0005-0000-0000-0000BE710000}"/>
    <cellStyle name="Normal 21 13 5 3" xfId="29874" xr:uid="{00000000-0005-0000-0000-0000BF710000}"/>
    <cellStyle name="Normal 21 13 5 4" xfId="29875" xr:uid="{00000000-0005-0000-0000-0000C0710000}"/>
    <cellStyle name="Normal 21 13 5 5" xfId="29876" xr:uid="{00000000-0005-0000-0000-0000C1710000}"/>
    <cellStyle name="Normal 21 13 5 6" xfId="29877" xr:uid="{00000000-0005-0000-0000-0000C2710000}"/>
    <cellStyle name="Normal 21 13 6" xfId="29878" xr:uid="{00000000-0005-0000-0000-0000C3710000}"/>
    <cellStyle name="Normal 21 13 6 2" xfId="29879" xr:uid="{00000000-0005-0000-0000-0000C4710000}"/>
    <cellStyle name="Normal 21 13 6 3" xfId="29880" xr:uid="{00000000-0005-0000-0000-0000C5710000}"/>
    <cellStyle name="Normal 21 13 6 4" xfId="29881" xr:uid="{00000000-0005-0000-0000-0000C6710000}"/>
    <cellStyle name="Normal 21 13 6 5" xfId="29882" xr:uid="{00000000-0005-0000-0000-0000C7710000}"/>
    <cellStyle name="Normal 21 13 6 6" xfId="29883" xr:uid="{00000000-0005-0000-0000-0000C8710000}"/>
    <cellStyle name="Normal 21 13 7" xfId="29884" xr:uid="{00000000-0005-0000-0000-0000C9710000}"/>
    <cellStyle name="Normal 21 13 7 2" xfId="29885" xr:uid="{00000000-0005-0000-0000-0000CA710000}"/>
    <cellStyle name="Normal 21 13 7 3" xfId="29886" xr:uid="{00000000-0005-0000-0000-0000CB710000}"/>
    <cellStyle name="Normal 21 13 7 4" xfId="29887" xr:uid="{00000000-0005-0000-0000-0000CC710000}"/>
    <cellStyle name="Normal 21 13 7 5" xfId="29888" xr:uid="{00000000-0005-0000-0000-0000CD710000}"/>
    <cellStyle name="Normal 21 13 7 6" xfId="29889" xr:uid="{00000000-0005-0000-0000-0000CE710000}"/>
    <cellStyle name="Normal 21 13 8" xfId="29890" xr:uid="{00000000-0005-0000-0000-0000CF710000}"/>
    <cellStyle name="Normal 21 13 8 2" xfId="29891" xr:uid="{00000000-0005-0000-0000-0000D0710000}"/>
    <cellStyle name="Normal 21 13 8 3" xfId="29892" xr:uid="{00000000-0005-0000-0000-0000D1710000}"/>
    <cellStyle name="Normal 21 13 8 4" xfId="29893" xr:uid="{00000000-0005-0000-0000-0000D2710000}"/>
    <cellStyle name="Normal 21 13 8 5" xfId="29894" xr:uid="{00000000-0005-0000-0000-0000D3710000}"/>
    <cellStyle name="Normal 21 13 8 6" xfId="29895" xr:uid="{00000000-0005-0000-0000-0000D4710000}"/>
    <cellStyle name="Normal 21 13 9" xfId="29896" xr:uid="{00000000-0005-0000-0000-0000D5710000}"/>
    <cellStyle name="Normal 21 14" xfId="29897" xr:uid="{00000000-0005-0000-0000-0000D6710000}"/>
    <cellStyle name="Normal 21 14 10" xfId="29898" xr:uid="{00000000-0005-0000-0000-0000D7710000}"/>
    <cellStyle name="Normal 21 14 11" xfId="29899" xr:uid="{00000000-0005-0000-0000-0000D8710000}"/>
    <cellStyle name="Normal 21 14 12" xfId="29900" xr:uid="{00000000-0005-0000-0000-0000D9710000}"/>
    <cellStyle name="Normal 21 14 13" xfId="29901" xr:uid="{00000000-0005-0000-0000-0000DA710000}"/>
    <cellStyle name="Normal 21 14 2" xfId="29902" xr:uid="{00000000-0005-0000-0000-0000DB710000}"/>
    <cellStyle name="Normal 21 14 2 2" xfId="29903" xr:uid="{00000000-0005-0000-0000-0000DC710000}"/>
    <cellStyle name="Normal 21 14 2 3" xfId="29904" xr:uid="{00000000-0005-0000-0000-0000DD710000}"/>
    <cellStyle name="Normal 21 14 2 4" xfId="29905" xr:uid="{00000000-0005-0000-0000-0000DE710000}"/>
    <cellStyle name="Normal 21 14 2 5" xfId="29906" xr:uid="{00000000-0005-0000-0000-0000DF710000}"/>
    <cellStyle name="Normal 21 14 2 6" xfId="29907" xr:uid="{00000000-0005-0000-0000-0000E0710000}"/>
    <cellStyle name="Normal 21 14 3" xfId="29908" xr:uid="{00000000-0005-0000-0000-0000E1710000}"/>
    <cellStyle name="Normal 21 14 3 2" xfId="29909" xr:uid="{00000000-0005-0000-0000-0000E2710000}"/>
    <cellStyle name="Normal 21 14 3 3" xfId="29910" xr:uid="{00000000-0005-0000-0000-0000E3710000}"/>
    <cellStyle name="Normal 21 14 3 4" xfId="29911" xr:uid="{00000000-0005-0000-0000-0000E4710000}"/>
    <cellStyle name="Normal 21 14 3 5" xfId="29912" xr:uid="{00000000-0005-0000-0000-0000E5710000}"/>
    <cellStyle name="Normal 21 14 3 6" xfId="29913" xr:uid="{00000000-0005-0000-0000-0000E6710000}"/>
    <cellStyle name="Normal 21 14 4" xfId="29914" xr:uid="{00000000-0005-0000-0000-0000E7710000}"/>
    <cellStyle name="Normal 21 14 4 2" xfId="29915" xr:uid="{00000000-0005-0000-0000-0000E8710000}"/>
    <cellStyle name="Normal 21 14 4 3" xfId="29916" xr:uid="{00000000-0005-0000-0000-0000E9710000}"/>
    <cellStyle name="Normal 21 14 4 4" xfId="29917" xr:uid="{00000000-0005-0000-0000-0000EA710000}"/>
    <cellStyle name="Normal 21 14 4 5" xfId="29918" xr:uid="{00000000-0005-0000-0000-0000EB710000}"/>
    <cellStyle name="Normal 21 14 4 6" xfId="29919" xr:uid="{00000000-0005-0000-0000-0000EC710000}"/>
    <cellStyle name="Normal 21 14 5" xfId="29920" xr:uid="{00000000-0005-0000-0000-0000ED710000}"/>
    <cellStyle name="Normal 21 14 5 2" xfId="29921" xr:uid="{00000000-0005-0000-0000-0000EE710000}"/>
    <cellStyle name="Normal 21 14 5 3" xfId="29922" xr:uid="{00000000-0005-0000-0000-0000EF710000}"/>
    <cellStyle name="Normal 21 14 5 4" xfId="29923" xr:uid="{00000000-0005-0000-0000-0000F0710000}"/>
    <cellStyle name="Normal 21 14 5 5" xfId="29924" xr:uid="{00000000-0005-0000-0000-0000F1710000}"/>
    <cellStyle name="Normal 21 14 5 6" xfId="29925" xr:uid="{00000000-0005-0000-0000-0000F2710000}"/>
    <cellStyle name="Normal 21 14 6" xfId="29926" xr:uid="{00000000-0005-0000-0000-0000F3710000}"/>
    <cellStyle name="Normal 21 14 6 2" xfId="29927" xr:uid="{00000000-0005-0000-0000-0000F4710000}"/>
    <cellStyle name="Normal 21 14 6 3" xfId="29928" xr:uid="{00000000-0005-0000-0000-0000F5710000}"/>
    <cellStyle name="Normal 21 14 6 4" xfId="29929" xr:uid="{00000000-0005-0000-0000-0000F6710000}"/>
    <cellStyle name="Normal 21 14 6 5" xfId="29930" xr:uid="{00000000-0005-0000-0000-0000F7710000}"/>
    <cellStyle name="Normal 21 14 6 6" xfId="29931" xr:uid="{00000000-0005-0000-0000-0000F8710000}"/>
    <cellStyle name="Normal 21 14 7" xfId="29932" xr:uid="{00000000-0005-0000-0000-0000F9710000}"/>
    <cellStyle name="Normal 21 14 7 2" xfId="29933" xr:uid="{00000000-0005-0000-0000-0000FA710000}"/>
    <cellStyle name="Normal 21 14 7 3" xfId="29934" xr:uid="{00000000-0005-0000-0000-0000FB710000}"/>
    <cellStyle name="Normal 21 14 7 4" xfId="29935" xr:uid="{00000000-0005-0000-0000-0000FC710000}"/>
    <cellStyle name="Normal 21 14 7 5" xfId="29936" xr:uid="{00000000-0005-0000-0000-0000FD710000}"/>
    <cellStyle name="Normal 21 14 7 6" xfId="29937" xr:uid="{00000000-0005-0000-0000-0000FE710000}"/>
    <cellStyle name="Normal 21 14 8" xfId="29938" xr:uid="{00000000-0005-0000-0000-0000FF710000}"/>
    <cellStyle name="Normal 21 14 8 2" xfId="29939" xr:uid="{00000000-0005-0000-0000-000000720000}"/>
    <cellStyle name="Normal 21 14 8 3" xfId="29940" xr:uid="{00000000-0005-0000-0000-000001720000}"/>
    <cellStyle name="Normal 21 14 8 4" xfId="29941" xr:uid="{00000000-0005-0000-0000-000002720000}"/>
    <cellStyle name="Normal 21 14 8 5" xfId="29942" xr:uid="{00000000-0005-0000-0000-000003720000}"/>
    <cellStyle name="Normal 21 14 8 6" xfId="29943" xr:uid="{00000000-0005-0000-0000-000004720000}"/>
    <cellStyle name="Normal 21 14 9" xfId="29944" xr:uid="{00000000-0005-0000-0000-000005720000}"/>
    <cellStyle name="Normal 21 15" xfId="29945" xr:uid="{00000000-0005-0000-0000-000006720000}"/>
    <cellStyle name="Normal 21 15 10" xfId="29946" xr:uid="{00000000-0005-0000-0000-000007720000}"/>
    <cellStyle name="Normal 21 15 11" xfId="29947" xr:uid="{00000000-0005-0000-0000-000008720000}"/>
    <cellStyle name="Normal 21 15 12" xfId="29948" xr:uid="{00000000-0005-0000-0000-000009720000}"/>
    <cellStyle name="Normal 21 15 13" xfId="29949" xr:uid="{00000000-0005-0000-0000-00000A720000}"/>
    <cellStyle name="Normal 21 15 2" xfId="29950" xr:uid="{00000000-0005-0000-0000-00000B720000}"/>
    <cellStyle name="Normal 21 15 2 2" xfId="29951" xr:uid="{00000000-0005-0000-0000-00000C720000}"/>
    <cellStyle name="Normal 21 15 2 3" xfId="29952" xr:uid="{00000000-0005-0000-0000-00000D720000}"/>
    <cellStyle name="Normal 21 15 2 4" xfId="29953" xr:uid="{00000000-0005-0000-0000-00000E720000}"/>
    <cellStyle name="Normal 21 15 2 5" xfId="29954" xr:uid="{00000000-0005-0000-0000-00000F720000}"/>
    <cellStyle name="Normal 21 15 2 6" xfId="29955" xr:uid="{00000000-0005-0000-0000-000010720000}"/>
    <cellStyle name="Normal 21 15 3" xfId="29956" xr:uid="{00000000-0005-0000-0000-000011720000}"/>
    <cellStyle name="Normal 21 15 3 2" xfId="29957" xr:uid="{00000000-0005-0000-0000-000012720000}"/>
    <cellStyle name="Normal 21 15 3 3" xfId="29958" xr:uid="{00000000-0005-0000-0000-000013720000}"/>
    <cellStyle name="Normal 21 15 3 4" xfId="29959" xr:uid="{00000000-0005-0000-0000-000014720000}"/>
    <cellStyle name="Normal 21 15 3 5" xfId="29960" xr:uid="{00000000-0005-0000-0000-000015720000}"/>
    <cellStyle name="Normal 21 15 3 6" xfId="29961" xr:uid="{00000000-0005-0000-0000-000016720000}"/>
    <cellStyle name="Normal 21 15 4" xfId="29962" xr:uid="{00000000-0005-0000-0000-000017720000}"/>
    <cellStyle name="Normal 21 15 4 2" xfId="29963" xr:uid="{00000000-0005-0000-0000-000018720000}"/>
    <cellStyle name="Normal 21 15 4 3" xfId="29964" xr:uid="{00000000-0005-0000-0000-000019720000}"/>
    <cellStyle name="Normal 21 15 4 4" xfId="29965" xr:uid="{00000000-0005-0000-0000-00001A720000}"/>
    <cellStyle name="Normal 21 15 4 5" xfId="29966" xr:uid="{00000000-0005-0000-0000-00001B720000}"/>
    <cellStyle name="Normal 21 15 4 6" xfId="29967" xr:uid="{00000000-0005-0000-0000-00001C720000}"/>
    <cellStyle name="Normal 21 15 5" xfId="29968" xr:uid="{00000000-0005-0000-0000-00001D720000}"/>
    <cellStyle name="Normal 21 15 5 2" xfId="29969" xr:uid="{00000000-0005-0000-0000-00001E720000}"/>
    <cellStyle name="Normal 21 15 5 3" xfId="29970" xr:uid="{00000000-0005-0000-0000-00001F720000}"/>
    <cellStyle name="Normal 21 15 5 4" xfId="29971" xr:uid="{00000000-0005-0000-0000-000020720000}"/>
    <cellStyle name="Normal 21 15 5 5" xfId="29972" xr:uid="{00000000-0005-0000-0000-000021720000}"/>
    <cellStyle name="Normal 21 15 5 6" xfId="29973" xr:uid="{00000000-0005-0000-0000-000022720000}"/>
    <cellStyle name="Normal 21 15 6" xfId="29974" xr:uid="{00000000-0005-0000-0000-000023720000}"/>
    <cellStyle name="Normal 21 15 6 2" xfId="29975" xr:uid="{00000000-0005-0000-0000-000024720000}"/>
    <cellStyle name="Normal 21 15 6 3" xfId="29976" xr:uid="{00000000-0005-0000-0000-000025720000}"/>
    <cellStyle name="Normal 21 15 6 4" xfId="29977" xr:uid="{00000000-0005-0000-0000-000026720000}"/>
    <cellStyle name="Normal 21 15 6 5" xfId="29978" xr:uid="{00000000-0005-0000-0000-000027720000}"/>
    <cellStyle name="Normal 21 15 6 6" xfId="29979" xr:uid="{00000000-0005-0000-0000-000028720000}"/>
    <cellStyle name="Normal 21 15 7" xfId="29980" xr:uid="{00000000-0005-0000-0000-000029720000}"/>
    <cellStyle name="Normal 21 15 7 2" xfId="29981" xr:uid="{00000000-0005-0000-0000-00002A720000}"/>
    <cellStyle name="Normal 21 15 7 3" xfId="29982" xr:uid="{00000000-0005-0000-0000-00002B720000}"/>
    <cellStyle name="Normal 21 15 7 4" xfId="29983" xr:uid="{00000000-0005-0000-0000-00002C720000}"/>
    <cellStyle name="Normal 21 15 7 5" xfId="29984" xr:uid="{00000000-0005-0000-0000-00002D720000}"/>
    <cellStyle name="Normal 21 15 7 6" xfId="29985" xr:uid="{00000000-0005-0000-0000-00002E720000}"/>
    <cellStyle name="Normal 21 15 8" xfId="29986" xr:uid="{00000000-0005-0000-0000-00002F720000}"/>
    <cellStyle name="Normal 21 15 8 2" xfId="29987" xr:uid="{00000000-0005-0000-0000-000030720000}"/>
    <cellStyle name="Normal 21 15 8 3" xfId="29988" xr:uid="{00000000-0005-0000-0000-000031720000}"/>
    <cellStyle name="Normal 21 15 8 4" xfId="29989" xr:uid="{00000000-0005-0000-0000-000032720000}"/>
    <cellStyle name="Normal 21 15 8 5" xfId="29990" xr:uid="{00000000-0005-0000-0000-000033720000}"/>
    <cellStyle name="Normal 21 15 8 6" xfId="29991" xr:uid="{00000000-0005-0000-0000-000034720000}"/>
    <cellStyle name="Normal 21 15 9" xfId="29992" xr:uid="{00000000-0005-0000-0000-000035720000}"/>
    <cellStyle name="Normal 21 16" xfId="29993" xr:uid="{00000000-0005-0000-0000-000036720000}"/>
    <cellStyle name="Normal 21 16 10" xfId="29994" xr:uid="{00000000-0005-0000-0000-000037720000}"/>
    <cellStyle name="Normal 21 16 11" xfId="29995" xr:uid="{00000000-0005-0000-0000-000038720000}"/>
    <cellStyle name="Normal 21 16 12" xfId="29996" xr:uid="{00000000-0005-0000-0000-000039720000}"/>
    <cellStyle name="Normal 21 16 13" xfId="29997" xr:uid="{00000000-0005-0000-0000-00003A720000}"/>
    <cellStyle name="Normal 21 16 2" xfId="29998" xr:uid="{00000000-0005-0000-0000-00003B720000}"/>
    <cellStyle name="Normal 21 16 2 2" xfId="29999" xr:uid="{00000000-0005-0000-0000-00003C720000}"/>
    <cellStyle name="Normal 21 16 2 3" xfId="30000" xr:uid="{00000000-0005-0000-0000-00003D720000}"/>
    <cellStyle name="Normal 21 16 2 4" xfId="30001" xr:uid="{00000000-0005-0000-0000-00003E720000}"/>
    <cellStyle name="Normal 21 16 2 5" xfId="30002" xr:uid="{00000000-0005-0000-0000-00003F720000}"/>
    <cellStyle name="Normal 21 16 2 6" xfId="30003" xr:uid="{00000000-0005-0000-0000-000040720000}"/>
    <cellStyle name="Normal 21 16 3" xfId="30004" xr:uid="{00000000-0005-0000-0000-000041720000}"/>
    <cellStyle name="Normal 21 16 3 2" xfId="30005" xr:uid="{00000000-0005-0000-0000-000042720000}"/>
    <cellStyle name="Normal 21 16 3 3" xfId="30006" xr:uid="{00000000-0005-0000-0000-000043720000}"/>
    <cellStyle name="Normal 21 16 3 4" xfId="30007" xr:uid="{00000000-0005-0000-0000-000044720000}"/>
    <cellStyle name="Normal 21 16 3 5" xfId="30008" xr:uid="{00000000-0005-0000-0000-000045720000}"/>
    <cellStyle name="Normal 21 16 3 6" xfId="30009" xr:uid="{00000000-0005-0000-0000-000046720000}"/>
    <cellStyle name="Normal 21 16 4" xfId="30010" xr:uid="{00000000-0005-0000-0000-000047720000}"/>
    <cellStyle name="Normal 21 16 4 2" xfId="30011" xr:uid="{00000000-0005-0000-0000-000048720000}"/>
    <cellStyle name="Normal 21 16 4 3" xfId="30012" xr:uid="{00000000-0005-0000-0000-000049720000}"/>
    <cellStyle name="Normal 21 16 4 4" xfId="30013" xr:uid="{00000000-0005-0000-0000-00004A720000}"/>
    <cellStyle name="Normal 21 16 4 5" xfId="30014" xr:uid="{00000000-0005-0000-0000-00004B720000}"/>
    <cellStyle name="Normal 21 16 4 6" xfId="30015" xr:uid="{00000000-0005-0000-0000-00004C720000}"/>
    <cellStyle name="Normal 21 16 5" xfId="30016" xr:uid="{00000000-0005-0000-0000-00004D720000}"/>
    <cellStyle name="Normal 21 16 5 2" xfId="30017" xr:uid="{00000000-0005-0000-0000-00004E720000}"/>
    <cellStyle name="Normal 21 16 5 3" xfId="30018" xr:uid="{00000000-0005-0000-0000-00004F720000}"/>
    <cellStyle name="Normal 21 16 5 4" xfId="30019" xr:uid="{00000000-0005-0000-0000-000050720000}"/>
    <cellStyle name="Normal 21 16 5 5" xfId="30020" xr:uid="{00000000-0005-0000-0000-000051720000}"/>
    <cellStyle name="Normal 21 16 5 6" xfId="30021" xr:uid="{00000000-0005-0000-0000-000052720000}"/>
    <cellStyle name="Normal 21 16 6" xfId="30022" xr:uid="{00000000-0005-0000-0000-000053720000}"/>
    <cellStyle name="Normal 21 16 6 2" xfId="30023" xr:uid="{00000000-0005-0000-0000-000054720000}"/>
    <cellStyle name="Normal 21 16 6 3" xfId="30024" xr:uid="{00000000-0005-0000-0000-000055720000}"/>
    <cellStyle name="Normal 21 16 6 4" xfId="30025" xr:uid="{00000000-0005-0000-0000-000056720000}"/>
    <cellStyle name="Normal 21 16 6 5" xfId="30026" xr:uid="{00000000-0005-0000-0000-000057720000}"/>
    <cellStyle name="Normal 21 16 6 6" xfId="30027" xr:uid="{00000000-0005-0000-0000-000058720000}"/>
    <cellStyle name="Normal 21 16 7" xfId="30028" xr:uid="{00000000-0005-0000-0000-000059720000}"/>
    <cellStyle name="Normal 21 16 7 2" xfId="30029" xr:uid="{00000000-0005-0000-0000-00005A720000}"/>
    <cellStyle name="Normal 21 16 7 3" xfId="30030" xr:uid="{00000000-0005-0000-0000-00005B720000}"/>
    <cellStyle name="Normal 21 16 7 4" xfId="30031" xr:uid="{00000000-0005-0000-0000-00005C720000}"/>
    <cellStyle name="Normal 21 16 7 5" xfId="30032" xr:uid="{00000000-0005-0000-0000-00005D720000}"/>
    <cellStyle name="Normal 21 16 7 6" xfId="30033" xr:uid="{00000000-0005-0000-0000-00005E720000}"/>
    <cellStyle name="Normal 21 16 8" xfId="30034" xr:uid="{00000000-0005-0000-0000-00005F720000}"/>
    <cellStyle name="Normal 21 16 8 2" xfId="30035" xr:uid="{00000000-0005-0000-0000-000060720000}"/>
    <cellStyle name="Normal 21 16 8 3" xfId="30036" xr:uid="{00000000-0005-0000-0000-000061720000}"/>
    <cellStyle name="Normal 21 16 8 4" xfId="30037" xr:uid="{00000000-0005-0000-0000-000062720000}"/>
    <cellStyle name="Normal 21 16 8 5" xfId="30038" xr:uid="{00000000-0005-0000-0000-000063720000}"/>
    <cellStyle name="Normal 21 16 8 6" xfId="30039" xr:uid="{00000000-0005-0000-0000-000064720000}"/>
    <cellStyle name="Normal 21 16 9" xfId="30040" xr:uid="{00000000-0005-0000-0000-000065720000}"/>
    <cellStyle name="Normal 21 17" xfId="30041" xr:uid="{00000000-0005-0000-0000-000066720000}"/>
    <cellStyle name="Normal 21 17 10" xfId="30042" xr:uid="{00000000-0005-0000-0000-000067720000}"/>
    <cellStyle name="Normal 21 17 11" xfId="30043" xr:uid="{00000000-0005-0000-0000-000068720000}"/>
    <cellStyle name="Normal 21 17 12" xfId="30044" xr:uid="{00000000-0005-0000-0000-000069720000}"/>
    <cellStyle name="Normal 21 17 13" xfId="30045" xr:uid="{00000000-0005-0000-0000-00006A720000}"/>
    <cellStyle name="Normal 21 17 2" xfId="30046" xr:uid="{00000000-0005-0000-0000-00006B720000}"/>
    <cellStyle name="Normal 21 17 2 2" xfId="30047" xr:uid="{00000000-0005-0000-0000-00006C720000}"/>
    <cellStyle name="Normal 21 17 2 3" xfId="30048" xr:uid="{00000000-0005-0000-0000-00006D720000}"/>
    <cellStyle name="Normal 21 17 2 4" xfId="30049" xr:uid="{00000000-0005-0000-0000-00006E720000}"/>
    <cellStyle name="Normal 21 17 2 5" xfId="30050" xr:uid="{00000000-0005-0000-0000-00006F720000}"/>
    <cellStyle name="Normal 21 17 2 6" xfId="30051" xr:uid="{00000000-0005-0000-0000-000070720000}"/>
    <cellStyle name="Normal 21 17 3" xfId="30052" xr:uid="{00000000-0005-0000-0000-000071720000}"/>
    <cellStyle name="Normal 21 17 3 2" xfId="30053" xr:uid="{00000000-0005-0000-0000-000072720000}"/>
    <cellStyle name="Normal 21 17 3 3" xfId="30054" xr:uid="{00000000-0005-0000-0000-000073720000}"/>
    <cellStyle name="Normal 21 17 3 4" xfId="30055" xr:uid="{00000000-0005-0000-0000-000074720000}"/>
    <cellStyle name="Normal 21 17 3 5" xfId="30056" xr:uid="{00000000-0005-0000-0000-000075720000}"/>
    <cellStyle name="Normal 21 17 3 6" xfId="30057" xr:uid="{00000000-0005-0000-0000-000076720000}"/>
    <cellStyle name="Normal 21 17 4" xfId="30058" xr:uid="{00000000-0005-0000-0000-000077720000}"/>
    <cellStyle name="Normal 21 17 4 2" xfId="30059" xr:uid="{00000000-0005-0000-0000-000078720000}"/>
    <cellStyle name="Normal 21 17 4 3" xfId="30060" xr:uid="{00000000-0005-0000-0000-000079720000}"/>
    <cellStyle name="Normal 21 17 4 4" xfId="30061" xr:uid="{00000000-0005-0000-0000-00007A720000}"/>
    <cellStyle name="Normal 21 17 4 5" xfId="30062" xr:uid="{00000000-0005-0000-0000-00007B720000}"/>
    <cellStyle name="Normal 21 17 4 6" xfId="30063" xr:uid="{00000000-0005-0000-0000-00007C720000}"/>
    <cellStyle name="Normal 21 17 5" xfId="30064" xr:uid="{00000000-0005-0000-0000-00007D720000}"/>
    <cellStyle name="Normal 21 17 5 2" xfId="30065" xr:uid="{00000000-0005-0000-0000-00007E720000}"/>
    <cellStyle name="Normal 21 17 5 3" xfId="30066" xr:uid="{00000000-0005-0000-0000-00007F720000}"/>
    <cellStyle name="Normal 21 17 5 4" xfId="30067" xr:uid="{00000000-0005-0000-0000-000080720000}"/>
    <cellStyle name="Normal 21 17 5 5" xfId="30068" xr:uid="{00000000-0005-0000-0000-000081720000}"/>
    <cellStyle name="Normal 21 17 5 6" xfId="30069" xr:uid="{00000000-0005-0000-0000-000082720000}"/>
    <cellStyle name="Normal 21 17 6" xfId="30070" xr:uid="{00000000-0005-0000-0000-000083720000}"/>
    <cellStyle name="Normal 21 17 6 2" xfId="30071" xr:uid="{00000000-0005-0000-0000-000084720000}"/>
    <cellStyle name="Normal 21 17 6 3" xfId="30072" xr:uid="{00000000-0005-0000-0000-000085720000}"/>
    <cellStyle name="Normal 21 17 6 4" xfId="30073" xr:uid="{00000000-0005-0000-0000-000086720000}"/>
    <cellStyle name="Normal 21 17 6 5" xfId="30074" xr:uid="{00000000-0005-0000-0000-000087720000}"/>
    <cellStyle name="Normal 21 17 6 6" xfId="30075" xr:uid="{00000000-0005-0000-0000-000088720000}"/>
    <cellStyle name="Normal 21 17 7" xfId="30076" xr:uid="{00000000-0005-0000-0000-000089720000}"/>
    <cellStyle name="Normal 21 17 7 2" xfId="30077" xr:uid="{00000000-0005-0000-0000-00008A720000}"/>
    <cellStyle name="Normal 21 17 7 3" xfId="30078" xr:uid="{00000000-0005-0000-0000-00008B720000}"/>
    <cellStyle name="Normal 21 17 7 4" xfId="30079" xr:uid="{00000000-0005-0000-0000-00008C720000}"/>
    <cellStyle name="Normal 21 17 7 5" xfId="30080" xr:uid="{00000000-0005-0000-0000-00008D720000}"/>
    <cellStyle name="Normal 21 17 7 6" xfId="30081" xr:uid="{00000000-0005-0000-0000-00008E720000}"/>
    <cellStyle name="Normal 21 17 8" xfId="30082" xr:uid="{00000000-0005-0000-0000-00008F720000}"/>
    <cellStyle name="Normal 21 17 8 2" xfId="30083" xr:uid="{00000000-0005-0000-0000-000090720000}"/>
    <cellStyle name="Normal 21 17 8 3" xfId="30084" xr:uid="{00000000-0005-0000-0000-000091720000}"/>
    <cellStyle name="Normal 21 17 8 4" xfId="30085" xr:uid="{00000000-0005-0000-0000-000092720000}"/>
    <cellStyle name="Normal 21 17 8 5" xfId="30086" xr:uid="{00000000-0005-0000-0000-000093720000}"/>
    <cellStyle name="Normal 21 17 8 6" xfId="30087" xr:uid="{00000000-0005-0000-0000-000094720000}"/>
    <cellStyle name="Normal 21 17 9" xfId="30088" xr:uid="{00000000-0005-0000-0000-000095720000}"/>
    <cellStyle name="Normal 21 18" xfId="30089" xr:uid="{00000000-0005-0000-0000-000096720000}"/>
    <cellStyle name="Normal 21 18 10" xfId="30090" xr:uid="{00000000-0005-0000-0000-000097720000}"/>
    <cellStyle name="Normal 21 18 11" xfId="30091" xr:uid="{00000000-0005-0000-0000-000098720000}"/>
    <cellStyle name="Normal 21 18 12" xfId="30092" xr:uid="{00000000-0005-0000-0000-000099720000}"/>
    <cellStyle name="Normal 21 18 13" xfId="30093" xr:uid="{00000000-0005-0000-0000-00009A720000}"/>
    <cellStyle name="Normal 21 18 2" xfId="30094" xr:uid="{00000000-0005-0000-0000-00009B720000}"/>
    <cellStyle name="Normal 21 18 2 2" xfId="30095" xr:uid="{00000000-0005-0000-0000-00009C720000}"/>
    <cellStyle name="Normal 21 18 2 3" xfId="30096" xr:uid="{00000000-0005-0000-0000-00009D720000}"/>
    <cellStyle name="Normal 21 18 2 4" xfId="30097" xr:uid="{00000000-0005-0000-0000-00009E720000}"/>
    <cellStyle name="Normal 21 18 2 5" xfId="30098" xr:uid="{00000000-0005-0000-0000-00009F720000}"/>
    <cellStyle name="Normal 21 18 2 6" xfId="30099" xr:uid="{00000000-0005-0000-0000-0000A0720000}"/>
    <cellStyle name="Normal 21 18 3" xfId="30100" xr:uid="{00000000-0005-0000-0000-0000A1720000}"/>
    <cellStyle name="Normal 21 18 3 2" xfId="30101" xr:uid="{00000000-0005-0000-0000-0000A2720000}"/>
    <cellStyle name="Normal 21 18 3 3" xfId="30102" xr:uid="{00000000-0005-0000-0000-0000A3720000}"/>
    <cellStyle name="Normal 21 18 3 4" xfId="30103" xr:uid="{00000000-0005-0000-0000-0000A4720000}"/>
    <cellStyle name="Normal 21 18 3 5" xfId="30104" xr:uid="{00000000-0005-0000-0000-0000A5720000}"/>
    <cellStyle name="Normal 21 18 3 6" xfId="30105" xr:uid="{00000000-0005-0000-0000-0000A6720000}"/>
    <cellStyle name="Normal 21 18 4" xfId="30106" xr:uid="{00000000-0005-0000-0000-0000A7720000}"/>
    <cellStyle name="Normal 21 18 4 2" xfId="30107" xr:uid="{00000000-0005-0000-0000-0000A8720000}"/>
    <cellStyle name="Normal 21 18 4 3" xfId="30108" xr:uid="{00000000-0005-0000-0000-0000A9720000}"/>
    <cellStyle name="Normal 21 18 4 4" xfId="30109" xr:uid="{00000000-0005-0000-0000-0000AA720000}"/>
    <cellStyle name="Normal 21 18 4 5" xfId="30110" xr:uid="{00000000-0005-0000-0000-0000AB720000}"/>
    <cellStyle name="Normal 21 18 4 6" xfId="30111" xr:uid="{00000000-0005-0000-0000-0000AC720000}"/>
    <cellStyle name="Normal 21 18 5" xfId="30112" xr:uid="{00000000-0005-0000-0000-0000AD720000}"/>
    <cellStyle name="Normal 21 18 5 2" xfId="30113" xr:uid="{00000000-0005-0000-0000-0000AE720000}"/>
    <cellStyle name="Normal 21 18 5 3" xfId="30114" xr:uid="{00000000-0005-0000-0000-0000AF720000}"/>
    <cellStyle name="Normal 21 18 5 4" xfId="30115" xr:uid="{00000000-0005-0000-0000-0000B0720000}"/>
    <cellStyle name="Normal 21 18 5 5" xfId="30116" xr:uid="{00000000-0005-0000-0000-0000B1720000}"/>
    <cellStyle name="Normal 21 18 5 6" xfId="30117" xr:uid="{00000000-0005-0000-0000-0000B2720000}"/>
    <cellStyle name="Normal 21 18 6" xfId="30118" xr:uid="{00000000-0005-0000-0000-0000B3720000}"/>
    <cellStyle name="Normal 21 18 6 2" xfId="30119" xr:uid="{00000000-0005-0000-0000-0000B4720000}"/>
    <cellStyle name="Normal 21 18 6 3" xfId="30120" xr:uid="{00000000-0005-0000-0000-0000B5720000}"/>
    <cellStyle name="Normal 21 18 6 4" xfId="30121" xr:uid="{00000000-0005-0000-0000-0000B6720000}"/>
    <cellStyle name="Normal 21 18 6 5" xfId="30122" xr:uid="{00000000-0005-0000-0000-0000B7720000}"/>
    <cellStyle name="Normal 21 18 6 6" xfId="30123" xr:uid="{00000000-0005-0000-0000-0000B8720000}"/>
    <cellStyle name="Normal 21 18 7" xfId="30124" xr:uid="{00000000-0005-0000-0000-0000B9720000}"/>
    <cellStyle name="Normal 21 18 7 2" xfId="30125" xr:uid="{00000000-0005-0000-0000-0000BA720000}"/>
    <cellStyle name="Normal 21 18 7 3" xfId="30126" xr:uid="{00000000-0005-0000-0000-0000BB720000}"/>
    <cellStyle name="Normal 21 18 7 4" xfId="30127" xr:uid="{00000000-0005-0000-0000-0000BC720000}"/>
    <cellStyle name="Normal 21 18 7 5" xfId="30128" xr:uid="{00000000-0005-0000-0000-0000BD720000}"/>
    <cellStyle name="Normal 21 18 7 6" xfId="30129" xr:uid="{00000000-0005-0000-0000-0000BE720000}"/>
    <cellStyle name="Normal 21 18 8" xfId="30130" xr:uid="{00000000-0005-0000-0000-0000BF720000}"/>
    <cellStyle name="Normal 21 18 8 2" xfId="30131" xr:uid="{00000000-0005-0000-0000-0000C0720000}"/>
    <cellStyle name="Normal 21 18 8 3" xfId="30132" xr:uid="{00000000-0005-0000-0000-0000C1720000}"/>
    <cellStyle name="Normal 21 18 8 4" xfId="30133" xr:uid="{00000000-0005-0000-0000-0000C2720000}"/>
    <cellStyle name="Normal 21 18 8 5" xfId="30134" xr:uid="{00000000-0005-0000-0000-0000C3720000}"/>
    <cellStyle name="Normal 21 18 8 6" xfId="30135" xr:uid="{00000000-0005-0000-0000-0000C4720000}"/>
    <cellStyle name="Normal 21 18 9" xfId="30136" xr:uid="{00000000-0005-0000-0000-0000C5720000}"/>
    <cellStyle name="Normal 21 19" xfId="30137" xr:uid="{00000000-0005-0000-0000-0000C6720000}"/>
    <cellStyle name="Normal 21 19 10" xfId="30138" xr:uid="{00000000-0005-0000-0000-0000C7720000}"/>
    <cellStyle name="Normal 21 19 11" xfId="30139" xr:uid="{00000000-0005-0000-0000-0000C8720000}"/>
    <cellStyle name="Normal 21 19 12" xfId="30140" xr:uid="{00000000-0005-0000-0000-0000C9720000}"/>
    <cellStyle name="Normal 21 19 13" xfId="30141" xr:uid="{00000000-0005-0000-0000-0000CA720000}"/>
    <cellStyle name="Normal 21 19 2" xfId="30142" xr:uid="{00000000-0005-0000-0000-0000CB720000}"/>
    <cellStyle name="Normal 21 19 2 2" xfId="30143" xr:uid="{00000000-0005-0000-0000-0000CC720000}"/>
    <cellStyle name="Normal 21 19 2 3" xfId="30144" xr:uid="{00000000-0005-0000-0000-0000CD720000}"/>
    <cellStyle name="Normal 21 19 2 4" xfId="30145" xr:uid="{00000000-0005-0000-0000-0000CE720000}"/>
    <cellStyle name="Normal 21 19 2 5" xfId="30146" xr:uid="{00000000-0005-0000-0000-0000CF720000}"/>
    <cellStyle name="Normal 21 19 2 6" xfId="30147" xr:uid="{00000000-0005-0000-0000-0000D0720000}"/>
    <cellStyle name="Normal 21 19 3" xfId="30148" xr:uid="{00000000-0005-0000-0000-0000D1720000}"/>
    <cellStyle name="Normal 21 19 3 2" xfId="30149" xr:uid="{00000000-0005-0000-0000-0000D2720000}"/>
    <cellStyle name="Normal 21 19 3 3" xfId="30150" xr:uid="{00000000-0005-0000-0000-0000D3720000}"/>
    <cellStyle name="Normal 21 19 3 4" xfId="30151" xr:uid="{00000000-0005-0000-0000-0000D4720000}"/>
    <cellStyle name="Normal 21 19 3 5" xfId="30152" xr:uid="{00000000-0005-0000-0000-0000D5720000}"/>
    <cellStyle name="Normal 21 19 3 6" xfId="30153" xr:uid="{00000000-0005-0000-0000-0000D6720000}"/>
    <cellStyle name="Normal 21 19 4" xfId="30154" xr:uid="{00000000-0005-0000-0000-0000D7720000}"/>
    <cellStyle name="Normal 21 19 4 2" xfId="30155" xr:uid="{00000000-0005-0000-0000-0000D8720000}"/>
    <cellStyle name="Normal 21 19 4 3" xfId="30156" xr:uid="{00000000-0005-0000-0000-0000D9720000}"/>
    <cellStyle name="Normal 21 19 4 4" xfId="30157" xr:uid="{00000000-0005-0000-0000-0000DA720000}"/>
    <cellStyle name="Normal 21 19 4 5" xfId="30158" xr:uid="{00000000-0005-0000-0000-0000DB720000}"/>
    <cellStyle name="Normal 21 19 4 6" xfId="30159" xr:uid="{00000000-0005-0000-0000-0000DC720000}"/>
    <cellStyle name="Normal 21 19 5" xfId="30160" xr:uid="{00000000-0005-0000-0000-0000DD720000}"/>
    <cellStyle name="Normal 21 19 5 2" xfId="30161" xr:uid="{00000000-0005-0000-0000-0000DE720000}"/>
    <cellStyle name="Normal 21 19 5 3" xfId="30162" xr:uid="{00000000-0005-0000-0000-0000DF720000}"/>
    <cellStyle name="Normal 21 19 5 4" xfId="30163" xr:uid="{00000000-0005-0000-0000-0000E0720000}"/>
    <cellStyle name="Normal 21 19 5 5" xfId="30164" xr:uid="{00000000-0005-0000-0000-0000E1720000}"/>
    <cellStyle name="Normal 21 19 5 6" xfId="30165" xr:uid="{00000000-0005-0000-0000-0000E2720000}"/>
    <cellStyle name="Normal 21 19 6" xfId="30166" xr:uid="{00000000-0005-0000-0000-0000E3720000}"/>
    <cellStyle name="Normal 21 19 6 2" xfId="30167" xr:uid="{00000000-0005-0000-0000-0000E4720000}"/>
    <cellStyle name="Normal 21 19 6 3" xfId="30168" xr:uid="{00000000-0005-0000-0000-0000E5720000}"/>
    <cellStyle name="Normal 21 19 6 4" xfId="30169" xr:uid="{00000000-0005-0000-0000-0000E6720000}"/>
    <cellStyle name="Normal 21 19 6 5" xfId="30170" xr:uid="{00000000-0005-0000-0000-0000E7720000}"/>
    <cellStyle name="Normal 21 19 6 6" xfId="30171" xr:uid="{00000000-0005-0000-0000-0000E8720000}"/>
    <cellStyle name="Normal 21 19 7" xfId="30172" xr:uid="{00000000-0005-0000-0000-0000E9720000}"/>
    <cellStyle name="Normal 21 19 7 2" xfId="30173" xr:uid="{00000000-0005-0000-0000-0000EA720000}"/>
    <cellStyle name="Normal 21 19 7 3" xfId="30174" xr:uid="{00000000-0005-0000-0000-0000EB720000}"/>
    <cellStyle name="Normal 21 19 7 4" xfId="30175" xr:uid="{00000000-0005-0000-0000-0000EC720000}"/>
    <cellStyle name="Normal 21 19 7 5" xfId="30176" xr:uid="{00000000-0005-0000-0000-0000ED720000}"/>
    <cellStyle name="Normal 21 19 7 6" xfId="30177" xr:uid="{00000000-0005-0000-0000-0000EE720000}"/>
    <cellStyle name="Normal 21 19 8" xfId="30178" xr:uid="{00000000-0005-0000-0000-0000EF720000}"/>
    <cellStyle name="Normal 21 19 8 2" xfId="30179" xr:uid="{00000000-0005-0000-0000-0000F0720000}"/>
    <cellStyle name="Normal 21 19 8 3" xfId="30180" xr:uid="{00000000-0005-0000-0000-0000F1720000}"/>
    <cellStyle name="Normal 21 19 8 4" xfId="30181" xr:uid="{00000000-0005-0000-0000-0000F2720000}"/>
    <cellStyle name="Normal 21 19 8 5" xfId="30182" xr:uid="{00000000-0005-0000-0000-0000F3720000}"/>
    <cellStyle name="Normal 21 19 8 6" xfId="30183" xr:uid="{00000000-0005-0000-0000-0000F4720000}"/>
    <cellStyle name="Normal 21 19 9" xfId="30184" xr:uid="{00000000-0005-0000-0000-0000F5720000}"/>
    <cellStyle name="Normal 21 2" xfId="30185" xr:uid="{00000000-0005-0000-0000-0000F6720000}"/>
    <cellStyle name="Normal 21 2 10" xfId="30186" xr:uid="{00000000-0005-0000-0000-0000F7720000}"/>
    <cellStyle name="Normal 21 2 11" xfId="30187" xr:uid="{00000000-0005-0000-0000-0000F8720000}"/>
    <cellStyle name="Normal 21 2 12" xfId="30188" xr:uid="{00000000-0005-0000-0000-0000F9720000}"/>
    <cellStyle name="Normal 21 2 13" xfId="30189" xr:uid="{00000000-0005-0000-0000-0000FA720000}"/>
    <cellStyle name="Normal 21 2 2" xfId="30190" xr:uid="{00000000-0005-0000-0000-0000FB720000}"/>
    <cellStyle name="Normal 21 2 2 2" xfId="30191" xr:uid="{00000000-0005-0000-0000-0000FC720000}"/>
    <cellStyle name="Normal 21 2 2 3" xfId="30192" xr:uid="{00000000-0005-0000-0000-0000FD720000}"/>
    <cellStyle name="Normal 21 2 2 4" xfId="30193" xr:uid="{00000000-0005-0000-0000-0000FE720000}"/>
    <cellStyle name="Normal 21 2 2 5" xfId="30194" xr:uid="{00000000-0005-0000-0000-0000FF720000}"/>
    <cellStyle name="Normal 21 2 2 6" xfId="30195" xr:uid="{00000000-0005-0000-0000-000000730000}"/>
    <cellStyle name="Normal 21 2 3" xfId="30196" xr:uid="{00000000-0005-0000-0000-000001730000}"/>
    <cellStyle name="Normal 21 2 3 2" xfId="30197" xr:uid="{00000000-0005-0000-0000-000002730000}"/>
    <cellStyle name="Normal 21 2 3 3" xfId="30198" xr:uid="{00000000-0005-0000-0000-000003730000}"/>
    <cellStyle name="Normal 21 2 3 4" xfId="30199" xr:uid="{00000000-0005-0000-0000-000004730000}"/>
    <cellStyle name="Normal 21 2 3 5" xfId="30200" xr:uid="{00000000-0005-0000-0000-000005730000}"/>
    <cellStyle name="Normal 21 2 3 6" xfId="30201" xr:uid="{00000000-0005-0000-0000-000006730000}"/>
    <cellStyle name="Normal 21 2 4" xfId="30202" xr:uid="{00000000-0005-0000-0000-000007730000}"/>
    <cellStyle name="Normal 21 2 4 2" xfId="30203" xr:uid="{00000000-0005-0000-0000-000008730000}"/>
    <cellStyle name="Normal 21 2 4 3" xfId="30204" xr:uid="{00000000-0005-0000-0000-000009730000}"/>
    <cellStyle name="Normal 21 2 4 4" xfId="30205" xr:uid="{00000000-0005-0000-0000-00000A730000}"/>
    <cellStyle name="Normal 21 2 4 5" xfId="30206" xr:uid="{00000000-0005-0000-0000-00000B730000}"/>
    <cellStyle name="Normal 21 2 4 6" xfId="30207" xr:uid="{00000000-0005-0000-0000-00000C730000}"/>
    <cellStyle name="Normal 21 2 5" xfId="30208" xr:uid="{00000000-0005-0000-0000-00000D730000}"/>
    <cellStyle name="Normal 21 2 5 2" xfId="30209" xr:uid="{00000000-0005-0000-0000-00000E730000}"/>
    <cellStyle name="Normal 21 2 5 3" xfId="30210" xr:uid="{00000000-0005-0000-0000-00000F730000}"/>
    <cellStyle name="Normal 21 2 5 4" xfId="30211" xr:uid="{00000000-0005-0000-0000-000010730000}"/>
    <cellStyle name="Normal 21 2 5 5" xfId="30212" xr:uid="{00000000-0005-0000-0000-000011730000}"/>
    <cellStyle name="Normal 21 2 5 6" xfId="30213" xr:uid="{00000000-0005-0000-0000-000012730000}"/>
    <cellStyle name="Normal 21 2 6" xfId="30214" xr:uid="{00000000-0005-0000-0000-000013730000}"/>
    <cellStyle name="Normal 21 2 6 2" xfId="30215" xr:uid="{00000000-0005-0000-0000-000014730000}"/>
    <cellStyle name="Normal 21 2 6 3" xfId="30216" xr:uid="{00000000-0005-0000-0000-000015730000}"/>
    <cellStyle name="Normal 21 2 6 4" xfId="30217" xr:uid="{00000000-0005-0000-0000-000016730000}"/>
    <cellStyle name="Normal 21 2 6 5" xfId="30218" xr:uid="{00000000-0005-0000-0000-000017730000}"/>
    <cellStyle name="Normal 21 2 6 6" xfId="30219" xr:uid="{00000000-0005-0000-0000-000018730000}"/>
    <cellStyle name="Normal 21 2 7" xfId="30220" xr:uid="{00000000-0005-0000-0000-000019730000}"/>
    <cellStyle name="Normal 21 2 7 2" xfId="30221" xr:uid="{00000000-0005-0000-0000-00001A730000}"/>
    <cellStyle name="Normal 21 2 7 3" xfId="30222" xr:uid="{00000000-0005-0000-0000-00001B730000}"/>
    <cellStyle name="Normal 21 2 7 4" xfId="30223" xr:uid="{00000000-0005-0000-0000-00001C730000}"/>
    <cellStyle name="Normal 21 2 7 5" xfId="30224" xr:uid="{00000000-0005-0000-0000-00001D730000}"/>
    <cellStyle name="Normal 21 2 7 6" xfId="30225" xr:uid="{00000000-0005-0000-0000-00001E730000}"/>
    <cellStyle name="Normal 21 2 8" xfId="30226" xr:uid="{00000000-0005-0000-0000-00001F730000}"/>
    <cellStyle name="Normal 21 2 8 2" xfId="30227" xr:uid="{00000000-0005-0000-0000-000020730000}"/>
    <cellStyle name="Normal 21 2 8 3" xfId="30228" xr:uid="{00000000-0005-0000-0000-000021730000}"/>
    <cellStyle name="Normal 21 2 8 4" xfId="30229" xr:uid="{00000000-0005-0000-0000-000022730000}"/>
    <cellStyle name="Normal 21 2 8 5" xfId="30230" xr:uid="{00000000-0005-0000-0000-000023730000}"/>
    <cellStyle name="Normal 21 2 8 6" xfId="30231" xr:uid="{00000000-0005-0000-0000-000024730000}"/>
    <cellStyle name="Normal 21 2 9" xfId="30232" xr:uid="{00000000-0005-0000-0000-000025730000}"/>
    <cellStyle name="Normal 21 20" xfId="30233" xr:uid="{00000000-0005-0000-0000-000026730000}"/>
    <cellStyle name="Normal 21 20 10" xfId="30234" xr:uid="{00000000-0005-0000-0000-000027730000}"/>
    <cellStyle name="Normal 21 20 11" xfId="30235" xr:uid="{00000000-0005-0000-0000-000028730000}"/>
    <cellStyle name="Normal 21 20 12" xfId="30236" xr:uid="{00000000-0005-0000-0000-000029730000}"/>
    <cellStyle name="Normal 21 20 13" xfId="30237" xr:uid="{00000000-0005-0000-0000-00002A730000}"/>
    <cellStyle name="Normal 21 20 2" xfId="30238" xr:uid="{00000000-0005-0000-0000-00002B730000}"/>
    <cellStyle name="Normal 21 20 2 2" xfId="30239" xr:uid="{00000000-0005-0000-0000-00002C730000}"/>
    <cellStyle name="Normal 21 20 2 3" xfId="30240" xr:uid="{00000000-0005-0000-0000-00002D730000}"/>
    <cellStyle name="Normal 21 20 2 4" xfId="30241" xr:uid="{00000000-0005-0000-0000-00002E730000}"/>
    <cellStyle name="Normal 21 20 2 5" xfId="30242" xr:uid="{00000000-0005-0000-0000-00002F730000}"/>
    <cellStyle name="Normal 21 20 2 6" xfId="30243" xr:uid="{00000000-0005-0000-0000-000030730000}"/>
    <cellStyle name="Normal 21 20 3" xfId="30244" xr:uid="{00000000-0005-0000-0000-000031730000}"/>
    <cellStyle name="Normal 21 20 3 2" xfId="30245" xr:uid="{00000000-0005-0000-0000-000032730000}"/>
    <cellStyle name="Normal 21 20 3 3" xfId="30246" xr:uid="{00000000-0005-0000-0000-000033730000}"/>
    <cellStyle name="Normal 21 20 3 4" xfId="30247" xr:uid="{00000000-0005-0000-0000-000034730000}"/>
    <cellStyle name="Normal 21 20 3 5" xfId="30248" xr:uid="{00000000-0005-0000-0000-000035730000}"/>
    <cellStyle name="Normal 21 20 3 6" xfId="30249" xr:uid="{00000000-0005-0000-0000-000036730000}"/>
    <cellStyle name="Normal 21 20 4" xfId="30250" xr:uid="{00000000-0005-0000-0000-000037730000}"/>
    <cellStyle name="Normal 21 20 4 2" xfId="30251" xr:uid="{00000000-0005-0000-0000-000038730000}"/>
    <cellStyle name="Normal 21 20 4 3" xfId="30252" xr:uid="{00000000-0005-0000-0000-000039730000}"/>
    <cellStyle name="Normal 21 20 4 4" xfId="30253" xr:uid="{00000000-0005-0000-0000-00003A730000}"/>
    <cellStyle name="Normal 21 20 4 5" xfId="30254" xr:uid="{00000000-0005-0000-0000-00003B730000}"/>
    <cellStyle name="Normal 21 20 4 6" xfId="30255" xr:uid="{00000000-0005-0000-0000-00003C730000}"/>
    <cellStyle name="Normal 21 20 5" xfId="30256" xr:uid="{00000000-0005-0000-0000-00003D730000}"/>
    <cellStyle name="Normal 21 20 5 2" xfId="30257" xr:uid="{00000000-0005-0000-0000-00003E730000}"/>
    <cellStyle name="Normal 21 20 5 3" xfId="30258" xr:uid="{00000000-0005-0000-0000-00003F730000}"/>
    <cellStyle name="Normal 21 20 5 4" xfId="30259" xr:uid="{00000000-0005-0000-0000-000040730000}"/>
    <cellStyle name="Normal 21 20 5 5" xfId="30260" xr:uid="{00000000-0005-0000-0000-000041730000}"/>
    <cellStyle name="Normal 21 20 5 6" xfId="30261" xr:uid="{00000000-0005-0000-0000-000042730000}"/>
    <cellStyle name="Normal 21 20 6" xfId="30262" xr:uid="{00000000-0005-0000-0000-000043730000}"/>
    <cellStyle name="Normal 21 20 6 2" xfId="30263" xr:uid="{00000000-0005-0000-0000-000044730000}"/>
    <cellStyle name="Normal 21 20 6 3" xfId="30264" xr:uid="{00000000-0005-0000-0000-000045730000}"/>
    <cellStyle name="Normal 21 20 6 4" xfId="30265" xr:uid="{00000000-0005-0000-0000-000046730000}"/>
    <cellStyle name="Normal 21 20 6 5" xfId="30266" xr:uid="{00000000-0005-0000-0000-000047730000}"/>
    <cellStyle name="Normal 21 20 6 6" xfId="30267" xr:uid="{00000000-0005-0000-0000-000048730000}"/>
    <cellStyle name="Normal 21 20 7" xfId="30268" xr:uid="{00000000-0005-0000-0000-000049730000}"/>
    <cellStyle name="Normal 21 20 7 2" xfId="30269" xr:uid="{00000000-0005-0000-0000-00004A730000}"/>
    <cellStyle name="Normal 21 20 7 3" xfId="30270" xr:uid="{00000000-0005-0000-0000-00004B730000}"/>
    <cellStyle name="Normal 21 20 7 4" xfId="30271" xr:uid="{00000000-0005-0000-0000-00004C730000}"/>
    <cellStyle name="Normal 21 20 7 5" xfId="30272" xr:uid="{00000000-0005-0000-0000-00004D730000}"/>
    <cellStyle name="Normal 21 20 7 6" xfId="30273" xr:uid="{00000000-0005-0000-0000-00004E730000}"/>
    <cellStyle name="Normal 21 20 8" xfId="30274" xr:uid="{00000000-0005-0000-0000-00004F730000}"/>
    <cellStyle name="Normal 21 20 8 2" xfId="30275" xr:uid="{00000000-0005-0000-0000-000050730000}"/>
    <cellStyle name="Normal 21 20 8 3" xfId="30276" xr:uid="{00000000-0005-0000-0000-000051730000}"/>
    <cellStyle name="Normal 21 20 8 4" xfId="30277" xr:uid="{00000000-0005-0000-0000-000052730000}"/>
    <cellStyle name="Normal 21 20 8 5" xfId="30278" xr:uid="{00000000-0005-0000-0000-000053730000}"/>
    <cellStyle name="Normal 21 20 8 6" xfId="30279" xr:uid="{00000000-0005-0000-0000-000054730000}"/>
    <cellStyle name="Normal 21 20 9" xfId="30280" xr:uid="{00000000-0005-0000-0000-000055730000}"/>
    <cellStyle name="Normal 21 21" xfId="30281" xr:uid="{00000000-0005-0000-0000-000056730000}"/>
    <cellStyle name="Normal 21 21 10" xfId="30282" xr:uid="{00000000-0005-0000-0000-000057730000}"/>
    <cellStyle name="Normal 21 21 11" xfId="30283" xr:uid="{00000000-0005-0000-0000-000058730000}"/>
    <cellStyle name="Normal 21 21 12" xfId="30284" xr:uid="{00000000-0005-0000-0000-000059730000}"/>
    <cellStyle name="Normal 21 21 13" xfId="30285" xr:uid="{00000000-0005-0000-0000-00005A730000}"/>
    <cellStyle name="Normal 21 21 2" xfId="30286" xr:uid="{00000000-0005-0000-0000-00005B730000}"/>
    <cellStyle name="Normal 21 21 2 2" xfId="30287" xr:uid="{00000000-0005-0000-0000-00005C730000}"/>
    <cellStyle name="Normal 21 21 2 3" xfId="30288" xr:uid="{00000000-0005-0000-0000-00005D730000}"/>
    <cellStyle name="Normal 21 21 2 4" xfId="30289" xr:uid="{00000000-0005-0000-0000-00005E730000}"/>
    <cellStyle name="Normal 21 21 2 5" xfId="30290" xr:uid="{00000000-0005-0000-0000-00005F730000}"/>
    <cellStyle name="Normal 21 21 2 6" xfId="30291" xr:uid="{00000000-0005-0000-0000-000060730000}"/>
    <cellStyle name="Normal 21 21 3" xfId="30292" xr:uid="{00000000-0005-0000-0000-000061730000}"/>
    <cellStyle name="Normal 21 21 3 2" xfId="30293" xr:uid="{00000000-0005-0000-0000-000062730000}"/>
    <cellStyle name="Normal 21 21 3 3" xfId="30294" xr:uid="{00000000-0005-0000-0000-000063730000}"/>
    <cellStyle name="Normal 21 21 3 4" xfId="30295" xr:uid="{00000000-0005-0000-0000-000064730000}"/>
    <cellStyle name="Normal 21 21 3 5" xfId="30296" xr:uid="{00000000-0005-0000-0000-000065730000}"/>
    <cellStyle name="Normal 21 21 3 6" xfId="30297" xr:uid="{00000000-0005-0000-0000-000066730000}"/>
    <cellStyle name="Normal 21 21 4" xfId="30298" xr:uid="{00000000-0005-0000-0000-000067730000}"/>
    <cellStyle name="Normal 21 21 4 2" xfId="30299" xr:uid="{00000000-0005-0000-0000-000068730000}"/>
    <cellStyle name="Normal 21 21 4 3" xfId="30300" xr:uid="{00000000-0005-0000-0000-000069730000}"/>
    <cellStyle name="Normal 21 21 4 4" xfId="30301" xr:uid="{00000000-0005-0000-0000-00006A730000}"/>
    <cellStyle name="Normal 21 21 4 5" xfId="30302" xr:uid="{00000000-0005-0000-0000-00006B730000}"/>
    <cellStyle name="Normal 21 21 4 6" xfId="30303" xr:uid="{00000000-0005-0000-0000-00006C730000}"/>
    <cellStyle name="Normal 21 21 5" xfId="30304" xr:uid="{00000000-0005-0000-0000-00006D730000}"/>
    <cellStyle name="Normal 21 21 5 2" xfId="30305" xr:uid="{00000000-0005-0000-0000-00006E730000}"/>
    <cellStyle name="Normal 21 21 5 3" xfId="30306" xr:uid="{00000000-0005-0000-0000-00006F730000}"/>
    <cellStyle name="Normal 21 21 5 4" xfId="30307" xr:uid="{00000000-0005-0000-0000-000070730000}"/>
    <cellStyle name="Normal 21 21 5 5" xfId="30308" xr:uid="{00000000-0005-0000-0000-000071730000}"/>
    <cellStyle name="Normal 21 21 5 6" xfId="30309" xr:uid="{00000000-0005-0000-0000-000072730000}"/>
    <cellStyle name="Normal 21 21 6" xfId="30310" xr:uid="{00000000-0005-0000-0000-000073730000}"/>
    <cellStyle name="Normal 21 21 6 2" xfId="30311" xr:uid="{00000000-0005-0000-0000-000074730000}"/>
    <cellStyle name="Normal 21 21 6 3" xfId="30312" xr:uid="{00000000-0005-0000-0000-000075730000}"/>
    <cellStyle name="Normal 21 21 6 4" xfId="30313" xr:uid="{00000000-0005-0000-0000-000076730000}"/>
    <cellStyle name="Normal 21 21 6 5" xfId="30314" xr:uid="{00000000-0005-0000-0000-000077730000}"/>
    <cellStyle name="Normal 21 21 6 6" xfId="30315" xr:uid="{00000000-0005-0000-0000-000078730000}"/>
    <cellStyle name="Normal 21 21 7" xfId="30316" xr:uid="{00000000-0005-0000-0000-000079730000}"/>
    <cellStyle name="Normal 21 21 7 2" xfId="30317" xr:uid="{00000000-0005-0000-0000-00007A730000}"/>
    <cellStyle name="Normal 21 21 7 3" xfId="30318" xr:uid="{00000000-0005-0000-0000-00007B730000}"/>
    <cellStyle name="Normal 21 21 7 4" xfId="30319" xr:uid="{00000000-0005-0000-0000-00007C730000}"/>
    <cellStyle name="Normal 21 21 7 5" xfId="30320" xr:uid="{00000000-0005-0000-0000-00007D730000}"/>
    <cellStyle name="Normal 21 21 7 6" xfId="30321" xr:uid="{00000000-0005-0000-0000-00007E730000}"/>
    <cellStyle name="Normal 21 21 8" xfId="30322" xr:uid="{00000000-0005-0000-0000-00007F730000}"/>
    <cellStyle name="Normal 21 21 8 2" xfId="30323" xr:uid="{00000000-0005-0000-0000-000080730000}"/>
    <cellStyle name="Normal 21 21 8 3" xfId="30324" xr:uid="{00000000-0005-0000-0000-000081730000}"/>
    <cellStyle name="Normal 21 21 8 4" xfId="30325" xr:uid="{00000000-0005-0000-0000-000082730000}"/>
    <cellStyle name="Normal 21 21 8 5" xfId="30326" xr:uid="{00000000-0005-0000-0000-000083730000}"/>
    <cellStyle name="Normal 21 21 8 6" xfId="30327" xr:uid="{00000000-0005-0000-0000-000084730000}"/>
    <cellStyle name="Normal 21 21 9" xfId="30328" xr:uid="{00000000-0005-0000-0000-000085730000}"/>
    <cellStyle name="Normal 21 22" xfId="30329" xr:uid="{00000000-0005-0000-0000-000086730000}"/>
    <cellStyle name="Normal 21 22 10" xfId="30330" xr:uid="{00000000-0005-0000-0000-000087730000}"/>
    <cellStyle name="Normal 21 22 11" xfId="30331" xr:uid="{00000000-0005-0000-0000-000088730000}"/>
    <cellStyle name="Normal 21 22 12" xfId="30332" xr:uid="{00000000-0005-0000-0000-000089730000}"/>
    <cellStyle name="Normal 21 22 13" xfId="30333" xr:uid="{00000000-0005-0000-0000-00008A730000}"/>
    <cellStyle name="Normal 21 22 2" xfId="30334" xr:uid="{00000000-0005-0000-0000-00008B730000}"/>
    <cellStyle name="Normal 21 22 2 2" xfId="30335" xr:uid="{00000000-0005-0000-0000-00008C730000}"/>
    <cellStyle name="Normal 21 22 2 3" xfId="30336" xr:uid="{00000000-0005-0000-0000-00008D730000}"/>
    <cellStyle name="Normal 21 22 2 4" xfId="30337" xr:uid="{00000000-0005-0000-0000-00008E730000}"/>
    <cellStyle name="Normal 21 22 2 5" xfId="30338" xr:uid="{00000000-0005-0000-0000-00008F730000}"/>
    <cellStyle name="Normal 21 22 2 6" xfId="30339" xr:uid="{00000000-0005-0000-0000-000090730000}"/>
    <cellStyle name="Normal 21 22 3" xfId="30340" xr:uid="{00000000-0005-0000-0000-000091730000}"/>
    <cellStyle name="Normal 21 22 3 2" xfId="30341" xr:uid="{00000000-0005-0000-0000-000092730000}"/>
    <cellStyle name="Normal 21 22 3 3" xfId="30342" xr:uid="{00000000-0005-0000-0000-000093730000}"/>
    <cellStyle name="Normal 21 22 3 4" xfId="30343" xr:uid="{00000000-0005-0000-0000-000094730000}"/>
    <cellStyle name="Normal 21 22 3 5" xfId="30344" xr:uid="{00000000-0005-0000-0000-000095730000}"/>
    <cellStyle name="Normal 21 22 3 6" xfId="30345" xr:uid="{00000000-0005-0000-0000-000096730000}"/>
    <cellStyle name="Normal 21 22 4" xfId="30346" xr:uid="{00000000-0005-0000-0000-000097730000}"/>
    <cellStyle name="Normal 21 22 4 2" xfId="30347" xr:uid="{00000000-0005-0000-0000-000098730000}"/>
    <cellStyle name="Normal 21 22 4 3" xfId="30348" xr:uid="{00000000-0005-0000-0000-000099730000}"/>
    <cellStyle name="Normal 21 22 4 4" xfId="30349" xr:uid="{00000000-0005-0000-0000-00009A730000}"/>
    <cellStyle name="Normal 21 22 4 5" xfId="30350" xr:uid="{00000000-0005-0000-0000-00009B730000}"/>
    <cellStyle name="Normal 21 22 4 6" xfId="30351" xr:uid="{00000000-0005-0000-0000-00009C730000}"/>
    <cellStyle name="Normal 21 22 5" xfId="30352" xr:uid="{00000000-0005-0000-0000-00009D730000}"/>
    <cellStyle name="Normal 21 22 5 2" xfId="30353" xr:uid="{00000000-0005-0000-0000-00009E730000}"/>
    <cellStyle name="Normal 21 22 5 3" xfId="30354" xr:uid="{00000000-0005-0000-0000-00009F730000}"/>
    <cellStyle name="Normal 21 22 5 4" xfId="30355" xr:uid="{00000000-0005-0000-0000-0000A0730000}"/>
    <cellStyle name="Normal 21 22 5 5" xfId="30356" xr:uid="{00000000-0005-0000-0000-0000A1730000}"/>
    <cellStyle name="Normal 21 22 5 6" xfId="30357" xr:uid="{00000000-0005-0000-0000-0000A2730000}"/>
    <cellStyle name="Normal 21 22 6" xfId="30358" xr:uid="{00000000-0005-0000-0000-0000A3730000}"/>
    <cellStyle name="Normal 21 22 6 2" xfId="30359" xr:uid="{00000000-0005-0000-0000-0000A4730000}"/>
    <cellStyle name="Normal 21 22 6 3" xfId="30360" xr:uid="{00000000-0005-0000-0000-0000A5730000}"/>
    <cellStyle name="Normal 21 22 6 4" xfId="30361" xr:uid="{00000000-0005-0000-0000-0000A6730000}"/>
    <cellStyle name="Normal 21 22 6 5" xfId="30362" xr:uid="{00000000-0005-0000-0000-0000A7730000}"/>
    <cellStyle name="Normal 21 22 6 6" xfId="30363" xr:uid="{00000000-0005-0000-0000-0000A8730000}"/>
    <cellStyle name="Normal 21 22 7" xfId="30364" xr:uid="{00000000-0005-0000-0000-0000A9730000}"/>
    <cellStyle name="Normal 21 22 7 2" xfId="30365" xr:uid="{00000000-0005-0000-0000-0000AA730000}"/>
    <cellStyle name="Normal 21 22 7 3" xfId="30366" xr:uid="{00000000-0005-0000-0000-0000AB730000}"/>
    <cellStyle name="Normal 21 22 7 4" xfId="30367" xr:uid="{00000000-0005-0000-0000-0000AC730000}"/>
    <cellStyle name="Normal 21 22 7 5" xfId="30368" xr:uid="{00000000-0005-0000-0000-0000AD730000}"/>
    <cellStyle name="Normal 21 22 7 6" xfId="30369" xr:uid="{00000000-0005-0000-0000-0000AE730000}"/>
    <cellStyle name="Normal 21 22 8" xfId="30370" xr:uid="{00000000-0005-0000-0000-0000AF730000}"/>
    <cellStyle name="Normal 21 22 8 2" xfId="30371" xr:uid="{00000000-0005-0000-0000-0000B0730000}"/>
    <cellStyle name="Normal 21 22 8 3" xfId="30372" xr:uid="{00000000-0005-0000-0000-0000B1730000}"/>
    <cellStyle name="Normal 21 22 8 4" xfId="30373" xr:uid="{00000000-0005-0000-0000-0000B2730000}"/>
    <cellStyle name="Normal 21 22 8 5" xfId="30374" xr:uid="{00000000-0005-0000-0000-0000B3730000}"/>
    <cellStyle name="Normal 21 22 8 6" xfId="30375" xr:uid="{00000000-0005-0000-0000-0000B4730000}"/>
    <cellStyle name="Normal 21 22 9" xfId="30376" xr:uid="{00000000-0005-0000-0000-0000B5730000}"/>
    <cellStyle name="Normal 21 23" xfId="30377" xr:uid="{00000000-0005-0000-0000-0000B6730000}"/>
    <cellStyle name="Normal 21 23 10" xfId="30378" xr:uid="{00000000-0005-0000-0000-0000B7730000}"/>
    <cellStyle name="Normal 21 23 11" xfId="30379" xr:uid="{00000000-0005-0000-0000-0000B8730000}"/>
    <cellStyle name="Normal 21 23 12" xfId="30380" xr:uid="{00000000-0005-0000-0000-0000B9730000}"/>
    <cellStyle name="Normal 21 23 13" xfId="30381" xr:uid="{00000000-0005-0000-0000-0000BA730000}"/>
    <cellStyle name="Normal 21 23 2" xfId="30382" xr:uid="{00000000-0005-0000-0000-0000BB730000}"/>
    <cellStyle name="Normal 21 23 2 2" xfId="30383" xr:uid="{00000000-0005-0000-0000-0000BC730000}"/>
    <cellStyle name="Normal 21 23 2 3" xfId="30384" xr:uid="{00000000-0005-0000-0000-0000BD730000}"/>
    <cellStyle name="Normal 21 23 2 4" xfId="30385" xr:uid="{00000000-0005-0000-0000-0000BE730000}"/>
    <cellStyle name="Normal 21 23 2 5" xfId="30386" xr:uid="{00000000-0005-0000-0000-0000BF730000}"/>
    <cellStyle name="Normal 21 23 2 6" xfId="30387" xr:uid="{00000000-0005-0000-0000-0000C0730000}"/>
    <cellStyle name="Normal 21 23 3" xfId="30388" xr:uid="{00000000-0005-0000-0000-0000C1730000}"/>
    <cellStyle name="Normal 21 23 3 2" xfId="30389" xr:uid="{00000000-0005-0000-0000-0000C2730000}"/>
    <cellStyle name="Normal 21 23 3 3" xfId="30390" xr:uid="{00000000-0005-0000-0000-0000C3730000}"/>
    <cellStyle name="Normal 21 23 3 4" xfId="30391" xr:uid="{00000000-0005-0000-0000-0000C4730000}"/>
    <cellStyle name="Normal 21 23 3 5" xfId="30392" xr:uid="{00000000-0005-0000-0000-0000C5730000}"/>
    <cellStyle name="Normal 21 23 3 6" xfId="30393" xr:uid="{00000000-0005-0000-0000-0000C6730000}"/>
    <cellStyle name="Normal 21 23 4" xfId="30394" xr:uid="{00000000-0005-0000-0000-0000C7730000}"/>
    <cellStyle name="Normal 21 23 4 2" xfId="30395" xr:uid="{00000000-0005-0000-0000-0000C8730000}"/>
    <cellStyle name="Normal 21 23 4 3" xfId="30396" xr:uid="{00000000-0005-0000-0000-0000C9730000}"/>
    <cellStyle name="Normal 21 23 4 4" xfId="30397" xr:uid="{00000000-0005-0000-0000-0000CA730000}"/>
    <cellStyle name="Normal 21 23 4 5" xfId="30398" xr:uid="{00000000-0005-0000-0000-0000CB730000}"/>
    <cellStyle name="Normal 21 23 4 6" xfId="30399" xr:uid="{00000000-0005-0000-0000-0000CC730000}"/>
    <cellStyle name="Normal 21 23 5" xfId="30400" xr:uid="{00000000-0005-0000-0000-0000CD730000}"/>
    <cellStyle name="Normal 21 23 5 2" xfId="30401" xr:uid="{00000000-0005-0000-0000-0000CE730000}"/>
    <cellStyle name="Normal 21 23 5 3" xfId="30402" xr:uid="{00000000-0005-0000-0000-0000CF730000}"/>
    <cellStyle name="Normal 21 23 5 4" xfId="30403" xr:uid="{00000000-0005-0000-0000-0000D0730000}"/>
    <cellStyle name="Normal 21 23 5 5" xfId="30404" xr:uid="{00000000-0005-0000-0000-0000D1730000}"/>
    <cellStyle name="Normal 21 23 5 6" xfId="30405" xr:uid="{00000000-0005-0000-0000-0000D2730000}"/>
    <cellStyle name="Normal 21 23 6" xfId="30406" xr:uid="{00000000-0005-0000-0000-0000D3730000}"/>
    <cellStyle name="Normal 21 23 6 2" xfId="30407" xr:uid="{00000000-0005-0000-0000-0000D4730000}"/>
    <cellStyle name="Normal 21 23 6 3" xfId="30408" xr:uid="{00000000-0005-0000-0000-0000D5730000}"/>
    <cellStyle name="Normal 21 23 6 4" xfId="30409" xr:uid="{00000000-0005-0000-0000-0000D6730000}"/>
    <cellStyle name="Normal 21 23 6 5" xfId="30410" xr:uid="{00000000-0005-0000-0000-0000D7730000}"/>
    <cellStyle name="Normal 21 23 6 6" xfId="30411" xr:uid="{00000000-0005-0000-0000-0000D8730000}"/>
    <cellStyle name="Normal 21 23 7" xfId="30412" xr:uid="{00000000-0005-0000-0000-0000D9730000}"/>
    <cellStyle name="Normal 21 23 7 2" xfId="30413" xr:uid="{00000000-0005-0000-0000-0000DA730000}"/>
    <cellStyle name="Normal 21 23 7 3" xfId="30414" xr:uid="{00000000-0005-0000-0000-0000DB730000}"/>
    <cellStyle name="Normal 21 23 7 4" xfId="30415" xr:uid="{00000000-0005-0000-0000-0000DC730000}"/>
    <cellStyle name="Normal 21 23 7 5" xfId="30416" xr:uid="{00000000-0005-0000-0000-0000DD730000}"/>
    <cellStyle name="Normal 21 23 7 6" xfId="30417" xr:uid="{00000000-0005-0000-0000-0000DE730000}"/>
    <cellStyle name="Normal 21 23 8" xfId="30418" xr:uid="{00000000-0005-0000-0000-0000DF730000}"/>
    <cellStyle name="Normal 21 23 8 2" xfId="30419" xr:uid="{00000000-0005-0000-0000-0000E0730000}"/>
    <cellStyle name="Normal 21 23 8 3" xfId="30420" xr:uid="{00000000-0005-0000-0000-0000E1730000}"/>
    <cellStyle name="Normal 21 23 8 4" xfId="30421" xr:uid="{00000000-0005-0000-0000-0000E2730000}"/>
    <cellStyle name="Normal 21 23 8 5" xfId="30422" xr:uid="{00000000-0005-0000-0000-0000E3730000}"/>
    <cellStyle name="Normal 21 23 8 6" xfId="30423" xr:uid="{00000000-0005-0000-0000-0000E4730000}"/>
    <cellStyle name="Normal 21 23 9" xfId="30424" xr:uid="{00000000-0005-0000-0000-0000E5730000}"/>
    <cellStyle name="Normal 21 24" xfId="30425" xr:uid="{00000000-0005-0000-0000-0000E6730000}"/>
    <cellStyle name="Normal 21 24 10" xfId="30426" xr:uid="{00000000-0005-0000-0000-0000E7730000}"/>
    <cellStyle name="Normal 21 24 11" xfId="30427" xr:uid="{00000000-0005-0000-0000-0000E8730000}"/>
    <cellStyle name="Normal 21 24 12" xfId="30428" xr:uid="{00000000-0005-0000-0000-0000E9730000}"/>
    <cellStyle name="Normal 21 24 13" xfId="30429" xr:uid="{00000000-0005-0000-0000-0000EA730000}"/>
    <cellStyle name="Normal 21 24 2" xfId="30430" xr:uid="{00000000-0005-0000-0000-0000EB730000}"/>
    <cellStyle name="Normal 21 24 2 2" xfId="30431" xr:uid="{00000000-0005-0000-0000-0000EC730000}"/>
    <cellStyle name="Normal 21 24 2 3" xfId="30432" xr:uid="{00000000-0005-0000-0000-0000ED730000}"/>
    <cellStyle name="Normal 21 24 2 4" xfId="30433" xr:uid="{00000000-0005-0000-0000-0000EE730000}"/>
    <cellStyle name="Normal 21 24 2 5" xfId="30434" xr:uid="{00000000-0005-0000-0000-0000EF730000}"/>
    <cellStyle name="Normal 21 24 2 6" xfId="30435" xr:uid="{00000000-0005-0000-0000-0000F0730000}"/>
    <cellStyle name="Normal 21 24 3" xfId="30436" xr:uid="{00000000-0005-0000-0000-0000F1730000}"/>
    <cellStyle name="Normal 21 24 3 2" xfId="30437" xr:uid="{00000000-0005-0000-0000-0000F2730000}"/>
    <cellStyle name="Normal 21 24 3 3" xfId="30438" xr:uid="{00000000-0005-0000-0000-0000F3730000}"/>
    <cellStyle name="Normal 21 24 3 4" xfId="30439" xr:uid="{00000000-0005-0000-0000-0000F4730000}"/>
    <cellStyle name="Normal 21 24 3 5" xfId="30440" xr:uid="{00000000-0005-0000-0000-0000F5730000}"/>
    <cellStyle name="Normal 21 24 3 6" xfId="30441" xr:uid="{00000000-0005-0000-0000-0000F6730000}"/>
    <cellStyle name="Normal 21 24 4" xfId="30442" xr:uid="{00000000-0005-0000-0000-0000F7730000}"/>
    <cellStyle name="Normal 21 24 4 2" xfId="30443" xr:uid="{00000000-0005-0000-0000-0000F8730000}"/>
    <cellStyle name="Normal 21 24 4 3" xfId="30444" xr:uid="{00000000-0005-0000-0000-0000F9730000}"/>
    <cellStyle name="Normal 21 24 4 4" xfId="30445" xr:uid="{00000000-0005-0000-0000-0000FA730000}"/>
    <cellStyle name="Normal 21 24 4 5" xfId="30446" xr:uid="{00000000-0005-0000-0000-0000FB730000}"/>
    <cellStyle name="Normal 21 24 4 6" xfId="30447" xr:uid="{00000000-0005-0000-0000-0000FC730000}"/>
    <cellStyle name="Normal 21 24 5" xfId="30448" xr:uid="{00000000-0005-0000-0000-0000FD730000}"/>
    <cellStyle name="Normal 21 24 5 2" xfId="30449" xr:uid="{00000000-0005-0000-0000-0000FE730000}"/>
    <cellStyle name="Normal 21 24 5 3" xfId="30450" xr:uid="{00000000-0005-0000-0000-0000FF730000}"/>
    <cellStyle name="Normal 21 24 5 4" xfId="30451" xr:uid="{00000000-0005-0000-0000-000000740000}"/>
    <cellStyle name="Normal 21 24 5 5" xfId="30452" xr:uid="{00000000-0005-0000-0000-000001740000}"/>
    <cellStyle name="Normal 21 24 5 6" xfId="30453" xr:uid="{00000000-0005-0000-0000-000002740000}"/>
    <cellStyle name="Normal 21 24 6" xfId="30454" xr:uid="{00000000-0005-0000-0000-000003740000}"/>
    <cellStyle name="Normal 21 24 6 2" xfId="30455" xr:uid="{00000000-0005-0000-0000-000004740000}"/>
    <cellStyle name="Normal 21 24 6 3" xfId="30456" xr:uid="{00000000-0005-0000-0000-000005740000}"/>
    <cellStyle name="Normal 21 24 6 4" xfId="30457" xr:uid="{00000000-0005-0000-0000-000006740000}"/>
    <cellStyle name="Normal 21 24 6 5" xfId="30458" xr:uid="{00000000-0005-0000-0000-000007740000}"/>
    <cellStyle name="Normal 21 24 6 6" xfId="30459" xr:uid="{00000000-0005-0000-0000-000008740000}"/>
    <cellStyle name="Normal 21 24 7" xfId="30460" xr:uid="{00000000-0005-0000-0000-000009740000}"/>
    <cellStyle name="Normal 21 24 7 2" xfId="30461" xr:uid="{00000000-0005-0000-0000-00000A740000}"/>
    <cellStyle name="Normal 21 24 7 3" xfId="30462" xr:uid="{00000000-0005-0000-0000-00000B740000}"/>
    <cellStyle name="Normal 21 24 7 4" xfId="30463" xr:uid="{00000000-0005-0000-0000-00000C740000}"/>
    <cellStyle name="Normal 21 24 7 5" xfId="30464" xr:uid="{00000000-0005-0000-0000-00000D740000}"/>
    <cellStyle name="Normal 21 24 7 6" xfId="30465" xr:uid="{00000000-0005-0000-0000-00000E740000}"/>
    <cellStyle name="Normal 21 24 8" xfId="30466" xr:uid="{00000000-0005-0000-0000-00000F740000}"/>
    <cellStyle name="Normal 21 24 8 2" xfId="30467" xr:uid="{00000000-0005-0000-0000-000010740000}"/>
    <cellStyle name="Normal 21 24 8 3" xfId="30468" xr:uid="{00000000-0005-0000-0000-000011740000}"/>
    <cellStyle name="Normal 21 24 8 4" xfId="30469" xr:uid="{00000000-0005-0000-0000-000012740000}"/>
    <cellStyle name="Normal 21 24 8 5" xfId="30470" xr:uid="{00000000-0005-0000-0000-000013740000}"/>
    <cellStyle name="Normal 21 24 8 6" xfId="30471" xr:uid="{00000000-0005-0000-0000-000014740000}"/>
    <cellStyle name="Normal 21 24 9" xfId="30472" xr:uid="{00000000-0005-0000-0000-000015740000}"/>
    <cellStyle name="Normal 21 25" xfId="30473" xr:uid="{00000000-0005-0000-0000-000016740000}"/>
    <cellStyle name="Normal 21 25 2" xfId="30474" xr:uid="{00000000-0005-0000-0000-000017740000}"/>
    <cellStyle name="Normal 21 25 3" xfId="30475" xr:uid="{00000000-0005-0000-0000-000018740000}"/>
    <cellStyle name="Normal 21 25 4" xfId="30476" xr:uid="{00000000-0005-0000-0000-000019740000}"/>
    <cellStyle name="Normal 21 25 5" xfId="30477" xr:uid="{00000000-0005-0000-0000-00001A740000}"/>
    <cellStyle name="Normal 21 25 6" xfId="30478" xr:uid="{00000000-0005-0000-0000-00001B740000}"/>
    <cellStyle name="Normal 21 26" xfId="30479" xr:uid="{00000000-0005-0000-0000-00001C740000}"/>
    <cellStyle name="Normal 21 26 2" xfId="30480" xr:uid="{00000000-0005-0000-0000-00001D740000}"/>
    <cellStyle name="Normal 21 26 3" xfId="30481" xr:uid="{00000000-0005-0000-0000-00001E740000}"/>
    <cellStyle name="Normal 21 26 4" xfId="30482" xr:uid="{00000000-0005-0000-0000-00001F740000}"/>
    <cellStyle name="Normal 21 26 5" xfId="30483" xr:uid="{00000000-0005-0000-0000-000020740000}"/>
    <cellStyle name="Normal 21 26 6" xfId="30484" xr:uid="{00000000-0005-0000-0000-000021740000}"/>
    <cellStyle name="Normal 21 27" xfId="30485" xr:uid="{00000000-0005-0000-0000-000022740000}"/>
    <cellStyle name="Normal 21 27 2" xfId="30486" xr:uid="{00000000-0005-0000-0000-000023740000}"/>
    <cellStyle name="Normal 21 27 3" xfId="30487" xr:uid="{00000000-0005-0000-0000-000024740000}"/>
    <cellStyle name="Normal 21 27 4" xfId="30488" xr:uid="{00000000-0005-0000-0000-000025740000}"/>
    <cellStyle name="Normal 21 27 5" xfId="30489" xr:uid="{00000000-0005-0000-0000-000026740000}"/>
    <cellStyle name="Normal 21 27 6" xfId="30490" xr:uid="{00000000-0005-0000-0000-000027740000}"/>
    <cellStyle name="Normal 21 28" xfId="30491" xr:uid="{00000000-0005-0000-0000-000028740000}"/>
    <cellStyle name="Normal 21 28 2" xfId="30492" xr:uid="{00000000-0005-0000-0000-000029740000}"/>
    <cellStyle name="Normal 21 28 3" xfId="30493" xr:uid="{00000000-0005-0000-0000-00002A740000}"/>
    <cellStyle name="Normal 21 28 4" xfId="30494" xr:uid="{00000000-0005-0000-0000-00002B740000}"/>
    <cellStyle name="Normal 21 28 5" xfId="30495" xr:uid="{00000000-0005-0000-0000-00002C740000}"/>
    <cellStyle name="Normal 21 28 6" xfId="30496" xr:uid="{00000000-0005-0000-0000-00002D740000}"/>
    <cellStyle name="Normal 21 29" xfId="30497" xr:uid="{00000000-0005-0000-0000-00002E740000}"/>
    <cellStyle name="Normal 21 29 2" xfId="30498" xr:uid="{00000000-0005-0000-0000-00002F740000}"/>
    <cellStyle name="Normal 21 29 3" xfId="30499" xr:uid="{00000000-0005-0000-0000-000030740000}"/>
    <cellStyle name="Normal 21 29 4" xfId="30500" xr:uid="{00000000-0005-0000-0000-000031740000}"/>
    <cellStyle name="Normal 21 29 5" xfId="30501" xr:uid="{00000000-0005-0000-0000-000032740000}"/>
    <cellStyle name="Normal 21 29 6" xfId="30502" xr:uid="{00000000-0005-0000-0000-000033740000}"/>
    <cellStyle name="Normal 21 3" xfId="30503" xr:uid="{00000000-0005-0000-0000-000034740000}"/>
    <cellStyle name="Normal 21 3 10" xfId="30504" xr:uid="{00000000-0005-0000-0000-000035740000}"/>
    <cellStyle name="Normal 21 3 11" xfId="30505" xr:uid="{00000000-0005-0000-0000-000036740000}"/>
    <cellStyle name="Normal 21 3 12" xfId="30506" xr:uid="{00000000-0005-0000-0000-000037740000}"/>
    <cellStyle name="Normal 21 3 13" xfId="30507" xr:uid="{00000000-0005-0000-0000-000038740000}"/>
    <cellStyle name="Normal 21 3 2" xfId="30508" xr:uid="{00000000-0005-0000-0000-000039740000}"/>
    <cellStyle name="Normal 21 3 2 2" xfId="30509" xr:uid="{00000000-0005-0000-0000-00003A740000}"/>
    <cellStyle name="Normal 21 3 2 3" xfId="30510" xr:uid="{00000000-0005-0000-0000-00003B740000}"/>
    <cellStyle name="Normal 21 3 2 4" xfId="30511" xr:uid="{00000000-0005-0000-0000-00003C740000}"/>
    <cellStyle name="Normal 21 3 2 5" xfId="30512" xr:uid="{00000000-0005-0000-0000-00003D740000}"/>
    <cellStyle name="Normal 21 3 2 6" xfId="30513" xr:uid="{00000000-0005-0000-0000-00003E740000}"/>
    <cellStyle name="Normal 21 3 3" xfId="30514" xr:uid="{00000000-0005-0000-0000-00003F740000}"/>
    <cellStyle name="Normal 21 3 3 2" xfId="30515" xr:uid="{00000000-0005-0000-0000-000040740000}"/>
    <cellStyle name="Normal 21 3 3 3" xfId="30516" xr:uid="{00000000-0005-0000-0000-000041740000}"/>
    <cellStyle name="Normal 21 3 3 4" xfId="30517" xr:uid="{00000000-0005-0000-0000-000042740000}"/>
    <cellStyle name="Normal 21 3 3 5" xfId="30518" xr:uid="{00000000-0005-0000-0000-000043740000}"/>
    <cellStyle name="Normal 21 3 3 6" xfId="30519" xr:uid="{00000000-0005-0000-0000-000044740000}"/>
    <cellStyle name="Normal 21 3 4" xfId="30520" xr:uid="{00000000-0005-0000-0000-000045740000}"/>
    <cellStyle name="Normal 21 3 4 2" xfId="30521" xr:uid="{00000000-0005-0000-0000-000046740000}"/>
    <cellStyle name="Normal 21 3 4 3" xfId="30522" xr:uid="{00000000-0005-0000-0000-000047740000}"/>
    <cellStyle name="Normal 21 3 4 4" xfId="30523" xr:uid="{00000000-0005-0000-0000-000048740000}"/>
    <cellStyle name="Normal 21 3 4 5" xfId="30524" xr:uid="{00000000-0005-0000-0000-000049740000}"/>
    <cellStyle name="Normal 21 3 4 6" xfId="30525" xr:uid="{00000000-0005-0000-0000-00004A740000}"/>
    <cellStyle name="Normal 21 3 5" xfId="30526" xr:uid="{00000000-0005-0000-0000-00004B740000}"/>
    <cellStyle name="Normal 21 3 5 2" xfId="30527" xr:uid="{00000000-0005-0000-0000-00004C740000}"/>
    <cellStyle name="Normal 21 3 5 3" xfId="30528" xr:uid="{00000000-0005-0000-0000-00004D740000}"/>
    <cellStyle name="Normal 21 3 5 4" xfId="30529" xr:uid="{00000000-0005-0000-0000-00004E740000}"/>
    <cellStyle name="Normal 21 3 5 5" xfId="30530" xr:uid="{00000000-0005-0000-0000-00004F740000}"/>
    <cellStyle name="Normal 21 3 5 6" xfId="30531" xr:uid="{00000000-0005-0000-0000-000050740000}"/>
    <cellStyle name="Normal 21 3 6" xfId="30532" xr:uid="{00000000-0005-0000-0000-000051740000}"/>
    <cellStyle name="Normal 21 3 6 2" xfId="30533" xr:uid="{00000000-0005-0000-0000-000052740000}"/>
    <cellStyle name="Normal 21 3 6 3" xfId="30534" xr:uid="{00000000-0005-0000-0000-000053740000}"/>
    <cellStyle name="Normal 21 3 6 4" xfId="30535" xr:uid="{00000000-0005-0000-0000-000054740000}"/>
    <cellStyle name="Normal 21 3 6 5" xfId="30536" xr:uid="{00000000-0005-0000-0000-000055740000}"/>
    <cellStyle name="Normal 21 3 6 6" xfId="30537" xr:uid="{00000000-0005-0000-0000-000056740000}"/>
    <cellStyle name="Normal 21 3 7" xfId="30538" xr:uid="{00000000-0005-0000-0000-000057740000}"/>
    <cellStyle name="Normal 21 3 7 2" xfId="30539" xr:uid="{00000000-0005-0000-0000-000058740000}"/>
    <cellStyle name="Normal 21 3 7 3" xfId="30540" xr:uid="{00000000-0005-0000-0000-000059740000}"/>
    <cellStyle name="Normal 21 3 7 4" xfId="30541" xr:uid="{00000000-0005-0000-0000-00005A740000}"/>
    <cellStyle name="Normal 21 3 7 5" xfId="30542" xr:uid="{00000000-0005-0000-0000-00005B740000}"/>
    <cellStyle name="Normal 21 3 7 6" xfId="30543" xr:uid="{00000000-0005-0000-0000-00005C740000}"/>
    <cellStyle name="Normal 21 3 8" xfId="30544" xr:uid="{00000000-0005-0000-0000-00005D740000}"/>
    <cellStyle name="Normal 21 3 8 2" xfId="30545" xr:uid="{00000000-0005-0000-0000-00005E740000}"/>
    <cellStyle name="Normal 21 3 8 3" xfId="30546" xr:uid="{00000000-0005-0000-0000-00005F740000}"/>
    <cellStyle name="Normal 21 3 8 4" xfId="30547" xr:uid="{00000000-0005-0000-0000-000060740000}"/>
    <cellStyle name="Normal 21 3 8 5" xfId="30548" xr:uid="{00000000-0005-0000-0000-000061740000}"/>
    <cellStyle name="Normal 21 3 8 6" xfId="30549" xr:uid="{00000000-0005-0000-0000-000062740000}"/>
    <cellStyle name="Normal 21 3 9" xfId="30550" xr:uid="{00000000-0005-0000-0000-000063740000}"/>
    <cellStyle name="Normal 21 30" xfId="30551" xr:uid="{00000000-0005-0000-0000-000064740000}"/>
    <cellStyle name="Normal 21 30 2" xfId="30552" xr:uid="{00000000-0005-0000-0000-000065740000}"/>
    <cellStyle name="Normal 21 30 3" xfId="30553" xr:uid="{00000000-0005-0000-0000-000066740000}"/>
    <cellStyle name="Normal 21 30 4" xfId="30554" xr:uid="{00000000-0005-0000-0000-000067740000}"/>
    <cellStyle name="Normal 21 30 5" xfId="30555" xr:uid="{00000000-0005-0000-0000-000068740000}"/>
    <cellStyle name="Normal 21 30 6" xfId="30556" xr:uid="{00000000-0005-0000-0000-000069740000}"/>
    <cellStyle name="Normal 21 31" xfId="30557" xr:uid="{00000000-0005-0000-0000-00006A740000}"/>
    <cellStyle name="Normal 21 31 2" xfId="30558" xr:uid="{00000000-0005-0000-0000-00006B740000}"/>
    <cellStyle name="Normal 21 31 3" xfId="30559" xr:uid="{00000000-0005-0000-0000-00006C740000}"/>
    <cellStyle name="Normal 21 31 4" xfId="30560" xr:uid="{00000000-0005-0000-0000-00006D740000}"/>
    <cellStyle name="Normal 21 31 5" xfId="30561" xr:uid="{00000000-0005-0000-0000-00006E740000}"/>
    <cellStyle name="Normal 21 31 6" xfId="30562" xr:uid="{00000000-0005-0000-0000-00006F740000}"/>
    <cellStyle name="Normal 21 32" xfId="30563" xr:uid="{00000000-0005-0000-0000-000070740000}"/>
    <cellStyle name="Normal 21 33" xfId="30564" xr:uid="{00000000-0005-0000-0000-000071740000}"/>
    <cellStyle name="Normal 21 34" xfId="30565" xr:uid="{00000000-0005-0000-0000-000072740000}"/>
    <cellStyle name="Normal 21 35" xfId="30566" xr:uid="{00000000-0005-0000-0000-000073740000}"/>
    <cellStyle name="Normal 21 36" xfId="30567" xr:uid="{00000000-0005-0000-0000-000074740000}"/>
    <cellStyle name="Normal 21 4" xfId="30568" xr:uid="{00000000-0005-0000-0000-000075740000}"/>
    <cellStyle name="Normal 21 4 10" xfId="30569" xr:uid="{00000000-0005-0000-0000-000076740000}"/>
    <cellStyle name="Normal 21 4 11" xfId="30570" xr:uid="{00000000-0005-0000-0000-000077740000}"/>
    <cellStyle name="Normal 21 4 12" xfId="30571" xr:uid="{00000000-0005-0000-0000-000078740000}"/>
    <cellStyle name="Normal 21 4 13" xfId="30572" xr:uid="{00000000-0005-0000-0000-000079740000}"/>
    <cellStyle name="Normal 21 4 2" xfId="30573" xr:uid="{00000000-0005-0000-0000-00007A740000}"/>
    <cellStyle name="Normal 21 4 2 2" xfId="30574" xr:uid="{00000000-0005-0000-0000-00007B740000}"/>
    <cellStyle name="Normal 21 4 2 3" xfId="30575" xr:uid="{00000000-0005-0000-0000-00007C740000}"/>
    <cellStyle name="Normal 21 4 2 4" xfId="30576" xr:uid="{00000000-0005-0000-0000-00007D740000}"/>
    <cellStyle name="Normal 21 4 2 5" xfId="30577" xr:uid="{00000000-0005-0000-0000-00007E740000}"/>
    <cellStyle name="Normal 21 4 2 6" xfId="30578" xr:uid="{00000000-0005-0000-0000-00007F740000}"/>
    <cellStyle name="Normal 21 4 3" xfId="30579" xr:uid="{00000000-0005-0000-0000-000080740000}"/>
    <cellStyle name="Normal 21 4 3 2" xfId="30580" xr:uid="{00000000-0005-0000-0000-000081740000}"/>
    <cellStyle name="Normal 21 4 3 3" xfId="30581" xr:uid="{00000000-0005-0000-0000-000082740000}"/>
    <cellStyle name="Normal 21 4 3 4" xfId="30582" xr:uid="{00000000-0005-0000-0000-000083740000}"/>
    <cellStyle name="Normal 21 4 3 5" xfId="30583" xr:uid="{00000000-0005-0000-0000-000084740000}"/>
    <cellStyle name="Normal 21 4 3 6" xfId="30584" xr:uid="{00000000-0005-0000-0000-000085740000}"/>
    <cellStyle name="Normal 21 4 4" xfId="30585" xr:uid="{00000000-0005-0000-0000-000086740000}"/>
    <cellStyle name="Normal 21 4 4 2" xfId="30586" xr:uid="{00000000-0005-0000-0000-000087740000}"/>
    <cellStyle name="Normal 21 4 4 3" xfId="30587" xr:uid="{00000000-0005-0000-0000-000088740000}"/>
    <cellStyle name="Normal 21 4 4 4" xfId="30588" xr:uid="{00000000-0005-0000-0000-000089740000}"/>
    <cellStyle name="Normal 21 4 4 5" xfId="30589" xr:uid="{00000000-0005-0000-0000-00008A740000}"/>
    <cellStyle name="Normal 21 4 4 6" xfId="30590" xr:uid="{00000000-0005-0000-0000-00008B740000}"/>
    <cellStyle name="Normal 21 4 5" xfId="30591" xr:uid="{00000000-0005-0000-0000-00008C740000}"/>
    <cellStyle name="Normal 21 4 5 2" xfId="30592" xr:uid="{00000000-0005-0000-0000-00008D740000}"/>
    <cellStyle name="Normal 21 4 5 3" xfId="30593" xr:uid="{00000000-0005-0000-0000-00008E740000}"/>
    <cellStyle name="Normal 21 4 5 4" xfId="30594" xr:uid="{00000000-0005-0000-0000-00008F740000}"/>
    <cellStyle name="Normal 21 4 5 5" xfId="30595" xr:uid="{00000000-0005-0000-0000-000090740000}"/>
    <cellStyle name="Normal 21 4 5 6" xfId="30596" xr:uid="{00000000-0005-0000-0000-000091740000}"/>
    <cellStyle name="Normal 21 4 6" xfId="30597" xr:uid="{00000000-0005-0000-0000-000092740000}"/>
    <cellStyle name="Normal 21 4 6 2" xfId="30598" xr:uid="{00000000-0005-0000-0000-000093740000}"/>
    <cellStyle name="Normal 21 4 6 3" xfId="30599" xr:uid="{00000000-0005-0000-0000-000094740000}"/>
    <cellStyle name="Normal 21 4 6 4" xfId="30600" xr:uid="{00000000-0005-0000-0000-000095740000}"/>
    <cellStyle name="Normal 21 4 6 5" xfId="30601" xr:uid="{00000000-0005-0000-0000-000096740000}"/>
    <cellStyle name="Normal 21 4 6 6" xfId="30602" xr:uid="{00000000-0005-0000-0000-000097740000}"/>
    <cellStyle name="Normal 21 4 7" xfId="30603" xr:uid="{00000000-0005-0000-0000-000098740000}"/>
    <cellStyle name="Normal 21 4 7 2" xfId="30604" xr:uid="{00000000-0005-0000-0000-000099740000}"/>
    <cellStyle name="Normal 21 4 7 3" xfId="30605" xr:uid="{00000000-0005-0000-0000-00009A740000}"/>
    <cellStyle name="Normal 21 4 7 4" xfId="30606" xr:uid="{00000000-0005-0000-0000-00009B740000}"/>
    <cellStyle name="Normal 21 4 7 5" xfId="30607" xr:uid="{00000000-0005-0000-0000-00009C740000}"/>
    <cellStyle name="Normal 21 4 7 6" xfId="30608" xr:uid="{00000000-0005-0000-0000-00009D740000}"/>
    <cellStyle name="Normal 21 4 8" xfId="30609" xr:uid="{00000000-0005-0000-0000-00009E740000}"/>
    <cellStyle name="Normal 21 4 8 2" xfId="30610" xr:uid="{00000000-0005-0000-0000-00009F740000}"/>
    <cellStyle name="Normal 21 4 8 3" xfId="30611" xr:uid="{00000000-0005-0000-0000-0000A0740000}"/>
    <cellStyle name="Normal 21 4 8 4" xfId="30612" xr:uid="{00000000-0005-0000-0000-0000A1740000}"/>
    <cellStyle name="Normal 21 4 8 5" xfId="30613" xr:uid="{00000000-0005-0000-0000-0000A2740000}"/>
    <cellStyle name="Normal 21 4 8 6" xfId="30614" xr:uid="{00000000-0005-0000-0000-0000A3740000}"/>
    <cellStyle name="Normal 21 4 9" xfId="30615" xr:uid="{00000000-0005-0000-0000-0000A4740000}"/>
    <cellStyle name="Normal 21 5" xfId="30616" xr:uid="{00000000-0005-0000-0000-0000A5740000}"/>
    <cellStyle name="Normal 21 5 10" xfId="30617" xr:uid="{00000000-0005-0000-0000-0000A6740000}"/>
    <cellStyle name="Normal 21 5 11" xfId="30618" xr:uid="{00000000-0005-0000-0000-0000A7740000}"/>
    <cellStyle name="Normal 21 5 12" xfId="30619" xr:uid="{00000000-0005-0000-0000-0000A8740000}"/>
    <cellStyle name="Normal 21 5 13" xfId="30620" xr:uid="{00000000-0005-0000-0000-0000A9740000}"/>
    <cellStyle name="Normal 21 5 2" xfId="30621" xr:uid="{00000000-0005-0000-0000-0000AA740000}"/>
    <cellStyle name="Normal 21 5 2 2" xfId="30622" xr:uid="{00000000-0005-0000-0000-0000AB740000}"/>
    <cellStyle name="Normal 21 5 2 3" xfId="30623" xr:uid="{00000000-0005-0000-0000-0000AC740000}"/>
    <cellStyle name="Normal 21 5 2 4" xfId="30624" xr:uid="{00000000-0005-0000-0000-0000AD740000}"/>
    <cellStyle name="Normal 21 5 2 5" xfId="30625" xr:uid="{00000000-0005-0000-0000-0000AE740000}"/>
    <cellStyle name="Normal 21 5 2 6" xfId="30626" xr:uid="{00000000-0005-0000-0000-0000AF740000}"/>
    <cellStyle name="Normal 21 5 3" xfId="30627" xr:uid="{00000000-0005-0000-0000-0000B0740000}"/>
    <cellStyle name="Normal 21 5 3 2" xfId="30628" xr:uid="{00000000-0005-0000-0000-0000B1740000}"/>
    <cellStyle name="Normal 21 5 3 3" xfId="30629" xr:uid="{00000000-0005-0000-0000-0000B2740000}"/>
    <cellStyle name="Normal 21 5 3 4" xfId="30630" xr:uid="{00000000-0005-0000-0000-0000B3740000}"/>
    <cellStyle name="Normal 21 5 3 5" xfId="30631" xr:uid="{00000000-0005-0000-0000-0000B4740000}"/>
    <cellStyle name="Normal 21 5 3 6" xfId="30632" xr:uid="{00000000-0005-0000-0000-0000B5740000}"/>
    <cellStyle name="Normal 21 5 4" xfId="30633" xr:uid="{00000000-0005-0000-0000-0000B6740000}"/>
    <cellStyle name="Normal 21 5 4 2" xfId="30634" xr:uid="{00000000-0005-0000-0000-0000B7740000}"/>
    <cellStyle name="Normal 21 5 4 3" xfId="30635" xr:uid="{00000000-0005-0000-0000-0000B8740000}"/>
    <cellStyle name="Normal 21 5 4 4" xfId="30636" xr:uid="{00000000-0005-0000-0000-0000B9740000}"/>
    <cellStyle name="Normal 21 5 4 5" xfId="30637" xr:uid="{00000000-0005-0000-0000-0000BA740000}"/>
    <cellStyle name="Normal 21 5 4 6" xfId="30638" xr:uid="{00000000-0005-0000-0000-0000BB740000}"/>
    <cellStyle name="Normal 21 5 5" xfId="30639" xr:uid="{00000000-0005-0000-0000-0000BC740000}"/>
    <cellStyle name="Normal 21 5 5 2" xfId="30640" xr:uid="{00000000-0005-0000-0000-0000BD740000}"/>
    <cellStyle name="Normal 21 5 5 3" xfId="30641" xr:uid="{00000000-0005-0000-0000-0000BE740000}"/>
    <cellStyle name="Normal 21 5 5 4" xfId="30642" xr:uid="{00000000-0005-0000-0000-0000BF740000}"/>
    <cellStyle name="Normal 21 5 5 5" xfId="30643" xr:uid="{00000000-0005-0000-0000-0000C0740000}"/>
    <cellStyle name="Normal 21 5 5 6" xfId="30644" xr:uid="{00000000-0005-0000-0000-0000C1740000}"/>
    <cellStyle name="Normal 21 5 6" xfId="30645" xr:uid="{00000000-0005-0000-0000-0000C2740000}"/>
    <cellStyle name="Normal 21 5 6 2" xfId="30646" xr:uid="{00000000-0005-0000-0000-0000C3740000}"/>
    <cellStyle name="Normal 21 5 6 3" xfId="30647" xr:uid="{00000000-0005-0000-0000-0000C4740000}"/>
    <cellStyle name="Normal 21 5 6 4" xfId="30648" xr:uid="{00000000-0005-0000-0000-0000C5740000}"/>
    <cellStyle name="Normal 21 5 6 5" xfId="30649" xr:uid="{00000000-0005-0000-0000-0000C6740000}"/>
    <cellStyle name="Normal 21 5 6 6" xfId="30650" xr:uid="{00000000-0005-0000-0000-0000C7740000}"/>
    <cellStyle name="Normal 21 5 7" xfId="30651" xr:uid="{00000000-0005-0000-0000-0000C8740000}"/>
    <cellStyle name="Normal 21 5 7 2" xfId="30652" xr:uid="{00000000-0005-0000-0000-0000C9740000}"/>
    <cellStyle name="Normal 21 5 7 3" xfId="30653" xr:uid="{00000000-0005-0000-0000-0000CA740000}"/>
    <cellStyle name="Normal 21 5 7 4" xfId="30654" xr:uid="{00000000-0005-0000-0000-0000CB740000}"/>
    <cellStyle name="Normal 21 5 7 5" xfId="30655" xr:uid="{00000000-0005-0000-0000-0000CC740000}"/>
    <cellStyle name="Normal 21 5 7 6" xfId="30656" xr:uid="{00000000-0005-0000-0000-0000CD740000}"/>
    <cellStyle name="Normal 21 5 8" xfId="30657" xr:uid="{00000000-0005-0000-0000-0000CE740000}"/>
    <cellStyle name="Normal 21 5 8 2" xfId="30658" xr:uid="{00000000-0005-0000-0000-0000CF740000}"/>
    <cellStyle name="Normal 21 5 8 3" xfId="30659" xr:uid="{00000000-0005-0000-0000-0000D0740000}"/>
    <cellStyle name="Normal 21 5 8 4" xfId="30660" xr:uid="{00000000-0005-0000-0000-0000D1740000}"/>
    <cellStyle name="Normal 21 5 8 5" xfId="30661" xr:uid="{00000000-0005-0000-0000-0000D2740000}"/>
    <cellStyle name="Normal 21 5 8 6" xfId="30662" xr:uid="{00000000-0005-0000-0000-0000D3740000}"/>
    <cellStyle name="Normal 21 5 9" xfId="30663" xr:uid="{00000000-0005-0000-0000-0000D4740000}"/>
    <cellStyle name="Normal 21 6" xfId="30664" xr:uid="{00000000-0005-0000-0000-0000D5740000}"/>
    <cellStyle name="Normal 21 6 10" xfId="30665" xr:uid="{00000000-0005-0000-0000-0000D6740000}"/>
    <cellStyle name="Normal 21 6 11" xfId="30666" xr:uid="{00000000-0005-0000-0000-0000D7740000}"/>
    <cellStyle name="Normal 21 6 12" xfId="30667" xr:uid="{00000000-0005-0000-0000-0000D8740000}"/>
    <cellStyle name="Normal 21 6 13" xfId="30668" xr:uid="{00000000-0005-0000-0000-0000D9740000}"/>
    <cellStyle name="Normal 21 6 2" xfId="30669" xr:uid="{00000000-0005-0000-0000-0000DA740000}"/>
    <cellStyle name="Normal 21 6 2 2" xfId="30670" xr:uid="{00000000-0005-0000-0000-0000DB740000}"/>
    <cellStyle name="Normal 21 6 2 3" xfId="30671" xr:uid="{00000000-0005-0000-0000-0000DC740000}"/>
    <cellStyle name="Normal 21 6 2 4" xfId="30672" xr:uid="{00000000-0005-0000-0000-0000DD740000}"/>
    <cellStyle name="Normal 21 6 2 5" xfId="30673" xr:uid="{00000000-0005-0000-0000-0000DE740000}"/>
    <cellStyle name="Normal 21 6 2 6" xfId="30674" xr:uid="{00000000-0005-0000-0000-0000DF740000}"/>
    <cellStyle name="Normal 21 6 3" xfId="30675" xr:uid="{00000000-0005-0000-0000-0000E0740000}"/>
    <cellStyle name="Normal 21 6 3 2" xfId="30676" xr:uid="{00000000-0005-0000-0000-0000E1740000}"/>
    <cellStyle name="Normal 21 6 3 3" xfId="30677" xr:uid="{00000000-0005-0000-0000-0000E2740000}"/>
    <cellStyle name="Normal 21 6 3 4" xfId="30678" xr:uid="{00000000-0005-0000-0000-0000E3740000}"/>
    <cellStyle name="Normal 21 6 3 5" xfId="30679" xr:uid="{00000000-0005-0000-0000-0000E4740000}"/>
    <cellStyle name="Normal 21 6 3 6" xfId="30680" xr:uid="{00000000-0005-0000-0000-0000E5740000}"/>
    <cellStyle name="Normal 21 6 4" xfId="30681" xr:uid="{00000000-0005-0000-0000-0000E6740000}"/>
    <cellStyle name="Normal 21 6 4 2" xfId="30682" xr:uid="{00000000-0005-0000-0000-0000E7740000}"/>
    <cellStyle name="Normal 21 6 4 3" xfId="30683" xr:uid="{00000000-0005-0000-0000-0000E8740000}"/>
    <cellStyle name="Normal 21 6 4 4" xfId="30684" xr:uid="{00000000-0005-0000-0000-0000E9740000}"/>
    <cellStyle name="Normal 21 6 4 5" xfId="30685" xr:uid="{00000000-0005-0000-0000-0000EA740000}"/>
    <cellStyle name="Normal 21 6 4 6" xfId="30686" xr:uid="{00000000-0005-0000-0000-0000EB740000}"/>
    <cellStyle name="Normal 21 6 5" xfId="30687" xr:uid="{00000000-0005-0000-0000-0000EC740000}"/>
    <cellStyle name="Normal 21 6 5 2" xfId="30688" xr:uid="{00000000-0005-0000-0000-0000ED740000}"/>
    <cellStyle name="Normal 21 6 5 3" xfId="30689" xr:uid="{00000000-0005-0000-0000-0000EE740000}"/>
    <cellStyle name="Normal 21 6 5 4" xfId="30690" xr:uid="{00000000-0005-0000-0000-0000EF740000}"/>
    <cellStyle name="Normal 21 6 5 5" xfId="30691" xr:uid="{00000000-0005-0000-0000-0000F0740000}"/>
    <cellStyle name="Normal 21 6 5 6" xfId="30692" xr:uid="{00000000-0005-0000-0000-0000F1740000}"/>
    <cellStyle name="Normal 21 6 6" xfId="30693" xr:uid="{00000000-0005-0000-0000-0000F2740000}"/>
    <cellStyle name="Normal 21 6 6 2" xfId="30694" xr:uid="{00000000-0005-0000-0000-0000F3740000}"/>
    <cellStyle name="Normal 21 6 6 3" xfId="30695" xr:uid="{00000000-0005-0000-0000-0000F4740000}"/>
    <cellStyle name="Normal 21 6 6 4" xfId="30696" xr:uid="{00000000-0005-0000-0000-0000F5740000}"/>
    <cellStyle name="Normal 21 6 6 5" xfId="30697" xr:uid="{00000000-0005-0000-0000-0000F6740000}"/>
    <cellStyle name="Normal 21 6 6 6" xfId="30698" xr:uid="{00000000-0005-0000-0000-0000F7740000}"/>
    <cellStyle name="Normal 21 6 7" xfId="30699" xr:uid="{00000000-0005-0000-0000-0000F8740000}"/>
    <cellStyle name="Normal 21 6 7 2" xfId="30700" xr:uid="{00000000-0005-0000-0000-0000F9740000}"/>
    <cellStyle name="Normal 21 6 7 3" xfId="30701" xr:uid="{00000000-0005-0000-0000-0000FA740000}"/>
    <cellStyle name="Normal 21 6 7 4" xfId="30702" xr:uid="{00000000-0005-0000-0000-0000FB740000}"/>
    <cellStyle name="Normal 21 6 7 5" xfId="30703" xr:uid="{00000000-0005-0000-0000-0000FC740000}"/>
    <cellStyle name="Normal 21 6 7 6" xfId="30704" xr:uid="{00000000-0005-0000-0000-0000FD740000}"/>
    <cellStyle name="Normal 21 6 8" xfId="30705" xr:uid="{00000000-0005-0000-0000-0000FE740000}"/>
    <cellStyle name="Normal 21 6 8 2" xfId="30706" xr:uid="{00000000-0005-0000-0000-0000FF740000}"/>
    <cellStyle name="Normal 21 6 8 3" xfId="30707" xr:uid="{00000000-0005-0000-0000-000000750000}"/>
    <cellStyle name="Normal 21 6 8 4" xfId="30708" xr:uid="{00000000-0005-0000-0000-000001750000}"/>
    <cellStyle name="Normal 21 6 8 5" xfId="30709" xr:uid="{00000000-0005-0000-0000-000002750000}"/>
    <cellStyle name="Normal 21 6 8 6" xfId="30710" xr:uid="{00000000-0005-0000-0000-000003750000}"/>
    <cellStyle name="Normal 21 6 9" xfId="30711" xr:uid="{00000000-0005-0000-0000-000004750000}"/>
    <cellStyle name="Normal 21 7" xfId="30712" xr:uid="{00000000-0005-0000-0000-000005750000}"/>
    <cellStyle name="Normal 21 7 10" xfId="30713" xr:uid="{00000000-0005-0000-0000-000006750000}"/>
    <cellStyle name="Normal 21 7 11" xfId="30714" xr:uid="{00000000-0005-0000-0000-000007750000}"/>
    <cellStyle name="Normal 21 7 12" xfId="30715" xr:uid="{00000000-0005-0000-0000-000008750000}"/>
    <cellStyle name="Normal 21 7 13" xfId="30716" xr:uid="{00000000-0005-0000-0000-000009750000}"/>
    <cellStyle name="Normal 21 7 2" xfId="30717" xr:uid="{00000000-0005-0000-0000-00000A750000}"/>
    <cellStyle name="Normal 21 7 2 2" xfId="30718" xr:uid="{00000000-0005-0000-0000-00000B750000}"/>
    <cellStyle name="Normal 21 7 2 3" xfId="30719" xr:uid="{00000000-0005-0000-0000-00000C750000}"/>
    <cellStyle name="Normal 21 7 2 4" xfId="30720" xr:uid="{00000000-0005-0000-0000-00000D750000}"/>
    <cellStyle name="Normal 21 7 2 5" xfId="30721" xr:uid="{00000000-0005-0000-0000-00000E750000}"/>
    <cellStyle name="Normal 21 7 2 6" xfId="30722" xr:uid="{00000000-0005-0000-0000-00000F750000}"/>
    <cellStyle name="Normal 21 7 3" xfId="30723" xr:uid="{00000000-0005-0000-0000-000010750000}"/>
    <cellStyle name="Normal 21 7 3 2" xfId="30724" xr:uid="{00000000-0005-0000-0000-000011750000}"/>
    <cellStyle name="Normal 21 7 3 3" xfId="30725" xr:uid="{00000000-0005-0000-0000-000012750000}"/>
    <cellStyle name="Normal 21 7 3 4" xfId="30726" xr:uid="{00000000-0005-0000-0000-000013750000}"/>
    <cellStyle name="Normal 21 7 3 5" xfId="30727" xr:uid="{00000000-0005-0000-0000-000014750000}"/>
    <cellStyle name="Normal 21 7 3 6" xfId="30728" xr:uid="{00000000-0005-0000-0000-000015750000}"/>
    <cellStyle name="Normal 21 7 4" xfId="30729" xr:uid="{00000000-0005-0000-0000-000016750000}"/>
    <cellStyle name="Normal 21 7 4 2" xfId="30730" xr:uid="{00000000-0005-0000-0000-000017750000}"/>
    <cellStyle name="Normal 21 7 4 3" xfId="30731" xr:uid="{00000000-0005-0000-0000-000018750000}"/>
    <cellStyle name="Normal 21 7 4 4" xfId="30732" xr:uid="{00000000-0005-0000-0000-000019750000}"/>
    <cellStyle name="Normal 21 7 4 5" xfId="30733" xr:uid="{00000000-0005-0000-0000-00001A750000}"/>
    <cellStyle name="Normal 21 7 4 6" xfId="30734" xr:uid="{00000000-0005-0000-0000-00001B750000}"/>
    <cellStyle name="Normal 21 7 5" xfId="30735" xr:uid="{00000000-0005-0000-0000-00001C750000}"/>
    <cellStyle name="Normal 21 7 5 2" xfId="30736" xr:uid="{00000000-0005-0000-0000-00001D750000}"/>
    <cellStyle name="Normal 21 7 5 3" xfId="30737" xr:uid="{00000000-0005-0000-0000-00001E750000}"/>
    <cellStyle name="Normal 21 7 5 4" xfId="30738" xr:uid="{00000000-0005-0000-0000-00001F750000}"/>
    <cellStyle name="Normal 21 7 5 5" xfId="30739" xr:uid="{00000000-0005-0000-0000-000020750000}"/>
    <cellStyle name="Normal 21 7 5 6" xfId="30740" xr:uid="{00000000-0005-0000-0000-000021750000}"/>
    <cellStyle name="Normal 21 7 6" xfId="30741" xr:uid="{00000000-0005-0000-0000-000022750000}"/>
    <cellStyle name="Normal 21 7 6 2" xfId="30742" xr:uid="{00000000-0005-0000-0000-000023750000}"/>
    <cellStyle name="Normal 21 7 6 3" xfId="30743" xr:uid="{00000000-0005-0000-0000-000024750000}"/>
    <cellStyle name="Normal 21 7 6 4" xfId="30744" xr:uid="{00000000-0005-0000-0000-000025750000}"/>
    <cellStyle name="Normal 21 7 6 5" xfId="30745" xr:uid="{00000000-0005-0000-0000-000026750000}"/>
    <cellStyle name="Normal 21 7 6 6" xfId="30746" xr:uid="{00000000-0005-0000-0000-000027750000}"/>
    <cellStyle name="Normal 21 7 7" xfId="30747" xr:uid="{00000000-0005-0000-0000-000028750000}"/>
    <cellStyle name="Normal 21 7 7 2" xfId="30748" xr:uid="{00000000-0005-0000-0000-000029750000}"/>
    <cellStyle name="Normal 21 7 7 3" xfId="30749" xr:uid="{00000000-0005-0000-0000-00002A750000}"/>
    <cellStyle name="Normal 21 7 7 4" xfId="30750" xr:uid="{00000000-0005-0000-0000-00002B750000}"/>
    <cellStyle name="Normal 21 7 7 5" xfId="30751" xr:uid="{00000000-0005-0000-0000-00002C750000}"/>
    <cellStyle name="Normal 21 7 7 6" xfId="30752" xr:uid="{00000000-0005-0000-0000-00002D750000}"/>
    <cellStyle name="Normal 21 7 8" xfId="30753" xr:uid="{00000000-0005-0000-0000-00002E750000}"/>
    <cellStyle name="Normal 21 7 8 2" xfId="30754" xr:uid="{00000000-0005-0000-0000-00002F750000}"/>
    <cellStyle name="Normal 21 7 8 3" xfId="30755" xr:uid="{00000000-0005-0000-0000-000030750000}"/>
    <cellStyle name="Normal 21 7 8 4" xfId="30756" xr:uid="{00000000-0005-0000-0000-000031750000}"/>
    <cellStyle name="Normal 21 7 8 5" xfId="30757" xr:uid="{00000000-0005-0000-0000-000032750000}"/>
    <cellStyle name="Normal 21 7 8 6" xfId="30758" xr:uid="{00000000-0005-0000-0000-000033750000}"/>
    <cellStyle name="Normal 21 7 9" xfId="30759" xr:uid="{00000000-0005-0000-0000-000034750000}"/>
    <cellStyle name="Normal 21 8" xfId="30760" xr:uid="{00000000-0005-0000-0000-000035750000}"/>
    <cellStyle name="Normal 21 8 10" xfId="30761" xr:uid="{00000000-0005-0000-0000-000036750000}"/>
    <cellStyle name="Normal 21 8 11" xfId="30762" xr:uid="{00000000-0005-0000-0000-000037750000}"/>
    <cellStyle name="Normal 21 8 12" xfId="30763" xr:uid="{00000000-0005-0000-0000-000038750000}"/>
    <cellStyle name="Normal 21 8 13" xfId="30764" xr:uid="{00000000-0005-0000-0000-000039750000}"/>
    <cellStyle name="Normal 21 8 2" xfId="30765" xr:uid="{00000000-0005-0000-0000-00003A750000}"/>
    <cellStyle name="Normal 21 8 2 2" xfId="30766" xr:uid="{00000000-0005-0000-0000-00003B750000}"/>
    <cellStyle name="Normal 21 8 2 3" xfId="30767" xr:uid="{00000000-0005-0000-0000-00003C750000}"/>
    <cellStyle name="Normal 21 8 2 4" xfId="30768" xr:uid="{00000000-0005-0000-0000-00003D750000}"/>
    <cellStyle name="Normal 21 8 2 5" xfId="30769" xr:uid="{00000000-0005-0000-0000-00003E750000}"/>
    <cellStyle name="Normal 21 8 2 6" xfId="30770" xr:uid="{00000000-0005-0000-0000-00003F750000}"/>
    <cellStyle name="Normal 21 8 3" xfId="30771" xr:uid="{00000000-0005-0000-0000-000040750000}"/>
    <cellStyle name="Normal 21 8 3 2" xfId="30772" xr:uid="{00000000-0005-0000-0000-000041750000}"/>
    <cellStyle name="Normal 21 8 3 3" xfId="30773" xr:uid="{00000000-0005-0000-0000-000042750000}"/>
    <cellStyle name="Normal 21 8 3 4" xfId="30774" xr:uid="{00000000-0005-0000-0000-000043750000}"/>
    <cellStyle name="Normal 21 8 3 5" xfId="30775" xr:uid="{00000000-0005-0000-0000-000044750000}"/>
    <cellStyle name="Normal 21 8 3 6" xfId="30776" xr:uid="{00000000-0005-0000-0000-000045750000}"/>
    <cellStyle name="Normal 21 8 4" xfId="30777" xr:uid="{00000000-0005-0000-0000-000046750000}"/>
    <cellStyle name="Normal 21 8 4 2" xfId="30778" xr:uid="{00000000-0005-0000-0000-000047750000}"/>
    <cellStyle name="Normal 21 8 4 3" xfId="30779" xr:uid="{00000000-0005-0000-0000-000048750000}"/>
    <cellStyle name="Normal 21 8 4 4" xfId="30780" xr:uid="{00000000-0005-0000-0000-000049750000}"/>
    <cellStyle name="Normal 21 8 4 5" xfId="30781" xr:uid="{00000000-0005-0000-0000-00004A750000}"/>
    <cellStyle name="Normal 21 8 4 6" xfId="30782" xr:uid="{00000000-0005-0000-0000-00004B750000}"/>
    <cellStyle name="Normal 21 8 5" xfId="30783" xr:uid="{00000000-0005-0000-0000-00004C750000}"/>
    <cellStyle name="Normal 21 8 5 2" xfId="30784" xr:uid="{00000000-0005-0000-0000-00004D750000}"/>
    <cellStyle name="Normal 21 8 5 3" xfId="30785" xr:uid="{00000000-0005-0000-0000-00004E750000}"/>
    <cellStyle name="Normal 21 8 5 4" xfId="30786" xr:uid="{00000000-0005-0000-0000-00004F750000}"/>
    <cellStyle name="Normal 21 8 5 5" xfId="30787" xr:uid="{00000000-0005-0000-0000-000050750000}"/>
    <cellStyle name="Normal 21 8 5 6" xfId="30788" xr:uid="{00000000-0005-0000-0000-000051750000}"/>
    <cellStyle name="Normal 21 8 6" xfId="30789" xr:uid="{00000000-0005-0000-0000-000052750000}"/>
    <cellStyle name="Normal 21 8 6 2" xfId="30790" xr:uid="{00000000-0005-0000-0000-000053750000}"/>
    <cellStyle name="Normal 21 8 6 3" xfId="30791" xr:uid="{00000000-0005-0000-0000-000054750000}"/>
    <cellStyle name="Normal 21 8 6 4" xfId="30792" xr:uid="{00000000-0005-0000-0000-000055750000}"/>
    <cellStyle name="Normal 21 8 6 5" xfId="30793" xr:uid="{00000000-0005-0000-0000-000056750000}"/>
    <cellStyle name="Normal 21 8 6 6" xfId="30794" xr:uid="{00000000-0005-0000-0000-000057750000}"/>
    <cellStyle name="Normal 21 8 7" xfId="30795" xr:uid="{00000000-0005-0000-0000-000058750000}"/>
    <cellStyle name="Normal 21 8 7 2" xfId="30796" xr:uid="{00000000-0005-0000-0000-000059750000}"/>
    <cellStyle name="Normal 21 8 7 3" xfId="30797" xr:uid="{00000000-0005-0000-0000-00005A750000}"/>
    <cellStyle name="Normal 21 8 7 4" xfId="30798" xr:uid="{00000000-0005-0000-0000-00005B750000}"/>
    <cellStyle name="Normal 21 8 7 5" xfId="30799" xr:uid="{00000000-0005-0000-0000-00005C750000}"/>
    <cellStyle name="Normal 21 8 7 6" xfId="30800" xr:uid="{00000000-0005-0000-0000-00005D750000}"/>
    <cellStyle name="Normal 21 8 8" xfId="30801" xr:uid="{00000000-0005-0000-0000-00005E750000}"/>
    <cellStyle name="Normal 21 8 8 2" xfId="30802" xr:uid="{00000000-0005-0000-0000-00005F750000}"/>
    <cellStyle name="Normal 21 8 8 3" xfId="30803" xr:uid="{00000000-0005-0000-0000-000060750000}"/>
    <cellStyle name="Normal 21 8 8 4" xfId="30804" xr:uid="{00000000-0005-0000-0000-000061750000}"/>
    <cellStyle name="Normal 21 8 8 5" xfId="30805" xr:uid="{00000000-0005-0000-0000-000062750000}"/>
    <cellStyle name="Normal 21 8 8 6" xfId="30806" xr:uid="{00000000-0005-0000-0000-000063750000}"/>
    <cellStyle name="Normal 21 8 9" xfId="30807" xr:uid="{00000000-0005-0000-0000-000064750000}"/>
    <cellStyle name="Normal 21 9" xfId="30808" xr:uid="{00000000-0005-0000-0000-000065750000}"/>
    <cellStyle name="Normal 21 9 10" xfId="30809" xr:uid="{00000000-0005-0000-0000-000066750000}"/>
    <cellStyle name="Normal 21 9 11" xfId="30810" xr:uid="{00000000-0005-0000-0000-000067750000}"/>
    <cellStyle name="Normal 21 9 12" xfId="30811" xr:uid="{00000000-0005-0000-0000-000068750000}"/>
    <cellStyle name="Normal 21 9 13" xfId="30812" xr:uid="{00000000-0005-0000-0000-000069750000}"/>
    <cellStyle name="Normal 21 9 2" xfId="30813" xr:uid="{00000000-0005-0000-0000-00006A750000}"/>
    <cellStyle name="Normal 21 9 2 2" xfId="30814" xr:uid="{00000000-0005-0000-0000-00006B750000}"/>
    <cellStyle name="Normal 21 9 2 3" xfId="30815" xr:uid="{00000000-0005-0000-0000-00006C750000}"/>
    <cellStyle name="Normal 21 9 2 4" xfId="30816" xr:uid="{00000000-0005-0000-0000-00006D750000}"/>
    <cellStyle name="Normal 21 9 2 5" xfId="30817" xr:uid="{00000000-0005-0000-0000-00006E750000}"/>
    <cellStyle name="Normal 21 9 2 6" xfId="30818" xr:uid="{00000000-0005-0000-0000-00006F750000}"/>
    <cellStyle name="Normal 21 9 3" xfId="30819" xr:uid="{00000000-0005-0000-0000-000070750000}"/>
    <cellStyle name="Normal 21 9 3 2" xfId="30820" xr:uid="{00000000-0005-0000-0000-000071750000}"/>
    <cellStyle name="Normal 21 9 3 3" xfId="30821" xr:uid="{00000000-0005-0000-0000-000072750000}"/>
    <cellStyle name="Normal 21 9 3 4" xfId="30822" xr:uid="{00000000-0005-0000-0000-000073750000}"/>
    <cellStyle name="Normal 21 9 3 5" xfId="30823" xr:uid="{00000000-0005-0000-0000-000074750000}"/>
    <cellStyle name="Normal 21 9 3 6" xfId="30824" xr:uid="{00000000-0005-0000-0000-000075750000}"/>
    <cellStyle name="Normal 21 9 4" xfId="30825" xr:uid="{00000000-0005-0000-0000-000076750000}"/>
    <cellStyle name="Normal 21 9 4 2" xfId="30826" xr:uid="{00000000-0005-0000-0000-000077750000}"/>
    <cellStyle name="Normal 21 9 4 3" xfId="30827" xr:uid="{00000000-0005-0000-0000-000078750000}"/>
    <cellStyle name="Normal 21 9 4 4" xfId="30828" xr:uid="{00000000-0005-0000-0000-000079750000}"/>
    <cellStyle name="Normal 21 9 4 5" xfId="30829" xr:uid="{00000000-0005-0000-0000-00007A750000}"/>
    <cellStyle name="Normal 21 9 4 6" xfId="30830" xr:uid="{00000000-0005-0000-0000-00007B750000}"/>
    <cellStyle name="Normal 21 9 5" xfId="30831" xr:uid="{00000000-0005-0000-0000-00007C750000}"/>
    <cellStyle name="Normal 21 9 5 2" xfId="30832" xr:uid="{00000000-0005-0000-0000-00007D750000}"/>
    <cellStyle name="Normal 21 9 5 3" xfId="30833" xr:uid="{00000000-0005-0000-0000-00007E750000}"/>
    <cellStyle name="Normal 21 9 5 4" xfId="30834" xr:uid="{00000000-0005-0000-0000-00007F750000}"/>
    <cellStyle name="Normal 21 9 5 5" xfId="30835" xr:uid="{00000000-0005-0000-0000-000080750000}"/>
    <cellStyle name="Normal 21 9 5 6" xfId="30836" xr:uid="{00000000-0005-0000-0000-000081750000}"/>
    <cellStyle name="Normal 21 9 6" xfId="30837" xr:uid="{00000000-0005-0000-0000-000082750000}"/>
    <cellStyle name="Normal 21 9 6 2" xfId="30838" xr:uid="{00000000-0005-0000-0000-000083750000}"/>
    <cellStyle name="Normal 21 9 6 3" xfId="30839" xr:uid="{00000000-0005-0000-0000-000084750000}"/>
    <cellStyle name="Normal 21 9 6 4" xfId="30840" xr:uid="{00000000-0005-0000-0000-000085750000}"/>
    <cellStyle name="Normal 21 9 6 5" xfId="30841" xr:uid="{00000000-0005-0000-0000-000086750000}"/>
    <cellStyle name="Normal 21 9 6 6" xfId="30842" xr:uid="{00000000-0005-0000-0000-000087750000}"/>
    <cellStyle name="Normal 21 9 7" xfId="30843" xr:uid="{00000000-0005-0000-0000-000088750000}"/>
    <cellStyle name="Normal 21 9 7 2" xfId="30844" xr:uid="{00000000-0005-0000-0000-000089750000}"/>
    <cellStyle name="Normal 21 9 7 3" xfId="30845" xr:uid="{00000000-0005-0000-0000-00008A750000}"/>
    <cellStyle name="Normal 21 9 7 4" xfId="30846" xr:uid="{00000000-0005-0000-0000-00008B750000}"/>
    <cellStyle name="Normal 21 9 7 5" xfId="30847" xr:uid="{00000000-0005-0000-0000-00008C750000}"/>
    <cellStyle name="Normal 21 9 7 6" xfId="30848" xr:uid="{00000000-0005-0000-0000-00008D750000}"/>
    <cellStyle name="Normal 21 9 8" xfId="30849" xr:uid="{00000000-0005-0000-0000-00008E750000}"/>
    <cellStyle name="Normal 21 9 8 2" xfId="30850" xr:uid="{00000000-0005-0000-0000-00008F750000}"/>
    <cellStyle name="Normal 21 9 8 3" xfId="30851" xr:uid="{00000000-0005-0000-0000-000090750000}"/>
    <cellStyle name="Normal 21 9 8 4" xfId="30852" xr:uid="{00000000-0005-0000-0000-000091750000}"/>
    <cellStyle name="Normal 21 9 8 5" xfId="30853" xr:uid="{00000000-0005-0000-0000-000092750000}"/>
    <cellStyle name="Normal 21 9 8 6" xfId="30854" xr:uid="{00000000-0005-0000-0000-000093750000}"/>
    <cellStyle name="Normal 21 9 9" xfId="30855" xr:uid="{00000000-0005-0000-0000-000094750000}"/>
    <cellStyle name="Normal 22" xfId="1063" xr:uid="{00000000-0005-0000-0000-000095750000}"/>
    <cellStyle name="Normal 22 10" xfId="30856" xr:uid="{00000000-0005-0000-0000-000096750000}"/>
    <cellStyle name="Normal 22 11" xfId="30857" xr:uid="{00000000-0005-0000-0000-000097750000}"/>
    <cellStyle name="Normal 22 12" xfId="30858" xr:uid="{00000000-0005-0000-0000-000098750000}"/>
    <cellStyle name="Normal 22 13" xfId="30859" xr:uid="{00000000-0005-0000-0000-000099750000}"/>
    <cellStyle name="Normal 22 14" xfId="30860" xr:uid="{00000000-0005-0000-0000-00009A750000}"/>
    <cellStyle name="Normal 22 15" xfId="30861" xr:uid="{00000000-0005-0000-0000-00009B750000}"/>
    <cellStyle name="Normal 22 16" xfId="30862" xr:uid="{00000000-0005-0000-0000-00009C750000}"/>
    <cellStyle name="Normal 22 17" xfId="30863" xr:uid="{00000000-0005-0000-0000-00009D750000}"/>
    <cellStyle name="Normal 22 18" xfId="30864" xr:uid="{00000000-0005-0000-0000-00009E750000}"/>
    <cellStyle name="Normal 22 19" xfId="30865" xr:uid="{00000000-0005-0000-0000-00009F750000}"/>
    <cellStyle name="Normal 22 2" xfId="30866" xr:uid="{00000000-0005-0000-0000-0000A0750000}"/>
    <cellStyle name="Normal 22 20" xfId="30867" xr:uid="{00000000-0005-0000-0000-0000A1750000}"/>
    <cellStyle name="Normal 22 21" xfId="30868" xr:uid="{00000000-0005-0000-0000-0000A2750000}"/>
    <cellStyle name="Normal 22 22" xfId="30869" xr:uid="{00000000-0005-0000-0000-0000A3750000}"/>
    <cellStyle name="Normal 22 23" xfId="30870" xr:uid="{00000000-0005-0000-0000-0000A4750000}"/>
    <cellStyle name="Normal 22 24" xfId="30871" xr:uid="{00000000-0005-0000-0000-0000A5750000}"/>
    <cellStyle name="Normal 22 25" xfId="30872" xr:uid="{00000000-0005-0000-0000-0000A6750000}"/>
    <cellStyle name="Normal 22 26" xfId="30873" xr:uid="{00000000-0005-0000-0000-0000A7750000}"/>
    <cellStyle name="Normal 22 27" xfId="30874" xr:uid="{00000000-0005-0000-0000-0000A8750000}"/>
    <cellStyle name="Normal 22 28" xfId="30875" xr:uid="{00000000-0005-0000-0000-0000A9750000}"/>
    <cellStyle name="Normal 22 29" xfId="30876" xr:uid="{00000000-0005-0000-0000-0000AA750000}"/>
    <cellStyle name="Normal 22 3" xfId="30877" xr:uid="{00000000-0005-0000-0000-0000AB750000}"/>
    <cellStyle name="Normal 22 30" xfId="30878" xr:uid="{00000000-0005-0000-0000-0000AC750000}"/>
    <cellStyle name="Normal 22 31" xfId="30879" xr:uid="{00000000-0005-0000-0000-0000AD750000}"/>
    <cellStyle name="Normal 22 32" xfId="30880" xr:uid="{00000000-0005-0000-0000-0000AE750000}"/>
    <cellStyle name="Normal 22 33" xfId="30881" xr:uid="{00000000-0005-0000-0000-0000AF750000}"/>
    <cellStyle name="Normal 22 34" xfId="30882" xr:uid="{00000000-0005-0000-0000-0000B0750000}"/>
    <cellStyle name="Normal 22 35" xfId="30883" xr:uid="{00000000-0005-0000-0000-0000B1750000}"/>
    <cellStyle name="Normal 22 36" xfId="30884" xr:uid="{00000000-0005-0000-0000-0000B2750000}"/>
    <cellStyle name="Normal 22 37" xfId="30885" xr:uid="{00000000-0005-0000-0000-0000B3750000}"/>
    <cellStyle name="Normal 22 38" xfId="30886" xr:uid="{00000000-0005-0000-0000-0000B4750000}"/>
    <cellStyle name="Normal 22 39" xfId="30887" xr:uid="{00000000-0005-0000-0000-0000B5750000}"/>
    <cellStyle name="Normal 22 4" xfId="30888" xr:uid="{00000000-0005-0000-0000-0000B6750000}"/>
    <cellStyle name="Normal 22 40" xfId="30889" xr:uid="{00000000-0005-0000-0000-0000B7750000}"/>
    <cellStyle name="Normal 22 41" xfId="30890" xr:uid="{00000000-0005-0000-0000-0000B8750000}"/>
    <cellStyle name="Normal 22 42" xfId="30891" xr:uid="{00000000-0005-0000-0000-0000B9750000}"/>
    <cellStyle name="Normal 22 43" xfId="30892" xr:uid="{00000000-0005-0000-0000-0000BA750000}"/>
    <cellStyle name="Normal 22 5" xfId="30893" xr:uid="{00000000-0005-0000-0000-0000BB750000}"/>
    <cellStyle name="Normal 22 6" xfId="30894" xr:uid="{00000000-0005-0000-0000-0000BC750000}"/>
    <cellStyle name="Normal 22 7" xfId="30895" xr:uid="{00000000-0005-0000-0000-0000BD750000}"/>
    <cellStyle name="Normal 22 8" xfId="30896" xr:uid="{00000000-0005-0000-0000-0000BE750000}"/>
    <cellStyle name="Normal 22 9" xfId="30897" xr:uid="{00000000-0005-0000-0000-0000BF750000}"/>
    <cellStyle name="Normal 23" xfId="1064" xr:uid="{00000000-0005-0000-0000-0000C0750000}"/>
    <cellStyle name="Normal 23 10" xfId="30898" xr:uid="{00000000-0005-0000-0000-0000C1750000}"/>
    <cellStyle name="Normal 23 11" xfId="30899" xr:uid="{00000000-0005-0000-0000-0000C2750000}"/>
    <cellStyle name="Normal 23 12" xfId="30900" xr:uid="{00000000-0005-0000-0000-0000C3750000}"/>
    <cellStyle name="Normal 23 13" xfId="30901" xr:uid="{00000000-0005-0000-0000-0000C4750000}"/>
    <cellStyle name="Normal 23 14" xfId="30902" xr:uid="{00000000-0005-0000-0000-0000C5750000}"/>
    <cellStyle name="Normal 23 15" xfId="30903" xr:uid="{00000000-0005-0000-0000-0000C6750000}"/>
    <cellStyle name="Normal 23 16" xfId="30904" xr:uid="{00000000-0005-0000-0000-0000C7750000}"/>
    <cellStyle name="Normal 23 17" xfId="30905" xr:uid="{00000000-0005-0000-0000-0000C8750000}"/>
    <cellStyle name="Normal 23 18" xfId="30906" xr:uid="{00000000-0005-0000-0000-0000C9750000}"/>
    <cellStyle name="Normal 23 19" xfId="30907" xr:uid="{00000000-0005-0000-0000-0000CA750000}"/>
    <cellStyle name="Normal 23 2" xfId="30908" xr:uid="{00000000-0005-0000-0000-0000CB750000}"/>
    <cellStyle name="Normal 23 20" xfId="30909" xr:uid="{00000000-0005-0000-0000-0000CC750000}"/>
    <cellStyle name="Normal 23 21" xfId="30910" xr:uid="{00000000-0005-0000-0000-0000CD750000}"/>
    <cellStyle name="Normal 23 22" xfId="30911" xr:uid="{00000000-0005-0000-0000-0000CE750000}"/>
    <cellStyle name="Normal 23 23" xfId="30912" xr:uid="{00000000-0005-0000-0000-0000CF750000}"/>
    <cellStyle name="Normal 23 24" xfId="30913" xr:uid="{00000000-0005-0000-0000-0000D0750000}"/>
    <cellStyle name="Normal 23 25" xfId="30914" xr:uid="{00000000-0005-0000-0000-0000D1750000}"/>
    <cellStyle name="Normal 23 26" xfId="30915" xr:uid="{00000000-0005-0000-0000-0000D2750000}"/>
    <cellStyle name="Normal 23 27" xfId="30916" xr:uid="{00000000-0005-0000-0000-0000D3750000}"/>
    <cellStyle name="Normal 23 28" xfId="30917" xr:uid="{00000000-0005-0000-0000-0000D4750000}"/>
    <cellStyle name="Normal 23 29" xfId="30918" xr:uid="{00000000-0005-0000-0000-0000D5750000}"/>
    <cellStyle name="Normal 23 3" xfId="30919" xr:uid="{00000000-0005-0000-0000-0000D6750000}"/>
    <cellStyle name="Normal 23 30" xfId="30920" xr:uid="{00000000-0005-0000-0000-0000D7750000}"/>
    <cellStyle name="Normal 23 31" xfId="30921" xr:uid="{00000000-0005-0000-0000-0000D8750000}"/>
    <cellStyle name="Normal 23 32" xfId="30922" xr:uid="{00000000-0005-0000-0000-0000D9750000}"/>
    <cellStyle name="Normal 23 33" xfId="30923" xr:uid="{00000000-0005-0000-0000-0000DA750000}"/>
    <cellStyle name="Normal 23 34" xfId="30924" xr:uid="{00000000-0005-0000-0000-0000DB750000}"/>
    <cellStyle name="Normal 23 35" xfId="30925" xr:uid="{00000000-0005-0000-0000-0000DC750000}"/>
    <cellStyle name="Normal 23 36" xfId="30926" xr:uid="{00000000-0005-0000-0000-0000DD750000}"/>
    <cellStyle name="Normal 23 37" xfId="30927" xr:uid="{00000000-0005-0000-0000-0000DE750000}"/>
    <cellStyle name="Normal 23 38" xfId="30928" xr:uid="{00000000-0005-0000-0000-0000DF750000}"/>
    <cellStyle name="Normal 23 39" xfId="30929" xr:uid="{00000000-0005-0000-0000-0000E0750000}"/>
    <cellStyle name="Normal 23 4" xfId="30930" xr:uid="{00000000-0005-0000-0000-0000E1750000}"/>
    <cellStyle name="Normal 23 40" xfId="30931" xr:uid="{00000000-0005-0000-0000-0000E2750000}"/>
    <cellStyle name="Normal 23 41" xfId="30932" xr:uid="{00000000-0005-0000-0000-0000E3750000}"/>
    <cellStyle name="Normal 23 42" xfId="30933" xr:uid="{00000000-0005-0000-0000-0000E4750000}"/>
    <cellStyle name="Normal 23 43" xfId="30934" xr:uid="{00000000-0005-0000-0000-0000E5750000}"/>
    <cellStyle name="Normal 23 5" xfId="30935" xr:uid="{00000000-0005-0000-0000-0000E6750000}"/>
    <cellStyle name="Normal 23 6" xfId="30936" xr:uid="{00000000-0005-0000-0000-0000E7750000}"/>
    <cellStyle name="Normal 23 7" xfId="30937" xr:uid="{00000000-0005-0000-0000-0000E8750000}"/>
    <cellStyle name="Normal 23 8" xfId="30938" xr:uid="{00000000-0005-0000-0000-0000E9750000}"/>
    <cellStyle name="Normal 23 9" xfId="30939" xr:uid="{00000000-0005-0000-0000-0000EA750000}"/>
    <cellStyle name="Normal 24" xfId="1065" xr:uid="{00000000-0005-0000-0000-0000EB750000}"/>
    <cellStyle name="Normal 24 10" xfId="30940" xr:uid="{00000000-0005-0000-0000-0000EC750000}"/>
    <cellStyle name="Normal 24 11" xfId="30941" xr:uid="{00000000-0005-0000-0000-0000ED750000}"/>
    <cellStyle name="Normal 24 12" xfId="30942" xr:uid="{00000000-0005-0000-0000-0000EE750000}"/>
    <cellStyle name="Normal 24 13" xfId="30943" xr:uid="{00000000-0005-0000-0000-0000EF750000}"/>
    <cellStyle name="Normal 24 14" xfId="30944" xr:uid="{00000000-0005-0000-0000-0000F0750000}"/>
    <cellStyle name="Normal 24 15" xfId="30945" xr:uid="{00000000-0005-0000-0000-0000F1750000}"/>
    <cellStyle name="Normal 24 16" xfId="30946" xr:uid="{00000000-0005-0000-0000-0000F2750000}"/>
    <cellStyle name="Normal 24 17" xfId="30947" xr:uid="{00000000-0005-0000-0000-0000F3750000}"/>
    <cellStyle name="Normal 24 18" xfId="30948" xr:uid="{00000000-0005-0000-0000-0000F4750000}"/>
    <cellStyle name="Normal 24 19" xfId="30949" xr:uid="{00000000-0005-0000-0000-0000F5750000}"/>
    <cellStyle name="Normal 24 2" xfId="30950" xr:uid="{00000000-0005-0000-0000-0000F6750000}"/>
    <cellStyle name="Normal 24 20" xfId="30951" xr:uid="{00000000-0005-0000-0000-0000F7750000}"/>
    <cellStyle name="Normal 24 21" xfId="30952" xr:uid="{00000000-0005-0000-0000-0000F8750000}"/>
    <cellStyle name="Normal 24 22" xfId="30953" xr:uid="{00000000-0005-0000-0000-0000F9750000}"/>
    <cellStyle name="Normal 24 23" xfId="30954" xr:uid="{00000000-0005-0000-0000-0000FA750000}"/>
    <cellStyle name="Normal 24 24" xfId="30955" xr:uid="{00000000-0005-0000-0000-0000FB750000}"/>
    <cellStyle name="Normal 24 25" xfId="30956" xr:uid="{00000000-0005-0000-0000-0000FC750000}"/>
    <cellStyle name="Normal 24 26" xfId="30957" xr:uid="{00000000-0005-0000-0000-0000FD750000}"/>
    <cellStyle name="Normal 24 27" xfId="30958" xr:uid="{00000000-0005-0000-0000-0000FE750000}"/>
    <cellStyle name="Normal 24 28" xfId="30959" xr:uid="{00000000-0005-0000-0000-0000FF750000}"/>
    <cellStyle name="Normal 24 29" xfId="30960" xr:uid="{00000000-0005-0000-0000-000000760000}"/>
    <cellStyle name="Normal 24 3" xfId="30961" xr:uid="{00000000-0005-0000-0000-000001760000}"/>
    <cellStyle name="Normal 24 30" xfId="30962" xr:uid="{00000000-0005-0000-0000-000002760000}"/>
    <cellStyle name="Normal 24 31" xfId="30963" xr:uid="{00000000-0005-0000-0000-000003760000}"/>
    <cellStyle name="Normal 24 32" xfId="30964" xr:uid="{00000000-0005-0000-0000-000004760000}"/>
    <cellStyle name="Normal 24 33" xfId="30965" xr:uid="{00000000-0005-0000-0000-000005760000}"/>
    <cellStyle name="Normal 24 34" xfId="30966" xr:uid="{00000000-0005-0000-0000-000006760000}"/>
    <cellStyle name="Normal 24 35" xfId="30967" xr:uid="{00000000-0005-0000-0000-000007760000}"/>
    <cellStyle name="Normal 24 36" xfId="30968" xr:uid="{00000000-0005-0000-0000-000008760000}"/>
    <cellStyle name="Normal 24 37" xfId="30969" xr:uid="{00000000-0005-0000-0000-000009760000}"/>
    <cellStyle name="Normal 24 38" xfId="30970" xr:uid="{00000000-0005-0000-0000-00000A760000}"/>
    <cellStyle name="Normal 24 39" xfId="30971" xr:uid="{00000000-0005-0000-0000-00000B760000}"/>
    <cellStyle name="Normal 24 4" xfId="30972" xr:uid="{00000000-0005-0000-0000-00000C760000}"/>
    <cellStyle name="Normal 24 40" xfId="30973" xr:uid="{00000000-0005-0000-0000-00000D760000}"/>
    <cellStyle name="Normal 24 41" xfId="30974" xr:uid="{00000000-0005-0000-0000-00000E760000}"/>
    <cellStyle name="Normal 24 42" xfId="30975" xr:uid="{00000000-0005-0000-0000-00000F760000}"/>
    <cellStyle name="Normal 24 43" xfId="30976" xr:uid="{00000000-0005-0000-0000-000010760000}"/>
    <cellStyle name="Normal 24 5" xfId="30977" xr:uid="{00000000-0005-0000-0000-000011760000}"/>
    <cellStyle name="Normal 24 6" xfId="30978" xr:uid="{00000000-0005-0000-0000-000012760000}"/>
    <cellStyle name="Normal 24 7" xfId="30979" xr:uid="{00000000-0005-0000-0000-000013760000}"/>
    <cellStyle name="Normal 24 8" xfId="30980" xr:uid="{00000000-0005-0000-0000-000014760000}"/>
    <cellStyle name="Normal 24 9" xfId="30981" xr:uid="{00000000-0005-0000-0000-000015760000}"/>
    <cellStyle name="Normal 25" xfId="1066" xr:uid="{00000000-0005-0000-0000-000016760000}"/>
    <cellStyle name="Normal 25 10" xfId="30982" xr:uid="{00000000-0005-0000-0000-000017760000}"/>
    <cellStyle name="Normal 25 11" xfId="30983" xr:uid="{00000000-0005-0000-0000-000018760000}"/>
    <cellStyle name="Normal 25 12" xfId="30984" xr:uid="{00000000-0005-0000-0000-000019760000}"/>
    <cellStyle name="Normal 25 13" xfId="30985" xr:uid="{00000000-0005-0000-0000-00001A760000}"/>
    <cellStyle name="Normal 25 14" xfId="30986" xr:uid="{00000000-0005-0000-0000-00001B760000}"/>
    <cellStyle name="Normal 25 15" xfId="30987" xr:uid="{00000000-0005-0000-0000-00001C760000}"/>
    <cellStyle name="Normal 25 16" xfId="30988" xr:uid="{00000000-0005-0000-0000-00001D760000}"/>
    <cellStyle name="Normal 25 17" xfId="30989" xr:uid="{00000000-0005-0000-0000-00001E760000}"/>
    <cellStyle name="Normal 25 18" xfId="30990" xr:uid="{00000000-0005-0000-0000-00001F760000}"/>
    <cellStyle name="Normal 25 19" xfId="30991" xr:uid="{00000000-0005-0000-0000-000020760000}"/>
    <cellStyle name="Normal 25 2" xfId="30992" xr:uid="{00000000-0005-0000-0000-000021760000}"/>
    <cellStyle name="Normal 25 20" xfId="30993" xr:uid="{00000000-0005-0000-0000-000022760000}"/>
    <cellStyle name="Normal 25 21" xfId="30994" xr:uid="{00000000-0005-0000-0000-000023760000}"/>
    <cellStyle name="Normal 25 22" xfId="30995" xr:uid="{00000000-0005-0000-0000-000024760000}"/>
    <cellStyle name="Normal 25 23" xfId="30996" xr:uid="{00000000-0005-0000-0000-000025760000}"/>
    <cellStyle name="Normal 25 24" xfId="30997" xr:uid="{00000000-0005-0000-0000-000026760000}"/>
    <cellStyle name="Normal 25 25" xfId="30998" xr:uid="{00000000-0005-0000-0000-000027760000}"/>
    <cellStyle name="Normal 25 26" xfId="30999" xr:uid="{00000000-0005-0000-0000-000028760000}"/>
    <cellStyle name="Normal 25 27" xfId="31000" xr:uid="{00000000-0005-0000-0000-000029760000}"/>
    <cellStyle name="Normal 25 28" xfId="31001" xr:uid="{00000000-0005-0000-0000-00002A760000}"/>
    <cellStyle name="Normal 25 29" xfId="31002" xr:uid="{00000000-0005-0000-0000-00002B760000}"/>
    <cellStyle name="Normal 25 3" xfId="31003" xr:uid="{00000000-0005-0000-0000-00002C760000}"/>
    <cellStyle name="Normal 25 30" xfId="31004" xr:uid="{00000000-0005-0000-0000-00002D760000}"/>
    <cellStyle name="Normal 25 31" xfId="31005" xr:uid="{00000000-0005-0000-0000-00002E760000}"/>
    <cellStyle name="Normal 25 32" xfId="31006" xr:uid="{00000000-0005-0000-0000-00002F760000}"/>
    <cellStyle name="Normal 25 33" xfId="31007" xr:uid="{00000000-0005-0000-0000-000030760000}"/>
    <cellStyle name="Normal 25 34" xfId="31008" xr:uid="{00000000-0005-0000-0000-000031760000}"/>
    <cellStyle name="Normal 25 35" xfId="31009" xr:uid="{00000000-0005-0000-0000-000032760000}"/>
    <cellStyle name="Normal 25 36" xfId="31010" xr:uid="{00000000-0005-0000-0000-000033760000}"/>
    <cellStyle name="Normal 25 37" xfId="31011" xr:uid="{00000000-0005-0000-0000-000034760000}"/>
    <cellStyle name="Normal 25 38" xfId="31012" xr:uid="{00000000-0005-0000-0000-000035760000}"/>
    <cellStyle name="Normal 25 39" xfId="31013" xr:uid="{00000000-0005-0000-0000-000036760000}"/>
    <cellStyle name="Normal 25 4" xfId="31014" xr:uid="{00000000-0005-0000-0000-000037760000}"/>
    <cellStyle name="Normal 25 40" xfId="31015" xr:uid="{00000000-0005-0000-0000-000038760000}"/>
    <cellStyle name="Normal 25 41" xfId="31016" xr:uid="{00000000-0005-0000-0000-000039760000}"/>
    <cellStyle name="Normal 25 42" xfId="31017" xr:uid="{00000000-0005-0000-0000-00003A760000}"/>
    <cellStyle name="Normal 25 43" xfId="31018" xr:uid="{00000000-0005-0000-0000-00003B760000}"/>
    <cellStyle name="Normal 25 5" xfId="31019" xr:uid="{00000000-0005-0000-0000-00003C760000}"/>
    <cellStyle name="Normal 25 6" xfId="31020" xr:uid="{00000000-0005-0000-0000-00003D760000}"/>
    <cellStyle name="Normal 25 7" xfId="31021" xr:uid="{00000000-0005-0000-0000-00003E760000}"/>
    <cellStyle name="Normal 25 8" xfId="31022" xr:uid="{00000000-0005-0000-0000-00003F760000}"/>
    <cellStyle name="Normal 25 9" xfId="31023" xr:uid="{00000000-0005-0000-0000-000040760000}"/>
    <cellStyle name="Normal 26" xfId="1469" xr:uid="{00000000-0005-0000-0000-000041760000}"/>
    <cellStyle name="Normal 26 10" xfId="31024" xr:uid="{00000000-0005-0000-0000-000042760000}"/>
    <cellStyle name="Normal 26 10 10" xfId="31025" xr:uid="{00000000-0005-0000-0000-000043760000}"/>
    <cellStyle name="Normal 26 10 11" xfId="31026" xr:uid="{00000000-0005-0000-0000-000044760000}"/>
    <cellStyle name="Normal 26 10 12" xfId="31027" xr:uid="{00000000-0005-0000-0000-000045760000}"/>
    <cellStyle name="Normal 26 10 13" xfId="31028" xr:uid="{00000000-0005-0000-0000-000046760000}"/>
    <cellStyle name="Normal 26 10 2" xfId="31029" xr:uid="{00000000-0005-0000-0000-000047760000}"/>
    <cellStyle name="Normal 26 10 2 2" xfId="31030" xr:uid="{00000000-0005-0000-0000-000048760000}"/>
    <cellStyle name="Normal 26 10 2 3" xfId="31031" xr:uid="{00000000-0005-0000-0000-000049760000}"/>
    <cellStyle name="Normal 26 10 2 4" xfId="31032" xr:uid="{00000000-0005-0000-0000-00004A760000}"/>
    <cellStyle name="Normal 26 10 2 5" xfId="31033" xr:uid="{00000000-0005-0000-0000-00004B760000}"/>
    <cellStyle name="Normal 26 10 2 6" xfId="31034" xr:uid="{00000000-0005-0000-0000-00004C760000}"/>
    <cellStyle name="Normal 26 10 3" xfId="31035" xr:uid="{00000000-0005-0000-0000-00004D760000}"/>
    <cellStyle name="Normal 26 10 3 2" xfId="31036" xr:uid="{00000000-0005-0000-0000-00004E760000}"/>
    <cellStyle name="Normal 26 10 3 3" xfId="31037" xr:uid="{00000000-0005-0000-0000-00004F760000}"/>
    <cellStyle name="Normal 26 10 3 4" xfId="31038" xr:uid="{00000000-0005-0000-0000-000050760000}"/>
    <cellStyle name="Normal 26 10 3 5" xfId="31039" xr:uid="{00000000-0005-0000-0000-000051760000}"/>
    <cellStyle name="Normal 26 10 3 6" xfId="31040" xr:uid="{00000000-0005-0000-0000-000052760000}"/>
    <cellStyle name="Normal 26 10 4" xfId="31041" xr:uid="{00000000-0005-0000-0000-000053760000}"/>
    <cellStyle name="Normal 26 10 4 2" xfId="31042" xr:uid="{00000000-0005-0000-0000-000054760000}"/>
    <cellStyle name="Normal 26 10 4 3" xfId="31043" xr:uid="{00000000-0005-0000-0000-000055760000}"/>
    <cellStyle name="Normal 26 10 4 4" xfId="31044" xr:uid="{00000000-0005-0000-0000-000056760000}"/>
    <cellStyle name="Normal 26 10 4 5" xfId="31045" xr:uid="{00000000-0005-0000-0000-000057760000}"/>
    <cellStyle name="Normal 26 10 4 6" xfId="31046" xr:uid="{00000000-0005-0000-0000-000058760000}"/>
    <cellStyle name="Normal 26 10 5" xfId="31047" xr:uid="{00000000-0005-0000-0000-000059760000}"/>
    <cellStyle name="Normal 26 10 5 2" xfId="31048" xr:uid="{00000000-0005-0000-0000-00005A760000}"/>
    <cellStyle name="Normal 26 10 5 3" xfId="31049" xr:uid="{00000000-0005-0000-0000-00005B760000}"/>
    <cellStyle name="Normal 26 10 5 4" xfId="31050" xr:uid="{00000000-0005-0000-0000-00005C760000}"/>
    <cellStyle name="Normal 26 10 5 5" xfId="31051" xr:uid="{00000000-0005-0000-0000-00005D760000}"/>
    <cellStyle name="Normal 26 10 5 6" xfId="31052" xr:uid="{00000000-0005-0000-0000-00005E760000}"/>
    <cellStyle name="Normal 26 10 6" xfId="31053" xr:uid="{00000000-0005-0000-0000-00005F760000}"/>
    <cellStyle name="Normal 26 10 6 2" xfId="31054" xr:uid="{00000000-0005-0000-0000-000060760000}"/>
    <cellStyle name="Normal 26 10 6 3" xfId="31055" xr:uid="{00000000-0005-0000-0000-000061760000}"/>
    <cellStyle name="Normal 26 10 6 4" xfId="31056" xr:uid="{00000000-0005-0000-0000-000062760000}"/>
    <cellStyle name="Normal 26 10 6 5" xfId="31057" xr:uid="{00000000-0005-0000-0000-000063760000}"/>
    <cellStyle name="Normal 26 10 6 6" xfId="31058" xr:uid="{00000000-0005-0000-0000-000064760000}"/>
    <cellStyle name="Normal 26 10 7" xfId="31059" xr:uid="{00000000-0005-0000-0000-000065760000}"/>
    <cellStyle name="Normal 26 10 7 2" xfId="31060" xr:uid="{00000000-0005-0000-0000-000066760000}"/>
    <cellStyle name="Normal 26 10 7 3" xfId="31061" xr:uid="{00000000-0005-0000-0000-000067760000}"/>
    <cellStyle name="Normal 26 10 7 4" xfId="31062" xr:uid="{00000000-0005-0000-0000-000068760000}"/>
    <cellStyle name="Normal 26 10 7 5" xfId="31063" xr:uid="{00000000-0005-0000-0000-000069760000}"/>
    <cellStyle name="Normal 26 10 7 6" xfId="31064" xr:uid="{00000000-0005-0000-0000-00006A760000}"/>
    <cellStyle name="Normal 26 10 8" xfId="31065" xr:uid="{00000000-0005-0000-0000-00006B760000}"/>
    <cellStyle name="Normal 26 10 8 2" xfId="31066" xr:uid="{00000000-0005-0000-0000-00006C760000}"/>
    <cellStyle name="Normal 26 10 8 3" xfId="31067" xr:uid="{00000000-0005-0000-0000-00006D760000}"/>
    <cellStyle name="Normal 26 10 8 4" xfId="31068" xr:uid="{00000000-0005-0000-0000-00006E760000}"/>
    <cellStyle name="Normal 26 10 8 5" xfId="31069" xr:uid="{00000000-0005-0000-0000-00006F760000}"/>
    <cellStyle name="Normal 26 10 8 6" xfId="31070" xr:uid="{00000000-0005-0000-0000-000070760000}"/>
    <cellStyle name="Normal 26 10 9" xfId="31071" xr:uid="{00000000-0005-0000-0000-000071760000}"/>
    <cellStyle name="Normal 26 11" xfId="31072" xr:uid="{00000000-0005-0000-0000-000072760000}"/>
    <cellStyle name="Normal 26 11 10" xfId="31073" xr:uid="{00000000-0005-0000-0000-000073760000}"/>
    <cellStyle name="Normal 26 11 11" xfId="31074" xr:uid="{00000000-0005-0000-0000-000074760000}"/>
    <cellStyle name="Normal 26 11 12" xfId="31075" xr:uid="{00000000-0005-0000-0000-000075760000}"/>
    <cellStyle name="Normal 26 11 13" xfId="31076" xr:uid="{00000000-0005-0000-0000-000076760000}"/>
    <cellStyle name="Normal 26 11 2" xfId="31077" xr:uid="{00000000-0005-0000-0000-000077760000}"/>
    <cellStyle name="Normal 26 11 2 2" xfId="31078" xr:uid="{00000000-0005-0000-0000-000078760000}"/>
    <cellStyle name="Normal 26 11 2 3" xfId="31079" xr:uid="{00000000-0005-0000-0000-000079760000}"/>
    <cellStyle name="Normal 26 11 2 4" xfId="31080" xr:uid="{00000000-0005-0000-0000-00007A760000}"/>
    <cellStyle name="Normal 26 11 2 5" xfId="31081" xr:uid="{00000000-0005-0000-0000-00007B760000}"/>
    <cellStyle name="Normal 26 11 2 6" xfId="31082" xr:uid="{00000000-0005-0000-0000-00007C760000}"/>
    <cellStyle name="Normal 26 11 3" xfId="31083" xr:uid="{00000000-0005-0000-0000-00007D760000}"/>
    <cellStyle name="Normal 26 11 3 2" xfId="31084" xr:uid="{00000000-0005-0000-0000-00007E760000}"/>
    <cellStyle name="Normal 26 11 3 3" xfId="31085" xr:uid="{00000000-0005-0000-0000-00007F760000}"/>
    <cellStyle name="Normal 26 11 3 4" xfId="31086" xr:uid="{00000000-0005-0000-0000-000080760000}"/>
    <cellStyle name="Normal 26 11 3 5" xfId="31087" xr:uid="{00000000-0005-0000-0000-000081760000}"/>
    <cellStyle name="Normal 26 11 3 6" xfId="31088" xr:uid="{00000000-0005-0000-0000-000082760000}"/>
    <cellStyle name="Normal 26 11 4" xfId="31089" xr:uid="{00000000-0005-0000-0000-000083760000}"/>
    <cellStyle name="Normal 26 11 4 2" xfId="31090" xr:uid="{00000000-0005-0000-0000-000084760000}"/>
    <cellStyle name="Normal 26 11 4 3" xfId="31091" xr:uid="{00000000-0005-0000-0000-000085760000}"/>
    <cellStyle name="Normal 26 11 4 4" xfId="31092" xr:uid="{00000000-0005-0000-0000-000086760000}"/>
    <cellStyle name="Normal 26 11 4 5" xfId="31093" xr:uid="{00000000-0005-0000-0000-000087760000}"/>
    <cellStyle name="Normal 26 11 4 6" xfId="31094" xr:uid="{00000000-0005-0000-0000-000088760000}"/>
    <cellStyle name="Normal 26 11 5" xfId="31095" xr:uid="{00000000-0005-0000-0000-000089760000}"/>
    <cellStyle name="Normal 26 11 5 2" xfId="31096" xr:uid="{00000000-0005-0000-0000-00008A760000}"/>
    <cellStyle name="Normal 26 11 5 3" xfId="31097" xr:uid="{00000000-0005-0000-0000-00008B760000}"/>
    <cellStyle name="Normal 26 11 5 4" xfId="31098" xr:uid="{00000000-0005-0000-0000-00008C760000}"/>
    <cellStyle name="Normal 26 11 5 5" xfId="31099" xr:uid="{00000000-0005-0000-0000-00008D760000}"/>
    <cellStyle name="Normal 26 11 5 6" xfId="31100" xr:uid="{00000000-0005-0000-0000-00008E760000}"/>
    <cellStyle name="Normal 26 11 6" xfId="31101" xr:uid="{00000000-0005-0000-0000-00008F760000}"/>
    <cellStyle name="Normal 26 11 6 2" xfId="31102" xr:uid="{00000000-0005-0000-0000-000090760000}"/>
    <cellStyle name="Normal 26 11 6 3" xfId="31103" xr:uid="{00000000-0005-0000-0000-000091760000}"/>
    <cellStyle name="Normal 26 11 6 4" xfId="31104" xr:uid="{00000000-0005-0000-0000-000092760000}"/>
    <cellStyle name="Normal 26 11 6 5" xfId="31105" xr:uid="{00000000-0005-0000-0000-000093760000}"/>
    <cellStyle name="Normal 26 11 6 6" xfId="31106" xr:uid="{00000000-0005-0000-0000-000094760000}"/>
    <cellStyle name="Normal 26 11 7" xfId="31107" xr:uid="{00000000-0005-0000-0000-000095760000}"/>
    <cellStyle name="Normal 26 11 7 2" xfId="31108" xr:uid="{00000000-0005-0000-0000-000096760000}"/>
    <cellStyle name="Normal 26 11 7 3" xfId="31109" xr:uid="{00000000-0005-0000-0000-000097760000}"/>
    <cellStyle name="Normal 26 11 7 4" xfId="31110" xr:uid="{00000000-0005-0000-0000-000098760000}"/>
    <cellStyle name="Normal 26 11 7 5" xfId="31111" xr:uid="{00000000-0005-0000-0000-000099760000}"/>
    <cellStyle name="Normal 26 11 7 6" xfId="31112" xr:uid="{00000000-0005-0000-0000-00009A760000}"/>
    <cellStyle name="Normal 26 11 8" xfId="31113" xr:uid="{00000000-0005-0000-0000-00009B760000}"/>
    <cellStyle name="Normal 26 11 8 2" xfId="31114" xr:uid="{00000000-0005-0000-0000-00009C760000}"/>
    <cellStyle name="Normal 26 11 8 3" xfId="31115" xr:uid="{00000000-0005-0000-0000-00009D760000}"/>
    <cellStyle name="Normal 26 11 8 4" xfId="31116" xr:uid="{00000000-0005-0000-0000-00009E760000}"/>
    <cellStyle name="Normal 26 11 8 5" xfId="31117" xr:uid="{00000000-0005-0000-0000-00009F760000}"/>
    <cellStyle name="Normal 26 11 8 6" xfId="31118" xr:uid="{00000000-0005-0000-0000-0000A0760000}"/>
    <cellStyle name="Normal 26 11 9" xfId="31119" xr:uid="{00000000-0005-0000-0000-0000A1760000}"/>
    <cellStyle name="Normal 26 12" xfId="31120" xr:uid="{00000000-0005-0000-0000-0000A2760000}"/>
    <cellStyle name="Normal 26 12 10" xfId="31121" xr:uid="{00000000-0005-0000-0000-0000A3760000}"/>
    <cellStyle name="Normal 26 12 11" xfId="31122" xr:uid="{00000000-0005-0000-0000-0000A4760000}"/>
    <cellStyle name="Normal 26 12 12" xfId="31123" xr:uid="{00000000-0005-0000-0000-0000A5760000}"/>
    <cellStyle name="Normal 26 12 13" xfId="31124" xr:uid="{00000000-0005-0000-0000-0000A6760000}"/>
    <cellStyle name="Normal 26 12 2" xfId="31125" xr:uid="{00000000-0005-0000-0000-0000A7760000}"/>
    <cellStyle name="Normal 26 12 2 2" xfId="31126" xr:uid="{00000000-0005-0000-0000-0000A8760000}"/>
    <cellStyle name="Normal 26 12 2 3" xfId="31127" xr:uid="{00000000-0005-0000-0000-0000A9760000}"/>
    <cellStyle name="Normal 26 12 2 4" xfId="31128" xr:uid="{00000000-0005-0000-0000-0000AA760000}"/>
    <cellStyle name="Normal 26 12 2 5" xfId="31129" xr:uid="{00000000-0005-0000-0000-0000AB760000}"/>
    <cellStyle name="Normal 26 12 2 6" xfId="31130" xr:uid="{00000000-0005-0000-0000-0000AC760000}"/>
    <cellStyle name="Normal 26 12 3" xfId="31131" xr:uid="{00000000-0005-0000-0000-0000AD760000}"/>
    <cellStyle name="Normal 26 12 3 2" xfId="31132" xr:uid="{00000000-0005-0000-0000-0000AE760000}"/>
    <cellStyle name="Normal 26 12 3 3" xfId="31133" xr:uid="{00000000-0005-0000-0000-0000AF760000}"/>
    <cellStyle name="Normal 26 12 3 4" xfId="31134" xr:uid="{00000000-0005-0000-0000-0000B0760000}"/>
    <cellStyle name="Normal 26 12 3 5" xfId="31135" xr:uid="{00000000-0005-0000-0000-0000B1760000}"/>
    <cellStyle name="Normal 26 12 3 6" xfId="31136" xr:uid="{00000000-0005-0000-0000-0000B2760000}"/>
    <cellStyle name="Normal 26 12 4" xfId="31137" xr:uid="{00000000-0005-0000-0000-0000B3760000}"/>
    <cellStyle name="Normal 26 12 4 2" xfId="31138" xr:uid="{00000000-0005-0000-0000-0000B4760000}"/>
    <cellStyle name="Normal 26 12 4 3" xfId="31139" xr:uid="{00000000-0005-0000-0000-0000B5760000}"/>
    <cellStyle name="Normal 26 12 4 4" xfId="31140" xr:uid="{00000000-0005-0000-0000-0000B6760000}"/>
    <cellStyle name="Normal 26 12 4 5" xfId="31141" xr:uid="{00000000-0005-0000-0000-0000B7760000}"/>
    <cellStyle name="Normal 26 12 4 6" xfId="31142" xr:uid="{00000000-0005-0000-0000-0000B8760000}"/>
    <cellStyle name="Normal 26 12 5" xfId="31143" xr:uid="{00000000-0005-0000-0000-0000B9760000}"/>
    <cellStyle name="Normal 26 12 5 2" xfId="31144" xr:uid="{00000000-0005-0000-0000-0000BA760000}"/>
    <cellStyle name="Normal 26 12 5 3" xfId="31145" xr:uid="{00000000-0005-0000-0000-0000BB760000}"/>
    <cellStyle name="Normal 26 12 5 4" xfId="31146" xr:uid="{00000000-0005-0000-0000-0000BC760000}"/>
    <cellStyle name="Normal 26 12 5 5" xfId="31147" xr:uid="{00000000-0005-0000-0000-0000BD760000}"/>
    <cellStyle name="Normal 26 12 5 6" xfId="31148" xr:uid="{00000000-0005-0000-0000-0000BE760000}"/>
    <cellStyle name="Normal 26 12 6" xfId="31149" xr:uid="{00000000-0005-0000-0000-0000BF760000}"/>
    <cellStyle name="Normal 26 12 6 2" xfId="31150" xr:uid="{00000000-0005-0000-0000-0000C0760000}"/>
    <cellStyle name="Normal 26 12 6 3" xfId="31151" xr:uid="{00000000-0005-0000-0000-0000C1760000}"/>
    <cellStyle name="Normal 26 12 6 4" xfId="31152" xr:uid="{00000000-0005-0000-0000-0000C2760000}"/>
    <cellStyle name="Normal 26 12 6 5" xfId="31153" xr:uid="{00000000-0005-0000-0000-0000C3760000}"/>
    <cellStyle name="Normal 26 12 6 6" xfId="31154" xr:uid="{00000000-0005-0000-0000-0000C4760000}"/>
    <cellStyle name="Normal 26 12 7" xfId="31155" xr:uid="{00000000-0005-0000-0000-0000C5760000}"/>
    <cellStyle name="Normal 26 12 7 2" xfId="31156" xr:uid="{00000000-0005-0000-0000-0000C6760000}"/>
    <cellStyle name="Normal 26 12 7 3" xfId="31157" xr:uid="{00000000-0005-0000-0000-0000C7760000}"/>
    <cellStyle name="Normal 26 12 7 4" xfId="31158" xr:uid="{00000000-0005-0000-0000-0000C8760000}"/>
    <cellStyle name="Normal 26 12 7 5" xfId="31159" xr:uid="{00000000-0005-0000-0000-0000C9760000}"/>
    <cellStyle name="Normal 26 12 7 6" xfId="31160" xr:uid="{00000000-0005-0000-0000-0000CA760000}"/>
    <cellStyle name="Normal 26 12 8" xfId="31161" xr:uid="{00000000-0005-0000-0000-0000CB760000}"/>
    <cellStyle name="Normal 26 12 8 2" xfId="31162" xr:uid="{00000000-0005-0000-0000-0000CC760000}"/>
    <cellStyle name="Normal 26 12 8 3" xfId="31163" xr:uid="{00000000-0005-0000-0000-0000CD760000}"/>
    <cellStyle name="Normal 26 12 8 4" xfId="31164" xr:uid="{00000000-0005-0000-0000-0000CE760000}"/>
    <cellStyle name="Normal 26 12 8 5" xfId="31165" xr:uid="{00000000-0005-0000-0000-0000CF760000}"/>
    <cellStyle name="Normal 26 12 8 6" xfId="31166" xr:uid="{00000000-0005-0000-0000-0000D0760000}"/>
    <cellStyle name="Normal 26 12 9" xfId="31167" xr:uid="{00000000-0005-0000-0000-0000D1760000}"/>
    <cellStyle name="Normal 26 13" xfId="31168" xr:uid="{00000000-0005-0000-0000-0000D2760000}"/>
    <cellStyle name="Normal 26 13 10" xfId="31169" xr:uid="{00000000-0005-0000-0000-0000D3760000}"/>
    <cellStyle name="Normal 26 13 11" xfId="31170" xr:uid="{00000000-0005-0000-0000-0000D4760000}"/>
    <cellStyle name="Normal 26 13 12" xfId="31171" xr:uid="{00000000-0005-0000-0000-0000D5760000}"/>
    <cellStyle name="Normal 26 13 13" xfId="31172" xr:uid="{00000000-0005-0000-0000-0000D6760000}"/>
    <cellStyle name="Normal 26 13 2" xfId="31173" xr:uid="{00000000-0005-0000-0000-0000D7760000}"/>
    <cellStyle name="Normal 26 13 2 2" xfId="31174" xr:uid="{00000000-0005-0000-0000-0000D8760000}"/>
    <cellStyle name="Normal 26 13 2 3" xfId="31175" xr:uid="{00000000-0005-0000-0000-0000D9760000}"/>
    <cellStyle name="Normal 26 13 2 4" xfId="31176" xr:uid="{00000000-0005-0000-0000-0000DA760000}"/>
    <cellStyle name="Normal 26 13 2 5" xfId="31177" xr:uid="{00000000-0005-0000-0000-0000DB760000}"/>
    <cellStyle name="Normal 26 13 2 6" xfId="31178" xr:uid="{00000000-0005-0000-0000-0000DC760000}"/>
    <cellStyle name="Normal 26 13 3" xfId="31179" xr:uid="{00000000-0005-0000-0000-0000DD760000}"/>
    <cellStyle name="Normal 26 13 3 2" xfId="31180" xr:uid="{00000000-0005-0000-0000-0000DE760000}"/>
    <cellStyle name="Normal 26 13 3 3" xfId="31181" xr:uid="{00000000-0005-0000-0000-0000DF760000}"/>
    <cellStyle name="Normal 26 13 3 4" xfId="31182" xr:uid="{00000000-0005-0000-0000-0000E0760000}"/>
    <cellStyle name="Normal 26 13 3 5" xfId="31183" xr:uid="{00000000-0005-0000-0000-0000E1760000}"/>
    <cellStyle name="Normal 26 13 3 6" xfId="31184" xr:uid="{00000000-0005-0000-0000-0000E2760000}"/>
    <cellStyle name="Normal 26 13 4" xfId="31185" xr:uid="{00000000-0005-0000-0000-0000E3760000}"/>
    <cellStyle name="Normal 26 13 4 2" xfId="31186" xr:uid="{00000000-0005-0000-0000-0000E4760000}"/>
    <cellStyle name="Normal 26 13 4 3" xfId="31187" xr:uid="{00000000-0005-0000-0000-0000E5760000}"/>
    <cellStyle name="Normal 26 13 4 4" xfId="31188" xr:uid="{00000000-0005-0000-0000-0000E6760000}"/>
    <cellStyle name="Normal 26 13 4 5" xfId="31189" xr:uid="{00000000-0005-0000-0000-0000E7760000}"/>
    <cellStyle name="Normal 26 13 4 6" xfId="31190" xr:uid="{00000000-0005-0000-0000-0000E8760000}"/>
    <cellStyle name="Normal 26 13 5" xfId="31191" xr:uid="{00000000-0005-0000-0000-0000E9760000}"/>
    <cellStyle name="Normal 26 13 5 2" xfId="31192" xr:uid="{00000000-0005-0000-0000-0000EA760000}"/>
    <cellStyle name="Normal 26 13 5 3" xfId="31193" xr:uid="{00000000-0005-0000-0000-0000EB760000}"/>
    <cellStyle name="Normal 26 13 5 4" xfId="31194" xr:uid="{00000000-0005-0000-0000-0000EC760000}"/>
    <cellStyle name="Normal 26 13 5 5" xfId="31195" xr:uid="{00000000-0005-0000-0000-0000ED760000}"/>
    <cellStyle name="Normal 26 13 5 6" xfId="31196" xr:uid="{00000000-0005-0000-0000-0000EE760000}"/>
    <cellStyle name="Normal 26 13 6" xfId="31197" xr:uid="{00000000-0005-0000-0000-0000EF760000}"/>
    <cellStyle name="Normal 26 13 6 2" xfId="31198" xr:uid="{00000000-0005-0000-0000-0000F0760000}"/>
    <cellStyle name="Normal 26 13 6 3" xfId="31199" xr:uid="{00000000-0005-0000-0000-0000F1760000}"/>
    <cellStyle name="Normal 26 13 6 4" xfId="31200" xr:uid="{00000000-0005-0000-0000-0000F2760000}"/>
    <cellStyle name="Normal 26 13 6 5" xfId="31201" xr:uid="{00000000-0005-0000-0000-0000F3760000}"/>
    <cellStyle name="Normal 26 13 6 6" xfId="31202" xr:uid="{00000000-0005-0000-0000-0000F4760000}"/>
    <cellStyle name="Normal 26 13 7" xfId="31203" xr:uid="{00000000-0005-0000-0000-0000F5760000}"/>
    <cellStyle name="Normal 26 13 7 2" xfId="31204" xr:uid="{00000000-0005-0000-0000-0000F6760000}"/>
    <cellStyle name="Normal 26 13 7 3" xfId="31205" xr:uid="{00000000-0005-0000-0000-0000F7760000}"/>
    <cellStyle name="Normal 26 13 7 4" xfId="31206" xr:uid="{00000000-0005-0000-0000-0000F8760000}"/>
    <cellStyle name="Normal 26 13 7 5" xfId="31207" xr:uid="{00000000-0005-0000-0000-0000F9760000}"/>
    <cellStyle name="Normal 26 13 7 6" xfId="31208" xr:uid="{00000000-0005-0000-0000-0000FA760000}"/>
    <cellStyle name="Normal 26 13 8" xfId="31209" xr:uid="{00000000-0005-0000-0000-0000FB760000}"/>
    <cellStyle name="Normal 26 13 8 2" xfId="31210" xr:uid="{00000000-0005-0000-0000-0000FC760000}"/>
    <cellStyle name="Normal 26 13 8 3" xfId="31211" xr:uid="{00000000-0005-0000-0000-0000FD760000}"/>
    <cellStyle name="Normal 26 13 8 4" xfId="31212" xr:uid="{00000000-0005-0000-0000-0000FE760000}"/>
    <cellStyle name="Normal 26 13 8 5" xfId="31213" xr:uid="{00000000-0005-0000-0000-0000FF760000}"/>
    <cellStyle name="Normal 26 13 8 6" xfId="31214" xr:uid="{00000000-0005-0000-0000-000000770000}"/>
    <cellStyle name="Normal 26 13 9" xfId="31215" xr:uid="{00000000-0005-0000-0000-000001770000}"/>
    <cellStyle name="Normal 26 14" xfId="31216" xr:uid="{00000000-0005-0000-0000-000002770000}"/>
    <cellStyle name="Normal 26 14 10" xfId="31217" xr:uid="{00000000-0005-0000-0000-000003770000}"/>
    <cellStyle name="Normal 26 14 11" xfId="31218" xr:uid="{00000000-0005-0000-0000-000004770000}"/>
    <cellStyle name="Normal 26 14 12" xfId="31219" xr:uid="{00000000-0005-0000-0000-000005770000}"/>
    <cellStyle name="Normal 26 14 13" xfId="31220" xr:uid="{00000000-0005-0000-0000-000006770000}"/>
    <cellStyle name="Normal 26 14 2" xfId="31221" xr:uid="{00000000-0005-0000-0000-000007770000}"/>
    <cellStyle name="Normal 26 14 2 2" xfId="31222" xr:uid="{00000000-0005-0000-0000-000008770000}"/>
    <cellStyle name="Normal 26 14 2 3" xfId="31223" xr:uid="{00000000-0005-0000-0000-000009770000}"/>
    <cellStyle name="Normal 26 14 2 4" xfId="31224" xr:uid="{00000000-0005-0000-0000-00000A770000}"/>
    <cellStyle name="Normal 26 14 2 5" xfId="31225" xr:uid="{00000000-0005-0000-0000-00000B770000}"/>
    <cellStyle name="Normal 26 14 2 6" xfId="31226" xr:uid="{00000000-0005-0000-0000-00000C770000}"/>
    <cellStyle name="Normal 26 14 3" xfId="31227" xr:uid="{00000000-0005-0000-0000-00000D770000}"/>
    <cellStyle name="Normal 26 14 3 2" xfId="31228" xr:uid="{00000000-0005-0000-0000-00000E770000}"/>
    <cellStyle name="Normal 26 14 3 3" xfId="31229" xr:uid="{00000000-0005-0000-0000-00000F770000}"/>
    <cellStyle name="Normal 26 14 3 4" xfId="31230" xr:uid="{00000000-0005-0000-0000-000010770000}"/>
    <cellStyle name="Normal 26 14 3 5" xfId="31231" xr:uid="{00000000-0005-0000-0000-000011770000}"/>
    <cellStyle name="Normal 26 14 3 6" xfId="31232" xr:uid="{00000000-0005-0000-0000-000012770000}"/>
    <cellStyle name="Normal 26 14 4" xfId="31233" xr:uid="{00000000-0005-0000-0000-000013770000}"/>
    <cellStyle name="Normal 26 14 4 2" xfId="31234" xr:uid="{00000000-0005-0000-0000-000014770000}"/>
    <cellStyle name="Normal 26 14 4 3" xfId="31235" xr:uid="{00000000-0005-0000-0000-000015770000}"/>
    <cellStyle name="Normal 26 14 4 4" xfId="31236" xr:uid="{00000000-0005-0000-0000-000016770000}"/>
    <cellStyle name="Normal 26 14 4 5" xfId="31237" xr:uid="{00000000-0005-0000-0000-000017770000}"/>
    <cellStyle name="Normal 26 14 4 6" xfId="31238" xr:uid="{00000000-0005-0000-0000-000018770000}"/>
    <cellStyle name="Normal 26 14 5" xfId="31239" xr:uid="{00000000-0005-0000-0000-000019770000}"/>
    <cellStyle name="Normal 26 14 5 2" xfId="31240" xr:uid="{00000000-0005-0000-0000-00001A770000}"/>
    <cellStyle name="Normal 26 14 5 3" xfId="31241" xr:uid="{00000000-0005-0000-0000-00001B770000}"/>
    <cellStyle name="Normal 26 14 5 4" xfId="31242" xr:uid="{00000000-0005-0000-0000-00001C770000}"/>
    <cellStyle name="Normal 26 14 5 5" xfId="31243" xr:uid="{00000000-0005-0000-0000-00001D770000}"/>
    <cellStyle name="Normal 26 14 5 6" xfId="31244" xr:uid="{00000000-0005-0000-0000-00001E770000}"/>
    <cellStyle name="Normal 26 14 6" xfId="31245" xr:uid="{00000000-0005-0000-0000-00001F770000}"/>
    <cellStyle name="Normal 26 14 6 2" xfId="31246" xr:uid="{00000000-0005-0000-0000-000020770000}"/>
    <cellStyle name="Normal 26 14 6 3" xfId="31247" xr:uid="{00000000-0005-0000-0000-000021770000}"/>
    <cellStyle name="Normal 26 14 6 4" xfId="31248" xr:uid="{00000000-0005-0000-0000-000022770000}"/>
    <cellStyle name="Normal 26 14 6 5" xfId="31249" xr:uid="{00000000-0005-0000-0000-000023770000}"/>
    <cellStyle name="Normal 26 14 6 6" xfId="31250" xr:uid="{00000000-0005-0000-0000-000024770000}"/>
    <cellStyle name="Normal 26 14 7" xfId="31251" xr:uid="{00000000-0005-0000-0000-000025770000}"/>
    <cellStyle name="Normal 26 14 7 2" xfId="31252" xr:uid="{00000000-0005-0000-0000-000026770000}"/>
    <cellStyle name="Normal 26 14 7 3" xfId="31253" xr:uid="{00000000-0005-0000-0000-000027770000}"/>
    <cellStyle name="Normal 26 14 7 4" xfId="31254" xr:uid="{00000000-0005-0000-0000-000028770000}"/>
    <cellStyle name="Normal 26 14 7 5" xfId="31255" xr:uid="{00000000-0005-0000-0000-000029770000}"/>
    <cellStyle name="Normal 26 14 7 6" xfId="31256" xr:uid="{00000000-0005-0000-0000-00002A770000}"/>
    <cellStyle name="Normal 26 14 8" xfId="31257" xr:uid="{00000000-0005-0000-0000-00002B770000}"/>
    <cellStyle name="Normal 26 14 8 2" xfId="31258" xr:uid="{00000000-0005-0000-0000-00002C770000}"/>
    <cellStyle name="Normal 26 14 8 3" xfId="31259" xr:uid="{00000000-0005-0000-0000-00002D770000}"/>
    <cellStyle name="Normal 26 14 8 4" xfId="31260" xr:uid="{00000000-0005-0000-0000-00002E770000}"/>
    <cellStyle name="Normal 26 14 8 5" xfId="31261" xr:uid="{00000000-0005-0000-0000-00002F770000}"/>
    <cellStyle name="Normal 26 14 8 6" xfId="31262" xr:uid="{00000000-0005-0000-0000-000030770000}"/>
    <cellStyle name="Normal 26 14 9" xfId="31263" xr:uid="{00000000-0005-0000-0000-000031770000}"/>
    <cellStyle name="Normal 26 15" xfId="31264" xr:uid="{00000000-0005-0000-0000-000032770000}"/>
    <cellStyle name="Normal 26 15 10" xfId="31265" xr:uid="{00000000-0005-0000-0000-000033770000}"/>
    <cellStyle name="Normal 26 15 11" xfId="31266" xr:uid="{00000000-0005-0000-0000-000034770000}"/>
    <cellStyle name="Normal 26 15 12" xfId="31267" xr:uid="{00000000-0005-0000-0000-000035770000}"/>
    <cellStyle name="Normal 26 15 13" xfId="31268" xr:uid="{00000000-0005-0000-0000-000036770000}"/>
    <cellStyle name="Normal 26 15 2" xfId="31269" xr:uid="{00000000-0005-0000-0000-000037770000}"/>
    <cellStyle name="Normal 26 15 2 2" xfId="31270" xr:uid="{00000000-0005-0000-0000-000038770000}"/>
    <cellStyle name="Normal 26 15 2 3" xfId="31271" xr:uid="{00000000-0005-0000-0000-000039770000}"/>
    <cellStyle name="Normal 26 15 2 4" xfId="31272" xr:uid="{00000000-0005-0000-0000-00003A770000}"/>
    <cellStyle name="Normal 26 15 2 5" xfId="31273" xr:uid="{00000000-0005-0000-0000-00003B770000}"/>
    <cellStyle name="Normal 26 15 2 6" xfId="31274" xr:uid="{00000000-0005-0000-0000-00003C770000}"/>
    <cellStyle name="Normal 26 15 3" xfId="31275" xr:uid="{00000000-0005-0000-0000-00003D770000}"/>
    <cellStyle name="Normal 26 15 3 2" xfId="31276" xr:uid="{00000000-0005-0000-0000-00003E770000}"/>
    <cellStyle name="Normal 26 15 3 3" xfId="31277" xr:uid="{00000000-0005-0000-0000-00003F770000}"/>
    <cellStyle name="Normal 26 15 3 4" xfId="31278" xr:uid="{00000000-0005-0000-0000-000040770000}"/>
    <cellStyle name="Normal 26 15 3 5" xfId="31279" xr:uid="{00000000-0005-0000-0000-000041770000}"/>
    <cellStyle name="Normal 26 15 3 6" xfId="31280" xr:uid="{00000000-0005-0000-0000-000042770000}"/>
    <cellStyle name="Normal 26 15 4" xfId="31281" xr:uid="{00000000-0005-0000-0000-000043770000}"/>
    <cellStyle name="Normal 26 15 4 2" xfId="31282" xr:uid="{00000000-0005-0000-0000-000044770000}"/>
    <cellStyle name="Normal 26 15 4 3" xfId="31283" xr:uid="{00000000-0005-0000-0000-000045770000}"/>
    <cellStyle name="Normal 26 15 4 4" xfId="31284" xr:uid="{00000000-0005-0000-0000-000046770000}"/>
    <cellStyle name="Normal 26 15 4 5" xfId="31285" xr:uid="{00000000-0005-0000-0000-000047770000}"/>
    <cellStyle name="Normal 26 15 4 6" xfId="31286" xr:uid="{00000000-0005-0000-0000-000048770000}"/>
    <cellStyle name="Normal 26 15 5" xfId="31287" xr:uid="{00000000-0005-0000-0000-000049770000}"/>
    <cellStyle name="Normal 26 15 5 2" xfId="31288" xr:uid="{00000000-0005-0000-0000-00004A770000}"/>
    <cellStyle name="Normal 26 15 5 3" xfId="31289" xr:uid="{00000000-0005-0000-0000-00004B770000}"/>
    <cellStyle name="Normal 26 15 5 4" xfId="31290" xr:uid="{00000000-0005-0000-0000-00004C770000}"/>
    <cellStyle name="Normal 26 15 5 5" xfId="31291" xr:uid="{00000000-0005-0000-0000-00004D770000}"/>
    <cellStyle name="Normal 26 15 5 6" xfId="31292" xr:uid="{00000000-0005-0000-0000-00004E770000}"/>
    <cellStyle name="Normal 26 15 6" xfId="31293" xr:uid="{00000000-0005-0000-0000-00004F770000}"/>
    <cellStyle name="Normal 26 15 6 2" xfId="31294" xr:uid="{00000000-0005-0000-0000-000050770000}"/>
    <cellStyle name="Normal 26 15 6 3" xfId="31295" xr:uid="{00000000-0005-0000-0000-000051770000}"/>
    <cellStyle name="Normal 26 15 6 4" xfId="31296" xr:uid="{00000000-0005-0000-0000-000052770000}"/>
    <cellStyle name="Normal 26 15 6 5" xfId="31297" xr:uid="{00000000-0005-0000-0000-000053770000}"/>
    <cellStyle name="Normal 26 15 6 6" xfId="31298" xr:uid="{00000000-0005-0000-0000-000054770000}"/>
    <cellStyle name="Normal 26 15 7" xfId="31299" xr:uid="{00000000-0005-0000-0000-000055770000}"/>
    <cellStyle name="Normal 26 15 7 2" xfId="31300" xr:uid="{00000000-0005-0000-0000-000056770000}"/>
    <cellStyle name="Normal 26 15 7 3" xfId="31301" xr:uid="{00000000-0005-0000-0000-000057770000}"/>
    <cellStyle name="Normal 26 15 7 4" xfId="31302" xr:uid="{00000000-0005-0000-0000-000058770000}"/>
    <cellStyle name="Normal 26 15 7 5" xfId="31303" xr:uid="{00000000-0005-0000-0000-000059770000}"/>
    <cellStyle name="Normal 26 15 7 6" xfId="31304" xr:uid="{00000000-0005-0000-0000-00005A770000}"/>
    <cellStyle name="Normal 26 15 8" xfId="31305" xr:uid="{00000000-0005-0000-0000-00005B770000}"/>
    <cellStyle name="Normal 26 15 8 2" xfId="31306" xr:uid="{00000000-0005-0000-0000-00005C770000}"/>
    <cellStyle name="Normal 26 15 8 3" xfId="31307" xr:uid="{00000000-0005-0000-0000-00005D770000}"/>
    <cellStyle name="Normal 26 15 8 4" xfId="31308" xr:uid="{00000000-0005-0000-0000-00005E770000}"/>
    <cellStyle name="Normal 26 15 8 5" xfId="31309" xr:uid="{00000000-0005-0000-0000-00005F770000}"/>
    <cellStyle name="Normal 26 15 8 6" xfId="31310" xr:uid="{00000000-0005-0000-0000-000060770000}"/>
    <cellStyle name="Normal 26 15 9" xfId="31311" xr:uid="{00000000-0005-0000-0000-000061770000}"/>
    <cellStyle name="Normal 26 16" xfId="31312" xr:uid="{00000000-0005-0000-0000-000062770000}"/>
    <cellStyle name="Normal 26 16 10" xfId="31313" xr:uid="{00000000-0005-0000-0000-000063770000}"/>
    <cellStyle name="Normal 26 16 11" xfId="31314" xr:uid="{00000000-0005-0000-0000-000064770000}"/>
    <cellStyle name="Normal 26 16 12" xfId="31315" xr:uid="{00000000-0005-0000-0000-000065770000}"/>
    <cellStyle name="Normal 26 16 13" xfId="31316" xr:uid="{00000000-0005-0000-0000-000066770000}"/>
    <cellStyle name="Normal 26 16 2" xfId="31317" xr:uid="{00000000-0005-0000-0000-000067770000}"/>
    <cellStyle name="Normal 26 16 2 2" xfId="31318" xr:uid="{00000000-0005-0000-0000-000068770000}"/>
    <cellStyle name="Normal 26 16 2 3" xfId="31319" xr:uid="{00000000-0005-0000-0000-000069770000}"/>
    <cellStyle name="Normal 26 16 2 4" xfId="31320" xr:uid="{00000000-0005-0000-0000-00006A770000}"/>
    <cellStyle name="Normal 26 16 2 5" xfId="31321" xr:uid="{00000000-0005-0000-0000-00006B770000}"/>
    <cellStyle name="Normal 26 16 2 6" xfId="31322" xr:uid="{00000000-0005-0000-0000-00006C770000}"/>
    <cellStyle name="Normal 26 16 3" xfId="31323" xr:uid="{00000000-0005-0000-0000-00006D770000}"/>
    <cellStyle name="Normal 26 16 3 2" xfId="31324" xr:uid="{00000000-0005-0000-0000-00006E770000}"/>
    <cellStyle name="Normal 26 16 3 3" xfId="31325" xr:uid="{00000000-0005-0000-0000-00006F770000}"/>
    <cellStyle name="Normal 26 16 3 4" xfId="31326" xr:uid="{00000000-0005-0000-0000-000070770000}"/>
    <cellStyle name="Normal 26 16 3 5" xfId="31327" xr:uid="{00000000-0005-0000-0000-000071770000}"/>
    <cellStyle name="Normal 26 16 3 6" xfId="31328" xr:uid="{00000000-0005-0000-0000-000072770000}"/>
    <cellStyle name="Normal 26 16 4" xfId="31329" xr:uid="{00000000-0005-0000-0000-000073770000}"/>
    <cellStyle name="Normal 26 16 4 2" xfId="31330" xr:uid="{00000000-0005-0000-0000-000074770000}"/>
    <cellStyle name="Normal 26 16 4 3" xfId="31331" xr:uid="{00000000-0005-0000-0000-000075770000}"/>
    <cellStyle name="Normal 26 16 4 4" xfId="31332" xr:uid="{00000000-0005-0000-0000-000076770000}"/>
    <cellStyle name="Normal 26 16 4 5" xfId="31333" xr:uid="{00000000-0005-0000-0000-000077770000}"/>
    <cellStyle name="Normal 26 16 4 6" xfId="31334" xr:uid="{00000000-0005-0000-0000-000078770000}"/>
    <cellStyle name="Normal 26 16 5" xfId="31335" xr:uid="{00000000-0005-0000-0000-000079770000}"/>
    <cellStyle name="Normal 26 16 5 2" xfId="31336" xr:uid="{00000000-0005-0000-0000-00007A770000}"/>
    <cellStyle name="Normal 26 16 5 3" xfId="31337" xr:uid="{00000000-0005-0000-0000-00007B770000}"/>
    <cellStyle name="Normal 26 16 5 4" xfId="31338" xr:uid="{00000000-0005-0000-0000-00007C770000}"/>
    <cellStyle name="Normal 26 16 5 5" xfId="31339" xr:uid="{00000000-0005-0000-0000-00007D770000}"/>
    <cellStyle name="Normal 26 16 5 6" xfId="31340" xr:uid="{00000000-0005-0000-0000-00007E770000}"/>
    <cellStyle name="Normal 26 16 6" xfId="31341" xr:uid="{00000000-0005-0000-0000-00007F770000}"/>
    <cellStyle name="Normal 26 16 6 2" xfId="31342" xr:uid="{00000000-0005-0000-0000-000080770000}"/>
    <cellStyle name="Normal 26 16 6 3" xfId="31343" xr:uid="{00000000-0005-0000-0000-000081770000}"/>
    <cellStyle name="Normal 26 16 6 4" xfId="31344" xr:uid="{00000000-0005-0000-0000-000082770000}"/>
    <cellStyle name="Normal 26 16 6 5" xfId="31345" xr:uid="{00000000-0005-0000-0000-000083770000}"/>
    <cellStyle name="Normal 26 16 6 6" xfId="31346" xr:uid="{00000000-0005-0000-0000-000084770000}"/>
    <cellStyle name="Normal 26 16 7" xfId="31347" xr:uid="{00000000-0005-0000-0000-000085770000}"/>
    <cellStyle name="Normal 26 16 7 2" xfId="31348" xr:uid="{00000000-0005-0000-0000-000086770000}"/>
    <cellStyle name="Normal 26 16 7 3" xfId="31349" xr:uid="{00000000-0005-0000-0000-000087770000}"/>
    <cellStyle name="Normal 26 16 7 4" xfId="31350" xr:uid="{00000000-0005-0000-0000-000088770000}"/>
    <cellStyle name="Normal 26 16 7 5" xfId="31351" xr:uid="{00000000-0005-0000-0000-000089770000}"/>
    <cellStyle name="Normal 26 16 7 6" xfId="31352" xr:uid="{00000000-0005-0000-0000-00008A770000}"/>
    <cellStyle name="Normal 26 16 8" xfId="31353" xr:uid="{00000000-0005-0000-0000-00008B770000}"/>
    <cellStyle name="Normal 26 16 8 2" xfId="31354" xr:uid="{00000000-0005-0000-0000-00008C770000}"/>
    <cellStyle name="Normal 26 16 8 3" xfId="31355" xr:uid="{00000000-0005-0000-0000-00008D770000}"/>
    <cellStyle name="Normal 26 16 8 4" xfId="31356" xr:uid="{00000000-0005-0000-0000-00008E770000}"/>
    <cellStyle name="Normal 26 16 8 5" xfId="31357" xr:uid="{00000000-0005-0000-0000-00008F770000}"/>
    <cellStyle name="Normal 26 16 8 6" xfId="31358" xr:uid="{00000000-0005-0000-0000-000090770000}"/>
    <cellStyle name="Normal 26 16 9" xfId="31359" xr:uid="{00000000-0005-0000-0000-000091770000}"/>
    <cellStyle name="Normal 26 17" xfId="31360" xr:uid="{00000000-0005-0000-0000-000092770000}"/>
    <cellStyle name="Normal 26 17 10" xfId="31361" xr:uid="{00000000-0005-0000-0000-000093770000}"/>
    <cellStyle name="Normal 26 17 11" xfId="31362" xr:uid="{00000000-0005-0000-0000-000094770000}"/>
    <cellStyle name="Normal 26 17 12" xfId="31363" xr:uid="{00000000-0005-0000-0000-000095770000}"/>
    <cellStyle name="Normal 26 17 13" xfId="31364" xr:uid="{00000000-0005-0000-0000-000096770000}"/>
    <cellStyle name="Normal 26 17 2" xfId="31365" xr:uid="{00000000-0005-0000-0000-000097770000}"/>
    <cellStyle name="Normal 26 17 2 2" xfId="31366" xr:uid="{00000000-0005-0000-0000-000098770000}"/>
    <cellStyle name="Normal 26 17 2 3" xfId="31367" xr:uid="{00000000-0005-0000-0000-000099770000}"/>
    <cellStyle name="Normal 26 17 2 4" xfId="31368" xr:uid="{00000000-0005-0000-0000-00009A770000}"/>
    <cellStyle name="Normal 26 17 2 5" xfId="31369" xr:uid="{00000000-0005-0000-0000-00009B770000}"/>
    <cellStyle name="Normal 26 17 2 6" xfId="31370" xr:uid="{00000000-0005-0000-0000-00009C770000}"/>
    <cellStyle name="Normal 26 17 3" xfId="31371" xr:uid="{00000000-0005-0000-0000-00009D770000}"/>
    <cellStyle name="Normal 26 17 3 2" xfId="31372" xr:uid="{00000000-0005-0000-0000-00009E770000}"/>
    <cellStyle name="Normal 26 17 3 3" xfId="31373" xr:uid="{00000000-0005-0000-0000-00009F770000}"/>
    <cellStyle name="Normal 26 17 3 4" xfId="31374" xr:uid="{00000000-0005-0000-0000-0000A0770000}"/>
    <cellStyle name="Normal 26 17 3 5" xfId="31375" xr:uid="{00000000-0005-0000-0000-0000A1770000}"/>
    <cellStyle name="Normal 26 17 3 6" xfId="31376" xr:uid="{00000000-0005-0000-0000-0000A2770000}"/>
    <cellStyle name="Normal 26 17 4" xfId="31377" xr:uid="{00000000-0005-0000-0000-0000A3770000}"/>
    <cellStyle name="Normal 26 17 4 2" xfId="31378" xr:uid="{00000000-0005-0000-0000-0000A4770000}"/>
    <cellStyle name="Normal 26 17 4 3" xfId="31379" xr:uid="{00000000-0005-0000-0000-0000A5770000}"/>
    <cellStyle name="Normal 26 17 4 4" xfId="31380" xr:uid="{00000000-0005-0000-0000-0000A6770000}"/>
    <cellStyle name="Normal 26 17 4 5" xfId="31381" xr:uid="{00000000-0005-0000-0000-0000A7770000}"/>
    <cellStyle name="Normal 26 17 4 6" xfId="31382" xr:uid="{00000000-0005-0000-0000-0000A8770000}"/>
    <cellStyle name="Normal 26 17 5" xfId="31383" xr:uid="{00000000-0005-0000-0000-0000A9770000}"/>
    <cellStyle name="Normal 26 17 5 2" xfId="31384" xr:uid="{00000000-0005-0000-0000-0000AA770000}"/>
    <cellStyle name="Normal 26 17 5 3" xfId="31385" xr:uid="{00000000-0005-0000-0000-0000AB770000}"/>
    <cellStyle name="Normal 26 17 5 4" xfId="31386" xr:uid="{00000000-0005-0000-0000-0000AC770000}"/>
    <cellStyle name="Normal 26 17 5 5" xfId="31387" xr:uid="{00000000-0005-0000-0000-0000AD770000}"/>
    <cellStyle name="Normal 26 17 5 6" xfId="31388" xr:uid="{00000000-0005-0000-0000-0000AE770000}"/>
    <cellStyle name="Normal 26 17 6" xfId="31389" xr:uid="{00000000-0005-0000-0000-0000AF770000}"/>
    <cellStyle name="Normal 26 17 6 2" xfId="31390" xr:uid="{00000000-0005-0000-0000-0000B0770000}"/>
    <cellStyle name="Normal 26 17 6 3" xfId="31391" xr:uid="{00000000-0005-0000-0000-0000B1770000}"/>
    <cellStyle name="Normal 26 17 6 4" xfId="31392" xr:uid="{00000000-0005-0000-0000-0000B2770000}"/>
    <cellStyle name="Normal 26 17 6 5" xfId="31393" xr:uid="{00000000-0005-0000-0000-0000B3770000}"/>
    <cellStyle name="Normal 26 17 6 6" xfId="31394" xr:uid="{00000000-0005-0000-0000-0000B4770000}"/>
    <cellStyle name="Normal 26 17 7" xfId="31395" xr:uid="{00000000-0005-0000-0000-0000B5770000}"/>
    <cellStyle name="Normal 26 17 7 2" xfId="31396" xr:uid="{00000000-0005-0000-0000-0000B6770000}"/>
    <cellStyle name="Normal 26 17 7 3" xfId="31397" xr:uid="{00000000-0005-0000-0000-0000B7770000}"/>
    <cellStyle name="Normal 26 17 7 4" xfId="31398" xr:uid="{00000000-0005-0000-0000-0000B8770000}"/>
    <cellStyle name="Normal 26 17 7 5" xfId="31399" xr:uid="{00000000-0005-0000-0000-0000B9770000}"/>
    <cellStyle name="Normal 26 17 7 6" xfId="31400" xr:uid="{00000000-0005-0000-0000-0000BA770000}"/>
    <cellStyle name="Normal 26 17 8" xfId="31401" xr:uid="{00000000-0005-0000-0000-0000BB770000}"/>
    <cellStyle name="Normal 26 17 8 2" xfId="31402" xr:uid="{00000000-0005-0000-0000-0000BC770000}"/>
    <cellStyle name="Normal 26 17 8 3" xfId="31403" xr:uid="{00000000-0005-0000-0000-0000BD770000}"/>
    <cellStyle name="Normal 26 17 8 4" xfId="31404" xr:uid="{00000000-0005-0000-0000-0000BE770000}"/>
    <cellStyle name="Normal 26 17 8 5" xfId="31405" xr:uid="{00000000-0005-0000-0000-0000BF770000}"/>
    <cellStyle name="Normal 26 17 8 6" xfId="31406" xr:uid="{00000000-0005-0000-0000-0000C0770000}"/>
    <cellStyle name="Normal 26 17 9" xfId="31407" xr:uid="{00000000-0005-0000-0000-0000C1770000}"/>
    <cellStyle name="Normal 26 18" xfId="31408" xr:uid="{00000000-0005-0000-0000-0000C2770000}"/>
    <cellStyle name="Normal 26 18 2" xfId="31409" xr:uid="{00000000-0005-0000-0000-0000C3770000}"/>
    <cellStyle name="Normal 26 18 3" xfId="31410" xr:uid="{00000000-0005-0000-0000-0000C4770000}"/>
    <cellStyle name="Normal 26 18 4" xfId="31411" xr:uid="{00000000-0005-0000-0000-0000C5770000}"/>
    <cellStyle name="Normal 26 18 5" xfId="31412" xr:uid="{00000000-0005-0000-0000-0000C6770000}"/>
    <cellStyle name="Normal 26 18 6" xfId="31413" xr:uid="{00000000-0005-0000-0000-0000C7770000}"/>
    <cellStyle name="Normal 26 19" xfId="31414" xr:uid="{00000000-0005-0000-0000-0000C8770000}"/>
    <cellStyle name="Normal 26 19 2" xfId="31415" xr:uid="{00000000-0005-0000-0000-0000C9770000}"/>
    <cellStyle name="Normal 26 19 3" xfId="31416" xr:uid="{00000000-0005-0000-0000-0000CA770000}"/>
    <cellStyle name="Normal 26 19 4" xfId="31417" xr:uid="{00000000-0005-0000-0000-0000CB770000}"/>
    <cellStyle name="Normal 26 19 5" xfId="31418" xr:uid="{00000000-0005-0000-0000-0000CC770000}"/>
    <cellStyle name="Normal 26 19 6" xfId="31419" xr:uid="{00000000-0005-0000-0000-0000CD770000}"/>
    <cellStyle name="Normal 26 2" xfId="1860" xr:uid="{00000000-0005-0000-0000-0000CE770000}"/>
    <cellStyle name="Normal 26 2 10" xfId="31420" xr:uid="{00000000-0005-0000-0000-0000CF770000}"/>
    <cellStyle name="Normal 26 2 11" xfId="31421" xr:uid="{00000000-0005-0000-0000-0000D0770000}"/>
    <cellStyle name="Normal 26 2 12" xfId="31422" xr:uid="{00000000-0005-0000-0000-0000D1770000}"/>
    <cellStyle name="Normal 26 2 13" xfId="31423" xr:uid="{00000000-0005-0000-0000-0000D2770000}"/>
    <cellStyle name="Normal 26 2 14" xfId="43242" xr:uid="{00000000-0005-0000-0000-0000D3770000}"/>
    <cellStyle name="Normal 26 2 2" xfId="2056" xr:uid="{00000000-0005-0000-0000-0000D4770000}"/>
    <cellStyle name="Normal 26 2 2 2" xfId="2515" xr:uid="{00000000-0005-0000-0000-0000D5770000}"/>
    <cellStyle name="Normal 26 2 2 3" xfId="31424" xr:uid="{00000000-0005-0000-0000-0000D6770000}"/>
    <cellStyle name="Normal 26 2 2 4" xfId="31425" xr:uid="{00000000-0005-0000-0000-0000D7770000}"/>
    <cellStyle name="Normal 26 2 2 5" xfId="31426" xr:uid="{00000000-0005-0000-0000-0000D8770000}"/>
    <cellStyle name="Normal 26 2 2 6" xfId="31427" xr:uid="{00000000-0005-0000-0000-0000D9770000}"/>
    <cellStyle name="Normal 26 2 2 7" xfId="43330" xr:uid="{00000000-0005-0000-0000-0000DA770000}"/>
    <cellStyle name="Normal 26 2 3" xfId="2516" xr:uid="{00000000-0005-0000-0000-0000DB770000}"/>
    <cellStyle name="Normal 26 2 3 2" xfId="31428" xr:uid="{00000000-0005-0000-0000-0000DC770000}"/>
    <cellStyle name="Normal 26 2 3 3" xfId="31429" xr:uid="{00000000-0005-0000-0000-0000DD770000}"/>
    <cellStyle name="Normal 26 2 3 4" xfId="31430" xr:uid="{00000000-0005-0000-0000-0000DE770000}"/>
    <cellStyle name="Normal 26 2 3 5" xfId="31431" xr:uid="{00000000-0005-0000-0000-0000DF770000}"/>
    <cellStyle name="Normal 26 2 3 6" xfId="31432" xr:uid="{00000000-0005-0000-0000-0000E0770000}"/>
    <cellStyle name="Normal 26 2 3 7" xfId="43331" xr:uid="{00000000-0005-0000-0000-0000E1770000}"/>
    <cellStyle name="Normal 26 2 4" xfId="2425" xr:uid="{00000000-0005-0000-0000-0000E2770000}"/>
    <cellStyle name="Normal 26 2 4 2" xfId="31433" xr:uid="{00000000-0005-0000-0000-0000E3770000}"/>
    <cellStyle name="Normal 26 2 4 3" xfId="31434" xr:uid="{00000000-0005-0000-0000-0000E4770000}"/>
    <cellStyle name="Normal 26 2 4 4" xfId="31435" xr:uid="{00000000-0005-0000-0000-0000E5770000}"/>
    <cellStyle name="Normal 26 2 4 5" xfId="31436" xr:uid="{00000000-0005-0000-0000-0000E6770000}"/>
    <cellStyle name="Normal 26 2 4 6" xfId="31437" xr:uid="{00000000-0005-0000-0000-0000E7770000}"/>
    <cellStyle name="Normal 26 2 5" xfId="2391" xr:uid="{00000000-0005-0000-0000-0000E8770000}"/>
    <cellStyle name="Normal 26 2 5 2" xfId="31438" xr:uid="{00000000-0005-0000-0000-0000E9770000}"/>
    <cellStyle name="Normal 26 2 5 3" xfId="31439" xr:uid="{00000000-0005-0000-0000-0000EA770000}"/>
    <cellStyle name="Normal 26 2 5 4" xfId="31440" xr:uid="{00000000-0005-0000-0000-0000EB770000}"/>
    <cellStyle name="Normal 26 2 5 5" xfId="31441" xr:uid="{00000000-0005-0000-0000-0000EC770000}"/>
    <cellStyle name="Normal 26 2 5 6" xfId="31442" xr:uid="{00000000-0005-0000-0000-0000ED770000}"/>
    <cellStyle name="Normal 26 2 6" xfId="31443" xr:uid="{00000000-0005-0000-0000-0000EE770000}"/>
    <cellStyle name="Normal 26 2 6 2" xfId="31444" xr:uid="{00000000-0005-0000-0000-0000EF770000}"/>
    <cellStyle name="Normal 26 2 6 3" xfId="31445" xr:uid="{00000000-0005-0000-0000-0000F0770000}"/>
    <cellStyle name="Normal 26 2 6 4" xfId="31446" xr:uid="{00000000-0005-0000-0000-0000F1770000}"/>
    <cellStyle name="Normal 26 2 6 5" xfId="31447" xr:uid="{00000000-0005-0000-0000-0000F2770000}"/>
    <cellStyle name="Normal 26 2 6 6" xfId="31448" xr:uid="{00000000-0005-0000-0000-0000F3770000}"/>
    <cellStyle name="Normal 26 2 7" xfId="31449" xr:uid="{00000000-0005-0000-0000-0000F4770000}"/>
    <cellStyle name="Normal 26 2 7 2" xfId="31450" xr:uid="{00000000-0005-0000-0000-0000F5770000}"/>
    <cellStyle name="Normal 26 2 7 3" xfId="31451" xr:uid="{00000000-0005-0000-0000-0000F6770000}"/>
    <cellStyle name="Normal 26 2 7 4" xfId="31452" xr:uid="{00000000-0005-0000-0000-0000F7770000}"/>
    <cellStyle name="Normal 26 2 7 5" xfId="31453" xr:uid="{00000000-0005-0000-0000-0000F8770000}"/>
    <cellStyle name="Normal 26 2 7 6" xfId="31454" xr:uid="{00000000-0005-0000-0000-0000F9770000}"/>
    <cellStyle name="Normal 26 2 8" xfId="31455" xr:uid="{00000000-0005-0000-0000-0000FA770000}"/>
    <cellStyle name="Normal 26 2 8 2" xfId="31456" xr:uid="{00000000-0005-0000-0000-0000FB770000}"/>
    <cellStyle name="Normal 26 2 8 3" xfId="31457" xr:uid="{00000000-0005-0000-0000-0000FC770000}"/>
    <cellStyle name="Normal 26 2 8 4" xfId="31458" xr:uid="{00000000-0005-0000-0000-0000FD770000}"/>
    <cellStyle name="Normal 26 2 8 5" xfId="31459" xr:uid="{00000000-0005-0000-0000-0000FE770000}"/>
    <cellStyle name="Normal 26 2 8 6" xfId="31460" xr:uid="{00000000-0005-0000-0000-0000FF770000}"/>
    <cellStyle name="Normal 26 2 9" xfId="31461" xr:uid="{00000000-0005-0000-0000-000000780000}"/>
    <cellStyle name="Normal 26 20" xfId="31462" xr:uid="{00000000-0005-0000-0000-000001780000}"/>
    <cellStyle name="Normal 26 20 2" xfId="31463" xr:uid="{00000000-0005-0000-0000-000002780000}"/>
    <cellStyle name="Normal 26 20 3" xfId="31464" xr:uid="{00000000-0005-0000-0000-000003780000}"/>
    <cellStyle name="Normal 26 20 4" xfId="31465" xr:uid="{00000000-0005-0000-0000-000004780000}"/>
    <cellStyle name="Normal 26 20 5" xfId="31466" xr:uid="{00000000-0005-0000-0000-000005780000}"/>
    <cellStyle name="Normal 26 20 6" xfId="31467" xr:uid="{00000000-0005-0000-0000-000006780000}"/>
    <cellStyle name="Normal 26 21" xfId="31468" xr:uid="{00000000-0005-0000-0000-000007780000}"/>
    <cellStyle name="Normal 26 21 2" xfId="31469" xr:uid="{00000000-0005-0000-0000-000008780000}"/>
    <cellStyle name="Normal 26 21 3" xfId="31470" xr:uid="{00000000-0005-0000-0000-000009780000}"/>
    <cellStyle name="Normal 26 21 4" xfId="31471" xr:uid="{00000000-0005-0000-0000-00000A780000}"/>
    <cellStyle name="Normal 26 21 5" xfId="31472" xr:uid="{00000000-0005-0000-0000-00000B780000}"/>
    <cellStyle name="Normal 26 21 6" xfId="31473" xr:uid="{00000000-0005-0000-0000-00000C780000}"/>
    <cellStyle name="Normal 26 22" xfId="31474" xr:uid="{00000000-0005-0000-0000-00000D780000}"/>
    <cellStyle name="Normal 26 22 2" xfId="31475" xr:uid="{00000000-0005-0000-0000-00000E780000}"/>
    <cellStyle name="Normal 26 22 3" xfId="31476" xr:uid="{00000000-0005-0000-0000-00000F780000}"/>
    <cellStyle name="Normal 26 22 4" xfId="31477" xr:uid="{00000000-0005-0000-0000-000010780000}"/>
    <cellStyle name="Normal 26 22 5" xfId="31478" xr:uid="{00000000-0005-0000-0000-000011780000}"/>
    <cellStyle name="Normal 26 22 6" xfId="31479" xr:uid="{00000000-0005-0000-0000-000012780000}"/>
    <cellStyle name="Normal 26 23" xfId="31480" xr:uid="{00000000-0005-0000-0000-000013780000}"/>
    <cellStyle name="Normal 26 23 2" xfId="31481" xr:uid="{00000000-0005-0000-0000-000014780000}"/>
    <cellStyle name="Normal 26 23 3" xfId="31482" xr:uid="{00000000-0005-0000-0000-000015780000}"/>
    <cellStyle name="Normal 26 23 4" xfId="31483" xr:uid="{00000000-0005-0000-0000-000016780000}"/>
    <cellStyle name="Normal 26 23 5" xfId="31484" xr:uid="{00000000-0005-0000-0000-000017780000}"/>
    <cellStyle name="Normal 26 23 6" xfId="31485" xr:uid="{00000000-0005-0000-0000-000018780000}"/>
    <cellStyle name="Normal 26 24" xfId="31486" xr:uid="{00000000-0005-0000-0000-000019780000}"/>
    <cellStyle name="Normal 26 24 2" xfId="31487" xr:uid="{00000000-0005-0000-0000-00001A780000}"/>
    <cellStyle name="Normal 26 24 3" xfId="31488" xr:uid="{00000000-0005-0000-0000-00001B780000}"/>
    <cellStyle name="Normal 26 24 4" xfId="31489" xr:uid="{00000000-0005-0000-0000-00001C780000}"/>
    <cellStyle name="Normal 26 24 5" xfId="31490" xr:uid="{00000000-0005-0000-0000-00001D780000}"/>
    <cellStyle name="Normal 26 24 6" xfId="31491" xr:uid="{00000000-0005-0000-0000-00001E780000}"/>
    <cellStyle name="Normal 26 25" xfId="31492" xr:uid="{00000000-0005-0000-0000-00001F780000}"/>
    <cellStyle name="Normal 26 26" xfId="31493" xr:uid="{00000000-0005-0000-0000-000020780000}"/>
    <cellStyle name="Normal 26 27" xfId="31494" xr:uid="{00000000-0005-0000-0000-000021780000}"/>
    <cellStyle name="Normal 26 28" xfId="31495" xr:uid="{00000000-0005-0000-0000-000022780000}"/>
    <cellStyle name="Normal 26 29" xfId="31496" xr:uid="{00000000-0005-0000-0000-000023780000}"/>
    <cellStyle name="Normal 26 3" xfId="1960" xr:uid="{00000000-0005-0000-0000-000024780000}"/>
    <cellStyle name="Normal 26 3 10" xfId="31497" xr:uid="{00000000-0005-0000-0000-000025780000}"/>
    <cellStyle name="Normal 26 3 11" xfId="31498" xr:uid="{00000000-0005-0000-0000-000026780000}"/>
    <cellStyle name="Normal 26 3 12" xfId="31499" xr:uid="{00000000-0005-0000-0000-000027780000}"/>
    <cellStyle name="Normal 26 3 13" xfId="31500" xr:uid="{00000000-0005-0000-0000-000028780000}"/>
    <cellStyle name="Normal 26 3 14" xfId="43332" xr:uid="{00000000-0005-0000-0000-000029780000}"/>
    <cellStyle name="Normal 26 3 2" xfId="2517" xr:uid="{00000000-0005-0000-0000-00002A780000}"/>
    <cellStyle name="Normal 26 3 2 2" xfId="31501" xr:uid="{00000000-0005-0000-0000-00002B780000}"/>
    <cellStyle name="Normal 26 3 2 3" xfId="31502" xr:uid="{00000000-0005-0000-0000-00002C780000}"/>
    <cellStyle name="Normal 26 3 2 4" xfId="31503" xr:uid="{00000000-0005-0000-0000-00002D780000}"/>
    <cellStyle name="Normal 26 3 2 5" xfId="31504" xr:uid="{00000000-0005-0000-0000-00002E780000}"/>
    <cellStyle name="Normal 26 3 2 6" xfId="31505" xr:uid="{00000000-0005-0000-0000-00002F780000}"/>
    <cellStyle name="Normal 26 3 3" xfId="31506" xr:uid="{00000000-0005-0000-0000-000030780000}"/>
    <cellStyle name="Normal 26 3 3 2" xfId="31507" xr:uid="{00000000-0005-0000-0000-000031780000}"/>
    <cellStyle name="Normal 26 3 3 3" xfId="31508" xr:uid="{00000000-0005-0000-0000-000032780000}"/>
    <cellStyle name="Normal 26 3 3 4" xfId="31509" xr:uid="{00000000-0005-0000-0000-000033780000}"/>
    <cellStyle name="Normal 26 3 3 5" xfId="31510" xr:uid="{00000000-0005-0000-0000-000034780000}"/>
    <cellStyle name="Normal 26 3 3 6" xfId="31511" xr:uid="{00000000-0005-0000-0000-000035780000}"/>
    <cellStyle name="Normal 26 3 4" xfId="31512" xr:uid="{00000000-0005-0000-0000-000036780000}"/>
    <cellStyle name="Normal 26 3 4 2" xfId="31513" xr:uid="{00000000-0005-0000-0000-000037780000}"/>
    <cellStyle name="Normal 26 3 4 3" xfId="31514" xr:uid="{00000000-0005-0000-0000-000038780000}"/>
    <cellStyle name="Normal 26 3 4 4" xfId="31515" xr:uid="{00000000-0005-0000-0000-000039780000}"/>
    <cellStyle name="Normal 26 3 4 5" xfId="31516" xr:uid="{00000000-0005-0000-0000-00003A780000}"/>
    <cellStyle name="Normal 26 3 4 6" xfId="31517" xr:uid="{00000000-0005-0000-0000-00003B780000}"/>
    <cellStyle name="Normal 26 3 5" xfId="31518" xr:uid="{00000000-0005-0000-0000-00003C780000}"/>
    <cellStyle name="Normal 26 3 5 2" xfId="31519" xr:uid="{00000000-0005-0000-0000-00003D780000}"/>
    <cellStyle name="Normal 26 3 5 3" xfId="31520" xr:uid="{00000000-0005-0000-0000-00003E780000}"/>
    <cellStyle name="Normal 26 3 5 4" xfId="31521" xr:uid="{00000000-0005-0000-0000-00003F780000}"/>
    <cellStyle name="Normal 26 3 5 5" xfId="31522" xr:uid="{00000000-0005-0000-0000-000040780000}"/>
    <cellStyle name="Normal 26 3 5 6" xfId="31523" xr:uid="{00000000-0005-0000-0000-000041780000}"/>
    <cellStyle name="Normal 26 3 6" xfId="31524" xr:uid="{00000000-0005-0000-0000-000042780000}"/>
    <cellStyle name="Normal 26 3 6 2" xfId="31525" xr:uid="{00000000-0005-0000-0000-000043780000}"/>
    <cellStyle name="Normal 26 3 6 3" xfId="31526" xr:uid="{00000000-0005-0000-0000-000044780000}"/>
    <cellStyle name="Normal 26 3 6 4" xfId="31527" xr:uid="{00000000-0005-0000-0000-000045780000}"/>
    <cellStyle name="Normal 26 3 6 5" xfId="31528" xr:uid="{00000000-0005-0000-0000-000046780000}"/>
    <cellStyle name="Normal 26 3 6 6" xfId="31529" xr:uid="{00000000-0005-0000-0000-000047780000}"/>
    <cellStyle name="Normal 26 3 7" xfId="31530" xr:uid="{00000000-0005-0000-0000-000048780000}"/>
    <cellStyle name="Normal 26 3 7 2" xfId="31531" xr:uid="{00000000-0005-0000-0000-000049780000}"/>
    <cellStyle name="Normal 26 3 7 3" xfId="31532" xr:uid="{00000000-0005-0000-0000-00004A780000}"/>
    <cellStyle name="Normal 26 3 7 4" xfId="31533" xr:uid="{00000000-0005-0000-0000-00004B780000}"/>
    <cellStyle name="Normal 26 3 7 5" xfId="31534" xr:uid="{00000000-0005-0000-0000-00004C780000}"/>
    <cellStyle name="Normal 26 3 7 6" xfId="31535" xr:uid="{00000000-0005-0000-0000-00004D780000}"/>
    <cellStyle name="Normal 26 3 8" xfId="31536" xr:uid="{00000000-0005-0000-0000-00004E780000}"/>
    <cellStyle name="Normal 26 3 8 2" xfId="31537" xr:uid="{00000000-0005-0000-0000-00004F780000}"/>
    <cellStyle name="Normal 26 3 8 3" xfId="31538" xr:uid="{00000000-0005-0000-0000-000050780000}"/>
    <cellStyle name="Normal 26 3 8 4" xfId="31539" xr:uid="{00000000-0005-0000-0000-000051780000}"/>
    <cellStyle name="Normal 26 3 8 5" xfId="31540" xr:uid="{00000000-0005-0000-0000-000052780000}"/>
    <cellStyle name="Normal 26 3 8 6" xfId="31541" xr:uid="{00000000-0005-0000-0000-000053780000}"/>
    <cellStyle name="Normal 26 3 9" xfId="31542" xr:uid="{00000000-0005-0000-0000-000054780000}"/>
    <cellStyle name="Normal 26 30" xfId="43241" xr:uid="{00000000-0005-0000-0000-000055780000}"/>
    <cellStyle name="Normal 26 4" xfId="2518" xr:uid="{00000000-0005-0000-0000-000056780000}"/>
    <cellStyle name="Normal 26 4 10" xfId="31543" xr:uid="{00000000-0005-0000-0000-000057780000}"/>
    <cellStyle name="Normal 26 4 11" xfId="31544" xr:uid="{00000000-0005-0000-0000-000058780000}"/>
    <cellStyle name="Normal 26 4 12" xfId="31545" xr:uid="{00000000-0005-0000-0000-000059780000}"/>
    <cellStyle name="Normal 26 4 13" xfId="31546" xr:uid="{00000000-0005-0000-0000-00005A780000}"/>
    <cellStyle name="Normal 26 4 14" xfId="43333" xr:uid="{00000000-0005-0000-0000-00005B780000}"/>
    <cellStyle name="Normal 26 4 2" xfId="31547" xr:uid="{00000000-0005-0000-0000-00005C780000}"/>
    <cellStyle name="Normal 26 4 2 2" xfId="31548" xr:uid="{00000000-0005-0000-0000-00005D780000}"/>
    <cellStyle name="Normal 26 4 2 3" xfId="31549" xr:uid="{00000000-0005-0000-0000-00005E780000}"/>
    <cellStyle name="Normal 26 4 2 4" xfId="31550" xr:uid="{00000000-0005-0000-0000-00005F780000}"/>
    <cellStyle name="Normal 26 4 2 5" xfId="31551" xr:uid="{00000000-0005-0000-0000-000060780000}"/>
    <cellStyle name="Normal 26 4 2 6" xfId="31552" xr:uid="{00000000-0005-0000-0000-000061780000}"/>
    <cellStyle name="Normal 26 4 3" xfId="31553" xr:uid="{00000000-0005-0000-0000-000062780000}"/>
    <cellStyle name="Normal 26 4 3 2" xfId="31554" xr:uid="{00000000-0005-0000-0000-000063780000}"/>
    <cellStyle name="Normal 26 4 3 3" xfId="31555" xr:uid="{00000000-0005-0000-0000-000064780000}"/>
    <cellStyle name="Normal 26 4 3 4" xfId="31556" xr:uid="{00000000-0005-0000-0000-000065780000}"/>
    <cellStyle name="Normal 26 4 3 5" xfId="31557" xr:uid="{00000000-0005-0000-0000-000066780000}"/>
    <cellStyle name="Normal 26 4 3 6" xfId="31558" xr:uid="{00000000-0005-0000-0000-000067780000}"/>
    <cellStyle name="Normal 26 4 4" xfId="31559" xr:uid="{00000000-0005-0000-0000-000068780000}"/>
    <cellStyle name="Normal 26 4 4 2" xfId="31560" xr:uid="{00000000-0005-0000-0000-000069780000}"/>
    <cellStyle name="Normal 26 4 4 3" xfId="31561" xr:uid="{00000000-0005-0000-0000-00006A780000}"/>
    <cellStyle name="Normal 26 4 4 4" xfId="31562" xr:uid="{00000000-0005-0000-0000-00006B780000}"/>
    <cellStyle name="Normal 26 4 4 5" xfId="31563" xr:uid="{00000000-0005-0000-0000-00006C780000}"/>
    <cellStyle name="Normal 26 4 4 6" xfId="31564" xr:uid="{00000000-0005-0000-0000-00006D780000}"/>
    <cellStyle name="Normal 26 4 5" xfId="31565" xr:uid="{00000000-0005-0000-0000-00006E780000}"/>
    <cellStyle name="Normal 26 4 5 2" xfId="31566" xr:uid="{00000000-0005-0000-0000-00006F780000}"/>
    <cellStyle name="Normal 26 4 5 3" xfId="31567" xr:uid="{00000000-0005-0000-0000-000070780000}"/>
    <cellStyle name="Normal 26 4 5 4" xfId="31568" xr:uid="{00000000-0005-0000-0000-000071780000}"/>
    <cellStyle name="Normal 26 4 5 5" xfId="31569" xr:uid="{00000000-0005-0000-0000-000072780000}"/>
    <cellStyle name="Normal 26 4 5 6" xfId="31570" xr:uid="{00000000-0005-0000-0000-000073780000}"/>
    <cellStyle name="Normal 26 4 6" xfId="31571" xr:uid="{00000000-0005-0000-0000-000074780000}"/>
    <cellStyle name="Normal 26 4 6 2" xfId="31572" xr:uid="{00000000-0005-0000-0000-000075780000}"/>
    <cellStyle name="Normal 26 4 6 3" xfId="31573" xr:uid="{00000000-0005-0000-0000-000076780000}"/>
    <cellStyle name="Normal 26 4 6 4" xfId="31574" xr:uid="{00000000-0005-0000-0000-000077780000}"/>
    <cellStyle name="Normal 26 4 6 5" xfId="31575" xr:uid="{00000000-0005-0000-0000-000078780000}"/>
    <cellStyle name="Normal 26 4 6 6" xfId="31576" xr:uid="{00000000-0005-0000-0000-000079780000}"/>
    <cellStyle name="Normal 26 4 7" xfId="31577" xr:uid="{00000000-0005-0000-0000-00007A780000}"/>
    <cellStyle name="Normal 26 4 7 2" xfId="31578" xr:uid="{00000000-0005-0000-0000-00007B780000}"/>
    <cellStyle name="Normal 26 4 7 3" xfId="31579" xr:uid="{00000000-0005-0000-0000-00007C780000}"/>
    <cellStyle name="Normal 26 4 7 4" xfId="31580" xr:uid="{00000000-0005-0000-0000-00007D780000}"/>
    <cellStyle name="Normal 26 4 7 5" xfId="31581" xr:uid="{00000000-0005-0000-0000-00007E780000}"/>
    <cellStyle name="Normal 26 4 7 6" xfId="31582" xr:uid="{00000000-0005-0000-0000-00007F780000}"/>
    <cellStyle name="Normal 26 4 8" xfId="31583" xr:uid="{00000000-0005-0000-0000-000080780000}"/>
    <cellStyle name="Normal 26 4 8 2" xfId="31584" xr:uid="{00000000-0005-0000-0000-000081780000}"/>
    <cellStyle name="Normal 26 4 8 3" xfId="31585" xr:uid="{00000000-0005-0000-0000-000082780000}"/>
    <cellStyle name="Normal 26 4 8 4" xfId="31586" xr:uid="{00000000-0005-0000-0000-000083780000}"/>
    <cellStyle name="Normal 26 4 8 5" xfId="31587" xr:uid="{00000000-0005-0000-0000-000084780000}"/>
    <cellStyle name="Normal 26 4 8 6" xfId="31588" xr:uid="{00000000-0005-0000-0000-000085780000}"/>
    <cellStyle name="Normal 26 4 9" xfId="31589" xr:uid="{00000000-0005-0000-0000-000086780000}"/>
    <cellStyle name="Normal 26 5" xfId="2424" xr:uid="{00000000-0005-0000-0000-000087780000}"/>
    <cellStyle name="Normal 26 5 10" xfId="31590" xr:uid="{00000000-0005-0000-0000-000088780000}"/>
    <cellStyle name="Normal 26 5 11" xfId="31591" xr:uid="{00000000-0005-0000-0000-000089780000}"/>
    <cellStyle name="Normal 26 5 12" xfId="31592" xr:uid="{00000000-0005-0000-0000-00008A780000}"/>
    <cellStyle name="Normal 26 5 13" xfId="31593" xr:uid="{00000000-0005-0000-0000-00008B780000}"/>
    <cellStyle name="Normal 26 5 2" xfId="31594" xr:uid="{00000000-0005-0000-0000-00008C780000}"/>
    <cellStyle name="Normal 26 5 2 2" xfId="31595" xr:uid="{00000000-0005-0000-0000-00008D780000}"/>
    <cellStyle name="Normal 26 5 2 3" xfId="31596" xr:uid="{00000000-0005-0000-0000-00008E780000}"/>
    <cellStyle name="Normal 26 5 2 4" xfId="31597" xr:uid="{00000000-0005-0000-0000-00008F780000}"/>
    <cellStyle name="Normal 26 5 2 5" xfId="31598" xr:uid="{00000000-0005-0000-0000-000090780000}"/>
    <cellStyle name="Normal 26 5 2 6" xfId="31599" xr:uid="{00000000-0005-0000-0000-000091780000}"/>
    <cellStyle name="Normal 26 5 3" xfId="31600" xr:uid="{00000000-0005-0000-0000-000092780000}"/>
    <cellStyle name="Normal 26 5 3 2" xfId="31601" xr:uid="{00000000-0005-0000-0000-000093780000}"/>
    <cellStyle name="Normal 26 5 3 3" xfId="31602" xr:uid="{00000000-0005-0000-0000-000094780000}"/>
    <cellStyle name="Normal 26 5 3 4" xfId="31603" xr:uid="{00000000-0005-0000-0000-000095780000}"/>
    <cellStyle name="Normal 26 5 3 5" xfId="31604" xr:uid="{00000000-0005-0000-0000-000096780000}"/>
    <cellStyle name="Normal 26 5 3 6" xfId="31605" xr:uid="{00000000-0005-0000-0000-000097780000}"/>
    <cellStyle name="Normal 26 5 4" xfId="31606" xr:uid="{00000000-0005-0000-0000-000098780000}"/>
    <cellStyle name="Normal 26 5 4 2" xfId="31607" xr:uid="{00000000-0005-0000-0000-000099780000}"/>
    <cellStyle name="Normal 26 5 4 3" xfId="31608" xr:uid="{00000000-0005-0000-0000-00009A780000}"/>
    <cellStyle name="Normal 26 5 4 4" xfId="31609" xr:uid="{00000000-0005-0000-0000-00009B780000}"/>
    <cellStyle name="Normal 26 5 4 5" xfId="31610" xr:uid="{00000000-0005-0000-0000-00009C780000}"/>
    <cellStyle name="Normal 26 5 4 6" xfId="31611" xr:uid="{00000000-0005-0000-0000-00009D780000}"/>
    <cellStyle name="Normal 26 5 5" xfId="31612" xr:uid="{00000000-0005-0000-0000-00009E780000}"/>
    <cellStyle name="Normal 26 5 5 2" xfId="31613" xr:uid="{00000000-0005-0000-0000-00009F780000}"/>
    <cellStyle name="Normal 26 5 5 3" xfId="31614" xr:uid="{00000000-0005-0000-0000-0000A0780000}"/>
    <cellStyle name="Normal 26 5 5 4" xfId="31615" xr:uid="{00000000-0005-0000-0000-0000A1780000}"/>
    <cellStyle name="Normal 26 5 5 5" xfId="31616" xr:uid="{00000000-0005-0000-0000-0000A2780000}"/>
    <cellStyle name="Normal 26 5 5 6" xfId="31617" xr:uid="{00000000-0005-0000-0000-0000A3780000}"/>
    <cellStyle name="Normal 26 5 6" xfId="31618" xr:uid="{00000000-0005-0000-0000-0000A4780000}"/>
    <cellStyle name="Normal 26 5 6 2" xfId="31619" xr:uid="{00000000-0005-0000-0000-0000A5780000}"/>
    <cellStyle name="Normal 26 5 6 3" xfId="31620" xr:uid="{00000000-0005-0000-0000-0000A6780000}"/>
    <cellStyle name="Normal 26 5 6 4" xfId="31621" xr:uid="{00000000-0005-0000-0000-0000A7780000}"/>
    <cellStyle name="Normal 26 5 6 5" xfId="31622" xr:uid="{00000000-0005-0000-0000-0000A8780000}"/>
    <cellStyle name="Normal 26 5 6 6" xfId="31623" xr:uid="{00000000-0005-0000-0000-0000A9780000}"/>
    <cellStyle name="Normal 26 5 7" xfId="31624" xr:uid="{00000000-0005-0000-0000-0000AA780000}"/>
    <cellStyle name="Normal 26 5 7 2" xfId="31625" xr:uid="{00000000-0005-0000-0000-0000AB780000}"/>
    <cellStyle name="Normal 26 5 7 3" xfId="31626" xr:uid="{00000000-0005-0000-0000-0000AC780000}"/>
    <cellStyle name="Normal 26 5 7 4" xfId="31627" xr:uid="{00000000-0005-0000-0000-0000AD780000}"/>
    <cellStyle name="Normal 26 5 7 5" xfId="31628" xr:uid="{00000000-0005-0000-0000-0000AE780000}"/>
    <cellStyle name="Normal 26 5 7 6" xfId="31629" xr:uid="{00000000-0005-0000-0000-0000AF780000}"/>
    <cellStyle name="Normal 26 5 8" xfId="31630" xr:uid="{00000000-0005-0000-0000-0000B0780000}"/>
    <cellStyle name="Normal 26 5 8 2" xfId="31631" xr:uid="{00000000-0005-0000-0000-0000B1780000}"/>
    <cellStyle name="Normal 26 5 8 3" xfId="31632" xr:uid="{00000000-0005-0000-0000-0000B2780000}"/>
    <cellStyle name="Normal 26 5 8 4" xfId="31633" xr:uid="{00000000-0005-0000-0000-0000B3780000}"/>
    <cellStyle name="Normal 26 5 8 5" xfId="31634" xr:uid="{00000000-0005-0000-0000-0000B4780000}"/>
    <cellStyle name="Normal 26 5 8 6" xfId="31635" xr:uid="{00000000-0005-0000-0000-0000B5780000}"/>
    <cellStyle name="Normal 26 5 9" xfId="31636" xr:uid="{00000000-0005-0000-0000-0000B6780000}"/>
    <cellStyle name="Normal 26 6" xfId="2303" xr:uid="{00000000-0005-0000-0000-0000B7780000}"/>
    <cellStyle name="Normal 26 6 10" xfId="31637" xr:uid="{00000000-0005-0000-0000-0000B8780000}"/>
    <cellStyle name="Normal 26 6 11" xfId="31638" xr:uid="{00000000-0005-0000-0000-0000B9780000}"/>
    <cellStyle name="Normal 26 6 12" xfId="31639" xr:uid="{00000000-0005-0000-0000-0000BA780000}"/>
    <cellStyle name="Normal 26 6 13" xfId="31640" xr:uid="{00000000-0005-0000-0000-0000BB780000}"/>
    <cellStyle name="Normal 26 6 2" xfId="31641" xr:uid="{00000000-0005-0000-0000-0000BC780000}"/>
    <cellStyle name="Normal 26 6 2 2" xfId="31642" xr:uid="{00000000-0005-0000-0000-0000BD780000}"/>
    <cellStyle name="Normal 26 6 2 3" xfId="31643" xr:uid="{00000000-0005-0000-0000-0000BE780000}"/>
    <cellStyle name="Normal 26 6 2 4" xfId="31644" xr:uid="{00000000-0005-0000-0000-0000BF780000}"/>
    <cellStyle name="Normal 26 6 2 5" xfId="31645" xr:uid="{00000000-0005-0000-0000-0000C0780000}"/>
    <cellStyle name="Normal 26 6 2 6" xfId="31646" xr:uid="{00000000-0005-0000-0000-0000C1780000}"/>
    <cellStyle name="Normal 26 6 3" xfId="31647" xr:uid="{00000000-0005-0000-0000-0000C2780000}"/>
    <cellStyle name="Normal 26 6 3 2" xfId="31648" xr:uid="{00000000-0005-0000-0000-0000C3780000}"/>
    <cellStyle name="Normal 26 6 3 3" xfId="31649" xr:uid="{00000000-0005-0000-0000-0000C4780000}"/>
    <cellStyle name="Normal 26 6 3 4" xfId="31650" xr:uid="{00000000-0005-0000-0000-0000C5780000}"/>
    <cellStyle name="Normal 26 6 3 5" xfId="31651" xr:uid="{00000000-0005-0000-0000-0000C6780000}"/>
    <cellStyle name="Normal 26 6 3 6" xfId="31652" xr:uid="{00000000-0005-0000-0000-0000C7780000}"/>
    <cellStyle name="Normal 26 6 4" xfId="31653" xr:uid="{00000000-0005-0000-0000-0000C8780000}"/>
    <cellStyle name="Normal 26 6 4 2" xfId="31654" xr:uid="{00000000-0005-0000-0000-0000C9780000}"/>
    <cellStyle name="Normal 26 6 4 3" xfId="31655" xr:uid="{00000000-0005-0000-0000-0000CA780000}"/>
    <cellStyle name="Normal 26 6 4 4" xfId="31656" xr:uid="{00000000-0005-0000-0000-0000CB780000}"/>
    <cellStyle name="Normal 26 6 4 5" xfId="31657" xr:uid="{00000000-0005-0000-0000-0000CC780000}"/>
    <cellStyle name="Normal 26 6 4 6" xfId="31658" xr:uid="{00000000-0005-0000-0000-0000CD780000}"/>
    <cellStyle name="Normal 26 6 5" xfId="31659" xr:uid="{00000000-0005-0000-0000-0000CE780000}"/>
    <cellStyle name="Normal 26 6 5 2" xfId="31660" xr:uid="{00000000-0005-0000-0000-0000CF780000}"/>
    <cellStyle name="Normal 26 6 5 3" xfId="31661" xr:uid="{00000000-0005-0000-0000-0000D0780000}"/>
    <cellStyle name="Normal 26 6 5 4" xfId="31662" xr:uid="{00000000-0005-0000-0000-0000D1780000}"/>
    <cellStyle name="Normal 26 6 5 5" xfId="31663" xr:uid="{00000000-0005-0000-0000-0000D2780000}"/>
    <cellStyle name="Normal 26 6 5 6" xfId="31664" xr:uid="{00000000-0005-0000-0000-0000D3780000}"/>
    <cellStyle name="Normal 26 6 6" xfId="31665" xr:uid="{00000000-0005-0000-0000-0000D4780000}"/>
    <cellStyle name="Normal 26 6 6 2" xfId="31666" xr:uid="{00000000-0005-0000-0000-0000D5780000}"/>
    <cellStyle name="Normal 26 6 6 3" xfId="31667" xr:uid="{00000000-0005-0000-0000-0000D6780000}"/>
    <cellStyle name="Normal 26 6 6 4" xfId="31668" xr:uid="{00000000-0005-0000-0000-0000D7780000}"/>
    <cellStyle name="Normal 26 6 6 5" xfId="31669" xr:uid="{00000000-0005-0000-0000-0000D8780000}"/>
    <cellStyle name="Normal 26 6 6 6" xfId="31670" xr:uid="{00000000-0005-0000-0000-0000D9780000}"/>
    <cellStyle name="Normal 26 6 7" xfId="31671" xr:uid="{00000000-0005-0000-0000-0000DA780000}"/>
    <cellStyle name="Normal 26 6 7 2" xfId="31672" xr:uid="{00000000-0005-0000-0000-0000DB780000}"/>
    <cellStyle name="Normal 26 6 7 3" xfId="31673" xr:uid="{00000000-0005-0000-0000-0000DC780000}"/>
    <cellStyle name="Normal 26 6 7 4" xfId="31674" xr:uid="{00000000-0005-0000-0000-0000DD780000}"/>
    <cellStyle name="Normal 26 6 7 5" xfId="31675" xr:uid="{00000000-0005-0000-0000-0000DE780000}"/>
    <cellStyle name="Normal 26 6 7 6" xfId="31676" xr:uid="{00000000-0005-0000-0000-0000DF780000}"/>
    <cellStyle name="Normal 26 6 8" xfId="31677" xr:uid="{00000000-0005-0000-0000-0000E0780000}"/>
    <cellStyle name="Normal 26 6 8 2" xfId="31678" xr:uid="{00000000-0005-0000-0000-0000E1780000}"/>
    <cellStyle name="Normal 26 6 8 3" xfId="31679" xr:uid="{00000000-0005-0000-0000-0000E2780000}"/>
    <cellStyle name="Normal 26 6 8 4" xfId="31680" xr:uid="{00000000-0005-0000-0000-0000E3780000}"/>
    <cellStyle name="Normal 26 6 8 5" xfId="31681" xr:uid="{00000000-0005-0000-0000-0000E4780000}"/>
    <cellStyle name="Normal 26 6 8 6" xfId="31682" xr:uid="{00000000-0005-0000-0000-0000E5780000}"/>
    <cellStyle name="Normal 26 6 9" xfId="31683" xr:uid="{00000000-0005-0000-0000-0000E6780000}"/>
    <cellStyle name="Normal 26 7" xfId="31684" xr:uid="{00000000-0005-0000-0000-0000E7780000}"/>
    <cellStyle name="Normal 26 7 10" xfId="31685" xr:uid="{00000000-0005-0000-0000-0000E8780000}"/>
    <cellStyle name="Normal 26 7 11" xfId="31686" xr:uid="{00000000-0005-0000-0000-0000E9780000}"/>
    <cellStyle name="Normal 26 7 12" xfId="31687" xr:uid="{00000000-0005-0000-0000-0000EA780000}"/>
    <cellStyle name="Normal 26 7 13" xfId="31688" xr:uid="{00000000-0005-0000-0000-0000EB780000}"/>
    <cellStyle name="Normal 26 7 2" xfId="31689" xr:uid="{00000000-0005-0000-0000-0000EC780000}"/>
    <cellStyle name="Normal 26 7 2 2" xfId="31690" xr:uid="{00000000-0005-0000-0000-0000ED780000}"/>
    <cellStyle name="Normal 26 7 2 3" xfId="31691" xr:uid="{00000000-0005-0000-0000-0000EE780000}"/>
    <cellStyle name="Normal 26 7 2 4" xfId="31692" xr:uid="{00000000-0005-0000-0000-0000EF780000}"/>
    <cellStyle name="Normal 26 7 2 5" xfId="31693" xr:uid="{00000000-0005-0000-0000-0000F0780000}"/>
    <cellStyle name="Normal 26 7 2 6" xfId="31694" xr:uid="{00000000-0005-0000-0000-0000F1780000}"/>
    <cellStyle name="Normal 26 7 3" xfId="31695" xr:uid="{00000000-0005-0000-0000-0000F2780000}"/>
    <cellStyle name="Normal 26 7 3 2" xfId="31696" xr:uid="{00000000-0005-0000-0000-0000F3780000}"/>
    <cellStyle name="Normal 26 7 3 3" xfId="31697" xr:uid="{00000000-0005-0000-0000-0000F4780000}"/>
    <cellStyle name="Normal 26 7 3 4" xfId="31698" xr:uid="{00000000-0005-0000-0000-0000F5780000}"/>
    <cellStyle name="Normal 26 7 3 5" xfId="31699" xr:uid="{00000000-0005-0000-0000-0000F6780000}"/>
    <cellStyle name="Normal 26 7 3 6" xfId="31700" xr:uid="{00000000-0005-0000-0000-0000F7780000}"/>
    <cellStyle name="Normal 26 7 4" xfId="31701" xr:uid="{00000000-0005-0000-0000-0000F8780000}"/>
    <cellStyle name="Normal 26 7 4 2" xfId="31702" xr:uid="{00000000-0005-0000-0000-0000F9780000}"/>
    <cellStyle name="Normal 26 7 4 3" xfId="31703" xr:uid="{00000000-0005-0000-0000-0000FA780000}"/>
    <cellStyle name="Normal 26 7 4 4" xfId="31704" xr:uid="{00000000-0005-0000-0000-0000FB780000}"/>
    <cellStyle name="Normal 26 7 4 5" xfId="31705" xr:uid="{00000000-0005-0000-0000-0000FC780000}"/>
    <cellStyle name="Normal 26 7 4 6" xfId="31706" xr:uid="{00000000-0005-0000-0000-0000FD780000}"/>
    <cellStyle name="Normal 26 7 5" xfId="31707" xr:uid="{00000000-0005-0000-0000-0000FE780000}"/>
    <cellStyle name="Normal 26 7 5 2" xfId="31708" xr:uid="{00000000-0005-0000-0000-0000FF780000}"/>
    <cellStyle name="Normal 26 7 5 3" xfId="31709" xr:uid="{00000000-0005-0000-0000-000000790000}"/>
    <cellStyle name="Normal 26 7 5 4" xfId="31710" xr:uid="{00000000-0005-0000-0000-000001790000}"/>
    <cellStyle name="Normal 26 7 5 5" xfId="31711" xr:uid="{00000000-0005-0000-0000-000002790000}"/>
    <cellStyle name="Normal 26 7 5 6" xfId="31712" xr:uid="{00000000-0005-0000-0000-000003790000}"/>
    <cellStyle name="Normal 26 7 6" xfId="31713" xr:uid="{00000000-0005-0000-0000-000004790000}"/>
    <cellStyle name="Normal 26 7 6 2" xfId="31714" xr:uid="{00000000-0005-0000-0000-000005790000}"/>
    <cellStyle name="Normal 26 7 6 3" xfId="31715" xr:uid="{00000000-0005-0000-0000-000006790000}"/>
    <cellStyle name="Normal 26 7 6 4" xfId="31716" xr:uid="{00000000-0005-0000-0000-000007790000}"/>
    <cellStyle name="Normal 26 7 6 5" xfId="31717" xr:uid="{00000000-0005-0000-0000-000008790000}"/>
    <cellStyle name="Normal 26 7 6 6" xfId="31718" xr:uid="{00000000-0005-0000-0000-000009790000}"/>
    <cellStyle name="Normal 26 7 7" xfId="31719" xr:uid="{00000000-0005-0000-0000-00000A790000}"/>
    <cellStyle name="Normal 26 7 7 2" xfId="31720" xr:uid="{00000000-0005-0000-0000-00000B790000}"/>
    <cellStyle name="Normal 26 7 7 3" xfId="31721" xr:uid="{00000000-0005-0000-0000-00000C790000}"/>
    <cellStyle name="Normal 26 7 7 4" xfId="31722" xr:uid="{00000000-0005-0000-0000-00000D790000}"/>
    <cellStyle name="Normal 26 7 7 5" xfId="31723" xr:uid="{00000000-0005-0000-0000-00000E790000}"/>
    <cellStyle name="Normal 26 7 7 6" xfId="31724" xr:uid="{00000000-0005-0000-0000-00000F790000}"/>
    <cellStyle name="Normal 26 7 8" xfId="31725" xr:uid="{00000000-0005-0000-0000-000010790000}"/>
    <cellStyle name="Normal 26 7 8 2" xfId="31726" xr:uid="{00000000-0005-0000-0000-000011790000}"/>
    <cellStyle name="Normal 26 7 8 3" xfId="31727" xr:uid="{00000000-0005-0000-0000-000012790000}"/>
    <cellStyle name="Normal 26 7 8 4" xfId="31728" xr:uid="{00000000-0005-0000-0000-000013790000}"/>
    <cellStyle name="Normal 26 7 8 5" xfId="31729" xr:uid="{00000000-0005-0000-0000-000014790000}"/>
    <cellStyle name="Normal 26 7 8 6" xfId="31730" xr:uid="{00000000-0005-0000-0000-000015790000}"/>
    <cellStyle name="Normal 26 7 9" xfId="31731" xr:uid="{00000000-0005-0000-0000-000016790000}"/>
    <cellStyle name="Normal 26 8" xfId="31732" xr:uid="{00000000-0005-0000-0000-000017790000}"/>
    <cellStyle name="Normal 26 8 10" xfId="31733" xr:uid="{00000000-0005-0000-0000-000018790000}"/>
    <cellStyle name="Normal 26 8 11" xfId="31734" xr:uid="{00000000-0005-0000-0000-000019790000}"/>
    <cellStyle name="Normal 26 8 12" xfId="31735" xr:uid="{00000000-0005-0000-0000-00001A790000}"/>
    <cellStyle name="Normal 26 8 13" xfId="31736" xr:uid="{00000000-0005-0000-0000-00001B790000}"/>
    <cellStyle name="Normal 26 8 2" xfId="31737" xr:uid="{00000000-0005-0000-0000-00001C790000}"/>
    <cellStyle name="Normal 26 8 2 2" xfId="31738" xr:uid="{00000000-0005-0000-0000-00001D790000}"/>
    <cellStyle name="Normal 26 8 2 3" xfId="31739" xr:uid="{00000000-0005-0000-0000-00001E790000}"/>
    <cellStyle name="Normal 26 8 2 4" xfId="31740" xr:uid="{00000000-0005-0000-0000-00001F790000}"/>
    <cellStyle name="Normal 26 8 2 5" xfId="31741" xr:uid="{00000000-0005-0000-0000-000020790000}"/>
    <cellStyle name="Normal 26 8 2 6" xfId="31742" xr:uid="{00000000-0005-0000-0000-000021790000}"/>
    <cellStyle name="Normal 26 8 3" xfId="31743" xr:uid="{00000000-0005-0000-0000-000022790000}"/>
    <cellStyle name="Normal 26 8 3 2" xfId="31744" xr:uid="{00000000-0005-0000-0000-000023790000}"/>
    <cellStyle name="Normal 26 8 3 3" xfId="31745" xr:uid="{00000000-0005-0000-0000-000024790000}"/>
    <cellStyle name="Normal 26 8 3 4" xfId="31746" xr:uid="{00000000-0005-0000-0000-000025790000}"/>
    <cellStyle name="Normal 26 8 3 5" xfId="31747" xr:uid="{00000000-0005-0000-0000-000026790000}"/>
    <cellStyle name="Normal 26 8 3 6" xfId="31748" xr:uid="{00000000-0005-0000-0000-000027790000}"/>
    <cellStyle name="Normal 26 8 4" xfId="31749" xr:uid="{00000000-0005-0000-0000-000028790000}"/>
    <cellStyle name="Normal 26 8 4 2" xfId="31750" xr:uid="{00000000-0005-0000-0000-000029790000}"/>
    <cellStyle name="Normal 26 8 4 3" xfId="31751" xr:uid="{00000000-0005-0000-0000-00002A790000}"/>
    <cellStyle name="Normal 26 8 4 4" xfId="31752" xr:uid="{00000000-0005-0000-0000-00002B790000}"/>
    <cellStyle name="Normal 26 8 4 5" xfId="31753" xr:uid="{00000000-0005-0000-0000-00002C790000}"/>
    <cellStyle name="Normal 26 8 4 6" xfId="31754" xr:uid="{00000000-0005-0000-0000-00002D790000}"/>
    <cellStyle name="Normal 26 8 5" xfId="31755" xr:uid="{00000000-0005-0000-0000-00002E790000}"/>
    <cellStyle name="Normal 26 8 5 2" xfId="31756" xr:uid="{00000000-0005-0000-0000-00002F790000}"/>
    <cellStyle name="Normal 26 8 5 3" xfId="31757" xr:uid="{00000000-0005-0000-0000-000030790000}"/>
    <cellStyle name="Normal 26 8 5 4" xfId="31758" xr:uid="{00000000-0005-0000-0000-000031790000}"/>
    <cellStyle name="Normal 26 8 5 5" xfId="31759" xr:uid="{00000000-0005-0000-0000-000032790000}"/>
    <cellStyle name="Normal 26 8 5 6" xfId="31760" xr:uid="{00000000-0005-0000-0000-000033790000}"/>
    <cellStyle name="Normal 26 8 6" xfId="31761" xr:uid="{00000000-0005-0000-0000-000034790000}"/>
    <cellStyle name="Normal 26 8 6 2" xfId="31762" xr:uid="{00000000-0005-0000-0000-000035790000}"/>
    <cellStyle name="Normal 26 8 6 3" xfId="31763" xr:uid="{00000000-0005-0000-0000-000036790000}"/>
    <cellStyle name="Normal 26 8 6 4" xfId="31764" xr:uid="{00000000-0005-0000-0000-000037790000}"/>
    <cellStyle name="Normal 26 8 6 5" xfId="31765" xr:uid="{00000000-0005-0000-0000-000038790000}"/>
    <cellStyle name="Normal 26 8 6 6" xfId="31766" xr:uid="{00000000-0005-0000-0000-000039790000}"/>
    <cellStyle name="Normal 26 8 7" xfId="31767" xr:uid="{00000000-0005-0000-0000-00003A790000}"/>
    <cellStyle name="Normal 26 8 7 2" xfId="31768" xr:uid="{00000000-0005-0000-0000-00003B790000}"/>
    <cellStyle name="Normal 26 8 7 3" xfId="31769" xr:uid="{00000000-0005-0000-0000-00003C790000}"/>
    <cellStyle name="Normal 26 8 7 4" xfId="31770" xr:uid="{00000000-0005-0000-0000-00003D790000}"/>
    <cellStyle name="Normal 26 8 7 5" xfId="31771" xr:uid="{00000000-0005-0000-0000-00003E790000}"/>
    <cellStyle name="Normal 26 8 7 6" xfId="31772" xr:uid="{00000000-0005-0000-0000-00003F790000}"/>
    <cellStyle name="Normal 26 8 8" xfId="31773" xr:uid="{00000000-0005-0000-0000-000040790000}"/>
    <cellStyle name="Normal 26 8 8 2" xfId="31774" xr:uid="{00000000-0005-0000-0000-000041790000}"/>
    <cellStyle name="Normal 26 8 8 3" xfId="31775" xr:uid="{00000000-0005-0000-0000-000042790000}"/>
    <cellStyle name="Normal 26 8 8 4" xfId="31776" xr:uid="{00000000-0005-0000-0000-000043790000}"/>
    <cellStyle name="Normal 26 8 8 5" xfId="31777" xr:uid="{00000000-0005-0000-0000-000044790000}"/>
    <cellStyle name="Normal 26 8 8 6" xfId="31778" xr:uid="{00000000-0005-0000-0000-000045790000}"/>
    <cellStyle name="Normal 26 8 9" xfId="31779" xr:uid="{00000000-0005-0000-0000-000046790000}"/>
    <cellStyle name="Normal 26 9" xfId="31780" xr:uid="{00000000-0005-0000-0000-000047790000}"/>
    <cellStyle name="Normal 26 9 10" xfId="31781" xr:uid="{00000000-0005-0000-0000-000048790000}"/>
    <cellStyle name="Normal 26 9 11" xfId="31782" xr:uid="{00000000-0005-0000-0000-000049790000}"/>
    <cellStyle name="Normal 26 9 12" xfId="31783" xr:uid="{00000000-0005-0000-0000-00004A790000}"/>
    <cellStyle name="Normal 26 9 13" xfId="31784" xr:uid="{00000000-0005-0000-0000-00004B790000}"/>
    <cellStyle name="Normal 26 9 2" xfId="31785" xr:uid="{00000000-0005-0000-0000-00004C790000}"/>
    <cellStyle name="Normal 26 9 2 2" xfId="31786" xr:uid="{00000000-0005-0000-0000-00004D790000}"/>
    <cellStyle name="Normal 26 9 2 3" xfId="31787" xr:uid="{00000000-0005-0000-0000-00004E790000}"/>
    <cellStyle name="Normal 26 9 2 4" xfId="31788" xr:uid="{00000000-0005-0000-0000-00004F790000}"/>
    <cellStyle name="Normal 26 9 2 5" xfId="31789" xr:uid="{00000000-0005-0000-0000-000050790000}"/>
    <cellStyle name="Normal 26 9 2 6" xfId="31790" xr:uid="{00000000-0005-0000-0000-000051790000}"/>
    <cellStyle name="Normal 26 9 3" xfId="31791" xr:uid="{00000000-0005-0000-0000-000052790000}"/>
    <cellStyle name="Normal 26 9 3 2" xfId="31792" xr:uid="{00000000-0005-0000-0000-000053790000}"/>
    <cellStyle name="Normal 26 9 3 3" xfId="31793" xr:uid="{00000000-0005-0000-0000-000054790000}"/>
    <cellStyle name="Normal 26 9 3 4" xfId="31794" xr:uid="{00000000-0005-0000-0000-000055790000}"/>
    <cellStyle name="Normal 26 9 3 5" xfId="31795" xr:uid="{00000000-0005-0000-0000-000056790000}"/>
    <cellStyle name="Normal 26 9 3 6" xfId="31796" xr:uid="{00000000-0005-0000-0000-000057790000}"/>
    <cellStyle name="Normal 26 9 4" xfId="31797" xr:uid="{00000000-0005-0000-0000-000058790000}"/>
    <cellStyle name="Normal 26 9 4 2" xfId="31798" xr:uid="{00000000-0005-0000-0000-000059790000}"/>
    <cellStyle name="Normal 26 9 4 3" xfId="31799" xr:uid="{00000000-0005-0000-0000-00005A790000}"/>
    <cellStyle name="Normal 26 9 4 4" xfId="31800" xr:uid="{00000000-0005-0000-0000-00005B790000}"/>
    <cellStyle name="Normal 26 9 4 5" xfId="31801" xr:uid="{00000000-0005-0000-0000-00005C790000}"/>
    <cellStyle name="Normal 26 9 4 6" xfId="31802" xr:uid="{00000000-0005-0000-0000-00005D790000}"/>
    <cellStyle name="Normal 26 9 5" xfId="31803" xr:uid="{00000000-0005-0000-0000-00005E790000}"/>
    <cellStyle name="Normal 26 9 5 2" xfId="31804" xr:uid="{00000000-0005-0000-0000-00005F790000}"/>
    <cellStyle name="Normal 26 9 5 3" xfId="31805" xr:uid="{00000000-0005-0000-0000-000060790000}"/>
    <cellStyle name="Normal 26 9 5 4" xfId="31806" xr:uid="{00000000-0005-0000-0000-000061790000}"/>
    <cellStyle name="Normal 26 9 5 5" xfId="31807" xr:uid="{00000000-0005-0000-0000-000062790000}"/>
    <cellStyle name="Normal 26 9 5 6" xfId="31808" xr:uid="{00000000-0005-0000-0000-000063790000}"/>
    <cellStyle name="Normal 26 9 6" xfId="31809" xr:uid="{00000000-0005-0000-0000-000064790000}"/>
    <cellStyle name="Normal 26 9 6 2" xfId="31810" xr:uid="{00000000-0005-0000-0000-000065790000}"/>
    <cellStyle name="Normal 26 9 6 3" xfId="31811" xr:uid="{00000000-0005-0000-0000-000066790000}"/>
    <cellStyle name="Normal 26 9 6 4" xfId="31812" xr:uid="{00000000-0005-0000-0000-000067790000}"/>
    <cellStyle name="Normal 26 9 6 5" xfId="31813" xr:uid="{00000000-0005-0000-0000-000068790000}"/>
    <cellStyle name="Normal 26 9 6 6" xfId="31814" xr:uid="{00000000-0005-0000-0000-000069790000}"/>
    <cellStyle name="Normal 26 9 7" xfId="31815" xr:uid="{00000000-0005-0000-0000-00006A790000}"/>
    <cellStyle name="Normal 26 9 7 2" xfId="31816" xr:uid="{00000000-0005-0000-0000-00006B790000}"/>
    <cellStyle name="Normal 26 9 7 3" xfId="31817" xr:uid="{00000000-0005-0000-0000-00006C790000}"/>
    <cellStyle name="Normal 26 9 7 4" xfId="31818" xr:uid="{00000000-0005-0000-0000-00006D790000}"/>
    <cellStyle name="Normal 26 9 7 5" xfId="31819" xr:uid="{00000000-0005-0000-0000-00006E790000}"/>
    <cellStyle name="Normal 26 9 7 6" xfId="31820" xr:uid="{00000000-0005-0000-0000-00006F790000}"/>
    <cellStyle name="Normal 26 9 8" xfId="31821" xr:uid="{00000000-0005-0000-0000-000070790000}"/>
    <cellStyle name="Normal 26 9 8 2" xfId="31822" xr:uid="{00000000-0005-0000-0000-000071790000}"/>
    <cellStyle name="Normal 26 9 8 3" xfId="31823" xr:uid="{00000000-0005-0000-0000-000072790000}"/>
    <cellStyle name="Normal 26 9 8 4" xfId="31824" xr:uid="{00000000-0005-0000-0000-000073790000}"/>
    <cellStyle name="Normal 26 9 8 5" xfId="31825" xr:uid="{00000000-0005-0000-0000-000074790000}"/>
    <cellStyle name="Normal 26 9 8 6" xfId="31826" xr:uid="{00000000-0005-0000-0000-000075790000}"/>
    <cellStyle name="Normal 26 9 9" xfId="31827" xr:uid="{00000000-0005-0000-0000-000076790000}"/>
    <cellStyle name="Normal 27" xfId="1715" xr:uid="{00000000-0005-0000-0000-000077790000}"/>
    <cellStyle name="Normal 27 10" xfId="31828" xr:uid="{00000000-0005-0000-0000-000078790000}"/>
    <cellStyle name="Normal 27 10 10" xfId="31829" xr:uid="{00000000-0005-0000-0000-000079790000}"/>
    <cellStyle name="Normal 27 10 11" xfId="31830" xr:uid="{00000000-0005-0000-0000-00007A790000}"/>
    <cellStyle name="Normal 27 10 12" xfId="31831" xr:uid="{00000000-0005-0000-0000-00007B790000}"/>
    <cellStyle name="Normal 27 10 13" xfId="31832" xr:uid="{00000000-0005-0000-0000-00007C790000}"/>
    <cellStyle name="Normal 27 10 2" xfId="31833" xr:uid="{00000000-0005-0000-0000-00007D790000}"/>
    <cellStyle name="Normal 27 10 2 2" xfId="31834" xr:uid="{00000000-0005-0000-0000-00007E790000}"/>
    <cellStyle name="Normal 27 10 2 3" xfId="31835" xr:uid="{00000000-0005-0000-0000-00007F790000}"/>
    <cellStyle name="Normal 27 10 2 4" xfId="31836" xr:uid="{00000000-0005-0000-0000-000080790000}"/>
    <cellStyle name="Normal 27 10 2 5" xfId="31837" xr:uid="{00000000-0005-0000-0000-000081790000}"/>
    <cellStyle name="Normal 27 10 2 6" xfId="31838" xr:uid="{00000000-0005-0000-0000-000082790000}"/>
    <cellStyle name="Normal 27 10 3" xfId="31839" xr:uid="{00000000-0005-0000-0000-000083790000}"/>
    <cellStyle name="Normal 27 10 3 2" xfId="31840" xr:uid="{00000000-0005-0000-0000-000084790000}"/>
    <cellStyle name="Normal 27 10 3 3" xfId="31841" xr:uid="{00000000-0005-0000-0000-000085790000}"/>
    <cellStyle name="Normal 27 10 3 4" xfId="31842" xr:uid="{00000000-0005-0000-0000-000086790000}"/>
    <cellStyle name="Normal 27 10 3 5" xfId="31843" xr:uid="{00000000-0005-0000-0000-000087790000}"/>
    <cellStyle name="Normal 27 10 3 6" xfId="31844" xr:uid="{00000000-0005-0000-0000-000088790000}"/>
    <cellStyle name="Normal 27 10 4" xfId="31845" xr:uid="{00000000-0005-0000-0000-000089790000}"/>
    <cellStyle name="Normal 27 10 4 2" xfId="31846" xr:uid="{00000000-0005-0000-0000-00008A790000}"/>
    <cellStyle name="Normal 27 10 4 3" xfId="31847" xr:uid="{00000000-0005-0000-0000-00008B790000}"/>
    <cellStyle name="Normal 27 10 4 4" xfId="31848" xr:uid="{00000000-0005-0000-0000-00008C790000}"/>
    <cellStyle name="Normal 27 10 4 5" xfId="31849" xr:uid="{00000000-0005-0000-0000-00008D790000}"/>
    <cellStyle name="Normal 27 10 4 6" xfId="31850" xr:uid="{00000000-0005-0000-0000-00008E790000}"/>
    <cellStyle name="Normal 27 10 5" xfId="31851" xr:uid="{00000000-0005-0000-0000-00008F790000}"/>
    <cellStyle name="Normal 27 10 5 2" xfId="31852" xr:uid="{00000000-0005-0000-0000-000090790000}"/>
    <cellStyle name="Normal 27 10 5 3" xfId="31853" xr:uid="{00000000-0005-0000-0000-000091790000}"/>
    <cellStyle name="Normal 27 10 5 4" xfId="31854" xr:uid="{00000000-0005-0000-0000-000092790000}"/>
    <cellStyle name="Normal 27 10 5 5" xfId="31855" xr:uid="{00000000-0005-0000-0000-000093790000}"/>
    <cellStyle name="Normal 27 10 5 6" xfId="31856" xr:uid="{00000000-0005-0000-0000-000094790000}"/>
    <cellStyle name="Normal 27 10 6" xfId="31857" xr:uid="{00000000-0005-0000-0000-000095790000}"/>
    <cellStyle name="Normal 27 10 6 2" xfId="31858" xr:uid="{00000000-0005-0000-0000-000096790000}"/>
    <cellStyle name="Normal 27 10 6 3" xfId="31859" xr:uid="{00000000-0005-0000-0000-000097790000}"/>
    <cellStyle name="Normal 27 10 6 4" xfId="31860" xr:uid="{00000000-0005-0000-0000-000098790000}"/>
    <cellStyle name="Normal 27 10 6 5" xfId="31861" xr:uid="{00000000-0005-0000-0000-000099790000}"/>
    <cellStyle name="Normal 27 10 6 6" xfId="31862" xr:uid="{00000000-0005-0000-0000-00009A790000}"/>
    <cellStyle name="Normal 27 10 7" xfId="31863" xr:uid="{00000000-0005-0000-0000-00009B790000}"/>
    <cellStyle name="Normal 27 10 7 2" xfId="31864" xr:uid="{00000000-0005-0000-0000-00009C790000}"/>
    <cellStyle name="Normal 27 10 7 3" xfId="31865" xr:uid="{00000000-0005-0000-0000-00009D790000}"/>
    <cellStyle name="Normal 27 10 7 4" xfId="31866" xr:uid="{00000000-0005-0000-0000-00009E790000}"/>
    <cellStyle name="Normal 27 10 7 5" xfId="31867" xr:uid="{00000000-0005-0000-0000-00009F790000}"/>
    <cellStyle name="Normal 27 10 7 6" xfId="31868" xr:uid="{00000000-0005-0000-0000-0000A0790000}"/>
    <cellStyle name="Normal 27 10 8" xfId="31869" xr:uid="{00000000-0005-0000-0000-0000A1790000}"/>
    <cellStyle name="Normal 27 10 8 2" xfId="31870" xr:uid="{00000000-0005-0000-0000-0000A2790000}"/>
    <cellStyle name="Normal 27 10 8 3" xfId="31871" xr:uid="{00000000-0005-0000-0000-0000A3790000}"/>
    <cellStyle name="Normal 27 10 8 4" xfId="31872" xr:uid="{00000000-0005-0000-0000-0000A4790000}"/>
    <cellStyle name="Normal 27 10 8 5" xfId="31873" xr:uid="{00000000-0005-0000-0000-0000A5790000}"/>
    <cellStyle name="Normal 27 10 8 6" xfId="31874" xr:uid="{00000000-0005-0000-0000-0000A6790000}"/>
    <cellStyle name="Normal 27 10 9" xfId="31875" xr:uid="{00000000-0005-0000-0000-0000A7790000}"/>
    <cellStyle name="Normal 27 11" xfId="31876" xr:uid="{00000000-0005-0000-0000-0000A8790000}"/>
    <cellStyle name="Normal 27 11 10" xfId="31877" xr:uid="{00000000-0005-0000-0000-0000A9790000}"/>
    <cellStyle name="Normal 27 11 11" xfId="31878" xr:uid="{00000000-0005-0000-0000-0000AA790000}"/>
    <cellStyle name="Normal 27 11 12" xfId="31879" xr:uid="{00000000-0005-0000-0000-0000AB790000}"/>
    <cellStyle name="Normal 27 11 13" xfId="31880" xr:uid="{00000000-0005-0000-0000-0000AC790000}"/>
    <cellStyle name="Normal 27 11 2" xfId="31881" xr:uid="{00000000-0005-0000-0000-0000AD790000}"/>
    <cellStyle name="Normal 27 11 2 2" xfId="31882" xr:uid="{00000000-0005-0000-0000-0000AE790000}"/>
    <cellStyle name="Normal 27 11 2 3" xfId="31883" xr:uid="{00000000-0005-0000-0000-0000AF790000}"/>
    <cellStyle name="Normal 27 11 2 4" xfId="31884" xr:uid="{00000000-0005-0000-0000-0000B0790000}"/>
    <cellStyle name="Normal 27 11 2 5" xfId="31885" xr:uid="{00000000-0005-0000-0000-0000B1790000}"/>
    <cellStyle name="Normal 27 11 2 6" xfId="31886" xr:uid="{00000000-0005-0000-0000-0000B2790000}"/>
    <cellStyle name="Normal 27 11 3" xfId="31887" xr:uid="{00000000-0005-0000-0000-0000B3790000}"/>
    <cellStyle name="Normal 27 11 3 2" xfId="31888" xr:uid="{00000000-0005-0000-0000-0000B4790000}"/>
    <cellStyle name="Normal 27 11 3 3" xfId="31889" xr:uid="{00000000-0005-0000-0000-0000B5790000}"/>
    <cellStyle name="Normal 27 11 3 4" xfId="31890" xr:uid="{00000000-0005-0000-0000-0000B6790000}"/>
    <cellStyle name="Normal 27 11 3 5" xfId="31891" xr:uid="{00000000-0005-0000-0000-0000B7790000}"/>
    <cellStyle name="Normal 27 11 3 6" xfId="31892" xr:uid="{00000000-0005-0000-0000-0000B8790000}"/>
    <cellStyle name="Normal 27 11 4" xfId="31893" xr:uid="{00000000-0005-0000-0000-0000B9790000}"/>
    <cellStyle name="Normal 27 11 4 2" xfId="31894" xr:uid="{00000000-0005-0000-0000-0000BA790000}"/>
    <cellStyle name="Normal 27 11 4 3" xfId="31895" xr:uid="{00000000-0005-0000-0000-0000BB790000}"/>
    <cellStyle name="Normal 27 11 4 4" xfId="31896" xr:uid="{00000000-0005-0000-0000-0000BC790000}"/>
    <cellStyle name="Normal 27 11 4 5" xfId="31897" xr:uid="{00000000-0005-0000-0000-0000BD790000}"/>
    <cellStyle name="Normal 27 11 4 6" xfId="31898" xr:uid="{00000000-0005-0000-0000-0000BE790000}"/>
    <cellStyle name="Normal 27 11 5" xfId="31899" xr:uid="{00000000-0005-0000-0000-0000BF790000}"/>
    <cellStyle name="Normal 27 11 5 2" xfId="31900" xr:uid="{00000000-0005-0000-0000-0000C0790000}"/>
    <cellStyle name="Normal 27 11 5 3" xfId="31901" xr:uid="{00000000-0005-0000-0000-0000C1790000}"/>
    <cellStyle name="Normal 27 11 5 4" xfId="31902" xr:uid="{00000000-0005-0000-0000-0000C2790000}"/>
    <cellStyle name="Normal 27 11 5 5" xfId="31903" xr:uid="{00000000-0005-0000-0000-0000C3790000}"/>
    <cellStyle name="Normal 27 11 5 6" xfId="31904" xr:uid="{00000000-0005-0000-0000-0000C4790000}"/>
    <cellStyle name="Normal 27 11 6" xfId="31905" xr:uid="{00000000-0005-0000-0000-0000C5790000}"/>
    <cellStyle name="Normal 27 11 6 2" xfId="31906" xr:uid="{00000000-0005-0000-0000-0000C6790000}"/>
    <cellStyle name="Normal 27 11 6 3" xfId="31907" xr:uid="{00000000-0005-0000-0000-0000C7790000}"/>
    <cellStyle name="Normal 27 11 6 4" xfId="31908" xr:uid="{00000000-0005-0000-0000-0000C8790000}"/>
    <cellStyle name="Normal 27 11 6 5" xfId="31909" xr:uid="{00000000-0005-0000-0000-0000C9790000}"/>
    <cellStyle name="Normal 27 11 6 6" xfId="31910" xr:uid="{00000000-0005-0000-0000-0000CA790000}"/>
    <cellStyle name="Normal 27 11 7" xfId="31911" xr:uid="{00000000-0005-0000-0000-0000CB790000}"/>
    <cellStyle name="Normal 27 11 7 2" xfId="31912" xr:uid="{00000000-0005-0000-0000-0000CC790000}"/>
    <cellStyle name="Normal 27 11 7 3" xfId="31913" xr:uid="{00000000-0005-0000-0000-0000CD790000}"/>
    <cellStyle name="Normal 27 11 7 4" xfId="31914" xr:uid="{00000000-0005-0000-0000-0000CE790000}"/>
    <cellStyle name="Normal 27 11 7 5" xfId="31915" xr:uid="{00000000-0005-0000-0000-0000CF790000}"/>
    <cellStyle name="Normal 27 11 7 6" xfId="31916" xr:uid="{00000000-0005-0000-0000-0000D0790000}"/>
    <cellStyle name="Normal 27 11 8" xfId="31917" xr:uid="{00000000-0005-0000-0000-0000D1790000}"/>
    <cellStyle name="Normal 27 11 8 2" xfId="31918" xr:uid="{00000000-0005-0000-0000-0000D2790000}"/>
    <cellStyle name="Normal 27 11 8 3" xfId="31919" xr:uid="{00000000-0005-0000-0000-0000D3790000}"/>
    <cellStyle name="Normal 27 11 8 4" xfId="31920" xr:uid="{00000000-0005-0000-0000-0000D4790000}"/>
    <cellStyle name="Normal 27 11 8 5" xfId="31921" xr:uid="{00000000-0005-0000-0000-0000D5790000}"/>
    <cellStyle name="Normal 27 11 8 6" xfId="31922" xr:uid="{00000000-0005-0000-0000-0000D6790000}"/>
    <cellStyle name="Normal 27 11 9" xfId="31923" xr:uid="{00000000-0005-0000-0000-0000D7790000}"/>
    <cellStyle name="Normal 27 12" xfId="31924" xr:uid="{00000000-0005-0000-0000-0000D8790000}"/>
    <cellStyle name="Normal 27 12 10" xfId="31925" xr:uid="{00000000-0005-0000-0000-0000D9790000}"/>
    <cellStyle name="Normal 27 12 11" xfId="31926" xr:uid="{00000000-0005-0000-0000-0000DA790000}"/>
    <cellStyle name="Normal 27 12 12" xfId="31927" xr:uid="{00000000-0005-0000-0000-0000DB790000}"/>
    <cellStyle name="Normal 27 12 13" xfId="31928" xr:uid="{00000000-0005-0000-0000-0000DC790000}"/>
    <cellStyle name="Normal 27 12 2" xfId="31929" xr:uid="{00000000-0005-0000-0000-0000DD790000}"/>
    <cellStyle name="Normal 27 12 2 2" xfId="31930" xr:uid="{00000000-0005-0000-0000-0000DE790000}"/>
    <cellStyle name="Normal 27 12 2 3" xfId="31931" xr:uid="{00000000-0005-0000-0000-0000DF790000}"/>
    <cellStyle name="Normal 27 12 2 4" xfId="31932" xr:uid="{00000000-0005-0000-0000-0000E0790000}"/>
    <cellStyle name="Normal 27 12 2 5" xfId="31933" xr:uid="{00000000-0005-0000-0000-0000E1790000}"/>
    <cellStyle name="Normal 27 12 2 6" xfId="31934" xr:uid="{00000000-0005-0000-0000-0000E2790000}"/>
    <cellStyle name="Normal 27 12 3" xfId="31935" xr:uid="{00000000-0005-0000-0000-0000E3790000}"/>
    <cellStyle name="Normal 27 12 3 2" xfId="31936" xr:uid="{00000000-0005-0000-0000-0000E4790000}"/>
    <cellStyle name="Normal 27 12 3 3" xfId="31937" xr:uid="{00000000-0005-0000-0000-0000E5790000}"/>
    <cellStyle name="Normal 27 12 3 4" xfId="31938" xr:uid="{00000000-0005-0000-0000-0000E6790000}"/>
    <cellStyle name="Normal 27 12 3 5" xfId="31939" xr:uid="{00000000-0005-0000-0000-0000E7790000}"/>
    <cellStyle name="Normal 27 12 3 6" xfId="31940" xr:uid="{00000000-0005-0000-0000-0000E8790000}"/>
    <cellStyle name="Normal 27 12 4" xfId="31941" xr:uid="{00000000-0005-0000-0000-0000E9790000}"/>
    <cellStyle name="Normal 27 12 4 2" xfId="31942" xr:uid="{00000000-0005-0000-0000-0000EA790000}"/>
    <cellStyle name="Normal 27 12 4 3" xfId="31943" xr:uid="{00000000-0005-0000-0000-0000EB790000}"/>
    <cellStyle name="Normal 27 12 4 4" xfId="31944" xr:uid="{00000000-0005-0000-0000-0000EC790000}"/>
    <cellStyle name="Normal 27 12 4 5" xfId="31945" xr:uid="{00000000-0005-0000-0000-0000ED790000}"/>
    <cellStyle name="Normal 27 12 4 6" xfId="31946" xr:uid="{00000000-0005-0000-0000-0000EE790000}"/>
    <cellStyle name="Normal 27 12 5" xfId="31947" xr:uid="{00000000-0005-0000-0000-0000EF790000}"/>
    <cellStyle name="Normal 27 12 5 2" xfId="31948" xr:uid="{00000000-0005-0000-0000-0000F0790000}"/>
    <cellStyle name="Normal 27 12 5 3" xfId="31949" xr:uid="{00000000-0005-0000-0000-0000F1790000}"/>
    <cellStyle name="Normal 27 12 5 4" xfId="31950" xr:uid="{00000000-0005-0000-0000-0000F2790000}"/>
    <cellStyle name="Normal 27 12 5 5" xfId="31951" xr:uid="{00000000-0005-0000-0000-0000F3790000}"/>
    <cellStyle name="Normal 27 12 5 6" xfId="31952" xr:uid="{00000000-0005-0000-0000-0000F4790000}"/>
    <cellStyle name="Normal 27 12 6" xfId="31953" xr:uid="{00000000-0005-0000-0000-0000F5790000}"/>
    <cellStyle name="Normal 27 12 6 2" xfId="31954" xr:uid="{00000000-0005-0000-0000-0000F6790000}"/>
    <cellStyle name="Normal 27 12 6 3" xfId="31955" xr:uid="{00000000-0005-0000-0000-0000F7790000}"/>
    <cellStyle name="Normal 27 12 6 4" xfId="31956" xr:uid="{00000000-0005-0000-0000-0000F8790000}"/>
    <cellStyle name="Normal 27 12 6 5" xfId="31957" xr:uid="{00000000-0005-0000-0000-0000F9790000}"/>
    <cellStyle name="Normal 27 12 6 6" xfId="31958" xr:uid="{00000000-0005-0000-0000-0000FA790000}"/>
    <cellStyle name="Normal 27 12 7" xfId="31959" xr:uid="{00000000-0005-0000-0000-0000FB790000}"/>
    <cellStyle name="Normal 27 12 7 2" xfId="31960" xr:uid="{00000000-0005-0000-0000-0000FC790000}"/>
    <cellStyle name="Normal 27 12 7 3" xfId="31961" xr:uid="{00000000-0005-0000-0000-0000FD790000}"/>
    <cellStyle name="Normal 27 12 7 4" xfId="31962" xr:uid="{00000000-0005-0000-0000-0000FE790000}"/>
    <cellStyle name="Normal 27 12 7 5" xfId="31963" xr:uid="{00000000-0005-0000-0000-0000FF790000}"/>
    <cellStyle name="Normal 27 12 7 6" xfId="31964" xr:uid="{00000000-0005-0000-0000-0000007A0000}"/>
    <cellStyle name="Normal 27 12 8" xfId="31965" xr:uid="{00000000-0005-0000-0000-0000017A0000}"/>
    <cellStyle name="Normal 27 12 8 2" xfId="31966" xr:uid="{00000000-0005-0000-0000-0000027A0000}"/>
    <cellStyle name="Normal 27 12 8 3" xfId="31967" xr:uid="{00000000-0005-0000-0000-0000037A0000}"/>
    <cellStyle name="Normal 27 12 8 4" xfId="31968" xr:uid="{00000000-0005-0000-0000-0000047A0000}"/>
    <cellStyle name="Normal 27 12 8 5" xfId="31969" xr:uid="{00000000-0005-0000-0000-0000057A0000}"/>
    <cellStyle name="Normal 27 12 8 6" xfId="31970" xr:uid="{00000000-0005-0000-0000-0000067A0000}"/>
    <cellStyle name="Normal 27 12 9" xfId="31971" xr:uid="{00000000-0005-0000-0000-0000077A0000}"/>
    <cellStyle name="Normal 27 13" xfId="31972" xr:uid="{00000000-0005-0000-0000-0000087A0000}"/>
    <cellStyle name="Normal 27 13 10" xfId="31973" xr:uid="{00000000-0005-0000-0000-0000097A0000}"/>
    <cellStyle name="Normal 27 13 11" xfId="31974" xr:uid="{00000000-0005-0000-0000-00000A7A0000}"/>
    <cellStyle name="Normal 27 13 12" xfId="31975" xr:uid="{00000000-0005-0000-0000-00000B7A0000}"/>
    <cellStyle name="Normal 27 13 13" xfId="31976" xr:uid="{00000000-0005-0000-0000-00000C7A0000}"/>
    <cellStyle name="Normal 27 13 2" xfId="31977" xr:uid="{00000000-0005-0000-0000-00000D7A0000}"/>
    <cellStyle name="Normal 27 13 2 2" xfId="31978" xr:uid="{00000000-0005-0000-0000-00000E7A0000}"/>
    <cellStyle name="Normal 27 13 2 3" xfId="31979" xr:uid="{00000000-0005-0000-0000-00000F7A0000}"/>
    <cellStyle name="Normal 27 13 2 4" xfId="31980" xr:uid="{00000000-0005-0000-0000-0000107A0000}"/>
    <cellStyle name="Normal 27 13 2 5" xfId="31981" xr:uid="{00000000-0005-0000-0000-0000117A0000}"/>
    <cellStyle name="Normal 27 13 2 6" xfId="31982" xr:uid="{00000000-0005-0000-0000-0000127A0000}"/>
    <cellStyle name="Normal 27 13 3" xfId="31983" xr:uid="{00000000-0005-0000-0000-0000137A0000}"/>
    <cellStyle name="Normal 27 13 3 2" xfId="31984" xr:uid="{00000000-0005-0000-0000-0000147A0000}"/>
    <cellStyle name="Normal 27 13 3 3" xfId="31985" xr:uid="{00000000-0005-0000-0000-0000157A0000}"/>
    <cellStyle name="Normal 27 13 3 4" xfId="31986" xr:uid="{00000000-0005-0000-0000-0000167A0000}"/>
    <cellStyle name="Normal 27 13 3 5" xfId="31987" xr:uid="{00000000-0005-0000-0000-0000177A0000}"/>
    <cellStyle name="Normal 27 13 3 6" xfId="31988" xr:uid="{00000000-0005-0000-0000-0000187A0000}"/>
    <cellStyle name="Normal 27 13 4" xfId="31989" xr:uid="{00000000-0005-0000-0000-0000197A0000}"/>
    <cellStyle name="Normal 27 13 4 2" xfId="31990" xr:uid="{00000000-0005-0000-0000-00001A7A0000}"/>
    <cellStyle name="Normal 27 13 4 3" xfId="31991" xr:uid="{00000000-0005-0000-0000-00001B7A0000}"/>
    <cellStyle name="Normal 27 13 4 4" xfId="31992" xr:uid="{00000000-0005-0000-0000-00001C7A0000}"/>
    <cellStyle name="Normal 27 13 4 5" xfId="31993" xr:uid="{00000000-0005-0000-0000-00001D7A0000}"/>
    <cellStyle name="Normal 27 13 4 6" xfId="31994" xr:uid="{00000000-0005-0000-0000-00001E7A0000}"/>
    <cellStyle name="Normal 27 13 5" xfId="31995" xr:uid="{00000000-0005-0000-0000-00001F7A0000}"/>
    <cellStyle name="Normal 27 13 5 2" xfId="31996" xr:uid="{00000000-0005-0000-0000-0000207A0000}"/>
    <cellStyle name="Normal 27 13 5 3" xfId="31997" xr:uid="{00000000-0005-0000-0000-0000217A0000}"/>
    <cellStyle name="Normal 27 13 5 4" xfId="31998" xr:uid="{00000000-0005-0000-0000-0000227A0000}"/>
    <cellStyle name="Normal 27 13 5 5" xfId="31999" xr:uid="{00000000-0005-0000-0000-0000237A0000}"/>
    <cellStyle name="Normal 27 13 5 6" xfId="32000" xr:uid="{00000000-0005-0000-0000-0000247A0000}"/>
    <cellStyle name="Normal 27 13 6" xfId="32001" xr:uid="{00000000-0005-0000-0000-0000257A0000}"/>
    <cellStyle name="Normal 27 13 6 2" xfId="32002" xr:uid="{00000000-0005-0000-0000-0000267A0000}"/>
    <cellStyle name="Normal 27 13 6 3" xfId="32003" xr:uid="{00000000-0005-0000-0000-0000277A0000}"/>
    <cellStyle name="Normal 27 13 6 4" xfId="32004" xr:uid="{00000000-0005-0000-0000-0000287A0000}"/>
    <cellStyle name="Normal 27 13 6 5" xfId="32005" xr:uid="{00000000-0005-0000-0000-0000297A0000}"/>
    <cellStyle name="Normal 27 13 6 6" xfId="32006" xr:uid="{00000000-0005-0000-0000-00002A7A0000}"/>
    <cellStyle name="Normal 27 13 7" xfId="32007" xr:uid="{00000000-0005-0000-0000-00002B7A0000}"/>
    <cellStyle name="Normal 27 13 7 2" xfId="32008" xr:uid="{00000000-0005-0000-0000-00002C7A0000}"/>
    <cellStyle name="Normal 27 13 7 3" xfId="32009" xr:uid="{00000000-0005-0000-0000-00002D7A0000}"/>
    <cellStyle name="Normal 27 13 7 4" xfId="32010" xr:uid="{00000000-0005-0000-0000-00002E7A0000}"/>
    <cellStyle name="Normal 27 13 7 5" xfId="32011" xr:uid="{00000000-0005-0000-0000-00002F7A0000}"/>
    <cellStyle name="Normal 27 13 7 6" xfId="32012" xr:uid="{00000000-0005-0000-0000-0000307A0000}"/>
    <cellStyle name="Normal 27 13 8" xfId="32013" xr:uid="{00000000-0005-0000-0000-0000317A0000}"/>
    <cellStyle name="Normal 27 13 8 2" xfId="32014" xr:uid="{00000000-0005-0000-0000-0000327A0000}"/>
    <cellStyle name="Normal 27 13 8 3" xfId="32015" xr:uid="{00000000-0005-0000-0000-0000337A0000}"/>
    <cellStyle name="Normal 27 13 8 4" xfId="32016" xr:uid="{00000000-0005-0000-0000-0000347A0000}"/>
    <cellStyle name="Normal 27 13 8 5" xfId="32017" xr:uid="{00000000-0005-0000-0000-0000357A0000}"/>
    <cellStyle name="Normal 27 13 8 6" xfId="32018" xr:uid="{00000000-0005-0000-0000-0000367A0000}"/>
    <cellStyle name="Normal 27 13 9" xfId="32019" xr:uid="{00000000-0005-0000-0000-0000377A0000}"/>
    <cellStyle name="Normal 27 14" xfId="32020" xr:uid="{00000000-0005-0000-0000-0000387A0000}"/>
    <cellStyle name="Normal 27 14 10" xfId="32021" xr:uid="{00000000-0005-0000-0000-0000397A0000}"/>
    <cellStyle name="Normal 27 14 11" xfId="32022" xr:uid="{00000000-0005-0000-0000-00003A7A0000}"/>
    <cellStyle name="Normal 27 14 12" xfId="32023" xr:uid="{00000000-0005-0000-0000-00003B7A0000}"/>
    <cellStyle name="Normal 27 14 13" xfId="32024" xr:uid="{00000000-0005-0000-0000-00003C7A0000}"/>
    <cellStyle name="Normal 27 14 2" xfId="32025" xr:uid="{00000000-0005-0000-0000-00003D7A0000}"/>
    <cellStyle name="Normal 27 14 2 2" xfId="32026" xr:uid="{00000000-0005-0000-0000-00003E7A0000}"/>
    <cellStyle name="Normal 27 14 2 3" xfId="32027" xr:uid="{00000000-0005-0000-0000-00003F7A0000}"/>
    <cellStyle name="Normal 27 14 2 4" xfId="32028" xr:uid="{00000000-0005-0000-0000-0000407A0000}"/>
    <cellStyle name="Normal 27 14 2 5" xfId="32029" xr:uid="{00000000-0005-0000-0000-0000417A0000}"/>
    <cellStyle name="Normal 27 14 2 6" xfId="32030" xr:uid="{00000000-0005-0000-0000-0000427A0000}"/>
    <cellStyle name="Normal 27 14 3" xfId="32031" xr:uid="{00000000-0005-0000-0000-0000437A0000}"/>
    <cellStyle name="Normal 27 14 3 2" xfId="32032" xr:uid="{00000000-0005-0000-0000-0000447A0000}"/>
    <cellStyle name="Normal 27 14 3 3" xfId="32033" xr:uid="{00000000-0005-0000-0000-0000457A0000}"/>
    <cellStyle name="Normal 27 14 3 4" xfId="32034" xr:uid="{00000000-0005-0000-0000-0000467A0000}"/>
    <cellStyle name="Normal 27 14 3 5" xfId="32035" xr:uid="{00000000-0005-0000-0000-0000477A0000}"/>
    <cellStyle name="Normal 27 14 3 6" xfId="32036" xr:uid="{00000000-0005-0000-0000-0000487A0000}"/>
    <cellStyle name="Normal 27 14 4" xfId="32037" xr:uid="{00000000-0005-0000-0000-0000497A0000}"/>
    <cellStyle name="Normal 27 14 4 2" xfId="32038" xr:uid="{00000000-0005-0000-0000-00004A7A0000}"/>
    <cellStyle name="Normal 27 14 4 3" xfId="32039" xr:uid="{00000000-0005-0000-0000-00004B7A0000}"/>
    <cellStyle name="Normal 27 14 4 4" xfId="32040" xr:uid="{00000000-0005-0000-0000-00004C7A0000}"/>
    <cellStyle name="Normal 27 14 4 5" xfId="32041" xr:uid="{00000000-0005-0000-0000-00004D7A0000}"/>
    <cellStyle name="Normal 27 14 4 6" xfId="32042" xr:uid="{00000000-0005-0000-0000-00004E7A0000}"/>
    <cellStyle name="Normal 27 14 5" xfId="32043" xr:uid="{00000000-0005-0000-0000-00004F7A0000}"/>
    <cellStyle name="Normal 27 14 5 2" xfId="32044" xr:uid="{00000000-0005-0000-0000-0000507A0000}"/>
    <cellStyle name="Normal 27 14 5 3" xfId="32045" xr:uid="{00000000-0005-0000-0000-0000517A0000}"/>
    <cellStyle name="Normal 27 14 5 4" xfId="32046" xr:uid="{00000000-0005-0000-0000-0000527A0000}"/>
    <cellStyle name="Normal 27 14 5 5" xfId="32047" xr:uid="{00000000-0005-0000-0000-0000537A0000}"/>
    <cellStyle name="Normal 27 14 5 6" xfId="32048" xr:uid="{00000000-0005-0000-0000-0000547A0000}"/>
    <cellStyle name="Normal 27 14 6" xfId="32049" xr:uid="{00000000-0005-0000-0000-0000557A0000}"/>
    <cellStyle name="Normal 27 14 6 2" xfId="32050" xr:uid="{00000000-0005-0000-0000-0000567A0000}"/>
    <cellStyle name="Normal 27 14 6 3" xfId="32051" xr:uid="{00000000-0005-0000-0000-0000577A0000}"/>
    <cellStyle name="Normal 27 14 6 4" xfId="32052" xr:uid="{00000000-0005-0000-0000-0000587A0000}"/>
    <cellStyle name="Normal 27 14 6 5" xfId="32053" xr:uid="{00000000-0005-0000-0000-0000597A0000}"/>
    <cellStyle name="Normal 27 14 6 6" xfId="32054" xr:uid="{00000000-0005-0000-0000-00005A7A0000}"/>
    <cellStyle name="Normal 27 14 7" xfId="32055" xr:uid="{00000000-0005-0000-0000-00005B7A0000}"/>
    <cellStyle name="Normal 27 14 7 2" xfId="32056" xr:uid="{00000000-0005-0000-0000-00005C7A0000}"/>
    <cellStyle name="Normal 27 14 7 3" xfId="32057" xr:uid="{00000000-0005-0000-0000-00005D7A0000}"/>
    <cellStyle name="Normal 27 14 7 4" xfId="32058" xr:uid="{00000000-0005-0000-0000-00005E7A0000}"/>
    <cellStyle name="Normal 27 14 7 5" xfId="32059" xr:uid="{00000000-0005-0000-0000-00005F7A0000}"/>
    <cellStyle name="Normal 27 14 7 6" xfId="32060" xr:uid="{00000000-0005-0000-0000-0000607A0000}"/>
    <cellStyle name="Normal 27 14 8" xfId="32061" xr:uid="{00000000-0005-0000-0000-0000617A0000}"/>
    <cellStyle name="Normal 27 14 8 2" xfId="32062" xr:uid="{00000000-0005-0000-0000-0000627A0000}"/>
    <cellStyle name="Normal 27 14 8 3" xfId="32063" xr:uid="{00000000-0005-0000-0000-0000637A0000}"/>
    <cellStyle name="Normal 27 14 8 4" xfId="32064" xr:uid="{00000000-0005-0000-0000-0000647A0000}"/>
    <cellStyle name="Normal 27 14 8 5" xfId="32065" xr:uid="{00000000-0005-0000-0000-0000657A0000}"/>
    <cellStyle name="Normal 27 14 8 6" xfId="32066" xr:uid="{00000000-0005-0000-0000-0000667A0000}"/>
    <cellStyle name="Normal 27 14 9" xfId="32067" xr:uid="{00000000-0005-0000-0000-0000677A0000}"/>
    <cellStyle name="Normal 27 15" xfId="32068" xr:uid="{00000000-0005-0000-0000-0000687A0000}"/>
    <cellStyle name="Normal 27 15 10" xfId="32069" xr:uid="{00000000-0005-0000-0000-0000697A0000}"/>
    <cellStyle name="Normal 27 15 11" xfId="32070" xr:uid="{00000000-0005-0000-0000-00006A7A0000}"/>
    <cellStyle name="Normal 27 15 12" xfId="32071" xr:uid="{00000000-0005-0000-0000-00006B7A0000}"/>
    <cellStyle name="Normal 27 15 13" xfId="32072" xr:uid="{00000000-0005-0000-0000-00006C7A0000}"/>
    <cellStyle name="Normal 27 15 2" xfId="32073" xr:uid="{00000000-0005-0000-0000-00006D7A0000}"/>
    <cellStyle name="Normal 27 15 2 2" xfId="32074" xr:uid="{00000000-0005-0000-0000-00006E7A0000}"/>
    <cellStyle name="Normal 27 15 2 3" xfId="32075" xr:uid="{00000000-0005-0000-0000-00006F7A0000}"/>
    <cellStyle name="Normal 27 15 2 4" xfId="32076" xr:uid="{00000000-0005-0000-0000-0000707A0000}"/>
    <cellStyle name="Normal 27 15 2 5" xfId="32077" xr:uid="{00000000-0005-0000-0000-0000717A0000}"/>
    <cellStyle name="Normal 27 15 2 6" xfId="32078" xr:uid="{00000000-0005-0000-0000-0000727A0000}"/>
    <cellStyle name="Normal 27 15 3" xfId="32079" xr:uid="{00000000-0005-0000-0000-0000737A0000}"/>
    <cellStyle name="Normal 27 15 3 2" xfId="32080" xr:uid="{00000000-0005-0000-0000-0000747A0000}"/>
    <cellStyle name="Normal 27 15 3 3" xfId="32081" xr:uid="{00000000-0005-0000-0000-0000757A0000}"/>
    <cellStyle name="Normal 27 15 3 4" xfId="32082" xr:uid="{00000000-0005-0000-0000-0000767A0000}"/>
    <cellStyle name="Normal 27 15 3 5" xfId="32083" xr:uid="{00000000-0005-0000-0000-0000777A0000}"/>
    <cellStyle name="Normal 27 15 3 6" xfId="32084" xr:uid="{00000000-0005-0000-0000-0000787A0000}"/>
    <cellStyle name="Normal 27 15 4" xfId="32085" xr:uid="{00000000-0005-0000-0000-0000797A0000}"/>
    <cellStyle name="Normal 27 15 4 2" xfId="32086" xr:uid="{00000000-0005-0000-0000-00007A7A0000}"/>
    <cellStyle name="Normal 27 15 4 3" xfId="32087" xr:uid="{00000000-0005-0000-0000-00007B7A0000}"/>
    <cellStyle name="Normal 27 15 4 4" xfId="32088" xr:uid="{00000000-0005-0000-0000-00007C7A0000}"/>
    <cellStyle name="Normal 27 15 4 5" xfId="32089" xr:uid="{00000000-0005-0000-0000-00007D7A0000}"/>
    <cellStyle name="Normal 27 15 4 6" xfId="32090" xr:uid="{00000000-0005-0000-0000-00007E7A0000}"/>
    <cellStyle name="Normal 27 15 5" xfId="32091" xr:uid="{00000000-0005-0000-0000-00007F7A0000}"/>
    <cellStyle name="Normal 27 15 5 2" xfId="32092" xr:uid="{00000000-0005-0000-0000-0000807A0000}"/>
    <cellStyle name="Normal 27 15 5 3" xfId="32093" xr:uid="{00000000-0005-0000-0000-0000817A0000}"/>
    <cellStyle name="Normal 27 15 5 4" xfId="32094" xr:uid="{00000000-0005-0000-0000-0000827A0000}"/>
    <cellStyle name="Normal 27 15 5 5" xfId="32095" xr:uid="{00000000-0005-0000-0000-0000837A0000}"/>
    <cellStyle name="Normal 27 15 5 6" xfId="32096" xr:uid="{00000000-0005-0000-0000-0000847A0000}"/>
    <cellStyle name="Normal 27 15 6" xfId="32097" xr:uid="{00000000-0005-0000-0000-0000857A0000}"/>
    <cellStyle name="Normal 27 15 6 2" xfId="32098" xr:uid="{00000000-0005-0000-0000-0000867A0000}"/>
    <cellStyle name="Normal 27 15 6 3" xfId="32099" xr:uid="{00000000-0005-0000-0000-0000877A0000}"/>
    <cellStyle name="Normal 27 15 6 4" xfId="32100" xr:uid="{00000000-0005-0000-0000-0000887A0000}"/>
    <cellStyle name="Normal 27 15 6 5" xfId="32101" xr:uid="{00000000-0005-0000-0000-0000897A0000}"/>
    <cellStyle name="Normal 27 15 6 6" xfId="32102" xr:uid="{00000000-0005-0000-0000-00008A7A0000}"/>
    <cellStyle name="Normal 27 15 7" xfId="32103" xr:uid="{00000000-0005-0000-0000-00008B7A0000}"/>
    <cellStyle name="Normal 27 15 7 2" xfId="32104" xr:uid="{00000000-0005-0000-0000-00008C7A0000}"/>
    <cellStyle name="Normal 27 15 7 3" xfId="32105" xr:uid="{00000000-0005-0000-0000-00008D7A0000}"/>
    <cellStyle name="Normal 27 15 7 4" xfId="32106" xr:uid="{00000000-0005-0000-0000-00008E7A0000}"/>
    <cellStyle name="Normal 27 15 7 5" xfId="32107" xr:uid="{00000000-0005-0000-0000-00008F7A0000}"/>
    <cellStyle name="Normal 27 15 7 6" xfId="32108" xr:uid="{00000000-0005-0000-0000-0000907A0000}"/>
    <cellStyle name="Normal 27 15 8" xfId="32109" xr:uid="{00000000-0005-0000-0000-0000917A0000}"/>
    <cellStyle name="Normal 27 15 8 2" xfId="32110" xr:uid="{00000000-0005-0000-0000-0000927A0000}"/>
    <cellStyle name="Normal 27 15 8 3" xfId="32111" xr:uid="{00000000-0005-0000-0000-0000937A0000}"/>
    <cellStyle name="Normal 27 15 8 4" xfId="32112" xr:uid="{00000000-0005-0000-0000-0000947A0000}"/>
    <cellStyle name="Normal 27 15 8 5" xfId="32113" xr:uid="{00000000-0005-0000-0000-0000957A0000}"/>
    <cellStyle name="Normal 27 15 8 6" xfId="32114" xr:uid="{00000000-0005-0000-0000-0000967A0000}"/>
    <cellStyle name="Normal 27 15 9" xfId="32115" xr:uid="{00000000-0005-0000-0000-0000977A0000}"/>
    <cellStyle name="Normal 27 16" xfId="32116" xr:uid="{00000000-0005-0000-0000-0000987A0000}"/>
    <cellStyle name="Normal 27 16 10" xfId="32117" xr:uid="{00000000-0005-0000-0000-0000997A0000}"/>
    <cellStyle name="Normal 27 16 11" xfId="32118" xr:uid="{00000000-0005-0000-0000-00009A7A0000}"/>
    <cellStyle name="Normal 27 16 12" xfId="32119" xr:uid="{00000000-0005-0000-0000-00009B7A0000}"/>
    <cellStyle name="Normal 27 16 13" xfId="32120" xr:uid="{00000000-0005-0000-0000-00009C7A0000}"/>
    <cellStyle name="Normal 27 16 2" xfId="32121" xr:uid="{00000000-0005-0000-0000-00009D7A0000}"/>
    <cellStyle name="Normal 27 16 2 2" xfId="32122" xr:uid="{00000000-0005-0000-0000-00009E7A0000}"/>
    <cellStyle name="Normal 27 16 2 3" xfId="32123" xr:uid="{00000000-0005-0000-0000-00009F7A0000}"/>
    <cellStyle name="Normal 27 16 2 4" xfId="32124" xr:uid="{00000000-0005-0000-0000-0000A07A0000}"/>
    <cellStyle name="Normal 27 16 2 5" xfId="32125" xr:uid="{00000000-0005-0000-0000-0000A17A0000}"/>
    <cellStyle name="Normal 27 16 2 6" xfId="32126" xr:uid="{00000000-0005-0000-0000-0000A27A0000}"/>
    <cellStyle name="Normal 27 16 3" xfId="32127" xr:uid="{00000000-0005-0000-0000-0000A37A0000}"/>
    <cellStyle name="Normal 27 16 3 2" xfId="32128" xr:uid="{00000000-0005-0000-0000-0000A47A0000}"/>
    <cellStyle name="Normal 27 16 3 3" xfId="32129" xr:uid="{00000000-0005-0000-0000-0000A57A0000}"/>
    <cellStyle name="Normal 27 16 3 4" xfId="32130" xr:uid="{00000000-0005-0000-0000-0000A67A0000}"/>
    <cellStyle name="Normal 27 16 3 5" xfId="32131" xr:uid="{00000000-0005-0000-0000-0000A77A0000}"/>
    <cellStyle name="Normal 27 16 3 6" xfId="32132" xr:uid="{00000000-0005-0000-0000-0000A87A0000}"/>
    <cellStyle name="Normal 27 16 4" xfId="32133" xr:uid="{00000000-0005-0000-0000-0000A97A0000}"/>
    <cellStyle name="Normal 27 16 4 2" xfId="32134" xr:uid="{00000000-0005-0000-0000-0000AA7A0000}"/>
    <cellStyle name="Normal 27 16 4 3" xfId="32135" xr:uid="{00000000-0005-0000-0000-0000AB7A0000}"/>
    <cellStyle name="Normal 27 16 4 4" xfId="32136" xr:uid="{00000000-0005-0000-0000-0000AC7A0000}"/>
    <cellStyle name="Normal 27 16 4 5" xfId="32137" xr:uid="{00000000-0005-0000-0000-0000AD7A0000}"/>
    <cellStyle name="Normal 27 16 4 6" xfId="32138" xr:uid="{00000000-0005-0000-0000-0000AE7A0000}"/>
    <cellStyle name="Normal 27 16 5" xfId="32139" xr:uid="{00000000-0005-0000-0000-0000AF7A0000}"/>
    <cellStyle name="Normal 27 16 5 2" xfId="32140" xr:uid="{00000000-0005-0000-0000-0000B07A0000}"/>
    <cellStyle name="Normal 27 16 5 3" xfId="32141" xr:uid="{00000000-0005-0000-0000-0000B17A0000}"/>
    <cellStyle name="Normal 27 16 5 4" xfId="32142" xr:uid="{00000000-0005-0000-0000-0000B27A0000}"/>
    <cellStyle name="Normal 27 16 5 5" xfId="32143" xr:uid="{00000000-0005-0000-0000-0000B37A0000}"/>
    <cellStyle name="Normal 27 16 5 6" xfId="32144" xr:uid="{00000000-0005-0000-0000-0000B47A0000}"/>
    <cellStyle name="Normal 27 16 6" xfId="32145" xr:uid="{00000000-0005-0000-0000-0000B57A0000}"/>
    <cellStyle name="Normal 27 16 6 2" xfId="32146" xr:uid="{00000000-0005-0000-0000-0000B67A0000}"/>
    <cellStyle name="Normal 27 16 6 3" xfId="32147" xr:uid="{00000000-0005-0000-0000-0000B77A0000}"/>
    <cellStyle name="Normal 27 16 6 4" xfId="32148" xr:uid="{00000000-0005-0000-0000-0000B87A0000}"/>
    <cellStyle name="Normal 27 16 6 5" xfId="32149" xr:uid="{00000000-0005-0000-0000-0000B97A0000}"/>
    <cellStyle name="Normal 27 16 6 6" xfId="32150" xr:uid="{00000000-0005-0000-0000-0000BA7A0000}"/>
    <cellStyle name="Normal 27 16 7" xfId="32151" xr:uid="{00000000-0005-0000-0000-0000BB7A0000}"/>
    <cellStyle name="Normal 27 16 7 2" xfId="32152" xr:uid="{00000000-0005-0000-0000-0000BC7A0000}"/>
    <cellStyle name="Normal 27 16 7 3" xfId="32153" xr:uid="{00000000-0005-0000-0000-0000BD7A0000}"/>
    <cellStyle name="Normal 27 16 7 4" xfId="32154" xr:uid="{00000000-0005-0000-0000-0000BE7A0000}"/>
    <cellStyle name="Normal 27 16 7 5" xfId="32155" xr:uid="{00000000-0005-0000-0000-0000BF7A0000}"/>
    <cellStyle name="Normal 27 16 7 6" xfId="32156" xr:uid="{00000000-0005-0000-0000-0000C07A0000}"/>
    <cellStyle name="Normal 27 16 8" xfId="32157" xr:uid="{00000000-0005-0000-0000-0000C17A0000}"/>
    <cellStyle name="Normal 27 16 8 2" xfId="32158" xr:uid="{00000000-0005-0000-0000-0000C27A0000}"/>
    <cellStyle name="Normal 27 16 8 3" xfId="32159" xr:uid="{00000000-0005-0000-0000-0000C37A0000}"/>
    <cellStyle name="Normal 27 16 8 4" xfId="32160" xr:uid="{00000000-0005-0000-0000-0000C47A0000}"/>
    <cellStyle name="Normal 27 16 8 5" xfId="32161" xr:uid="{00000000-0005-0000-0000-0000C57A0000}"/>
    <cellStyle name="Normal 27 16 8 6" xfId="32162" xr:uid="{00000000-0005-0000-0000-0000C67A0000}"/>
    <cellStyle name="Normal 27 16 9" xfId="32163" xr:uid="{00000000-0005-0000-0000-0000C77A0000}"/>
    <cellStyle name="Normal 27 17" xfId="32164" xr:uid="{00000000-0005-0000-0000-0000C87A0000}"/>
    <cellStyle name="Normal 27 17 10" xfId="32165" xr:uid="{00000000-0005-0000-0000-0000C97A0000}"/>
    <cellStyle name="Normal 27 17 11" xfId="32166" xr:uid="{00000000-0005-0000-0000-0000CA7A0000}"/>
    <cellStyle name="Normal 27 17 12" xfId="32167" xr:uid="{00000000-0005-0000-0000-0000CB7A0000}"/>
    <cellStyle name="Normal 27 17 13" xfId="32168" xr:uid="{00000000-0005-0000-0000-0000CC7A0000}"/>
    <cellStyle name="Normal 27 17 2" xfId="32169" xr:uid="{00000000-0005-0000-0000-0000CD7A0000}"/>
    <cellStyle name="Normal 27 17 2 2" xfId="32170" xr:uid="{00000000-0005-0000-0000-0000CE7A0000}"/>
    <cellStyle name="Normal 27 17 2 3" xfId="32171" xr:uid="{00000000-0005-0000-0000-0000CF7A0000}"/>
    <cellStyle name="Normal 27 17 2 4" xfId="32172" xr:uid="{00000000-0005-0000-0000-0000D07A0000}"/>
    <cellStyle name="Normal 27 17 2 5" xfId="32173" xr:uid="{00000000-0005-0000-0000-0000D17A0000}"/>
    <cellStyle name="Normal 27 17 2 6" xfId="32174" xr:uid="{00000000-0005-0000-0000-0000D27A0000}"/>
    <cellStyle name="Normal 27 17 3" xfId="32175" xr:uid="{00000000-0005-0000-0000-0000D37A0000}"/>
    <cellStyle name="Normal 27 17 3 2" xfId="32176" xr:uid="{00000000-0005-0000-0000-0000D47A0000}"/>
    <cellStyle name="Normal 27 17 3 3" xfId="32177" xr:uid="{00000000-0005-0000-0000-0000D57A0000}"/>
    <cellStyle name="Normal 27 17 3 4" xfId="32178" xr:uid="{00000000-0005-0000-0000-0000D67A0000}"/>
    <cellStyle name="Normal 27 17 3 5" xfId="32179" xr:uid="{00000000-0005-0000-0000-0000D77A0000}"/>
    <cellStyle name="Normal 27 17 3 6" xfId="32180" xr:uid="{00000000-0005-0000-0000-0000D87A0000}"/>
    <cellStyle name="Normal 27 17 4" xfId="32181" xr:uid="{00000000-0005-0000-0000-0000D97A0000}"/>
    <cellStyle name="Normal 27 17 4 2" xfId="32182" xr:uid="{00000000-0005-0000-0000-0000DA7A0000}"/>
    <cellStyle name="Normal 27 17 4 3" xfId="32183" xr:uid="{00000000-0005-0000-0000-0000DB7A0000}"/>
    <cellStyle name="Normal 27 17 4 4" xfId="32184" xr:uid="{00000000-0005-0000-0000-0000DC7A0000}"/>
    <cellStyle name="Normal 27 17 4 5" xfId="32185" xr:uid="{00000000-0005-0000-0000-0000DD7A0000}"/>
    <cellStyle name="Normal 27 17 4 6" xfId="32186" xr:uid="{00000000-0005-0000-0000-0000DE7A0000}"/>
    <cellStyle name="Normal 27 17 5" xfId="32187" xr:uid="{00000000-0005-0000-0000-0000DF7A0000}"/>
    <cellStyle name="Normal 27 17 5 2" xfId="32188" xr:uid="{00000000-0005-0000-0000-0000E07A0000}"/>
    <cellStyle name="Normal 27 17 5 3" xfId="32189" xr:uid="{00000000-0005-0000-0000-0000E17A0000}"/>
    <cellStyle name="Normal 27 17 5 4" xfId="32190" xr:uid="{00000000-0005-0000-0000-0000E27A0000}"/>
    <cellStyle name="Normal 27 17 5 5" xfId="32191" xr:uid="{00000000-0005-0000-0000-0000E37A0000}"/>
    <cellStyle name="Normal 27 17 5 6" xfId="32192" xr:uid="{00000000-0005-0000-0000-0000E47A0000}"/>
    <cellStyle name="Normal 27 17 6" xfId="32193" xr:uid="{00000000-0005-0000-0000-0000E57A0000}"/>
    <cellStyle name="Normal 27 17 6 2" xfId="32194" xr:uid="{00000000-0005-0000-0000-0000E67A0000}"/>
    <cellStyle name="Normal 27 17 6 3" xfId="32195" xr:uid="{00000000-0005-0000-0000-0000E77A0000}"/>
    <cellStyle name="Normal 27 17 6 4" xfId="32196" xr:uid="{00000000-0005-0000-0000-0000E87A0000}"/>
    <cellStyle name="Normal 27 17 6 5" xfId="32197" xr:uid="{00000000-0005-0000-0000-0000E97A0000}"/>
    <cellStyle name="Normal 27 17 6 6" xfId="32198" xr:uid="{00000000-0005-0000-0000-0000EA7A0000}"/>
    <cellStyle name="Normal 27 17 7" xfId="32199" xr:uid="{00000000-0005-0000-0000-0000EB7A0000}"/>
    <cellStyle name="Normal 27 17 7 2" xfId="32200" xr:uid="{00000000-0005-0000-0000-0000EC7A0000}"/>
    <cellStyle name="Normal 27 17 7 3" xfId="32201" xr:uid="{00000000-0005-0000-0000-0000ED7A0000}"/>
    <cellStyle name="Normal 27 17 7 4" xfId="32202" xr:uid="{00000000-0005-0000-0000-0000EE7A0000}"/>
    <cellStyle name="Normal 27 17 7 5" xfId="32203" xr:uid="{00000000-0005-0000-0000-0000EF7A0000}"/>
    <cellStyle name="Normal 27 17 7 6" xfId="32204" xr:uid="{00000000-0005-0000-0000-0000F07A0000}"/>
    <cellStyle name="Normal 27 17 8" xfId="32205" xr:uid="{00000000-0005-0000-0000-0000F17A0000}"/>
    <cellStyle name="Normal 27 17 8 2" xfId="32206" xr:uid="{00000000-0005-0000-0000-0000F27A0000}"/>
    <cellStyle name="Normal 27 17 8 3" xfId="32207" xr:uid="{00000000-0005-0000-0000-0000F37A0000}"/>
    <cellStyle name="Normal 27 17 8 4" xfId="32208" xr:uid="{00000000-0005-0000-0000-0000F47A0000}"/>
    <cellStyle name="Normal 27 17 8 5" xfId="32209" xr:uid="{00000000-0005-0000-0000-0000F57A0000}"/>
    <cellStyle name="Normal 27 17 8 6" xfId="32210" xr:uid="{00000000-0005-0000-0000-0000F67A0000}"/>
    <cellStyle name="Normal 27 17 9" xfId="32211" xr:uid="{00000000-0005-0000-0000-0000F77A0000}"/>
    <cellStyle name="Normal 27 18" xfId="32212" xr:uid="{00000000-0005-0000-0000-0000F87A0000}"/>
    <cellStyle name="Normal 27 18 2" xfId="32213" xr:uid="{00000000-0005-0000-0000-0000F97A0000}"/>
    <cellStyle name="Normal 27 18 3" xfId="32214" xr:uid="{00000000-0005-0000-0000-0000FA7A0000}"/>
    <cellStyle name="Normal 27 18 4" xfId="32215" xr:uid="{00000000-0005-0000-0000-0000FB7A0000}"/>
    <cellStyle name="Normal 27 18 5" xfId="32216" xr:uid="{00000000-0005-0000-0000-0000FC7A0000}"/>
    <cellStyle name="Normal 27 18 6" xfId="32217" xr:uid="{00000000-0005-0000-0000-0000FD7A0000}"/>
    <cellStyle name="Normal 27 19" xfId="32218" xr:uid="{00000000-0005-0000-0000-0000FE7A0000}"/>
    <cellStyle name="Normal 27 19 2" xfId="32219" xr:uid="{00000000-0005-0000-0000-0000FF7A0000}"/>
    <cellStyle name="Normal 27 19 3" xfId="32220" xr:uid="{00000000-0005-0000-0000-0000007B0000}"/>
    <cellStyle name="Normal 27 19 4" xfId="32221" xr:uid="{00000000-0005-0000-0000-0000017B0000}"/>
    <cellStyle name="Normal 27 19 5" xfId="32222" xr:uid="{00000000-0005-0000-0000-0000027B0000}"/>
    <cellStyle name="Normal 27 19 6" xfId="32223" xr:uid="{00000000-0005-0000-0000-0000037B0000}"/>
    <cellStyle name="Normal 27 2" xfId="1870" xr:uid="{00000000-0005-0000-0000-0000047B0000}"/>
    <cellStyle name="Normal 27 2 10" xfId="32224" xr:uid="{00000000-0005-0000-0000-0000057B0000}"/>
    <cellStyle name="Normal 27 2 11" xfId="32225" xr:uid="{00000000-0005-0000-0000-0000067B0000}"/>
    <cellStyle name="Normal 27 2 12" xfId="32226" xr:uid="{00000000-0005-0000-0000-0000077B0000}"/>
    <cellStyle name="Normal 27 2 13" xfId="32227" xr:uid="{00000000-0005-0000-0000-0000087B0000}"/>
    <cellStyle name="Normal 27 2 14" xfId="43244" xr:uid="{00000000-0005-0000-0000-0000097B0000}"/>
    <cellStyle name="Normal 27 2 2" xfId="2060" xr:uid="{00000000-0005-0000-0000-00000A7B0000}"/>
    <cellStyle name="Normal 27 2 2 2" xfId="2519" xr:uid="{00000000-0005-0000-0000-00000B7B0000}"/>
    <cellStyle name="Normal 27 2 2 3" xfId="32228" xr:uid="{00000000-0005-0000-0000-00000C7B0000}"/>
    <cellStyle name="Normal 27 2 2 4" xfId="32229" xr:uid="{00000000-0005-0000-0000-00000D7B0000}"/>
    <cellStyle name="Normal 27 2 2 5" xfId="32230" xr:uid="{00000000-0005-0000-0000-00000E7B0000}"/>
    <cellStyle name="Normal 27 2 2 6" xfId="32231" xr:uid="{00000000-0005-0000-0000-00000F7B0000}"/>
    <cellStyle name="Normal 27 2 2 7" xfId="43334" xr:uid="{00000000-0005-0000-0000-0000107B0000}"/>
    <cellStyle name="Normal 27 2 3" xfId="2520" xr:uid="{00000000-0005-0000-0000-0000117B0000}"/>
    <cellStyle name="Normal 27 2 3 2" xfId="32232" xr:uid="{00000000-0005-0000-0000-0000127B0000}"/>
    <cellStyle name="Normal 27 2 3 3" xfId="32233" xr:uid="{00000000-0005-0000-0000-0000137B0000}"/>
    <cellStyle name="Normal 27 2 3 4" xfId="32234" xr:uid="{00000000-0005-0000-0000-0000147B0000}"/>
    <cellStyle name="Normal 27 2 3 5" xfId="32235" xr:uid="{00000000-0005-0000-0000-0000157B0000}"/>
    <cellStyle name="Normal 27 2 3 6" xfId="32236" xr:uid="{00000000-0005-0000-0000-0000167B0000}"/>
    <cellStyle name="Normal 27 2 3 7" xfId="43335" xr:uid="{00000000-0005-0000-0000-0000177B0000}"/>
    <cellStyle name="Normal 27 2 4" xfId="2427" xr:uid="{00000000-0005-0000-0000-0000187B0000}"/>
    <cellStyle name="Normal 27 2 4 2" xfId="32237" xr:uid="{00000000-0005-0000-0000-0000197B0000}"/>
    <cellStyle name="Normal 27 2 4 3" xfId="32238" xr:uid="{00000000-0005-0000-0000-00001A7B0000}"/>
    <cellStyle name="Normal 27 2 4 4" xfId="32239" xr:uid="{00000000-0005-0000-0000-00001B7B0000}"/>
    <cellStyle name="Normal 27 2 4 5" xfId="32240" xr:uid="{00000000-0005-0000-0000-00001C7B0000}"/>
    <cellStyle name="Normal 27 2 4 6" xfId="32241" xr:uid="{00000000-0005-0000-0000-00001D7B0000}"/>
    <cellStyle name="Normal 27 2 5" xfId="2396" xr:uid="{00000000-0005-0000-0000-00001E7B0000}"/>
    <cellStyle name="Normal 27 2 5 2" xfId="32242" xr:uid="{00000000-0005-0000-0000-00001F7B0000}"/>
    <cellStyle name="Normal 27 2 5 3" xfId="32243" xr:uid="{00000000-0005-0000-0000-0000207B0000}"/>
    <cellStyle name="Normal 27 2 5 4" xfId="32244" xr:uid="{00000000-0005-0000-0000-0000217B0000}"/>
    <cellStyle name="Normal 27 2 5 5" xfId="32245" xr:uid="{00000000-0005-0000-0000-0000227B0000}"/>
    <cellStyle name="Normal 27 2 5 6" xfId="32246" xr:uid="{00000000-0005-0000-0000-0000237B0000}"/>
    <cellStyle name="Normal 27 2 6" xfId="32247" xr:uid="{00000000-0005-0000-0000-0000247B0000}"/>
    <cellStyle name="Normal 27 2 6 2" xfId="32248" xr:uid="{00000000-0005-0000-0000-0000257B0000}"/>
    <cellStyle name="Normal 27 2 6 3" xfId="32249" xr:uid="{00000000-0005-0000-0000-0000267B0000}"/>
    <cellStyle name="Normal 27 2 6 4" xfId="32250" xr:uid="{00000000-0005-0000-0000-0000277B0000}"/>
    <cellStyle name="Normal 27 2 6 5" xfId="32251" xr:uid="{00000000-0005-0000-0000-0000287B0000}"/>
    <cellStyle name="Normal 27 2 6 6" xfId="32252" xr:uid="{00000000-0005-0000-0000-0000297B0000}"/>
    <cellStyle name="Normal 27 2 7" xfId="32253" xr:uid="{00000000-0005-0000-0000-00002A7B0000}"/>
    <cellStyle name="Normal 27 2 7 2" xfId="32254" xr:uid="{00000000-0005-0000-0000-00002B7B0000}"/>
    <cellStyle name="Normal 27 2 7 3" xfId="32255" xr:uid="{00000000-0005-0000-0000-00002C7B0000}"/>
    <cellStyle name="Normal 27 2 7 4" xfId="32256" xr:uid="{00000000-0005-0000-0000-00002D7B0000}"/>
    <cellStyle name="Normal 27 2 7 5" xfId="32257" xr:uid="{00000000-0005-0000-0000-00002E7B0000}"/>
    <cellStyle name="Normal 27 2 7 6" xfId="32258" xr:uid="{00000000-0005-0000-0000-00002F7B0000}"/>
    <cellStyle name="Normal 27 2 8" xfId="32259" xr:uid="{00000000-0005-0000-0000-0000307B0000}"/>
    <cellStyle name="Normal 27 2 8 2" xfId="32260" xr:uid="{00000000-0005-0000-0000-0000317B0000}"/>
    <cellStyle name="Normal 27 2 8 3" xfId="32261" xr:uid="{00000000-0005-0000-0000-0000327B0000}"/>
    <cellStyle name="Normal 27 2 8 4" xfId="32262" xr:uid="{00000000-0005-0000-0000-0000337B0000}"/>
    <cellStyle name="Normal 27 2 8 5" xfId="32263" xr:uid="{00000000-0005-0000-0000-0000347B0000}"/>
    <cellStyle name="Normal 27 2 8 6" xfId="32264" xr:uid="{00000000-0005-0000-0000-0000357B0000}"/>
    <cellStyle name="Normal 27 2 9" xfId="32265" xr:uid="{00000000-0005-0000-0000-0000367B0000}"/>
    <cellStyle name="Normal 27 20" xfId="32266" xr:uid="{00000000-0005-0000-0000-0000377B0000}"/>
    <cellStyle name="Normal 27 20 2" xfId="32267" xr:uid="{00000000-0005-0000-0000-0000387B0000}"/>
    <cellStyle name="Normal 27 20 3" xfId="32268" xr:uid="{00000000-0005-0000-0000-0000397B0000}"/>
    <cellStyle name="Normal 27 20 4" xfId="32269" xr:uid="{00000000-0005-0000-0000-00003A7B0000}"/>
    <cellStyle name="Normal 27 20 5" xfId="32270" xr:uid="{00000000-0005-0000-0000-00003B7B0000}"/>
    <cellStyle name="Normal 27 20 6" xfId="32271" xr:uid="{00000000-0005-0000-0000-00003C7B0000}"/>
    <cellStyle name="Normal 27 21" xfId="32272" xr:uid="{00000000-0005-0000-0000-00003D7B0000}"/>
    <cellStyle name="Normal 27 21 2" xfId="32273" xr:uid="{00000000-0005-0000-0000-00003E7B0000}"/>
    <cellStyle name="Normal 27 21 3" xfId="32274" xr:uid="{00000000-0005-0000-0000-00003F7B0000}"/>
    <cellStyle name="Normal 27 21 4" xfId="32275" xr:uid="{00000000-0005-0000-0000-0000407B0000}"/>
    <cellStyle name="Normal 27 21 5" xfId="32276" xr:uid="{00000000-0005-0000-0000-0000417B0000}"/>
    <cellStyle name="Normal 27 21 6" xfId="32277" xr:uid="{00000000-0005-0000-0000-0000427B0000}"/>
    <cellStyle name="Normal 27 22" xfId="32278" xr:uid="{00000000-0005-0000-0000-0000437B0000}"/>
    <cellStyle name="Normal 27 22 2" xfId="32279" xr:uid="{00000000-0005-0000-0000-0000447B0000}"/>
    <cellStyle name="Normal 27 22 3" xfId="32280" xr:uid="{00000000-0005-0000-0000-0000457B0000}"/>
    <cellStyle name="Normal 27 22 4" xfId="32281" xr:uid="{00000000-0005-0000-0000-0000467B0000}"/>
    <cellStyle name="Normal 27 22 5" xfId="32282" xr:uid="{00000000-0005-0000-0000-0000477B0000}"/>
    <cellStyle name="Normal 27 22 6" xfId="32283" xr:uid="{00000000-0005-0000-0000-0000487B0000}"/>
    <cellStyle name="Normal 27 23" xfId="32284" xr:uid="{00000000-0005-0000-0000-0000497B0000}"/>
    <cellStyle name="Normal 27 23 2" xfId="32285" xr:uid="{00000000-0005-0000-0000-00004A7B0000}"/>
    <cellStyle name="Normal 27 23 3" xfId="32286" xr:uid="{00000000-0005-0000-0000-00004B7B0000}"/>
    <cellStyle name="Normal 27 23 4" xfId="32287" xr:uid="{00000000-0005-0000-0000-00004C7B0000}"/>
    <cellStyle name="Normal 27 23 5" xfId="32288" xr:uid="{00000000-0005-0000-0000-00004D7B0000}"/>
    <cellStyle name="Normal 27 23 6" xfId="32289" xr:uid="{00000000-0005-0000-0000-00004E7B0000}"/>
    <cellStyle name="Normal 27 24" xfId="32290" xr:uid="{00000000-0005-0000-0000-00004F7B0000}"/>
    <cellStyle name="Normal 27 24 2" xfId="32291" xr:uid="{00000000-0005-0000-0000-0000507B0000}"/>
    <cellStyle name="Normal 27 24 3" xfId="32292" xr:uid="{00000000-0005-0000-0000-0000517B0000}"/>
    <cellStyle name="Normal 27 24 4" xfId="32293" xr:uid="{00000000-0005-0000-0000-0000527B0000}"/>
    <cellStyle name="Normal 27 24 5" xfId="32294" xr:uid="{00000000-0005-0000-0000-0000537B0000}"/>
    <cellStyle name="Normal 27 24 6" xfId="32295" xr:uid="{00000000-0005-0000-0000-0000547B0000}"/>
    <cellStyle name="Normal 27 25" xfId="32296" xr:uid="{00000000-0005-0000-0000-0000557B0000}"/>
    <cellStyle name="Normal 27 26" xfId="32297" xr:uid="{00000000-0005-0000-0000-0000567B0000}"/>
    <cellStyle name="Normal 27 27" xfId="32298" xr:uid="{00000000-0005-0000-0000-0000577B0000}"/>
    <cellStyle name="Normal 27 28" xfId="32299" xr:uid="{00000000-0005-0000-0000-0000587B0000}"/>
    <cellStyle name="Normal 27 29" xfId="32300" xr:uid="{00000000-0005-0000-0000-0000597B0000}"/>
    <cellStyle name="Normal 27 3" xfId="2003" xr:uid="{00000000-0005-0000-0000-00005A7B0000}"/>
    <cellStyle name="Normal 27 3 10" xfId="32301" xr:uid="{00000000-0005-0000-0000-00005B7B0000}"/>
    <cellStyle name="Normal 27 3 11" xfId="32302" xr:uid="{00000000-0005-0000-0000-00005C7B0000}"/>
    <cellStyle name="Normal 27 3 12" xfId="32303" xr:uid="{00000000-0005-0000-0000-00005D7B0000}"/>
    <cellStyle name="Normal 27 3 13" xfId="32304" xr:uid="{00000000-0005-0000-0000-00005E7B0000}"/>
    <cellStyle name="Normal 27 3 14" xfId="43336" xr:uid="{00000000-0005-0000-0000-00005F7B0000}"/>
    <cellStyle name="Normal 27 3 2" xfId="2521" xr:uid="{00000000-0005-0000-0000-0000607B0000}"/>
    <cellStyle name="Normal 27 3 2 2" xfId="32305" xr:uid="{00000000-0005-0000-0000-0000617B0000}"/>
    <cellStyle name="Normal 27 3 2 3" xfId="32306" xr:uid="{00000000-0005-0000-0000-0000627B0000}"/>
    <cellStyle name="Normal 27 3 2 4" xfId="32307" xr:uid="{00000000-0005-0000-0000-0000637B0000}"/>
    <cellStyle name="Normal 27 3 2 5" xfId="32308" xr:uid="{00000000-0005-0000-0000-0000647B0000}"/>
    <cellStyle name="Normal 27 3 2 6" xfId="32309" xr:uid="{00000000-0005-0000-0000-0000657B0000}"/>
    <cellStyle name="Normal 27 3 3" xfId="32310" xr:uid="{00000000-0005-0000-0000-0000667B0000}"/>
    <cellStyle name="Normal 27 3 3 2" xfId="32311" xr:uid="{00000000-0005-0000-0000-0000677B0000}"/>
    <cellStyle name="Normal 27 3 3 3" xfId="32312" xr:uid="{00000000-0005-0000-0000-0000687B0000}"/>
    <cellStyle name="Normal 27 3 3 4" xfId="32313" xr:uid="{00000000-0005-0000-0000-0000697B0000}"/>
    <cellStyle name="Normal 27 3 3 5" xfId="32314" xr:uid="{00000000-0005-0000-0000-00006A7B0000}"/>
    <cellStyle name="Normal 27 3 3 6" xfId="32315" xr:uid="{00000000-0005-0000-0000-00006B7B0000}"/>
    <cellStyle name="Normal 27 3 4" xfId="32316" xr:uid="{00000000-0005-0000-0000-00006C7B0000}"/>
    <cellStyle name="Normal 27 3 4 2" xfId="32317" xr:uid="{00000000-0005-0000-0000-00006D7B0000}"/>
    <cellStyle name="Normal 27 3 4 3" xfId="32318" xr:uid="{00000000-0005-0000-0000-00006E7B0000}"/>
    <cellStyle name="Normal 27 3 4 4" xfId="32319" xr:uid="{00000000-0005-0000-0000-00006F7B0000}"/>
    <cellStyle name="Normal 27 3 4 5" xfId="32320" xr:uid="{00000000-0005-0000-0000-0000707B0000}"/>
    <cellStyle name="Normal 27 3 4 6" xfId="32321" xr:uid="{00000000-0005-0000-0000-0000717B0000}"/>
    <cellStyle name="Normal 27 3 5" xfId="32322" xr:uid="{00000000-0005-0000-0000-0000727B0000}"/>
    <cellStyle name="Normal 27 3 5 2" xfId="32323" xr:uid="{00000000-0005-0000-0000-0000737B0000}"/>
    <cellStyle name="Normal 27 3 5 3" xfId="32324" xr:uid="{00000000-0005-0000-0000-0000747B0000}"/>
    <cellStyle name="Normal 27 3 5 4" xfId="32325" xr:uid="{00000000-0005-0000-0000-0000757B0000}"/>
    <cellStyle name="Normal 27 3 5 5" xfId="32326" xr:uid="{00000000-0005-0000-0000-0000767B0000}"/>
    <cellStyle name="Normal 27 3 5 6" xfId="32327" xr:uid="{00000000-0005-0000-0000-0000777B0000}"/>
    <cellStyle name="Normal 27 3 6" xfId="32328" xr:uid="{00000000-0005-0000-0000-0000787B0000}"/>
    <cellStyle name="Normal 27 3 6 2" xfId="32329" xr:uid="{00000000-0005-0000-0000-0000797B0000}"/>
    <cellStyle name="Normal 27 3 6 3" xfId="32330" xr:uid="{00000000-0005-0000-0000-00007A7B0000}"/>
    <cellStyle name="Normal 27 3 6 4" xfId="32331" xr:uid="{00000000-0005-0000-0000-00007B7B0000}"/>
    <cellStyle name="Normal 27 3 6 5" xfId="32332" xr:uid="{00000000-0005-0000-0000-00007C7B0000}"/>
    <cellStyle name="Normal 27 3 6 6" xfId="32333" xr:uid="{00000000-0005-0000-0000-00007D7B0000}"/>
    <cellStyle name="Normal 27 3 7" xfId="32334" xr:uid="{00000000-0005-0000-0000-00007E7B0000}"/>
    <cellStyle name="Normal 27 3 7 2" xfId="32335" xr:uid="{00000000-0005-0000-0000-00007F7B0000}"/>
    <cellStyle name="Normal 27 3 7 3" xfId="32336" xr:uid="{00000000-0005-0000-0000-0000807B0000}"/>
    <cellStyle name="Normal 27 3 7 4" xfId="32337" xr:uid="{00000000-0005-0000-0000-0000817B0000}"/>
    <cellStyle name="Normal 27 3 7 5" xfId="32338" xr:uid="{00000000-0005-0000-0000-0000827B0000}"/>
    <cellStyle name="Normal 27 3 7 6" xfId="32339" xr:uid="{00000000-0005-0000-0000-0000837B0000}"/>
    <cellStyle name="Normal 27 3 8" xfId="32340" xr:uid="{00000000-0005-0000-0000-0000847B0000}"/>
    <cellStyle name="Normal 27 3 8 2" xfId="32341" xr:uid="{00000000-0005-0000-0000-0000857B0000}"/>
    <cellStyle name="Normal 27 3 8 3" xfId="32342" xr:uid="{00000000-0005-0000-0000-0000867B0000}"/>
    <cellStyle name="Normal 27 3 8 4" xfId="32343" xr:uid="{00000000-0005-0000-0000-0000877B0000}"/>
    <cellStyle name="Normal 27 3 8 5" xfId="32344" xr:uid="{00000000-0005-0000-0000-0000887B0000}"/>
    <cellStyle name="Normal 27 3 8 6" xfId="32345" xr:uid="{00000000-0005-0000-0000-0000897B0000}"/>
    <cellStyle name="Normal 27 3 9" xfId="32346" xr:uid="{00000000-0005-0000-0000-00008A7B0000}"/>
    <cellStyle name="Normal 27 30" xfId="43200" xr:uid="{00000000-0005-0000-0000-00008B7B0000}"/>
    <cellStyle name="Normal 27 31" xfId="43243" xr:uid="{00000000-0005-0000-0000-00008C7B0000}"/>
    <cellStyle name="Normal 27 32" xfId="43403" xr:uid="{00000000-0005-0000-0000-00008D7B0000}"/>
    <cellStyle name="Normal 27 4" xfId="2522" xr:uid="{00000000-0005-0000-0000-00008E7B0000}"/>
    <cellStyle name="Normal 27 4 10" xfId="32347" xr:uid="{00000000-0005-0000-0000-00008F7B0000}"/>
    <cellStyle name="Normal 27 4 11" xfId="32348" xr:uid="{00000000-0005-0000-0000-0000907B0000}"/>
    <cellStyle name="Normal 27 4 12" xfId="32349" xr:uid="{00000000-0005-0000-0000-0000917B0000}"/>
    <cellStyle name="Normal 27 4 13" xfId="32350" xr:uid="{00000000-0005-0000-0000-0000927B0000}"/>
    <cellStyle name="Normal 27 4 14" xfId="43337" xr:uid="{00000000-0005-0000-0000-0000937B0000}"/>
    <cellStyle name="Normal 27 4 2" xfId="32351" xr:uid="{00000000-0005-0000-0000-0000947B0000}"/>
    <cellStyle name="Normal 27 4 2 2" xfId="32352" xr:uid="{00000000-0005-0000-0000-0000957B0000}"/>
    <cellStyle name="Normal 27 4 2 3" xfId="32353" xr:uid="{00000000-0005-0000-0000-0000967B0000}"/>
    <cellStyle name="Normal 27 4 2 4" xfId="32354" xr:uid="{00000000-0005-0000-0000-0000977B0000}"/>
    <cellStyle name="Normal 27 4 2 5" xfId="32355" xr:uid="{00000000-0005-0000-0000-0000987B0000}"/>
    <cellStyle name="Normal 27 4 2 6" xfId="32356" xr:uid="{00000000-0005-0000-0000-0000997B0000}"/>
    <cellStyle name="Normal 27 4 3" xfId="32357" xr:uid="{00000000-0005-0000-0000-00009A7B0000}"/>
    <cellStyle name="Normal 27 4 3 2" xfId="32358" xr:uid="{00000000-0005-0000-0000-00009B7B0000}"/>
    <cellStyle name="Normal 27 4 3 3" xfId="32359" xr:uid="{00000000-0005-0000-0000-00009C7B0000}"/>
    <cellStyle name="Normal 27 4 3 4" xfId="32360" xr:uid="{00000000-0005-0000-0000-00009D7B0000}"/>
    <cellStyle name="Normal 27 4 3 5" xfId="32361" xr:uid="{00000000-0005-0000-0000-00009E7B0000}"/>
    <cellStyle name="Normal 27 4 3 6" xfId="32362" xr:uid="{00000000-0005-0000-0000-00009F7B0000}"/>
    <cellStyle name="Normal 27 4 4" xfId="32363" xr:uid="{00000000-0005-0000-0000-0000A07B0000}"/>
    <cellStyle name="Normal 27 4 4 2" xfId="32364" xr:uid="{00000000-0005-0000-0000-0000A17B0000}"/>
    <cellStyle name="Normal 27 4 4 3" xfId="32365" xr:uid="{00000000-0005-0000-0000-0000A27B0000}"/>
    <cellStyle name="Normal 27 4 4 4" xfId="32366" xr:uid="{00000000-0005-0000-0000-0000A37B0000}"/>
    <cellStyle name="Normal 27 4 4 5" xfId="32367" xr:uid="{00000000-0005-0000-0000-0000A47B0000}"/>
    <cellStyle name="Normal 27 4 4 6" xfId="32368" xr:uid="{00000000-0005-0000-0000-0000A57B0000}"/>
    <cellStyle name="Normal 27 4 5" xfId="32369" xr:uid="{00000000-0005-0000-0000-0000A67B0000}"/>
    <cellStyle name="Normal 27 4 5 2" xfId="32370" xr:uid="{00000000-0005-0000-0000-0000A77B0000}"/>
    <cellStyle name="Normal 27 4 5 3" xfId="32371" xr:uid="{00000000-0005-0000-0000-0000A87B0000}"/>
    <cellStyle name="Normal 27 4 5 4" xfId="32372" xr:uid="{00000000-0005-0000-0000-0000A97B0000}"/>
    <cellStyle name="Normal 27 4 5 5" xfId="32373" xr:uid="{00000000-0005-0000-0000-0000AA7B0000}"/>
    <cellStyle name="Normal 27 4 5 6" xfId="32374" xr:uid="{00000000-0005-0000-0000-0000AB7B0000}"/>
    <cellStyle name="Normal 27 4 6" xfId="32375" xr:uid="{00000000-0005-0000-0000-0000AC7B0000}"/>
    <cellStyle name="Normal 27 4 6 2" xfId="32376" xr:uid="{00000000-0005-0000-0000-0000AD7B0000}"/>
    <cellStyle name="Normal 27 4 6 3" xfId="32377" xr:uid="{00000000-0005-0000-0000-0000AE7B0000}"/>
    <cellStyle name="Normal 27 4 6 4" xfId="32378" xr:uid="{00000000-0005-0000-0000-0000AF7B0000}"/>
    <cellStyle name="Normal 27 4 6 5" xfId="32379" xr:uid="{00000000-0005-0000-0000-0000B07B0000}"/>
    <cellStyle name="Normal 27 4 6 6" xfId="32380" xr:uid="{00000000-0005-0000-0000-0000B17B0000}"/>
    <cellStyle name="Normal 27 4 7" xfId="32381" xr:uid="{00000000-0005-0000-0000-0000B27B0000}"/>
    <cellStyle name="Normal 27 4 7 2" xfId="32382" xr:uid="{00000000-0005-0000-0000-0000B37B0000}"/>
    <cellStyle name="Normal 27 4 7 3" xfId="32383" xr:uid="{00000000-0005-0000-0000-0000B47B0000}"/>
    <cellStyle name="Normal 27 4 7 4" xfId="32384" xr:uid="{00000000-0005-0000-0000-0000B57B0000}"/>
    <cellStyle name="Normal 27 4 7 5" xfId="32385" xr:uid="{00000000-0005-0000-0000-0000B67B0000}"/>
    <cellStyle name="Normal 27 4 7 6" xfId="32386" xr:uid="{00000000-0005-0000-0000-0000B77B0000}"/>
    <cellStyle name="Normal 27 4 8" xfId="32387" xr:uid="{00000000-0005-0000-0000-0000B87B0000}"/>
    <cellStyle name="Normal 27 4 8 2" xfId="32388" xr:uid="{00000000-0005-0000-0000-0000B97B0000}"/>
    <cellStyle name="Normal 27 4 8 3" xfId="32389" xr:uid="{00000000-0005-0000-0000-0000BA7B0000}"/>
    <cellStyle name="Normal 27 4 8 4" xfId="32390" xr:uid="{00000000-0005-0000-0000-0000BB7B0000}"/>
    <cellStyle name="Normal 27 4 8 5" xfId="32391" xr:uid="{00000000-0005-0000-0000-0000BC7B0000}"/>
    <cellStyle name="Normal 27 4 8 6" xfId="32392" xr:uid="{00000000-0005-0000-0000-0000BD7B0000}"/>
    <cellStyle name="Normal 27 4 9" xfId="32393" xr:uid="{00000000-0005-0000-0000-0000BE7B0000}"/>
    <cellStyle name="Normal 27 5" xfId="2426" xr:uid="{00000000-0005-0000-0000-0000BF7B0000}"/>
    <cellStyle name="Normal 27 5 10" xfId="32394" xr:uid="{00000000-0005-0000-0000-0000C07B0000}"/>
    <cellStyle name="Normal 27 5 11" xfId="32395" xr:uid="{00000000-0005-0000-0000-0000C17B0000}"/>
    <cellStyle name="Normal 27 5 12" xfId="32396" xr:uid="{00000000-0005-0000-0000-0000C27B0000}"/>
    <cellStyle name="Normal 27 5 13" xfId="32397" xr:uid="{00000000-0005-0000-0000-0000C37B0000}"/>
    <cellStyle name="Normal 27 5 2" xfId="32398" xr:uid="{00000000-0005-0000-0000-0000C47B0000}"/>
    <cellStyle name="Normal 27 5 2 2" xfId="32399" xr:uid="{00000000-0005-0000-0000-0000C57B0000}"/>
    <cellStyle name="Normal 27 5 2 3" xfId="32400" xr:uid="{00000000-0005-0000-0000-0000C67B0000}"/>
    <cellStyle name="Normal 27 5 2 4" xfId="32401" xr:uid="{00000000-0005-0000-0000-0000C77B0000}"/>
    <cellStyle name="Normal 27 5 2 5" xfId="32402" xr:uid="{00000000-0005-0000-0000-0000C87B0000}"/>
    <cellStyle name="Normal 27 5 2 6" xfId="32403" xr:uid="{00000000-0005-0000-0000-0000C97B0000}"/>
    <cellStyle name="Normal 27 5 3" xfId="32404" xr:uid="{00000000-0005-0000-0000-0000CA7B0000}"/>
    <cellStyle name="Normal 27 5 3 2" xfId="32405" xr:uid="{00000000-0005-0000-0000-0000CB7B0000}"/>
    <cellStyle name="Normal 27 5 3 3" xfId="32406" xr:uid="{00000000-0005-0000-0000-0000CC7B0000}"/>
    <cellStyle name="Normal 27 5 3 4" xfId="32407" xr:uid="{00000000-0005-0000-0000-0000CD7B0000}"/>
    <cellStyle name="Normal 27 5 3 5" xfId="32408" xr:uid="{00000000-0005-0000-0000-0000CE7B0000}"/>
    <cellStyle name="Normal 27 5 3 6" xfId="32409" xr:uid="{00000000-0005-0000-0000-0000CF7B0000}"/>
    <cellStyle name="Normal 27 5 4" xfId="32410" xr:uid="{00000000-0005-0000-0000-0000D07B0000}"/>
    <cellStyle name="Normal 27 5 4 2" xfId="32411" xr:uid="{00000000-0005-0000-0000-0000D17B0000}"/>
    <cellStyle name="Normal 27 5 4 3" xfId="32412" xr:uid="{00000000-0005-0000-0000-0000D27B0000}"/>
    <cellStyle name="Normal 27 5 4 4" xfId="32413" xr:uid="{00000000-0005-0000-0000-0000D37B0000}"/>
    <cellStyle name="Normal 27 5 4 5" xfId="32414" xr:uid="{00000000-0005-0000-0000-0000D47B0000}"/>
    <cellStyle name="Normal 27 5 4 6" xfId="32415" xr:uid="{00000000-0005-0000-0000-0000D57B0000}"/>
    <cellStyle name="Normal 27 5 5" xfId="32416" xr:uid="{00000000-0005-0000-0000-0000D67B0000}"/>
    <cellStyle name="Normal 27 5 5 2" xfId="32417" xr:uid="{00000000-0005-0000-0000-0000D77B0000}"/>
    <cellStyle name="Normal 27 5 5 3" xfId="32418" xr:uid="{00000000-0005-0000-0000-0000D87B0000}"/>
    <cellStyle name="Normal 27 5 5 4" xfId="32419" xr:uid="{00000000-0005-0000-0000-0000D97B0000}"/>
    <cellStyle name="Normal 27 5 5 5" xfId="32420" xr:uid="{00000000-0005-0000-0000-0000DA7B0000}"/>
    <cellStyle name="Normal 27 5 5 6" xfId="32421" xr:uid="{00000000-0005-0000-0000-0000DB7B0000}"/>
    <cellStyle name="Normal 27 5 6" xfId="32422" xr:uid="{00000000-0005-0000-0000-0000DC7B0000}"/>
    <cellStyle name="Normal 27 5 6 2" xfId="32423" xr:uid="{00000000-0005-0000-0000-0000DD7B0000}"/>
    <cellStyle name="Normal 27 5 6 3" xfId="32424" xr:uid="{00000000-0005-0000-0000-0000DE7B0000}"/>
    <cellStyle name="Normal 27 5 6 4" xfId="32425" xr:uid="{00000000-0005-0000-0000-0000DF7B0000}"/>
    <cellStyle name="Normal 27 5 6 5" xfId="32426" xr:uid="{00000000-0005-0000-0000-0000E07B0000}"/>
    <cellStyle name="Normal 27 5 6 6" xfId="32427" xr:uid="{00000000-0005-0000-0000-0000E17B0000}"/>
    <cellStyle name="Normal 27 5 7" xfId="32428" xr:uid="{00000000-0005-0000-0000-0000E27B0000}"/>
    <cellStyle name="Normal 27 5 7 2" xfId="32429" xr:uid="{00000000-0005-0000-0000-0000E37B0000}"/>
    <cellStyle name="Normal 27 5 7 3" xfId="32430" xr:uid="{00000000-0005-0000-0000-0000E47B0000}"/>
    <cellStyle name="Normal 27 5 7 4" xfId="32431" xr:uid="{00000000-0005-0000-0000-0000E57B0000}"/>
    <cellStyle name="Normal 27 5 7 5" xfId="32432" xr:uid="{00000000-0005-0000-0000-0000E67B0000}"/>
    <cellStyle name="Normal 27 5 7 6" xfId="32433" xr:uid="{00000000-0005-0000-0000-0000E77B0000}"/>
    <cellStyle name="Normal 27 5 8" xfId="32434" xr:uid="{00000000-0005-0000-0000-0000E87B0000}"/>
    <cellStyle name="Normal 27 5 8 2" xfId="32435" xr:uid="{00000000-0005-0000-0000-0000E97B0000}"/>
    <cellStyle name="Normal 27 5 8 3" xfId="32436" xr:uid="{00000000-0005-0000-0000-0000EA7B0000}"/>
    <cellStyle name="Normal 27 5 8 4" xfId="32437" xr:uid="{00000000-0005-0000-0000-0000EB7B0000}"/>
    <cellStyle name="Normal 27 5 8 5" xfId="32438" xr:uid="{00000000-0005-0000-0000-0000EC7B0000}"/>
    <cellStyle name="Normal 27 5 8 6" xfId="32439" xr:uid="{00000000-0005-0000-0000-0000ED7B0000}"/>
    <cellStyle name="Normal 27 5 9" xfId="32440" xr:uid="{00000000-0005-0000-0000-0000EE7B0000}"/>
    <cellStyle name="Normal 27 6" xfId="2342" xr:uid="{00000000-0005-0000-0000-0000EF7B0000}"/>
    <cellStyle name="Normal 27 6 10" xfId="32441" xr:uid="{00000000-0005-0000-0000-0000F07B0000}"/>
    <cellStyle name="Normal 27 6 11" xfId="32442" xr:uid="{00000000-0005-0000-0000-0000F17B0000}"/>
    <cellStyle name="Normal 27 6 12" xfId="32443" xr:uid="{00000000-0005-0000-0000-0000F27B0000}"/>
    <cellStyle name="Normal 27 6 13" xfId="32444" xr:uid="{00000000-0005-0000-0000-0000F37B0000}"/>
    <cellStyle name="Normal 27 6 2" xfId="32445" xr:uid="{00000000-0005-0000-0000-0000F47B0000}"/>
    <cellStyle name="Normal 27 6 2 2" xfId="32446" xr:uid="{00000000-0005-0000-0000-0000F57B0000}"/>
    <cellStyle name="Normal 27 6 2 3" xfId="32447" xr:uid="{00000000-0005-0000-0000-0000F67B0000}"/>
    <cellStyle name="Normal 27 6 2 4" xfId="32448" xr:uid="{00000000-0005-0000-0000-0000F77B0000}"/>
    <cellStyle name="Normal 27 6 2 5" xfId="32449" xr:uid="{00000000-0005-0000-0000-0000F87B0000}"/>
    <cellStyle name="Normal 27 6 2 6" xfId="32450" xr:uid="{00000000-0005-0000-0000-0000F97B0000}"/>
    <cellStyle name="Normal 27 6 3" xfId="32451" xr:uid="{00000000-0005-0000-0000-0000FA7B0000}"/>
    <cellStyle name="Normal 27 6 3 2" xfId="32452" xr:uid="{00000000-0005-0000-0000-0000FB7B0000}"/>
    <cellStyle name="Normal 27 6 3 3" xfId="32453" xr:uid="{00000000-0005-0000-0000-0000FC7B0000}"/>
    <cellStyle name="Normal 27 6 3 4" xfId="32454" xr:uid="{00000000-0005-0000-0000-0000FD7B0000}"/>
    <cellStyle name="Normal 27 6 3 5" xfId="32455" xr:uid="{00000000-0005-0000-0000-0000FE7B0000}"/>
    <cellStyle name="Normal 27 6 3 6" xfId="32456" xr:uid="{00000000-0005-0000-0000-0000FF7B0000}"/>
    <cellStyle name="Normal 27 6 4" xfId="32457" xr:uid="{00000000-0005-0000-0000-0000007C0000}"/>
    <cellStyle name="Normal 27 6 4 2" xfId="32458" xr:uid="{00000000-0005-0000-0000-0000017C0000}"/>
    <cellStyle name="Normal 27 6 4 3" xfId="32459" xr:uid="{00000000-0005-0000-0000-0000027C0000}"/>
    <cellStyle name="Normal 27 6 4 4" xfId="32460" xr:uid="{00000000-0005-0000-0000-0000037C0000}"/>
    <cellStyle name="Normal 27 6 4 5" xfId="32461" xr:uid="{00000000-0005-0000-0000-0000047C0000}"/>
    <cellStyle name="Normal 27 6 4 6" xfId="32462" xr:uid="{00000000-0005-0000-0000-0000057C0000}"/>
    <cellStyle name="Normal 27 6 5" xfId="32463" xr:uid="{00000000-0005-0000-0000-0000067C0000}"/>
    <cellStyle name="Normal 27 6 5 2" xfId="32464" xr:uid="{00000000-0005-0000-0000-0000077C0000}"/>
    <cellStyle name="Normal 27 6 5 3" xfId="32465" xr:uid="{00000000-0005-0000-0000-0000087C0000}"/>
    <cellStyle name="Normal 27 6 5 4" xfId="32466" xr:uid="{00000000-0005-0000-0000-0000097C0000}"/>
    <cellStyle name="Normal 27 6 5 5" xfId="32467" xr:uid="{00000000-0005-0000-0000-00000A7C0000}"/>
    <cellStyle name="Normal 27 6 5 6" xfId="32468" xr:uid="{00000000-0005-0000-0000-00000B7C0000}"/>
    <cellStyle name="Normal 27 6 6" xfId="32469" xr:uid="{00000000-0005-0000-0000-00000C7C0000}"/>
    <cellStyle name="Normal 27 6 6 2" xfId="32470" xr:uid="{00000000-0005-0000-0000-00000D7C0000}"/>
    <cellStyle name="Normal 27 6 6 3" xfId="32471" xr:uid="{00000000-0005-0000-0000-00000E7C0000}"/>
    <cellStyle name="Normal 27 6 6 4" xfId="32472" xr:uid="{00000000-0005-0000-0000-00000F7C0000}"/>
    <cellStyle name="Normal 27 6 6 5" xfId="32473" xr:uid="{00000000-0005-0000-0000-0000107C0000}"/>
    <cellStyle name="Normal 27 6 6 6" xfId="32474" xr:uid="{00000000-0005-0000-0000-0000117C0000}"/>
    <cellStyle name="Normal 27 6 7" xfId="32475" xr:uid="{00000000-0005-0000-0000-0000127C0000}"/>
    <cellStyle name="Normal 27 6 7 2" xfId="32476" xr:uid="{00000000-0005-0000-0000-0000137C0000}"/>
    <cellStyle name="Normal 27 6 7 3" xfId="32477" xr:uid="{00000000-0005-0000-0000-0000147C0000}"/>
    <cellStyle name="Normal 27 6 7 4" xfId="32478" xr:uid="{00000000-0005-0000-0000-0000157C0000}"/>
    <cellStyle name="Normal 27 6 7 5" xfId="32479" xr:uid="{00000000-0005-0000-0000-0000167C0000}"/>
    <cellStyle name="Normal 27 6 7 6" xfId="32480" xr:uid="{00000000-0005-0000-0000-0000177C0000}"/>
    <cellStyle name="Normal 27 6 8" xfId="32481" xr:uid="{00000000-0005-0000-0000-0000187C0000}"/>
    <cellStyle name="Normal 27 6 8 2" xfId="32482" xr:uid="{00000000-0005-0000-0000-0000197C0000}"/>
    <cellStyle name="Normal 27 6 8 3" xfId="32483" xr:uid="{00000000-0005-0000-0000-00001A7C0000}"/>
    <cellStyle name="Normal 27 6 8 4" xfId="32484" xr:uid="{00000000-0005-0000-0000-00001B7C0000}"/>
    <cellStyle name="Normal 27 6 8 5" xfId="32485" xr:uid="{00000000-0005-0000-0000-00001C7C0000}"/>
    <cellStyle name="Normal 27 6 8 6" xfId="32486" xr:uid="{00000000-0005-0000-0000-00001D7C0000}"/>
    <cellStyle name="Normal 27 6 9" xfId="32487" xr:uid="{00000000-0005-0000-0000-00001E7C0000}"/>
    <cellStyle name="Normal 27 7" xfId="32488" xr:uid="{00000000-0005-0000-0000-00001F7C0000}"/>
    <cellStyle name="Normal 27 7 10" xfId="32489" xr:uid="{00000000-0005-0000-0000-0000207C0000}"/>
    <cellStyle name="Normal 27 7 11" xfId="32490" xr:uid="{00000000-0005-0000-0000-0000217C0000}"/>
    <cellStyle name="Normal 27 7 12" xfId="32491" xr:uid="{00000000-0005-0000-0000-0000227C0000}"/>
    <cellStyle name="Normal 27 7 13" xfId="32492" xr:uid="{00000000-0005-0000-0000-0000237C0000}"/>
    <cellStyle name="Normal 27 7 2" xfId="32493" xr:uid="{00000000-0005-0000-0000-0000247C0000}"/>
    <cellStyle name="Normal 27 7 2 2" xfId="32494" xr:uid="{00000000-0005-0000-0000-0000257C0000}"/>
    <cellStyle name="Normal 27 7 2 3" xfId="32495" xr:uid="{00000000-0005-0000-0000-0000267C0000}"/>
    <cellStyle name="Normal 27 7 2 4" xfId="32496" xr:uid="{00000000-0005-0000-0000-0000277C0000}"/>
    <cellStyle name="Normal 27 7 2 5" xfId="32497" xr:uid="{00000000-0005-0000-0000-0000287C0000}"/>
    <cellStyle name="Normal 27 7 2 6" xfId="32498" xr:uid="{00000000-0005-0000-0000-0000297C0000}"/>
    <cellStyle name="Normal 27 7 3" xfId="32499" xr:uid="{00000000-0005-0000-0000-00002A7C0000}"/>
    <cellStyle name="Normal 27 7 3 2" xfId="32500" xr:uid="{00000000-0005-0000-0000-00002B7C0000}"/>
    <cellStyle name="Normal 27 7 3 3" xfId="32501" xr:uid="{00000000-0005-0000-0000-00002C7C0000}"/>
    <cellStyle name="Normal 27 7 3 4" xfId="32502" xr:uid="{00000000-0005-0000-0000-00002D7C0000}"/>
    <cellStyle name="Normal 27 7 3 5" xfId="32503" xr:uid="{00000000-0005-0000-0000-00002E7C0000}"/>
    <cellStyle name="Normal 27 7 3 6" xfId="32504" xr:uid="{00000000-0005-0000-0000-00002F7C0000}"/>
    <cellStyle name="Normal 27 7 4" xfId="32505" xr:uid="{00000000-0005-0000-0000-0000307C0000}"/>
    <cellStyle name="Normal 27 7 4 2" xfId="32506" xr:uid="{00000000-0005-0000-0000-0000317C0000}"/>
    <cellStyle name="Normal 27 7 4 3" xfId="32507" xr:uid="{00000000-0005-0000-0000-0000327C0000}"/>
    <cellStyle name="Normal 27 7 4 4" xfId="32508" xr:uid="{00000000-0005-0000-0000-0000337C0000}"/>
    <cellStyle name="Normal 27 7 4 5" xfId="32509" xr:uid="{00000000-0005-0000-0000-0000347C0000}"/>
    <cellStyle name="Normal 27 7 4 6" xfId="32510" xr:uid="{00000000-0005-0000-0000-0000357C0000}"/>
    <cellStyle name="Normal 27 7 5" xfId="32511" xr:uid="{00000000-0005-0000-0000-0000367C0000}"/>
    <cellStyle name="Normal 27 7 5 2" xfId="32512" xr:uid="{00000000-0005-0000-0000-0000377C0000}"/>
    <cellStyle name="Normal 27 7 5 3" xfId="32513" xr:uid="{00000000-0005-0000-0000-0000387C0000}"/>
    <cellStyle name="Normal 27 7 5 4" xfId="32514" xr:uid="{00000000-0005-0000-0000-0000397C0000}"/>
    <cellStyle name="Normal 27 7 5 5" xfId="32515" xr:uid="{00000000-0005-0000-0000-00003A7C0000}"/>
    <cellStyle name="Normal 27 7 5 6" xfId="32516" xr:uid="{00000000-0005-0000-0000-00003B7C0000}"/>
    <cellStyle name="Normal 27 7 6" xfId="32517" xr:uid="{00000000-0005-0000-0000-00003C7C0000}"/>
    <cellStyle name="Normal 27 7 6 2" xfId="32518" xr:uid="{00000000-0005-0000-0000-00003D7C0000}"/>
    <cellStyle name="Normal 27 7 6 3" xfId="32519" xr:uid="{00000000-0005-0000-0000-00003E7C0000}"/>
    <cellStyle name="Normal 27 7 6 4" xfId="32520" xr:uid="{00000000-0005-0000-0000-00003F7C0000}"/>
    <cellStyle name="Normal 27 7 6 5" xfId="32521" xr:uid="{00000000-0005-0000-0000-0000407C0000}"/>
    <cellStyle name="Normal 27 7 6 6" xfId="32522" xr:uid="{00000000-0005-0000-0000-0000417C0000}"/>
    <cellStyle name="Normal 27 7 7" xfId="32523" xr:uid="{00000000-0005-0000-0000-0000427C0000}"/>
    <cellStyle name="Normal 27 7 7 2" xfId="32524" xr:uid="{00000000-0005-0000-0000-0000437C0000}"/>
    <cellStyle name="Normal 27 7 7 3" xfId="32525" xr:uid="{00000000-0005-0000-0000-0000447C0000}"/>
    <cellStyle name="Normal 27 7 7 4" xfId="32526" xr:uid="{00000000-0005-0000-0000-0000457C0000}"/>
    <cellStyle name="Normal 27 7 7 5" xfId="32527" xr:uid="{00000000-0005-0000-0000-0000467C0000}"/>
    <cellStyle name="Normal 27 7 7 6" xfId="32528" xr:uid="{00000000-0005-0000-0000-0000477C0000}"/>
    <cellStyle name="Normal 27 7 8" xfId="32529" xr:uid="{00000000-0005-0000-0000-0000487C0000}"/>
    <cellStyle name="Normal 27 7 8 2" xfId="32530" xr:uid="{00000000-0005-0000-0000-0000497C0000}"/>
    <cellStyle name="Normal 27 7 8 3" xfId="32531" xr:uid="{00000000-0005-0000-0000-00004A7C0000}"/>
    <cellStyle name="Normal 27 7 8 4" xfId="32532" xr:uid="{00000000-0005-0000-0000-00004B7C0000}"/>
    <cellStyle name="Normal 27 7 8 5" xfId="32533" xr:uid="{00000000-0005-0000-0000-00004C7C0000}"/>
    <cellStyle name="Normal 27 7 8 6" xfId="32534" xr:uid="{00000000-0005-0000-0000-00004D7C0000}"/>
    <cellStyle name="Normal 27 7 9" xfId="32535" xr:uid="{00000000-0005-0000-0000-00004E7C0000}"/>
    <cellStyle name="Normal 27 8" xfId="32536" xr:uid="{00000000-0005-0000-0000-00004F7C0000}"/>
    <cellStyle name="Normal 27 8 10" xfId="32537" xr:uid="{00000000-0005-0000-0000-0000507C0000}"/>
    <cellStyle name="Normal 27 8 11" xfId="32538" xr:uid="{00000000-0005-0000-0000-0000517C0000}"/>
    <cellStyle name="Normal 27 8 12" xfId="32539" xr:uid="{00000000-0005-0000-0000-0000527C0000}"/>
    <cellStyle name="Normal 27 8 13" xfId="32540" xr:uid="{00000000-0005-0000-0000-0000537C0000}"/>
    <cellStyle name="Normal 27 8 2" xfId="32541" xr:uid="{00000000-0005-0000-0000-0000547C0000}"/>
    <cellStyle name="Normal 27 8 2 2" xfId="32542" xr:uid="{00000000-0005-0000-0000-0000557C0000}"/>
    <cellStyle name="Normal 27 8 2 3" xfId="32543" xr:uid="{00000000-0005-0000-0000-0000567C0000}"/>
    <cellStyle name="Normal 27 8 2 4" xfId="32544" xr:uid="{00000000-0005-0000-0000-0000577C0000}"/>
    <cellStyle name="Normal 27 8 2 5" xfId="32545" xr:uid="{00000000-0005-0000-0000-0000587C0000}"/>
    <cellStyle name="Normal 27 8 2 6" xfId="32546" xr:uid="{00000000-0005-0000-0000-0000597C0000}"/>
    <cellStyle name="Normal 27 8 3" xfId="32547" xr:uid="{00000000-0005-0000-0000-00005A7C0000}"/>
    <cellStyle name="Normal 27 8 3 2" xfId="32548" xr:uid="{00000000-0005-0000-0000-00005B7C0000}"/>
    <cellStyle name="Normal 27 8 3 3" xfId="32549" xr:uid="{00000000-0005-0000-0000-00005C7C0000}"/>
    <cellStyle name="Normal 27 8 3 4" xfId="32550" xr:uid="{00000000-0005-0000-0000-00005D7C0000}"/>
    <cellStyle name="Normal 27 8 3 5" xfId="32551" xr:uid="{00000000-0005-0000-0000-00005E7C0000}"/>
    <cellStyle name="Normal 27 8 3 6" xfId="32552" xr:uid="{00000000-0005-0000-0000-00005F7C0000}"/>
    <cellStyle name="Normal 27 8 4" xfId="32553" xr:uid="{00000000-0005-0000-0000-0000607C0000}"/>
    <cellStyle name="Normal 27 8 4 2" xfId="32554" xr:uid="{00000000-0005-0000-0000-0000617C0000}"/>
    <cellStyle name="Normal 27 8 4 3" xfId="32555" xr:uid="{00000000-0005-0000-0000-0000627C0000}"/>
    <cellStyle name="Normal 27 8 4 4" xfId="32556" xr:uid="{00000000-0005-0000-0000-0000637C0000}"/>
    <cellStyle name="Normal 27 8 4 5" xfId="32557" xr:uid="{00000000-0005-0000-0000-0000647C0000}"/>
    <cellStyle name="Normal 27 8 4 6" xfId="32558" xr:uid="{00000000-0005-0000-0000-0000657C0000}"/>
    <cellStyle name="Normal 27 8 5" xfId="32559" xr:uid="{00000000-0005-0000-0000-0000667C0000}"/>
    <cellStyle name="Normal 27 8 5 2" xfId="32560" xr:uid="{00000000-0005-0000-0000-0000677C0000}"/>
    <cellStyle name="Normal 27 8 5 3" xfId="32561" xr:uid="{00000000-0005-0000-0000-0000687C0000}"/>
    <cellStyle name="Normal 27 8 5 4" xfId="32562" xr:uid="{00000000-0005-0000-0000-0000697C0000}"/>
    <cellStyle name="Normal 27 8 5 5" xfId="32563" xr:uid="{00000000-0005-0000-0000-00006A7C0000}"/>
    <cellStyle name="Normal 27 8 5 6" xfId="32564" xr:uid="{00000000-0005-0000-0000-00006B7C0000}"/>
    <cellStyle name="Normal 27 8 6" xfId="32565" xr:uid="{00000000-0005-0000-0000-00006C7C0000}"/>
    <cellStyle name="Normal 27 8 6 2" xfId="32566" xr:uid="{00000000-0005-0000-0000-00006D7C0000}"/>
    <cellStyle name="Normal 27 8 6 3" xfId="32567" xr:uid="{00000000-0005-0000-0000-00006E7C0000}"/>
    <cellStyle name="Normal 27 8 6 4" xfId="32568" xr:uid="{00000000-0005-0000-0000-00006F7C0000}"/>
    <cellStyle name="Normal 27 8 6 5" xfId="32569" xr:uid="{00000000-0005-0000-0000-0000707C0000}"/>
    <cellStyle name="Normal 27 8 6 6" xfId="32570" xr:uid="{00000000-0005-0000-0000-0000717C0000}"/>
    <cellStyle name="Normal 27 8 7" xfId="32571" xr:uid="{00000000-0005-0000-0000-0000727C0000}"/>
    <cellStyle name="Normal 27 8 7 2" xfId="32572" xr:uid="{00000000-0005-0000-0000-0000737C0000}"/>
    <cellStyle name="Normal 27 8 7 3" xfId="32573" xr:uid="{00000000-0005-0000-0000-0000747C0000}"/>
    <cellStyle name="Normal 27 8 7 4" xfId="32574" xr:uid="{00000000-0005-0000-0000-0000757C0000}"/>
    <cellStyle name="Normal 27 8 7 5" xfId="32575" xr:uid="{00000000-0005-0000-0000-0000767C0000}"/>
    <cellStyle name="Normal 27 8 7 6" xfId="32576" xr:uid="{00000000-0005-0000-0000-0000777C0000}"/>
    <cellStyle name="Normal 27 8 8" xfId="32577" xr:uid="{00000000-0005-0000-0000-0000787C0000}"/>
    <cellStyle name="Normal 27 8 8 2" xfId="32578" xr:uid="{00000000-0005-0000-0000-0000797C0000}"/>
    <cellStyle name="Normal 27 8 8 3" xfId="32579" xr:uid="{00000000-0005-0000-0000-00007A7C0000}"/>
    <cellStyle name="Normal 27 8 8 4" xfId="32580" xr:uid="{00000000-0005-0000-0000-00007B7C0000}"/>
    <cellStyle name="Normal 27 8 8 5" xfId="32581" xr:uid="{00000000-0005-0000-0000-00007C7C0000}"/>
    <cellStyle name="Normal 27 8 8 6" xfId="32582" xr:uid="{00000000-0005-0000-0000-00007D7C0000}"/>
    <cellStyle name="Normal 27 8 9" xfId="32583" xr:uid="{00000000-0005-0000-0000-00007E7C0000}"/>
    <cellStyle name="Normal 27 9" xfId="32584" xr:uid="{00000000-0005-0000-0000-00007F7C0000}"/>
    <cellStyle name="Normal 27 9 10" xfId="32585" xr:uid="{00000000-0005-0000-0000-0000807C0000}"/>
    <cellStyle name="Normal 27 9 11" xfId="32586" xr:uid="{00000000-0005-0000-0000-0000817C0000}"/>
    <cellStyle name="Normal 27 9 12" xfId="32587" xr:uid="{00000000-0005-0000-0000-0000827C0000}"/>
    <cellStyle name="Normal 27 9 13" xfId="32588" xr:uid="{00000000-0005-0000-0000-0000837C0000}"/>
    <cellStyle name="Normal 27 9 2" xfId="32589" xr:uid="{00000000-0005-0000-0000-0000847C0000}"/>
    <cellStyle name="Normal 27 9 2 2" xfId="32590" xr:uid="{00000000-0005-0000-0000-0000857C0000}"/>
    <cellStyle name="Normal 27 9 2 3" xfId="32591" xr:uid="{00000000-0005-0000-0000-0000867C0000}"/>
    <cellStyle name="Normal 27 9 2 4" xfId="32592" xr:uid="{00000000-0005-0000-0000-0000877C0000}"/>
    <cellStyle name="Normal 27 9 2 5" xfId="32593" xr:uid="{00000000-0005-0000-0000-0000887C0000}"/>
    <cellStyle name="Normal 27 9 2 6" xfId="32594" xr:uid="{00000000-0005-0000-0000-0000897C0000}"/>
    <cellStyle name="Normal 27 9 3" xfId="32595" xr:uid="{00000000-0005-0000-0000-00008A7C0000}"/>
    <cellStyle name="Normal 27 9 3 2" xfId="32596" xr:uid="{00000000-0005-0000-0000-00008B7C0000}"/>
    <cellStyle name="Normal 27 9 3 3" xfId="32597" xr:uid="{00000000-0005-0000-0000-00008C7C0000}"/>
    <cellStyle name="Normal 27 9 3 4" xfId="32598" xr:uid="{00000000-0005-0000-0000-00008D7C0000}"/>
    <cellStyle name="Normal 27 9 3 5" xfId="32599" xr:uid="{00000000-0005-0000-0000-00008E7C0000}"/>
    <cellStyle name="Normal 27 9 3 6" xfId="32600" xr:uid="{00000000-0005-0000-0000-00008F7C0000}"/>
    <cellStyle name="Normal 27 9 4" xfId="32601" xr:uid="{00000000-0005-0000-0000-0000907C0000}"/>
    <cellStyle name="Normal 27 9 4 2" xfId="32602" xr:uid="{00000000-0005-0000-0000-0000917C0000}"/>
    <cellStyle name="Normal 27 9 4 3" xfId="32603" xr:uid="{00000000-0005-0000-0000-0000927C0000}"/>
    <cellStyle name="Normal 27 9 4 4" xfId="32604" xr:uid="{00000000-0005-0000-0000-0000937C0000}"/>
    <cellStyle name="Normal 27 9 4 5" xfId="32605" xr:uid="{00000000-0005-0000-0000-0000947C0000}"/>
    <cellStyle name="Normal 27 9 4 6" xfId="32606" xr:uid="{00000000-0005-0000-0000-0000957C0000}"/>
    <cellStyle name="Normal 27 9 5" xfId="32607" xr:uid="{00000000-0005-0000-0000-0000967C0000}"/>
    <cellStyle name="Normal 27 9 5 2" xfId="32608" xr:uid="{00000000-0005-0000-0000-0000977C0000}"/>
    <cellStyle name="Normal 27 9 5 3" xfId="32609" xr:uid="{00000000-0005-0000-0000-0000987C0000}"/>
    <cellStyle name="Normal 27 9 5 4" xfId="32610" xr:uid="{00000000-0005-0000-0000-0000997C0000}"/>
    <cellStyle name="Normal 27 9 5 5" xfId="32611" xr:uid="{00000000-0005-0000-0000-00009A7C0000}"/>
    <cellStyle name="Normal 27 9 5 6" xfId="32612" xr:uid="{00000000-0005-0000-0000-00009B7C0000}"/>
    <cellStyle name="Normal 27 9 6" xfId="32613" xr:uid="{00000000-0005-0000-0000-00009C7C0000}"/>
    <cellStyle name="Normal 27 9 6 2" xfId="32614" xr:uid="{00000000-0005-0000-0000-00009D7C0000}"/>
    <cellStyle name="Normal 27 9 6 3" xfId="32615" xr:uid="{00000000-0005-0000-0000-00009E7C0000}"/>
    <cellStyle name="Normal 27 9 6 4" xfId="32616" xr:uid="{00000000-0005-0000-0000-00009F7C0000}"/>
    <cellStyle name="Normal 27 9 6 5" xfId="32617" xr:uid="{00000000-0005-0000-0000-0000A07C0000}"/>
    <cellStyle name="Normal 27 9 6 6" xfId="32618" xr:uid="{00000000-0005-0000-0000-0000A17C0000}"/>
    <cellStyle name="Normal 27 9 7" xfId="32619" xr:uid="{00000000-0005-0000-0000-0000A27C0000}"/>
    <cellStyle name="Normal 27 9 7 2" xfId="32620" xr:uid="{00000000-0005-0000-0000-0000A37C0000}"/>
    <cellStyle name="Normal 27 9 7 3" xfId="32621" xr:uid="{00000000-0005-0000-0000-0000A47C0000}"/>
    <cellStyle name="Normal 27 9 7 4" xfId="32622" xr:uid="{00000000-0005-0000-0000-0000A57C0000}"/>
    <cellStyle name="Normal 27 9 7 5" xfId="32623" xr:uid="{00000000-0005-0000-0000-0000A67C0000}"/>
    <cellStyle name="Normal 27 9 7 6" xfId="32624" xr:uid="{00000000-0005-0000-0000-0000A77C0000}"/>
    <cellStyle name="Normal 27 9 8" xfId="32625" xr:uid="{00000000-0005-0000-0000-0000A87C0000}"/>
    <cellStyle name="Normal 27 9 8 2" xfId="32626" xr:uid="{00000000-0005-0000-0000-0000A97C0000}"/>
    <cellStyle name="Normal 27 9 8 3" xfId="32627" xr:uid="{00000000-0005-0000-0000-0000AA7C0000}"/>
    <cellStyle name="Normal 27 9 8 4" xfId="32628" xr:uid="{00000000-0005-0000-0000-0000AB7C0000}"/>
    <cellStyle name="Normal 27 9 8 5" xfId="32629" xr:uid="{00000000-0005-0000-0000-0000AC7C0000}"/>
    <cellStyle name="Normal 27 9 8 6" xfId="32630" xr:uid="{00000000-0005-0000-0000-0000AD7C0000}"/>
    <cellStyle name="Normal 27 9 9" xfId="32631" xr:uid="{00000000-0005-0000-0000-0000AE7C0000}"/>
    <cellStyle name="Normal 28" xfId="1791" xr:uid="{00000000-0005-0000-0000-0000AF7C0000}"/>
    <cellStyle name="Normal 28 10" xfId="32632" xr:uid="{00000000-0005-0000-0000-0000B07C0000}"/>
    <cellStyle name="Normal 28 10 10" xfId="32633" xr:uid="{00000000-0005-0000-0000-0000B17C0000}"/>
    <cellStyle name="Normal 28 10 11" xfId="32634" xr:uid="{00000000-0005-0000-0000-0000B27C0000}"/>
    <cellStyle name="Normal 28 10 12" xfId="32635" xr:uid="{00000000-0005-0000-0000-0000B37C0000}"/>
    <cellStyle name="Normal 28 10 13" xfId="32636" xr:uid="{00000000-0005-0000-0000-0000B47C0000}"/>
    <cellStyle name="Normal 28 10 2" xfId="32637" xr:uid="{00000000-0005-0000-0000-0000B57C0000}"/>
    <cellStyle name="Normal 28 10 2 2" xfId="32638" xr:uid="{00000000-0005-0000-0000-0000B67C0000}"/>
    <cellStyle name="Normal 28 10 2 3" xfId="32639" xr:uid="{00000000-0005-0000-0000-0000B77C0000}"/>
    <cellStyle name="Normal 28 10 2 4" xfId="32640" xr:uid="{00000000-0005-0000-0000-0000B87C0000}"/>
    <cellStyle name="Normal 28 10 2 5" xfId="32641" xr:uid="{00000000-0005-0000-0000-0000B97C0000}"/>
    <cellStyle name="Normal 28 10 2 6" xfId="32642" xr:uid="{00000000-0005-0000-0000-0000BA7C0000}"/>
    <cellStyle name="Normal 28 10 3" xfId="32643" xr:uid="{00000000-0005-0000-0000-0000BB7C0000}"/>
    <cellStyle name="Normal 28 10 3 2" xfId="32644" xr:uid="{00000000-0005-0000-0000-0000BC7C0000}"/>
    <cellStyle name="Normal 28 10 3 3" xfId="32645" xr:uid="{00000000-0005-0000-0000-0000BD7C0000}"/>
    <cellStyle name="Normal 28 10 3 4" xfId="32646" xr:uid="{00000000-0005-0000-0000-0000BE7C0000}"/>
    <cellStyle name="Normal 28 10 3 5" xfId="32647" xr:uid="{00000000-0005-0000-0000-0000BF7C0000}"/>
    <cellStyle name="Normal 28 10 3 6" xfId="32648" xr:uid="{00000000-0005-0000-0000-0000C07C0000}"/>
    <cellStyle name="Normal 28 10 4" xfId="32649" xr:uid="{00000000-0005-0000-0000-0000C17C0000}"/>
    <cellStyle name="Normal 28 10 4 2" xfId="32650" xr:uid="{00000000-0005-0000-0000-0000C27C0000}"/>
    <cellStyle name="Normal 28 10 4 3" xfId="32651" xr:uid="{00000000-0005-0000-0000-0000C37C0000}"/>
    <cellStyle name="Normal 28 10 4 4" xfId="32652" xr:uid="{00000000-0005-0000-0000-0000C47C0000}"/>
    <cellStyle name="Normal 28 10 4 5" xfId="32653" xr:uid="{00000000-0005-0000-0000-0000C57C0000}"/>
    <cellStyle name="Normal 28 10 4 6" xfId="32654" xr:uid="{00000000-0005-0000-0000-0000C67C0000}"/>
    <cellStyle name="Normal 28 10 5" xfId="32655" xr:uid="{00000000-0005-0000-0000-0000C77C0000}"/>
    <cellStyle name="Normal 28 10 5 2" xfId="32656" xr:uid="{00000000-0005-0000-0000-0000C87C0000}"/>
    <cellStyle name="Normal 28 10 5 3" xfId="32657" xr:uid="{00000000-0005-0000-0000-0000C97C0000}"/>
    <cellStyle name="Normal 28 10 5 4" xfId="32658" xr:uid="{00000000-0005-0000-0000-0000CA7C0000}"/>
    <cellStyle name="Normal 28 10 5 5" xfId="32659" xr:uid="{00000000-0005-0000-0000-0000CB7C0000}"/>
    <cellStyle name="Normal 28 10 5 6" xfId="32660" xr:uid="{00000000-0005-0000-0000-0000CC7C0000}"/>
    <cellStyle name="Normal 28 10 6" xfId="32661" xr:uid="{00000000-0005-0000-0000-0000CD7C0000}"/>
    <cellStyle name="Normal 28 10 6 2" xfId="32662" xr:uid="{00000000-0005-0000-0000-0000CE7C0000}"/>
    <cellStyle name="Normal 28 10 6 3" xfId="32663" xr:uid="{00000000-0005-0000-0000-0000CF7C0000}"/>
    <cellStyle name="Normal 28 10 6 4" xfId="32664" xr:uid="{00000000-0005-0000-0000-0000D07C0000}"/>
    <cellStyle name="Normal 28 10 6 5" xfId="32665" xr:uid="{00000000-0005-0000-0000-0000D17C0000}"/>
    <cellStyle name="Normal 28 10 6 6" xfId="32666" xr:uid="{00000000-0005-0000-0000-0000D27C0000}"/>
    <cellStyle name="Normal 28 10 7" xfId="32667" xr:uid="{00000000-0005-0000-0000-0000D37C0000}"/>
    <cellStyle name="Normal 28 10 7 2" xfId="32668" xr:uid="{00000000-0005-0000-0000-0000D47C0000}"/>
    <cellStyle name="Normal 28 10 7 3" xfId="32669" xr:uid="{00000000-0005-0000-0000-0000D57C0000}"/>
    <cellStyle name="Normal 28 10 7 4" xfId="32670" xr:uid="{00000000-0005-0000-0000-0000D67C0000}"/>
    <cellStyle name="Normal 28 10 7 5" xfId="32671" xr:uid="{00000000-0005-0000-0000-0000D77C0000}"/>
    <cellStyle name="Normal 28 10 7 6" xfId="32672" xr:uid="{00000000-0005-0000-0000-0000D87C0000}"/>
    <cellStyle name="Normal 28 10 8" xfId="32673" xr:uid="{00000000-0005-0000-0000-0000D97C0000}"/>
    <cellStyle name="Normal 28 10 8 2" xfId="32674" xr:uid="{00000000-0005-0000-0000-0000DA7C0000}"/>
    <cellStyle name="Normal 28 10 8 3" xfId="32675" xr:uid="{00000000-0005-0000-0000-0000DB7C0000}"/>
    <cellStyle name="Normal 28 10 8 4" xfId="32676" xr:uid="{00000000-0005-0000-0000-0000DC7C0000}"/>
    <cellStyle name="Normal 28 10 8 5" xfId="32677" xr:uid="{00000000-0005-0000-0000-0000DD7C0000}"/>
    <cellStyle name="Normal 28 10 8 6" xfId="32678" xr:uid="{00000000-0005-0000-0000-0000DE7C0000}"/>
    <cellStyle name="Normal 28 10 9" xfId="32679" xr:uid="{00000000-0005-0000-0000-0000DF7C0000}"/>
    <cellStyle name="Normal 28 11" xfId="32680" xr:uid="{00000000-0005-0000-0000-0000E07C0000}"/>
    <cellStyle name="Normal 28 11 10" xfId="32681" xr:uid="{00000000-0005-0000-0000-0000E17C0000}"/>
    <cellStyle name="Normal 28 11 11" xfId="32682" xr:uid="{00000000-0005-0000-0000-0000E27C0000}"/>
    <cellStyle name="Normal 28 11 12" xfId="32683" xr:uid="{00000000-0005-0000-0000-0000E37C0000}"/>
    <cellStyle name="Normal 28 11 13" xfId="32684" xr:uid="{00000000-0005-0000-0000-0000E47C0000}"/>
    <cellStyle name="Normal 28 11 2" xfId="32685" xr:uid="{00000000-0005-0000-0000-0000E57C0000}"/>
    <cellStyle name="Normal 28 11 2 2" xfId="32686" xr:uid="{00000000-0005-0000-0000-0000E67C0000}"/>
    <cellStyle name="Normal 28 11 2 3" xfId="32687" xr:uid="{00000000-0005-0000-0000-0000E77C0000}"/>
    <cellStyle name="Normal 28 11 2 4" xfId="32688" xr:uid="{00000000-0005-0000-0000-0000E87C0000}"/>
    <cellStyle name="Normal 28 11 2 5" xfId="32689" xr:uid="{00000000-0005-0000-0000-0000E97C0000}"/>
    <cellStyle name="Normal 28 11 2 6" xfId="32690" xr:uid="{00000000-0005-0000-0000-0000EA7C0000}"/>
    <cellStyle name="Normal 28 11 3" xfId="32691" xr:uid="{00000000-0005-0000-0000-0000EB7C0000}"/>
    <cellStyle name="Normal 28 11 3 2" xfId="32692" xr:uid="{00000000-0005-0000-0000-0000EC7C0000}"/>
    <cellStyle name="Normal 28 11 3 3" xfId="32693" xr:uid="{00000000-0005-0000-0000-0000ED7C0000}"/>
    <cellStyle name="Normal 28 11 3 4" xfId="32694" xr:uid="{00000000-0005-0000-0000-0000EE7C0000}"/>
    <cellStyle name="Normal 28 11 3 5" xfId="32695" xr:uid="{00000000-0005-0000-0000-0000EF7C0000}"/>
    <cellStyle name="Normal 28 11 3 6" xfId="32696" xr:uid="{00000000-0005-0000-0000-0000F07C0000}"/>
    <cellStyle name="Normal 28 11 4" xfId="32697" xr:uid="{00000000-0005-0000-0000-0000F17C0000}"/>
    <cellStyle name="Normal 28 11 4 2" xfId="32698" xr:uid="{00000000-0005-0000-0000-0000F27C0000}"/>
    <cellStyle name="Normal 28 11 4 3" xfId="32699" xr:uid="{00000000-0005-0000-0000-0000F37C0000}"/>
    <cellStyle name="Normal 28 11 4 4" xfId="32700" xr:uid="{00000000-0005-0000-0000-0000F47C0000}"/>
    <cellStyle name="Normal 28 11 4 5" xfId="32701" xr:uid="{00000000-0005-0000-0000-0000F57C0000}"/>
    <cellStyle name="Normal 28 11 4 6" xfId="32702" xr:uid="{00000000-0005-0000-0000-0000F67C0000}"/>
    <cellStyle name="Normal 28 11 5" xfId="32703" xr:uid="{00000000-0005-0000-0000-0000F77C0000}"/>
    <cellStyle name="Normal 28 11 5 2" xfId="32704" xr:uid="{00000000-0005-0000-0000-0000F87C0000}"/>
    <cellStyle name="Normal 28 11 5 3" xfId="32705" xr:uid="{00000000-0005-0000-0000-0000F97C0000}"/>
    <cellStyle name="Normal 28 11 5 4" xfId="32706" xr:uid="{00000000-0005-0000-0000-0000FA7C0000}"/>
    <cellStyle name="Normal 28 11 5 5" xfId="32707" xr:uid="{00000000-0005-0000-0000-0000FB7C0000}"/>
    <cellStyle name="Normal 28 11 5 6" xfId="32708" xr:uid="{00000000-0005-0000-0000-0000FC7C0000}"/>
    <cellStyle name="Normal 28 11 6" xfId="32709" xr:uid="{00000000-0005-0000-0000-0000FD7C0000}"/>
    <cellStyle name="Normal 28 11 6 2" xfId="32710" xr:uid="{00000000-0005-0000-0000-0000FE7C0000}"/>
    <cellStyle name="Normal 28 11 6 3" xfId="32711" xr:uid="{00000000-0005-0000-0000-0000FF7C0000}"/>
    <cellStyle name="Normal 28 11 6 4" xfId="32712" xr:uid="{00000000-0005-0000-0000-0000007D0000}"/>
    <cellStyle name="Normal 28 11 6 5" xfId="32713" xr:uid="{00000000-0005-0000-0000-0000017D0000}"/>
    <cellStyle name="Normal 28 11 6 6" xfId="32714" xr:uid="{00000000-0005-0000-0000-0000027D0000}"/>
    <cellStyle name="Normal 28 11 7" xfId="32715" xr:uid="{00000000-0005-0000-0000-0000037D0000}"/>
    <cellStyle name="Normal 28 11 7 2" xfId="32716" xr:uid="{00000000-0005-0000-0000-0000047D0000}"/>
    <cellStyle name="Normal 28 11 7 3" xfId="32717" xr:uid="{00000000-0005-0000-0000-0000057D0000}"/>
    <cellStyle name="Normal 28 11 7 4" xfId="32718" xr:uid="{00000000-0005-0000-0000-0000067D0000}"/>
    <cellStyle name="Normal 28 11 7 5" xfId="32719" xr:uid="{00000000-0005-0000-0000-0000077D0000}"/>
    <cellStyle name="Normal 28 11 7 6" xfId="32720" xr:uid="{00000000-0005-0000-0000-0000087D0000}"/>
    <cellStyle name="Normal 28 11 8" xfId="32721" xr:uid="{00000000-0005-0000-0000-0000097D0000}"/>
    <cellStyle name="Normal 28 11 8 2" xfId="32722" xr:uid="{00000000-0005-0000-0000-00000A7D0000}"/>
    <cellStyle name="Normal 28 11 8 3" xfId="32723" xr:uid="{00000000-0005-0000-0000-00000B7D0000}"/>
    <cellStyle name="Normal 28 11 8 4" xfId="32724" xr:uid="{00000000-0005-0000-0000-00000C7D0000}"/>
    <cellStyle name="Normal 28 11 8 5" xfId="32725" xr:uid="{00000000-0005-0000-0000-00000D7D0000}"/>
    <cellStyle name="Normal 28 11 8 6" xfId="32726" xr:uid="{00000000-0005-0000-0000-00000E7D0000}"/>
    <cellStyle name="Normal 28 11 9" xfId="32727" xr:uid="{00000000-0005-0000-0000-00000F7D0000}"/>
    <cellStyle name="Normal 28 12" xfId="32728" xr:uid="{00000000-0005-0000-0000-0000107D0000}"/>
    <cellStyle name="Normal 28 12 10" xfId="32729" xr:uid="{00000000-0005-0000-0000-0000117D0000}"/>
    <cellStyle name="Normal 28 12 11" xfId="32730" xr:uid="{00000000-0005-0000-0000-0000127D0000}"/>
    <cellStyle name="Normal 28 12 12" xfId="32731" xr:uid="{00000000-0005-0000-0000-0000137D0000}"/>
    <cellStyle name="Normal 28 12 13" xfId="32732" xr:uid="{00000000-0005-0000-0000-0000147D0000}"/>
    <cellStyle name="Normal 28 12 2" xfId="32733" xr:uid="{00000000-0005-0000-0000-0000157D0000}"/>
    <cellStyle name="Normal 28 12 2 2" xfId="32734" xr:uid="{00000000-0005-0000-0000-0000167D0000}"/>
    <cellStyle name="Normal 28 12 2 3" xfId="32735" xr:uid="{00000000-0005-0000-0000-0000177D0000}"/>
    <cellStyle name="Normal 28 12 2 4" xfId="32736" xr:uid="{00000000-0005-0000-0000-0000187D0000}"/>
    <cellStyle name="Normal 28 12 2 5" xfId="32737" xr:uid="{00000000-0005-0000-0000-0000197D0000}"/>
    <cellStyle name="Normal 28 12 2 6" xfId="32738" xr:uid="{00000000-0005-0000-0000-00001A7D0000}"/>
    <cellStyle name="Normal 28 12 3" xfId="32739" xr:uid="{00000000-0005-0000-0000-00001B7D0000}"/>
    <cellStyle name="Normal 28 12 3 2" xfId="32740" xr:uid="{00000000-0005-0000-0000-00001C7D0000}"/>
    <cellStyle name="Normal 28 12 3 3" xfId="32741" xr:uid="{00000000-0005-0000-0000-00001D7D0000}"/>
    <cellStyle name="Normal 28 12 3 4" xfId="32742" xr:uid="{00000000-0005-0000-0000-00001E7D0000}"/>
    <cellStyle name="Normal 28 12 3 5" xfId="32743" xr:uid="{00000000-0005-0000-0000-00001F7D0000}"/>
    <cellStyle name="Normal 28 12 3 6" xfId="32744" xr:uid="{00000000-0005-0000-0000-0000207D0000}"/>
    <cellStyle name="Normal 28 12 4" xfId="32745" xr:uid="{00000000-0005-0000-0000-0000217D0000}"/>
    <cellStyle name="Normal 28 12 4 2" xfId="32746" xr:uid="{00000000-0005-0000-0000-0000227D0000}"/>
    <cellStyle name="Normal 28 12 4 3" xfId="32747" xr:uid="{00000000-0005-0000-0000-0000237D0000}"/>
    <cellStyle name="Normal 28 12 4 4" xfId="32748" xr:uid="{00000000-0005-0000-0000-0000247D0000}"/>
    <cellStyle name="Normal 28 12 4 5" xfId="32749" xr:uid="{00000000-0005-0000-0000-0000257D0000}"/>
    <cellStyle name="Normal 28 12 4 6" xfId="32750" xr:uid="{00000000-0005-0000-0000-0000267D0000}"/>
    <cellStyle name="Normal 28 12 5" xfId="32751" xr:uid="{00000000-0005-0000-0000-0000277D0000}"/>
    <cellStyle name="Normal 28 12 5 2" xfId="32752" xr:uid="{00000000-0005-0000-0000-0000287D0000}"/>
    <cellStyle name="Normal 28 12 5 3" xfId="32753" xr:uid="{00000000-0005-0000-0000-0000297D0000}"/>
    <cellStyle name="Normal 28 12 5 4" xfId="32754" xr:uid="{00000000-0005-0000-0000-00002A7D0000}"/>
    <cellStyle name="Normal 28 12 5 5" xfId="32755" xr:uid="{00000000-0005-0000-0000-00002B7D0000}"/>
    <cellStyle name="Normal 28 12 5 6" xfId="32756" xr:uid="{00000000-0005-0000-0000-00002C7D0000}"/>
    <cellStyle name="Normal 28 12 6" xfId="32757" xr:uid="{00000000-0005-0000-0000-00002D7D0000}"/>
    <cellStyle name="Normal 28 12 6 2" xfId="32758" xr:uid="{00000000-0005-0000-0000-00002E7D0000}"/>
    <cellStyle name="Normal 28 12 6 3" xfId="32759" xr:uid="{00000000-0005-0000-0000-00002F7D0000}"/>
    <cellStyle name="Normal 28 12 6 4" xfId="32760" xr:uid="{00000000-0005-0000-0000-0000307D0000}"/>
    <cellStyle name="Normal 28 12 6 5" xfId="32761" xr:uid="{00000000-0005-0000-0000-0000317D0000}"/>
    <cellStyle name="Normal 28 12 6 6" xfId="32762" xr:uid="{00000000-0005-0000-0000-0000327D0000}"/>
    <cellStyle name="Normal 28 12 7" xfId="32763" xr:uid="{00000000-0005-0000-0000-0000337D0000}"/>
    <cellStyle name="Normal 28 12 7 2" xfId="32764" xr:uid="{00000000-0005-0000-0000-0000347D0000}"/>
    <cellStyle name="Normal 28 12 7 3" xfId="32765" xr:uid="{00000000-0005-0000-0000-0000357D0000}"/>
    <cellStyle name="Normal 28 12 7 4" xfId="32766" xr:uid="{00000000-0005-0000-0000-0000367D0000}"/>
    <cellStyle name="Normal 28 12 7 5" xfId="32767" xr:uid="{00000000-0005-0000-0000-0000377D0000}"/>
    <cellStyle name="Normal 28 12 7 6" xfId="32768" xr:uid="{00000000-0005-0000-0000-0000387D0000}"/>
    <cellStyle name="Normal 28 12 8" xfId="32769" xr:uid="{00000000-0005-0000-0000-0000397D0000}"/>
    <cellStyle name="Normal 28 12 8 2" xfId="32770" xr:uid="{00000000-0005-0000-0000-00003A7D0000}"/>
    <cellStyle name="Normal 28 12 8 3" xfId="32771" xr:uid="{00000000-0005-0000-0000-00003B7D0000}"/>
    <cellStyle name="Normal 28 12 8 4" xfId="32772" xr:uid="{00000000-0005-0000-0000-00003C7D0000}"/>
    <cellStyle name="Normal 28 12 8 5" xfId="32773" xr:uid="{00000000-0005-0000-0000-00003D7D0000}"/>
    <cellStyle name="Normal 28 12 8 6" xfId="32774" xr:uid="{00000000-0005-0000-0000-00003E7D0000}"/>
    <cellStyle name="Normal 28 12 9" xfId="32775" xr:uid="{00000000-0005-0000-0000-00003F7D0000}"/>
    <cellStyle name="Normal 28 13" xfId="32776" xr:uid="{00000000-0005-0000-0000-0000407D0000}"/>
    <cellStyle name="Normal 28 13 10" xfId="32777" xr:uid="{00000000-0005-0000-0000-0000417D0000}"/>
    <cellStyle name="Normal 28 13 11" xfId="32778" xr:uid="{00000000-0005-0000-0000-0000427D0000}"/>
    <cellStyle name="Normal 28 13 12" xfId="32779" xr:uid="{00000000-0005-0000-0000-0000437D0000}"/>
    <cellStyle name="Normal 28 13 13" xfId="32780" xr:uid="{00000000-0005-0000-0000-0000447D0000}"/>
    <cellStyle name="Normal 28 13 2" xfId="32781" xr:uid="{00000000-0005-0000-0000-0000457D0000}"/>
    <cellStyle name="Normal 28 13 2 2" xfId="32782" xr:uid="{00000000-0005-0000-0000-0000467D0000}"/>
    <cellStyle name="Normal 28 13 2 3" xfId="32783" xr:uid="{00000000-0005-0000-0000-0000477D0000}"/>
    <cellStyle name="Normal 28 13 2 4" xfId="32784" xr:uid="{00000000-0005-0000-0000-0000487D0000}"/>
    <cellStyle name="Normal 28 13 2 5" xfId="32785" xr:uid="{00000000-0005-0000-0000-0000497D0000}"/>
    <cellStyle name="Normal 28 13 2 6" xfId="32786" xr:uid="{00000000-0005-0000-0000-00004A7D0000}"/>
    <cellStyle name="Normal 28 13 3" xfId="32787" xr:uid="{00000000-0005-0000-0000-00004B7D0000}"/>
    <cellStyle name="Normal 28 13 3 2" xfId="32788" xr:uid="{00000000-0005-0000-0000-00004C7D0000}"/>
    <cellStyle name="Normal 28 13 3 3" xfId="32789" xr:uid="{00000000-0005-0000-0000-00004D7D0000}"/>
    <cellStyle name="Normal 28 13 3 4" xfId="32790" xr:uid="{00000000-0005-0000-0000-00004E7D0000}"/>
    <cellStyle name="Normal 28 13 3 5" xfId="32791" xr:uid="{00000000-0005-0000-0000-00004F7D0000}"/>
    <cellStyle name="Normal 28 13 3 6" xfId="32792" xr:uid="{00000000-0005-0000-0000-0000507D0000}"/>
    <cellStyle name="Normal 28 13 4" xfId="32793" xr:uid="{00000000-0005-0000-0000-0000517D0000}"/>
    <cellStyle name="Normal 28 13 4 2" xfId="32794" xr:uid="{00000000-0005-0000-0000-0000527D0000}"/>
    <cellStyle name="Normal 28 13 4 3" xfId="32795" xr:uid="{00000000-0005-0000-0000-0000537D0000}"/>
    <cellStyle name="Normal 28 13 4 4" xfId="32796" xr:uid="{00000000-0005-0000-0000-0000547D0000}"/>
    <cellStyle name="Normal 28 13 4 5" xfId="32797" xr:uid="{00000000-0005-0000-0000-0000557D0000}"/>
    <cellStyle name="Normal 28 13 4 6" xfId="32798" xr:uid="{00000000-0005-0000-0000-0000567D0000}"/>
    <cellStyle name="Normal 28 13 5" xfId="32799" xr:uid="{00000000-0005-0000-0000-0000577D0000}"/>
    <cellStyle name="Normal 28 13 5 2" xfId="32800" xr:uid="{00000000-0005-0000-0000-0000587D0000}"/>
    <cellStyle name="Normal 28 13 5 3" xfId="32801" xr:uid="{00000000-0005-0000-0000-0000597D0000}"/>
    <cellStyle name="Normal 28 13 5 4" xfId="32802" xr:uid="{00000000-0005-0000-0000-00005A7D0000}"/>
    <cellStyle name="Normal 28 13 5 5" xfId="32803" xr:uid="{00000000-0005-0000-0000-00005B7D0000}"/>
    <cellStyle name="Normal 28 13 5 6" xfId="32804" xr:uid="{00000000-0005-0000-0000-00005C7D0000}"/>
    <cellStyle name="Normal 28 13 6" xfId="32805" xr:uid="{00000000-0005-0000-0000-00005D7D0000}"/>
    <cellStyle name="Normal 28 13 6 2" xfId="32806" xr:uid="{00000000-0005-0000-0000-00005E7D0000}"/>
    <cellStyle name="Normal 28 13 6 3" xfId="32807" xr:uid="{00000000-0005-0000-0000-00005F7D0000}"/>
    <cellStyle name="Normal 28 13 6 4" xfId="32808" xr:uid="{00000000-0005-0000-0000-0000607D0000}"/>
    <cellStyle name="Normal 28 13 6 5" xfId="32809" xr:uid="{00000000-0005-0000-0000-0000617D0000}"/>
    <cellStyle name="Normal 28 13 6 6" xfId="32810" xr:uid="{00000000-0005-0000-0000-0000627D0000}"/>
    <cellStyle name="Normal 28 13 7" xfId="32811" xr:uid="{00000000-0005-0000-0000-0000637D0000}"/>
    <cellStyle name="Normal 28 13 7 2" xfId="32812" xr:uid="{00000000-0005-0000-0000-0000647D0000}"/>
    <cellStyle name="Normal 28 13 7 3" xfId="32813" xr:uid="{00000000-0005-0000-0000-0000657D0000}"/>
    <cellStyle name="Normal 28 13 7 4" xfId="32814" xr:uid="{00000000-0005-0000-0000-0000667D0000}"/>
    <cellStyle name="Normal 28 13 7 5" xfId="32815" xr:uid="{00000000-0005-0000-0000-0000677D0000}"/>
    <cellStyle name="Normal 28 13 7 6" xfId="32816" xr:uid="{00000000-0005-0000-0000-0000687D0000}"/>
    <cellStyle name="Normal 28 13 8" xfId="32817" xr:uid="{00000000-0005-0000-0000-0000697D0000}"/>
    <cellStyle name="Normal 28 13 8 2" xfId="32818" xr:uid="{00000000-0005-0000-0000-00006A7D0000}"/>
    <cellStyle name="Normal 28 13 8 3" xfId="32819" xr:uid="{00000000-0005-0000-0000-00006B7D0000}"/>
    <cellStyle name="Normal 28 13 8 4" xfId="32820" xr:uid="{00000000-0005-0000-0000-00006C7D0000}"/>
    <cellStyle name="Normal 28 13 8 5" xfId="32821" xr:uid="{00000000-0005-0000-0000-00006D7D0000}"/>
    <cellStyle name="Normal 28 13 8 6" xfId="32822" xr:uid="{00000000-0005-0000-0000-00006E7D0000}"/>
    <cellStyle name="Normal 28 13 9" xfId="32823" xr:uid="{00000000-0005-0000-0000-00006F7D0000}"/>
    <cellStyle name="Normal 28 14" xfId="32824" xr:uid="{00000000-0005-0000-0000-0000707D0000}"/>
    <cellStyle name="Normal 28 14 10" xfId="32825" xr:uid="{00000000-0005-0000-0000-0000717D0000}"/>
    <cellStyle name="Normal 28 14 11" xfId="32826" xr:uid="{00000000-0005-0000-0000-0000727D0000}"/>
    <cellStyle name="Normal 28 14 12" xfId="32827" xr:uid="{00000000-0005-0000-0000-0000737D0000}"/>
    <cellStyle name="Normal 28 14 13" xfId="32828" xr:uid="{00000000-0005-0000-0000-0000747D0000}"/>
    <cellStyle name="Normal 28 14 2" xfId="32829" xr:uid="{00000000-0005-0000-0000-0000757D0000}"/>
    <cellStyle name="Normal 28 14 2 2" xfId="32830" xr:uid="{00000000-0005-0000-0000-0000767D0000}"/>
    <cellStyle name="Normal 28 14 2 3" xfId="32831" xr:uid="{00000000-0005-0000-0000-0000777D0000}"/>
    <cellStyle name="Normal 28 14 2 4" xfId="32832" xr:uid="{00000000-0005-0000-0000-0000787D0000}"/>
    <cellStyle name="Normal 28 14 2 5" xfId="32833" xr:uid="{00000000-0005-0000-0000-0000797D0000}"/>
    <cellStyle name="Normal 28 14 2 6" xfId="32834" xr:uid="{00000000-0005-0000-0000-00007A7D0000}"/>
    <cellStyle name="Normal 28 14 3" xfId="32835" xr:uid="{00000000-0005-0000-0000-00007B7D0000}"/>
    <cellStyle name="Normal 28 14 3 2" xfId="32836" xr:uid="{00000000-0005-0000-0000-00007C7D0000}"/>
    <cellStyle name="Normal 28 14 3 3" xfId="32837" xr:uid="{00000000-0005-0000-0000-00007D7D0000}"/>
    <cellStyle name="Normal 28 14 3 4" xfId="32838" xr:uid="{00000000-0005-0000-0000-00007E7D0000}"/>
    <cellStyle name="Normal 28 14 3 5" xfId="32839" xr:uid="{00000000-0005-0000-0000-00007F7D0000}"/>
    <cellStyle name="Normal 28 14 3 6" xfId="32840" xr:uid="{00000000-0005-0000-0000-0000807D0000}"/>
    <cellStyle name="Normal 28 14 4" xfId="32841" xr:uid="{00000000-0005-0000-0000-0000817D0000}"/>
    <cellStyle name="Normal 28 14 4 2" xfId="32842" xr:uid="{00000000-0005-0000-0000-0000827D0000}"/>
    <cellStyle name="Normal 28 14 4 3" xfId="32843" xr:uid="{00000000-0005-0000-0000-0000837D0000}"/>
    <cellStyle name="Normal 28 14 4 4" xfId="32844" xr:uid="{00000000-0005-0000-0000-0000847D0000}"/>
    <cellStyle name="Normal 28 14 4 5" xfId="32845" xr:uid="{00000000-0005-0000-0000-0000857D0000}"/>
    <cellStyle name="Normal 28 14 4 6" xfId="32846" xr:uid="{00000000-0005-0000-0000-0000867D0000}"/>
    <cellStyle name="Normal 28 14 5" xfId="32847" xr:uid="{00000000-0005-0000-0000-0000877D0000}"/>
    <cellStyle name="Normal 28 14 5 2" xfId="32848" xr:uid="{00000000-0005-0000-0000-0000887D0000}"/>
    <cellStyle name="Normal 28 14 5 3" xfId="32849" xr:uid="{00000000-0005-0000-0000-0000897D0000}"/>
    <cellStyle name="Normal 28 14 5 4" xfId="32850" xr:uid="{00000000-0005-0000-0000-00008A7D0000}"/>
    <cellStyle name="Normal 28 14 5 5" xfId="32851" xr:uid="{00000000-0005-0000-0000-00008B7D0000}"/>
    <cellStyle name="Normal 28 14 5 6" xfId="32852" xr:uid="{00000000-0005-0000-0000-00008C7D0000}"/>
    <cellStyle name="Normal 28 14 6" xfId="32853" xr:uid="{00000000-0005-0000-0000-00008D7D0000}"/>
    <cellStyle name="Normal 28 14 6 2" xfId="32854" xr:uid="{00000000-0005-0000-0000-00008E7D0000}"/>
    <cellStyle name="Normal 28 14 6 3" xfId="32855" xr:uid="{00000000-0005-0000-0000-00008F7D0000}"/>
    <cellStyle name="Normal 28 14 6 4" xfId="32856" xr:uid="{00000000-0005-0000-0000-0000907D0000}"/>
    <cellStyle name="Normal 28 14 6 5" xfId="32857" xr:uid="{00000000-0005-0000-0000-0000917D0000}"/>
    <cellStyle name="Normal 28 14 6 6" xfId="32858" xr:uid="{00000000-0005-0000-0000-0000927D0000}"/>
    <cellStyle name="Normal 28 14 7" xfId="32859" xr:uid="{00000000-0005-0000-0000-0000937D0000}"/>
    <cellStyle name="Normal 28 14 7 2" xfId="32860" xr:uid="{00000000-0005-0000-0000-0000947D0000}"/>
    <cellStyle name="Normal 28 14 7 3" xfId="32861" xr:uid="{00000000-0005-0000-0000-0000957D0000}"/>
    <cellStyle name="Normal 28 14 7 4" xfId="32862" xr:uid="{00000000-0005-0000-0000-0000967D0000}"/>
    <cellStyle name="Normal 28 14 7 5" xfId="32863" xr:uid="{00000000-0005-0000-0000-0000977D0000}"/>
    <cellStyle name="Normal 28 14 7 6" xfId="32864" xr:uid="{00000000-0005-0000-0000-0000987D0000}"/>
    <cellStyle name="Normal 28 14 8" xfId="32865" xr:uid="{00000000-0005-0000-0000-0000997D0000}"/>
    <cellStyle name="Normal 28 14 8 2" xfId="32866" xr:uid="{00000000-0005-0000-0000-00009A7D0000}"/>
    <cellStyle name="Normal 28 14 8 3" xfId="32867" xr:uid="{00000000-0005-0000-0000-00009B7D0000}"/>
    <cellStyle name="Normal 28 14 8 4" xfId="32868" xr:uid="{00000000-0005-0000-0000-00009C7D0000}"/>
    <cellStyle name="Normal 28 14 8 5" xfId="32869" xr:uid="{00000000-0005-0000-0000-00009D7D0000}"/>
    <cellStyle name="Normal 28 14 8 6" xfId="32870" xr:uid="{00000000-0005-0000-0000-00009E7D0000}"/>
    <cellStyle name="Normal 28 14 9" xfId="32871" xr:uid="{00000000-0005-0000-0000-00009F7D0000}"/>
    <cellStyle name="Normal 28 15" xfId="32872" xr:uid="{00000000-0005-0000-0000-0000A07D0000}"/>
    <cellStyle name="Normal 28 15 10" xfId="32873" xr:uid="{00000000-0005-0000-0000-0000A17D0000}"/>
    <cellStyle name="Normal 28 15 11" xfId="32874" xr:uid="{00000000-0005-0000-0000-0000A27D0000}"/>
    <cellStyle name="Normal 28 15 12" xfId="32875" xr:uid="{00000000-0005-0000-0000-0000A37D0000}"/>
    <cellStyle name="Normal 28 15 13" xfId="32876" xr:uid="{00000000-0005-0000-0000-0000A47D0000}"/>
    <cellStyle name="Normal 28 15 2" xfId="32877" xr:uid="{00000000-0005-0000-0000-0000A57D0000}"/>
    <cellStyle name="Normal 28 15 2 2" xfId="32878" xr:uid="{00000000-0005-0000-0000-0000A67D0000}"/>
    <cellStyle name="Normal 28 15 2 3" xfId="32879" xr:uid="{00000000-0005-0000-0000-0000A77D0000}"/>
    <cellStyle name="Normal 28 15 2 4" xfId="32880" xr:uid="{00000000-0005-0000-0000-0000A87D0000}"/>
    <cellStyle name="Normal 28 15 2 5" xfId="32881" xr:uid="{00000000-0005-0000-0000-0000A97D0000}"/>
    <cellStyle name="Normal 28 15 2 6" xfId="32882" xr:uid="{00000000-0005-0000-0000-0000AA7D0000}"/>
    <cellStyle name="Normal 28 15 3" xfId="32883" xr:uid="{00000000-0005-0000-0000-0000AB7D0000}"/>
    <cellStyle name="Normal 28 15 3 2" xfId="32884" xr:uid="{00000000-0005-0000-0000-0000AC7D0000}"/>
    <cellStyle name="Normal 28 15 3 3" xfId="32885" xr:uid="{00000000-0005-0000-0000-0000AD7D0000}"/>
    <cellStyle name="Normal 28 15 3 4" xfId="32886" xr:uid="{00000000-0005-0000-0000-0000AE7D0000}"/>
    <cellStyle name="Normal 28 15 3 5" xfId="32887" xr:uid="{00000000-0005-0000-0000-0000AF7D0000}"/>
    <cellStyle name="Normal 28 15 3 6" xfId="32888" xr:uid="{00000000-0005-0000-0000-0000B07D0000}"/>
    <cellStyle name="Normal 28 15 4" xfId="32889" xr:uid="{00000000-0005-0000-0000-0000B17D0000}"/>
    <cellStyle name="Normal 28 15 4 2" xfId="32890" xr:uid="{00000000-0005-0000-0000-0000B27D0000}"/>
    <cellStyle name="Normal 28 15 4 3" xfId="32891" xr:uid="{00000000-0005-0000-0000-0000B37D0000}"/>
    <cellStyle name="Normal 28 15 4 4" xfId="32892" xr:uid="{00000000-0005-0000-0000-0000B47D0000}"/>
    <cellStyle name="Normal 28 15 4 5" xfId="32893" xr:uid="{00000000-0005-0000-0000-0000B57D0000}"/>
    <cellStyle name="Normal 28 15 4 6" xfId="32894" xr:uid="{00000000-0005-0000-0000-0000B67D0000}"/>
    <cellStyle name="Normal 28 15 5" xfId="32895" xr:uid="{00000000-0005-0000-0000-0000B77D0000}"/>
    <cellStyle name="Normal 28 15 5 2" xfId="32896" xr:uid="{00000000-0005-0000-0000-0000B87D0000}"/>
    <cellStyle name="Normal 28 15 5 3" xfId="32897" xr:uid="{00000000-0005-0000-0000-0000B97D0000}"/>
    <cellStyle name="Normal 28 15 5 4" xfId="32898" xr:uid="{00000000-0005-0000-0000-0000BA7D0000}"/>
    <cellStyle name="Normal 28 15 5 5" xfId="32899" xr:uid="{00000000-0005-0000-0000-0000BB7D0000}"/>
    <cellStyle name="Normal 28 15 5 6" xfId="32900" xr:uid="{00000000-0005-0000-0000-0000BC7D0000}"/>
    <cellStyle name="Normal 28 15 6" xfId="32901" xr:uid="{00000000-0005-0000-0000-0000BD7D0000}"/>
    <cellStyle name="Normal 28 15 6 2" xfId="32902" xr:uid="{00000000-0005-0000-0000-0000BE7D0000}"/>
    <cellStyle name="Normal 28 15 6 3" xfId="32903" xr:uid="{00000000-0005-0000-0000-0000BF7D0000}"/>
    <cellStyle name="Normal 28 15 6 4" xfId="32904" xr:uid="{00000000-0005-0000-0000-0000C07D0000}"/>
    <cellStyle name="Normal 28 15 6 5" xfId="32905" xr:uid="{00000000-0005-0000-0000-0000C17D0000}"/>
    <cellStyle name="Normal 28 15 6 6" xfId="32906" xr:uid="{00000000-0005-0000-0000-0000C27D0000}"/>
    <cellStyle name="Normal 28 15 7" xfId="32907" xr:uid="{00000000-0005-0000-0000-0000C37D0000}"/>
    <cellStyle name="Normal 28 15 7 2" xfId="32908" xr:uid="{00000000-0005-0000-0000-0000C47D0000}"/>
    <cellStyle name="Normal 28 15 7 3" xfId="32909" xr:uid="{00000000-0005-0000-0000-0000C57D0000}"/>
    <cellStyle name="Normal 28 15 7 4" xfId="32910" xr:uid="{00000000-0005-0000-0000-0000C67D0000}"/>
    <cellStyle name="Normal 28 15 7 5" xfId="32911" xr:uid="{00000000-0005-0000-0000-0000C77D0000}"/>
    <cellStyle name="Normal 28 15 7 6" xfId="32912" xr:uid="{00000000-0005-0000-0000-0000C87D0000}"/>
    <cellStyle name="Normal 28 15 8" xfId="32913" xr:uid="{00000000-0005-0000-0000-0000C97D0000}"/>
    <cellStyle name="Normal 28 15 8 2" xfId="32914" xr:uid="{00000000-0005-0000-0000-0000CA7D0000}"/>
    <cellStyle name="Normal 28 15 8 3" xfId="32915" xr:uid="{00000000-0005-0000-0000-0000CB7D0000}"/>
    <cellStyle name="Normal 28 15 8 4" xfId="32916" xr:uid="{00000000-0005-0000-0000-0000CC7D0000}"/>
    <cellStyle name="Normal 28 15 8 5" xfId="32917" xr:uid="{00000000-0005-0000-0000-0000CD7D0000}"/>
    <cellStyle name="Normal 28 15 8 6" xfId="32918" xr:uid="{00000000-0005-0000-0000-0000CE7D0000}"/>
    <cellStyle name="Normal 28 15 9" xfId="32919" xr:uid="{00000000-0005-0000-0000-0000CF7D0000}"/>
    <cellStyle name="Normal 28 16" xfId="32920" xr:uid="{00000000-0005-0000-0000-0000D07D0000}"/>
    <cellStyle name="Normal 28 16 10" xfId="32921" xr:uid="{00000000-0005-0000-0000-0000D17D0000}"/>
    <cellStyle name="Normal 28 16 11" xfId="32922" xr:uid="{00000000-0005-0000-0000-0000D27D0000}"/>
    <cellStyle name="Normal 28 16 12" xfId="32923" xr:uid="{00000000-0005-0000-0000-0000D37D0000}"/>
    <cellStyle name="Normal 28 16 13" xfId="32924" xr:uid="{00000000-0005-0000-0000-0000D47D0000}"/>
    <cellStyle name="Normal 28 16 2" xfId="32925" xr:uid="{00000000-0005-0000-0000-0000D57D0000}"/>
    <cellStyle name="Normal 28 16 2 2" xfId="32926" xr:uid="{00000000-0005-0000-0000-0000D67D0000}"/>
    <cellStyle name="Normal 28 16 2 3" xfId="32927" xr:uid="{00000000-0005-0000-0000-0000D77D0000}"/>
    <cellStyle name="Normal 28 16 2 4" xfId="32928" xr:uid="{00000000-0005-0000-0000-0000D87D0000}"/>
    <cellStyle name="Normal 28 16 2 5" xfId="32929" xr:uid="{00000000-0005-0000-0000-0000D97D0000}"/>
    <cellStyle name="Normal 28 16 2 6" xfId="32930" xr:uid="{00000000-0005-0000-0000-0000DA7D0000}"/>
    <cellStyle name="Normal 28 16 3" xfId="32931" xr:uid="{00000000-0005-0000-0000-0000DB7D0000}"/>
    <cellStyle name="Normal 28 16 3 2" xfId="32932" xr:uid="{00000000-0005-0000-0000-0000DC7D0000}"/>
    <cellStyle name="Normal 28 16 3 3" xfId="32933" xr:uid="{00000000-0005-0000-0000-0000DD7D0000}"/>
    <cellStyle name="Normal 28 16 3 4" xfId="32934" xr:uid="{00000000-0005-0000-0000-0000DE7D0000}"/>
    <cellStyle name="Normal 28 16 3 5" xfId="32935" xr:uid="{00000000-0005-0000-0000-0000DF7D0000}"/>
    <cellStyle name="Normal 28 16 3 6" xfId="32936" xr:uid="{00000000-0005-0000-0000-0000E07D0000}"/>
    <cellStyle name="Normal 28 16 4" xfId="32937" xr:uid="{00000000-0005-0000-0000-0000E17D0000}"/>
    <cellStyle name="Normal 28 16 4 2" xfId="32938" xr:uid="{00000000-0005-0000-0000-0000E27D0000}"/>
    <cellStyle name="Normal 28 16 4 3" xfId="32939" xr:uid="{00000000-0005-0000-0000-0000E37D0000}"/>
    <cellStyle name="Normal 28 16 4 4" xfId="32940" xr:uid="{00000000-0005-0000-0000-0000E47D0000}"/>
    <cellStyle name="Normal 28 16 4 5" xfId="32941" xr:uid="{00000000-0005-0000-0000-0000E57D0000}"/>
    <cellStyle name="Normal 28 16 4 6" xfId="32942" xr:uid="{00000000-0005-0000-0000-0000E67D0000}"/>
    <cellStyle name="Normal 28 16 5" xfId="32943" xr:uid="{00000000-0005-0000-0000-0000E77D0000}"/>
    <cellStyle name="Normal 28 16 5 2" xfId="32944" xr:uid="{00000000-0005-0000-0000-0000E87D0000}"/>
    <cellStyle name="Normal 28 16 5 3" xfId="32945" xr:uid="{00000000-0005-0000-0000-0000E97D0000}"/>
    <cellStyle name="Normal 28 16 5 4" xfId="32946" xr:uid="{00000000-0005-0000-0000-0000EA7D0000}"/>
    <cellStyle name="Normal 28 16 5 5" xfId="32947" xr:uid="{00000000-0005-0000-0000-0000EB7D0000}"/>
    <cellStyle name="Normal 28 16 5 6" xfId="32948" xr:uid="{00000000-0005-0000-0000-0000EC7D0000}"/>
    <cellStyle name="Normal 28 16 6" xfId="32949" xr:uid="{00000000-0005-0000-0000-0000ED7D0000}"/>
    <cellStyle name="Normal 28 16 6 2" xfId="32950" xr:uid="{00000000-0005-0000-0000-0000EE7D0000}"/>
    <cellStyle name="Normal 28 16 6 3" xfId="32951" xr:uid="{00000000-0005-0000-0000-0000EF7D0000}"/>
    <cellStyle name="Normal 28 16 6 4" xfId="32952" xr:uid="{00000000-0005-0000-0000-0000F07D0000}"/>
    <cellStyle name="Normal 28 16 6 5" xfId="32953" xr:uid="{00000000-0005-0000-0000-0000F17D0000}"/>
    <cellStyle name="Normal 28 16 6 6" xfId="32954" xr:uid="{00000000-0005-0000-0000-0000F27D0000}"/>
    <cellStyle name="Normal 28 16 7" xfId="32955" xr:uid="{00000000-0005-0000-0000-0000F37D0000}"/>
    <cellStyle name="Normal 28 16 7 2" xfId="32956" xr:uid="{00000000-0005-0000-0000-0000F47D0000}"/>
    <cellStyle name="Normal 28 16 7 3" xfId="32957" xr:uid="{00000000-0005-0000-0000-0000F57D0000}"/>
    <cellStyle name="Normal 28 16 7 4" xfId="32958" xr:uid="{00000000-0005-0000-0000-0000F67D0000}"/>
    <cellStyle name="Normal 28 16 7 5" xfId="32959" xr:uid="{00000000-0005-0000-0000-0000F77D0000}"/>
    <cellStyle name="Normal 28 16 7 6" xfId="32960" xr:uid="{00000000-0005-0000-0000-0000F87D0000}"/>
    <cellStyle name="Normal 28 16 8" xfId="32961" xr:uid="{00000000-0005-0000-0000-0000F97D0000}"/>
    <cellStyle name="Normal 28 16 8 2" xfId="32962" xr:uid="{00000000-0005-0000-0000-0000FA7D0000}"/>
    <cellStyle name="Normal 28 16 8 3" xfId="32963" xr:uid="{00000000-0005-0000-0000-0000FB7D0000}"/>
    <cellStyle name="Normal 28 16 8 4" xfId="32964" xr:uid="{00000000-0005-0000-0000-0000FC7D0000}"/>
    <cellStyle name="Normal 28 16 8 5" xfId="32965" xr:uid="{00000000-0005-0000-0000-0000FD7D0000}"/>
    <cellStyle name="Normal 28 16 8 6" xfId="32966" xr:uid="{00000000-0005-0000-0000-0000FE7D0000}"/>
    <cellStyle name="Normal 28 16 9" xfId="32967" xr:uid="{00000000-0005-0000-0000-0000FF7D0000}"/>
    <cellStyle name="Normal 28 17" xfId="32968" xr:uid="{00000000-0005-0000-0000-0000007E0000}"/>
    <cellStyle name="Normal 28 17 10" xfId="32969" xr:uid="{00000000-0005-0000-0000-0000017E0000}"/>
    <cellStyle name="Normal 28 17 11" xfId="32970" xr:uid="{00000000-0005-0000-0000-0000027E0000}"/>
    <cellStyle name="Normal 28 17 12" xfId="32971" xr:uid="{00000000-0005-0000-0000-0000037E0000}"/>
    <cellStyle name="Normal 28 17 13" xfId="32972" xr:uid="{00000000-0005-0000-0000-0000047E0000}"/>
    <cellStyle name="Normal 28 17 2" xfId="32973" xr:uid="{00000000-0005-0000-0000-0000057E0000}"/>
    <cellStyle name="Normal 28 17 2 2" xfId="32974" xr:uid="{00000000-0005-0000-0000-0000067E0000}"/>
    <cellStyle name="Normal 28 17 2 3" xfId="32975" xr:uid="{00000000-0005-0000-0000-0000077E0000}"/>
    <cellStyle name="Normal 28 17 2 4" xfId="32976" xr:uid="{00000000-0005-0000-0000-0000087E0000}"/>
    <cellStyle name="Normal 28 17 2 5" xfId="32977" xr:uid="{00000000-0005-0000-0000-0000097E0000}"/>
    <cellStyle name="Normal 28 17 2 6" xfId="32978" xr:uid="{00000000-0005-0000-0000-00000A7E0000}"/>
    <cellStyle name="Normal 28 17 3" xfId="32979" xr:uid="{00000000-0005-0000-0000-00000B7E0000}"/>
    <cellStyle name="Normal 28 17 3 2" xfId="32980" xr:uid="{00000000-0005-0000-0000-00000C7E0000}"/>
    <cellStyle name="Normal 28 17 3 3" xfId="32981" xr:uid="{00000000-0005-0000-0000-00000D7E0000}"/>
    <cellStyle name="Normal 28 17 3 4" xfId="32982" xr:uid="{00000000-0005-0000-0000-00000E7E0000}"/>
    <cellStyle name="Normal 28 17 3 5" xfId="32983" xr:uid="{00000000-0005-0000-0000-00000F7E0000}"/>
    <cellStyle name="Normal 28 17 3 6" xfId="32984" xr:uid="{00000000-0005-0000-0000-0000107E0000}"/>
    <cellStyle name="Normal 28 17 4" xfId="32985" xr:uid="{00000000-0005-0000-0000-0000117E0000}"/>
    <cellStyle name="Normal 28 17 4 2" xfId="32986" xr:uid="{00000000-0005-0000-0000-0000127E0000}"/>
    <cellStyle name="Normal 28 17 4 3" xfId="32987" xr:uid="{00000000-0005-0000-0000-0000137E0000}"/>
    <cellStyle name="Normal 28 17 4 4" xfId="32988" xr:uid="{00000000-0005-0000-0000-0000147E0000}"/>
    <cellStyle name="Normal 28 17 4 5" xfId="32989" xr:uid="{00000000-0005-0000-0000-0000157E0000}"/>
    <cellStyle name="Normal 28 17 4 6" xfId="32990" xr:uid="{00000000-0005-0000-0000-0000167E0000}"/>
    <cellStyle name="Normal 28 17 5" xfId="32991" xr:uid="{00000000-0005-0000-0000-0000177E0000}"/>
    <cellStyle name="Normal 28 17 5 2" xfId="32992" xr:uid="{00000000-0005-0000-0000-0000187E0000}"/>
    <cellStyle name="Normal 28 17 5 3" xfId="32993" xr:uid="{00000000-0005-0000-0000-0000197E0000}"/>
    <cellStyle name="Normal 28 17 5 4" xfId="32994" xr:uid="{00000000-0005-0000-0000-00001A7E0000}"/>
    <cellStyle name="Normal 28 17 5 5" xfId="32995" xr:uid="{00000000-0005-0000-0000-00001B7E0000}"/>
    <cellStyle name="Normal 28 17 5 6" xfId="32996" xr:uid="{00000000-0005-0000-0000-00001C7E0000}"/>
    <cellStyle name="Normal 28 17 6" xfId="32997" xr:uid="{00000000-0005-0000-0000-00001D7E0000}"/>
    <cellStyle name="Normal 28 17 6 2" xfId="32998" xr:uid="{00000000-0005-0000-0000-00001E7E0000}"/>
    <cellStyle name="Normal 28 17 6 3" xfId="32999" xr:uid="{00000000-0005-0000-0000-00001F7E0000}"/>
    <cellStyle name="Normal 28 17 6 4" xfId="33000" xr:uid="{00000000-0005-0000-0000-0000207E0000}"/>
    <cellStyle name="Normal 28 17 6 5" xfId="33001" xr:uid="{00000000-0005-0000-0000-0000217E0000}"/>
    <cellStyle name="Normal 28 17 6 6" xfId="33002" xr:uid="{00000000-0005-0000-0000-0000227E0000}"/>
    <cellStyle name="Normal 28 17 7" xfId="33003" xr:uid="{00000000-0005-0000-0000-0000237E0000}"/>
    <cellStyle name="Normal 28 17 7 2" xfId="33004" xr:uid="{00000000-0005-0000-0000-0000247E0000}"/>
    <cellStyle name="Normal 28 17 7 3" xfId="33005" xr:uid="{00000000-0005-0000-0000-0000257E0000}"/>
    <cellStyle name="Normal 28 17 7 4" xfId="33006" xr:uid="{00000000-0005-0000-0000-0000267E0000}"/>
    <cellStyle name="Normal 28 17 7 5" xfId="33007" xr:uid="{00000000-0005-0000-0000-0000277E0000}"/>
    <cellStyle name="Normal 28 17 7 6" xfId="33008" xr:uid="{00000000-0005-0000-0000-0000287E0000}"/>
    <cellStyle name="Normal 28 17 8" xfId="33009" xr:uid="{00000000-0005-0000-0000-0000297E0000}"/>
    <cellStyle name="Normal 28 17 8 2" xfId="33010" xr:uid="{00000000-0005-0000-0000-00002A7E0000}"/>
    <cellStyle name="Normal 28 17 8 3" xfId="33011" xr:uid="{00000000-0005-0000-0000-00002B7E0000}"/>
    <cellStyle name="Normal 28 17 8 4" xfId="33012" xr:uid="{00000000-0005-0000-0000-00002C7E0000}"/>
    <cellStyle name="Normal 28 17 8 5" xfId="33013" xr:uid="{00000000-0005-0000-0000-00002D7E0000}"/>
    <cellStyle name="Normal 28 17 8 6" xfId="33014" xr:uid="{00000000-0005-0000-0000-00002E7E0000}"/>
    <cellStyle name="Normal 28 17 9" xfId="33015" xr:uid="{00000000-0005-0000-0000-00002F7E0000}"/>
    <cellStyle name="Normal 28 18" xfId="33016" xr:uid="{00000000-0005-0000-0000-0000307E0000}"/>
    <cellStyle name="Normal 28 18 2" xfId="33017" xr:uid="{00000000-0005-0000-0000-0000317E0000}"/>
    <cellStyle name="Normal 28 18 3" xfId="33018" xr:uid="{00000000-0005-0000-0000-0000327E0000}"/>
    <cellStyle name="Normal 28 18 4" xfId="33019" xr:uid="{00000000-0005-0000-0000-0000337E0000}"/>
    <cellStyle name="Normal 28 18 5" xfId="33020" xr:uid="{00000000-0005-0000-0000-0000347E0000}"/>
    <cellStyle name="Normal 28 18 6" xfId="33021" xr:uid="{00000000-0005-0000-0000-0000357E0000}"/>
    <cellStyle name="Normal 28 19" xfId="33022" xr:uid="{00000000-0005-0000-0000-0000367E0000}"/>
    <cellStyle name="Normal 28 19 2" xfId="33023" xr:uid="{00000000-0005-0000-0000-0000377E0000}"/>
    <cellStyle name="Normal 28 19 3" xfId="33024" xr:uid="{00000000-0005-0000-0000-0000387E0000}"/>
    <cellStyle name="Normal 28 19 4" xfId="33025" xr:uid="{00000000-0005-0000-0000-0000397E0000}"/>
    <cellStyle name="Normal 28 19 5" xfId="33026" xr:uid="{00000000-0005-0000-0000-00003A7E0000}"/>
    <cellStyle name="Normal 28 19 6" xfId="33027" xr:uid="{00000000-0005-0000-0000-00003B7E0000}"/>
    <cellStyle name="Normal 28 2" xfId="1663" xr:uid="{00000000-0005-0000-0000-00003C7E0000}"/>
    <cellStyle name="Normal 28 2 10" xfId="33028" xr:uid="{00000000-0005-0000-0000-00003D7E0000}"/>
    <cellStyle name="Normal 28 2 11" xfId="33029" xr:uid="{00000000-0005-0000-0000-00003E7E0000}"/>
    <cellStyle name="Normal 28 2 12" xfId="33030" xr:uid="{00000000-0005-0000-0000-00003F7E0000}"/>
    <cellStyle name="Normal 28 2 13" xfId="33031" xr:uid="{00000000-0005-0000-0000-0000407E0000}"/>
    <cellStyle name="Normal 28 2 2" xfId="33032" xr:uid="{00000000-0005-0000-0000-0000417E0000}"/>
    <cellStyle name="Normal 28 2 2 2" xfId="33033" xr:uid="{00000000-0005-0000-0000-0000427E0000}"/>
    <cellStyle name="Normal 28 2 2 3" xfId="33034" xr:uid="{00000000-0005-0000-0000-0000437E0000}"/>
    <cellStyle name="Normal 28 2 2 4" xfId="33035" xr:uid="{00000000-0005-0000-0000-0000447E0000}"/>
    <cellStyle name="Normal 28 2 2 5" xfId="33036" xr:uid="{00000000-0005-0000-0000-0000457E0000}"/>
    <cellStyle name="Normal 28 2 2 6" xfId="33037" xr:uid="{00000000-0005-0000-0000-0000467E0000}"/>
    <cellStyle name="Normal 28 2 3" xfId="33038" xr:uid="{00000000-0005-0000-0000-0000477E0000}"/>
    <cellStyle name="Normal 28 2 3 2" xfId="33039" xr:uid="{00000000-0005-0000-0000-0000487E0000}"/>
    <cellStyle name="Normal 28 2 3 3" xfId="33040" xr:uid="{00000000-0005-0000-0000-0000497E0000}"/>
    <cellStyle name="Normal 28 2 3 4" xfId="33041" xr:uid="{00000000-0005-0000-0000-00004A7E0000}"/>
    <cellStyle name="Normal 28 2 3 5" xfId="33042" xr:uid="{00000000-0005-0000-0000-00004B7E0000}"/>
    <cellStyle name="Normal 28 2 3 6" xfId="33043" xr:uid="{00000000-0005-0000-0000-00004C7E0000}"/>
    <cellStyle name="Normal 28 2 4" xfId="33044" xr:uid="{00000000-0005-0000-0000-00004D7E0000}"/>
    <cellStyle name="Normal 28 2 4 2" xfId="33045" xr:uid="{00000000-0005-0000-0000-00004E7E0000}"/>
    <cellStyle name="Normal 28 2 4 3" xfId="33046" xr:uid="{00000000-0005-0000-0000-00004F7E0000}"/>
    <cellStyle name="Normal 28 2 4 4" xfId="33047" xr:uid="{00000000-0005-0000-0000-0000507E0000}"/>
    <cellStyle name="Normal 28 2 4 5" xfId="33048" xr:uid="{00000000-0005-0000-0000-0000517E0000}"/>
    <cellStyle name="Normal 28 2 4 6" xfId="33049" xr:uid="{00000000-0005-0000-0000-0000527E0000}"/>
    <cellStyle name="Normal 28 2 5" xfId="33050" xr:uid="{00000000-0005-0000-0000-0000537E0000}"/>
    <cellStyle name="Normal 28 2 5 2" xfId="33051" xr:uid="{00000000-0005-0000-0000-0000547E0000}"/>
    <cellStyle name="Normal 28 2 5 3" xfId="33052" xr:uid="{00000000-0005-0000-0000-0000557E0000}"/>
    <cellStyle name="Normal 28 2 5 4" xfId="33053" xr:uid="{00000000-0005-0000-0000-0000567E0000}"/>
    <cellStyle name="Normal 28 2 5 5" xfId="33054" xr:uid="{00000000-0005-0000-0000-0000577E0000}"/>
    <cellStyle name="Normal 28 2 5 6" xfId="33055" xr:uid="{00000000-0005-0000-0000-0000587E0000}"/>
    <cellStyle name="Normal 28 2 6" xfId="33056" xr:uid="{00000000-0005-0000-0000-0000597E0000}"/>
    <cellStyle name="Normal 28 2 6 2" xfId="33057" xr:uid="{00000000-0005-0000-0000-00005A7E0000}"/>
    <cellStyle name="Normal 28 2 6 3" xfId="33058" xr:uid="{00000000-0005-0000-0000-00005B7E0000}"/>
    <cellStyle name="Normal 28 2 6 4" xfId="33059" xr:uid="{00000000-0005-0000-0000-00005C7E0000}"/>
    <cellStyle name="Normal 28 2 6 5" xfId="33060" xr:uid="{00000000-0005-0000-0000-00005D7E0000}"/>
    <cellStyle name="Normal 28 2 6 6" xfId="33061" xr:uid="{00000000-0005-0000-0000-00005E7E0000}"/>
    <cellStyle name="Normal 28 2 7" xfId="33062" xr:uid="{00000000-0005-0000-0000-00005F7E0000}"/>
    <cellStyle name="Normal 28 2 7 2" xfId="33063" xr:uid="{00000000-0005-0000-0000-0000607E0000}"/>
    <cellStyle name="Normal 28 2 7 3" xfId="33064" xr:uid="{00000000-0005-0000-0000-0000617E0000}"/>
    <cellStyle name="Normal 28 2 7 4" xfId="33065" xr:uid="{00000000-0005-0000-0000-0000627E0000}"/>
    <cellStyle name="Normal 28 2 7 5" xfId="33066" xr:uid="{00000000-0005-0000-0000-0000637E0000}"/>
    <cellStyle name="Normal 28 2 7 6" xfId="33067" xr:uid="{00000000-0005-0000-0000-0000647E0000}"/>
    <cellStyle name="Normal 28 2 8" xfId="33068" xr:uid="{00000000-0005-0000-0000-0000657E0000}"/>
    <cellStyle name="Normal 28 2 8 2" xfId="33069" xr:uid="{00000000-0005-0000-0000-0000667E0000}"/>
    <cellStyle name="Normal 28 2 8 3" xfId="33070" xr:uid="{00000000-0005-0000-0000-0000677E0000}"/>
    <cellStyle name="Normal 28 2 8 4" xfId="33071" xr:uid="{00000000-0005-0000-0000-0000687E0000}"/>
    <cellStyle name="Normal 28 2 8 5" xfId="33072" xr:uid="{00000000-0005-0000-0000-0000697E0000}"/>
    <cellStyle name="Normal 28 2 8 6" xfId="33073" xr:uid="{00000000-0005-0000-0000-00006A7E0000}"/>
    <cellStyle name="Normal 28 2 9" xfId="33074" xr:uid="{00000000-0005-0000-0000-00006B7E0000}"/>
    <cellStyle name="Normal 28 20" xfId="33075" xr:uid="{00000000-0005-0000-0000-00006C7E0000}"/>
    <cellStyle name="Normal 28 20 2" xfId="33076" xr:uid="{00000000-0005-0000-0000-00006D7E0000}"/>
    <cellStyle name="Normal 28 20 3" xfId="33077" xr:uid="{00000000-0005-0000-0000-00006E7E0000}"/>
    <cellStyle name="Normal 28 20 4" xfId="33078" xr:uid="{00000000-0005-0000-0000-00006F7E0000}"/>
    <cellStyle name="Normal 28 20 5" xfId="33079" xr:uid="{00000000-0005-0000-0000-0000707E0000}"/>
    <cellStyle name="Normal 28 20 6" xfId="33080" xr:uid="{00000000-0005-0000-0000-0000717E0000}"/>
    <cellStyle name="Normal 28 21" xfId="33081" xr:uid="{00000000-0005-0000-0000-0000727E0000}"/>
    <cellStyle name="Normal 28 21 2" xfId="33082" xr:uid="{00000000-0005-0000-0000-0000737E0000}"/>
    <cellStyle name="Normal 28 21 3" xfId="33083" xr:uid="{00000000-0005-0000-0000-0000747E0000}"/>
    <cellStyle name="Normal 28 21 4" xfId="33084" xr:uid="{00000000-0005-0000-0000-0000757E0000}"/>
    <cellStyle name="Normal 28 21 5" xfId="33085" xr:uid="{00000000-0005-0000-0000-0000767E0000}"/>
    <cellStyle name="Normal 28 21 6" xfId="33086" xr:uid="{00000000-0005-0000-0000-0000777E0000}"/>
    <cellStyle name="Normal 28 22" xfId="33087" xr:uid="{00000000-0005-0000-0000-0000787E0000}"/>
    <cellStyle name="Normal 28 22 2" xfId="33088" xr:uid="{00000000-0005-0000-0000-0000797E0000}"/>
    <cellStyle name="Normal 28 22 3" xfId="33089" xr:uid="{00000000-0005-0000-0000-00007A7E0000}"/>
    <cellStyle name="Normal 28 22 4" xfId="33090" xr:uid="{00000000-0005-0000-0000-00007B7E0000}"/>
    <cellStyle name="Normal 28 22 5" xfId="33091" xr:uid="{00000000-0005-0000-0000-00007C7E0000}"/>
    <cellStyle name="Normal 28 22 6" xfId="33092" xr:uid="{00000000-0005-0000-0000-00007D7E0000}"/>
    <cellStyle name="Normal 28 23" xfId="33093" xr:uid="{00000000-0005-0000-0000-00007E7E0000}"/>
    <cellStyle name="Normal 28 23 2" xfId="33094" xr:uid="{00000000-0005-0000-0000-00007F7E0000}"/>
    <cellStyle name="Normal 28 23 3" xfId="33095" xr:uid="{00000000-0005-0000-0000-0000807E0000}"/>
    <cellStyle name="Normal 28 23 4" xfId="33096" xr:uid="{00000000-0005-0000-0000-0000817E0000}"/>
    <cellStyle name="Normal 28 23 5" xfId="33097" xr:uid="{00000000-0005-0000-0000-0000827E0000}"/>
    <cellStyle name="Normal 28 23 6" xfId="33098" xr:uid="{00000000-0005-0000-0000-0000837E0000}"/>
    <cellStyle name="Normal 28 24" xfId="33099" xr:uid="{00000000-0005-0000-0000-0000847E0000}"/>
    <cellStyle name="Normal 28 24 2" xfId="33100" xr:uid="{00000000-0005-0000-0000-0000857E0000}"/>
    <cellStyle name="Normal 28 24 3" xfId="33101" xr:uid="{00000000-0005-0000-0000-0000867E0000}"/>
    <cellStyle name="Normal 28 24 4" xfId="33102" xr:uid="{00000000-0005-0000-0000-0000877E0000}"/>
    <cellStyle name="Normal 28 24 5" xfId="33103" xr:uid="{00000000-0005-0000-0000-0000887E0000}"/>
    <cellStyle name="Normal 28 24 6" xfId="33104" xr:uid="{00000000-0005-0000-0000-0000897E0000}"/>
    <cellStyle name="Normal 28 25" xfId="33105" xr:uid="{00000000-0005-0000-0000-00008A7E0000}"/>
    <cellStyle name="Normal 28 26" xfId="33106" xr:uid="{00000000-0005-0000-0000-00008B7E0000}"/>
    <cellStyle name="Normal 28 27" xfId="33107" xr:uid="{00000000-0005-0000-0000-00008C7E0000}"/>
    <cellStyle name="Normal 28 28" xfId="33108" xr:uid="{00000000-0005-0000-0000-00008D7E0000}"/>
    <cellStyle name="Normal 28 29" xfId="33109" xr:uid="{00000000-0005-0000-0000-00008E7E0000}"/>
    <cellStyle name="Normal 28 3" xfId="1874" xr:uid="{00000000-0005-0000-0000-00008F7E0000}"/>
    <cellStyle name="Normal 28 3 10" xfId="33110" xr:uid="{00000000-0005-0000-0000-0000907E0000}"/>
    <cellStyle name="Normal 28 3 11" xfId="33111" xr:uid="{00000000-0005-0000-0000-0000917E0000}"/>
    <cellStyle name="Normal 28 3 12" xfId="33112" xr:uid="{00000000-0005-0000-0000-0000927E0000}"/>
    <cellStyle name="Normal 28 3 13" xfId="33113" xr:uid="{00000000-0005-0000-0000-0000937E0000}"/>
    <cellStyle name="Normal 28 3 14" xfId="43246" xr:uid="{00000000-0005-0000-0000-0000947E0000}"/>
    <cellStyle name="Normal 28 3 2" xfId="2063" xr:uid="{00000000-0005-0000-0000-0000957E0000}"/>
    <cellStyle name="Normal 28 3 2 2" xfId="2523" xr:uid="{00000000-0005-0000-0000-0000967E0000}"/>
    <cellStyle name="Normal 28 3 2 3" xfId="33114" xr:uid="{00000000-0005-0000-0000-0000977E0000}"/>
    <cellStyle name="Normal 28 3 2 4" xfId="33115" xr:uid="{00000000-0005-0000-0000-0000987E0000}"/>
    <cellStyle name="Normal 28 3 2 5" xfId="33116" xr:uid="{00000000-0005-0000-0000-0000997E0000}"/>
    <cellStyle name="Normal 28 3 2 6" xfId="33117" xr:uid="{00000000-0005-0000-0000-00009A7E0000}"/>
    <cellStyle name="Normal 28 3 2 7" xfId="43338" xr:uid="{00000000-0005-0000-0000-00009B7E0000}"/>
    <cellStyle name="Normal 28 3 3" xfId="2524" xr:uid="{00000000-0005-0000-0000-00009C7E0000}"/>
    <cellStyle name="Normal 28 3 3 2" xfId="33118" xr:uid="{00000000-0005-0000-0000-00009D7E0000}"/>
    <cellStyle name="Normal 28 3 3 3" xfId="33119" xr:uid="{00000000-0005-0000-0000-00009E7E0000}"/>
    <cellStyle name="Normal 28 3 3 4" xfId="33120" xr:uid="{00000000-0005-0000-0000-00009F7E0000}"/>
    <cellStyle name="Normal 28 3 3 5" xfId="33121" xr:uid="{00000000-0005-0000-0000-0000A07E0000}"/>
    <cellStyle name="Normal 28 3 3 6" xfId="33122" xr:uid="{00000000-0005-0000-0000-0000A17E0000}"/>
    <cellStyle name="Normal 28 3 3 7" xfId="43339" xr:uid="{00000000-0005-0000-0000-0000A27E0000}"/>
    <cellStyle name="Normal 28 3 4" xfId="2429" xr:uid="{00000000-0005-0000-0000-0000A37E0000}"/>
    <cellStyle name="Normal 28 3 4 2" xfId="33123" xr:uid="{00000000-0005-0000-0000-0000A47E0000}"/>
    <cellStyle name="Normal 28 3 4 3" xfId="33124" xr:uid="{00000000-0005-0000-0000-0000A57E0000}"/>
    <cellStyle name="Normal 28 3 4 4" xfId="33125" xr:uid="{00000000-0005-0000-0000-0000A67E0000}"/>
    <cellStyle name="Normal 28 3 4 5" xfId="33126" xr:uid="{00000000-0005-0000-0000-0000A77E0000}"/>
    <cellStyle name="Normal 28 3 4 6" xfId="33127" xr:uid="{00000000-0005-0000-0000-0000A87E0000}"/>
    <cellStyle name="Normal 28 3 5" xfId="2399" xr:uid="{00000000-0005-0000-0000-0000A97E0000}"/>
    <cellStyle name="Normal 28 3 5 2" xfId="33128" xr:uid="{00000000-0005-0000-0000-0000AA7E0000}"/>
    <cellStyle name="Normal 28 3 5 3" xfId="33129" xr:uid="{00000000-0005-0000-0000-0000AB7E0000}"/>
    <cellStyle name="Normal 28 3 5 4" xfId="33130" xr:uid="{00000000-0005-0000-0000-0000AC7E0000}"/>
    <cellStyle name="Normal 28 3 5 5" xfId="33131" xr:uid="{00000000-0005-0000-0000-0000AD7E0000}"/>
    <cellStyle name="Normal 28 3 5 6" xfId="33132" xr:uid="{00000000-0005-0000-0000-0000AE7E0000}"/>
    <cellStyle name="Normal 28 3 6" xfId="33133" xr:uid="{00000000-0005-0000-0000-0000AF7E0000}"/>
    <cellStyle name="Normal 28 3 6 2" xfId="33134" xr:uid="{00000000-0005-0000-0000-0000B07E0000}"/>
    <cellStyle name="Normal 28 3 6 3" xfId="33135" xr:uid="{00000000-0005-0000-0000-0000B17E0000}"/>
    <cellStyle name="Normal 28 3 6 4" xfId="33136" xr:uid="{00000000-0005-0000-0000-0000B27E0000}"/>
    <cellStyle name="Normal 28 3 6 5" xfId="33137" xr:uid="{00000000-0005-0000-0000-0000B37E0000}"/>
    <cellStyle name="Normal 28 3 6 6" xfId="33138" xr:uid="{00000000-0005-0000-0000-0000B47E0000}"/>
    <cellStyle name="Normal 28 3 7" xfId="33139" xr:uid="{00000000-0005-0000-0000-0000B57E0000}"/>
    <cellStyle name="Normal 28 3 7 2" xfId="33140" xr:uid="{00000000-0005-0000-0000-0000B67E0000}"/>
    <cellStyle name="Normal 28 3 7 3" xfId="33141" xr:uid="{00000000-0005-0000-0000-0000B77E0000}"/>
    <cellStyle name="Normal 28 3 7 4" xfId="33142" xr:uid="{00000000-0005-0000-0000-0000B87E0000}"/>
    <cellStyle name="Normal 28 3 7 5" xfId="33143" xr:uid="{00000000-0005-0000-0000-0000B97E0000}"/>
    <cellStyle name="Normal 28 3 7 6" xfId="33144" xr:uid="{00000000-0005-0000-0000-0000BA7E0000}"/>
    <cellStyle name="Normal 28 3 8" xfId="33145" xr:uid="{00000000-0005-0000-0000-0000BB7E0000}"/>
    <cellStyle name="Normal 28 3 8 2" xfId="33146" xr:uid="{00000000-0005-0000-0000-0000BC7E0000}"/>
    <cellStyle name="Normal 28 3 8 3" xfId="33147" xr:uid="{00000000-0005-0000-0000-0000BD7E0000}"/>
    <cellStyle name="Normal 28 3 8 4" xfId="33148" xr:uid="{00000000-0005-0000-0000-0000BE7E0000}"/>
    <cellStyle name="Normal 28 3 8 5" xfId="33149" xr:uid="{00000000-0005-0000-0000-0000BF7E0000}"/>
    <cellStyle name="Normal 28 3 8 6" xfId="33150" xr:uid="{00000000-0005-0000-0000-0000C07E0000}"/>
    <cellStyle name="Normal 28 3 9" xfId="33151" xr:uid="{00000000-0005-0000-0000-0000C17E0000}"/>
    <cellStyle name="Normal 28 30" xfId="43245" xr:uid="{00000000-0005-0000-0000-0000C27E0000}"/>
    <cellStyle name="Normal 28 4" xfId="2012" xr:uid="{00000000-0005-0000-0000-0000C37E0000}"/>
    <cellStyle name="Normal 28 4 10" xfId="33152" xr:uid="{00000000-0005-0000-0000-0000C47E0000}"/>
    <cellStyle name="Normal 28 4 11" xfId="33153" xr:uid="{00000000-0005-0000-0000-0000C57E0000}"/>
    <cellStyle name="Normal 28 4 12" xfId="33154" xr:uid="{00000000-0005-0000-0000-0000C67E0000}"/>
    <cellStyle name="Normal 28 4 13" xfId="33155" xr:uid="{00000000-0005-0000-0000-0000C77E0000}"/>
    <cellStyle name="Normal 28 4 14" xfId="43340" xr:uid="{00000000-0005-0000-0000-0000C87E0000}"/>
    <cellStyle name="Normal 28 4 2" xfId="2525" xr:uid="{00000000-0005-0000-0000-0000C97E0000}"/>
    <cellStyle name="Normal 28 4 2 2" xfId="33156" xr:uid="{00000000-0005-0000-0000-0000CA7E0000}"/>
    <cellStyle name="Normal 28 4 2 3" xfId="33157" xr:uid="{00000000-0005-0000-0000-0000CB7E0000}"/>
    <cellStyle name="Normal 28 4 2 4" xfId="33158" xr:uid="{00000000-0005-0000-0000-0000CC7E0000}"/>
    <cellStyle name="Normal 28 4 2 5" xfId="33159" xr:uid="{00000000-0005-0000-0000-0000CD7E0000}"/>
    <cellStyle name="Normal 28 4 2 6" xfId="33160" xr:uid="{00000000-0005-0000-0000-0000CE7E0000}"/>
    <cellStyle name="Normal 28 4 3" xfId="33161" xr:uid="{00000000-0005-0000-0000-0000CF7E0000}"/>
    <cellStyle name="Normal 28 4 3 2" xfId="33162" xr:uid="{00000000-0005-0000-0000-0000D07E0000}"/>
    <cellStyle name="Normal 28 4 3 3" xfId="33163" xr:uid="{00000000-0005-0000-0000-0000D17E0000}"/>
    <cellStyle name="Normal 28 4 3 4" xfId="33164" xr:uid="{00000000-0005-0000-0000-0000D27E0000}"/>
    <cellStyle name="Normal 28 4 3 5" xfId="33165" xr:uid="{00000000-0005-0000-0000-0000D37E0000}"/>
    <cellStyle name="Normal 28 4 3 6" xfId="33166" xr:uid="{00000000-0005-0000-0000-0000D47E0000}"/>
    <cellStyle name="Normal 28 4 4" xfId="33167" xr:uid="{00000000-0005-0000-0000-0000D57E0000}"/>
    <cellStyle name="Normal 28 4 4 2" xfId="33168" xr:uid="{00000000-0005-0000-0000-0000D67E0000}"/>
    <cellStyle name="Normal 28 4 4 3" xfId="33169" xr:uid="{00000000-0005-0000-0000-0000D77E0000}"/>
    <cellStyle name="Normal 28 4 4 4" xfId="33170" xr:uid="{00000000-0005-0000-0000-0000D87E0000}"/>
    <cellStyle name="Normal 28 4 4 5" xfId="33171" xr:uid="{00000000-0005-0000-0000-0000D97E0000}"/>
    <cellStyle name="Normal 28 4 4 6" xfId="33172" xr:uid="{00000000-0005-0000-0000-0000DA7E0000}"/>
    <cellStyle name="Normal 28 4 5" xfId="33173" xr:uid="{00000000-0005-0000-0000-0000DB7E0000}"/>
    <cellStyle name="Normal 28 4 5 2" xfId="33174" xr:uid="{00000000-0005-0000-0000-0000DC7E0000}"/>
    <cellStyle name="Normal 28 4 5 3" xfId="33175" xr:uid="{00000000-0005-0000-0000-0000DD7E0000}"/>
    <cellStyle name="Normal 28 4 5 4" xfId="33176" xr:uid="{00000000-0005-0000-0000-0000DE7E0000}"/>
    <cellStyle name="Normal 28 4 5 5" xfId="33177" xr:uid="{00000000-0005-0000-0000-0000DF7E0000}"/>
    <cellStyle name="Normal 28 4 5 6" xfId="33178" xr:uid="{00000000-0005-0000-0000-0000E07E0000}"/>
    <cellStyle name="Normal 28 4 6" xfId="33179" xr:uid="{00000000-0005-0000-0000-0000E17E0000}"/>
    <cellStyle name="Normal 28 4 6 2" xfId="33180" xr:uid="{00000000-0005-0000-0000-0000E27E0000}"/>
    <cellStyle name="Normal 28 4 6 3" xfId="33181" xr:uid="{00000000-0005-0000-0000-0000E37E0000}"/>
    <cellStyle name="Normal 28 4 6 4" xfId="33182" xr:uid="{00000000-0005-0000-0000-0000E47E0000}"/>
    <cellStyle name="Normal 28 4 6 5" xfId="33183" xr:uid="{00000000-0005-0000-0000-0000E57E0000}"/>
    <cellStyle name="Normal 28 4 6 6" xfId="33184" xr:uid="{00000000-0005-0000-0000-0000E67E0000}"/>
    <cellStyle name="Normal 28 4 7" xfId="33185" xr:uid="{00000000-0005-0000-0000-0000E77E0000}"/>
    <cellStyle name="Normal 28 4 7 2" xfId="33186" xr:uid="{00000000-0005-0000-0000-0000E87E0000}"/>
    <cellStyle name="Normal 28 4 7 3" xfId="33187" xr:uid="{00000000-0005-0000-0000-0000E97E0000}"/>
    <cellStyle name="Normal 28 4 7 4" xfId="33188" xr:uid="{00000000-0005-0000-0000-0000EA7E0000}"/>
    <cellStyle name="Normal 28 4 7 5" xfId="33189" xr:uid="{00000000-0005-0000-0000-0000EB7E0000}"/>
    <cellStyle name="Normal 28 4 7 6" xfId="33190" xr:uid="{00000000-0005-0000-0000-0000EC7E0000}"/>
    <cellStyle name="Normal 28 4 8" xfId="33191" xr:uid="{00000000-0005-0000-0000-0000ED7E0000}"/>
    <cellStyle name="Normal 28 4 8 2" xfId="33192" xr:uid="{00000000-0005-0000-0000-0000EE7E0000}"/>
    <cellStyle name="Normal 28 4 8 3" xfId="33193" xr:uid="{00000000-0005-0000-0000-0000EF7E0000}"/>
    <cellStyle name="Normal 28 4 8 4" xfId="33194" xr:uid="{00000000-0005-0000-0000-0000F07E0000}"/>
    <cellStyle name="Normal 28 4 8 5" xfId="33195" xr:uid="{00000000-0005-0000-0000-0000F17E0000}"/>
    <cellStyle name="Normal 28 4 8 6" xfId="33196" xr:uid="{00000000-0005-0000-0000-0000F27E0000}"/>
    <cellStyle name="Normal 28 4 9" xfId="33197" xr:uid="{00000000-0005-0000-0000-0000F37E0000}"/>
    <cellStyle name="Normal 28 5" xfId="2526" xr:uid="{00000000-0005-0000-0000-0000F47E0000}"/>
    <cellStyle name="Normal 28 5 10" xfId="33198" xr:uid="{00000000-0005-0000-0000-0000F57E0000}"/>
    <cellStyle name="Normal 28 5 11" xfId="33199" xr:uid="{00000000-0005-0000-0000-0000F67E0000}"/>
    <cellStyle name="Normal 28 5 12" xfId="33200" xr:uid="{00000000-0005-0000-0000-0000F77E0000}"/>
    <cellStyle name="Normal 28 5 13" xfId="33201" xr:uid="{00000000-0005-0000-0000-0000F87E0000}"/>
    <cellStyle name="Normal 28 5 14" xfId="43341" xr:uid="{00000000-0005-0000-0000-0000F97E0000}"/>
    <cellStyle name="Normal 28 5 2" xfId="33202" xr:uid="{00000000-0005-0000-0000-0000FA7E0000}"/>
    <cellStyle name="Normal 28 5 2 2" xfId="33203" xr:uid="{00000000-0005-0000-0000-0000FB7E0000}"/>
    <cellStyle name="Normal 28 5 2 3" xfId="33204" xr:uid="{00000000-0005-0000-0000-0000FC7E0000}"/>
    <cellStyle name="Normal 28 5 2 4" xfId="33205" xr:uid="{00000000-0005-0000-0000-0000FD7E0000}"/>
    <cellStyle name="Normal 28 5 2 5" xfId="33206" xr:uid="{00000000-0005-0000-0000-0000FE7E0000}"/>
    <cellStyle name="Normal 28 5 2 6" xfId="33207" xr:uid="{00000000-0005-0000-0000-0000FF7E0000}"/>
    <cellStyle name="Normal 28 5 3" xfId="33208" xr:uid="{00000000-0005-0000-0000-0000007F0000}"/>
    <cellStyle name="Normal 28 5 3 2" xfId="33209" xr:uid="{00000000-0005-0000-0000-0000017F0000}"/>
    <cellStyle name="Normal 28 5 3 3" xfId="33210" xr:uid="{00000000-0005-0000-0000-0000027F0000}"/>
    <cellStyle name="Normal 28 5 3 4" xfId="33211" xr:uid="{00000000-0005-0000-0000-0000037F0000}"/>
    <cellStyle name="Normal 28 5 3 5" xfId="33212" xr:uid="{00000000-0005-0000-0000-0000047F0000}"/>
    <cellStyle name="Normal 28 5 3 6" xfId="33213" xr:uid="{00000000-0005-0000-0000-0000057F0000}"/>
    <cellStyle name="Normal 28 5 4" xfId="33214" xr:uid="{00000000-0005-0000-0000-0000067F0000}"/>
    <cellStyle name="Normal 28 5 4 2" xfId="33215" xr:uid="{00000000-0005-0000-0000-0000077F0000}"/>
    <cellStyle name="Normal 28 5 4 3" xfId="33216" xr:uid="{00000000-0005-0000-0000-0000087F0000}"/>
    <cellStyle name="Normal 28 5 4 4" xfId="33217" xr:uid="{00000000-0005-0000-0000-0000097F0000}"/>
    <cellStyle name="Normal 28 5 4 5" xfId="33218" xr:uid="{00000000-0005-0000-0000-00000A7F0000}"/>
    <cellStyle name="Normal 28 5 4 6" xfId="33219" xr:uid="{00000000-0005-0000-0000-00000B7F0000}"/>
    <cellStyle name="Normal 28 5 5" xfId="33220" xr:uid="{00000000-0005-0000-0000-00000C7F0000}"/>
    <cellStyle name="Normal 28 5 5 2" xfId="33221" xr:uid="{00000000-0005-0000-0000-00000D7F0000}"/>
    <cellStyle name="Normal 28 5 5 3" xfId="33222" xr:uid="{00000000-0005-0000-0000-00000E7F0000}"/>
    <cellStyle name="Normal 28 5 5 4" xfId="33223" xr:uid="{00000000-0005-0000-0000-00000F7F0000}"/>
    <cellStyle name="Normal 28 5 5 5" xfId="33224" xr:uid="{00000000-0005-0000-0000-0000107F0000}"/>
    <cellStyle name="Normal 28 5 5 6" xfId="33225" xr:uid="{00000000-0005-0000-0000-0000117F0000}"/>
    <cellStyle name="Normal 28 5 6" xfId="33226" xr:uid="{00000000-0005-0000-0000-0000127F0000}"/>
    <cellStyle name="Normal 28 5 6 2" xfId="33227" xr:uid="{00000000-0005-0000-0000-0000137F0000}"/>
    <cellStyle name="Normal 28 5 6 3" xfId="33228" xr:uid="{00000000-0005-0000-0000-0000147F0000}"/>
    <cellStyle name="Normal 28 5 6 4" xfId="33229" xr:uid="{00000000-0005-0000-0000-0000157F0000}"/>
    <cellStyle name="Normal 28 5 6 5" xfId="33230" xr:uid="{00000000-0005-0000-0000-0000167F0000}"/>
    <cellStyle name="Normal 28 5 6 6" xfId="33231" xr:uid="{00000000-0005-0000-0000-0000177F0000}"/>
    <cellStyle name="Normal 28 5 7" xfId="33232" xr:uid="{00000000-0005-0000-0000-0000187F0000}"/>
    <cellStyle name="Normal 28 5 7 2" xfId="33233" xr:uid="{00000000-0005-0000-0000-0000197F0000}"/>
    <cellStyle name="Normal 28 5 7 3" xfId="33234" xr:uid="{00000000-0005-0000-0000-00001A7F0000}"/>
    <cellStyle name="Normal 28 5 7 4" xfId="33235" xr:uid="{00000000-0005-0000-0000-00001B7F0000}"/>
    <cellStyle name="Normal 28 5 7 5" xfId="33236" xr:uid="{00000000-0005-0000-0000-00001C7F0000}"/>
    <cellStyle name="Normal 28 5 7 6" xfId="33237" xr:uid="{00000000-0005-0000-0000-00001D7F0000}"/>
    <cellStyle name="Normal 28 5 8" xfId="33238" xr:uid="{00000000-0005-0000-0000-00001E7F0000}"/>
    <cellStyle name="Normal 28 5 8 2" xfId="33239" xr:uid="{00000000-0005-0000-0000-00001F7F0000}"/>
    <cellStyle name="Normal 28 5 8 3" xfId="33240" xr:uid="{00000000-0005-0000-0000-0000207F0000}"/>
    <cellStyle name="Normal 28 5 8 4" xfId="33241" xr:uid="{00000000-0005-0000-0000-0000217F0000}"/>
    <cellStyle name="Normal 28 5 8 5" xfId="33242" xr:uid="{00000000-0005-0000-0000-0000227F0000}"/>
    <cellStyle name="Normal 28 5 8 6" xfId="33243" xr:uid="{00000000-0005-0000-0000-0000237F0000}"/>
    <cellStyle name="Normal 28 5 9" xfId="33244" xr:uid="{00000000-0005-0000-0000-0000247F0000}"/>
    <cellStyle name="Normal 28 6" xfId="2428" xr:uid="{00000000-0005-0000-0000-0000257F0000}"/>
    <cellStyle name="Normal 28 6 10" xfId="33245" xr:uid="{00000000-0005-0000-0000-0000267F0000}"/>
    <cellStyle name="Normal 28 6 11" xfId="33246" xr:uid="{00000000-0005-0000-0000-0000277F0000}"/>
    <cellStyle name="Normal 28 6 12" xfId="33247" xr:uid="{00000000-0005-0000-0000-0000287F0000}"/>
    <cellStyle name="Normal 28 6 13" xfId="33248" xr:uid="{00000000-0005-0000-0000-0000297F0000}"/>
    <cellStyle name="Normal 28 6 2" xfId="33249" xr:uid="{00000000-0005-0000-0000-00002A7F0000}"/>
    <cellStyle name="Normal 28 6 2 2" xfId="33250" xr:uid="{00000000-0005-0000-0000-00002B7F0000}"/>
    <cellStyle name="Normal 28 6 2 3" xfId="33251" xr:uid="{00000000-0005-0000-0000-00002C7F0000}"/>
    <cellStyle name="Normal 28 6 2 4" xfId="33252" xr:uid="{00000000-0005-0000-0000-00002D7F0000}"/>
    <cellStyle name="Normal 28 6 2 5" xfId="33253" xr:uid="{00000000-0005-0000-0000-00002E7F0000}"/>
    <cellStyle name="Normal 28 6 2 6" xfId="33254" xr:uid="{00000000-0005-0000-0000-00002F7F0000}"/>
    <cellStyle name="Normal 28 6 3" xfId="33255" xr:uid="{00000000-0005-0000-0000-0000307F0000}"/>
    <cellStyle name="Normal 28 6 3 2" xfId="33256" xr:uid="{00000000-0005-0000-0000-0000317F0000}"/>
    <cellStyle name="Normal 28 6 3 3" xfId="33257" xr:uid="{00000000-0005-0000-0000-0000327F0000}"/>
    <cellStyle name="Normal 28 6 3 4" xfId="33258" xr:uid="{00000000-0005-0000-0000-0000337F0000}"/>
    <cellStyle name="Normal 28 6 3 5" xfId="33259" xr:uid="{00000000-0005-0000-0000-0000347F0000}"/>
    <cellStyle name="Normal 28 6 3 6" xfId="33260" xr:uid="{00000000-0005-0000-0000-0000357F0000}"/>
    <cellStyle name="Normal 28 6 4" xfId="33261" xr:uid="{00000000-0005-0000-0000-0000367F0000}"/>
    <cellStyle name="Normal 28 6 4 2" xfId="33262" xr:uid="{00000000-0005-0000-0000-0000377F0000}"/>
    <cellStyle name="Normal 28 6 4 3" xfId="33263" xr:uid="{00000000-0005-0000-0000-0000387F0000}"/>
    <cellStyle name="Normal 28 6 4 4" xfId="33264" xr:uid="{00000000-0005-0000-0000-0000397F0000}"/>
    <cellStyle name="Normal 28 6 4 5" xfId="33265" xr:uid="{00000000-0005-0000-0000-00003A7F0000}"/>
    <cellStyle name="Normal 28 6 4 6" xfId="33266" xr:uid="{00000000-0005-0000-0000-00003B7F0000}"/>
    <cellStyle name="Normal 28 6 5" xfId="33267" xr:uid="{00000000-0005-0000-0000-00003C7F0000}"/>
    <cellStyle name="Normal 28 6 5 2" xfId="33268" xr:uid="{00000000-0005-0000-0000-00003D7F0000}"/>
    <cellStyle name="Normal 28 6 5 3" xfId="33269" xr:uid="{00000000-0005-0000-0000-00003E7F0000}"/>
    <cellStyle name="Normal 28 6 5 4" xfId="33270" xr:uid="{00000000-0005-0000-0000-00003F7F0000}"/>
    <cellStyle name="Normal 28 6 5 5" xfId="33271" xr:uid="{00000000-0005-0000-0000-0000407F0000}"/>
    <cellStyle name="Normal 28 6 5 6" xfId="33272" xr:uid="{00000000-0005-0000-0000-0000417F0000}"/>
    <cellStyle name="Normal 28 6 6" xfId="33273" xr:uid="{00000000-0005-0000-0000-0000427F0000}"/>
    <cellStyle name="Normal 28 6 6 2" xfId="33274" xr:uid="{00000000-0005-0000-0000-0000437F0000}"/>
    <cellStyle name="Normal 28 6 6 3" xfId="33275" xr:uid="{00000000-0005-0000-0000-0000447F0000}"/>
    <cellStyle name="Normal 28 6 6 4" xfId="33276" xr:uid="{00000000-0005-0000-0000-0000457F0000}"/>
    <cellStyle name="Normal 28 6 6 5" xfId="33277" xr:uid="{00000000-0005-0000-0000-0000467F0000}"/>
    <cellStyle name="Normal 28 6 6 6" xfId="33278" xr:uid="{00000000-0005-0000-0000-0000477F0000}"/>
    <cellStyle name="Normal 28 6 7" xfId="33279" xr:uid="{00000000-0005-0000-0000-0000487F0000}"/>
    <cellStyle name="Normal 28 6 7 2" xfId="33280" xr:uid="{00000000-0005-0000-0000-0000497F0000}"/>
    <cellStyle name="Normal 28 6 7 3" xfId="33281" xr:uid="{00000000-0005-0000-0000-00004A7F0000}"/>
    <cellStyle name="Normal 28 6 7 4" xfId="33282" xr:uid="{00000000-0005-0000-0000-00004B7F0000}"/>
    <cellStyle name="Normal 28 6 7 5" xfId="33283" xr:uid="{00000000-0005-0000-0000-00004C7F0000}"/>
    <cellStyle name="Normal 28 6 7 6" xfId="33284" xr:uid="{00000000-0005-0000-0000-00004D7F0000}"/>
    <cellStyle name="Normal 28 6 8" xfId="33285" xr:uid="{00000000-0005-0000-0000-00004E7F0000}"/>
    <cellStyle name="Normal 28 6 8 2" xfId="33286" xr:uid="{00000000-0005-0000-0000-00004F7F0000}"/>
    <cellStyle name="Normal 28 6 8 3" xfId="33287" xr:uid="{00000000-0005-0000-0000-0000507F0000}"/>
    <cellStyle name="Normal 28 6 8 4" xfId="33288" xr:uid="{00000000-0005-0000-0000-0000517F0000}"/>
    <cellStyle name="Normal 28 6 8 5" xfId="33289" xr:uid="{00000000-0005-0000-0000-0000527F0000}"/>
    <cellStyle name="Normal 28 6 8 6" xfId="33290" xr:uid="{00000000-0005-0000-0000-0000537F0000}"/>
    <cellStyle name="Normal 28 6 9" xfId="33291" xr:uid="{00000000-0005-0000-0000-0000547F0000}"/>
    <cellStyle name="Normal 28 7" xfId="2367" xr:uid="{00000000-0005-0000-0000-0000557F0000}"/>
    <cellStyle name="Normal 28 7 10" xfId="33292" xr:uid="{00000000-0005-0000-0000-0000567F0000}"/>
    <cellStyle name="Normal 28 7 11" xfId="33293" xr:uid="{00000000-0005-0000-0000-0000577F0000}"/>
    <cellStyle name="Normal 28 7 12" xfId="33294" xr:uid="{00000000-0005-0000-0000-0000587F0000}"/>
    <cellStyle name="Normal 28 7 13" xfId="33295" xr:uid="{00000000-0005-0000-0000-0000597F0000}"/>
    <cellStyle name="Normal 28 7 2" xfId="33296" xr:uid="{00000000-0005-0000-0000-00005A7F0000}"/>
    <cellStyle name="Normal 28 7 2 2" xfId="33297" xr:uid="{00000000-0005-0000-0000-00005B7F0000}"/>
    <cellStyle name="Normal 28 7 2 3" xfId="33298" xr:uid="{00000000-0005-0000-0000-00005C7F0000}"/>
    <cellStyle name="Normal 28 7 2 4" xfId="33299" xr:uid="{00000000-0005-0000-0000-00005D7F0000}"/>
    <cellStyle name="Normal 28 7 2 5" xfId="33300" xr:uid="{00000000-0005-0000-0000-00005E7F0000}"/>
    <cellStyle name="Normal 28 7 2 6" xfId="33301" xr:uid="{00000000-0005-0000-0000-00005F7F0000}"/>
    <cellStyle name="Normal 28 7 3" xfId="33302" xr:uid="{00000000-0005-0000-0000-0000607F0000}"/>
    <cellStyle name="Normal 28 7 3 2" xfId="33303" xr:uid="{00000000-0005-0000-0000-0000617F0000}"/>
    <cellStyle name="Normal 28 7 3 3" xfId="33304" xr:uid="{00000000-0005-0000-0000-0000627F0000}"/>
    <cellStyle name="Normal 28 7 3 4" xfId="33305" xr:uid="{00000000-0005-0000-0000-0000637F0000}"/>
    <cellStyle name="Normal 28 7 3 5" xfId="33306" xr:uid="{00000000-0005-0000-0000-0000647F0000}"/>
    <cellStyle name="Normal 28 7 3 6" xfId="33307" xr:uid="{00000000-0005-0000-0000-0000657F0000}"/>
    <cellStyle name="Normal 28 7 4" xfId="33308" xr:uid="{00000000-0005-0000-0000-0000667F0000}"/>
    <cellStyle name="Normal 28 7 4 2" xfId="33309" xr:uid="{00000000-0005-0000-0000-0000677F0000}"/>
    <cellStyle name="Normal 28 7 4 3" xfId="33310" xr:uid="{00000000-0005-0000-0000-0000687F0000}"/>
    <cellStyle name="Normal 28 7 4 4" xfId="33311" xr:uid="{00000000-0005-0000-0000-0000697F0000}"/>
    <cellStyle name="Normal 28 7 4 5" xfId="33312" xr:uid="{00000000-0005-0000-0000-00006A7F0000}"/>
    <cellStyle name="Normal 28 7 4 6" xfId="33313" xr:uid="{00000000-0005-0000-0000-00006B7F0000}"/>
    <cellStyle name="Normal 28 7 5" xfId="33314" xr:uid="{00000000-0005-0000-0000-00006C7F0000}"/>
    <cellStyle name="Normal 28 7 5 2" xfId="33315" xr:uid="{00000000-0005-0000-0000-00006D7F0000}"/>
    <cellStyle name="Normal 28 7 5 3" xfId="33316" xr:uid="{00000000-0005-0000-0000-00006E7F0000}"/>
    <cellStyle name="Normal 28 7 5 4" xfId="33317" xr:uid="{00000000-0005-0000-0000-00006F7F0000}"/>
    <cellStyle name="Normal 28 7 5 5" xfId="33318" xr:uid="{00000000-0005-0000-0000-0000707F0000}"/>
    <cellStyle name="Normal 28 7 5 6" xfId="33319" xr:uid="{00000000-0005-0000-0000-0000717F0000}"/>
    <cellStyle name="Normal 28 7 6" xfId="33320" xr:uid="{00000000-0005-0000-0000-0000727F0000}"/>
    <cellStyle name="Normal 28 7 6 2" xfId="33321" xr:uid="{00000000-0005-0000-0000-0000737F0000}"/>
    <cellStyle name="Normal 28 7 6 3" xfId="33322" xr:uid="{00000000-0005-0000-0000-0000747F0000}"/>
    <cellStyle name="Normal 28 7 6 4" xfId="33323" xr:uid="{00000000-0005-0000-0000-0000757F0000}"/>
    <cellStyle name="Normal 28 7 6 5" xfId="33324" xr:uid="{00000000-0005-0000-0000-0000767F0000}"/>
    <cellStyle name="Normal 28 7 6 6" xfId="33325" xr:uid="{00000000-0005-0000-0000-0000777F0000}"/>
    <cellStyle name="Normal 28 7 7" xfId="33326" xr:uid="{00000000-0005-0000-0000-0000787F0000}"/>
    <cellStyle name="Normal 28 7 7 2" xfId="33327" xr:uid="{00000000-0005-0000-0000-0000797F0000}"/>
    <cellStyle name="Normal 28 7 7 3" xfId="33328" xr:uid="{00000000-0005-0000-0000-00007A7F0000}"/>
    <cellStyle name="Normal 28 7 7 4" xfId="33329" xr:uid="{00000000-0005-0000-0000-00007B7F0000}"/>
    <cellStyle name="Normal 28 7 7 5" xfId="33330" xr:uid="{00000000-0005-0000-0000-00007C7F0000}"/>
    <cellStyle name="Normal 28 7 7 6" xfId="33331" xr:uid="{00000000-0005-0000-0000-00007D7F0000}"/>
    <cellStyle name="Normal 28 7 8" xfId="33332" xr:uid="{00000000-0005-0000-0000-00007E7F0000}"/>
    <cellStyle name="Normal 28 7 8 2" xfId="33333" xr:uid="{00000000-0005-0000-0000-00007F7F0000}"/>
    <cellStyle name="Normal 28 7 8 3" xfId="33334" xr:uid="{00000000-0005-0000-0000-0000807F0000}"/>
    <cellStyle name="Normal 28 7 8 4" xfId="33335" xr:uid="{00000000-0005-0000-0000-0000817F0000}"/>
    <cellStyle name="Normal 28 7 8 5" xfId="33336" xr:uid="{00000000-0005-0000-0000-0000827F0000}"/>
    <cellStyle name="Normal 28 7 8 6" xfId="33337" xr:uid="{00000000-0005-0000-0000-0000837F0000}"/>
    <cellStyle name="Normal 28 7 9" xfId="33338" xr:uid="{00000000-0005-0000-0000-0000847F0000}"/>
    <cellStyle name="Normal 28 8" xfId="33339" xr:uid="{00000000-0005-0000-0000-0000857F0000}"/>
    <cellStyle name="Normal 28 8 10" xfId="33340" xr:uid="{00000000-0005-0000-0000-0000867F0000}"/>
    <cellStyle name="Normal 28 8 11" xfId="33341" xr:uid="{00000000-0005-0000-0000-0000877F0000}"/>
    <cellStyle name="Normal 28 8 12" xfId="33342" xr:uid="{00000000-0005-0000-0000-0000887F0000}"/>
    <cellStyle name="Normal 28 8 13" xfId="33343" xr:uid="{00000000-0005-0000-0000-0000897F0000}"/>
    <cellStyle name="Normal 28 8 2" xfId="33344" xr:uid="{00000000-0005-0000-0000-00008A7F0000}"/>
    <cellStyle name="Normal 28 8 2 2" xfId="33345" xr:uid="{00000000-0005-0000-0000-00008B7F0000}"/>
    <cellStyle name="Normal 28 8 2 3" xfId="33346" xr:uid="{00000000-0005-0000-0000-00008C7F0000}"/>
    <cellStyle name="Normal 28 8 2 4" xfId="33347" xr:uid="{00000000-0005-0000-0000-00008D7F0000}"/>
    <cellStyle name="Normal 28 8 2 5" xfId="33348" xr:uid="{00000000-0005-0000-0000-00008E7F0000}"/>
    <cellStyle name="Normal 28 8 2 6" xfId="33349" xr:uid="{00000000-0005-0000-0000-00008F7F0000}"/>
    <cellStyle name="Normal 28 8 3" xfId="33350" xr:uid="{00000000-0005-0000-0000-0000907F0000}"/>
    <cellStyle name="Normal 28 8 3 2" xfId="33351" xr:uid="{00000000-0005-0000-0000-0000917F0000}"/>
    <cellStyle name="Normal 28 8 3 3" xfId="33352" xr:uid="{00000000-0005-0000-0000-0000927F0000}"/>
    <cellStyle name="Normal 28 8 3 4" xfId="33353" xr:uid="{00000000-0005-0000-0000-0000937F0000}"/>
    <cellStyle name="Normal 28 8 3 5" xfId="33354" xr:uid="{00000000-0005-0000-0000-0000947F0000}"/>
    <cellStyle name="Normal 28 8 3 6" xfId="33355" xr:uid="{00000000-0005-0000-0000-0000957F0000}"/>
    <cellStyle name="Normal 28 8 4" xfId="33356" xr:uid="{00000000-0005-0000-0000-0000967F0000}"/>
    <cellStyle name="Normal 28 8 4 2" xfId="33357" xr:uid="{00000000-0005-0000-0000-0000977F0000}"/>
    <cellStyle name="Normal 28 8 4 3" xfId="33358" xr:uid="{00000000-0005-0000-0000-0000987F0000}"/>
    <cellStyle name="Normal 28 8 4 4" xfId="33359" xr:uid="{00000000-0005-0000-0000-0000997F0000}"/>
    <cellStyle name="Normal 28 8 4 5" xfId="33360" xr:uid="{00000000-0005-0000-0000-00009A7F0000}"/>
    <cellStyle name="Normal 28 8 4 6" xfId="33361" xr:uid="{00000000-0005-0000-0000-00009B7F0000}"/>
    <cellStyle name="Normal 28 8 5" xfId="33362" xr:uid="{00000000-0005-0000-0000-00009C7F0000}"/>
    <cellStyle name="Normal 28 8 5 2" xfId="33363" xr:uid="{00000000-0005-0000-0000-00009D7F0000}"/>
    <cellStyle name="Normal 28 8 5 3" xfId="33364" xr:uid="{00000000-0005-0000-0000-00009E7F0000}"/>
    <cellStyle name="Normal 28 8 5 4" xfId="33365" xr:uid="{00000000-0005-0000-0000-00009F7F0000}"/>
    <cellStyle name="Normal 28 8 5 5" xfId="33366" xr:uid="{00000000-0005-0000-0000-0000A07F0000}"/>
    <cellStyle name="Normal 28 8 5 6" xfId="33367" xr:uid="{00000000-0005-0000-0000-0000A17F0000}"/>
    <cellStyle name="Normal 28 8 6" xfId="33368" xr:uid="{00000000-0005-0000-0000-0000A27F0000}"/>
    <cellStyle name="Normal 28 8 6 2" xfId="33369" xr:uid="{00000000-0005-0000-0000-0000A37F0000}"/>
    <cellStyle name="Normal 28 8 6 3" xfId="33370" xr:uid="{00000000-0005-0000-0000-0000A47F0000}"/>
    <cellStyle name="Normal 28 8 6 4" xfId="33371" xr:uid="{00000000-0005-0000-0000-0000A57F0000}"/>
    <cellStyle name="Normal 28 8 6 5" xfId="33372" xr:uid="{00000000-0005-0000-0000-0000A67F0000}"/>
    <cellStyle name="Normal 28 8 6 6" xfId="33373" xr:uid="{00000000-0005-0000-0000-0000A77F0000}"/>
    <cellStyle name="Normal 28 8 7" xfId="33374" xr:uid="{00000000-0005-0000-0000-0000A87F0000}"/>
    <cellStyle name="Normal 28 8 7 2" xfId="33375" xr:uid="{00000000-0005-0000-0000-0000A97F0000}"/>
    <cellStyle name="Normal 28 8 7 3" xfId="33376" xr:uid="{00000000-0005-0000-0000-0000AA7F0000}"/>
    <cellStyle name="Normal 28 8 7 4" xfId="33377" xr:uid="{00000000-0005-0000-0000-0000AB7F0000}"/>
    <cellStyle name="Normal 28 8 7 5" xfId="33378" xr:uid="{00000000-0005-0000-0000-0000AC7F0000}"/>
    <cellStyle name="Normal 28 8 7 6" xfId="33379" xr:uid="{00000000-0005-0000-0000-0000AD7F0000}"/>
    <cellStyle name="Normal 28 8 8" xfId="33380" xr:uid="{00000000-0005-0000-0000-0000AE7F0000}"/>
    <cellStyle name="Normal 28 8 8 2" xfId="33381" xr:uid="{00000000-0005-0000-0000-0000AF7F0000}"/>
    <cellStyle name="Normal 28 8 8 3" xfId="33382" xr:uid="{00000000-0005-0000-0000-0000B07F0000}"/>
    <cellStyle name="Normal 28 8 8 4" xfId="33383" xr:uid="{00000000-0005-0000-0000-0000B17F0000}"/>
    <cellStyle name="Normal 28 8 8 5" xfId="33384" xr:uid="{00000000-0005-0000-0000-0000B27F0000}"/>
    <cellStyle name="Normal 28 8 8 6" xfId="33385" xr:uid="{00000000-0005-0000-0000-0000B37F0000}"/>
    <cellStyle name="Normal 28 8 9" xfId="33386" xr:uid="{00000000-0005-0000-0000-0000B47F0000}"/>
    <cellStyle name="Normal 28 9" xfId="33387" xr:uid="{00000000-0005-0000-0000-0000B57F0000}"/>
    <cellStyle name="Normal 28 9 10" xfId="33388" xr:uid="{00000000-0005-0000-0000-0000B67F0000}"/>
    <cellStyle name="Normal 28 9 11" xfId="33389" xr:uid="{00000000-0005-0000-0000-0000B77F0000}"/>
    <cellStyle name="Normal 28 9 12" xfId="33390" xr:uid="{00000000-0005-0000-0000-0000B87F0000}"/>
    <cellStyle name="Normal 28 9 13" xfId="33391" xr:uid="{00000000-0005-0000-0000-0000B97F0000}"/>
    <cellStyle name="Normal 28 9 2" xfId="33392" xr:uid="{00000000-0005-0000-0000-0000BA7F0000}"/>
    <cellStyle name="Normal 28 9 2 2" xfId="33393" xr:uid="{00000000-0005-0000-0000-0000BB7F0000}"/>
    <cellStyle name="Normal 28 9 2 3" xfId="33394" xr:uid="{00000000-0005-0000-0000-0000BC7F0000}"/>
    <cellStyle name="Normal 28 9 2 4" xfId="33395" xr:uid="{00000000-0005-0000-0000-0000BD7F0000}"/>
    <cellStyle name="Normal 28 9 2 5" xfId="33396" xr:uid="{00000000-0005-0000-0000-0000BE7F0000}"/>
    <cellStyle name="Normal 28 9 2 6" xfId="33397" xr:uid="{00000000-0005-0000-0000-0000BF7F0000}"/>
    <cellStyle name="Normal 28 9 3" xfId="33398" xr:uid="{00000000-0005-0000-0000-0000C07F0000}"/>
    <cellStyle name="Normal 28 9 3 2" xfId="33399" xr:uid="{00000000-0005-0000-0000-0000C17F0000}"/>
    <cellStyle name="Normal 28 9 3 3" xfId="33400" xr:uid="{00000000-0005-0000-0000-0000C27F0000}"/>
    <cellStyle name="Normal 28 9 3 4" xfId="33401" xr:uid="{00000000-0005-0000-0000-0000C37F0000}"/>
    <cellStyle name="Normal 28 9 3 5" xfId="33402" xr:uid="{00000000-0005-0000-0000-0000C47F0000}"/>
    <cellStyle name="Normal 28 9 3 6" xfId="33403" xr:uid="{00000000-0005-0000-0000-0000C57F0000}"/>
    <cellStyle name="Normal 28 9 4" xfId="33404" xr:uid="{00000000-0005-0000-0000-0000C67F0000}"/>
    <cellStyle name="Normal 28 9 4 2" xfId="33405" xr:uid="{00000000-0005-0000-0000-0000C77F0000}"/>
    <cellStyle name="Normal 28 9 4 3" xfId="33406" xr:uid="{00000000-0005-0000-0000-0000C87F0000}"/>
    <cellStyle name="Normal 28 9 4 4" xfId="33407" xr:uid="{00000000-0005-0000-0000-0000C97F0000}"/>
    <cellStyle name="Normal 28 9 4 5" xfId="33408" xr:uid="{00000000-0005-0000-0000-0000CA7F0000}"/>
    <cellStyle name="Normal 28 9 4 6" xfId="33409" xr:uid="{00000000-0005-0000-0000-0000CB7F0000}"/>
    <cellStyle name="Normal 28 9 5" xfId="33410" xr:uid="{00000000-0005-0000-0000-0000CC7F0000}"/>
    <cellStyle name="Normal 28 9 5 2" xfId="33411" xr:uid="{00000000-0005-0000-0000-0000CD7F0000}"/>
    <cellStyle name="Normal 28 9 5 3" xfId="33412" xr:uid="{00000000-0005-0000-0000-0000CE7F0000}"/>
    <cellStyle name="Normal 28 9 5 4" xfId="33413" xr:uid="{00000000-0005-0000-0000-0000CF7F0000}"/>
    <cellStyle name="Normal 28 9 5 5" xfId="33414" xr:uid="{00000000-0005-0000-0000-0000D07F0000}"/>
    <cellStyle name="Normal 28 9 5 6" xfId="33415" xr:uid="{00000000-0005-0000-0000-0000D17F0000}"/>
    <cellStyle name="Normal 28 9 6" xfId="33416" xr:uid="{00000000-0005-0000-0000-0000D27F0000}"/>
    <cellStyle name="Normal 28 9 6 2" xfId="33417" xr:uid="{00000000-0005-0000-0000-0000D37F0000}"/>
    <cellStyle name="Normal 28 9 6 3" xfId="33418" xr:uid="{00000000-0005-0000-0000-0000D47F0000}"/>
    <cellStyle name="Normal 28 9 6 4" xfId="33419" xr:uid="{00000000-0005-0000-0000-0000D57F0000}"/>
    <cellStyle name="Normal 28 9 6 5" xfId="33420" xr:uid="{00000000-0005-0000-0000-0000D67F0000}"/>
    <cellStyle name="Normal 28 9 6 6" xfId="33421" xr:uid="{00000000-0005-0000-0000-0000D77F0000}"/>
    <cellStyle name="Normal 28 9 7" xfId="33422" xr:uid="{00000000-0005-0000-0000-0000D87F0000}"/>
    <cellStyle name="Normal 28 9 7 2" xfId="33423" xr:uid="{00000000-0005-0000-0000-0000D97F0000}"/>
    <cellStyle name="Normal 28 9 7 3" xfId="33424" xr:uid="{00000000-0005-0000-0000-0000DA7F0000}"/>
    <cellStyle name="Normal 28 9 7 4" xfId="33425" xr:uid="{00000000-0005-0000-0000-0000DB7F0000}"/>
    <cellStyle name="Normal 28 9 7 5" xfId="33426" xr:uid="{00000000-0005-0000-0000-0000DC7F0000}"/>
    <cellStyle name="Normal 28 9 7 6" xfId="33427" xr:uid="{00000000-0005-0000-0000-0000DD7F0000}"/>
    <cellStyle name="Normal 28 9 8" xfId="33428" xr:uid="{00000000-0005-0000-0000-0000DE7F0000}"/>
    <cellStyle name="Normal 28 9 8 2" xfId="33429" xr:uid="{00000000-0005-0000-0000-0000DF7F0000}"/>
    <cellStyle name="Normal 28 9 8 3" xfId="33430" xr:uid="{00000000-0005-0000-0000-0000E07F0000}"/>
    <cellStyle name="Normal 28 9 8 4" xfId="33431" xr:uid="{00000000-0005-0000-0000-0000E17F0000}"/>
    <cellStyle name="Normal 28 9 8 5" xfId="33432" xr:uid="{00000000-0005-0000-0000-0000E27F0000}"/>
    <cellStyle name="Normal 28 9 8 6" xfId="33433" xr:uid="{00000000-0005-0000-0000-0000E37F0000}"/>
    <cellStyle name="Normal 28 9 9" xfId="33434" xr:uid="{00000000-0005-0000-0000-0000E47F0000}"/>
    <cellStyle name="Normal 29" xfId="1807" xr:uid="{00000000-0005-0000-0000-0000E57F0000}"/>
    <cellStyle name="Normal 29 10" xfId="33435" xr:uid="{00000000-0005-0000-0000-0000E67F0000}"/>
    <cellStyle name="Normal 29 11" xfId="33436" xr:uid="{00000000-0005-0000-0000-0000E77F0000}"/>
    <cellStyle name="Normal 29 12" xfId="33437" xr:uid="{00000000-0005-0000-0000-0000E87F0000}"/>
    <cellStyle name="Normal 29 13" xfId="33438" xr:uid="{00000000-0005-0000-0000-0000E97F0000}"/>
    <cellStyle name="Normal 29 14" xfId="33439" xr:uid="{00000000-0005-0000-0000-0000EA7F0000}"/>
    <cellStyle name="Normal 29 15" xfId="33440" xr:uid="{00000000-0005-0000-0000-0000EB7F0000}"/>
    <cellStyle name="Normal 29 16" xfId="33441" xr:uid="{00000000-0005-0000-0000-0000EC7F0000}"/>
    <cellStyle name="Normal 29 17" xfId="33442" xr:uid="{00000000-0005-0000-0000-0000ED7F0000}"/>
    <cellStyle name="Normal 29 18" xfId="33443" xr:uid="{00000000-0005-0000-0000-0000EE7F0000}"/>
    <cellStyle name="Normal 29 19" xfId="33444" xr:uid="{00000000-0005-0000-0000-0000EF7F0000}"/>
    <cellStyle name="Normal 29 2" xfId="1881" xr:uid="{00000000-0005-0000-0000-0000F07F0000}"/>
    <cellStyle name="Normal 29 2 2" xfId="2069" xr:uid="{00000000-0005-0000-0000-0000F17F0000}"/>
    <cellStyle name="Normal 29 2 2 2" xfId="2527" xr:uid="{00000000-0005-0000-0000-0000F27F0000}"/>
    <cellStyle name="Normal 29 2 2 3" xfId="43342" xr:uid="{00000000-0005-0000-0000-0000F37F0000}"/>
    <cellStyle name="Normal 29 2 3" xfId="2528" xr:uid="{00000000-0005-0000-0000-0000F47F0000}"/>
    <cellStyle name="Normal 29 2 3 2" xfId="43343" xr:uid="{00000000-0005-0000-0000-0000F57F0000}"/>
    <cellStyle name="Normal 29 2 4" xfId="2431" xr:uid="{00000000-0005-0000-0000-0000F67F0000}"/>
    <cellStyle name="Normal 29 2 5" xfId="2403" xr:uid="{00000000-0005-0000-0000-0000F77F0000}"/>
    <cellStyle name="Normal 29 2 6" xfId="43248" xr:uid="{00000000-0005-0000-0000-0000F87F0000}"/>
    <cellStyle name="Normal 29 20" xfId="33445" xr:uid="{00000000-0005-0000-0000-0000F97F0000}"/>
    <cellStyle name="Normal 29 21" xfId="33446" xr:uid="{00000000-0005-0000-0000-0000FA7F0000}"/>
    <cellStyle name="Normal 29 22" xfId="33447" xr:uid="{00000000-0005-0000-0000-0000FB7F0000}"/>
    <cellStyle name="Normal 29 23" xfId="33448" xr:uid="{00000000-0005-0000-0000-0000FC7F0000}"/>
    <cellStyle name="Normal 29 24" xfId="33449" xr:uid="{00000000-0005-0000-0000-0000FD7F0000}"/>
    <cellStyle name="Normal 29 25" xfId="33450" xr:uid="{00000000-0005-0000-0000-0000FE7F0000}"/>
    <cellStyle name="Normal 29 26" xfId="33451" xr:uid="{00000000-0005-0000-0000-0000FF7F0000}"/>
    <cellStyle name="Normal 29 27" xfId="33452" xr:uid="{00000000-0005-0000-0000-000000800000}"/>
    <cellStyle name="Normal 29 28" xfId="33453" xr:uid="{00000000-0005-0000-0000-000001800000}"/>
    <cellStyle name="Normal 29 29" xfId="33454" xr:uid="{00000000-0005-0000-0000-000002800000}"/>
    <cellStyle name="Normal 29 3" xfId="2020" xr:uid="{00000000-0005-0000-0000-000003800000}"/>
    <cellStyle name="Normal 29 3 2" xfId="2529" xr:uid="{00000000-0005-0000-0000-000004800000}"/>
    <cellStyle name="Normal 29 3 3" xfId="43344" xr:uid="{00000000-0005-0000-0000-000005800000}"/>
    <cellStyle name="Normal 29 30" xfId="33455" xr:uid="{00000000-0005-0000-0000-000006800000}"/>
    <cellStyle name="Normal 29 31" xfId="33456" xr:uid="{00000000-0005-0000-0000-000007800000}"/>
    <cellStyle name="Normal 29 32" xfId="33457" xr:uid="{00000000-0005-0000-0000-000008800000}"/>
    <cellStyle name="Normal 29 33" xfId="33458" xr:uid="{00000000-0005-0000-0000-000009800000}"/>
    <cellStyle name="Normal 29 34" xfId="33459" xr:uid="{00000000-0005-0000-0000-00000A800000}"/>
    <cellStyle name="Normal 29 35" xfId="33460" xr:uid="{00000000-0005-0000-0000-00000B800000}"/>
    <cellStyle name="Normal 29 36" xfId="33461" xr:uid="{00000000-0005-0000-0000-00000C800000}"/>
    <cellStyle name="Normal 29 37" xfId="33462" xr:uid="{00000000-0005-0000-0000-00000D800000}"/>
    <cellStyle name="Normal 29 38" xfId="33463" xr:uid="{00000000-0005-0000-0000-00000E800000}"/>
    <cellStyle name="Normal 29 39" xfId="33464" xr:uid="{00000000-0005-0000-0000-00000F800000}"/>
    <cellStyle name="Normal 29 4" xfId="2530" xr:uid="{00000000-0005-0000-0000-000010800000}"/>
    <cellStyle name="Normal 29 4 2" xfId="43345" xr:uid="{00000000-0005-0000-0000-000011800000}"/>
    <cellStyle name="Normal 29 40" xfId="33465" xr:uid="{00000000-0005-0000-0000-000012800000}"/>
    <cellStyle name="Normal 29 41" xfId="33466" xr:uid="{00000000-0005-0000-0000-000013800000}"/>
    <cellStyle name="Normal 29 42" xfId="33467" xr:uid="{00000000-0005-0000-0000-000014800000}"/>
    <cellStyle name="Normal 29 43" xfId="33468" xr:uid="{00000000-0005-0000-0000-000015800000}"/>
    <cellStyle name="Normal 29 44" xfId="43247" xr:uid="{00000000-0005-0000-0000-000016800000}"/>
    <cellStyle name="Normal 29 5" xfId="2430" xr:uid="{00000000-0005-0000-0000-000017800000}"/>
    <cellStyle name="Normal 29 6" xfId="2371" xr:uid="{00000000-0005-0000-0000-000018800000}"/>
    <cellStyle name="Normal 29 7" xfId="33469" xr:uid="{00000000-0005-0000-0000-000019800000}"/>
    <cellStyle name="Normal 29 8" xfId="33470" xr:uid="{00000000-0005-0000-0000-00001A800000}"/>
    <cellStyle name="Normal 29 9" xfId="33471" xr:uid="{00000000-0005-0000-0000-00001B800000}"/>
    <cellStyle name="Normal 3" xfId="827" xr:uid="{00000000-0005-0000-0000-00001C800000}"/>
    <cellStyle name="Normal 3 10" xfId="33472" xr:uid="{00000000-0005-0000-0000-00001D800000}"/>
    <cellStyle name="Normal 3 11" xfId="33473" xr:uid="{00000000-0005-0000-0000-00001E800000}"/>
    <cellStyle name="Normal 3 12" xfId="33474" xr:uid="{00000000-0005-0000-0000-00001F800000}"/>
    <cellStyle name="Normal 3 13" xfId="33475" xr:uid="{00000000-0005-0000-0000-000020800000}"/>
    <cellStyle name="Normal 3 14" xfId="33476" xr:uid="{00000000-0005-0000-0000-000021800000}"/>
    <cellStyle name="Normal 3 15" xfId="33477" xr:uid="{00000000-0005-0000-0000-000022800000}"/>
    <cellStyle name="Normal 3 16" xfId="33478" xr:uid="{00000000-0005-0000-0000-000023800000}"/>
    <cellStyle name="Normal 3 17" xfId="33479" xr:uid="{00000000-0005-0000-0000-000024800000}"/>
    <cellStyle name="Normal 3 18" xfId="33480" xr:uid="{00000000-0005-0000-0000-000025800000}"/>
    <cellStyle name="Normal 3 19" xfId="33481" xr:uid="{00000000-0005-0000-0000-000026800000}"/>
    <cellStyle name="Normal 3 2" xfId="1067" xr:uid="{00000000-0005-0000-0000-000027800000}"/>
    <cellStyle name="Normal 3 2 10" xfId="33482" xr:uid="{00000000-0005-0000-0000-000028800000}"/>
    <cellStyle name="Normal 3 2 11" xfId="33483" xr:uid="{00000000-0005-0000-0000-000029800000}"/>
    <cellStyle name="Normal 3 2 12" xfId="33484" xr:uid="{00000000-0005-0000-0000-00002A800000}"/>
    <cellStyle name="Normal 3 2 13" xfId="33485" xr:uid="{00000000-0005-0000-0000-00002B800000}"/>
    <cellStyle name="Normal 3 2 14" xfId="33486" xr:uid="{00000000-0005-0000-0000-00002C800000}"/>
    <cellStyle name="Normal 3 2 15" xfId="33487" xr:uid="{00000000-0005-0000-0000-00002D800000}"/>
    <cellStyle name="Normal 3 2 16" xfId="33488" xr:uid="{00000000-0005-0000-0000-00002E800000}"/>
    <cellStyle name="Normal 3 2 17" xfId="33489" xr:uid="{00000000-0005-0000-0000-00002F800000}"/>
    <cellStyle name="Normal 3 2 18" xfId="33490" xr:uid="{00000000-0005-0000-0000-000030800000}"/>
    <cellStyle name="Normal 3 2 19" xfId="33491" xr:uid="{00000000-0005-0000-0000-000031800000}"/>
    <cellStyle name="Normal 3 2 2" xfId="33492" xr:uid="{00000000-0005-0000-0000-000032800000}"/>
    <cellStyle name="Normal 3 2 2 2" xfId="43562" xr:uid="{E98C3E90-B378-4BA6-B55E-D2AB0B2D82C0}"/>
    <cellStyle name="Normal 3 2 2 2 2" xfId="43745" xr:uid="{7F8572CE-5DC9-4EE2-8E48-9D5968587E3E}"/>
    <cellStyle name="Normal 3 2 2 2 3" xfId="43928" xr:uid="{8BA2FBCC-340E-47D0-A764-BC667C522197}"/>
    <cellStyle name="Normal 3 2 2 3" xfId="43678" xr:uid="{0D1373D7-9F6B-4F2B-A567-AA29C065F5AF}"/>
    <cellStyle name="Normal 3 2 2 4" xfId="43861" xr:uid="{F9E45E30-A376-40DB-931D-E9E30A787A75}"/>
    <cellStyle name="Normal 3 2 2 5" xfId="43495" xr:uid="{170D3FCF-E2CA-4613-A87D-B238E72C1691}"/>
    <cellStyle name="Normal 3 2 20" xfId="33493" xr:uid="{00000000-0005-0000-0000-000033800000}"/>
    <cellStyle name="Normal 3 2 21" xfId="33494" xr:uid="{00000000-0005-0000-0000-000034800000}"/>
    <cellStyle name="Normal 3 2 22" xfId="33495" xr:uid="{00000000-0005-0000-0000-000035800000}"/>
    <cellStyle name="Normal 3 2 23" xfId="33496" xr:uid="{00000000-0005-0000-0000-000036800000}"/>
    <cellStyle name="Normal 3 2 24" xfId="33497" xr:uid="{00000000-0005-0000-0000-000037800000}"/>
    <cellStyle name="Normal 3 2 25" xfId="33498" xr:uid="{00000000-0005-0000-0000-000038800000}"/>
    <cellStyle name="Normal 3 2 26" xfId="33499" xr:uid="{00000000-0005-0000-0000-000039800000}"/>
    <cellStyle name="Normal 3 2 27" xfId="33500" xr:uid="{00000000-0005-0000-0000-00003A800000}"/>
    <cellStyle name="Normal 3 2 28" xfId="33501" xr:uid="{00000000-0005-0000-0000-00003B800000}"/>
    <cellStyle name="Normal 3 2 29" xfId="33502" xr:uid="{00000000-0005-0000-0000-00003C800000}"/>
    <cellStyle name="Normal 3 2 29 10" xfId="43826" xr:uid="{50C97AB4-05AB-40BF-B7BB-54C4014D0887}"/>
    <cellStyle name="Normal 3 2 29 11" xfId="43445" xr:uid="{BF114540-D44C-4E54-88CF-3B676B5BD0E0}"/>
    <cellStyle name="Normal 3 2 29 2" xfId="43468" xr:uid="{243404F1-B541-432B-873B-D5A898991DAC}"/>
    <cellStyle name="Normal 3 2 29 2 2" xfId="43496" xr:uid="{BA7F63F0-FC03-41EF-B029-2EEAF32054E5}"/>
    <cellStyle name="Normal 3 2 29 2 2 2" xfId="43563" xr:uid="{F1C73C76-CC13-4AA7-B7AA-6A770501DFED}"/>
    <cellStyle name="Normal 3 2 29 2 2 2 2" xfId="43612" xr:uid="{2D672DB8-E462-4C48-ADE7-686B81F39317}"/>
    <cellStyle name="Normal 3 2 29 2 2 2 2 2" xfId="43792" xr:uid="{4FFE992C-5667-4EF8-95D6-F012A92C1500}"/>
    <cellStyle name="Normal 3 2 29 2 2 2 2 3" xfId="43989" xr:uid="{B37774ED-285F-4F70-837E-7EA84431CCE1}"/>
    <cellStyle name="Normal 3 2 29 2 2 2 3" xfId="43613" xr:uid="{2ACCF166-84D0-4FFC-9635-A9D86943F3C5}"/>
    <cellStyle name="Normal 3 2 29 2 2 2 3 2" xfId="43793" xr:uid="{D564D442-EC89-4323-A8FA-2FD572F0D74D}"/>
    <cellStyle name="Normal 3 2 29 2 2 2 3 3" xfId="43999" xr:uid="{C9F6F159-C1A7-4FC9-A8F1-A5BC29E8E5E9}"/>
    <cellStyle name="Normal 3 2 29 2 2 2 4" xfId="43614" xr:uid="{01E2A9FD-95B5-459D-A1D1-182EE0CA2DE1}"/>
    <cellStyle name="Normal 3 2 29 2 2 2 4 2" xfId="43794" xr:uid="{5F693005-F316-4C5C-B828-9F43B7110A60}"/>
    <cellStyle name="Normal 3 2 29 2 2 2 4 3" xfId="43979" xr:uid="{6D635D18-4079-4127-BCF0-0E0DB868D20F}"/>
    <cellStyle name="Normal 3 2 29 2 2 2 5" xfId="43746" xr:uid="{B2C54B47-B9BA-4B75-A83F-F183DAB05CBD}"/>
    <cellStyle name="Normal 3 2 29 2 2 2 6" xfId="43929" xr:uid="{2B42167E-29ED-4EE3-B9FF-7E0B06BF52BF}"/>
    <cellStyle name="Normal 3 2 29 2 2 3" xfId="43615" xr:uid="{3B346F99-C917-45A5-8AB3-DB745D42C135}"/>
    <cellStyle name="Normal 3 2 29 2 2 3 2" xfId="43795" xr:uid="{A1D1AF9E-2E97-4F75-BCAA-32695378E972}"/>
    <cellStyle name="Normal 3 2 29 2 2 3 3" xfId="43982" xr:uid="{38389971-2069-4D52-BFD7-CD4F1D9EE6E2}"/>
    <cellStyle name="Normal 3 2 29 2 2 4" xfId="43616" xr:uid="{D9CCB03C-A414-4E16-856B-4FFDFABDD181}"/>
    <cellStyle name="Normal 3 2 29 2 2 4 2" xfId="43796" xr:uid="{4379C8BB-52AC-4773-8302-1752D8E8CBFA}"/>
    <cellStyle name="Normal 3 2 29 2 2 4 3" xfId="43992" xr:uid="{DC3E186C-2D65-4495-98C9-2AE8E7EC01A4}"/>
    <cellStyle name="Normal 3 2 29 2 2 5" xfId="43617" xr:uid="{C9FE8BE0-FA73-4648-B379-52F163F81906}"/>
    <cellStyle name="Normal 3 2 29 2 2 5 2" xfId="43797" xr:uid="{89CCB781-7C5B-42FB-8646-702A8506654A}"/>
    <cellStyle name="Normal 3 2 29 2 2 5 3" xfId="43972" xr:uid="{4AC0A74D-557F-405B-94A4-B01BBCF35A2A}"/>
    <cellStyle name="Normal 3 2 29 2 2 6" xfId="43679" xr:uid="{F0A8C1E0-6A63-482A-9983-06D3EA80BF86}"/>
    <cellStyle name="Normal 3 2 29 2 2 7" xfId="43862" xr:uid="{9F85C154-7B52-4263-8984-926375BB3703}"/>
    <cellStyle name="Normal 3 2 29 2 3" xfId="43535" xr:uid="{8AFDB22A-F684-4150-BCD4-D2302B5174AD}"/>
    <cellStyle name="Normal 3 2 29 2 3 2" xfId="43718" xr:uid="{612410B2-3DE3-4005-8E2B-7F79F8C5E083}"/>
    <cellStyle name="Normal 3 2 29 2 3 3" xfId="43901" xr:uid="{3B00C97B-CF95-44A0-800B-C14C50103B4D}"/>
    <cellStyle name="Normal 3 2 29 2 4" xfId="43597" xr:uid="{B1EE965C-7478-47B9-BF81-4FD09ADC3308}"/>
    <cellStyle name="Normal 3 2 29 2 4 2" xfId="43780" xr:uid="{BF362F7D-372D-490E-B338-D9F81D14135C}"/>
    <cellStyle name="Normal 3 2 29 2 4 3" xfId="43963" xr:uid="{F72311D3-E217-44AF-9B59-7E4A5E97365D}"/>
    <cellStyle name="Normal 3 2 29 2 5" xfId="43618" xr:uid="{07B783D3-3907-4748-859A-7A7E76895D9D}"/>
    <cellStyle name="Normal 3 2 29 2 5 2" xfId="43798" xr:uid="{0C0F9368-45D0-4FDF-B85F-81EA26D41C83}"/>
    <cellStyle name="Normal 3 2 29 2 5 3" xfId="43988" xr:uid="{B127D35F-FB48-4BB2-9DDE-9B2D15BBCE39}"/>
    <cellStyle name="Normal 3 2 29 2 6" xfId="43656" xr:uid="{7B3574A4-F60D-408C-A22E-9D744965747F}"/>
    <cellStyle name="Normal 3 2 29 2 7" xfId="43839" xr:uid="{4009AC6A-8BB8-4FAD-8CC3-A76CB0411540}"/>
    <cellStyle name="Normal 3 2 29 3" xfId="43485" xr:uid="{FC5F3313-D47F-43BC-9676-4748E0729589}"/>
    <cellStyle name="Normal 3 2 29 3 2" xfId="43552" xr:uid="{714EED32-A84F-412C-9EAB-0E8A2B3E7449}"/>
    <cellStyle name="Normal 3 2 29 3 2 2" xfId="43735" xr:uid="{AAB7D832-2F3F-4EE3-AFDD-C29EC3071374}"/>
    <cellStyle name="Normal 3 2 29 3 2 3" xfId="43918" xr:uid="{1546BE62-B978-4755-B948-0E75AF7A8F9A}"/>
    <cellStyle name="Normal 3 2 29 3 3" xfId="43619" xr:uid="{939FAE77-051E-43A0-B629-F0BED2CE7693}"/>
    <cellStyle name="Normal 3 2 29 3 3 2" xfId="43799" xr:uid="{EABF186F-F5F4-4428-AAB4-582A26C18478}"/>
    <cellStyle name="Normal 3 2 29 3 3 3" xfId="43998" xr:uid="{64977D50-1893-46B7-A1C1-672E21784404}"/>
    <cellStyle name="Normal 3 2 29 3 4" xfId="43668" xr:uid="{DA400EB2-A299-4606-A61B-73F0221CC477}"/>
    <cellStyle name="Normal 3 2 29 3 5" xfId="43851" xr:uid="{8954244F-BBD1-4131-94B6-F4737F0D91CD}"/>
    <cellStyle name="Normal 3 2 29 4" xfId="43507" xr:uid="{EB64AAEC-7633-4C87-8D6E-E55939C54111}"/>
    <cellStyle name="Normal 3 2 29 4 2" xfId="43574" xr:uid="{6A440744-BF77-4E88-A531-587E8E01DDBE}"/>
    <cellStyle name="Normal 3 2 29 4 2 2" xfId="43757" xr:uid="{DAAAE7A3-8086-4648-8F4A-ABA859B7C275}"/>
    <cellStyle name="Normal 3 2 29 4 2 3" xfId="43940" xr:uid="{A1FA0A65-2BA6-42BE-B3C1-2D03AFA297BD}"/>
    <cellStyle name="Normal 3 2 29 4 3" xfId="43690" xr:uid="{2917D31A-50CA-43A4-A859-223CD2047D76}"/>
    <cellStyle name="Normal 3 2 29 4 4" xfId="43873" xr:uid="{B8B6856A-6324-438B-81C8-D66BDBDF4F8E}"/>
    <cellStyle name="Normal 3 2 29 5" xfId="43446" xr:uid="{B81D212C-AAC5-4899-B81F-D4CB4097A0AA}"/>
    <cellStyle name="Normal 3 2 29 5 2" xfId="43469" xr:uid="{54167DD1-1B49-407F-90D4-CEEBF71807B6}"/>
    <cellStyle name="Normal 3 2 29 5 2 2" xfId="43497" xr:uid="{6184E464-3F5C-4667-83FC-EC0F917B05AE}"/>
    <cellStyle name="Normal 3 2 29 5 2 2 2" xfId="43564" xr:uid="{C5787463-5CF5-414B-8C8E-8DC82E8F8719}"/>
    <cellStyle name="Normal 3 2 29 5 2 2 2 2" xfId="43747" xr:uid="{E2D872FA-1D01-4CF0-8473-A69B34E823E7}"/>
    <cellStyle name="Normal 3 2 29 5 2 2 2 3" xfId="43930" xr:uid="{1ED63501-8D5C-44DA-8FE0-E9739ACF38BE}"/>
    <cellStyle name="Normal 3 2 29 5 2 2 3" xfId="43620" xr:uid="{581477C7-307E-4534-928C-CB1642154BC6}"/>
    <cellStyle name="Normal 3 2 29 5 2 2 3 2" xfId="43800" xr:uid="{E866E2EC-DD4C-47A2-8C51-528E0EC135B3}"/>
    <cellStyle name="Normal 3 2 29 5 2 2 3 3" xfId="43990" xr:uid="{0CFE1AE9-F1A5-4A7F-ABDA-89A72161040C}"/>
    <cellStyle name="Normal 3 2 29 5 2 2 4" xfId="43680" xr:uid="{96276F0F-8A23-4C00-B91A-F13A897D4E1B}"/>
    <cellStyle name="Normal 3 2 29 5 2 2 5" xfId="43863" xr:uid="{C7EB6B6E-0D5A-438F-A459-945C546FABDA}"/>
    <cellStyle name="Normal 3 2 29 5 2 3" xfId="43536" xr:uid="{C20ADDC8-D806-4D04-B0B6-0C337E32545B}"/>
    <cellStyle name="Normal 3 2 29 5 2 3 2" xfId="43621" xr:uid="{086563BA-8981-4A8C-95D5-A3647AEDB3C9}"/>
    <cellStyle name="Normal 3 2 29 5 2 3 2 2" xfId="43801" xr:uid="{C658113C-968F-486C-9B9B-125A23253DBC}"/>
    <cellStyle name="Normal 3 2 29 5 2 3 2 3" xfId="44000" xr:uid="{ACA2E416-A08C-4404-A81B-5E06940BFA22}"/>
    <cellStyle name="Normal 3 2 29 5 2 3 3" xfId="43719" xr:uid="{B92F6967-C751-45B7-9C9B-6167AF99E28E}"/>
    <cellStyle name="Normal 3 2 29 5 2 3 4" xfId="43902" xr:uid="{9CE0C3AD-8EC0-4056-BA2F-CB9C6F1409FA}"/>
    <cellStyle name="Normal 3 2 29 5 2 4" xfId="43598" xr:uid="{6C1BBEB7-5E9F-479D-86F7-DAB804513FA2}"/>
    <cellStyle name="Normal 3 2 29 5 2 4 2" xfId="43781" xr:uid="{A5BDBC0C-EAB2-4D2A-9B50-64F85771B6F5}"/>
    <cellStyle name="Normal 3 2 29 5 2 4 3" xfId="43964" xr:uid="{7E6CB296-CC2F-4A00-A066-2B1FA7B2CBC8}"/>
    <cellStyle name="Normal 3 2 29 5 2 5" xfId="43622" xr:uid="{215458BF-5210-4614-9B92-C2AA4C1553FC}"/>
    <cellStyle name="Normal 3 2 29 5 2 5 2" xfId="43802" xr:uid="{14D4D96B-ED60-459C-8117-6244B2525A2C}"/>
    <cellStyle name="Normal 3 2 29 5 2 5 3" xfId="43980" xr:uid="{51DA10AE-A109-44C5-8699-8B3C684C14D0}"/>
    <cellStyle name="Normal 3 2 29 5 2 6" xfId="43657" xr:uid="{E161061F-78F9-4B3F-AC47-A4EAEBC5CAD2}"/>
    <cellStyle name="Normal 3 2 29 5 2 7" xfId="43840" xr:uid="{02E99E79-6143-43A6-8575-F1B13EB4B777}"/>
    <cellStyle name="Normal 3 2 29 5 3" xfId="43486" xr:uid="{62D9C4FE-4EB9-4AEA-90A5-2E9F12A3B2B3}"/>
    <cellStyle name="Normal 3 2 29 5 3 2" xfId="43553" xr:uid="{D19242DF-18CF-4F68-B697-0BC218FA6C3E}"/>
    <cellStyle name="Normal 3 2 29 5 3 2 2" xfId="43736" xr:uid="{8C553D84-99F4-414D-8D12-7AF49DA03964}"/>
    <cellStyle name="Normal 3 2 29 5 3 2 3" xfId="43919" xr:uid="{A2B773C3-D3A8-44D8-9680-593E3EE15818}"/>
    <cellStyle name="Normal 3 2 29 5 3 3" xfId="43623" xr:uid="{F1449A77-E8D1-42BE-B65F-1D98D48A919C}"/>
    <cellStyle name="Normal 3 2 29 5 3 3 2" xfId="43803" xr:uid="{8855510F-87C9-47BB-A639-62D5B0EBB9C5}"/>
    <cellStyle name="Normal 3 2 29 5 3 3 3" xfId="43983" xr:uid="{6ADA7F7B-36DE-4151-AAB6-CD01C6DA2896}"/>
    <cellStyle name="Normal 3 2 29 5 3 4" xfId="43669" xr:uid="{1E4172A7-8871-49BC-B359-99C15658AF32}"/>
    <cellStyle name="Normal 3 2 29 5 3 5" xfId="43852" xr:uid="{A04775C9-2395-4E1A-8BB0-6B22EBC3A2CC}"/>
    <cellStyle name="Normal 3 2 29 5 4" xfId="43508" xr:uid="{0A76E693-05FB-461C-9811-4D05122A7E88}"/>
    <cellStyle name="Normal 3 2 29 5 4 2" xfId="43575" xr:uid="{2A5051BB-AC12-4516-8CCF-151671D1D2E7}"/>
    <cellStyle name="Normal 3 2 29 5 4 2 2" xfId="43758" xr:uid="{8E6C1025-DBC6-4D38-9F64-66B6140197B3}"/>
    <cellStyle name="Normal 3 2 29 5 4 2 3" xfId="43941" xr:uid="{3D618E7B-2526-44CE-BE4C-5F9A46B8C99F}"/>
    <cellStyle name="Normal 3 2 29 5 4 3" xfId="43624" xr:uid="{EFA52119-4788-4224-9B47-0CCEC5E561A6}"/>
    <cellStyle name="Normal 3 2 29 5 4 3 2" xfId="43804" xr:uid="{A637CF5E-9F1D-4A0F-9C9E-548383E678E6}"/>
    <cellStyle name="Normal 3 2 29 5 4 3 3" xfId="43993" xr:uid="{C74A1149-0936-4CE4-BE44-9B0FD565BA95}"/>
    <cellStyle name="Normal 3 2 29 5 4 4" xfId="43691" xr:uid="{1931EC04-B4B2-4177-8455-BD6F7954B2DF}"/>
    <cellStyle name="Normal 3 2 29 5 4 5" xfId="43874" xr:uid="{CCC7E6BD-983B-4676-A382-9E05757A529B}"/>
    <cellStyle name="Normal 3 2 29 5 5" xfId="43518" xr:uid="{3B57FF24-97CA-4670-B69F-A545B8C16540}"/>
    <cellStyle name="Normal 3 2 29 5 5 2" xfId="43701" xr:uid="{FAD84FB8-17CE-4112-B1ED-DF412AD0872A}"/>
    <cellStyle name="Normal 3 2 29 5 5 3" xfId="43884" xr:uid="{1AA3AACC-0CBD-4733-BAC1-6C0608A3C129}"/>
    <cellStyle name="Normal 3 2 29 5 6" xfId="43585" xr:uid="{E2D9B948-7BCE-47EC-826F-D98687FAF01A}"/>
    <cellStyle name="Normal 3 2 29 5 6 2" xfId="43768" xr:uid="{BADEBC63-1FFA-41E3-84DC-7B8E8C014B2F}"/>
    <cellStyle name="Normal 3 2 29 5 6 3" xfId="43951" xr:uid="{8C141D4D-B265-4C45-A798-197360C3C8C1}"/>
    <cellStyle name="Normal 3 2 29 5 7" xfId="43625" xr:uid="{BCE78D6E-C835-4FBB-9219-5FCD6B253A83}"/>
    <cellStyle name="Normal 3 2 29 5 7 2" xfId="43805" xr:uid="{0421FD6C-E907-4F24-9879-3C950963872F}"/>
    <cellStyle name="Normal 3 2 29 5 7 3" xfId="43973" xr:uid="{15B6F68E-565F-4219-85FE-3FF4541AA4C5}"/>
    <cellStyle name="Normal 3 2 29 5 8" xfId="43644" xr:uid="{3E599343-4E2E-480A-B259-8148F12ECF69}"/>
    <cellStyle name="Normal 3 2 29 5 9" xfId="43827" xr:uid="{46F3F36D-DEAA-4BEF-9B68-A743138D6E45}"/>
    <cellStyle name="Normal 3 2 29 6" xfId="43517" xr:uid="{C7B40151-7DB2-499F-B33E-6EBA87A801F4}"/>
    <cellStyle name="Normal 3 2 29 6 2" xfId="43700" xr:uid="{66F13B43-B78A-4D38-AC7A-8AD9BD34B610}"/>
    <cellStyle name="Normal 3 2 29 6 3" xfId="43883" xr:uid="{6272DBDC-E8B6-46FF-BEA0-B6B1ED88007E}"/>
    <cellStyle name="Normal 3 2 29 7" xfId="43584" xr:uid="{29E74674-7BC1-4FC4-8CB4-6D635D2CC30A}"/>
    <cellStyle name="Normal 3 2 29 7 2" xfId="43767" xr:uid="{494FC867-6EA6-4689-9BF9-9E4769D57193}"/>
    <cellStyle name="Normal 3 2 29 7 3" xfId="43950" xr:uid="{884DC4B2-EF73-4DE1-9E79-69BB357287C2}"/>
    <cellStyle name="Normal 3 2 29 8" xfId="43626" xr:uid="{0283AF44-FDD0-49C4-8F04-DFB0FEB5B516}"/>
    <cellStyle name="Normal 3 2 29 8 2" xfId="43806" xr:uid="{D6EFD22A-AF45-4FE4-A45F-8B461F2A3A87}"/>
    <cellStyle name="Normal 3 2 29 8 3" xfId="43978" xr:uid="{DF266D2F-61E8-46C0-8ED5-FB780F45D089}"/>
    <cellStyle name="Normal 3 2 29 9" xfId="43643" xr:uid="{AEB1DFC8-AC06-45FE-AADD-BB5C80C9AB4C}"/>
    <cellStyle name="Normal 3 2 29_APURACAO" xfId="43447" xr:uid="{838891AD-1468-479D-BEDE-4522E88515D8}"/>
    <cellStyle name="Normal 3 2 3" xfId="33503" xr:uid="{00000000-0005-0000-0000-00003D800000}"/>
    <cellStyle name="Normal 3 2 3 2" xfId="43717" xr:uid="{975AD844-61DC-475D-BA36-241E1881930D}"/>
    <cellStyle name="Normal 3 2 3 3" xfId="43900" xr:uid="{CFBA2C85-A30F-4F83-96D3-BA6E6F512E99}"/>
    <cellStyle name="Normal 3 2 3 4" xfId="43534" xr:uid="{DEA8FFA6-FE40-4407-8A4B-DEBB4B0E9180}"/>
    <cellStyle name="Normal 3 2 30" xfId="33504" xr:uid="{00000000-0005-0000-0000-00003E800000}"/>
    <cellStyle name="Normal 3 2 31" xfId="33505" xr:uid="{00000000-0005-0000-0000-00003F800000}"/>
    <cellStyle name="Normal 3 2 32" xfId="33506" xr:uid="{00000000-0005-0000-0000-000040800000}"/>
    <cellStyle name="Normal 3 2 33" xfId="33507" xr:uid="{00000000-0005-0000-0000-000041800000}"/>
    <cellStyle name="Normal 3 2 34" xfId="33508" xr:uid="{00000000-0005-0000-0000-000042800000}"/>
    <cellStyle name="Normal 3 2 35" xfId="33509" xr:uid="{00000000-0005-0000-0000-000043800000}"/>
    <cellStyle name="Normal 3 2 36" xfId="33510" xr:uid="{00000000-0005-0000-0000-000044800000}"/>
    <cellStyle name="Normal 3 2 37" xfId="33511" xr:uid="{00000000-0005-0000-0000-000045800000}"/>
    <cellStyle name="Normal 3 2 38" xfId="33512" xr:uid="{00000000-0005-0000-0000-000046800000}"/>
    <cellStyle name="Normal 3 2 39" xfId="33513" xr:uid="{00000000-0005-0000-0000-000047800000}"/>
    <cellStyle name="Normal 3 2 4" xfId="33514" xr:uid="{00000000-0005-0000-0000-000048800000}"/>
    <cellStyle name="Normal 3 2 4 2" xfId="43779" xr:uid="{DC2465C9-0460-4C6F-953A-44D13838F511}"/>
    <cellStyle name="Normal 3 2 4 3" xfId="43962" xr:uid="{2AEDB958-8FA6-420B-ACBA-F438E3D2DF67}"/>
    <cellStyle name="Normal 3 2 4 4" xfId="43596" xr:uid="{38E99923-73E4-4017-8593-A8D943786EAA}"/>
    <cellStyle name="Normal 3 2 40" xfId="33515" xr:uid="{00000000-0005-0000-0000-000049800000}"/>
    <cellStyle name="Normal 3 2 41" xfId="33516" xr:uid="{00000000-0005-0000-0000-00004A800000}"/>
    <cellStyle name="Normal 3 2 42" xfId="33517" xr:uid="{00000000-0005-0000-0000-00004B800000}"/>
    <cellStyle name="Normal 3 2 43" xfId="33518" xr:uid="{00000000-0005-0000-0000-00004C800000}"/>
    <cellStyle name="Normal 3 2 44" xfId="33519" xr:uid="{00000000-0005-0000-0000-00004D800000}"/>
    <cellStyle name="Normal 3 2 45" xfId="33520" xr:uid="{00000000-0005-0000-0000-00004E800000}"/>
    <cellStyle name="Normal 3 2 46" xfId="33521" xr:uid="{00000000-0005-0000-0000-00004F800000}"/>
    <cellStyle name="Normal 3 2 47" xfId="43467" xr:uid="{7F06139A-CDAF-432D-AD97-6FEB5F56B717}"/>
    <cellStyle name="Normal 3 2 5" xfId="33522" xr:uid="{00000000-0005-0000-0000-000050800000}"/>
    <cellStyle name="Normal 3 2 5 2" xfId="43655" xr:uid="{6B313CAC-3205-42B8-845A-F80AA8854CC3}"/>
    <cellStyle name="Normal 3 2 6" xfId="33523" xr:uid="{00000000-0005-0000-0000-000051800000}"/>
    <cellStyle name="Normal 3 2 6 2" xfId="43838" xr:uid="{324819B0-D827-4CF4-8558-38448E5D6161}"/>
    <cellStyle name="Normal 3 2 7" xfId="33524" xr:uid="{00000000-0005-0000-0000-000052800000}"/>
    <cellStyle name="Normal 3 2 8" xfId="33525" xr:uid="{00000000-0005-0000-0000-000053800000}"/>
    <cellStyle name="Normal 3 2 9" xfId="33526" xr:uid="{00000000-0005-0000-0000-000054800000}"/>
    <cellStyle name="Normal 3 20" xfId="33527" xr:uid="{00000000-0005-0000-0000-000055800000}"/>
    <cellStyle name="Normal 3 21" xfId="33528" xr:uid="{00000000-0005-0000-0000-000056800000}"/>
    <cellStyle name="Normal 3 22" xfId="33529" xr:uid="{00000000-0005-0000-0000-000057800000}"/>
    <cellStyle name="Normal 3 23" xfId="33530" xr:uid="{00000000-0005-0000-0000-000058800000}"/>
    <cellStyle name="Normal 3 24" xfId="33531" xr:uid="{00000000-0005-0000-0000-000059800000}"/>
    <cellStyle name="Normal 3 25" xfId="33532" xr:uid="{00000000-0005-0000-0000-00005A800000}"/>
    <cellStyle name="Normal 3 26" xfId="33533" xr:uid="{00000000-0005-0000-0000-00005B800000}"/>
    <cellStyle name="Normal 3 27" xfId="33534" xr:uid="{00000000-0005-0000-0000-00005C800000}"/>
    <cellStyle name="Normal 3 28" xfId="33535" xr:uid="{00000000-0005-0000-0000-00005D800000}"/>
    <cellStyle name="Normal 3 29" xfId="33536" xr:uid="{00000000-0005-0000-0000-00005E800000}"/>
    <cellStyle name="Normal 3 3" xfId="1068" xr:uid="{00000000-0005-0000-0000-00005F800000}"/>
    <cellStyle name="Normal 3 3 2" xfId="33537" xr:uid="{00000000-0005-0000-0000-000060800000}"/>
    <cellStyle name="Normal 3 3 2 2" xfId="43734" xr:uid="{039B4A83-55E5-4146-BF80-8F32F0415627}"/>
    <cellStyle name="Normal 3 3 2 3" xfId="43917" xr:uid="{23D3A16E-0DCC-4A68-B3AB-DB14093CD2B3}"/>
    <cellStyle name="Normal 3 3 2 4" xfId="43551" xr:uid="{442C08AC-2960-4597-9E02-3349E2EC1775}"/>
    <cellStyle name="Normal 3 3 3" xfId="43667" xr:uid="{EBD6573B-9FCF-48AE-A8DF-2E7D5F6AA73B}"/>
    <cellStyle name="Normal 3 3 4" xfId="43850" xr:uid="{FC7590D4-B0BE-4900-AD7F-BA403C499F76}"/>
    <cellStyle name="Normal 3 3 5" xfId="43484" xr:uid="{267D4774-602B-4604-9614-53813DE58754}"/>
    <cellStyle name="Normal 3 30" xfId="33538" xr:uid="{00000000-0005-0000-0000-000061800000}"/>
    <cellStyle name="Normal 3 31" xfId="33539" xr:uid="{00000000-0005-0000-0000-000062800000}"/>
    <cellStyle name="Normal 3 32" xfId="33540" xr:uid="{00000000-0005-0000-0000-000063800000}"/>
    <cellStyle name="Normal 3 33" xfId="33541" xr:uid="{00000000-0005-0000-0000-000064800000}"/>
    <cellStyle name="Normal 3 34" xfId="33542" xr:uid="{00000000-0005-0000-0000-000065800000}"/>
    <cellStyle name="Normal 3 35" xfId="33543" xr:uid="{00000000-0005-0000-0000-000066800000}"/>
    <cellStyle name="Normal 3 36" xfId="33544" xr:uid="{00000000-0005-0000-0000-000067800000}"/>
    <cellStyle name="Normal 3 37" xfId="33545" xr:uid="{00000000-0005-0000-0000-000068800000}"/>
    <cellStyle name="Normal 3 38" xfId="33546" xr:uid="{00000000-0005-0000-0000-000069800000}"/>
    <cellStyle name="Normal 3 39" xfId="33547" xr:uid="{00000000-0005-0000-0000-00006A800000}"/>
    <cellStyle name="Normal 3 4" xfId="1770" xr:uid="{00000000-0005-0000-0000-00006B800000}"/>
    <cellStyle name="Normal 3 4 2" xfId="33548" xr:uid="{00000000-0005-0000-0000-00006C800000}"/>
    <cellStyle name="Normal 3 4 2 2" xfId="43756" xr:uid="{FCD6FFE7-B6DA-4C3F-898A-3FBF404F9E8D}"/>
    <cellStyle name="Normal 3 4 2 3" xfId="43939" xr:uid="{CE5EC030-41C2-4A9A-B7C7-FFECDF29527B}"/>
    <cellStyle name="Normal 3 4 2 4" xfId="43573" xr:uid="{8506492D-2A41-44B0-8639-4E0CB4A92481}"/>
    <cellStyle name="Normal 3 4 3" xfId="43689" xr:uid="{66447115-F9DC-4F2B-AAB0-A37AEF0B77F0}"/>
    <cellStyle name="Normal 3 4 4" xfId="43872" xr:uid="{6DF59BFE-1521-49B8-A73B-098DA222DD6B}"/>
    <cellStyle name="Normal 3 4 5" xfId="43506" xr:uid="{151EACA7-C968-4E60-8B0C-156DB75CF80E}"/>
    <cellStyle name="Normal 3 40" xfId="33549" xr:uid="{00000000-0005-0000-0000-00006D800000}"/>
    <cellStyle name="Normal 3 41" xfId="33550" xr:uid="{00000000-0005-0000-0000-00006E800000}"/>
    <cellStyle name="Normal 3 42" xfId="33551" xr:uid="{00000000-0005-0000-0000-00006F800000}"/>
    <cellStyle name="Normal 3 43" xfId="33552" xr:uid="{00000000-0005-0000-0000-000070800000}"/>
    <cellStyle name="Normal 3 44" xfId="33553" xr:uid="{00000000-0005-0000-0000-000071800000}"/>
    <cellStyle name="Normal 3 45" xfId="33554" xr:uid="{00000000-0005-0000-0000-000072800000}"/>
    <cellStyle name="Normal 3 46" xfId="33555" xr:uid="{00000000-0005-0000-0000-000073800000}"/>
    <cellStyle name="Normal 3 47" xfId="33556" xr:uid="{00000000-0005-0000-0000-000074800000}"/>
    <cellStyle name="Normal 3 48" xfId="33557" xr:uid="{00000000-0005-0000-0000-000075800000}"/>
    <cellStyle name="Normal 3 49" xfId="33558" xr:uid="{00000000-0005-0000-0000-000076800000}"/>
    <cellStyle name="Normal 3 5" xfId="33559" xr:uid="{00000000-0005-0000-0000-000077800000}"/>
    <cellStyle name="Normal 3 5 2" xfId="33560" xr:uid="{00000000-0005-0000-0000-000078800000}"/>
    <cellStyle name="Normal 3 5 2 2" xfId="43699" xr:uid="{30C3FA60-B106-4BEE-95A2-759940764B2A}"/>
    <cellStyle name="Normal 3 5 3" xfId="33561" xr:uid="{00000000-0005-0000-0000-000079800000}"/>
    <cellStyle name="Normal 3 5 3 2" xfId="43882" xr:uid="{E6BB70BB-36BB-431F-9005-4A17D207FDF6}"/>
    <cellStyle name="Normal 3 5 4" xfId="43516" xr:uid="{BB859220-F859-4F60-AAD7-3FBE4C024567}"/>
    <cellStyle name="Normal 3 50" xfId="33562" xr:uid="{00000000-0005-0000-0000-00007A800000}"/>
    <cellStyle name="Normal 3 51" xfId="33563" xr:uid="{00000000-0005-0000-0000-00007B800000}"/>
    <cellStyle name="Normal 3 52" xfId="43444" xr:uid="{8AB4A8FC-7488-4EEC-8AE8-C9C74D2E3CA3}"/>
    <cellStyle name="Normal 3 6" xfId="33564" xr:uid="{00000000-0005-0000-0000-00007C800000}"/>
    <cellStyle name="Normal 3 6 2" xfId="33565" xr:uid="{00000000-0005-0000-0000-00007D800000}"/>
    <cellStyle name="Normal 3 6 2 2" xfId="43766" xr:uid="{F4DD67C2-AD77-4C9B-9036-2874CBD0BBE7}"/>
    <cellStyle name="Normal 3 6 3" xfId="43949" xr:uid="{D085A90F-9EBA-4290-8DA3-D9D504E826B5}"/>
    <cellStyle name="Normal 3 6 4" xfId="43583" xr:uid="{0636D887-EA7B-4569-A9A1-B0FA1312274C}"/>
    <cellStyle name="Normal 3 7" xfId="33566" xr:uid="{00000000-0005-0000-0000-00007E800000}"/>
    <cellStyle name="Normal 3 7 2" xfId="33567" xr:uid="{00000000-0005-0000-0000-00007F800000}"/>
    <cellStyle name="Normal 3 7 2 2" xfId="33568" xr:uid="{00000000-0005-0000-0000-000080800000}"/>
    <cellStyle name="Normal 3 7 2 2 2" xfId="33569" xr:uid="{00000000-0005-0000-0000-000081800000}"/>
    <cellStyle name="Normal 3 7 2 2 2 2" xfId="33570" xr:uid="{00000000-0005-0000-0000-000082800000}"/>
    <cellStyle name="Normal 3 7 2 2 3" xfId="33571" xr:uid="{00000000-0005-0000-0000-000083800000}"/>
    <cellStyle name="Normal 3 7 2 3" xfId="33572" xr:uid="{00000000-0005-0000-0000-000084800000}"/>
    <cellStyle name="Normal 3 7 2 3 2" xfId="33573" xr:uid="{00000000-0005-0000-0000-000085800000}"/>
    <cellStyle name="Normal 3 7 3" xfId="33574" xr:uid="{00000000-0005-0000-0000-000086800000}"/>
    <cellStyle name="Normal 3 7 4" xfId="33575" xr:uid="{00000000-0005-0000-0000-000087800000}"/>
    <cellStyle name="Normal 3 7 4 2" xfId="33576" xr:uid="{00000000-0005-0000-0000-000088800000}"/>
    <cellStyle name="Normal 3 7 5" xfId="33577" xr:uid="{00000000-0005-0000-0000-000089800000}"/>
    <cellStyle name="Normal 3 8" xfId="33578" xr:uid="{00000000-0005-0000-0000-00008A800000}"/>
    <cellStyle name="Normal 3 8 2" xfId="43642" xr:uid="{BDDD749A-D6E2-40B5-9A83-D87583D0EC90}"/>
    <cellStyle name="Normal 3 9" xfId="33579" xr:uid="{00000000-0005-0000-0000-00008B800000}"/>
    <cellStyle name="Normal 3 9 2" xfId="43825" xr:uid="{AD7EFD1B-4EE4-4DB7-A1BC-CDAE137AFEF2}"/>
    <cellStyle name="Normal 3_FLC -  RECEITA" xfId="43448" xr:uid="{D61ABA8C-4765-441D-9902-56DF6369C7F1}"/>
    <cellStyle name="Normal 30" xfId="1810" xr:uid="{00000000-0005-0000-0000-00008D800000}"/>
    <cellStyle name="Normal 30 10" xfId="33580" xr:uid="{00000000-0005-0000-0000-00008E800000}"/>
    <cellStyle name="Normal 30 10 10" xfId="33581" xr:uid="{00000000-0005-0000-0000-00008F800000}"/>
    <cellStyle name="Normal 30 10 11" xfId="33582" xr:uid="{00000000-0005-0000-0000-000090800000}"/>
    <cellStyle name="Normal 30 10 12" xfId="33583" xr:uid="{00000000-0005-0000-0000-000091800000}"/>
    <cellStyle name="Normal 30 10 13" xfId="33584" xr:uid="{00000000-0005-0000-0000-000092800000}"/>
    <cellStyle name="Normal 30 10 2" xfId="33585" xr:uid="{00000000-0005-0000-0000-000093800000}"/>
    <cellStyle name="Normal 30 10 2 2" xfId="33586" xr:uid="{00000000-0005-0000-0000-000094800000}"/>
    <cellStyle name="Normal 30 10 2 3" xfId="33587" xr:uid="{00000000-0005-0000-0000-000095800000}"/>
    <cellStyle name="Normal 30 10 2 4" xfId="33588" xr:uid="{00000000-0005-0000-0000-000096800000}"/>
    <cellStyle name="Normal 30 10 2 5" xfId="33589" xr:uid="{00000000-0005-0000-0000-000097800000}"/>
    <cellStyle name="Normal 30 10 2 6" xfId="33590" xr:uid="{00000000-0005-0000-0000-000098800000}"/>
    <cellStyle name="Normal 30 10 3" xfId="33591" xr:uid="{00000000-0005-0000-0000-000099800000}"/>
    <cellStyle name="Normal 30 10 3 2" xfId="33592" xr:uid="{00000000-0005-0000-0000-00009A800000}"/>
    <cellStyle name="Normal 30 10 3 3" xfId="33593" xr:uid="{00000000-0005-0000-0000-00009B800000}"/>
    <cellStyle name="Normal 30 10 3 4" xfId="33594" xr:uid="{00000000-0005-0000-0000-00009C800000}"/>
    <cellStyle name="Normal 30 10 3 5" xfId="33595" xr:uid="{00000000-0005-0000-0000-00009D800000}"/>
    <cellStyle name="Normal 30 10 3 6" xfId="33596" xr:uid="{00000000-0005-0000-0000-00009E800000}"/>
    <cellStyle name="Normal 30 10 4" xfId="33597" xr:uid="{00000000-0005-0000-0000-00009F800000}"/>
    <cellStyle name="Normal 30 10 4 2" xfId="33598" xr:uid="{00000000-0005-0000-0000-0000A0800000}"/>
    <cellStyle name="Normal 30 10 4 3" xfId="33599" xr:uid="{00000000-0005-0000-0000-0000A1800000}"/>
    <cellStyle name="Normal 30 10 4 4" xfId="33600" xr:uid="{00000000-0005-0000-0000-0000A2800000}"/>
    <cellStyle name="Normal 30 10 4 5" xfId="33601" xr:uid="{00000000-0005-0000-0000-0000A3800000}"/>
    <cellStyle name="Normal 30 10 4 6" xfId="33602" xr:uid="{00000000-0005-0000-0000-0000A4800000}"/>
    <cellStyle name="Normal 30 10 5" xfId="33603" xr:uid="{00000000-0005-0000-0000-0000A5800000}"/>
    <cellStyle name="Normal 30 10 5 2" xfId="33604" xr:uid="{00000000-0005-0000-0000-0000A6800000}"/>
    <cellStyle name="Normal 30 10 5 3" xfId="33605" xr:uid="{00000000-0005-0000-0000-0000A7800000}"/>
    <cellStyle name="Normal 30 10 5 4" xfId="33606" xr:uid="{00000000-0005-0000-0000-0000A8800000}"/>
    <cellStyle name="Normal 30 10 5 5" xfId="33607" xr:uid="{00000000-0005-0000-0000-0000A9800000}"/>
    <cellStyle name="Normal 30 10 5 6" xfId="33608" xr:uid="{00000000-0005-0000-0000-0000AA800000}"/>
    <cellStyle name="Normal 30 10 6" xfId="33609" xr:uid="{00000000-0005-0000-0000-0000AB800000}"/>
    <cellStyle name="Normal 30 10 6 2" xfId="33610" xr:uid="{00000000-0005-0000-0000-0000AC800000}"/>
    <cellStyle name="Normal 30 10 6 3" xfId="33611" xr:uid="{00000000-0005-0000-0000-0000AD800000}"/>
    <cellStyle name="Normal 30 10 6 4" xfId="33612" xr:uid="{00000000-0005-0000-0000-0000AE800000}"/>
    <cellStyle name="Normal 30 10 6 5" xfId="33613" xr:uid="{00000000-0005-0000-0000-0000AF800000}"/>
    <cellStyle name="Normal 30 10 6 6" xfId="33614" xr:uid="{00000000-0005-0000-0000-0000B0800000}"/>
    <cellStyle name="Normal 30 10 7" xfId="33615" xr:uid="{00000000-0005-0000-0000-0000B1800000}"/>
    <cellStyle name="Normal 30 10 7 2" xfId="33616" xr:uid="{00000000-0005-0000-0000-0000B2800000}"/>
    <cellStyle name="Normal 30 10 7 3" xfId="33617" xr:uid="{00000000-0005-0000-0000-0000B3800000}"/>
    <cellStyle name="Normal 30 10 7 4" xfId="33618" xr:uid="{00000000-0005-0000-0000-0000B4800000}"/>
    <cellStyle name="Normal 30 10 7 5" xfId="33619" xr:uid="{00000000-0005-0000-0000-0000B5800000}"/>
    <cellStyle name="Normal 30 10 7 6" xfId="33620" xr:uid="{00000000-0005-0000-0000-0000B6800000}"/>
    <cellStyle name="Normal 30 10 8" xfId="33621" xr:uid="{00000000-0005-0000-0000-0000B7800000}"/>
    <cellStyle name="Normal 30 10 8 2" xfId="33622" xr:uid="{00000000-0005-0000-0000-0000B8800000}"/>
    <cellStyle name="Normal 30 10 8 3" xfId="33623" xr:uid="{00000000-0005-0000-0000-0000B9800000}"/>
    <cellStyle name="Normal 30 10 8 4" xfId="33624" xr:uid="{00000000-0005-0000-0000-0000BA800000}"/>
    <cellStyle name="Normal 30 10 8 5" xfId="33625" xr:uid="{00000000-0005-0000-0000-0000BB800000}"/>
    <cellStyle name="Normal 30 10 8 6" xfId="33626" xr:uid="{00000000-0005-0000-0000-0000BC800000}"/>
    <cellStyle name="Normal 30 10 9" xfId="33627" xr:uid="{00000000-0005-0000-0000-0000BD800000}"/>
    <cellStyle name="Normal 30 11" xfId="33628" xr:uid="{00000000-0005-0000-0000-0000BE800000}"/>
    <cellStyle name="Normal 30 11 10" xfId="33629" xr:uid="{00000000-0005-0000-0000-0000BF800000}"/>
    <cellStyle name="Normal 30 11 11" xfId="33630" xr:uid="{00000000-0005-0000-0000-0000C0800000}"/>
    <cellStyle name="Normal 30 11 12" xfId="33631" xr:uid="{00000000-0005-0000-0000-0000C1800000}"/>
    <cellStyle name="Normal 30 11 13" xfId="33632" xr:uid="{00000000-0005-0000-0000-0000C2800000}"/>
    <cellStyle name="Normal 30 11 2" xfId="33633" xr:uid="{00000000-0005-0000-0000-0000C3800000}"/>
    <cellStyle name="Normal 30 11 2 2" xfId="33634" xr:uid="{00000000-0005-0000-0000-0000C4800000}"/>
    <cellStyle name="Normal 30 11 2 3" xfId="33635" xr:uid="{00000000-0005-0000-0000-0000C5800000}"/>
    <cellStyle name="Normal 30 11 2 4" xfId="33636" xr:uid="{00000000-0005-0000-0000-0000C6800000}"/>
    <cellStyle name="Normal 30 11 2 5" xfId="33637" xr:uid="{00000000-0005-0000-0000-0000C7800000}"/>
    <cellStyle name="Normal 30 11 2 6" xfId="33638" xr:uid="{00000000-0005-0000-0000-0000C8800000}"/>
    <cellStyle name="Normal 30 11 3" xfId="33639" xr:uid="{00000000-0005-0000-0000-0000C9800000}"/>
    <cellStyle name="Normal 30 11 3 2" xfId="33640" xr:uid="{00000000-0005-0000-0000-0000CA800000}"/>
    <cellStyle name="Normal 30 11 3 3" xfId="33641" xr:uid="{00000000-0005-0000-0000-0000CB800000}"/>
    <cellStyle name="Normal 30 11 3 4" xfId="33642" xr:uid="{00000000-0005-0000-0000-0000CC800000}"/>
    <cellStyle name="Normal 30 11 3 5" xfId="33643" xr:uid="{00000000-0005-0000-0000-0000CD800000}"/>
    <cellStyle name="Normal 30 11 3 6" xfId="33644" xr:uid="{00000000-0005-0000-0000-0000CE800000}"/>
    <cellStyle name="Normal 30 11 4" xfId="33645" xr:uid="{00000000-0005-0000-0000-0000CF800000}"/>
    <cellStyle name="Normal 30 11 4 2" xfId="33646" xr:uid="{00000000-0005-0000-0000-0000D0800000}"/>
    <cellStyle name="Normal 30 11 4 3" xfId="33647" xr:uid="{00000000-0005-0000-0000-0000D1800000}"/>
    <cellStyle name="Normal 30 11 4 4" xfId="33648" xr:uid="{00000000-0005-0000-0000-0000D2800000}"/>
    <cellStyle name="Normal 30 11 4 5" xfId="33649" xr:uid="{00000000-0005-0000-0000-0000D3800000}"/>
    <cellStyle name="Normal 30 11 4 6" xfId="33650" xr:uid="{00000000-0005-0000-0000-0000D4800000}"/>
    <cellStyle name="Normal 30 11 5" xfId="33651" xr:uid="{00000000-0005-0000-0000-0000D5800000}"/>
    <cellStyle name="Normal 30 11 5 2" xfId="33652" xr:uid="{00000000-0005-0000-0000-0000D6800000}"/>
    <cellStyle name="Normal 30 11 5 3" xfId="33653" xr:uid="{00000000-0005-0000-0000-0000D7800000}"/>
    <cellStyle name="Normal 30 11 5 4" xfId="33654" xr:uid="{00000000-0005-0000-0000-0000D8800000}"/>
    <cellStyle name="Normal 30 11 5 5" xfId="33655" xr:uid="{00000000-0005-0000-0000-0000D9800000}"/>
    <cellStyle name="Normal 30 11 5 6" xfId="33656" xr:uid="{00000000-0005-0000-0000-0000DA800000}"/>
    <cellStyle name="Normal 30 11 6" xfId="33657" xr:uid="{00000000-0005-0000-0000-0000DB800000}"/>
    <cellStyle name="Normal 30 11 6 2" xfId="33658" xr:uid="{00000000-0005-0000-0000-0000DC800000}"/>
    <cellStyle name="Normal 30 11 6 3" xfId="33659" xr:uid="{00000000-0005-0000-0000-0000DD800000}"/>
    <cellStyle name="Normal 30 11 6 4" xfId="33660" xr:uid="{00000000-0005-0000-0000-0000DE800000}"/>
    <cellStyle name="Normal 30 11 6 5" xfId="33661" xr:uid="{00000000-0005-0000-0000-0000DF800000}"/>
    <cellStyle name="Normal 30 11 6 6" xfId="33662" xr:uid="{00000000-0005-0000-0000-0000E0800000}"/>
    <cellStyle name="Normal 30 11 7" xfId="33663" xr:uid="{00000000-0005-0000-0000-0000E1800000}"/>
    <cellStyle name="Normal 30 11 7 2" xfId="33664" xr:uid="{00000000-0005-0000-0000-0000E2800000}"/>
    <cellStyle name="Normal 30 11 7 3" xfId="33665" xr:uid="{00000000-0005-0000-0000-0000E3800000}"/>
    <cellStyle name="Normal 30 11 7 4" xfId="33666" xr:uid="{00000000-0005-0000-0000-0000E4800000}"/>
    <cellStyle name="Normal 30 11 7 5" xfId="33667" xr:uid="{00000000-0005-0000-0000-0000E5800000}"/>
    <cellStyle name="Normal 30 11 7 6" xfId="33668" xr:uid="{00000000-0005-0000-0000-0000E6800000}"/>
    <cellStyle name="Normal 30 11 8" xfId="33669" xr:uid="{00000000-0005-0000-0000-0000E7800000}"/>
    <cellStyle name="Normal 30 11 8 2" xfId="33670" xr:uid="{00000000-0005-0000-0000-0000E8800000}"/>
    <cellStyle name="Normal 30 11 8 3" xfId="33671" xr:uid="{00000000-0005-0000-0000-0000E9800000}"/>
    <cellStyle name="Normal 30 11 8 4" xfId="33672" xr:uid="{00000000-0005-0000-0000-0000EA800000}"/>
    <cellStyle name="Normal 30 11 8 5" xfId="33673" xr:uid="{00000000-0005-0000-0000-0000EB800000}"/>
    <cellStyle name="Normal 30 11 8 6" xfId="33674" xr:uid="{00000000-0005-0000-0000-0000EC800000}"/>
    <cellStyle name="Normal 30 11 9" xfId="33675" xr:uid="{00000000-0005-0000-0000-0000ED800000}"/>
    <cellStyle name="Normal 30 12" xfId="33676" xr:uid="{00000000-0005-0000-0000-0000EE800000}"/>
    <cellStyle name="Normal 30 12 2" xfId="33677" xr:uid="{00000000-0005-0000-0000-0000EF800000}"/>
    <cellStyle name="Normal 30 12 3" xfId="33678" xr:uid="{00000000-0005-0000-0000-0000F0800000}"/>
    <cellStyle name="Normal 30 12 4" xfId="33679" xr:uid="{00000000-0005-0000-0000-0000F1800000}"/>
    <cellStyle name="Normal 30 12 5" xfId="33680" xr:uid="{00000000-0005-0000-0000-0000F2800000}"/>
    <cellStyle name="Normal 30 12 6" xfId="33681" xr:uid="{00000000-0005-0000-0000-0000F3800000}"/>
    <cellStyle name="Normal 30 13" xfId="33682" xr:uid="{00000000-0005-0000-0000-0000F4800000}"/>
    <cellStyle name="Normal 30 13 2" xfId="33683" xr:uid="{00000000-0005-0000-0000-0000F5800000}"/>
    <cellStyle name="Normal 30 13 3" xfId="33684" xr:uid="{00000000-0005-0000-0000-0000F6800000}"/>
    <cellStyle name="Normal 30 13 4" xfId="33685" xr:uid="{00000000-0005-0000-0000-0000F7800000}"/>
    <cellStyle name="Normal 30 13 5" xfId="33686" xr:uid="{00000000-0005-0000-0000-0000F8800000}"/>
    <cellStyle name="Normal 30 13 6" xfId="33687" xr:uid="{00000000-0005-0000-0000-0000F9800000}"/>
    <cellStyle name="Normal 30 14" xfId="33688" xr:uid="{00000000-0005-0000-0000-0000FA800000}"/>
    <cellStyle name="Normal 30 14 2" xfId="33689" xr:uid="{00000000-0005-0000-0000-0000FB800000}"/>
    <cellStyle name="Normal 30 14 3" xfId="33690" xr:uid="{00000000-0005-0000-0000-0000FC800000}"/>
    <cellStyle name="Normal 30 14 4" xfId="33691" xr:uid="{00000000-0005-0000-0000-0000FD800000}"/>
    <cellStyle name="Normal 30 14 5" xfId="33692" xr:uid="{00000000-0005-0000-0000-0000FE800000}"/>
    <cellStyle name="Normal 30 14 6" xfId="33693" xr:uid="{00000000-0005-0000-0000-0000FF800000}"/>
    <cellStyle name="Normal 30 15" xfId="33694" xr:uid="{00000000-0005-0000-0000-000000810000}"/>
    <cellStyle name="Normal 30 15 2" xfId="33695" xr:uid="{00000000-0005-0000-0000-000001810000}"/>
    <cellStyle name="Normal 30 15 3" xfId="33696" xr:uid="{00000000-0005-0000-0000-000002810000}"/>
    <cellStyle name="Normal 30 15 4" xfId="33697" xr:uid="{00000000-0005-0000-0000-000003810000}"/>
    <cellStyle name="Normal 30 15 5" xfId="33698" xr:uid="{00000000-0005-0000-0000-000004810000}"/>
    <cellStyle name="Normal 30 15 6" xfId="33699" xr:uid="{00000000-0005-0000-0000-000005810000}"/>
    <cellStyle name="Normal 30 16" xfId="33700" xr:uid="{00000000-0005-0000-0000-000006810000}"/>
    <cellStyle name="Normal 30 16 2" xfId="33701" xr:uid="{00000000-0005-0000-0000-000007810000}"/>
    <cellStyle name="Normal 30 16 3" xfId="33702" xr:uid="{00000000-0005-0000-0000-000008810000}"/>
    <cellStyle name="Normal 30 16 4" xfId="33703" xr:uid="{00000000-0005-0000-0000-000009810000}"/>
    <cellStyle name="Normal 30 16 5" xfId="33704" xr:uid="{00000000-0005-0000-0000-00000A810000}"/>
    <cellStyle name="Normal 30 16 6" xfId="33705" xr:uid="{00000000-0005-0000-0000-00000B810000}"/>
    <cellStyle name="Normal 30 17" xfId="33706" xr:uid="{00000000-0005-0000-0000-00000C810000}"/>
    <cellStyle name="Normal 30 17 2" xfId="33707" xr:uid="{00000000-0005-0000-0000-00000D810000}"/>
    <cellStyle name="Normal 30 17 3" xfId="33708" xr:uid="{00000000-0005-0000-0000-00000E810000}"/>
    <cellStyle name="Normal 30 17 4" xfId="33709" xr:uid="{00000000-0005-0000-0000-00000F810000}"/>
    <cellStyle name="Normal 30 17 5" xfId="33710" xr:uid="{00000000-0005-0000-0000-000010810000}"/>
    <cellStyle name="Normal 30 17 6" xfId="33711" xr:uid="{00000000-0005-0000-0000-000011810000}"/>
    <cellStyle name="Normal 30 18" xfId="33712" xr:uid="{00000000-0005-0000-0000-000012810000}"/>
    <cellStyle name="Normal 30 18 2" xfId="33713" xr:uid="{00000000-0005-0000-0000-000013810000}"/>
    <cellStyle name="Normal 30 18 3" xfId="33714" xr:uid="{00000000-0005-0000-0000-000014810000}"/>
    <cellStyle name="Normal 30 18 4" xfId="33715" xr:uid="{00000000-0005-0000-0000-000015810000}"/>
    <cellStyle name="Normal 30 18 5" xfId="33716" xr:uid="{00000000-0005-0000-0000-000016810000}"/>
    <cellStyle name="Normal 30 18 6" xfId="33717" xr:uid="{00000000-0005-0000-0000-000017810000}"/>
    <cellStyle name="Normal 30 19" xfId="33718" xr:uid="{00000000-0005-0000-0000-000018810000}"/>
    <cellStyle name="Normal 30 2" xfId="1884" xr:uid="{00000000-0005-0000-0000-000019810000}"/>
    <cellStyle name="Normal 30 2 10" xfId="33719" xr:uid="{00000000-0005-0000-0000-00001A810000}"/>
    <cellStyle name="Normal 30 2 11" xfId="33720" xr:uid="{00000000-0005-0000-0000-00001B810000}"/>
    <cellStyle name="Normal 30 2 12" xfId="33721" xr:uid="{00000000-0005-0000-0000-00001C810000}"/>
    <cellStyle name="Normal 30 2 13" xfId="33722" xr:uid="{00000000-0005-0000-0000-00001D810000}"/>
    <cellStyle name="Normal 30 2 14" xfId="43250" xr:uid="{00000000-0005-0000-0000-00001E810000}"/>
    <cellStyle name="Normal 30 2 2" xfId="2072" xr:uid="{00000000-0005-0000-0000-00001F810000}"/>
    <cellStyle name="Normal 30 2 2 2" xfId="2531" xr:uid="{00000000-0005-0000-0000-000020810000}"/>
    <cellStyle name="Normal 30 2 2 3" xfId="33723" xr:uid="{00000000-0005-0000-0000-000021810000}"/>
    <cellStyle name="Normal 30 2 2 4" xfId="33724" xr:uid="{00000000-0005-0000-0000-000022810000}"/>
    <cellStyle name="Normal 30 2 2 5" xfId="33725" xr:uid="{00000000-0005-0000-0000-000023810000}"/>
    <cellStyle name="Normal 30 2 2 6" xfId="33726" xr:uid="{00000000-0005-0000-0000-000024810000}"/>
    <cellStyle name="Normal 30 2 2 7" xfId="43346" xr:uid="{00000000-0005-0000-0000-000025810000}"/>
    <cellStyle name="Normal 30 2 3" xfId="2532" xr:uid="{00000000-0005-0000-0000-000026810000}"/>
    <cellStyle name="Normal 30 2 3 2" xfId="33727" xr:uid="{00000000-0005-0000-0000-000027810000}"/>
    <cellStyle name="Normal 30 2 3 3" xfId="33728" xr:uid="{00000000-0005-0000-0000-000028810000}"/>
    <cellStyle name="Normal 30 2 3 4" xfId="33729" xr:uid="{00000000-0005-0000-0000-000029810000}"/>
    <cellStyle name="Normal 30 2 3 5" xfId="33730" xr:uid="{00000000-0005-0000-0000-00002A810000}"/>
    <cellStyle name="Normal 30 2 3 6" xfId="33731" xr:uid="{00000000-0005-0000-0000-00002B810000}"/>
    <cellStyle name="Normal 30 2 3 7" xfId="43347" xr:uid="{00000000-0005-0000-0000-00002C810000}"/>
    <cellStyle name="Normal 30 2 4" xfId="2433" xr:uid="{00000000-0005-0000-0000-00002D810000}"/>
    <cellStyle name="Normal 30 2 4 2" xfId="33732" xr:uid="{00000000-0005-0000-0000-00002E810000}"/>
    <cellStyle name="Normal 30 2 4 3" xfId="33733" xr:uid="{00000000-0005-0000-0000-00002F810000}"/>
    <cellStyle name="Normal 30 2 4 4" xfId="33734" xr:uid="{00000000-0005-0000-0000-000030810000}"/>
    <cellStyle name="Normal 30 2 4 5" xfId="33735" xr:uid="{00000000-0005-0000-0000-000031810000}"/>
    <cellStyle name="Normal 30 2 4 6" xfId="33736" xr:uid="{00000000-0005-0000-0000-000032810000}"/>
    <cellStyle name="Normal 30 2 5" xfId="2404" xr:uid="{00000000-0005-0000-0000-000033810000}"/>
    <cellStyle name="Normal 30 2 5 2" xfId="33737" xr:uid="{00000000-0005-0000-0000-000034810000}"/>
    <cellStyle name="Normal 30 2 5 3" xfId="33738" xr:uid="{00000000-0005-0000-0000-000035810000}"/>
    <cellStyle name="Normal 30 2 5 4" xfId="33739" xr:uid="{00000000-0005-0000-0000-000036810000}"/>
    <cellStyle name="Normal 30 2 5 5" xfId="33740" xr:uid="{00000000-0005-0000-0000-000037810000}"/>
    <cellStyle name="Normal 30 2 5 6" xfId="33741" xr:uid="{00000000-0005-0000-0000-000038810000}"/>
    <cellStyle name="Normal 30 2 6" xfId="33742" xr:uid="{00000000-0005-0000-0000-000039810000}"/>
    <cellStyle name="Normal 30 2 6 2" xfId="33743" xr:uid="{00000000-0005-0000-0000-00003A810000}"/>
    <cellStyle name="Normal 30 2 6 3" xfId="33744" xr:uid="{00000000-0005-0000-0000-00003B810000}"/>
    <cellStyle name="Normal 30 2 6 4" xfId="33745" xr:uid="{00000000-0005-0000-0000-00003C810000}"/>
    <cellStyle name="Normal 30 2 6 5" xfId="33746" xr:uid="{00000000-0005-0000-0000-00003D810000}"/>
    <cellStyle name="Normal 30 2 6 6" xfId="33747" xr:uid="{00000000-0005-0000-0000-00003E810000}"/>
    <cellStyle name="Normal 30 2 7" xfId="33748" xr:uid="{00000000-0005-0000-0000-00003F810000}"/>
    <cellStyle name="Normal 30 2 7 2" xfId="33749" xr:uid="{00000000-0005-0000-0000-000040810000}"/>
    <cellStyle name="Normal 30 2 7 3" xfId="33750" xr:uid="{00000000-0005-0000-0000-000041810000}"/>
    <cellStyle name="Normal 30 2 7 4" xfId="33751" xr:uid="{00000000-0005-0000-0000-000042810000}"/>
    <cellStyle name="Normal 30 2 7 5" xfId="33752" xr:uid="{00000000-0005-0000-0000-000043810000}"/>
    <cellStyle name="Normal 30 2 7 6" xfId="33753" xr:uid="{00000000-0005-0000-0000-000044810000}"/>
    <cellStyle name="Normal 30 2 8" xfId="33754" xr:uid="{00000000-0005-0000-0000-000045810000}"/>
    <cellStyle name="Normal 30 2 8 2" xfId="33755" xr:uid="{00000000-0005-0000-0000-000046810000}"/>
    <cellStyle name="Normal 30 2 8 3" xfId="33756" xr:uid="{00000000-0005-0000-0000-000047810000}"/>
    <cellStyle name="Normal 30 2 8 4" xfId="33757" xr:uid="{00000000-0005-0000-0000-000048810000}"/>
    <cellStyle name="Normal 30 2 8 5" xfId="33758" xr:uid="{00000000-0005-0000-0000-000049810000}"/>
    <cellStyle name="Normal 30 2 8 6" xfId="33759" xr:uid="{00000000-0005-0000-0000-00004A810000}"/>
    <cellStyle name="Normal 30 2 9" xfId="33760" xr:uid="{00000000-0005-0000-0000-00004B810000}"/>
    <cellStyle name="Normal 30 20" xfId="33761" xr:uid="{00000000-0005-0000-0000-00004C810000}"/>
    <cellStyle name="Normal 30 21" xfId="33762" xr:uid="{00000000-0005-0000-0000-00004D810000}"/>
    <cellStyle name="Normal 30 22" xfId="33763" xr:uid="{00000000-0005-0000-0000-00004E810000}"/>
    <cellStyle name="Normal 30 23" xfId="33764" xr:uid="{00000000-0005-0000-0000-00004F810000}"/>
    <cellStyle name="Normal 30 24" xfId="43249" xr:uid="{00000000-0005-0000-0000-000050810000}"/>
    <cellStyle name="Normal 30 3" xfId="2023" xr:uid="{00000000-0005-0000-0000-000051810000}"/>
    <cellStyle name="Normal 30 3 10" xfId="33765" xr:uid="{00000000-0005-0000-0000-000052810000}"/>
    <cellStyle name="Normal 30 3 11" xfId="33766" xr:uid="{00000000-0005-0000-0000-000053810000}"/>
    <cellStyle name="Normal 30 3 12" xfId="33767" xr:uid="{00000000-0005-0000-0000-000054810000}"/>
    <cellStyle name="Normal 30 3 13" xfId="33768" xr:uid="{00000000-0005-0000-0000-000055810000}"/>
    <cellStyle name="Normal 30 3 14" xfId="43348" xr:uid="{00000000-0005-0000-0000-000056810000}"/>
    <cellStyle name="Normal 30 3 2" xfId="2533" xr:uid="{00000000-0005-0000-0000-000057810000}"/>
    <cellStyle name="Normal 30 3 2 2" xfId="33769" xr:uid="{00000000-0005-0000-0000-000058810000}"/>
    <cellStyle name="Normal 30 3 2 3" xfId="33770" xr:uid="{00000000-0005-0000-0000-000059810000}"/>
    <cellStyle name="Normal 30 3 2 4" xfId="33771" xr:uid="{00000000-0005-0000-0000-00005A810000}"/>
    <cellStyle name="Normal 30 3 2 5" xfId="33772" xr:uid="{00000000-0005-0000-0000-00005B810000}"/>
    <cellStyle name="Normal 30 3 2 6" xfId="33773" xr:uid="{00000000-0005-0000-0000-00005C810000}"/>
    <cellStyle name="Normal 30 3 3" xfId="33774" xr:uid="{00000000-0005-0000-0000-00005D810000}"/>
    <cellStyle name="Normal 30 3 3 2" xfId="33775" xr:uid="{00000000-0005-0000-0000-00005E810000}"/>
    <cellStyle name="Normal 30 3 3 3" xfId="33776" xr:uid="{00000000-0005-0000-0000-00005F810000}"/>
    <cellStyle name="Normal 30 3 3 4" xfId="33777" xr:uid="{00000000-0005-0000-0000-000060810000}"/>
    <cellStyle name="Normal 30 3 3 5" xfId="33778" xr:uid="{00000000-0005-0000-0000-000061810000}"/>
    <cellStyle name="Normal 30 3 3 6" xfId="33779" xr:uid="{00000000-0005-0000-0000-000062810000}"/>
    <cellStyle name="Normal 30 3 4" xfId="33780" xr:uid="{00000000-0005-0000-0000-000063810000}"/>
    <cellStyle name="Normal 30 3 4 2" xfId="33781" xr:uid="{00000000-0005-0000-0000-000064810000}"/>
    <cellStyle name="Normal 30 3 4 3" xfId="33782" xr:uid="{00000000-0005-0000-0000-000065810000}"/>
    <cellStyle name="Normal 30 3 4 4" xfId="33783" xr:uid="{00000000-0005-0000-0000-000066810000}"/>
    <cellStyle name="Normal 30 3 4 5" xfId="33784" xr:uid="{00000000-0005-0000-0000-000067810000}"/>
    <cellStyle name="Normal 30 3 4 6" xfId="33785" xr:uid="{00000000-0005-0000-0000-000068810000}"/>
    <cellStyle name="Normal 30 3 5" xfId="33786" xr:uid="{00000000-0005-0000-0000-000069810000}"/>
    <cellStyle name="Normal 30 3 5 2" xfId="33787" xr:uid="{00000000-0005-0000-0000-00006A810000}"/>
    <cellStyle name="Normal 30 3 5 3" xfId="33788" xr:uid="{00000000-0005-0000-0000-00006B810000}"/>
    <cellStyle name="Normal 30 3 5 4" xfId="33789" xr:uid="{00000000-0005-0000-0000-00006C810000}"/>
    <cellStyle name="Normal 30 3 5 5" xfId="33790" xr:uid="{00000000-0005-0000-0000-00006D810000}"/>
    <cellStyle name="Normal 30 3 5 6" xfId="33791" xr:uid="{00000000-0005-0000-0000-00006E810000}"/>
    <cellStyle name="Normal 30 3 6" xfId="33792" xr:uid="{00000000-0005-0000-0000-00006F810000}"/>
    <cellStyle name="Normal 30 3 6 2" xfId="33793" xr:uid="{00000000-0005-0000-0000-000070810000}"/>
    <cellStyle name="Normal 30 3 6 3" xfId="33794" xr:uid="{00000000-0005-0000-0000-000071810000}"/>
    <cellStyle name="Normal 30 3 6 4" xfId="33795" xr:uid="{00000000-0005-0000-0000-000072810000}"/>
    <cellStyle name="Normal 30 3 6 5" xfId="33796" xr:uid="{00000000-0005-0000-0000-000073810000}"/>
    <cellStyle name="Normal 30 3 6 6" xfId="33797" xr:uid="{00000000-0005-0000-0000-000074810000}"/>
    <cellStyle name="Normal 30 3 7" xfId="33798" xr:uid="{00000000-0005-0000-0000-000075810000}"/>
    <cellStyle name="Normal 30 3 7 2" xfId="33799" xr:uid="{00000000-0005-0000-0000-000076810000}"/>
    <cellStyle name="Normal 30 3 7 3" xfId="33800" xr:uid="{00000000-0005-0000-0000-000077810000}"/>
    <cellStyle name="Normal 30 3 7 4" xfId="33801" xr:uid="{00000000-0005-0000-0000-000078810000}"/>
    <cellStyle name="Normal 30 3 7 5" xfId="33802" xr:uid="{00000000-0005-0000-0000-000079810000}"/>
    <cellStyle name="Normal 30 3 7 6" xfId="33803" xr:uid="{00000000-0005-0000-0000-00007A810000}"/>
    <cellStyle name="Normal 30 3 8" xfId="33804" xr:uid="{00000000-0005-0000-0000-00007B810000}"/>
    <cellStyle name="Normal 30 3 8 2" xfId="33805" xr:uid="{00000000-0005-0000-0000-00007C810000}"/>
    <cellStyle name="Normal 30 3 8 3" xfId="33806" xr:uid="{00000000-0005-0000-0000-00007D810000}"/>
    <cellStyle name="Normal 30 3 8 4" xfId="33807" xr:uid="{00000000-0005-0000-0000-00007E810000}"/>
    <cellStyle name="Normal 30 3 8 5" xfId="33808" xr:uid="{00000000-0005-0000-0000-00007F810000}"/>
    <cellStyle name="Normal 30 3 8 6" xfId="33809" xr:uid="{00000000-0005-0000-0000-000080810000}"/>
    <cellStyle name="Normal 30 3 9" xfId="33810" xr:uid="{00000000-0005-0000-0000-000081810000}"/>
    <cellStyle name="Normal 30 4" xfId="2534" xr:uid="{00000000-0005-0000-0000-000082810000}"/>
    <cellStyle name="Normal 30 4 10" xfId="33811" xr:uid="{00000000-0005-0000-0000-000083810000}"/>
    <cellStyle name="Normal 30 4 11" xfId="33812" xr:uid="{00000000-0005-0000-0000-000084810000}"/>
    <cellStyle name="Normal 30 4 12" xfId="33813" xr:uid="{00000000-0005-0000-0000-000085810000}"/>
    <cellStyle name="Normal 30 4 13" xfId="33814" xr:uid="{00000000-0005-0000-0000-000086810000}"/>
    <cellStyle name="Normal 30 4 14" xfId="43349" xr:uid="{00000000-0005-0000-0000-000087810000}"/>
    <cellStyle name="Normal 30 4 2" xfId="33815" xr:uid="{00000000-0005-0000-0000-000088810000}"/>
    <cellStyle name="Normal 30 4 2 2" xfId="33816" xr:uid="{00000000-0005-0000-0000-000089810000}"/>
    <cellStyle name="Normal 30 4 2 3" xfId="33817" xr:uid="{00000000-0005-0000-0000-00008A810000}"/>
    <cellStyle name="Normal 30 4 2 4" xfId="33818" xr:uid="{00000000-0005-0000-0000-00008B810000}"/>
    <cellStyle name="Normal 30 4 2 5" xfId="33819" xr:uid="{00000000-0005-0000-0000-00008C810000}"/>
    <cellStyle name="Normal 30 4 2 6" xfId="33820" xr:uid="{00000000-0005-0000-0000-00008D810000}"/>
    <cellStyle name="Normal 30 4 3" xfId="33821" xr:uid="{00000000-0005-0000-0000-00008E810000}"/>
    <cellStyle name="Normal 30 4 3 2" xfId="33822" xr:uid="{00000000-0005-0000-0000-00008F810000}"/>
    <cellStyle name="Normal 30 4 3 3" xfId="33823" xr:uid="{00000000-0005-0000-0000-000090810000}"/>
    <cellStyle name="Normal 30 4 3 4" xfId="33824" xr:uid="{00000000-0005-0000-0000-000091810000}"/>
    <cellStyle name="Normal 30 4 3 5" xfId="33825" xr:uid="{00000000-0005-0000-0000-000092810000}"/>
    <cellStyle name="Normal 30 4 3 6" xfId="33826" xr:uid="{00000000-0005-0000-0000-000093810000}"/>
    <cellStyle name="Normal 30 4 4" xfId="33827" xr:uid="{00000000-0005-0000-0000-000094810000}"/>
    <cellStyle name="Normal 30 4 4 2" xfId="33828" xr:uid="{00000000-0005-0000-0000-000095810000}"/>
    <cellStyle name="Normal 30 4 4 3" xfId="33829" xr:uid="{00000000-0005-0000-0000-000096810000}"/>
    <cellStyle name="Normal 30 4 4 4" xfId="33830" xr:uid="{00000000-0005-0000-0000-000097810000}"/>
    <cellStyle name="Normal 30 4 4 5" xfId="33831" xr:uid="{00000000-0005-0000-0000-000098810000}"/>
    <cellStyle name="Normal 30 4 4 6" xfId="33832" xr:uid="{00000000-0005-0000-0000-000099810000}"/>
    <cellStyle name="Normal 30 4 5" xfId="33833" xr:uid="{00000000-0005-0000-0000-00009A810000}"/>
    <cellStyle name="Normal 30 4 5 2" xfId="33834" xr:uid="{00000000-0005-0000-0000-00009B810000}"/>
    <cellStyle name="Normal 30 4 5 3" xfId="33835" xr:uid="{00000000-0005-0000-0000-00009C810000}"/>
    <cellStyle name="Normal 30 4 5 4" xfId="33836" xr:uid="{00000000-0005-0000-0000-00009D810000}"/>
    <cellStyle name="Normal 30 4 5 5" xfId="33837" xr:uid="{00000000-0005-0000-0000-00009E810000}"/>
    <cellStyle name="Normal 30 4 5 6" xfId="33838" xr:uid="{00000000-0005-0000-0000-00009F810000}"/>
    <cellStyle name="Normal 30 4 6" xfId="33839" xr:uid="{00000000-0005-0000-0000-0000A0810000}"/>
    <cellStyle name="Normal 30 4 6 2" xfId="33840" xr:uid="{00000000-0005-0000-0000-0000A1810000}"/>
    <cellStyle name="Normal 30 4 6 3" xfId="33841" xr:uid="{00000000-0005-0000-0000-0000A2810000}"/>
    <cellStyle name="Normal 30 4 6 4" xfId="33842" xr:uid="{00000000-0005-0000-0000-0000A3810000}"/>
    <cellStyle name="Normal 30 4 6 5" xfId="33843" xr:uid="{00000000-0005-0000-0000-0000A4810000}"/>
    <cellStyle name="Normal 30 4 6 6" xfId="33844" xr:uid="{00000000-0005-0000-0000-0000A5810000}"/>
    <cellStyle name="Normal 30 4 7" xfId="33845" xr:uid="{00000000-0005-0000-0000-0000A6810000}"/>
    <cellStyle name="Normal 30 4 7 2" xfId="33846" xr:uid="{00000000-0005-0000-0000-0000A7810000}"/>
    <cellStyle name="Normal 30 4 7 3" xfId="33847" xr:uid="{00000000-0005-0000-0000-0000A8810000}"/>
    <cellStyle name="Normal 30 4 7 4" xfId="33848" xr:uid="{00000000-0005-0000-0000-0000A9810000}"/>
    <cellStyle name="Normal 30 4 7 5" xfId="33849" xr:uid="{00000000-0005-0000-0000-0000AA810000}"/>
    <cellStyle name="Normal 30 4 7 6" xfId="33850" xr:uid="{00000000-0005-0000-0000-0000AB810000}"/>
    <cellStyle name="Normal 30 4 8" xfId="33851" xr:uid="{00000000-0005-0000-0000-0000AC810000}"/>
    <cellStyle name="Normal 30 4 8 2" xfId="33852" xr:uid="{00000000-0005-0000-0000-0000AD810000}"/>
    <cellStyle name="Normal 30 4 8 3" xfId="33853" xr:uid="{00000000-0005-0000-0000-0000AE810000}"/>
    <cellStyle name="Normal 30 4 8 4" xfId="33854" xr:uid="{00000000-0005-0000-0000-0000AF810000}"/>
    <cellStyle name="Normal 30 4 8 5" xfId="33855" xr:uid="{00000000-0005-0000-0000-0000B0810000}"/>
    <cellStyle name="Normal 30 4 8 6" xfId="33856" xr:uid="{00000000-0005-0000-0000-0000B1810000}"/>
    <cellStyle name="Normal 30 4 9" xfId="33857" xr:uid="{00000000-0005-0000-0000-0000B2810000}"/>
    <cellStyle name="Normal 30 5" xfId="2432" xr:uid="{00000000-0005-0000-0000-0000B3810000}"/>
    <cellStyle name="Normal 30 5 10" xfId="33858" xr:uid="{00000000-0005-0000-0000-0000B4810000}"/>
    <cellStyle name="Normal 30 5 11" xfId="33859" xr:uid="{00000000-0005-0000-0000-0000B5810000}"/>
    <cellStyle name="Normal 30 5 12" xfId="33860" xr:uid="{00000000-0005-0000-0000-0000B6810000}"/>
    <cellStyle name="Normal 30 5 13" xfId="33861" xr:uid="{00000000-0005-0000-0000-0000B7810000}"/>
    <cellStyle name="Normal 30 5 2" xfId="33862" xr:uid="{00000000-0005-0000-0000-0000B8810000}"/>
    <cellStyle name="Normal 30 5 2 2" xfId="33863" xr:uid="{00000000-0005-0000-0000-0000B9810000}"/>
    <cellStyle name="Normal 30 5 2 3" xfId="33864" xr:uid="{00000000-0005-0000-0000-0000BA810000}"/>
    <cellStyle name="Normal 30 5 2 4" xfId="33865" xr:uid="{00000000-0005-0000-0000-0000BB810000}"/>
    <cellStyle name="Normal 30 5 2 5" xfId="33866" xr:uid="{00000000-0005-0000-0000-0000BC810000}"/>
    <cellStyle name="Normal 30 5 2 6" xfId="33867" xr:uid="{00000000-0005-0000-0000-0000BD810000}"/>
    <cellStyle name="Normal 30 5 3" xfId="33868" xr:uid="{00000000-0005-0000-0000-0000BE810000}"/>
    <cellStyle name="Normal 30 5 3 2" xfId="33869" xr:uid="{00000000-0005-0000-0000-0000BF810000}"/>
    <cellStyle name="Normal 30 5 3 3" xfId="33870" xr:uid="{00000000-0005-0000-0000-0000C0810000}"/>
    <cellStyle name="Normal 30 5 3 4" xfId="33871" xr:uid="{00000000-0005-0000-0000-0000C1810000}"/>
    <cellStyle name="Normal 30 5 3 5" xfId="33872" xr:uid="{00000000-0005-0000-0000-0000C2810000}"/>
    <cellStyle name="Normal 30 5 3 6" xfId="33873" xr:uid="{00000000-0005-0000-0000-0000C3810000}"/>
    <cellStyle name="Normal 30 5 4" xfId="33874" xr:uid="{00000000-0005-0000-0000-0000C4810000}"/>
    <cellStyle name="Normal 30 5 4 2" xfId="33875" xr:uid="{00000000-0005-0000-0000-0000C5810000}"/>
    <cellStyle name="Normal 30 5 4 3" xfId="33876" xr:uid="{00000000-0005-0000-0000-0000C6810000}"/>
    <cellStyle name="Normal 30 5 4 4" xfId="33877" xr:uid="{00000000-0005-0000-0000-0000C7810000}"/>
    <cellStyle name="Normal 30 5 4 5" xfId="33878" xr:uid="{00000000-0005-0000-0000-0000C8810000}"/>
    <cellStyle name="Normal 30 5 4 6" xfId="33879" xr:uid="{00000000-0005-0000-0000-0000C9810000}"/>
    <cellStyle name="Normal 30 5 5" xfId="33880" xr:uid="{00000000-0005-0000-0000-0000CA810000}"/>
    <cellStyle name="Normal 30 5 5 2" xfId="33881" xr:uid="{00000000-0005-0000-0000-0000CB810000}"/>
    <cellStyle name="Normal 30 5 5 3" xfId="33882" xr:uid="{00000000-0005-0000-0000-0000CC810000}"/>
    <cellStyle name="Normal 30 5 5 4" xfId="33883" xr:uid="{00000000-0005-0000-0000-0000CD810000}"/>
    <cellStyle name="Normal 30 5 5 5" xfId="33884" xr:uid="{00000000-0005-0000-0000-0000CE810000}"/>
    <cellStyle name="Normal 30 5 5 6" xfId="33885" xr:uid="{00000000-0005-0000-0000-0000CF810000}"/>
    <cellStyle name="Normal 30 5 6" xfId="33886" xr:uid="{00000000-0005-0000-0000-0000D0810000}"/>
    <cellStyle name="Normal 30 5 6 2" xfId="33887" xr:uid="{00000000-0005-0000-0000-0000D1810000}"/>
    <cellStyle name="Normal 30 5 6 3" xfId="33888" xr:uid="{00000000-0005-0000-0000-0000D2810000}"/>
    <cellStyle name="Normal 30 5 6 4" xfId="33889" xr:uid="{00000000-0005-0000-0000-0000D3810000}"/>
    <cellStyle name="Normal 30 5 6 5" xfId="33890" xr:uid="{00000000-0005-0000-0000-0000D4810000}"/>
    <cellStyle name="Normal 30 5 6 6" xfId="33891" xr:uid="{00000000-0005-0000-0000-0000D5810000}"/>
    <cellStyle name="Normal 30 5 7" xfId="33892" xr:uid="{00000000-0005-0000-0000-0000D6810000}"/>
    <cellStyle name="Normal 30 5 7 2" xfId="33893" xr:uid="{00000000-0005-0000-0000-0000D7810000}"/>
    <cellStyle name="Normal 30 5 7 3" xfId="33894" xr:uid="{00000000-0005-0000-0000-0000D8810000}"/>
    <cellStyle name="Normal 30 5 7 4" xfId="33895" xr:uid="{00000000-0005-0000-0000-0000D9810000}"/>
    <cellStyle name="Normal 30 5 7 5" xfId="33896" xr:uid="{00000000-0005-0000-0000-0000DA810000}"/>
    <cellStyle name="Normal 30 5 7 6" xfId="33897" xr:uid="{00000000-0005-0000-0000-0000DB810000}"/>
    <cellStyle name="Normal 30 5 8" xfId="33898" xr:uid="{00000000-0005-0000-0000-0000DC810000}"/>
    <cellStyle name="Normal 30 5 8 2" xfId="33899" xr:uid="{00000000-0005-0000-0000-0000DD810000}"/>
    <cellStyle name="Normal 30 5 8 3" xfId="33900" xr:uid="{00000000-0005-0000-0000-0000DE810000}"/>
    <cellStyle name="Normal 30 5 8 4" xfId="33901" xr:uid="{00000000-0005-0000-0000-0000DF810000}"/>
    <cellStyle name="Normal 30 5 8 5" xfId="33902" xr:uid="{00000000-0005-0000-0000-0000E0810000}"/>
    <cellStyle name="Normal 30 5 8 6" xfId="33903" xr:uid="{00000000-0005-0000-0000-0000E1810000}"/>
    <cellStyle name="Normal 30 5 9" xfId="33904" xr:uid="{00000000-0005-0000-0000-0000E2810000}"/>
    <cellStyle name="Normal 30 6" xfId="2372" xr:uid="{00000000-0005-0000-0000-0000E3810000}"/>
    <cellStyle name="Normal 30 6 10" xfId="33905" xr:uid="{00000000-0005-0000-0000-0000E4810000}"/>
    <cellStyle name="Normal 30 6 11" xfId="33906" xr:uid="{00000000-0005-0000-0000-0000E5810000}"/>
    <cellStyle name="Normal 30 6 12" xfId="33907" xr:uid="{00000000-0005-0000-0000-0000E6810000}"/>
    <cellStyle name="Normal 30 6 13" xfId="33908" xr:uid="{00000000-0005-0000-0000-0000E7810000}"/>
    <cellStyle name="Normal 30 6 2" xfId="33909" xr:uid="{00000000-0005-0000-0000-0000E8810000}"/>
    <cellStyle name="Normal 30 6 2 2" xfId="33910" xr:uid="{00000000-0005-0000-0000-0000E9810000}"/>
    <cellStyle name="Normal 30 6 2 3" xfId="33911" xr:uid="{00000000-0005-0000-0000-0000EA810000}"/>
    <cellStyle name="Normal 30 6 2 4" xfId="33912" xr:uid="{00000000-0005-0000-0000-0000EB810000}"/>
    <cellStyle name="Normal 30 6 2 5" xfId="33913" xr:uid="{00000000-0005-0000-0000-0000EC810000}"/>
    <cellStyle name="Normal 30 6 2 6" xfId="33914" xr:uid="{00000000-0005-0000-0000-0000ED810000}"/>
    <cellStyle name="Normal 30 6 3" xfId="33915" xr:uid="{00000000-0005-0000-0000-0000EE810000}"/>
    <cellStyle name="Normal 30 6 3 2" xfId="33916" xr:uid="{00000000-0005-0000-0000-0000EF810000}"/>
    <cellStyle name="Normal 30 6 3 3" xfId="33917" xr:uid="{00000000-0005-0000-0000-0000F0810000}"/>
    <cellStyle name="Normal 30 6 3 4" xfId="33918" xr:uid="{00000000-0005-0000-0000-0000F1810000}"/>
    <cellStyle name="Normal 30 6 3 5" xfId="33919" xr:uid="{00000000-0005-0000-0000-0000F2810000}"/>
    <cellStyle name="Normal 30 6 3 6" xfId="33920" xr:uid="{00000000-0005-0000-0000-0000F3810000}"/>
    <cellStyle name="Normal 30 6 4" xfId="33921" xr:uid="{00000000-0005-0000-0000-0000F4810000}"/>
    <cellStyle name="Normal 30 6 4 2" xfId="33922" xr:uid="{00000000-0005-0000-0000-0000F5810000}"/>
    <cellStyle name="Normal 30 6 4 3" xfId="33923" xr:uid="{00000000-0005-0000-0000-0000F6810000}"/>
    <cellStyle name="Normal 30 6 4 4" xfId="33924" xr:uid="{00000000-0005-0000-0000-0000F7810000}"/>
    <cellStyle name="Normal 30 6 4 5" xfId="33925" xr:uid="{00000000-0005-0000-0000-0000F8810000}"/>
    <cellStyle name="Normal 30 6 4 6" xfId="33926" xr:uid="{00000000-0005-0000-0000-0000F9810000}"/>
    <cellStyle name="Normal 30 6 5" xfId="33927" xr:uid="{00000000-0005-0000-0000-0000FA810000}"/>
    <cellStyle name="Normal 30 6 5 2" xfId="33928" xr:uid="{00000000-0005-0000-0000-0000FB810000}"/>
    <cellStyle name="Normal 30 6 5 3" xfId="33929" xr:uid="{00000000-0005-0000-0000-0000FC810000}"/>
    <cellStyle name="Normal 30 6 5 4" xfId="33930" xr:uid="{00000000-0005-0000-0000-0000FD810000}"/>
    <cellStyle name="Normal 30 6 5 5" xfId="33931" xr:uid="{00000000-0005-0000-0000-0000FE810000}"/>
    <cellStyle name="Normal 30 6 5 6" xfId="33932" xr:uid="{00000000-0005-0000-0000-0000FF810000}"/>
    <cellStyle name="Normal 30 6 6" xfId="33933" xr:uid="{00000000-0005-0000-0000-000000820000}"/>
    <cellStyle name="Normal 30 6 6 2" xfId="33934" xr:uid="{00000000-0005-0000-0000-000001820000}"/>
    <cellStyle name="Normal 30 6 6 3" xfId="33935" xr:uid="{00000000-0005-0000-0000-000002820000}"/>
    <cellStyle name="Normal 30 6 6 4" xfId="33936" xr:uid="{00000000-0005-0000-0000-000003820000}"/>
    <cellStyle name="Normal 30 6 6 5" xfId="33937" xr:uid="{00000000-0005-0000-0000-000004820000}"/>
    <cellStyle name="Normal 30 6 6 6" xfId="33938" xr:uid="{00000000-0005-0000-0000-000005820000}"/>
    <cellStyle name="Normal 30 6 7" xfId="33939" xr:uid="{00000000-0005-0000-0000-000006820000}"/>
    <cellStyle name="Normal 30 6 7 2" xfId="33940" xr:uid="{00000000-0005-0000-0000-000007820000}"/>
    <cellStyle name="Normal 30 6 7 3" xfId="33941" xr:uid="{00000000-0005-0000-0000-000008820000}"/>
    <cellStyle name="Normal 30 6 7 4" xfId="33942" xr:uid="{00000000-0005-0000-0000-000009820000}"/>
    <cellStyle name="Normal 30 6 7 5" xfId="33943" xr:uid="{00000000-0005-0000-0000-00000A820000}"/>
    <cellStyle name="Normal 30 6 7 6" xfId="33944" xr:uid="{00000000-0005-0000-0000-00000B820000}"/>
    <cellStyle name="Normal 30 6 8" xfId="33945" xr:uid="{00000000-0005-0000-0000-00000C820000}"/>
    <cellStyle name="Normal 30 6 8 2" xfId="33946" xr:uid="{00000000-0005-0000-0000-00000D820000}"/>
    <cellStyle name="Normal 30 6 8 3" xfId="33947" xr:uid="{00000000-0005-0000-0000-00000E820000}"/>
    <cellStyle name="Normal 30 6 8 4" xfId="33948" xr:uid="{00000000-0005-0000-0000-00000F820000}"/>
    <cellStyle name="Normal 30 6 8 5" xfId="33949" xr:uid="{00000000-0005-0000-0000-000010820000}"/>
    <cellStyle name="Normal 30 6 8 6" xfId="33950" xr:uid="{00000000-0005-0000-0000-000011820000}"/>
    <cellStyle name="Normal 30 6 9" xfId="33951" xr:uid="{00000000-0005-0000-0000-000012820000}"/>
    <cellStyle name="Normal 30 7" xfId="33952" xr:uid="{00000000-0005-0000-0000-000013820000}"/>
    <cellStyle name="Normal 30 7 10" xfId="33953" xr:uid="{00000000-0005-0000-0000-000014820000}"/>
    <cellStyle name="Normal 30 7 11" xfId="33954" xr:uid="{00000000-0005-0000-0000-000015820000}"/>
    <cellStyle name="Normal 30 7 12" xfId="33955" xr:uid="{00000000-0005-0000-0000-000016820000}"/>
    <cellStyle name="Normal 30 7 13" xfId="33956" xr:uid="{00000000-0005-0000-0000-000017820000}"/>
    <cellStyle name="Normal 30 7 2" xfId="33957" xr:uid="{00000000-0005-0000-0000-000018820000}"/>
    <cellStyle name="Normal 30 7 2 2" xfId="33958" xr:uid="{00000000-0005-0000-0000-000019820000}"/>
    <cellStyle name="Normal 30 7 2 3" xfId="33959" xr:uid="{00000000-0005-0000-0000-00001A820000}"/>
    <cellStyle name="Normal 30 7 2 4" xfId="33960" xr:uid="{00000000-0005-0000-0000-00001B820000}"/>
    <cellStyle name="Normal 30 7 2 5" xfId="33961" xr:uid="{00000000-0005-0000-0000-00001C820000}"/>
    <cellStyle name="Normal 30 7 2 6" xfId="33962" xr:uid="{00000000-0005-0000-0000-00001D820000}"/>
    <cellStyle name="Normal 30 7 3" xfId="33963" xr:uid="{00000000-0005-0000-0000-00001E820000}"/>
    <cellStyle name="Normal 30 7 3 2" xfId="33964" xr:uid="{00000000-0005-0000-0000-00001F820000}"/>
    <cellStyle name="Normal 30 7 3 3" xfId="33965" xr:uid="{00000000-0005-0000-0000-000020820000}"/>
    <cellStyle name="Normal 30 7 3 4" xfId="33966" xr:uid="{00000000-0005-0000-0000-000021820000}"/>
    <cellStyle name="Normal 30 7 3 5" xfId="33967" xr:uid="{00000000-0005-0000-0000-000022820000}"/>
    <cellStyle name="Normal 30 7 3 6" xfId="33968" xr:uid="{00000000-0005-0000-0000-000023820000}"/>
    <cellStyle name="Normal 30 7 4" xfId="33969" xr:uid="{00000000-0005-0000-0000-000024820000}"/>
    <cellStyle name="Normal 30 7 4 2" xfId="33970" xr:uid="{00000000-0005-0000-0000-000025820000}"/>
    <cellStyle name="Normal 30 7 4 3" xfId="33971" xr:uid="{00000000-0005-0000-0000-000026820000}"/>
    <cellStyle name="Normal 30 7 4 4" xfId="33972" xr:uid="{00000000-0005-0000-0000-000027820000}"/>
    <cellStyle name="Normal 30 7 4 5" xfId="33973" xr:uid="{00000000-0005-0000-0000-000028820000}"/>
    <cellStyle name="Normal 30 7 4 6" xfId="33974" xr:uid="{00000000-0005-0000-0000-000029820000}"/>
    <cellStyle name="Normal 30 7 5" xfId="33975" xr:uid="{00000000-0005-0000-0000-00002A820000}"/>
    <cellStyle name="Normal 30 7 5 2" xfId="33976" xr:uid="{00000000-0005-0000-0000-00002B820000}"/>
    <cellStyle name="Normal 30 7 5 3" xfId="33977" xr:uid="{00000000-0005-0000-0000-00002C820000}"/>
    <cellStyle name="Normal 30 7 5 4" xfId="33978" xr:uid="{00000000-0005-0000-0000-00002D820000}"/>
    <cellStyle name="Normal 30 7 5 5" xfId="33979" xr:uid="{00000000-0005-0000-0000-00002E820000}"/>
    <cellStyle name="Normal 30 7 5 6" xfId="33980" xr:uid="{00000000-0005-0000-0000-00002F820000}"/>
    <cellStyle name="Normal 30 7 6" xfId="33981" xr:uid="{00000000-0005-0000-0000-000030820000}"/>
    <cellStyle name="Normal 30 7 6 2" xfId="33982" xr:uid="{00000000-0005-0000-0000-000031820000}"/>
    <cellStyle name="Normal 30 7 6 3" xfId="33983" xr:uid="{00000000-0005-0000-0000-000032820000}"/>
    <cellStyle name="Normal 30 7 6 4" xfId="33984" xr:uid="{00000000-0005-0000-0000-000033820000}"/>
    <cellStyle name="Normal 30 7 6 5" xfId="33985" xr:uid="{00000000-0005-0000-0000-000034820000}"/>
    <cellStyle name="Normal 30 7 6 6" xfId="33986" xr:uid="{00000000-0005-0000-0000-000035820000}"/>
    <cellStyle name="Normal 30 7 7" xfId="33987" xr:uid="{00000000-0005-0000-0000-000036820000}"/>
    <cellStyle name="Normal 30 7 7 2" xfId="33988" xr:uid="{00000000-0005-0000-0000-000037820000}"/>
    <cellStyle name="Normal 30 7 7 3" xfId="33989" xr:uid="{00000000-0005-0000-0000-000038820000}"/>
    <cellStyle name="Normal 30 7 7 4" xfId="33990" xr:uid="{00000000-0005-0000-0000-000039820000}"/>
    <cellStyle name="Normal 30 7 7 5" xfId="33991" xr:uid="{00000000-0005-0000-0000-00003A820000}"/>
    <cellStyle name="Normal 30 7 7 6" xfId="33992" xr:uid="{00000000-0005-0000-0000-00003B820000}"/>
    <cellStyle name="Normal 30 7 8" xfId="33993" xr:uid="{00000000-0005-0000-0000-00003C820000}"/>
    <cellStyle name="Normal 30 7 8 2" xfId="33994" xr:uid="{00000000-0005-0000-0000-00003D820000}"/>
    <cellStyle name="Normal 30 7 8 3" xfId="33995" xr:uid="{00000000-0005-0000-0000-00003E820000}"/>
    <cellStyle name="Normal 30 7 8 4" xfId="33996" xr:uid="{00000000-0005-0000-0000-00003F820000}"/>
    <cellStyle name="Normal 30 7 8 5" xfId="33997" xr:uid="{00000000-0005-0000-0000-000040820000}"/>
    <cellStyle name="Normal 30 7 8 6" xfId="33998" xr:uid="{00000000-0005-0000-0000-000041820000}"/>
    <cellStyle name="Normal 30 7 9" xfId="33999" xr:uid="{00000000-0005-0000-0000-000042820000}"/>
    <cellStyle name="Normal 30 8" xfId="34000" xr:uid="{00000000-0005-0000-0000-000043820000}"/>
    <cellStyle name="Normal 30 8 10" xfId="34001" xr:uid="{00000000-0005-0000-0000-000044820000}"/>
    <cellStyle name="Normal 30 8 11" xfId="34002" xr:uid="{00000000-0005-0000-0000-000045820000}"/>
    <cellStyle name="Normal 30 8 12" xfId="34003" xr:uid="{00000000-0005-0000-0000-000046820000}"/>
    <cellStyle name="Normal 30 8 13" xfId="34004" xr:uid="{00000000-0005-0000-0000-000047820000}"/>
    <cellStyle name="Normal 30 8 2" xfId="34005" xr:uid="{00000000-0005-0000-0000-000048820000}"/>
    <cellStyle name="Normal 30 8 2 2" xfId="34006" xr:uid="{00000000-0005-0000-0000-000049820000}"/>
    <cellStyle name="Normal 30 8 2 3" xfId="34007" xr:uid="{00000000-0005-0000-0000-00004A820000}"/>
    <cellStyle name="Normal 30 8 2 4" xfId="34008" xr:uid="{00000000-0005-0000-0000-00004B820000}"/>
    <cellStyle name="Normal 30 8 2 5" xfId="34009" xr:uid="{00000000-0005-0000-0000-00004C820000}"/>
    <cellStyle name="Normal 30 8 2 6" xfId="34010" xr:uid="{00000000-0005-0000-0000-00004D820000}"/>
    <cellStyle name="Normal 30 8 3" xfId="34011" xr:uid="{00000000-0005-0000-0000-00004E820000}"/>
    <cellStyle name="Normal 30 8 3 2" xfId="34012" xr:uid="{00000000-0005-0000-0000-00004F820000}"/>
    <cellStyle name="Normal 30 8 3 3" xfId="34013" xr:uid="{00000000-0005-0000-0000-000050820000}"/>
    <cellStyle name="Normal 30 8 3 4" xfId="34014" xr:uid="{00000000-0005-0000-0000-000051820000}"/>
    <cellStyle name="Normal 30 8 3 5" xfId="34015" xr:uid="{00000000-0005-0000-0000-000052820000}"/>
    <cellStyle name="Normal 30 8 3 6" xfId="34016" xr:uid="{00000000-0005-0000-0000-000053820000}"/>
    <cellStyle name="Normal 30 8 4" xfId="34017" xr:uid="{00000000-0005-0000-0000-000054820000}"/>
    <cellStyle name="Normal 30 8 4 2" xfId="34018" xr:uid="{00000000-0005-0000-0000-000055820000}"/>
    <cellStyle name="Normal 30 8 4 3" xfId="34019" xr:uid="{00000000-0005-0000-0000-000056820000}"/>
    <cellStyle name="Normal 30 8 4 4" xfId="34020" xr:uid="{00000000-0005-0000-0000-000057820000}"/>
    <cellStyle name="Normal 30 8 4 5" xfId="34021" xr:uid="{00000000-0005-0000-0000-000058820000}"/>
    <cellStyle name="Normal 30 8 4 6" xfId="34022" xr:uid="{00000000-0005-0000-0000-000059820000}"/>
    <cellStyle name="Normal 30 8 5" xfId="34023" xr:uid="{00000000-0005-0000-0000-00005A820000}"/>
    <cellStyle name="Normal 30 8 5 2" xfId="34024" xr:uid="{00000000-0005-0000-0000-00005B820000}"/>
    <cellStyle name="Normal 30 8 5 3" xfId="34025" xr:uid="{00000000-0005-0000-0000-00005C820000}"/>
    <cellStyle name="Normal 30 8 5 4" xfId="34026" xr:uid="{00000000-0005-0000-0000-00005D820000}"/>
    <cellStyle name="Normal 30 8 5 5" xfId="34027" xr:uid="{00000000-0005-0000-0000-00005E820000}"/>
    <cellStyle name="Normal 30 8 5 6" xfId="34028" xr:uid="{00000000-0005-0000-0000-00005F820000}"/>
    <cellStyle name="Normal 30 8 6" xfId="34029" xr:uid="{00000000-0005-0000-0000-000060820000}"/>
    <cellStyle name="Normal 30 8 6 2" xfId="34030" xr:uid="{00000000-0005-0000-0000-000061820000}"/>
    <cellStyle name="Normal 30 8 6 3" xfId="34031" xr:uid="{00000000-0005-0000-0000-000062820000}"/>
    <cellStyle name="Normal 30 8 6 4" xfId="34032" xr:uid="{00000000-0005-0000-0000-000063820000}"/>
    <cellStyle name="Normal 30 8 6 5" xfId="34033" xr:uid="{00000000-0005-0000-0000-000064820000}"/>
    <cellStyle name="Normal 30 8 6 6" xfId="34034" xr:uid="{00000000-0005-0000-0000-000065820000}"/>
    <cellStyle name="Normal 30 8 7" xfId="34035" xr:uid="{00000000-0005-0000-0000-000066820000}"/>
    <cellStyle name="Normal 30 8 7 2" xfId="34036" xr:uid="{00000000-0005-0000-0000-000067820000}"/>
    <cellStyle name="Normal 30 8 7 3" xfId="34037" xr:uid="{00000000-0005-0000-0000-000068820000}"/>
    <cellStyle name="Normal 30 8 7 4" xfId="34038" xr:uid="{00000000-0005-0000-0000-000069820000}"/>
    <cellStyle name="Normal 30 8 7 5" xfId="34039" xr:uid="{00000000-0005-0000-0000-00006A820000}"/>
    <cellStyle name="Normal 30 8 7 6" xfId="34040" xr:uid="{00000000-0005-0000-0000-00006B820000}"/>
    <cellStyle name="Normal 30 8 8" xfId="34041" xr:uid="{00000000-0005-0000-0000-00006C820000}"/>
    <cellStyle name="Normal 30 8 8 2" xfId="34042" xr:uid="{00000000-0005-0000-0000-00006D820000}"/>
    <cellStyle name="Normal 30 8 8 3" xfId="34043" xr:uid="{00000000-0005-0000-0000-00006E820000}"/>
    <cellStyle name="Normal 30 8 8 4" xfId="34044" xr:uid="{00000000-0005-0000-0000-00006F820000}"/>
    <cellStyle name="Normal 30 8 8 5" xfId="34045" xr:uid="{00000000-0005-0000-0000-000070820000}"/>
    <cellStyle name="Normal 30 8 8 6" xfId="34046" xr:uid="{00000000-0005-0000-0000-000071820000}"/>
    <cellStyle name="Normal 30 8 9" xfId="34047" xr:uid="{00000000-0005-0000-0000-000072820000}"/>
    <cellStyle name="Normal 30 9" xfId="34048" xr:uid="{00000000-0005-0000-0000-000073820000}"/>
    <cellStyle name="Normal 30 9 10" xfId="34049" xr:uid="{00000000-0005-0000-0000-000074820000}"/>
    <cellStyle name="Normal 30 9 11" xfId="34050" xr:uid="{00000000-0005-0000-0000-000075820000}"/>
    <cellStyle name="Normal 30 9 12" xfId="34051" xr:uid="{00000000-0005-0000-0000-000076820000}"/>
    <cellStyle name="Normal 30 9 13" xfId="34052" xr:uid="{00000000-0005-0000-0000-000077820000}"/>
    <cellStyle name="Normal 30 9 2" xfId="34053" xr:uid="{00000000-0005-0000-0000-000078820000}"/>
    <cellStyle name="Normal 30 9 2 2" xfId="34054" xr:uid="{00000000-0005-0000-0000-000079820000}"/>
    <cellStyle name="Normal 30 9 2 3" xfId="34055" xr:uid="{00000000-0005-0000-0000-00007A820000}"/>
    <cellStyle name="Normal 30 9 2 4" xfId="34056" xr:uid="{00000000-0005-0000-0000-00007B820000}"/>
    <cellStyle name="Normal 30 9 2 5" xfId="34057" xr:uid="{00000000-0005-0000-0000-00007C820000}"/>
    <cellStyle name="Normal 30 9 2 6" xfId="34058" xr:uid="{00000000-0005-0000-0000-00007D820000}"/>
    <cellStyle name="Normal 30 9 3" xfId="34059" xr:uid="{00000000-0005-0000-0000-00007E820000}"/>
    <cellStyle name="Normal 30 9 3 2" xfId="34060" xr:uid="{00000000-0005-0000-0000-00007F820000}"/>
    <cellStyle name="Normal 30 9 3 3" xfId="34061" xr:uid="{00000000-0005-0000-0000-000080820000}"/>
    <cellStyle name="Normal 30 9 3 4" xfId="34062" xr:uid="{00000000-0005-0000-0000-000081820000}"/>
    <cellStyle name="Normal 30 9 3 5" xfId="34063" xr:uid="{00000000-0005-0000-0000-000082820000}"/>
    <cellStyle name="Normal 30 9 3 6" xfId="34064" xr:uid="{00000000-0005-0000-0000-000083820000}"/>
    <cellStyle name="Normal 30 9 4" xfId="34065" xr:uid="{00000000-0005-0000-0000-000084820000}"/>
    <cellStyle name="Normal 30 9 4 2" xfId="34066" xr:uid="{00000000-0005-0000-0000-000085820000}"/>
    <cellStyle name="Normal 30 9 4 3" xfId="34067" xr:uid="{00000000-0005-0000-0000-000086820000}"/>
    <cellStyle name="Normal 30 9 4 4" xfId="34068" xr:uid="{00000000-0005-0000-0000-000087820000}"/>
    <cellStyle name="Normal 30 9 4 5" xfId="34069" xr:uid="{00000000-0005-0000-0000-000088820000}"/>
    <cellStyle name="Normal 30 9 4 6" xfId="34070" xr:uid="{00000000-0005-0000-0000-000089820000}"/>
    <cellStyle name="Normal 30 9 5" xfId="34071" xr:uid="{00000000-0005-0000-0000-00008A820000}"/>
    <cellStyle name="Normal 30 9 5 2" xfId="34072" xr:uid="{00000000-0005-0000-0000-00008B820000}"/>
    <cellStyle name="Normal 30 9 5 3" xfId="34073" xr:uid="{00000000-0005-0000-0000-00008C820000}"/>
    <cellStyle name="Normal 30 9 5 4" xfId="34074" xr:uid="{00000000-0005-0000-0000-00008D820000}"/>
    <cellStyle name="Normal 30 9 5 5" xfId="34075" xr:uid="{00000000-0005-0000-0000-00008E820000}"/>
    <cellStyle name="Normal 30 9 5 6" xfId="34076" xr:uid="{00000000-0005-0000-0000-00008F820000}"/>
    <cellStyle name="Normal 30 9 6" xfId="34077" xr:uid="{00000000-0005-0000-0000-000090820000}"/>
    <cellStyle name="Normal 30 9 6 2" xfId="34078" xr:uid="{00000000-0005-0000-0000-000091820000}"/>
    <cellStyle name="Normal 30 9 6 3" xfId="34079" xr:uid="{00000000-0005-0000-0000-000092820000}"/>
    <cellStyle name="Normal 30 9 6 4" xfId="34080" xr:uid="{00000000-0005-0000-0000-000093820000}"/>
    <cellStyle name="Normal 30 9 6 5" xfId="34081" xr:uid="{00000000-0005-0000-0000-000094820000}"/>
    <cellStyle name="Normal 30 9 6 6" xfId="34082" xr:uid="{00000000-0005-0000-0000-000095820000}"/>
    <cellStyle name="Normal 30 9 7" xfId="34083" xr:uid="{00000000-0005-0000-0000-000096820000}"/>
    <cellStyle name="Normal 30 9 7 2" xfId="34084" xr:uid="{00000000-0005-0000-0000-000097820000}"/>
    <cellStyle name="Normal 30 9 7 3" xfId="34085" xr:uid="{00000000-0005-0000-0000-000098820000}"/>
    <cellStyle name="Normal 30 9 7 4" xfId="34086" xr:uid="{00000000-0005-0000-0000-000099820000}"/>
    <cellStyle name="Normal 30 9 7 5" xfId="34087" xr:uid="{00000000-0005-0000-0000-00009A820000}"/>
    <cellStyle name="Normal 30 9 7 6" xfId="34088" xr:uid="{00000000-0005-0000-0000-00009B820000}"/>
    <cellStyle name="Normal 30 9 8" xfId="34089" xr:uid="{00000000-0005-0000-0000-00009C820000}"/>
    <cellStyle name="Normal 30 9 8 2" xfId="34090" xr:uid="{00000000-0005-0000-0000-00009D820000}"/>
    <cellStyle name="Normal 30 9 8 3" xfId="34091" xr:uid="{00000000-0005-0000-0000-00009E820000}"/>
    <cellStyle name="Normal 30 9 8 4" xfId="34092" xr:uid="{00000000-0005-0000-0000-00009F820000}"/>
    <cellStyle name="Normal 30 9 8 5" xfId="34093" xr:uid="{00000000-0005-0000-0000-0000A0820000}"/>
    <cellStyle name="Normal 30 9 8 6" xfId="34094" xr:uid="{00000000-0005-0000-0000-0000A1820000}"/>
    <cellStyle name="Normal 30 9 9" xfId="34095" xr:uid="{00000000-0005-0000-0000-0000A2820000}"/>
    <cellStyle name="Normal 31" xfId="1811" xr:uid="{00000000-0005-0000-0000-0000A3820000}"/>
    <cellStyle name="Normal 31 10" xfId="34096" xr:uid="{00000000-0005-0000-0000-0000A4820000}"/>
    <cellStyle name="Normal 31 10 10" xfId="34097" xr:uid="{00000000-0005-0000-0000-0000A5820000}"/>
    <cellStyle name="Normal 31 10 11" xfId="34098" xr:uid="{00000000-0005-0000-0000-0000A6820000}"/>
    <cellStyle name="Normal 31 10 12" xfId="34099" xr:uid="{00000000-0005-0000-0000-0000A7820000}"/>
    <cellStyle name="Normal 31 10 13" xfId="34100" xr:uid="{00000000-0005-0000-0000-0000A8820000}"/>
    <cellStyle name="Normal 31 10 2" xfId="34101" xr:uid="{00000000-0005-0000-0000-0000A9820000}"/>
    <cellStyle name="Normal 31 10 2 2" xfId="34102" xr:uid="{00000000-0005-0000-0000-0000AA820000}"/>
    <cellStyle name="Normal 31 10 2 3" xfId="34103" xr:uid="{00000000-0005-0000-0000-0000AB820000}"/>
    <cellStyle name="Normal 31 10 2 4" xfId="34104" xr:uid="{00000000-0005-0000-0000-0000AC820000}"/>
    <cellStyle name="Normal 31 10 2 5" xfId="34105" xr:uid="{00000000-0005-0000-0000-0000AD820000}"/>
    <cellStyle name="Normal 31 10 2 6" xfId="34106" xr:uid="{00000000-0005-0000-0000-0000AE820000}"/>
    <cellStyle name="Normal 31 10 3" xfId="34107" xr:uid="{00000000-0005-0000-0000-0000AF820000}"/>
    <cellStyle name="Normal 31 10 3 2" xfId="34108" xr:uid="{00000000-0005-0000-0000-0000B0820000}"/>
    <cellStyle name="Normal 31 10 3 3" xfId="34109" xr:uid="{00000000-0005-0000-0000-0000B1820000}"/>
    <cellStyle name="Normal 31 10 3 4" xfId="34110" xr:uid="{00000000-0005-0000-0000-0000B2820000}"/>
    <cellStyle name="Normal 31 10 3 5" xfId="34111" xr:uid="{00000000-0005-0000-0000-0000B3820000}"/>
    <cellStyle name="Normal 31 10 3 6" xfId="34112" xr:uid="{00000000-0005-0000-0000-0000B4820000}"/>
    <cellStyle name="Normal 31 10 4" xfId="34113" xr:uid="{00000000-0005-0000-0000-0000B5820000}"/>
    <cellStyle name="Normal 31 10 4 2" xfId="34114" xr:uid="{00000000-0005-0000-0000-0000B6820000}"/>
    <cellStyle name="Normal 31 10 4 3" xfId="34115" xr:uid="{00000000-0005-0000-0000-0000B7820000}"/>
    <cellStyle name="Normal 31 10 4 4" xfId="34116" xr:uid="{00000000-0005-0000-0000-0000B8820000}"/>
    <cellStyle name="Normal 31 10 4 5" xfId="34117" xr:uid="{00000000-0005-0000-0000-0000B9820000}"/>
    <cellStyle name="Normal 31 10 4 6" xfId="34118" xr:uid="{00000000-0005-0000-0000-0000BA820000}"/>
    <cellStyle name="Normal 31 10 5" xfId="34119" xr:uid="{00000000-0005-0000-0000-0000BB820000}"/>
    <cellStyle name="Normal 31 10 5 2" xfId="34120" xr:uid="{00000000-0005-0000-0000-0000BC820000}"/>
    <cellStyle name="Normal 31 10 5 3" xfId="34121" xr:uid="{00000000-0005-0000-0000-0000BD820000}"/>
    <cellStyle name="Normal 31 10 5 4" xfId="34122" xr:uid="{00000000-0005-0000-0000-0000BE820000}"/>
    <cellStyle name="Normal 31 10 5 5" xfId="34123" xr:uid="{00000000-0005-0000-0000-0000BF820000}"/>
    <cellStyle name="Normal 31 10 5 6" xfId="34124" xr:uid="{00000000-0005-0000-0000-0000C0820000}"/>
    <cellStyle name="Normal 31 10 6" xfId="34125" xr:uid="{00000000-0005-0000-0000-0000C1820000}"/>
    <cellStyle name="Normal 31 10 6 2" xfId="34126" xr:uid="{00000000-0005-0000-0000-0000C2820000}"/>
    <cellStyle name="Normal 31 10 6 3" xfId="34127" xr:uid="{00000000-0005-0000-0000-0000C3820000}"/>
    <cellStyle name="Normal 31 10 6 4" xfId="34128" xr:uid="{00000000-0005-0000-0000-0000C4820000}"/>
    <cellStyle name="Normal 31 10 6 5" xfId="34129" xr:uid="{00000000-0005-0000-0000-0000C5820000}"/>
    <cellStyle name="Normal 31 10 6 6" xfId="34130" xr:uid="{00000000-0005-0000-0000-0000C6820000}"/>
    <cellStyle name="Normal 31 10 7" xfId="34131" xr:uid="{00000000-0005-0000-0000-0000C7820000}"/>
    <cellStyle name="Normal 31 10 7 2" xfId="34132" xr:uid="{00000000-0005-0000-0000-0000C8820000}"/>
    <cellStyle name="Normal 31 10 7 3" xfId="34133" xr:uid="{00000000-0005-0000-0000-0000C9820000}"/>
    <cellStyle name="Normal 31 10 7 4" xfId="34134" xr:uid="{00000000-0005-0000-0000-0000CA820000}"/>
    <cellStyle name="Normal 31 10 7 5" xfId="34135" xr:uid="{00000000-0005-0000-0000-0000CB820000}"/>
    <cellStyle name="Normal 31 10 7 6" xfId="34136" xr:uid="{00000000-0005-0000-0000-0000CC820000}"/>
    <cellStyle name="Normal 31 10 8" xfId="34137" xr:uid="{00000000-0005-0000-0000-0000CD820000}"/>
    <cellStyle name="Normal 31 10 8 2" xfId="34138" xr:uid="{00000000-0005-0000-0000-0000CE820000}"/>
    <cellStyle name="Normal 31 10 8 3" xfId="34139" xr:uid="{00000000-0005-0000-0000-0000CF820000}"/>
    <cellStyle name="Normal 31 10 8 4" xfId="34140" xr:uid="{00000000-0005-0000-0000-0000D0820000}"/>
    <cellStyle name="Normal 31 10 8 5" xfId="34141" xr:uid="{00000000-0005-0000-0000-0000D1820000}"/>
    <cellStyle name="Normal 31 10 8 6" xfId="34142" xr:uid="{00000000-0005-0000-0000-0000D2820000}"/>
    <cellStyle name="Normal 31 10 9" xfId="34143" xr:uid="{00000000-0005-0000-0000-0000D3820000}"/>
    <cellStyle name="Normal 31 11" xfId="34144" xr:uid="{00000000-0005-0000-0000-0000D4820000}"/>
    <cellStyle name="Normal 31 11 10" xfId="34145" xr:uid="{00000000-0005-0000-0000-0000D5820000}"/>
    <cellStyle name="Normal 31 11 11" xfId="34146" xr:uid="{00000000-0005-0000-0000-0000D6820000}"/>
    <cellStyle name="Normal 31 11 12" xfId="34147" xr:uid="{00000000-0005-0000-0000-0000D7820000}"/>
    <cellStyle name="Normal 31 11 13" xfId="34148" xr:uid="{00000000-0005-0000-0000-0000D8820000}"/>
    <cellStyle name="Normal 31 11 2" xfId="34149" xr:uid="{00000000-0005-0000-0000-0000D9820000}"/>
    <cellStyle name="Normal 31 11 2 2" xfId="34150" xr:uid="{00000000-0005-0000-0000-0000DA820000}"/>
    <cellStyle name="Normal 31 11 2 3" xfId="34151" xr:uid="{00000000-0005-0000-0000-0000DB820000}"/>
    <cellStyle name="Normal 31 11 2 4" xfId="34152" xr:uid="{00000000-0005-0000-0000-0000DC820000}"/>
    <cellStyle name="Normal 31 11 2 5" xfId="34153" xr:uid="{00000000-0005-0000-0000-0000DD820000}"/>
    <cellStyle name="Normal 31 11 2 6" xfId="34154" xr:uid="{00000000-0005-0000-0000-0000DE820000}"/>
    <cellStyle name="Normal 31 11 3" xfId="34155" xr:uid="{00000000-0005-0000-0000-0000DF820000}"/>
    <cellStyle name="Normal 31 11 3 2" xfId="34156" xr:uid="{00000000-0005-0000-0000-0000E0820000}"/>
    <cellStyle name="Normal 31 11 3 3" xfId="34157" xr:uid="{00000000-0005-0000-0000-0000E1820000}"/>
    <cellStyle name="Normal 31 11 3 4" xfId="34158" xr:uid="{00000000-0005-0000-0000-0000E2820000}"/>
    <cellStyle name="Normal 31 11 3 5" xfId="34159" xr:uid="{00000000-0005-0000-0000-0000E3820000}"/>
    <cellStyle name="Normal 31 11 3 6" xfId="34160" xr:uid="{00000000-0005-0000-0000-0000E4820000}"/>
    <cellStyle name="Normal 31 11 4" xfId="34161" xr:uid="{00000000-0005-0000-0000-0000E5820000}"/>
    <cellStyle name="Normal 31 11 4 2" xfId="34162" xr:uid="{00000000-0005-0000-0000-0000E6820000}"/>
    <cellStyle name="Normal 31 11 4 3" xfId="34163" xr:uid="{00000000-0005-0000-0000-0000E7820000}"/>
    <cellStyle name="Normal 31 11 4 4" xfId="34164" xr:uid="{00000000-0005-0000-0000-0000E8820000}"/>
    <cellStyle name="Normal 31 11 4 5" xfId="34165" xr:uid="{00000000-0005-0000-0000-0000E9820000}"/>
    <cellStyle name="Normal 31 11 4 6" xfId="34166" xr:uid="{00000000-0005-0000-0000-0000EA820000}"/>
    <cellStyle name="Normal 31 11 5" xfId="34167" xr:uid="{00000000-0005-0000-0000-0000EB820000}"/>
    <cellStyle name="Normal 31 11 5 2" xfId="34168" xr:uid="{00000000-0005-0000-0000-0000EC820000}"/>
    <cellStyle name="Normal 31 11 5 3" xfId="34169" xr:uid="{00000000-0005-0000-0000-0000ED820000}"/>
    <cellStyle name="Normal 31 11 5 4" xfId="34170" xr:uid="{00000000-0005-0000-0000-0000EE820000}"/>
    <cellStyle name="Normal 31 11 5 5" xfId="34171" xr:uid="{00000000-0005-0000-0000-0000EF820000}"/>
    <cellStyle name="Normal 31 11 5 6" xfId="34172" xr:uid="{00000000-0005-0000-0000-0000F0820000}"/>
    <cellStyle name="Normal 31 11 6" xfId="34173" xr:uid="{00000000-0005-0000-0000-0000F1820000}"/>
    <cellStyle name="Normal 31 11 6 2" xfId="34174" xr:uid="{00000000-0005-0000-0000-0000F2820000}"/>
    <cellStyle name="Normal 31 11 6 3" xfId="34175" xr:uid="{00000000-0005-0000-0000-0000F3820000}"/>
    <cellStyle name="Normal 31 11 6 4" xfId="34176" xr:uid="{00000000-0005-0000-0000-0000F4820000}"/>
    <cellStyle name="Normal 31 11 6 5" xfId="34177" xr:uid="{00000000-0005-0000-0000-0000F5820000}"/>
    <cellStyle name="Normal 31 11 6 6" xfId="34178" xr:uid="{00000000-0005-0000-0000-0000F6820000}"/>
    <cellStyle name="Normal 31 11 7" xfId="34179" xr:uid="{00000000-0005-0000-0000-0000F7820000}"/>
    <cellStyle name="Normal 31 11 7 2" xfId="34180" xr:uid="{00000000-0005-0000-0000-0000F8820000}"/>
    <cellStyle name="Normal 31 11 7 3" xfId="34181" xr:uid="{00000000-0005-0000-0000-0000F9820000}"/>
    <cellStyle name="Normal 31 11 7 4" xfId="34182" xr:uid="{00000000-0005-0000-0000-0000FA820000}"/>
    <cellStyle name="Normal 31 11 7 5" xfId="34183" xr:uid="{00000000-0005-0000-0000-0000FB820000}"/>
    <cellStyle name="Normal 31 11 7 6" xfId="34184" xr:uid="{00000000-0005-0000-0000-0000FC820000}"/>
    <cellStyle name="Normal 31 11 8" xfId="34185" xr:uid="{00000000-0005-0000-0000-0000FD820000}"/>
    <cellStyle name="Normal 31 11 8 2" xfId="34186" xr:uid="{00000000-0005-0000-0000-0000FE820000}"/>
    <cellStyle name="Normal 31 11 8 3" xfId="34187" xr:uid="{00000000-0005-0000-0000-0000FF820000}"/>
    <cellStyle name="Normal 31 11 8 4" xfId="34188" xr:uid="{00000000-0005-0000-0000-000000830000}"/>
    <cellStyle name="Normal 31 11 8 5" xfId="34189" xr:uid="{00000000-0005-0000-0000-000001830000}"/>
    <cellStyle name="Normal 31 11 8 6" xfId="34190" xr:uid="{00000000-0005-0000-0000-000002830000}"/>
    <cellStyle name="Normal 31 11 9" xfId="34191" xr:uid="{00000000-0005-0000-0000-000003830000}"/>
    <cellStyle name="Normal 31 12" xfId="34192" xr:uid="{00000000-0005-0000-0000-000004830000}"/>
    <cellStyle name="Normal 31 12 2" xfId="34193" xr:uid="{00000000-0005-0000-0000-000005830000}"/>
    <cellStyle name="Normal 31 12 3" xfId="34194" xr:uid="{00000000-0005-0000-0000-000006830000}"/>
    <cellStyle name="Normal 31 12 4" xfId="34195" xr:uid="{00000000-0005-0000-0000-000007830000}"/>
    <cellStyle name="Normal 31 12 5" xfId="34196" xr:uid="{00000000-0005-0000-0000-000008830000}"/>
    <cellStyle name="Normal 31 12 6" xfId="34197" xr:uid="{00000000-0005-0000-0000-000009830000}"/>
    <cellStyle name="Normal 31 13" xfId="34198" xr:uid="{00000000-0005-0000-0000-00000A830000}"/>
    <cellStyle name="Normal 31 13 2" xfId="34199" xr:uid="{00000000-0005-0000-0000-00000B830000}"/>
    <cellStyle name="Normal 31 13 3" xfId="34200" xr:uid="{00000000-0005-0000-0000-00000C830000}"/>
    <cellStyle name="Normal 31 13 4" xfId="34201" xr:uid="{00000000-0005-0000-0000-00000D830000}"/>
    <cellStyle name="Normal 31 13 5" xfId="34202" xr:uid="{00000000-0005-0000-0000-00000E830000}"/>
    <cellStyle name="Normal 31 13 6" xfId="34203" xr:uid="{00000000-0005-0000-0000-00000F830000}"/>
    <cellStyle name="Normal 31 14" xfId="34204" xr:uid="{00000000-0005-0000-0000-000010830000}"/>
    <cellStyle name="Normal 31 14 2" xfId="34205" xr:uid="{00000000-0005-0000-0000-000011830000}"/>
    <cellStyle name="Normal 31 14 3" xfId="34206" xr:uid="{00000000-0005-0000-0000-000012830000}"/>
    <cellStyle name="Normal 31 14 4" xfId="34207" xr:uid="{00000000-0005-0000-0000-000013830000}"/>
    <cellStyle name="Normal 31 14 5" xfId="34208" xr:uid="{00000000-0005-0000-0000-000014830000}"/>
    <cellStyle name="Normal 31 14 6" xfId="34209" xr:uid="{00000000-0005-0000-0000-000015830000}"/>
    <cellStyle name="Normal 31 15" xfId="34210" xr:uid="{00000000-0005-0000-0000-000016830000}"/>
    <cellStyle name="Normal 31 15 2" xfId="34211" xr:uid="{00000000-0005-0000-0000-000017830000}"/>
    <cellStyle name="Normal 31 15 3" xfId="34212" xr:uid="{00000000-0005-0000-0000-000018830000}"/>
    <cellStyle name="Normal 31 15 4" xfId="34213" xr:uid="{00000000-0005-0000-0000-000019830000}"/>
    <cellStyle name="Normal 31 15 5" xfId="34214" xr:uid="{00000000-0005-0000-0000-00001A830000}"/>
    <cellStyle name="Normal 31 15 6" xfId="34215" xr:uid="{00000000-0005-0000-0000-00001B830000}"/>
    <cellStyle name="Normal 31 16" xfId="34216" xr:uid="{00000000-0005-0000-0000-00001C830000}"/>
    <cellStyle name="Normal 31 16 2" xfId="34217" xr:uid="{00000000-0005-0000-0000-00001D830000}"/>
    <cellStyle name="Normal 31 16 3" xfId="34218" xr:uid="{00000000-0005-0000-0000-00001E830000}"/>
    <cellStyle name="Normal 31 16 4" xfId="34219" xr:uid="{00000000-0005-0000-0000-00001F830000}"/>
    <cellStyle name="Normal 31 16 5" xfId="34220" xr:uid="{00000000-0005-0000-0000-000020830000}"/>
    <cellStyle name="Normal 31 16 6" xfId="34221" xr:uid="{00000000-0005-0000-0000-000021830000}"/>
    <cellStyle name="Normal 31 17" xfId="34222" xr:uid="{00000000-0005-0000-0000-000022830000}"/>
    <cellStyle name="Normal 31 17 2" xfId="34223" xr:uid="{00000000-0005-0000-0000-000023830000}"/>
    <cellStyle name="Normal 31 17 3" xfId="34224" xr:uid="{00000000-0005-0000-0000-000024830000}"/>
    <cellStyle name="Normal 31 17 4" xfId="34225" xr:uid="{00000000-0005-0000-0000-000025830000}"/>
    <cellStyle name="Normal 31 17 5" xfId="34226" xr:uid="{00000000-0005-0000-0000-000026830000}"/>
    <cellStyle name="Normal 31 17 6" xfId="34227" xr:uid="{00000000-0005-0000-0000-000027830000}"/>
    <cellStyle name="Normal 31 18" xfId="34228" xr:uid="{00000000-0005-0000-0000-000028830000}"/>
    <cellStyle name="Normal 31 18 2" xfId="34229" xr:uid="{00000000-0005-0000-0000-000029830000}"/>
    <cellStyle name="Normal 31 18 3" xfId="34230" xr:uid="{00000000-0005-0000-0000-00002A830000}"/>
    <cellStyle name="Normal 31 18 4" xfId="34231" xr:uid="{00000000-0005-0000-0000-00002B830000}"/>
    <cellStyle name="Normal 31 18 5" xfId="34232" xr:uid="{00000000-0005-0000-0000-00002C830000}"/>
    <cellStyle name="Normal 31 18 6" xfId="34233" xr:uid="{00000000-0005-0000-0000-00002D830000}"/>
    <cellStyle name="Normal 31 19" xfId="34234" xr:uid="{00000000-0005-0000-0000-00002E830000}"/>
    <cellStyle name="Normal 31 2" xfId="1885" xr:uid="{00000000-0005-0000-0000-00002F830000}"/>
    <cellStyle name="Normal 31 2 10" xfId="34235" xr:uid="{00000000-0005-0000-0000-000030830000}"/>
    <cellStyle name="Normal 31 2 11" xfId="34236" xr:uid="{00000000-0005-0000-0000-000031830000}"/>
    <cellStyle name="Normal 31 2 12" xfId="34237" xr:uid="{00000000-0005-0000-0000-000032830000}"/>
    <cellStyle name="Normal 31 2 13" xfId="34238" xr:uid="{00000000-0005-0000-0000-000033830000}"/>
    <cellStyle name="Normal 31 2 14" xfId="43252" xr:uid="{00000000-0005-0000-0000-000034830000}"/>
    <cellStyle name="Normal 31 2 2" xfId="2073" xr:uid="{00000000-0005-0000-0000-000035830000}"/>
    <cellStyle name="Normal 31 2 2 2" xfId="2535" xr:uid="{00000000-0005-0000-0000-000036830000}"/>
    <cellStyle name="Normal 31 2 2 3" xfId="34239" xr:uid="{00000000-0005-0000-0000-000037830000}"/>
    <cellStyle name="Normal 31 2 2 4" xfId="34240" xr:uid="{00000000-0005-0000-0000-000038830000}"/>
    <cellStyle name="Normal 31 2 2 5" xfId="34241" xr:uid="{00000000-0005-0000-0000-000039830000}"/>
    <cellStyle name="Normal 31 2 2 6" xfId="34242" xr:uid="{00000000-0005-0000-0000-00003A830000}"/>
    <cellStyle name="Normal 31 2 2 7" xfId="43350" xr:uid="{00000000-0005-0000-0000-00003B830000}"/>
    <cellStyle name="Normal 31 2 3" xfId="2536" xr:uid="{00000000-0005-0000-0000-00003C830000}"/>
    <cellStyle name="Normal 31 2 3 2" xfId="34243" xr:uid="{00000000-0005-0000-0000-00003D830000}"/>
    <cellStyle name="Normal 31 2 3 3" xfId="34244" xr:uid="{00000000-0005-0000-0000-00003E830000}"/>
    <cellStyle name="Normal 31 2 3 4" xfId="34245" xr:uid="{00000000-0005-0000-0000-00003F830000}"/>
    <cellStyle name="Normal 31 2 3 5" xfId="34246" xr:uid="{00000000-0005-0000-0000-000040830000}"/>
    <cellStyle name="Normal 31 2 3 6" xfId="34247" xr:uid="{00000000-0005-0000-0000-000041830000}"/>
    <cellStyle name="Normal 31 2 3 7" xfId="43351" xr:uid="{00000000-0005-0000-0000-000042830000}"/>
    <cellStyle name="Normal 31 2 4" xfId="2435" xr:uid="{00000000-0005-0000-0000-000043830000}"/>
    <cellStyle name="Normal 31 2 4 2" xfId="34248" xr:uid="{00000000-0005-0000-0000-000044830000}"/>
    <cellStyle name="Normal 31 2 4 3" xfId="34249" xr:uid="{00000000-0005-0000-0000-000045830000}"/>
    <cellStyle name="Normal 31 2 4 4" xfId="34250" xr:uid="{00000000-0005-0000-0000-000046830000}"/>
    <cellStyle name="Normal 31 2 4 5" xfId="34251" xr:uid="{00000000-0005-0000-0000-000047830000}"/>
    <cellStyle name="Normal 31 2 4 6" xfId="34252" xr:uid="{00000000-0005-0000-0000-000048830000}"/>
    <cellStyle name="Normal 31 2 5" xfId="2405" xr:uid="{00000000-0005-0000-0000-000049830000}"/>
    <cellStyle name="Normal 31 2 5 2" xfId="34253" xr:uid="{00000000-0005-0000-0000-00004A830000}"/>
    <cellStyle name="Normal 31 2 5 3" xfId="34254" xr:uid="{00000000-0005-0000-0000-00004B830000}"/>
    <cellStyle name="Normal 31 2 5 4" xfId="34255" xr:uid="{00000000-0005-0000-0000-00004C830000}"/>
    <cellStyle name="Normal 31 2 5 5" xfId="34256" xr:uid="{00000000-0005-0000-0000-00004D830000}"/>
    <cellStyle name="Normal 31 2 5 6" xfId="34257" xr:uid="{00000000-0005-0000-0000-00004E830000}"/>
    <cellStyle name="Normal 31 2 6" xfId="34258" xr:uid="{00000000-0005-0000-0000-00004F830000}"/>
    <cellStyle name="Normal 31 2 6 2" xfId="34259" xr:uid="{00000000-0005-0000-0000-000050830000}"/>
    <cellStyle name="Normal 31 2 6 3" xfId="34260" xr:uid="{00000000-0005-0000-0000-000051830000}"/>
    <cellStyle name="Normal 31 2 6 4" xfId="34261" xr:uid="{00000000-0005-0000-0000-000052830000}"/>
    <cellStyle name="Normal 31 2 6 5" xfId="34262" xr:uid="{00000000-0005-0000-0000-000053830000}"/>
    <cellStyle name="Normal 31 2 6 6" xfId="34263" xr:uid="{00000000-0005-0000-0000-000054830000}"/>
    <cellStyle name="Normal 31 2 7" xfId="34264" xr:uid="{00000000-0005-0000-0000-000055830000}"/>
    <cellStyle name="Normal 31 2 7 2" xfId="34265" xr:uid="{00000000-0005-0000-0000-000056830000}"/>
    <cellStyle name="Normal 31 2 7 3" xfId="34266" xr:uid="{00000000-0005-0000-0000-000057830000}"/>
    <cellStyle name="Normal 31 2 7 4" xfId="34267" xr:uid="{00000000-0005-0000-0000-000058830000}"/>
    <cellStyle name="Normal 31 2 7 5" xfId="34268" xr:uid="{00000000-0005-0000-0000-000059830000}"/>
    <cellStyle name="Normal 31 2 7 6" xfId="34269" xr:uid="{00000000-0005-0000-0000-00005A830000}"/>
    <cellStyle name="Normal 31 2 8" xfId="34270" xr:uid="{00000000-0005-0000-0000-00005B830000}"/>
    <cellStyle name="Normal 31 2 8 2" xfId="34271" xr:uid="{00000000-0005-0000-0000-00005C830000}"/>
    <cellStyle name="Normal 31 2 8 3" xfId="34272" xr:uid="{00000000-0005-0000-0000-00005D830000}"/>
    <cellStyle name="Normal 31 2 8 4" xfId="34273" xr:uid="{00000000-0005-0000-0000-00005E830000}"/>
    <cellStyle name="Normal 31 2 8 5" xfId="34274" xr:uid="{00000000-0005-0000-0000-00005F830000}"/>
    <cellStyle name="Normal 31 2 8 6" xfId="34275" xr:uid="{00000000-0005-0000-0000-000060830000}"/>
    <cellStyle name="Normal 31 2 9" xfId="34276" xr:uid="{00000000-0005-0000-0000-000061830000}"/>
    <cellStyle name="Normal 31 20" xfId="34277" xr:uid="{00000000-0005-0000-0000-000062830000}"/>
    <cellStyle name="Normal 31 21" xfId="34278" xr:uid="{00000000-0005-0000-0000-000063830000}"/>
    <cellStyle name="Normal 31 22" xfId="34279" xr:uid="{00000000-0005-0000-0000-000064830000}"/>
    <cellStyle name="Normal 31 23" xfId="34280" xr:uid="{00000000-0005-0000-0000-000065830000}"/>
    <cellStyle name="Normal 31 24" xfId="43251" xr:uid="{00000000-0005-0000-0000-000066830000}"/>
    <cellStyle name="Normal 31 3" xfId="2024" xr:uid="{00000000-0005-0000-0000-000067830000}"/>
    <cellStyle name="Normal 31 3 10" xfId="34281" xr:uid="{00000000-0005-0000-0000-000068830000}"/>
    <cellStyle name="Normal 31 3 11" xfId="34282" xr:uid="{00000000-0005-0000-0000-000069830000}"/>
    <cellStyle name="Normal 31 3 12" xfId="34283" xr:uid="{00000000-0005-0000-0000-00006A830000}"/>
    <cellStyle name="Normal 31 3 13" xfId="34284" xr:uid="{00000000-0005-0000-0000-00006B830000}"/>
    <cellStyle name="Normal 31 3 14" xfId="43352" xr:uid="{00000000-0005-0000-0000-00006C830000}"/>
    <cellStyle name="Normal 31 3 2" xfId="2537" xr:uid="{00000000-0005-0000-0000-00006D830000}"/>
    <cellStyle name="Normal 31 3 2 2" xfId="34285" xr:uid="{00000000-0005-0000-0000-00006E830000}"/>
    <cellStyle name="Normal 31 3 2 3" xfId="34286" xr:uid="{00000000-0005-0000-0000-00006F830000}"/>
    <cellStyle name="Normal 31 3 2 4" xfId="34287" xr:uid="{00000000-0005-0000-0000-000070830000}"/>
    <cellStyle name="Normal 31 3 2 5" xfId="34288" xr:uid="{00000000-0005-0000-0000-000071830000}"/>
    <cellStyle name="Normal 31 3 2 6" xfId="34289" xr:uid="{00000000-0005-0000-0000-000072830000}"/>
    <cellStyle name="Normal 31 3 3" xfId="34290" xr:uid="{00000000-0005-0000-0000-000073830000}"/>
    <cellStyle name="Normal 31 3 3 2" xfId="34291" xr:uid="{00000000-0005-0000-0000-000074830000}"/>
    <cellStyle name="Normal 31 3 3 3" xfId="34292" xr:uid="{00000000-0005-0000-0000-000075830000}"/>
    <cellStyle name="Normal 31 3 3 4" xfId="34293" xr:uid="{00000000-0005-0000-0000-000076830000}"/>
    <cellStyle name="Normal 31 3 3 5" xfId="34294" xr:uid="{00000000-0005-0000-0000-000077830000}"/>
    <cellStyle name="Normal 31 3 3 6" xfId="34295" xr:uid="{00000000-0005-0000-0000-000078830000}"/>
    <cellStyle name="Normal 31 3 4" xfId="34296" xr:uid="{00000000-0005-0000-0000-000079830000}"/>
    <cellStyle name="Normal 31 3 4 2" xfId="34297" xr:uid="{00000000-0005-0000-0000-00007A830000}"/>
    <cellStyle name="Normal 31 3 4 3" xfId="34298" xr:uid="{00000000-0005-0000-0000-00007B830000}"/>
    <cellStyle name="Normal 31 3 4 4" xfId="34299" xr:uid="{00000000-0005-0000-0000-00007C830000}"/>
    <cellStyle name="Normal 31 3 4 5" xfId="34300" xr:uid="{00000000-0005-0000-0000-00007D830000}"/>
    <cellStyle name="Normal 31 3 4 6" xfId="34301" xr:uid="{00000000-0005-0000-0000-00007E830000}"/>
    <cellStyle name="Normal 31 3 5" xfId="34302" xr:uid="{00000000-0005-0000-0000-00007F830000}"/>
    <cellStyle name="Normal 31 3 5 2" xfId="34303" xr:uid="{00000000-0005-0000-0000-000080830000}"/>
    <cellStyle name="Normal 31 3 5 3" xfId="34304" xr:uid="{00000000-0005-0000-0000-000081830000}"/>
    <cellStyle name="Normal 31 3 5 4" xfId="34305" xr:uid="{00000000-0005-0000-0000-000082830000}"/>
    <cellStyle name="Normal 31 3 5 5" xfId="34306" xr:uid="{00000000-0005-0000-0000-000083830000}"/>
    <cellStyle name="Normal 31 3 5 6" xfId="34307" xr:uid="{00000000-0005-0000-0000-000084830000}"/>
    <cellStyle name="Normal 31 3 6" xfId="34308" xr:uid="{00000000-0005-0000-0000-000085830000}"/>
    <cellStyle name="Normal 31 3 6 2" xfId="34309" xr:uid="{00000000-0005-0000-0000-000086830000}"/>
    <cellStyle name="Normal 31 3 6 3" xfId="34310" xr:uid="{00000000-0005-0000-0000-000087830000}"/>
    <cellStyle name="Normal 31 3 6 4" xfId="34311" xr:uid="{00000000-0005-0000-0000-000088830000}"/>
    <cellStyle name="Normal 31 3 6 5" xfId="34312" xr:uid="{00000000-0005-0000-0000-000089830000}"/>
    <cellStyle name="Normal 31 3 6 6" xfId="34313" xr:uid="{00000000-0005-0000-0000-00008A830000}"/>
    <cellStyle name="Normal 31 3 7" xfId="34314" xr:uid="{00000000-0005-0000-0000-00008B830000}"/>
    <cellStyle name="Normal 31 3 7 2" xfId="34315" xr:uid="{00000000-0005-0000-0000-00008C830000}"/>
    <cellStyle name="Normal 31 3 7 3" xfId="34316" xr:uid="{00000000-0005-0000-0000-00008D830000}"/>
    <cellStyle name="Normal 31 3 7 4" xfId="34317" xr:uid="{00000000-0005-0000-0000-00008E830000}"/>
    <cellStyle name="Normal 31 3 7 5" xfId="34318" xr:uid="{00000000-0005-0000-0000-00008F830000}"/>
    <cellStyle name="Normal 31 3 7 6" xfId="34319" xr:uid="{00000000-0005-0000-0000-000090830000}"/>
    <cellStyle name="Normal 31 3 8" xfId="34320" xr:uid="{00000000-0005-0000-0000-000091830000}"/>
    <cellStyle name="Normal 31 3 8 2" xfId="34321" xr:uid="{00000000-0005-0000-0000-000092830000}"/>
    <cellStyle name="Normal 31 3 8 3" xfId="34322" xr:uid="{00000000-0005-0000-0000-000093830000}"/>
    <cellStyle name="Normal 31 3 8 4" xfId="34323" xr:uid="{00000000-0005-0000-0000-000094830000}"/>
    <cellStyle name="Normal 31 3 8 5" xfId="34324" xr:uid="{00000000-0005-0000-0000-000095830000}"/>
    <cellStyle name="Normal 31 3 8 6" xfId="34325" xr:uid="{00000000-0005-0000-0000-000096830000}"/>
    <cellStyle name="Normal 31 3 9" xfId="34326" xr:uid="{00000000-0005-0000-0000-000097830000}"/>
    <cellStyle name="Normal 31 4" xfId="2538" xr:uid="{00000000-0005-0000-0000-000098830000}"/>
    <cellStyle name="Normal 31 4 10" xfId="34327" xr:uid="{00000000-0005-0000-0000-000099830000}"/>
    <cellStyle name="Normal 31 4 11" xfId="34328" xr:uid="{00000000-0005-0000-0000-00009A830000}"/>
    <cellStyle name="Normal 31 4 12" xfId="34329" xr:uid="{00000000-0005-0000-0000-00009B830000}"/>
    <cellStyle name="Normal 31 4 13" xfId="34330" xr:uid="{00000000-0005-0000-0000-00009C830000}"/>
    <cellStyle name="Normal 31 4 14" xfId="43353" xr:uid="{00000000-0005-0000-0000-00009D830000}"/>
    <cellStyle name="Normal 31 4 2" xfId="34331" xr:uid="{00000000-0005-0000-0000-00009E830000}"/>
    <cellStyle name="Normal 31 4 2 2" xfId="34332" xr:uid="{00000000-0005-0000-0000-00009F830000}"/>
    <cellStyle name="Normal 31 4 2 3" xfId="34333" xr:uid="{00000000-0005-0000-0000-0000A0830000}"/>
    <cellStyle name="Normal 31 4 2 4" xfId="34334" xr:uid="{00000000-0005-0000-0000-0000A1830000}"/>
    <cellStyle name="Normal 31 4 2 5" xfId="34335" xr:uid="{00000000-0005-0000-0000-0000A2830000}"/>
    <cellStyle name="Normal 31 4 2 6" xfId="34336" xr:uid="{00000000-0005-0000-0000-0000A3830000}"/>
    <cellStyle name="Normal 31 4 3" xfId="34337" xr:uid="{00000000-0005-0000-0000-0000A4830000}"/>
    <cellStyle name="Normal 31 4 3 2" xfId="34338" xr:uid="{00000000-0005-0000-0000-0000A5830000}"/>
    <cellStyle name="Normal 31 4 3 3" xfId="34339" xr:uid="{00000000-0005-0000-0000-0000A6830000}"/>
    <cellStyle name="Normal 31 4 3 4" xfId="34340" xr:uid="{00000000-0005-0000-0000-0000A7830000}"/>
    <cellStyle name="Normal 31 4 3 5" xfId="34341" xr:uid="{00000000-0005-0000-0000-0000A8830000}"/>
    <cellStyle name="Normal 31 4 3 6" xfId="34342" xr:uid="{00000000-0005-0000-0000-0000A9830000}"/>
    <cellStyle name="Normal 31 4 4" xfId="34343" xr:uid="{00000000-0005-0000-0000-0000AA830000}"/>
    <cellStyle name="Normal 31 4 4 2" xfId="34344" xr:uid="{00000000-0005-0000-0000-0000AB830000}"/>
    <cellStyle name="Normal 31 4 4 3" xfId="34345" xr:uid="{00000000-0005-0000-0000-0000AC830000}"/>
    <cellStyle name="Normal 31 4 4 4" xfId="34346" xr:uid="{00000000-0005-0000-0000-0000AD830000}"/>
    <cellStyle name="Normal 31 4 4 5" xfId="34347" xr:uid="{00000000-0005-0000-0000-0000AE830000}"/>
    <cellStyle name="Normal 31 4 4 6" xfId="34348" xr:uid="{00000000-0005-0000-0000-0000AF830000}"/>
    <cellStyle name="Normal 31 4 5" xfId="34349" xr:uid="{00000000-0005-0000-0000-0000B0830000}"/>
    <cellStyle name="Normal 31 4 5 2" xfId="34350" xr:uid="{00000000-0005-0000-0000-0000B1830000}"/>
    <cellStyle name="Normal 31 4 5 3" xfId="34351" xr:uid="{00000000-0005-0000-0000-0000B2830000}"/>
    <cellStyle name="Normal 31 4 5 4" xfId="34352" xr:uid="{00000000-0005-0000-0000-0000B3830000}"/>
    <cellStyle name="Normal 31 4 5 5" xfId="34353" xr:uid="{00000000-0005-0000-0000-0000B4830000}"/>
    <cellStyle name="Normal 31 4 5 6" xfId="34354" xr:uid="{00000000-0005-0000-0000-0000B5830000}"/>
    <cellStyle name="Normal 31 4 6" xfId="34355" xr:uid="{00000000-0005-0000-0000-0000B6830000}"/>
    <cellStyle name="Normal 31 4 6 2" xfId="34356" xr:uid="{00000000-0005-0000-0000-0000B7830000}"/>
    <cellStyle name="Normal 31 4 6 3" xfId="34357" xr:uid="{00000000-0005-0000-0000-0000B8830000}"/>
    <cellStyle name="Normal 31 4 6 4" xfId="34358" xr:uid="{00000000-0005-0000-0000-0000B9830000}"/>
    <cellStyle name="Normal 31 4 6 5" xfId="34359" xr:uid="{00000000-0005-0000-0000-0000BA830000}"/>
    <cellStyle name="Normal 31 4 6 6" xfId="34360" xr:uid="{00000000-0005-0000-0000-0000BB830000}"/>
    <cellStyle name="Normal 31 4 7" xfId="34361" xr:uid="{00000000-0005-0000-0000-0000BC830000}"/>
    <cellStyle name="Normal 31 4 7 2" xfId="34362" xr:uid="{00000000-0005-0000-0000-0000BD830000}"/>
    <cellStyle name="Normal 31 4 7 3" xfId="34363" xr:uid="{00000000-0005-0000-0000-0000BE830000}"/>
    <cellStyle name="Normal 31 4 7 4" xfId="34364" xr:uid="{00000000-0005-0000-0000-0000BF830000}"/>
    <cellStyle name="Normal 31 4 7 5" xfId="34365" xr:uid="{00000000-0005-0000-0000-0000C0830000}"/>
    <cellStyle name="Normal 31 4 7 6" xfId="34366" xr:uid="{00000000-0005-0000-0000-0000C1830000}"/>
    <cellStyle name="Normal 31 4 8" xfId="34367" xr:uid="{00000000-0005-0000-0000-0000C2830000}"/>
    <cellStyle name="Normal 31 4 8 2" xfId="34368" xr:uid="{00000000-0005-0000-0000-0000C3830000}"/>
    <cellStyle name="Normal 31 4 8 3" xfId="34369" xr:uid="{00000000-0005-0000-0000-0000C4830000}"/>
    <cellStyle name="Normal 31 4 8 4" xfId="34370" xr:uid="{00000000-0005-0000-0000-0000C5830000}"/>
    <cellStyle name="Normal 31 4 8 5" xfId="34371" xr:uid="{00000000-0005-0000-0000-0000C6830000}"/>
    <cellStyle name="Normal 31 4 8 6" xfId="34372" xr:uid="{00000000-0005-0000-0000-0000C7830000}"/>
    <cellStyle name="Normal 31 4 9" xfId="34373" xr:uid="{00000000-0005-0000-0000-0000C8830000}"/>
    <cellStyle name="Normal 31 5" xfId="2434" xr:uid="{00000000-0005-0000-0000-0000C9830000}"/>
    <cellStyle name="Normal 31 5 10" xfId="34374" xr:uid="{00000000-0005-0000-0000-0000CA830000}"/>
    <cellStyle name="Normal 31 5 11" xfId="34375" xr:uid="{00000000-0005-0000-0000-0000CB830000}"/>
    <cellStyle name="Normal 31 5 12" xfId="34376" xr:uid="{00000000-0005-0000-0000-0000CC830000}"/>
    <cellStyle name="Normal 31 5 13" xfId="34377" xr:uid="{00000000-0005-0000-0000-0000CD830000}"/>
    <cellStyle name="Normal 31 5 2" xfId="34378" xr:uid="{00000000-0005-0000-0000-0000CE830000}"/>
    <cellStyle name="Normal 31 5 2 2" xfId="34379" xr:uid="{00000000-0005-0000-0000-0000CF830000}"/>
    <cellStyle name="Normal 31 5 2 3" xfId="34380" xr:uid="{00000000-0005-0000-0000-0000D0830000}"/>
    <cellStyle name="Normal 31 5 2 4" xfId="34381" xr:uid="{00000000-0005-0000-0000-0000D1830000}"/>
    <cellStyle name="Normal 31 5 2 5" xfId="34382" xr:uid="{00000000-0005-0000-0000-0000D2830000}"/>
    <cellStyle name="Normal 31 5 2 6" xfId="34383" xr:uid="{00000000-0005-0000-0000-0000D3830000}"/>
    <cellStyle name="Normal 31 5 3" xfId="34384" xr:uid="{00000000-0005-0000-0000-0000D4830000}"/>
    <cellStyle name="Normal 31 5 3 2" xfId="34385" xr:uid="{00000000-0005-0000-0000-0000D5830000}"/>
    <cellStyle name="Normal 31 5 3 3" xfId="34386" xr:uid="{00000000-0005-0000-0000-0000D6830000}"/>
    <cellStyle name="Normal 31 5 3 4" xfId="34387" xr:uid="{00000000-0005-0000-0000-0000D7830000}"/>
    <cellStyle name="Normal 31 5 3 5" xfId="34388" xr:uid="{00000000-0005-0000-0000-0000D8830000}"/>
    <cellStyle name="Normal 31 5 3 6" xfId="34389" xr:uid="{00000000-0005-0000-0000-0000D9830000}"/>
    <cellStyle name="Normal 31 5 4" xfId="34390" xr:uid="{00000000-0005-0000-0000-0000DA830000}"/>
    <cellStyle name="Normal 31 5 4 2" xfId="34391" xr:uid="{00000000-0005-0000-0000-0000DB830000}"/>
    <cellStyle name="Normal 31 5 4 3" xfId="34392" xr:uid="{00000000-0005-0000-0000-0000DC830000}"/>
    <cellStyle name="Normal 31 5 4 4" xfId="34393" xr:uid="{00000000-0005-0000-0000-0000DD830000}"/>
    <cellStyle name="Normal 31 5 4 5" xfId="34394" xr:uid="{00000000-0005-0000-0000-0000DE830000}"/>
    <cellStyle name="Normal 31 5 4 6" xfId="34395" xr:uid="{00000000-0005-0000-0000-0000DF830000}"/>
    <cellStyle name="Normal 31 5 5" xfId="34396" xr:uid="{00000000-0005-0000-0000-0000E0830000}"/>
    <cellStyle name="Normal 31 5 5 2" xfId="34397" xr:uid="{00000000-0005-0000-0000-0000E1830000}"/>
    <cellStyle name="Normal 31 5 5 3" xfId="34398" xr:uid="{00000000-0005-0000-0000-0000E2830000}"/>
    <cellStyle name="Normal 31 5 5 4" xfId="34399" xr:uid="{00000000-0005-0000-0000-0000E3830000}"/>
    <cellStyle name="Normal 31 5 5 5" xfId="34400" xr:uid="{00000000-0005-0000-0000-0000E4830000}"/>
    <cellStyle name="Normal 31 5 5 6" xfId="34401" xr:uid="{00000000-0005-0000-0000-0000E5830000}"/>
    <cellStyle name="Normal 31 5 6" xfId="34402" xr:uid="{00000000-0005-0000-0000-0000E6830000}"/>
    <cellStyle name="Normal 31 5 6 2" xfId="34403" xr:uid="{00000000-0005-0000-0000-0000E7830000}"/>
    <cellStyle name="Normal 31 5 6 3" xfId="34404" xr:uid="{00000000-0005-0000-0000-0000E8830000}"/>
    <cellStyle name="Normal 31 5 6 4" xfId="34405" xr:uid="{00000000-0005-0000-0000-0000E9830000}"/>
    <cellStyle name="Normal 31 5 6 5" xfId="34406" xr:uid="{00000000-0005-0000-0000-0000EA830000}"/>
    <cellStyle name="Normal 31 5 6 6" xfId="34407" xr:uid="{00000000-0005-0000-0000-0000EB830000}"/>
    <cellStyle name="Normal 31 5 7" xfId="34408" xr:uid="{00000000-0005-0000-0000-0000EC830000}"/>
    <cellStyle name="Normal 31 5 7 2" xfId="34409" xr:uid="{00000000-0005-0000-0000-0000ED830000}"/>
    <cellStyle name="Normal 31 5 7 3" xfId="34410" xr:uid="{00000000-0005-0000-0000-0000EE830000}"/>
    <cellStyle name="Normal 31 5 7 4" xfId="34411" xr:uid="{00000000-0005-0000-0000-0000EF830000}"/>
    <cellStyle name="Normal 31 5 7 5" xfId="34412" xr:uid="{00000000-0005-0000-0000-0000F0830000}"/>
    <cellStyle name="Normal 31 5 7 6" xfId="34413" xr:uid="{00000000-0005-0000-0000-0000F1830000}"/>
    <cellStyle name="Normal 31 5 8" xfId="34414" xr:uid="{00000000-0005-0000-0000-0000F2830000}"/>
    <cellStyle name="Normal 31 5 8 2" xfId="34415" xr:uid="{00000000-0005-0000-0000-0000F3830000}"/>
    <cellStyle name="Normal 31 5 8 3" xfId="34416" xr:uid="{00000000-0005-0000-0000-0000F4830000}"/>
    <cellStyle name="Normal 31 5 8 4" xfId="34417" xr:uid="{00000000-0005-0000-0000-0000F5830000}"/>
    <cellStyle name="Normal 31 5 8 5" xfId="34418" xr:uid="{00000000-0005-0000-0000-0000F6830000}"/>
    <cellStyle name="Normal 31 5 8 6" xfId="34419" xr:uid="{00000000-0005-0000-0000-0000F7830000}"/>
    <cellStyle name="Normal 31 5 9" xfId="34420" xr:uid="{00000000-0005-0000-0000-0000F8830000}"/>
    <cellStyle name="Normal 31 6" xfId="2373" xr:uid="{00000000-0005-0000-0000-0000F9830000}"/>
    <cellStyle name="Normal 31 6 10" xfId="34421" xr:uid="{00000000-0005-0000-0000-0000FA830000}"/>
    <cellStyle name="Normal 31 6 11" xfId="34422" xr:uid="{00000000-0005-0000-0000-0000FB830000}"/>
    <cellStyle name="Normal 31 6 12" xfId="34423" xr:uid="{00000000-0005-0000-0000-0000FC830000}"/>
    <cellStyle name="Normal 31 6 13" xfId="34424" xr:uid="{00000000-0005-0000-0000-0000FD830000}"/>
    <cellStyle name="Normal 31 6 2" xfId="34425" xr:uid="{00000000-0005-0000-0000-0000FE830000}"/>
    <cellStyle name="Normal 31 6 2 2" xfId="34426" xr:uid="{00000000-0005-0000-0000-0000FF830000}"/>
    <cellStyle name="Normal 31 6 2 3" xfId="34427" xr:uid="{00000000-0005-0000-0000-000000840000}"/>
    <cellStyle name="Normal 31 6 2 4" xfId="34428" xr:uid="{00000000-0005-0000-0000-000001840000}"/>
    <cellStyle name="Normal 31 6 2 5" xfId="34429" xr:uid="{00000000-0005-0000-0000-000002840000}"/>
    <cellStyle name="Normal 31 6 2 6" xfId="34430" xr:uid="{00000000-0005-0000-0000-000003840000}"/>
    <cellStyle name="Normal 31 6 3" xfId="34431" xr:uid="{00000000-0005-0000-0000-000004840000}"/>
    <cellStyle name="Normal 31 6 3 2" xfId="34432" xr:uid="{00000000-0005-0000-0000-000005840000}"/>
    <cellStyle name="Normal 31 6 3 3" xfId="34433" xr:uid="{00000000-0005-0000-0000-000006840000}"/>
    <cellStyle name="Normal 31 6 3 4" xfId="34434" xr:uid="{00000000-0005-0000-0000-000007840000}"/>
    <cellStyle name="Normal 31 6 3 5" xfId="34435" xr:uid="{00000000-0005-0000-0000-000008840000}"/>
    <cellStyle name="Normal 31 6 3 6" xfId="34436" xr:uid="{00000000-0005-0000-0000-000009840000}"/>
    <cellStyle name="Normal 31 6 4" xfId="34437" xr:uid="{00000000-0005-0000-0000-00000A840000}"/>
    <cellStyle name="Normal 31 6 4 2" xfId="34438" xr:uid="{00000000-0005-0000-0000-00000B840000}"/>
    <cellStyle name="Normal 31 6 4 3" xfId="34439" xr:uid="{00000000-0005-0000-0000-00000C840000}"/>
    <cellStyle name="Normal 31 6 4 4" xfId="34440" xr:uid="{00000000-0005-0000-0000-00000D840000}"/>
    <cellStyle name="Normal 31 6 4 5" xfId="34441" xr:uid="{00000000-0005-0000-0000-00000E840000}"/>
    <cellStyle name="Normal 31 6 4 6" xfId="34442" xr:uid="{00000000-0005-0000-0000-00000F840000}"/>
    <cellStyle name="Normal 31 6 5" xfId="34443" xr:uid="{00000000-0005-0000-0000-000010840000}"/>
    <cellStyle name="Normal 31 6 5 2" xfId="34444" xr:uid="{00000000-0005-0000-0000-000011840000}"/>
    <cellStyle name="Normal 31 6 5 3" xfId="34445" xr:uid="{00000000-0005-0000-0000-000012840000}"/>
    <cellStyle name="Normal 31 6 5 4" xfId="34446" xr:uid="{00000000-0005-0000-0000-000013840000}"/>
    <cellStyle name="Normal 31 6 5 5" xfId="34447" xr:uid="{00000000-0005-0000-0000-000014840000}"/>
    <cellStyle name="Normal 31 6 5 6" xfId="34448" xr:uid="{00000000-0005-0000-0000-000015840000}"/>
    <cellStyle name="Normal 31 6 6" xfId="34449" xr:uid="{00000000-0005-0000-0000-000016840000}"/>
    <cellStyle name="Normal 31 6 6 2" xfId="34450" xr:uid="{00000000-0005-0000-0000-000017840000}"/>
    <cellStyle name="Normal 31 6 6 3" xfId="34451" xr:uid="{00000000-0005-0000-0000-000018840000}"/>
    <cellStyle name="Normal 31 6 6 4" xfId="34452" xr:uid="{00000000-0005-0000-0000-000019840000}"/>
    <cellStyle name="Normal 31 6 6 5" xfId="34453" xr:uid="{00000000-0005-0000-0000-00001A840000}"/>
    <cellStyle name="Normal 31 6 6 6" xfId="34454" xr:uid="{00000000-0005-0000-0000-00001B840000}"/>
    <cellStyle name="Normal 31 6 7" xfId="34455" xr:uid="{00000000-0005-0000-0000-00001C840000}"/>
    <cellStyle name="Normal 31 6 7 2" xfId="34456" xr:uid="{00000000-0005-0000-0000-00001D840000}"/>
    <cellStyle name="Normal 31 6 7 3" xfId="34457" xr:uid="{00000000-0005-0000-0000-00001E840000}"/>
    <cellStyle name="Normal 31 6 7 4" xfId="34458" xr:uid="{00000000-0005-0000-0000-00001F840000}"/>
    <cellStyle name="Normal 31 6 7 5" xfId="34459" xr:uid="{00000000-0005-0000-0000-000020840000}"/>
    <cellStyle name="Normal 31 6 7 6" xfId="34460" xr:uid="{00000000-0005-0000-0000-000021840000}"/>
    <cellStyle name="Normal 31 6 8" xfId="34461" xr:uid="{00000000-0005-0000-0000-000022840000}"/>
    <cellStyle name="Normal 31 6 8 2" xfId="34462" xr:uid="{00000000-0005-0000-0000-000023840000}"/>
    <cellStyle name="Normal 31 6 8 3" xfId="34463" xr:uid="{00000000-0005-0000-0000-000024840000}"/>
    <cellStyle name="Normal 31 6 8 4" xfId="34464" xr:uid="{00000000-0005-0000-0000-000025840000}"/>
    <cellStyle name="Normal 31 6 8 5" xfId="34465" xr:uid="{00000000-0005-0000-0000-000026840000}"/>
    <cellStyle name="Normal 31 6 8 6" xfId="34466" xr:uid="{00000000-0005-0000-0000-000027840000}"/>
    <cellStyle name="Normal 31 6 9" xfId="34467" xr:uid="{00000000-0005-0000-0000-000028840000}"/>
    <cellStyle name="Normal 31 7" xfId="34468" xr:uid="{00000000-0005-0000-0000-000029840000}"/>
    <cellStyle name="Normal 31 7 10" xfId="34469" xr:uid="{00000000-0005-0000-0000-00002A840000}"/>
    <cellStyle name="Normal 31 7 11" xfId="34470" xr:uid="{00000000-0005-0000-0000-00002B840000}"/>
    <cellStyle name="Normal 31 7 12" xfId="34471" xr:uid="{00000000-0005-0000-0000-00002C840000}"/>
    <cellStyle name="Normal 31 7 13" xfId="34472" xr:uid="{00000000-0005-0000-0000-00002D840000}"/>
    <cellStyle name="Normal 31 7 2" xfId="34473" xr:uid="{00000000-0005-0000-0000-00002E840000}"/>
    <cellStyle name="Normal 31 7 2 2" xfId="34474" xr:uid="{00000000-0005-0000-0000-00002F840000}"/>
    <cellStyle name="Normal 31 7 2 3" xfId="34475" xr:uid="{00000000-0005-0000-0000-000030840000}"/>
    <cellStyle name="Normal 31 7 2 4" xfId="34476" xr:uid="{00000000-0005-0000-0000-000031840000}"/>
    <cellStyle name="Normal 31 7 2 5" xfId="34477" xr:uid="{00000000-0005-0000-0000-000032840000}"/>
    <cellStyle name="Normal 31 7 2 6" xfId="34478" xr:uid="{00000000-0005-0000-0000-000033840000}"/>
    <cellStyle name="Normal 31 7 3" xfId="34479" xr:uid="{00000000-0005-0000-0000-000034840000}"/>
    <cellStyle name="Normal 31 7 3 2" xfId="34480" xr:uid="{00000000-0005-0000-0000-000035840000}"/>
    <cellStyle name="Normal 31 7 3 3" xfId="34481" xr:uid="{00000000-0005-0000-0000-000036840000}"/>
    <cellStyle name="Normal 31 7 3 4" xfId="34482" xr:uid="{00000000-0005-0000-0000-000037840000}"/>
    <cellStyle name="Normal 31 7 3 5" xfId="34483" xr:uid="{00000000-0005-0000-0000-000038840000}"/>
    <cellStyle name="Normal 31 7 3 6" xfId="34484" xr:uid="{00000000-0005-0000-0000-000039840000}"/>
    <cellStyle name="Normal 31 7 4" xfId="34485" xr:uid="{00000000-0005-0000-0000-00003A840000}"/>
    <cellStyle name="Normal 31 7 4 2" xfId="34486" xr:uid="{00000000-0005-0000-0000-00003B840000}"/>
    <cellStyle name="Normal 31 7 4 3" xfId="34487" xr:uid="{00000000-0005-0000-0000-00003C840000}"/>
    <cellStyle name="Normal 31 7 4 4" xfId="34488" xr:uid="{00000000-0005-0000-0000-00003D840000}"/>
    <cellStyle name="Normal 31 7 4 5" xfId="34489" xr:uid="{00000000-0005-0000-0000-00003E840000}"/>
    <cellStyle name="Normal 31 7 4 6" xfId="34490" xr:uid="{00000000-0005-0000-0000-00003F840000}"/>
    <cellStyle name="Normal 31 7 5" xfId="34491" xr:uid="{00000000-0005-0000-0000-000040840000}"/>
    <cellStyle name="Normal 31 7 5 2" xfId="34492" xr:uid="{00000000-0005-0000-0000-000041840000}"/>
    <cellStyle name="Normal 31 7 5 3" xfId="34493" xr:uid="{00000000-0005-0000-0000-000042840000}"/>
    <cellStyle name="Normal 31 7 5 4" xfId="34494" xr:uid="{00000000-0005-0000-0000-000043840000}"/>
    <cellStyle name="Normal 31 7 5 5" xfId="34495" xr:uid="{00000000-0005-0000-0000-000044840000}"/>
    <cellStyle name="Normal 31 7 5 6" xfId="34496" xr:uid="{00000000-0005-0000-0000-000045840000}"/>
    <cellStyle name="Normal 31 7 6" xfId="34497" xr:uid="{00000000-0005-0000-0000-000046840000}"/>
    <cellStyle name="Normal 31 7 6 2" xfId="34498" xr:uid="{00000000-0005-0000-0000-000047840000}"/>
    <cellStyle name="Normal 31 7 6 3" xfId="34499" xr:uid="{00000000-0005-0000-0000-000048840000}"/>
    <cellStyle name="Normal 31 7 6 4" xfId="34500" xr:uid="{00000000-0005-0000-0000-000049840000}"/>
    <cellStyle name="Normal 31 7 6 5" xfId="34501" xr:uid="{00000000-0005-0000-0000-00004A840000}"/>
    <cellStyle name="Normal 31 7 6 6" xfId="34502" xr:uid="{00000000-0005-0000-0000-00004B840000}"/>
    <cellStyle name="Normal 31 7 7" xfId="34503" xr:uid="{00000000-0005-0000-0000-00004C840000}"/>
    <cellStyle name="Normal 31 7 7 2" xfId="34504" xr:uid="{00000000-0005-0000-0000-00004D840000}"/>
    <cellStyle name="Normal 31 7 7 3" xfId="34505" xr:uid="{00000000-0005-0000-0000-00004E840000}"/>
    <cellStyle name="Normal 31 7 7 4" xfId="34506" xr:uid="{00000000-0005-0000-0000-00004F840000}"/>
    <cellStyle name="Normal 31 7 7 5" xfId="34507" xr:uid="{00000000-0005-0000-0000-000050840000}"/>
    <cellStyle name="Normal 31 7 7 6" xfId="34508" xr:uid="{00000000-0005-0000-0000-000051840000}"/>
    <cellStyle name="Normal 31 7 8" xfId="34509" xr:uid="{00000000-0005-0000-0000-000052840000}"/>
    <cellStyle name="Normal 31 7 8 2" xfId="34510" xr:uid="{00000000-0005-0000-0000-000053840000}"/>
    <cellStyle name="Normal 31 7 8 3" xfId="34511" xr:uid="{00000000-0005-0000-0000-000054840000}"/>
    <cellStyle name="Normal 31 7 8 4" xfId="34512" xr:uid="{00000000-0005-0000-0000-000055840000}"/>
    <cellStyle name="Normal 31 7 8 5" xfId="34513" xr:uid="{00000000-0005-0000-0000-000056840000}"/>
    <cellStyle name="Normal 31 7 8 6" xfId="34514" xr:uid="{00000000-0005-0000-0000-000057840000}"/>
    <cellStyle name="Normal 31 7 9" xfId="34515" xr:uid="{00000000-0005-0000-0000-000058840000}"/>
    <cellStyle name="Normal 31 8" xfId="34516" xr:uid="{00000000-0005-0000-0000-000059840000}"/>
    <cellStyle name="Normal 31 8 10" xfId="34517" xr:uid="{00000000-0005-0000-0000-00005A840000}"/>
    <cellStyle name="Normal 31 8 11" xfId="34518" xr:uid="{00000000-0005-0000-0000-00005B840000}"/>
    <cellStyle name="Normal 31 8 12" xfId="34519" xr:uid="{00000000-0005-0000-0000-00005C840000}"/>
    <cellStyle name="Normal 31 8 13" xfId="34520" xr:uid="{00000000-0005-0000-0000-00005D840000}"/>
    <cellStyle name="Normal 31 8 2" xfId="34521" xr:uid="{00000000-0005-0000-0000-00005E840000}"/>
    <cellStyle name="Normal 31 8 2 2" xfId="34522" xr:uid="{00000000-0005-0000-0000-00005F840000}"/>
    <cellStyle name="Normal 31 8 2 3" xfId="34523" xr:uid="{00000000-0005-0000-0000-000060840000}"/>
    <cellStyle name="Normal 31 8 2 4" xfId="34524" xr:uid="{00000000-0005-0000-0000-000061840000}"/>
    <cellStyle name="Normal 31 8 2 5" xfId="34525" xr:uid="{00000000-0005-0000-0000-000062840000}"/>
    <cellStyle name="Normal 31 8 2 6" xfId="34526" xr:uid="{00000000-0005-0000-0000-000063840000}"/>
    <cellStyle name="Normal 31 8 3" xfId="34527" xr:uid="{00000000-0005-0000-0000-000064840000}"/>
    <cellStyle name="Normal 31 8 3 2" xfId="34528" xr:uid="{00000000-0005-0000-0000-000065840000}"/>
    <cellStyle name="Normal 31 8 3 3" xfId="34529" xr:uid="{00000000-0005-0000-0000-000066840000}"/>
    <cellStyle name="Normal 31 8 3 4" xfId="34530" xr:uid="{00000000-0005-0000-0000-000067840000}"/>
    <cellStyle name="Normal 31 8 3 5" xfId="34531" xr:uid="{00000000-0005-0000-0000-000068840000}"/>
    <cellStyle name="Normal 31 8 3 6" xfId="34532" xr:uid="{00000000-0005-0000-0000-000069840000}"/>
    <cellStyle name="Normal 31 8 4" xfId="34533" xr:uid="{00000000-0005-0000-0000-00006A840000}"/>
    <cellStyle name="Normal 31 8 4 2" xfId="34534" xr:uid="{00000000-0005-0000-0000-00006B840000}"/>
    <cellStyle name="Normal 31 8 4 3" xfId="34535" xr:uid="{00000000-0005-0000-0000-00006C840000}"/>
    <cellStyle name="Normal 31 8 4 4" xfId="34536" xr:uid="{00000000-0005-0000-0000-00006D840000}"/>
    <cellStyle name="Normal 31 8 4 5" xfId="34537" xr:uid="{00000000-0005-0000-0000-00006E840000}"/>
    <cellStyle name="Normal 31 8 4 6" xfId="34538" xr:uid="{00000000-0005-0000-0000-00006F840000}"/>
    <cellStyle name="Normal 31 8 5" xfId="34539" xr:uid="{00000000-0005-0000-0000-000070840000}"/>
    <cellStyle name="Normal 31 8 5 2" xfId="34540" xr:uid="{00000000-0005-0000-0000-000071840000}"/>
    <cellStyle name="Normal 31 8 5 3" xfId="34541" xr:uid="{00000000-0005-0000-0000-000072840000}"/>
    <cellStyle name="Normal 31 8 5 4" xfId="34542" xr:uid="{00000000-0005-0000-0000-000073840000}"/>
    <cellStyle name="Normal 31 8 5 5" xfId="34543" xr:uid="{00000000-0005-0000-0000-000074840000}"/>
    <cellStyle name="Normal 31 8 5 6" xfId="34544" xr:uid="{00000000-0005-0000-0000-000075840000}"/>
    <cellStyle name="Normal 31 8 6" xfId="34545" xr:uid="{00000000-0005-0000-0000-000076840000}"/>
    <cellStyle name="Normal 31 8 6 2" xfId="34546" xr:uid="{00000000-0005-0000-0000-000077840000}"/>
    <cellStyle name="Normal 31 8 6 3" xfId="34547" xr:uid="{00000000-0005-0000-0000-000078840000}"/>
    <cellStyle name="Normal 31 8 6 4" xfId="34548" xr:uid="{00000000-0005-0000-0000-000079840000}"/>
    <cellStyle name="Normal 31 8 6 5" xfId="34549" xr:uid="{00000000-0005-0000-0000-00007A840000}"/>
    <cellStyle name="Normal 31 8 6 6" xfId="34550" xr:uid="{00000000-0005-0000-0000-00007B840000}"/>
    <cellStyle name="Normal 31 8 7" xfId="34551" xr:uid="{00000000-0005-0000-0000-00007C840000}"/>
    <cellStyle name="Normal 31 8 7 2" xfId="34552" xr:uid="{00000000-0005-0000-0000-00007D840000}"/>
    <cellStyle name="Normal 31 8 7 3" xfId="34553" xr:uid="{00000000-0005-0000-0000-00007E840000}"/>
    <cellStyle name="Normal 31 8 7 4" xfId="34554" xr:uid="{00000000-0005-0000-0000-00007F840000}"/>
    <cellStyle name="Normal 31 8 7 5" xfId="34555" xr:uid="{00000000-0005-0000-0000-000080840000}"/>
    <cellStyle name="Normal 31 8 7 6" xfId="34556" xr:uid="{00000000-0005-0000-0000-000081840000}"/>
    <cellStyle name="Normal 31 8 8" xfId="34557" xr:uid="{00000000-0005-0000-0000-000082840000}"/>
    <cellStyle name="Normal 31 8 8 2" xfId="34558" xr:uid="{00000000-0005-0000-0000-000083840000}"/>
    <cellStyle name="Normal 31 8 8 3" xfId="34559" xr:uid="{00000000-0005-0000-0000-000084840000}"/>
    <cellStyle name="Normal 31 8 8 4" xfId="34560" xr:uid="{00000000-0005-0000-0000-000085840000}"/>
    <cellStyle name="Normal 31 8 8 5" xfId="34561" xr:uid="{00000000-0005-0000-0000-000086840000}"/>
    <cellStyle name="Normal 31 8 8 6" xfId="34562" xr:uid="{00000000-0005-0000-0000-000087840000}"/>
    <cellStyle name="Normal 31 8 9" xfId="34563" xr:uid="{00000000-0005-0000-0000-000088840000}"/>
    <cellStyle name="Normal 31 9" xfId="34564" xr:uid="{00000000-0005-0000-0000-000089840000}"/>
    <cellStyle name="Normal 31 9 10" xfId="34565" xr:uid="{00000000-0005-0000-0000-00008A840000}"/>
    <cellStyle name="Normal 31 9 11" xfId="34566" xr:uid="{00000000-0005-0000-0000-00008B840000}"/>
    <cellStyle name="Normal 31 9 12" xfId="34567" xr:uid="{00000000-0005-0000-0000-00008C840000}"/>
    <cellStyle name="Normal 31 9 13" xfId="34568" xr:uid="{00000000-0005-0000-0000-00008D840000}"/>
    <cellStyle name="Normal 31 9 2" xfId="34569" xr:uid="{00000000-0005-0000-0000-00008E840000}"/>
    <cellStyle name="Normal 31 9 2 2" xfId="34570" xr:uid="{00000000-0005-0000-0000-00008F840000}"/>
    <cellStyle name="Normal 31 9 2 3" xfId="34571" xr:uid="{00000000-0005-0000-0000-000090840000}"/>
    <cellStyle name="Normal 31 9 2 4" xfId="34572" xr:uid="{00000000-0005-0000-0000-000091840000}"/>
    <cellStyle name="Normal 31 9 2 5" xfId="34573" xr:uid="{00000000-0005-0000-0000-000092840000}"/>
    <cellStyle name="Normal 31 9 2 6" xfId="34574" xr:uid="{00000000-0005-0000-0000-000093840000}"/>
    <cellStyle name="Normal 31 9 3" xfId="34575" xr:uid="{00000000-0005-0000-0000-000094840000}"/>
    <cellStyle name="Normal 31 9 3 2" xfId="34576" xr:uid="{00000000-0005-0000-0000-000095840000}"/>
    <cellStyle name="Normal 31 9 3 3" xfId="34577" xr:uid="{00000000-0005-0000-0000-000096840000}"/>
    <cellStyle name="Normal 31 9 3 4" xfId="34578" xr:uid="{00000000-0005-0000-0000-000097840000}"/>
    <cellStyle name="Normal 31 9 3 5" xfId="34579" xr:uid="{00000000-0005-0000-0000-000098840000}"/>
    <cellStyle name="Normal 31 9 3 6" xfId="34580" xr:uid="{00000000-0005-0000-0000-000099840000}"/>
    <cellStyle name="Normal 31 9 4" xfId="34581" xr:uid="{00000000-0005-0000-0000-00009A840000}"/>
    <cellStyle name="Normal 31 9 4 2" xfId="34582" xr:uid="{00000000-0005-0000-0000-00009B840000}"/>
    <cellStyle name="Normal 31 9 4 3" xfId="34583" xr:uid="{00000000-0005-0000-0000-00009C840000}"/>
    <cellStyle name="Normal 31 9 4 4" xfId="34584" xr:uid="{00000000-0005-0000-0000-00009D840000}"/>
    <cellStyle name="Normal 31 9 4 5" xfId="34585" xr:uid="{00000000-0005-0000-0000-00009E840000}"/>
    <cellStyle name="Normal 31 9 4 6" xfId="34586" xr:uid="{00000000-0005-0000-0000-00009F840000}"/>
    <cellStyle name="Normal 31 9 5" xfId="34587" xr:uid="{00000000-0005-0000-0000-0000A0840000}"/>
    <cellStyle name="Normal 31 9 5 2" xfId="34588" xr:uid="{00000000-0005-0000-0000-0000A1840000}"/>
    <cellStyle name="Normal 31 9 5 3" xfId="34589" xr:uid="{00000000-0005-0000-0000-0000A2840000}"/>
    <cellStyle name="Normal 31 9 5 4" xfId="34590" xr:uid="{00000000-0005-0000-0000-0000A3840000}"/>
    <cellStyle name="Normal 31 9 5 5" xfId="34591" xr:uid="{00000000-0005-0000-0000-0000A4840000}"/>
    <cellStyle name="Normal 31 9 5 6" xfId="34592" xr:uid="{00000000-0005-0000-0000-0000A5840000}"/>
    <cellStyle name="Normal 31 9 6" xfId="34593" xr:uid="{00000000-0005-0000-0000-0000A6840000}"/>
    <cellStyle name="Normal 31 9 6 2" xfId="34594" xr:uid="{00000000-0005-0000-0000-0000A7840000}"/>
    <cellStyle name="Normal 31 9 6 3" xfId="34595" xr:uid="{00000000-0005-0000-0000-0000A8840000}"/>
    <cellStyle name="Normal 31 9 6 4" xfId="34596" xr:uid="{00000000-0005-0000-0000-0000A9840000}"/>
    <cellStyle name="Normal 31 9 6 5" xfId="34597" xr:uid="{00000000-0005-0000-0000-0000AA840000}"/>
    <cellStyle name="Normal 31 9 6 6" xfId="34598" xr:uid="{00000000-0005-0000-0000-0000AB840000}"/>
    <cellStyle name="Normal 31 9 7" xfId="34599" xr:uid="{00000000-0005-0000-0000-0000AC840000}"/>
    <cellStyle name="Normal 31 9 7 2" xfId="34600" xr:uid="{00000000-0005-0000-0000-0000AD840000}"/>
    <cellStyle name="Normal 31 9 7 3" xfId="34601" xr:uid="{00000000-0005-0000-0000-0000AE840000}"/>
    <cellStyle name="Normal 31 9 7 4" xfId="34602" xr:uid="{00000000-0005-0000-0000-0000AF840000}"/>
    <cellStyle name="Normal 31 9 7 5" xfId="34603" xr:uid="{00000000-0005-0000-0000-0000B0840000}"/>
    <cellStyle name="Normal 31 9 7 6" xfId="34604" xr:uid="{00000000-0005-0000-0000-0000B1840000}"/>
    <cellStyle name="Normal 31 9 8" xfId="34605" xr:uid="{00000000-0005-0000-0000-0000B2840000}"/>
    <cellStyle name="Normal 31 9 8 2" xfId="34606" xr:uid="{00000000-0005-0000-0000-0000B3840000}"/>
    <cellStyle name="Normal 31 9 8 3" xfId="34607" xr:uid="{00000000-0005-0000-0000-0000B4840000}"/>
    <cellStyle name="Normal 31 9 8 4" xfId="34608" xr:uid="{00000000-0005-0000-0000-0000B5840000}"/>
    <cellStyle name="Normal 31 9 8 5" xfId="34609" xr:uid="{00000000-0005-0000-0000-0000B6840000}"/>
    <cellStyle name="Normal 31 9 8 6" xfId="34610" xr:uid="{00000000-0005-0000-0000-0000B7840000}"/>
    <cellStyle name="Normal 31 9 9" xfId="34611" xr:uid="{00000000-0005-0000-0000-0000B8840000}"/>
    <cellStyle name="Normal 32" xfId="1812" xr:uid="{00000000-0005-0000-0000-0000B9840000}"/>
    <cellStyle name="Normal 32 10" xfId="34612" xr:uid="{00000000-0005-0000-0000-0000BA840000}"/>
    <cellStyle name="Normal 32 10 10" xfId="34613" xr:uid="{00000000-0005-0000-0000-0000BB840000}"/>
    <cellStyle name="Normal 32 10 11" xfId="34614" xr:uid="{00000000-0005-0000-0000-0000BC840000}"/>
    <cellStyle name="Normal 32 10 12" xfId="34615" xr:uid="{00000000-0005-0000-0000-0000BD840000}"/>
    <cellStyle name="Normal 32 10 13" xfId="34616" xr:uid="{00000000-0005-0000-0000-0000BE840000}"/>
    <cellStyle name="Normal 32 10 2" xfId="34617" xr:uid="{00000000-0005-0000-0000-0000BF840000}"/>
    <cellStyle name="Normal 32 10 2 2" xfId="34618" xr:uid="{00000000-0005-0000-0000-0000C0840000}"/>
    <cellStyle name="Normal 32 10 2 3" xfId="34619" xr:uid="{00000000-0005-0000-0000-0000C1840000}"/>
    <cellStyle name="Normal 32 10 2 4" xfId="34620" xr:uid="{00000000-0005-0000-0000-0000C2840000}"/>
    <cellStyle name="Normal 32 10 2 5" xfId="34621" xr:uid="{00000000-0005-0000-0000-0000C3840000}"/>
    <cellStyle name="Normal 32 10 2 6" xfId="34622" xr:uid="{00000000-0005-0000-0000-0000C4840000}"/>
    <cellStyle name="Normal 32 10 3" xfId="34623" xr:uid="{00000000-0005-0000-0000-0000C5840000}"/>
    <cellStyle name="Normal 32 10 3 2" xfId="34624" xr:uid="{00000000-0005-0000-0000-0000C6840000}"/>
    <cellStyle name="Normal 32 10 3 3" xfId="34625" xr:uid="{00000000-0005-0000-0000-0000C7840000}"/>
    <cellStyle name="Normal 32 10 3 4" xfId="34626" xr:uid="{00000000-0005-0000-0000-0000C8840000}"/>
    <cellStyle name="Normal 32 10 3 5" xfId="34627" xr:uid="{00000000-0005-0000-0000-0000C9840000}"/>
    <cellStyle name="Normal 32 10 3 6" xfId="34628" xr:uid="{00000000-0005-0000-0000-0000CA840000}"/>
    <cellStyle name="Normal 32 10 4" xfId="34629" xr:uid="{00000000-0005-0000-0000-0000CB840000}"/>
    <cellStyle name="Normal 32 10 4 2" xfId="34630" xr:uid="{00000000-0005-0000-0000-0000CC840000}"/>
    <cellStyle name="Normal 32 10 4 3" xfId="34631" xr:uid="{00000000-0005-0000-0000-0000CD840000}"/>
    <cellStyle name="Normal 32 10 4 4" xfId="34632" xr:uid="{00000000-0005-0000-0000-0000CE840000}"/>
    <cellStyle name="Normal 32 10 4 5" xfId="34633" xr:uid="{00000000-0005-0000-0000-0000CF840000}"/>
    <cellStyle name="Normal 32 10 4 6" xfId="34634" xr:uid="{00000000-0005-0000-0000-0000D0840000}"/>
    <cellStyle name="Normal 32 10 5" xfId="34635" xr:uid="{00000000-0005-0000-0000-0000D1840000}"/>
    <cellStyle name="Normal 32 10 5 2" xfId="34636" xr:uid="{00000000-0005-0000-0000-0000D2840000}"/>
    <cellStyle name="Normal 32 10 5 3" xfId="34637" xr:uid="{00000000-0005-0000-0000-0000D3840000}"/>
    <cellStyle name="Normal 32 10 5 4" xfId="34638" xr:uid="{00000000-0005-0000-0000-0000D4840000}"/>
    <cellStyle name="Normal 32 10 5 5" xfId="34639" xr:uid="{00000000-0005-0000-0000-0000D5840000}"/>
    <cellStyle name="Normal 32 10 5 6" xfId="34640" xr:uid="{00000000-0005-0000-0000-0000D6840000}"/>
    <cellStyle name="Normal 32 10 6" xfId="34641" xr:uid="{00000000-0005-0000-0000-0000D7840000}"/>
    <cellStyle name="Normal 32 10 6 2" xfId="34642" xr:uid="{00000000-0005-0000-0000-0000D8840000}"/>
    <cellStyle name="Normal 32 10 6 3" xfId="34643" xr:uid="{00000000-0005-0000-0000-0000D9840000}"/>
    <cellStyle name="Normal 32 10 6 4" xfId="34644" xr:uid="{00000000-0005-0000-0000-0000DA840000}"/>
    <cellStyle name="Normal 32 10 6 5" xfId="34645" xr:uid="{00000000-0005-0000-0000-0000DB840000}"/>
    <cellStyle name="Normal 32 10 6 6" xfId="34646" xr:uid="{00000000-0005-0000-0000-0000DC840000}"/>
    <cellStyle name="Normal 32 10 7" xfId="34647" xr:uid="{00000000-0005-0000-0000-0000DD840000}"/>
    <cellStyle name="Normal 32 10 7 2" xfId="34648" xr:uid="{00000000-0005-0000-0000-0000DE840000}"/>
    <cellStyle name="Normal 32 10 7 3" xfId="34649" xr:uid="{00000000-0005-0000-0000-0000DF840000}"/>
    <cellStyle name="Normal 32 10 7 4" xfId="34650" xr:uid="{00000000-0005-0000-0000-0000E0840000}"/>
    <cellStyle name="Normal 32 10 7 5" xfId="34651" xr:uid="{00000000-0005-0000-0000-0000E1840000}"/>
    <cellStyle name="Normal 32 10 7 6" xfId="34652" xr:uid="{00000000-0005-0000-0000-0000E2840000}"/>
    <cellStyle name="Normal 32 10 8" xfId="34653" xr:uid="{00000000-0005-0000-0000-0000E3840000}"/>
    <cellStyle name="Normal 32 10 8 2" xfId="34654" xr:uid="{00000000-0005-0000-0000-0000E4840000}"/>
    <cellStyle name="Normal 32 10 8 3" xfId="34655" xr:uid="{00000000-0005-0000-0000-0000E5840000}"/>
    <cellStyle name="Normal 32 10 8 4" xfId="34656" xr:uid="{00000000-0005-0000-0000-0000E6840000}"/>
    <cellStyle name="Normal 32 10 8 5" xfId="34657" xr:uid="{00000000-0005-0000-0000-0000E7840000}"/>
    <cellStyle name="Normal 32 10 8 6" xfId="34658" xr:uid="{00000000-0005-0000-0000-0000E8840000}"/>
    <cellStyle name="Normal 32 10 9" xfId="34659" xr:uid="{00000000-0005-0000-0000-0000E9840000}"/>
    <cellStyle name="Normal 32 11" xfId="34660" xr:uid="{00000000-0005-0000-0000-0000EA840000}"/>
    <cellStyle name="Normal 32 11 10" xfId="34661" xr:uid="{00000000-0005-0000-0000-0000EB840000}"/>
    <cellStyle name="Normal 32 11 11" xfId="34662" xr:uid="{00000000-0005-0000-0000-0000EC840000}"/>
    <cellStyle name="Normal 32 11 12" xfId="34663" xr:uid="{00000000-0005-0000-0000-0000ED840000}"/>
    <cellStyle name="Normal 32 11 13" xfId="34664" xr:uid="{00000000-0005-0000-0000-0000EE840000}"/>
    <cellStyle name="Normal 32 11 2" xfId="34665" xr:uid="{00000000-0005-0000-0000-0000EF840000}"/>
    <cellStyle name="Normal 32 11 2 2" xfId="34666" xr:uid="{00000000-0005-0000-0000-0000F0840000}"/>
    <cellStyle name="Normal 32 11 2 3" xfId="34667" xr:uid="{00000000-0005-0000-0000-0000F1840000}"/>
    <cellStyle name="Normal 32 11 2 4" xfId="34668" xr:uid="{00000000-0005-0000-0000-0000F2840000}"/>
    <cellStyle name="Normal 32 11 2 5" xfId="34669" xr:uid="{00000000-0005-0000-0000-0000F3840000}"/>
    <cellStyle name="Normal 32 11 2 6" xfId="34670" xr:uid="{00000000-0005-0000-0000-0000F4840000}"/>
    <cellStyle name="Normal 32 11 3" xfId="34671" xr:uid="{00000000-0005-0000-0000-0000F5840000}"/>
    <cellStyle name="Normal 32 11 3 2" xfId="34672" xr:uid="{00000000-0005-0000-0000-0000F6840000}"/>
    <cellStyle name="Normal 32 11 3 3" xfId="34673" xr:uid="{00000000-0005-0000-0000-0000F7840000}"/>
    <cellStyle name="Normal 32 11 3 4" xfId="34674" xr:uid="{00000000-0005-0000-0000-0000F8840000}"/>
    <cellStyle name="Normal 32 11 3 5" xfId="34675" xr:uid="{00000000-0005-0000-0000-0000F9840000}"/>
    <cellStyle name="Normal 32 11 3 6" xfId="34676" xr:uid="{00000000-0005-0000-0000-0000FA840000}"/>
    <cellStyle name="Normal 32 11 4" xfId="34677" xr:uid="{00000000-0005-0000-0000-0000FB840000}"/>
    <cellStyle name="Normal 32 11 4 2" xfId="34678" xr:uid="{00000000-0005-0000-0000-0000FC840000}"/>
    <cellStyle name="Normal 32 11 4 3" xfId="34679" xr:uid="{00000000-0005-0000-0000-0000FD840000}"/>
    <cellStyle name="Normal 32 11 4 4" xfId="34680" xr:uid="{00000000-0005-0000-0000-0000FE840000}"/>
    <cellStyle name="Normal 32 11 4 5" xfId="34681" xr:uid="{00000000-0005-0000-0000-0000FF840000}"/>
    <cellStyle name="Normal 32 11 4 6" xfId="34682" xr:uid="{00000000-0005-0000-0000-000000850000}"/>
    <cellStyle name="Normal 32 11 5" xfId="34683" xr:uid="{00000000-0005-0000-0000-000001850000}"/>
    <cellStyle name="Normal 32 11 5 2" xfId="34684" xr:uid="{00000000-0005-0000-0000-000002850000}"/>
    <cellStyle name="Normal 32 11 5 3" xfId="34685" xr:uid="{00000000-0005-0000-0000-000003850000}"/>
    <cellStyle name="Normal 32 11 5 4" xfId="34686" xr:uid="{00000000-0005-0000-0000-000004850000}"/>
    <cellStyle name="Normal 32 11 5 5" xfId="34687" xr:uid="{00000000-0005-0000-0000-000005850000}"/>
    <cellStyle name="Normal 32 11 5 6" xfId="34688" xr:uid="{00000000-0005-0000-0000-000006850000}"/>
    <cellStyle name="Normal 32 11 6" xfId="34689" xr:uid="{00000000-0005-0000-0000-000007850000}"/>
    <cellStyle name="Normal 32 11 6 2" xfId="34690" xr:uid="{00000000-0005-0000-0000-000008850000}"/>
    <cellStyle name="Normal 32 11 6 3" xfId="34691" xr:uid="{00000000-0005-0000-0000-000009850000}"/>
    <cellStyle name="Normal 32 11 6 4" xfId="34692" xr:uid="{00000000-0005-0000-0000-00000A850000}"/>
    <cellStyle name="Normal 32 11 6 5" xfId="34693" xr:uid="{00000000-0005-0000-0000-00000B850000}"/>
    <cellStyle name="Normal 32 11 6 6" xfId="34694" xr:uid="{00000000-0005-0000-0000-00000C850000}"/>
    <cellStyle name="Normal 32 11 7" xfId="34695" xr:uid="{00000000-0005-0000-0000-00000D850000}"/>
    <cellStyle name="Normal 32 11 7 2" xfId="34696" xr:uid="{00000000-0005-0000-0000-00000E850000}"/>
    <cellStyle name="Normal 32 11 7 3" xfId="34697" xr:uid="{00000000-0005-0000-0000-00000F850000}"/>
    <cellStyle name="Normal 32 11 7 4" xfId="34698" xr:uid="{00000000-0005-0000-0000-000010850000}"/>
    <cellStyle name="Normal 32 11 7 5" xfId="34699" xr:uid="{00000000-0005-0000-0000-000011850000}"/>
    <cellStyle name="Normal 32 11 7 6" xfId="34700" xr:uid="{00000000-0005-0000-0000-000012850000}"/>
    <cellStyle name="Normal 32 11 8" xfId="34701" xr:uid="{00000000-0005-0000-0000-000013850000}"/>
    <cellStyle name="Normal 32 11 8 2" xfId="34702" xr:uid="{00000000-0005-0000-0000-000014850000}"/>
    <cellStyle name="Normal 32 11 8 3" xfId="34703" xr:uid="{00000000-0005-0000-0000-000015850000}"/>
    <cellStyle name="Normal 32 11 8 4" xfId="34704" xr:uid="{00000000-0005-0000-0000-000016850000}"/>
    <cellStyle name="Normal 32 11 8 5" xfId="34705" xr:uid="{00000000-0005-0000-0000-000017850000}"/>
    <cellStyle name="Normal 32 11 8 6" xfId="34706" xr:uid="{00000000-0005-0000-0000-000018850000}"/>
    <cellStyle name="Normal 32 11 9" xfId="34707" xr:uid="{00000000-0005-0000-0000-000019850000}"/>
    <cellStyle name="Normal 32 12" xfId="34708" xr:uid="{00000000-0005-0000-0000-00001A850000}"/>
    <cellStyle name="Normal 32 12 2" xfId="34709" xr:uid="{00000000-0005-0000-0000-00001B850000}"/>
    <cellStyle name="Normal 32 12 3" xfId="34710" xr:uid="{00000000-0005-0000-0000-00001C850000}"/>
    <cellStyle name="Normal 32 12 4" xfId="34711" xr:uid="{00000000-0005-0000-0000-00001D850000}"/>
    <cellStyle name="Normal 32 12 5" xfId="34712" xr:uid="{00000000-0005-0000-0000-00001E850000}"/>
    <cellStyle name="Normal 32 12 6" xfId="34713" xr:uid="{00000000-0005-0000-0000-00001F850000}"/>
    <cellStyle name="Normal 32 13" xfId="34714" xr:uid="{00000000-0005-0000-0000-000020850000}"/>
    <cellStyle name="Normal 32 13 2" xfId="34715" xr:uid="{00000000-0005-0000-0000-000021850000}"/>
    <cellStyle name="Normal 32 13 3" xfId="34716" xr:uid="{00000000-0005-0000-0000-000022850000}"/>
    <cellStyle name="Normal 32 13 4" xfId="34717" xr:uid="{00000000-0005-0000-0000-000023850000}"/>
    <cellStyle name="Normal 32 13 5" xfId="34718" xr:uid="{00000000-0005-0000-0000-000024850000}"/>
    <cellStyle name="Normal 32 13 6" xfId="34719" xr:uid="{00000000-0005-0000-0000-000025850000}"/>
    <cellStyle name="Normal 32 14" xfId="34720" xr:uid="{00000000-0005-0000-0000-000026850000}"/>
    <cellStyle name="Normal 32 14 2" xfId="34721" xr:uid="{00000000-0005-0000-0000-000027850000}"/>
    <cellStyle name="Normal 32 14 3" xfId="34722" xr:uid="{00000000-0005-0000-0000-000028850000}"/>
    <cellStyle name="Normal 32 14 4" xfId="34723" xr:uid="{00000000-0005-0000-0000-000029850000}"/>
    <cellStyle name="Normal 32 14 5" xfId="34724" xr:uid="{00000000-0005-0000-0000-00002A850000}"/>
    <cellStyle name="Normal 32 14 6" xfId="34725" xr:uid="{00000000-0005-0000-0000-00002B850000}"/>
    <cellStyle name="Normal 32 15" xfId="34726" xr:uid="{00000000-0005-0000-0000-00002C850000}"/>
    <cellStyle name="Normal 32 15 2" xfId="34727" xr:uid="{00000000-0005-0000-0000-00002D850000}"/>
    <cellStyle name="Normal 32 15 3" xfId="34728" xr:uid="{00000000-0005-0000-0000-00002E850000}"/>
    <cellStyle name="Normal 32 15 4" xfId="34729" xr:uid="{00000000-0005-0000-0000-00002F850000}"/>
    <cellStyle name="Normal 32 15 5" xfId="34730" xr:uid="{00000000-0005-0000-0000-000030850000}"/>
    <cellStyle name="Normal 32 15 6" xfId="34731" xr:uid="{00000000-0005-0000-0000-000031850000}"/>
    <cellStyle name="Normal 32 16" xfId="34732" xr:uid="{00000000-0005-0000-0000-000032850000}"/>
    <cellStyle name="Normal 32 16 2" xfId="34733" xr:uid="{00000000-0005-0000-0000-000033850000}"/>
    <cellStyle name="Normal 32 16 3" xfId="34734" xr:uid="{00000000-0005-0000-0000-000034850000}"/>
    <cellStyle name="Normal 32 16 4" xfId="34735" xr:uid="{00000000-0005-0000-0000-000035850000}"/>
    <cellStyle name="Normal 32 16 5" xfId="34736" xr:uid="{00000000-0005-0000-0000-000036850000}"/>
    <cellStyle name="Normal 32 16 6" xfId="34737" xr:uid="{00000000-0005-0000-0000-000037850000}"/>
    <cellStyle name="Normal 32 17" xfId="34738" xr:uid="{00000000-0005-0000-0000-000038850000}"/>
    <cellStyle name="Normal 32 17 2" xfId="34739" xr:uid="{00000000-0005-0000-0000-000039850000}"/>
    <cellStyle name="Normal 32 17 3" xfId="34740" xr:uid="{00000000-0005-0000-0000-00003A850000}"/>
    <cellStyle name="Normal 32 17 4" xfId="34741" xr:uid="{00000000-0005-0000-0000-00003B850000}"/>
    <cellStyle name="Normal 32 17 5" xfId="34742" xr:uid="{00000000-0005-0000-0000-00003C850000}"/>
    <cellStyle name="Normal 32 17 6" xfId="34743" xr:uid="{00000000-0005-0000-0000-00003D850000}"/>
    <cellStyle name="Normal 32 18" xfId="34744" xr:uid="{00000000-0005-0000-0000-00003E850000}"/>
    <cellStyle name="Normal 32 18 2" xfId="34745" xr:uid="{00000000-0005-0000-0000-00003F850000}"/>
    <cellStyle name="Normal 32 18 3" xfId="34746" xr:uid="{00000000-0005-0000-0000-000040850000}"/>
    <cellStyle name="Normal 32 18 4" xfId="34747" xr:uid="{00000000-0005-0000-0000-000041850000}"/>
    <cellStyle name="Normal 32 18 5" xfId="34748" xr:uid="{00000000-0005-0000-0000-000042850000}"/>
    <cellStyle name="Normal 32 18 6" xfId="34749" xr:uid="{00000000-0005-0000-0000-000043850000}"/>
    <cellStyle name="Normal 32 19" xfId="34750" xr:uid="{00000000-0005-0000-0000-000044850000}"/>
    <cellStyle name="Normal 32 2" xfId="1664" xr:uid="{00000000-0005-0000-0000-000045850000}"/>
    <cellStyle name="Normal 32 2 10" xfId="34751" xr:uid="{00000000-0005-0000-0000-000046850000}"/>
    <cellStyle name="Normal 32 2 11" xfId="34752" xr:uid="{00000000-0005-0000-0000-000047850000}"/>
    <cellStyle name="Normal 32 2 12" xfId="34753" xr:uid="{00000000-0005-0000-0000-000048850000}"/>
    <cellStyle name="Normal 32 2 13" xfId="34754" xr:uid="{00000000-0005-0000-0000-000049850000}"/>
    <cellStyle name="Normal 32 2 2" xfId="34755" xr:uid="{00000000-0005-0000-0000-00004A850000}"/>
    <cellStyle name="Normal 32 2 2 2" xfId="34756" xr:uid="{00000000-0005-0000-0000-00004B850000}"/>
    <cellStyle name="Normal 32 2 2 3" xfId="34757" xr:uid="{00000000-0005-0000-0000-00004C850000}"/>
    <cellStyle name="Normal 32 2 2 4" xfId="34758" xr:uid="{00000000-0005-0000-0000-00004D850000}"/>
    <cellStyle name="Normal 32 2 2 5" xfId="34759" xr:uid="{00000000-0005-0000-0000-00004E850000}"/>
    <cellStyle name="Normal 32 2 2 6" xfId="34760" xr:uid="{00000000-0005-0000-0000-00004F850000}"/>
    <cellStyle name="Normal 32 2 3" xfId="34761" xr:uid="{00000000-0005-0000-0000-000050850000}"/>
    <cellStyle name="Normal 32 2 3 2" xfId="34762" xr:uid="{00000000-0005-0000-0000-000051850000}"/>
    <cellStyle name="Normal 32 2 3 3" xfId="34763" xr:uid="{00000000-0005-0000-0000-000052850000}"/>
    <cellStyle name="Normal 32 2 3 4" xfId="34764" xr:uid="{00000000-0005-0000-0000-000053850000}"/>
    <cellStyle name="Normal 32 2 3 5" xfId="34765" xr:uid="{00000000-0005-0000-0000-000054850000}"/>
    <cellStyle name="Normal 32 2 3 6" xfId="34766" xr:uid="{00000000-0005-0000-0000-000055850000}"/>
    <cellStyle name="Normal 32 2 4" xfId="34767" xr:uid="{00000000-0005-0000-0000-000056850000}"/>
    <cellStyle name="Normal 32 2 4 2" xfId="34768" xr:uid="{00000000-0005-0000-0000-000057850000}"/>
    <cellStyle name="Normal 32 2 4 3" xfId="34769" xr:uid="{00000000-0005-0000-0000-000058850000}"/>
    <cellStyle name="Normal 32 2 4 4" xfId="34770" xr:uid="{00000000-0005-0000-0000-000059850000}"/>
    <cellStyle name="Normal 32 2 4 5" xfId="34771" xr:uid="{00000000-0005-0000-0000-00005A850000}"/>
    <cellStyle name="Normal 32 2 4 6" xfId="34772" xr:uid="{00000000-0005-0000-0000-00005B850000}"/>
    <cellStyle name="Normal 32 2 5" xfId="34773" xr:uid="{00000000-0005-0000-0000-00005C850000}"/>
    <cellStyle name="Normal 32 2 5 2" xfId="34774" xr:uid="{00000000-0005-0000-0000-00005D850000}"/>
    <cellStyle name="Normal 32 2 5 3" xfId="34775" xr:uid="{00000000-0005-0000-0000-00005E850000}"/>
    <cellStyle name="Normal 32 2 5 4" xfId="34776" xr:uid="{00000000-0005-0000-0000-00005F850000}"/>
    <cellStyle name="Normal 32 2 5 5" xfId="34777" xr:uid="{00000000-0005-0000-0000-000060850000}"/>
    <cellStyle name="Normal 32 2 5 6" xfId="34778" xr:uid="{00000000-0005-0000-0000-000061850000}"/>
    <cellStyle name="Normal 32 2 6" xfId="34779" xr:uid="{00000000-0005-0000-0000-000062850000}"/>
    <cellStyle name="Normal 32 2 6 2" xfId="34780" xr:uid="{00000000-0005-0000-0000-000063850000}"/>
    <cellStyle name="Normal 32 2 6 3" xfId="34781" xr:uid="{00000000-0005-0000-0000-000064850000}"/>
    <cellStyle name="Normal 32 2 6 4" xfId="34782" xr:uid="{00000000-0005-0000-0000-000065850000}"/>
    <cellStyle name="Normal 32 2 6 5" xfId="34783" xr:uid="{00000000-0005-0000-0000-000066850000}"/>
    <cellStyle name="Normal 32 2 6 6" xfId="34784" xr:uid="{00000000-0005-0000-0000-000067850000}"/>
    <cellStyle name="Normal 32 2 7" xfId="34785" xr:uid="{00000000-0005-0000-0000-000068850000}"/>
    <cellStyle name="Normal 32 2 7 2" xfId="34786" xr:uid="{00000000-0005-0000-0000-000069850000}"/>
    <cellStyle name="Normal 32 2 7 3" xfId="34787" xr:uid="{00000000-0005-0000-0000-00006A850000}"/>
    <cellStyle name="Normal 32 2 7 4" xfId="34788" xr:uid="{00000000-0005-0000-0000-00006B850000}"/>
    <cellStyle name="Normal 32 2 7 5" xfId="34789" xr:uid="{00000000-0005-0000-0000-00006C850000}"/>
    <cellStyle name="Normal 32 2 7 6" xfId="34790" xr:uid="{00000000-0005-0000-0000-00006D850000}"/>
    <cellStyle name="Normal 32 2 8" xfId="34791" xr:uid="{00000000-0005-0000-0000-00006E850000}"/>
    <cellStyle name="Normal 32 2 8 2" xfId="34792" xr:uid="{00000000-0005-0000-0000-00006F850000}"/>
    <cellStyle name="Normal 32 2 8 3" xfId="34793" xr:uid="{00000000-0005-0000-0000-000070850000}"/>
    <cellStyle name="Normal 32 2 8 4" xfId="34794" xr:uid="{00000000-0005-0000-0000-000071850000}"/>
    <cellStyle name="Normal 32 2 8 5" xfId="34795" xr:uid="{00000000-0005-0000-0000-000072850000}"/>
    <cellStyle name="Normal 32 2 8 6" xfId="34796" xr:uid="{00000000-0005-0000-0000-000073850000}"/>
    <cellStyle name="Normal 32 2 9" xfId="34797" xr:uid="{00000000-0005-0000-0000-000074850000}"/>
    <cellStyle name="Normal 32 20" xfId="34798" xr:uid="{00000000-0005-0000-0000-000075850000}"/>
    <cellStyle name="Normal 32 21" xfId="34799" xr:uid="{00000000-0005-0000-0000-000076850000}"/>
    <cellStyle name="Normal 32 22" xfId="34800" xr:uid="{00000000-0005-0000-0000-000077850000}"/>
    <cellStyle name="Normal 32 23" xfId="34801" xr:uid="{00000000-0005-0000-0000-000078850000}"/>
    <cellStyle name="Normal 32 3" xfId="34802" xr:uid="{00000000-0005-0000-0000-000079850000}"/>
    <cellStyle name="Normal 32 3 10" xfId="34803" xr:uid="{00000000-0005-0000-0000-00007A850000}"/>
    <cellStyle name="Normal 32 3 11" xfId="34804" xr:uid="{00000000-0005-0000-0000-00007B850000}"/>
    <cellStyle name="Normal 32 3 12" xfId="34805" xr:uid="{00000000-0005-0000-0000-00007C850000}"/>
    <cellStyle name="Normal 32 3 13" xfId="34806" xr:uid="{00000000-0005-0000-0000-00007D850000}"/>
    <cellStyle name="Normal 32 3 2" xfId="34807" xr:uid="{00000000-0005-0000-0000-00007E850000}"/>
    <cellStyle name="Normal 32 3 2 2" xfId="34808" xr:uid="{00000000-0005-0000-0000-00007F850000}"/>
    <cellStyle name="Normal 32 3 2 3" xfId="34809" xr:uid="{00000000-0005-0000-0000-000080850000}"/>
    <cellStyle name="Normal 32 3 2 4" xfId="34810" xr:uid="{00000000-0005-0000-0000-000081850000}"/>
    <cellStyle name="Normal 32 3 2 5" xfId="34811" xr:uid="{00000000-0005-0000-0000-000082850000}"/>
    <cellStyle name="Normal 32 3 2 6" xfId="34812" xr:uid="{00000000-0005-0000-0000-000083850000}"/>
    <cellStyle name="Normal 32 3 3" xfId="34813" xr:uid="{00000000-0005-0000-0000-000084850000}"/>
    <cellStyle name="Normal 32 3 3 2" xfId="34814" xr:uid="{00000000-0005-0000-0000-000085850000}"/>
    <cellStyle name="Normal 32 3 3 3" xfId="34815" xr:uid="{00000000-0005-0000-0000-000086850000}"/>
    <cellStyle name="Normal 32 3 3 4" xfId="34816" xr:uid="{00000000-0005-0000-0000-000087850000}"/>
    <cellStyle name="Normal 32 3 3 5" xfId="34817" xr:uid="{00000000-0005-0000-0000-000088850000}"/>
    <cellStyle name="Normal 32 3 3 6" xfId="34818" xr:uid="{00000000-0005-0000-0000-000089850000}"/>
    <cellStyle name="Normal 32 3 4" xfId="34819" xr:uid="{00000000-0005-0000-0000-00008A850000}"/>
    <cellStyle name="Normal 32 3 4 2" xfId="34820" xr:uid="{00000000-0005-0000-0000-00008B850000}"/>
    <cellStyle name="Normal 32 3 4 3" xfId="34821" xr:uid="{00000000-0005-0000-0000-00008C850000}"/>
    <cellStyle name="Normal 32 3 4 4" xfId="34822" xr:uid="{00000000-0005-0000-0000-00008D850000}"/>
    <cellStyle name="Normal 32 3 4 5" xfId="34823" xr:uid="{00000000-0005-0000-0000-00008E850000}"/>
    <cellStyle name="Normal 32 3 4 6" xfId="34824" xr:uid="{00000000-0005-0000-0000-00008F850000}"/>
    <cellStyle name="Normal 32 3 5" xfId="34825" xr:uid="{00000000-0005-0000-0000-000090850000}"/>
    <cellStyle name="Normal 32 3 5 2" xfId="34826" xr:uid="{00000000-0005-0000-0000-000091850000}"/>
    <cellStyle name="Normal 32 3 5 3" xfId="34827" xr:uid="{00000000-0005-0000-0000-000092850000}"/>
    <cellStyle name="Normal 32 3 5 4" xfId="34828" xr:uid="{00000000-0005-0000-0000-000093850000}"/>
    <cellStyle name="Normal 32 3 5 5" xfId="34829" xr:uid="{00000000-0005-0000-0000-000094850000}"/>
    <cellStyle name="Normal 32 3 5 6" xfId="34830" xr:uid="{00000000-0005-0000-0000-000095850000}"/>
    <cellStyle name="Normal 32 3 6" xfId="34831" xr:uid="{00000000-0005-0000-0000-000096850000}"/>
    <cellStyle name="Normal 32 3 6 2" xfId="34832" xr:uid="{00000000-0005-0000-0000-000097850000}"/>
    <cellStyle name="Normal 32 3 6 3" xfId="34833" xr:uid="{00000000-0005-0000-0000-000098850000}"/>
    <cellStyle name="Normal 32 3 6 4" xfId="34834" xr:uid="{00000000-0005-0000-0000-000099850000}"/>
    <cellStyle name="Normal 32 3 6 5" xfId="34835" xr:uid="{00000000-0005-0000-0000-00009A850000}"/>
    <cellStyle name="Normal 32 3 6 6" xfId="34836" xr:uid="{00000000-0005-0000-0000-00009B850000}"/>
    <cellStyle name="Normal 32 3 7" xfId="34837" xr:uid="{00000000-0005-0000-0000-00009C850000}"/>
    <cellStyle name="Normal 32 3 7 2" xfId="34838" xr:uid="{00000000-0005-0000-0000-00009D850000}"/>
    <cellStyle name="Normal 32 3 7 3" xfId="34839" xr:uid="{00000000-0005-0000-0000-00009E850000}"/>
    <cellStyle name="Normal 32 3 7 4" xfId="34840" xr:uid="{00000000-0005-0000-0000-00009F850000}"/>
    <cellStyle name="Normal 32 3 7 5" xfId="34841" xr:uid="{00000000-0005-0000-0000-0000A0850000}"/>
    <cellStyle name="Normal 32 3 7 6" xfId="34842" xr:uid="{00000000-0005-0000-0000-0000A1850000}"/>
    <cellStyle name="Normal 32 3 8" xfId="34843" xr:uid="{00000000-0005-0000-0000-0000A2850000}"/>
    <cellStyle name="Normal 32 3 8 2" xfId="34844" xr:uid="{00000000-0005-0000-0000-0000A3850000}"/>
    <cellStyle name="Normal 32 3 8 3" xfId="34845" xr:uid="{00000000-0005-0000-0000-0000A4850000}"/>
    <cellStyle name="Normal 32 3 8 4" xfId="34846" xr:uid="{00000000-0005-0000-0000-0000A5850000}"/>
    <cellStyle name="Normal 32 3 8 5" xfId="34847" xr:uid="{00000000-0005-0000-0000-0000A6850000}"/>
    <cellStyle name="Normal 32 3 8 6" xfId="34848" xr:uid="{00000000-0005-0000-0000-0000A7850000}"/>
    <cellStyle name="Normal 32 3 9" xfId="34849" xr:uid="{00000000-0005-0000-0000-0000A8850000}"/>
    <cellStyle name="Normal 32 4" xfId="34850" xr:uid="{00000000-0005-0000-0000-0000A9850000}"/>
    <cellStyle name="Normal 32 4 10" xfId="34851" xr:uid="{00000000-0005-0000-0000-0000AA850000}"/>
    <cellStyle name="Normal 32 4 11" xfId="34852" xr:uid="{00000000-0005-0000-0000-0000AB850000}"/>
    <cellStyle name="Normal 32 4 12" xfId="34853" xr:uid="{00000000-0005-0000-0000-0000AC850000}"/>
    <cellStyle name="Normal 32 4 13" xfId="34854" xr:uid="{00000000-0005-0000-0000-0000AD850000}"/>
    <cellStyle name="Normal 32 4 2" xfId="34855" xr:uid="{00000000-0005-0000-0000-0000AE850000}"/>
    <cellStyle name="Normal 32 4 2 2" xfId="34856" xr:uid="{00000000-0005-0000-0000-0000AF850000}"/>
    <cellStyle name="Normal 32 4 2 3" xfId="34857" xr:uid="{00000000-0005-0000-0000-0000B0850000}"/>
    <cellStyle name="Normal 32 4 2 4" xfId="34858" xr:uid="{00000000-0005-0000-0000-0000B1850000}"/>
    <cellStyle name="Normal 32 4 2 5" xfId="34859" xr:uid="{00000000-0005-0000-0000-0000B2850000}"/>
    <cellStyle name="Normal 32 4 2 6" xfId="34860" xr:uid="{00000000-0005-0000-0000-0000B3850000}"/>
    <cellStyle name="Normal 32 4 3" xfId="34861" xr:uid="{00000000-0005-0000-0000-0000B4850000}"/>
    <cellStyle name="Normal 32 4 3 2" xfId="34862" xr:uid="{00000000-0005-0000-0000-0000B5850000}"/>
    <cellStyle name="Normal 32 4 3 3" xfId="34863" xr:uid="{00000000-0005-0000-0000-0000B6850000}"/>
    <cellStyle name="Normal 32 4 3 4" xfId="34864" xr:uid="{00000000-0005-0000-0000-0000B7850000}"/>
    <cellStyle name="Normal 32 4 3 5" xfId="34865" xr:uid="{00000000-0005-0000-0000-0000B8850000}"/>
    <cellStyle name="Normal 32 4 3 6" xfId="34866" xr:uid="{00000000-0005-0000-0000-0000B9850000}"/>
    <cellStyle name="Normal 32 4 4" xfId="34867" xr:uid="{00000000-0005-0000-0000-0000BA850000}"/>
    <cellStyle name="Normal 32 4 4 2" xfId="34868" xr:uid="{00000000-0005-0000-0000-0000BB850000}"/>
    <cellStyle name="Normal 32 4 4 3" xfId="34869" xr:uid="{00000000-0005-0000-0000-0000BC850000}"/>
    <cellStyle name="Normal 32 4 4 4" xfId="34870" xr:uid="{00000000-0005-0000-0000-0000BD850000}"/>
    <cellStyle name="Normal 32 4 4 5" xfId="34871" xr:uid="{00000000-0005-0000-0000-0000BE850000}"/>
    <cellStyle name="Normal 32 4 4 6" xfId="34872" xr:uid="{00000000-0005-0000-0000-0000BF850000}"/>
    <cellStyle name="Normal 32 4 5" xfId="34873" xr:uid="{00000000-0005-0000-0000-0000C0850000}"/>
    <cellStyle name="Normal 32 4 5 2" xfId="34874" xr:uid="{00000000-0005-0000-0000-0000C1850000}"/>
    <cellStyle name="Normal 32 4 5 3" xfId="34875" xr:uid="{00000000-0005-0000-0000-0000C2850000}"/>
    <cellStyle name="Normal 32 4 5 4" xfId="34876" xr:uid="{00000000-0005-0000-0000-0000C3850000}"/>
    <cellStyle name="Normal 32 4 5 5" xfId="34877" xr:uid="{00000000-0005-0000-0000-0000C4850000}"/>
    <cellStyle name="Normal 32 4 5 6" xfId="34878" xr:uid="{00000000-0005-0000-0000-0000C5850000}"/>
    <cellStyle name="Normal 32 4 6" xfId="34879" xr:uid="{00000000-0005-0000-0000-0000C6850000}"/>
    <cellStyle name="Normal 32 4 6 2" xfId="34880" xr:uid="{00000000-0005-0000-0000-0000C7850000}"/>
    <cellStyle name="Normal 32 4 6 3" xfId="34881" xr:uid="{00000000-0005-0000-0000-0000C8850000}"/>
    <cellStyle name="Normal 32 4 6 4" xfId="34882" xr:uid="{00000000-0005-0000-0000-0000C9850000}"/>
    <cellStyle name="Normal 32 4 6 5" xfId="34883" xr:uid="{00000000-0005-0000-0000-0000CA850000}"/>
    <cellStyle name="Normal 32 4 6 6" xfId="34884" xr:uid="{00000000-0005-0000-0000-0000CB850000}"/>
    <cellStyle name="Normal 32 4 7" xfId="34885" xr:uid="{00000000-0005-0000-0000-0000CC850000}"/>
    <cellStyle name="Normal 32 4 7 2" xfId="34886" xr:uid="{00000000-0005-0000-0000-0000CD850000}"/>
    <cellStyle name="Normal 32 4 7 3" xfId="34887" xr:uid="{00000000-0005-0000-0000-0000CE850000}"/>
    <cellStyle name="Normal 32 4 7 4" xfId="34888" xr:uid="{00000000-0005-0000-0000-0000CF850000}"/>
    <cellStyle name="Normal 32 4 7 5" xfId="34889" xr:uid="{00000000-0005-0000-0000-0000D0850000}"/>
    <cellStyle name="Normal 32 4 7 6" xfId="34890" xr:uid="{00000000-0005-0000-0000-0000D1850000}"/>
    <cellStyle name="Normal 32 4 8" xfId="34891" xr:uid="{00000000-0005-0000-0000-0000D2850000}"/>
    <cellStyle name="Normal 32 4 8 2" xfId="34892" xr:uid="{00000000-0005-0000-0000-0000D3850000}"/>
    <cellStyle name="Normal 32 4 8 3" xfId="34893" xr:uid="{00000000-0005-0000-0000-0000D4850000}"/>
    <cellStyle name="Normal 32 4 8 4" xfId="34894" xr:uid="{00000000-0005-0000-0000-0000D5850000}"/>
    <cellStyle name="Normal 32 4 8 5" xfId="34895" xr:uid="{00000000-0005-0000-0000-0000D6850000}"/>
    <cellStyle name="Normal 32 4 8 6" xfId="34896" xr:uid="{00000000-0005-0000-0000-0000D7850000}"/>
    <cellStyle name="Normal 32 4 9" xfId="34897" xr:uid="{00000000-0005-0000-0000-0000D8850000}"/>
    <cellStyle name="Normal 32 5" xfId="34898" xr:uid="{00000000-0005-0000-0000-0000D9850000}"/>
    <cellStyle name="Normal 32 5 10" xfId="34899" xr:uid="{00000000-0005-0000-0000-0000DA850000}"/>
    <cellStyle name="Normal 32 5 11" xfId="34900" xr:uid="{00000000-0005-0000-0000-0000DB850000}"/>
    <cellStyle name="Normal 32 5 12" xfId="34901" xr:uid="{00000000-0005-0000-0000-0000DC850000}"/>
    <cellStyle name="Normal 32 5 13" xfId="34902" xr:uid="{00000000-0005-0000-0000-0000DD850000}"/>
    <cellStyle name="Normal 32 5 2" xfId="34903" xr:uid="{00000000-0005-0000-0000-0000DE850000}"/>
    <cellStyle name="Normal 32 5 2 2" xfId="34904" xr:uid="{00000000-0005-0000-0000-0000DF850000}"/>
    <cellStyle name="Normal 32 5 2 3" xfId="34905" xr:uid="{00000000-0005-0000-0000-0000E0850000}"/>
    <cellStyle name="Normal 32 5 2 4" xfId="34906" xr:uid="{00000000-0005-0000-0000-0000E1850000}"/>
    <cellStyle name="Normal 32 5 2 5" xfId="34907" xr:uid="{00000000-0005-0000-0000-0000E2850000}"/>
    <cellStyle name="Normal 32 5 2 6" xfId="34908" xr:uid="{00000000-0005-0000-0000-0000E3850000}"/>
    <cellStyle name="Normal 32 5 3" xfId="34909" xr:uid="{00000000-0005-0000-0000-0000E4850000}"/>
    <cellStyle name="Normal 32 5 3 2" xfId="34910" xr:uid="{00000000-0005-0000-0000-0000E5850000}"/>
    <cellStyle name="Normal 32 5 3 3" xfId="34911" xr:uid="{00000000-0005-0000-0000-0000E6850000}"/>
    <cellStyle name="Normal 32 5 3 4" xfId="34912" xr:uid="{00000000-0005-0000-0000-0000E7850000}"/>
    <cellStyle name="Normal 32 5 3 5" xfId="34913" xr:uid="{00000000-0005-0000-0000-0000E8850000}"/>
    <cellStyle name="Normal 32 5 3 6" xfId="34914" xr:uid="{00000000-0005-0000-0000-0000E9850000}"/>
    <cellStyle name="Normal 32 5 4" xfId="34915" xr:uid="{00000000-0005-0000-0000-0000EA850000}"/>
    <cellStyle name="Normal 32 5 4 2" xfId="34916" xr:uid="{00000000-0005-0000-0000-0000EB850000}"/>
    <cellStyle name="Normal 32 5 4 3" xfId="34917" xr:uid="{00000000-0005-0000-0000-0000EC850000}"/>
    <cellStyle name="Normal 32 5 4 4" xfId="34918" xr:uid="{00000000-0005-0000-0000-0000ED850000}"/>
    <cellStyle name="Normal 32 5 4 5" xfId="34919" xr:uid="{00000000-0005-0000-0000-0000EE850000}"/>
    <cellStyle name="Normal 32 5 4 6" xfId="34920" xr:uid="{00000000-0005-0000-0000-0000EF850000}"/>
    <cellStyle name="Normal 32 5 5" xfId="34921" xr:uid="{00000000-0005-0000-0000-0000F0850000}"/>
    <cellStyle name="Normal 32 5 5 2" xfId="34922" xr:uid="{00000000-0005-0000-0000-0000F1850000}"/>
    <cellStyle name="Normal 32 5 5 3" xfId="34923" xr:uid="{00000000-0005-0000-0000-0000F2850000}"/>
    <cellStyle name="Normal 32 5 5 4" xfId="34924" xr:uid="{00000000-0005-0000-0000-0000F3850000}"/>
    <cellStyle name="Normal 32 5 5 5" xfId="34925" xr:uid="{00000000-0005-0000-0000-0000F4850000}"/>
    <cellStyle name="Normal 32 5 5 6" xfId="34926" xr:uid="{00000000-0005-0000-0000-0000F5850000}"/>
    <cellStyle name="Normal 32 5 6" xfId="34927" xr:uid="{00000000-0005-0000-0000-0000F6850000}"/>
    <cellStyle name="Normal 32 5 6 2" xfId="34928" xr:uid="{00000000-0005-0000-0000-0000F7850000}"/>
    <cellStyle name="Normal 32 5 6 3" xfId="34929" xr:uid="{00000000-0005-0000-0000-0000F8850000}"/>
    <cellStyle name="Normal 32 5 6 4" xfId="34930" xr:uid="{00000000-0005-0000-0000-0000F9850000}"/>
    <cellStyle name="Normal 32 5 6 5" xfId="34931" xr:uid="{00000000-0005-0000-0000-0000FA850000}"/>
    <cellStyle name="Normal 32 5 6 6" xfId="34932" xr:uid="{00000000-0005-0000-0000-0000FB850000}"/>
    <cellStyle name="Normal 32 5 7" xfId="34933" xr:uid="{00000000-0005-0000-0000-0000FC850000}"/>
    <cellStyle name="Normal 32 5 7 2" xfId="34934" xr:uid="{00000000-0005-0000-0000-0000FD850000}"/>
    <cellStyle name="Normal 32 5 7 3" xfId="34935" xr:uid="{00000000-0005-0000-0000-0000FE850000}"/>
    <cellStyle name="Normal 32 5 7 4" xfId="34936" xr:uid="{00000000-0005-0000-0000-0000FF850000}"/>
    <cellStyle name="Normal 32 5 7 5" xfId="34937" xr:uid="{00000000-0005-0000-0000-000000860000}"/>
    <cellStyle name="Normal 32 5 7 6" xfId="34938" xr:uid="{00000000-0005-0000-0000-000001860000}"/>
    <cellStyle name="Normal 32 5 8" xfId="34939" xr:uid="{00000000-0005-0000-0000-000002860000}"/>
    <cellStyle name="Normal 32 5 8 2" xfId="34940" xr:uid="{00000000-0005-0000-0000-000003860000}"/>
    <cellStyle name="Normal 32 5 8 3" xfId="34941" xr:uid="{00000000-0005-0000-0000-000004860000}"/>
    <cellStyle name="Normal 32 5 8 4" xfId="34942" xr:uid="{00000000-0005-0000-0000-000005860000}"/>
    <cellStyle name="Normal 32 5 8 5" xfId="34943" xr:uid="{00000000-0005-0000-0000-000006860000}"/>
    <cellStyle name="Normal 32 5 8 6" xfId="34944" xr:uid="{00000000-0005-0000-0000-000007860000}"/>
    <cellStyle name="Normal 32 5 9" xfId="34945" xr:uid="{00000000-0005-0000-0000-000008860000}"/>
    <cellStyle name="Normal 32 6" xfId="34946" xr:uid="{00000000-0005-0000-0000-000009860000}"/>
    <cellStyle name="Normal 32 6 10" xfId="34947" xr:uid="{00000000-0005-0000-0000-00000A860000}"/>
    <cellStyle name="Normal 32 6 11" xfId="34948" xr:uid="{00000000-0005-0000-0000-00000B860000}"/>
    <cellStyle name="Normal 32 6 12" xfId="34949" xr:uid="{00000000-0005-0000-0000-00000C860000}"/>
    <cellStyle name="Normal 32 6 13" xfId="34950" xr:uid="{00000000-0005-0000-0000-00000D860000}"/>
    <cellStyle name="Normal 32 6 2" xfId="34951" xr:uid="{00000000-0005-0000-0000-00000E860000}"/>
    <cellStyle name="Normal 32 6 2 2" xfId="34952" xr:uid="{00000000-0005-0000-0000-00000F860000}"/>
    <cellStyle name="Normal 32 6 2 3" xfId="34953" xr:uid="{00000000-0005-0000-0000-000010860000}"/>
    <cellStyle name="Normal 32 6 2 4" xfId="34954" xr:uid="{00000000-0005-0000-0000-000011860000}"/>
    <cellStyle name="Normal 32 6 2 5" xfId="34955" xr:uid="{00000000-0005-0000-0000-000012860000}"/>
    <cellStyle name="Normal 32 6 2 6" xfId="34956" xr:uid="{00000000-0005-0000-0000-000013860000}"/>
    <cellStyle name="Normal 32 6 3" xfId="34957" xr:uid="{00000000-0005-0000-0000-000014860000}"/>
    <cellStyle name="Normal 32 6 3 2" xfId="34958" xr:uid="{00000000-0005-0000-0000-000015860000}"/>
    <cellStyle name="Normal 32 6 3 3" xfId="34959" xr:uid="{00000000-0005-0000-0000-000016860000}"/>
    <cellStyle name="Normal 32 6 3 4" xfId="34960" xr:uid="{00000000-0005-0000-0000-000017860000}"/>
    <cellStyle name="Normal 32 6 3 5" xfId="34961" xr:uid="{00000000-0005-0000-0000-000018860000}"/>
    <cellStyle name="Normal 32 6 3 6" xfId="34962" xr:uid="{00000000-0005-0000-0000-000019860000}"/>
    <cellStyle name="Normal 32 6 4" xfId="34963" xr:uid="{00000000-0005-0000-0000-00001A860000}"/>
    <cellStyle name="Normal 32 6 4 2" xfId="34964" xr:uid="{00000000-0005-0000-0000-00001B860000}"/>
    <cellStyle name="Normal 32 6 4 3" xfId="34965" xr:uid="{00000000-0005-0000-0000-00001C860000}"/>
    <cellStyle name="Normal 32 6 4 4" xfId="34966" xr:uid="{00000000-0005-0000-0000-00001D860000}"/>
    <cellStyle name="Normal 32 6 4 5" xfId="34967" xr:uid="{00000000-0005-0000-0000-00001E860000}"/>
    <cellStyle name="Normal 32 6 4 6" xfId="34968" xr:uid="{00000000-0005-0000-0000-00001F860000}"/>
    <cellStyle name="Normal 32 6 5" xfId="34969" xr:uid="{00000000-0005-0000-0000-000020860000}"/>
    <cellStyle name="Normal 32 6 5 2" xfId="34970" xr:uid="{00000000-0005-0000-0000-000021860000}"/>
    <cellStyle name="Normal 32 6 5 3" xfId="34971" xr:uid="{00000000-0005-0000-0000-000022860000}"/>
    <cellStyle name="Normal 32 6 5 4" xfId="34972" xr:uid="{00000000-0005-0000-0000-000023860000}"/>
    <cellStyle name="Normal 32 6 5 5" xfId="34973" xr:uid="{00000000-0005-0000-0000-000024860000}"/>
    <cellStyle name="Normal 32 6 5 6" xfId="34974" xr:uid="{00000000-0005-0000-0000-000025860000}"/>
    <cellStyle name="Normal 32 6 6" xfId="34975" xr:uid="{00000000-0005-0000-0000-000026860000}"/>
    <cellStyle name="Normal 32 6 6 2" xfId="34976" xr:uid="{00000000-0005-0000-0000-000027860000}"/>
    <cellStyle name="Normal 32 6 6 3" xfId="34977" xr:uid="{00000000-0005-0000-0000-000028860000}"/>
    <cellStyle name="Normal 32 6 6 4" xfId="34978" xr:uid="{00000000-0005-0000-0000-000029860000}"/>
    <cellStyle name="Normal 32 6 6 5" xfId="34979" xr:uid="{00000000-0005-0000-0000-00002A860000}"/>
    <cellStyle name="Normal 32 6 6 6" xfId="34980" xr:uid="{00000000-0005-0000-0000-00002B860000}"/>
    <cellStyle name="Normal 32 6 7" xfId="34981" xr:uid="{00000000-0005-0000-0000-00002C860000}"/>
    <cellStyle name="Normal 32 6 7 2" xfId="34982" xr:uid="{00000000-0005-0000-0000-00002D860000}"/>
    <cellStyle name="Normal 32 6 7 3" xfId="34983" xr:uid="{00000000-0005-0000-0000-00002E860000}"/>
    <cellStyle name="Normal 32 6 7 4" xfId="34984" xr:uid="{00000000-0005-0000-0000-00002F860000}"/>
    <cellStyle name="Normal 32 6 7 5" xfId="34985" xr:uid="{00000000-0005-0000-0000-000030860000}"/>
    <cellStyle name="Normal 32 6 7 6" xfId="34986" xr:uid="{00000000-0005-0000-0000-000031860000}"/>
    <cellStyle name="Normal 32 6 8" xfId="34987" xr:uid="{00000000-0005-0000-0000-000032860000}"/>
    <cellStyle name="Normal 32 6 8 2" xfId="34988" xr:uid="{00000000-0005-0000-0000-000033860000}"/>
    <cellStyle name="Normal 32 6 8 3" xfId="34989" xr:uid="{00000000-0005-0000-0000-000034860000}"/>
    <cellStyle name="Normal 32 6 8 4" xfId="34990" xr:uid="{00000000-0005-0000-0000-000035860000}"/>
    <cellStyle name="Normal 32 6 8 5" xfId="34991" xr:uid="{00000000-0005-0000-0000-000036860000}"/>
    <cellStyle name="Normal 32 6 8 6" xfId="34992" xr:uid="{00000000-0005-0000-0000-000037860000}"/>
    <cellStyle name="Normal 32 6 9" xfId="34993" xr:uid="{00000000-0005-0000-0000-000038860000}"/>
    <cellStyle name="Normal 32 7" xfId="34994" xr:uid="{00000000-0005-0000-0000-000039860000}"/>
    <cellStyle name="Normal 32 7 10" xfId="34995" xr:uid="{00000000-0005-0000-0000-00003A860000}"/>
    <cellStyle name="Normal 32 7 11" xfId="34996" xr:uid="{00000000-0005-0000-0000-00003B860000}"/>
    <cellStyle name="Normal 32 7 12" xfId="34997" xr:uid="{00000000-0005-0000-0000-00003C860000}"/>
    <cellStyle name="Normal 32 7 13" xfId="34998" xr:uid="{00000000-0005-0000-0000-00003D860000}"/>
    <cellStyle name="Normal 32 7 2" xfId="34999" xr:uid="{00000000-0005-0000-0000-00003E860000}"/>
    <cellStyle name="Normal 32 7 2 2" xfId="35000" xr:uid="{00000000-0005-0000-0000-00003F860000}"/>
    <cellStyle name="Normal 32 7 2 3" xfId="35001" xr:uid="{00000000-0005-0000-0000-000040860000}"/>
    <cellStyle name="Normal 32 7 2 4" xfId="35002" xr:uid="{00000000-0005-0000-0000-000041860000}"/>
    <cellStyle name="Normal 32 7 2 5" xfId="35003" xr:uid="{00000000-0005-0000-0000-000042860000}"/>
    <cellStyle name="Normal 32 7 2 6" xfId="35004" xr:uid="{00000000-0005-0000-0000-000043860000}"/>
    <cellStyle name="Normal 32 7 3" xfId="35005" xr:uid="{00000000-0005-0000-0000-000044860000}"/>
    <cellStyle name="Normal 32 7 3 2" xfId="35006" xr:uid="{00000000-0005-0000-0000-000045860000}"/>
    <cellStyle name="Normal 32 7 3 3" xfId="35007" xr:uid="{00000000-0005-0000-0000-000046860000}"/>
    <cellStyle name="Normal 32 7 3 4" xfId="35008" xr:uid="{00000000-0005-0000-0000-000047860000}"/>
    <cellStyle name="Normal 32 7 3 5" xfId="35009" xr:uid="{00000000-0005-0000-0000-000048860000}"/>
    <cellStyle name="Normal 32 7 3 6" xfId="35010" xr:uid="{00000000-0005-0000-0000-000049860000}"/>
    <cellStyle name="Normal 32 7 4" xfId="35011" xr:uid="{00000000-0005-0000-0000-00004A860000}"/>
    <cellStyle name="Normal 32 7 4 2" xfId="35012" xr:uid="{00000000-0005-0000-0000-00004B860000}"/>
    <cellStyle name="Normal 32 7 4 3" xfId="35013" xr:uid="{00000000-0005-0000-0000-00004C860000}"/>
    <cellStyle name="Normal 32 7 4 4" xfId="35014" xr:uid="{00000000-0005-0000-0000-00004D860000}"/>
    <cellStyle name="Normal 32 7 4 5" xfId="35015" xr:uid="{00000000-0005-0000-0000-00004E860000}"/>
    <cellStyle name="Normal 32 7 4 6" xfId="35016" xr:uid="{00000000-0005-0000-0000-00004F860000}"/>
    <cellStyle name="Normal 32 7 5" xfId="35017" xr:uid="{00000000-0005-0000-0000-000050860000}"/>
    <cellStyle name="Normal 32 7 5 2" xfId="35018" xr:uid="{00000000-0005-0000-0000-000051860000}"/>
    <cellStyle name="Normal 32 7 5 3" xfId="35019" xr:uid="{00000000-0005-0000-0000-000052860000}"/>
    <cellStyle name="Normal 32 7 5 4" xfId="35020" xr:uid="{00000000-0005-0000-0000-000053860000}"/>
    <cellStyle name="Normal 32 7 5 5" xfId="35021" xr:uid="{00000000-0005-0000-0000-000054860000}"/>
    <cellStyle name="Normal 32 7 5 6" xfId="35022" xr:uid="{00000000-0005-0000-0000-000055860000}"/>
    <cellStyle name="Normal 32 7 6" xfId="35023" xr:uid="{00000000-0005-0000-0000-000056860000}"/>
    <cellStyle name="Normal 32 7 6 2" xfId="35024" xr:uid="{00000000-0005-0000-0000-000057860000}"/>
    <cellStyle name="Normal 32 7 6 3" xfId="35025" xr:uid="{00000000-0005-0000-0000-000058860000}"/>
    <cellStyle name="Normal 32 7 6 4" xfId="35026" xr:uid="{00000000-0005-0000-0000-000059860000}"/>
    <cellStyle name="Normal 32 7 6 5" xfId="35027" xr:uid="{00000000-0005-0000-0000-00005A860000}"/>
    <cellStyle name="Normal 32 7 6 6" xfId="35028" xr:uid="{00000000-0005-0000-0000-00005B860000}"/>
    <cellStyle name="Normal 32 7 7" xfId="35029" xr:uid="{00000000-0005-0000-0000-00005C860000}"/>
    <cellStyle name="Normal 32 7 7 2" xfId="35030" xr:uid="{00000000-0005-0000-0000-00005D860000}"/>
    <cellStyle name="Normal 32 7 7 3" xfId="35031" xr:uid="{00000000-0005-0000-0000-00005E860000}"/>
    <cellStyle name="Normal 32 7 7 4" xfId="35032" xr:uid="{00000000-0005-0000-0000-00005F860000}"/>
    <cellStyle name="Normal 32 7 7 5" xfId="35033" xr:uid="{00000000-0005-0000-0000-000060860000}"/>
    <cellStyle name="Normal 32 7 7 6" xfId="35034" xr:uid="{00000000-0005-0000-0000-000061860000}"/>
    <cellStyle name="Normal 32 7 8" xfId="35035" xr:uid="{00000000-0005-0000-0000-000062860000}"/>
    <cellStyle name="Normal 32 7 8 2" xfId="35036" xr:uid="{00000000-0005-0000-0000-000063860000}"/>
    <cellStyle name="Normal 32 7 8 3" xfId="35037" xr:uid="{00000000-0005-0000-0000-000064860000}"/>
    <cellStyle name="Normal 32 7 8 4" xfId="35038" xr:uid="{00000000-0005-0000-0000-000065860000}"/>
    <cellStyle name="Normal 32 7 8 5" xfId="35039" xr:uid="{00000000-0005-0000-0000-000066860000}"/>
    <cellStyle name="Normal 32 7 8 6" xfId="35040" xr:uid="{00000000-0005-0000-0000-000067860000}"/>
    <cellStyle name="Normal 32 7 9" xfId="35041" xr:uid="{00000000-0005-0000-0000-000068860000}"/>
    <cellStyle name="Normal 32 8" xfId="35042" xr:uid="{00000000-0005-0000-0000-000069860000}"/>
    <cellStyle name="Normal 32 8 10" xfId="35043" xr:uid="{00000000-0005-0000-0000-00006A860000}"/>
    <cellStyle name="Normal 32 8 11" xfId="35044" xr:uid="{00000000-0005-0000-0000-00006B860000}"/>
    <cellStyle name="Normal 32 8 12" xfId="35045" xr:uid="{00000000-0005-0000-0000-00006C860000}"/>
    <cellStyle name="Normal 32 8 13" xfId="35046" xr:uid="{00000000-0005-0000-0000-00006D860000}"/>
    <cellStyle name="Normal 32 8 2" xfId="35047" xr:uid="{00000000-0005-0000-0000-00006E860000}"/>
    <cellStyle name="Normal 32 8 2 2" xfId="35048" xr:uid="{00000000-0005-0000-0000-00006F860000}"/>
    <cellStyle name="Normal 32 8 2 3" xfId="35049" xr:uid="{00000000-0005-0000-0000-000070860000}"/>
    <cellStyle name="Normal 32 8 2 4" xfId="35050" xr:uid="{00000000-0005-0000-0000-000071860000}"/>
    <cellStyle name="Normal 32 8 2 5" xfId="35051" xr:uid="{00000000-0005-0000-0000-000072860000}"/>
    <cellStyle name="Normal 32 8 2 6" xfId="35052" xr:uid="{00000000-0005-0000-0000-000073860000}"/>
    <cellStyle name="Normal 32 8 3" xfId="35053" xr:uid="{00000000-0005-0000-0000-000074860000}"/>
    <cellStyle name="Normal 32 8 3 2" xfId="35054" xr:uid="{00000000-0005-0000-0000-000075860000}"/>
    <cellStyle name="Normal 32 8 3 3" xfId="35055" xr:uid="{00000000-0005-0000-0000-000076860000}"/>
    <cellStyle name="Normal 32 8 3 4" xfId="35056" xr:uid="{00000000-0005-0000-0000-000077860000}"/>
    <cellStyle name="Normal 32 8 3 5" xfId="35057" xr:uid="{00000000-0005-0000-0000-000078860000}"/>
    <cellStyle name="Normal 32 8 3 6" xfId="35058" xr:uid="{00000000-0005-0000-0000-000079860000}"/>
    <cellStyle name="Normal 32 8 4" xfId="35059" xr:uid="{00000000-0005-0000-0000-00007A860000}"/>
    <cellStyle name="Normal 32 8 4 2" xfId="35060" xr:uid="{00000000-0005-0000-0000-00007B860000}"/>
    <cellStyle name="Normal 32 8 4 3" xfId="35061" xr:uid="{00000000-0005-0000-0000-00007C860000}"/>
    <cellStyle name="Normal 32 8 4 4" xfId="35062" xr:uid="{00000000-0005-0000-0000-00007D860000}"/>
    <cellStyle name="Normal 32 8 4 5" xfId="35063" xr:uid="{00000000-0005-0000-0000-00007E860000}"/>
    <cellStyle name="Normal 32 8 4 6" xfId="35064" xr:uid="{00000000-0005-0000-0000-00007F860000}"/>
    <cellStyle name="Normal 32 8 5" xfId="35065" xr:uid="{00000000-0005-0000-0000-000080860000}"/>
    <cellStyle name="Normal 32 8 5 2" xfId="35066" xr:uid="{00000000-0005-0000-0000-000081860000}"/>
    <cellStyle name="Normal 32 8 5 3" xfId="35067" xr:uid="{00000000-0005-0000-0000-000082860000}"/>
    <cellStyle name="Normal 32 8 5 4" xfId="35068" xr:uid="{00000000-0005-0000-0000-000083860000}"/>
    <cellStyle name="Normal 32 8 5 5" xfId="35069" xr:uid="{00000000-0005-0000-0000-000084860000}"/>
    <cellStyle name="Normal 32 8 5 6" xfId="35070" xr:uid="{00000000-0005-0000-0000-000085860000}"/>
    <cellStyle name="Normal 32 8 6" xfId="35071" xr:uid="{00000000-0005-0000-0000-000086860000}"/>
    <cellStyle name="Normal 32 8 6 2" xfId="35072" xr:uid="{00000000-0005-0000-0000-000087860000}"/>
    <cellStyle name="Normal 32 8 6 3" xfId="35073" xr:uid="{00000000-0005-0000-0000-000088860000}"/>
    <cellStyle name="Normal 32 8 6 4" xfId="35074" xr:uid="{00000000-0005-0000-0000-000089860000}"/>
    <cellStyle name="Normal 32 8 6 5" xfId="35075" xr:uid="{00000000-0005-0000-0000-00008A860000}"/>
    <cellStyle name="Normal 32 8 6 6" xfId="35076" xr:uid="{00000000-0005-0000-0000-00008B860000}"/>
    <cellStyle name="Normal 32 8 7" xfId="35077" xr:uid="{00000000-0005-0000-0000-00008C860000}"/>
    <cellStyle name="Normal 32 8 7 2" xfId="35078" xr:uid="{00000000-0005-0000-0000-00008D860000}"/>
    <cellStyle name="Normal 32 8 7 3" xfId="35079" xr:uid="{00000000-0005-0000-0000-00008E860000}"/>
    <cellStyle name="Normal 32 8 7 4" xfId="35080" xr:uid="{00000000-0005-0000-0000-00008F860000}"/>
    <cellStyle name="Normal 32 8 7 5" xfId="35081" xr:uid="{00000000-0005-0000-0000-000090860000}"/>
    <cellStyle name="Normal 32 8 7 6" xfId="35082" xr:uid="{00000000-0005-0000-0000-000091860000}"/>
    <cellStyle name="Normal 32 8 8" xfId="35083" xr:uid="{00000000-0005-0000-0000-000092860000}"/>
    <cellStyle name="Normal 32 8 8 2" xfId="35084" xr:uid="{00000000-0005-0000-0000-000093860000}"/>
    <cellStyle name="Normal 32 8 8 3" xfId="35085" xr:uid="{00000000-0005-0000-0000-000094860000}"/>
    <cellStyle name="Normal 32 8 8 4" xfId="35086" xr:uid="{00000000-0005-0000-0000-000095860000}"/>
    <cellStyle name="Normal 32 8 8 5" xfId="35087" xr:uid="{00000000-0005-0000-0000-000096860000}"/>
    <cellStyle name="Normal 32 8 8 6" xfId="35088" xr:uid="{00000000-0005-0000-0000-000097860000}"/>
    <cellStyle name="Normal 32 8 9" xfId="35089" xr:uid="{00000000-0005-0000-0000-000098860000}"/>
    <cellStyle name="Normal 32 9" xfId="35090" xr:uid="{00000000-0005-0000-0000-000099860000}"/>
    <cellStyle name="Normal 32 9 10" xfId="35091" xr:uid="{00000000-0005-0000-0000-00009A860000}"/>
    <cellStyle name="Normal 32 9 11" xfId="35092" xr:uid="{00000000-0005-0000-0000-00009B860000}"/>
    <cellStyle name="Normal 32 9 12" xfId="35093" xr:uid="{00000000-0005-0000-0000-00009C860000}"/>
    <cellStyle name="Normal 32 9 13" xfId="35094" xr:uid="{00000000-0005-0000-0000-00009D860000}"/>
    <cellStyle name="Normal 32 9 2" xfId="35095" xr:uid="{00000000-0005-0000-0000-00009E860000}"/>
    <cellStyle name="Normal 32 9 2 2" xfId="35096" xr:uid="{00000000-0005-0000-0000-00009F860000}"/>
    <cellStyle name="Normal 32 9 2 3" xfId="35097" xr:uid="{00000000-0005-0000-0000-0000A0860000}"/>
    <cellStyle name="Normal 32 9 2 4" xfId="35098" xr:uid="{00000000-0005-0000-0000-0000A1860000}"/>
    <cellStyle name="Normal 32 9 2 5" xfId="35099" xr:uid="{00000000-0005-0000-0000-0000A2860000}"/>
    <cellStyle name="Normal 32 9 2 6" xfId="35100" xr:uid="{00000000-0005-0000-0000-0000A3860000}"/>
    <cellStyle name="Normal 32 9 3" xfId="35101" xr:uid="{00000000-0005-0000-0000-0000A4860000}"/>
    <cellStyle name="Normal 32 9 3 2" xfId="35102" xr:uid="{00000000-0005-0000-0000-0000A5860000}"/>
    <cellStyle name="Normal 32 9 3 3" xfId="35103" xr:uid="{00000000-0005-0000-0000-0000A6860000}"/>
    <cellStyle name="Normal 32 9 3 4" xfId="35104" xr:uid="{00000000-0005-0000-0000-0000A7860000}"/>
    <cellStyle name="Normal 32 9 3 5" xfId="35105" xr:uid="{00000000-0005-0000-0000-0000A8860000}"/>
    <cellStyle name="Normal 32 9 3 6" xfId="35106" xr:uid="{00000000-0005-0000-0000-0000A9860000}"/>
    <cellStyle name="Normal 32 9 4" xfId="35107" xr:uid="{00000000-0005-0000-0000-0000AA860000}"/>
    <cellStyle name="Normal 32 9 4 2" xfId="35108" xr:uid="{00000000-0005-0000-0000-0000AB860000}"/>
    <cellStyle name="Normal 32 9 4 3" xfId="35109" xr:uid="{00000000-0005-0000-0000-0000AC860000}"/>
    <cellStyle name="Normal 32 9 4 4" xfId="35110" xr:uid="{00000000-0005-0000-0000-0000AD860000}"/>
    <cellStyle name="Normal 32 9 4 5" xfId="35111" xr:uid="{00000000-0005-0000-0000-0000AE860000}"/>
    <cellStyle name="Normal 32 9 4 6" xfId="35112" xr:uid="{00000000-0005-0000-0000-0000AF860000}"/>
    <cellStyle name="Normal 32 9 5" xfId="35113" xr:uid="{00000000-0005-0000-0000-0000B0860000}"/>
    <cellStyle name="Normal 32 9 5 2" xfId="35114" xr:uid="{00000000-0005-0000-0000-0000B1860000}"/>
    <cellStyle name="Normal 32 9 5 3" xfId="35115" xr:uid="{00000000-0005-0000-0000-0000B2860000}"/>
    <cellStyle name="Normal 32 9 5 4" xfId="35116" xr:uid="{00000000-0005-0000-0000-0000B3860000}"/>
    <cellStyle name="Normal 32 9 5 5" xfId="35117" xr:uid="{00000000-0005-0000-0000-0000B4860000}"/>
    <cellStyle name="Normal 32 9 5 6" xfId="35118" xr:uid="{00000000-0005-0000-0000-0000B5860000}"/>
    <cellStyle name="Normal 32 9 6" xfId="35119" xr:uid="{00000000-0005-0000-0000-0000B6860000}"/>
    <cellStyle name="Normal 32 9 6 2" xfId="35120" xr:uid="{00000000-0005-0000-0000-0000B7860000}"/>
    <cellStyle name="Normal 32 9 6 3" xfId="35121" xr:uid="{00000000-0005-0000-0000-0000B8860000}"/>
    <cellStyle name="Normal 32 9 6 4" xfId="35122" xr:uid="{00000000-0005-0000-0000-0000B9860000}"/>
    <cellStyle name="Normal 32 9 6 5" xfId="35123" xr:uid="{00000000-0005-0000-0000-0000BA860000}"/>
    <cellStyle name="Normal 32 9 6 6" xfId="35124" xr:uid="{00000000-0005-0000-0000-0000BB860000}"/>
    <cellStyle name="Normal 32 9 7" xfId="35125" xr:uid="{00000000-0005-0000-0000-0000BC860000}"/>
    <cellStyle name="Normal 32 9 7 2" xfId="35126" xr:uid="{00000000-0005-0000-0000-0000BD860000}"/>
    <cellStyle name="Normal 32 9 7 3" xfId="35127" xr:uid="{00000000-0005-0000-0000-0000BE860000}"/>
    <cellStyle name="Normal 32 9 7 4" xfId="35128" xr:uid="{00000000-0005-0000-0000-0000BF860000}"/>
    <cellStyle name="Normal 32 9 7 5" xfId="35129" xr:uid="{00000000-0005-0000-0000-0000C0860000}"/>
    <cellStyle name="Normal 32 9 7 6" xfId="35130" xr:uid="{00000000-0005-0000-0000-0000C1860000}"/>
    <cellStyle name="Normal 32 9 8" xfId="35131" xr:uid="{00000000-0005-0000-0000-0000C2860000}"/>
    <cellStyle name="Normal 32 9 8 2" xfId="35132" xr:uid="{00000000-0005-0000-0000-0000C3860000}"/>
    <cellStyle name="Normal 32 9 8 3" xfId="35133" xr:uid="{00000000-0005-0000-0000-0000C4860000}"/>
    <cellStyle name="Normal 32 9 8 4" xfId="35134" xr:uid="{00000000-0005-0000-0000-0000C5860000}"/>
    <cellStyle name="Normal 32 9 8 5" xfId="35135" xr:uid="{00000000-0005-0000-0000-0000C6860000}"/>
    <cellStyle name="Normal 32 9 8 6" xfId="35136" xr:uid="{00000000-0005-0000-0000-0000C7860000}"/>
    <cellStyle name="Normal 32 9 9" xfId="35137" xr:uid="{00000000-0005-0000-0000-0000C8860000}"/>
    <cellStyle name="Normal 33" xfId="1890" xr:uid="{00000000-0005-0000-0000-0000C9860000}"/>
    <cellStyle name="Normal 33 10" xfId="35138" xr:uid="{00000000-0005-0000-0000-0000CA860000}"/>
    <cellStyle name="Normal 33 10 10" xfId="35139" xr:uid="{00000000-0005-0000-0000-0000CB860000}"/>
    <cellStyle name="Normal 33 10 11" xfId="35140" xr:uid="{00000000-0005-0000-0000-0000CC860000}"/>
    <cellStyle name="Normal 33 10 12" xfId="35141" xr:uid="{00000000-0005-0000-0000-0000CD860000}"/>
    <cellStyle name="Normal 33 10 13" xfId="35142" xr:uid="{00000000-0005-0000-0000-0000CE860000}"/>
    <cellStyle name="Normal 33 10 2" xfId="35143" xr:uid="{00000000-0005-0000-0000-0000CF860000}"/>
    <cellStyle name="Normal 33 10 2 2" xfId="35144" xr:uid="{00000000-0005-0000-0000-0000D0860000}"/>
    <cellStyle name="Normal 33 10 2 3" xfId="35145" xr:uid="{00000000-0005-0000-0000-0000D1860000}"/>
    <cellStyle name="Normal 33 10 2 4" xfId="35146" xr:uid="{00000000-0005-0000-0000-0000D2860000}"/>
    <cellStyle name="Normal 33 10 2 5" xfId="35147" xr:uid="{00000000-0005-0000-0000-0000D3860000}"/>
    <cellStyle name="Normal 33 10 2 6" xfId="35148" xr:uid="{00000000-0005-0000-0000-0000D4860000}"/>
    <cellStyle name="Normal 33 10 3" xfId="35149" xr:uid="{00000000-0005-0000-0000-0000D5860000}"/>
    <cellStyle name="Normal 33 10 3 2" xfId="35150" xr:uid="{00000000-0005-0000-0000-0000D6860000}"/>
    <cellStyle name="Normal 33 10 3 3" xfId="35151" xr:uid="{00000000-0005-0000-0000-0000D7860000}"/>
    <cellStyle name="Normal 33 10 3 4" xfId="35152" xr:uid="{00000000-0005-0000-0000-0000D8860000}"/>
    <cellStyle name="Normal 33 10 3 5" xfId="35153" xr:uid="{00000000-0005-0000-0000-0000D9860000}"/>
    <cellStyle name="Normal 33 10 3 6" xfId="35154" xr:uid="{00000000-0005-0000-0000-0000DA860000}"/>
    <cellStyle name="Normal 33 10 4" xfId="35155" xr:uid="{00000000-0005-0000-0000-0000DB860000}"/>
    <cellStyle name="Normal 33 10 4 2" xfId="35156" xr:uid="{00000000-0005-0000-0000-0000DC860000}"/>
    <cellStyle name="Normal 33 10 4 3" xfId="35157" xr:uid="{00000000-0005-0000-0000-0000DD860000}"/>
    <cellStyle name="Normal 33 10 4 4" xfId="35158" xr:uid="{00000000-0005-0000-0000-0000DE860000}"/>
    <cellStyle name="Normal 33 10 4 5" xfId="35159" xr:uid="{00000000-0005-0000-0000-0000DF860000}"/>
    <cellStyle name="Normal 33 10 4 6" xfId="35160" xr:uid="{00000000-0005-0000-0000-0000E0860000}"/>
    <cellStyle name="Normal 33 10 5" xfId="35161" xr:uid="{00000000-0005-0000-0000-0000E1860000}"/>
    <cellStyle name="Normal 33 10 5 2" xfId="35162" xr:uid="{00000000-0005-0000-0000-0000E2860000}"/>
    <cellStyle name="Normal 33 10 5 3" xfId="35163" xr:uid="{00000000-0005-0000-0000-0000E3860000}"/>
    <cellStyle name="Normal 33 10 5 4" xfId="35164" xr:uid="{00000000-0005-0000-0000-0000E4860000}"/>
    <cellStyle name="Normal 33 10 5 5" xfId="35165" xr:uid="{00000000-0005-0000-0000-0000E5860000}"/>
    <cellStyle name="Normal 33 10 5 6" xfId="35166" xr:uid="{00000000-0005-0000-0000-0000E6860000}"/>
    <cellStyle name="Normal 33 10 6" xfId="35167" xr:uid="{00000000-0005-0000-0000-0000E7860000}"/>
    <cellStyle name="Normal 33 10 6 2" xfId="35168" xr:uid="{00000000-0005-0000-0000-0000E8860000}"/>
    <cellStyle name="Normal 33 10 6 3" xfId="35169" xr:uid="{00000000-0005-0000-0000-0000E9860000}"/>
    <cellStyle name="Normal 33 10 6 4" xfId="35170" xr:uid="{00000000-0005-0000-0000-0000EA860000}"/>
    <cellStyle name="Normal 33 10 6 5" xfId="35171" xr:uid="{00000000-0005-0000-0000-0000EB860000}"/>
    <cellStyle name="Normal 33 10 6 6" xfId="35172" xr:uid="{00000000-0005-0000-0000-0000EC860000}"/>
    <cellStyle name="Normal 33 10 7" xfId="35173" xr:uid="{00000000-0005-0000-0000-0000ED860000}"/>
    <cellStyle name="Normal 33 10 7 2" xfId="35174" xr:uid="{00000000-0005-0000-0000-0000EE860000}"/>
    <cellStyle name="Normal 33 10 7 3" xfId="35175" xr:uid="{00000000-0005-0000-0000-0000EF860000}"/>
    <cellStyle name="Normal 33 10 7 4" xfId="35176" xr:uid="{00000000-0005-0000-0000-0000F0860000}"/>
    <cellStyle name="Normal 33 10 7 5" xfId="35177" xr:uid="{00000000-0005-0000-0000-0000F1860000}"/>
    <cellStyle name="Normal 33 10 7 6" xfId="35178" xr:uid="{00000000-0005-0000-0000-0000F2860000}"/>
    <cellStyle name="Normal 33 10 8" xfId="35179" xr:uid="{00000000-0005-0000-0000-0000F3860000}"/>
    <cellStyle name="Normal 33 10 8 2" xfId="35180" xr:uid="{00000000-0005-0000-0000-0000F4860000}"/>
    <cellStyle name="Normal 33 10 8 3" xfId="35181" xr:uid="{00000000-0005-0000-0000-0000F5860000}"/>
    <cellStyle name="Normal 33 10 8 4" xfId="35182" xr:uid="{00000000-0005-0000-0000-0000F6860000}"/>
    <cellStyle name="Normal 33 10 8 5" xfId="35183" xr:uid="{00000000-0005-0000-0000-0000F7860000}"/>
    <cellStyle name="Normal 33 10 8 6" xfId="35184" xr:uid="{00000000-0005-0000-0000-0000F8860000}"/>
    <cellStyle name="Normal 33 10 9" xfId="35185" xr:uid="{00000000-0005-0000-0000-0000F9860000}"/>
    <cellStyle name="Normal 33 11" xfId="35186" xr:uid="{00000000-0005-0000-0000-0000FA860000}"/>
    <cellStyle name="Normal 33 11 10" xfId="35187" xr:uid="{00000000-0005-0000-0000-0000FB860000}"/>
    <cellStyle name="Normal 33 11 11" xfId="35188" xr:uid="{00000000-0005-0000-0000-0000FC860000}"/>
    <cellStyle name="Normal 33 11 12" xfId="35189" xr:uid="{00000000-0005-0000-0000-0000FD860000}"/>
    <cellStyle name="Normal 33 11 13" xfId="35190" xr:uid="{00000000-0005-0000-0000-0000FE860000}"/>
    <cellStyle name="Normal 33 11 2" xfId="35191" xr:uid="{00000000-0005-0000-0000-0000FF860000}"/>
    <cellStyle name="Normal 33 11 2 2" xfId="35192" xr:uid="{00000000-0005-0000-0000-000000870000}"/>
    <cellStyle name="Normal 33 11 2 3" xfId="35193" xr:uid="{00000000-0005-0000-0000-000001870000}"/>
    <cellStyle name="Normal 33 11 2 4" xfId="35194" xr:uid="{00000000-0005-0000-0000-000002870000}"/>
    <cellStyle name="Normal 33 11 2 5" xfId="35195" xr:uid="{00000000-0005-0000-0000-000003870000}"/>
    <cellStyle name="Normal 33 11 2 6" xfId="35196" xr:uid="{00000000-0005-0000-0000-000004870000}"/>
    <cellStyle name="Normal 33 11 3" xfId="35197" xr:uid="{00000000-0005-0000-0000-000005870000}"/>
    <cellStyle name="Normal 33 11 3 2" xfId="35198" xr:uid="{00000000-0005-0000-0000-000006870000}"/>
    <cellStyle name="Normal 33 11 3 3" xfId="35199" xr:uid="{00000000-0005-0000-0000-000007870000}"/>
    <cellStyle name="Normal 33 11 3 4" xfId="35200" xr:uid="{00000000-0005-0000-0000-000008870000}"/>
    <cellStyle name="Normal 33 11 3 5" xfId="35201" xr:uid="{00000000-0005-0000-0000-000009870000}"/>
    <cellStyle name="Normal 33 11 3 6" xfId="35202" xr:uid="{00000000-0005-0000-0000-00000A870000}"/>
    <cellStyle name="Normal 33 11 4" xfId="35203" xr:uid="{00000000-0005-0000-0000-00000B870000}"/>
    <cellStyle name="Normal 33 11 4 2" xfId="35204" xr:uid="{00000000-0005-0000-0000-00000C870000}"/>
    <cellStyle name="Normal 33 11 4 3" xfId="35205" xr:uid="{00000000-0005-0000-0000-00000D870000}"/>
    <cellStyle name="Normal 33 11 4 4" xfId="35206" xr:uid="{00000000-0005-0000-0000-00000E870000}"/>
    <cellStyle name="Normal 33 11 4 5" xfId="35207" xr:uid="{00000000-0005-0000-0000-00000F870000}"/>
    <cellStyle name="Normal 33 11 4 6" xfId="35208" xr:uid="{00000000-0005-0000-0000-000010870000}"/>
    <cellStyle name="Normal 33 11 5" xfId="35209" xr:uid="{00000000-0005-0000-0000-000011870000}"/>
    <cellStyle name="Normal 33 11 5 2" xfId="35210" xr:uid="{00000000-0005-0000-0000-000012870000}"/>
    <cellStyle name="Normal 33 11 5 3" xfId="35211" xr:uid="{00000000-0005-0000-0000-000013870000}"/>
    <cellStyle name="Normal 33 11 5 4" xfId="35212" xr:uid="{00000000-0005-0000-0000-000014870000}"/>
    <cellStyle name="Normal 33 11 5 5" xfId="35213" xr:uid="{00000000-0005-0000-0000-000015870000}"/>
    <cellStyle name="Normal 33 11 5 6" xfId="35214" xr:uid="{00000000-0005-0000-0000-000016870000}"/>
    <cellStyle name="Normal 33 11 6" xfId="35215" xr:uid="{00000000-0005-0000-0000-000017870000}"/>
    <cellStyle name="Normal 33 11 6 2" xfId="35216" xr:uid="{00000000-0005-0000-0000-000018870000}"/>
    <cellStyle name="Normal 33 11 6 3" xfId="35217" xr:uid="{00000000-0005-0000-0000-000019870000}"/>
    <cellStyle name="Normal 33 11 6 4" xfId="35218" xr:uid="{00000000-0005-0000-0000-00001A870000}"/>
    <cellStyle name="Normal 33 11 6 5" xfId="35219" xr:uid="{00000000-0005-0000-0000-00001B870000}"/>
    <cellStyle name="Normal 33 11 6 6" xfId="35220" xr:uid="{00000000-0005-0000-0000-00001C870000}"/>
    <cellStyle name="Normal 33 11 7" xfId="35221" xr:uid="{00000000-0005-0000-0000-00001D870000}"/>
    <cellStyle name="Normal 33 11 7 2" xfId="35222" xr:uid="{00000000-0005-0000-0000-00001E870000}"/>
    <cellStyle name="Normal 33 11 7 3" xfId="35223" xr:uid="{00000000-0005-0000-0000-00001F870000}"/>
    <cellStyle name="Normal 33 11 7 4" xfId="35224" xr:uid="{00000000-0005-0000-0000-000020870000}"/>
    <cellStyle name="Normal 33 11 7 5" xfId="35225" xr:uid="{00000000-0005-0000-0000-000021870000}"/>
    <cellStyle name="Normal 33 11 7 6" xfId="35226" xr:uid="{00000000-0005-0000-0000-000022870000}"/>
    <cellStyle name="Normal 33 11 8" xfId="35227" xr:uid="{00000000-0005-0000-0000-000023870000}"/>
    <cellStyle name="Normal 33 11 8 2" xfId="35228" xr:uid="{00000000-0005-0000-0000-000024870000}"/>
    <cellStyle name="Normal 33 11 8 3" xfId="35229" xr:uid="{00000000-0005-0000-0000-000025870000}"/>
    <cellStyle name="Normal 33 11 8 4" xfId="35230" xr:uid="{00000000-0005-0000-0000-000026870000}"/>
    <cellStyle name="Normal 33 11 8 5" xfId="35231" xr:uid="{00000000-0005-0000-0000-000027870000}"/>
    <cellStyle name="Normal 33 11 8 6" xfId="35232" xr:uid="{00000000-0005-0000-0000-000028870000}"/>
    <cellStyle name="Normal 33 11 9" xfId="35233" xr:uid="{00000000-0005-0000-0000-000029870000}"/>
    <cellStyle name="Normal 33 12" xfId="35234" xr:uid="{00000000-0005-0000-0000-00002A870000}"/>
    <cellStyle name="Normal 33 12 2" xfId="35235" xr:uid="{00000000-0005-0000-0000-00002B870000}"/>
    <cellStyle name="Normal 33 12 3" xfId="35236" xr:uid="{00000000-0005-0000-0000-00002C870000}"/>
    <cellStyle name="Normal 33 12 4" xfId="35237" xr:uid="{00000000-0005-0000-0000-00002D870000}"/>
    <cellStyle name="Normal 33 12 5" xfId="35238" xr:uid="{00000000-0005-0000-0000-00002E870000}"/>
    <cellStyle name="Normal 33 12 6" xfId="35239" xr:uid="{00000000-0005-0000-0000-00002F870000}"/>
    <cellStyle name="Normal 33 13" xfId="35240" xr:uid="{00000000-0005-0000-0000-000030870000}"/>
    <cellStyle name="Normal 33 13 2" xfId="35241" xr:uid="{00000000-0005-0000-0000-000031870000}"/>
    <cellStyle name="Normal 33 13 3" xfId="35242" xr:uid="{00000000-0005-0000-0000-000032870000}"/>
    <cellStyle name="Normal 33 13 4" xfId="35243" xr:uid="{00000000-0005-0000-0000-000033870000}"/>
    <cellStyle name="Normal 33 13 5" xfId="35244" xr:uid="{00000000-0005-0000-0000-000034870000}"/>
    <cellStyle name="Normal 33 13 6" xfId="35245" xr:uid="{00000000-0005-0000-0000-000035870000}"/>
    <cellStyle name="Normal 33 14" xfId="35246" xr:uid="{00000000-0005-0000-0000-000036870000}"/>
    <cellStyle name="Normal 33 14 2" xfId="35247" xr:uid="{00000000-0005-0000-0000-000037870000}"/>
    <cellStyle name="Normal 33 14 3" xfId="35248" xr:uid="{00000000-0005-0000-0000-000038870000}"/>
    <cellStyle name="Normal 33 14 4" xfId="35249" xr:uid="{00000000-0005-0000-0000-000039870000}"/>
    <cellStyle name="Normal 33 14 5" xfId="35250" xr:uid="{00000000-0005-0000-0000-00003A870000}"/>
    <cellStyle name="Normal 33 14 6" xfId="35251" xr:uid="{00000000-0005-0000-0000-00003B870000}"/>
    <cellStyle name="Normal 33 15" xfId="35252" xr:uid="{00000000-0005-0000-0000-00003C870000}"/>
    <cellStyle name="Normal 33 15 2" xfId="35253" xr:uid="{00000000-0005-0000-0000-00003D870000}"/>
    <cellStyle name="Normal 33 15 3" xfId="35254" xr:uid="{00000000-0005-0000-0000-00003E870000}"/>
    <cellStyle name="Normal 33 15 4" xfId="35255" xr:uid="{00000000-0005-0000-0000-00003F870000}"/>
    <cellStyle name="Normal 33 15 5" xfId="35256" xr:uid="{00000000-0005-0000-0000-000040870000}"/>
    <cellStyle name="Normal 33 15 6" xfId="35257" xr:uid="{00000000-0005-0000-0000-000041870000}"/>
    <cellStyle name="Normal 33 16" xfId="35258" xr:uid="{00000000-0005-0000-0000-000042870000}"/>
    <cellStyle name="Normal 33 16 2" xfId="35259" xr:uid="{00000000-0005-0000-0000-000043870000}"/>
    <cellStyle name="Normal 33 16 3" xfId="35260" xr:uid="{00000000-0005-0000-0000-000044870000}"/>
    <cellStyle name="Normal 33 16 4" xfId="35261" xr:uid="{00000000-0005-0000-0000-000045870000}"/>
    <cellStyle name="Normal 33 16 5" xfId="35262" xr:uid="{00000000-0005-0000-0000-000046870000}"/>
    <cellStyle name="Normal 33 16 6" xfId="35263" xr:uid="{00000000-0005-0000-0000-000047870000}"/>
    <cellStyle name="Normal 33 17" xfId="35264" xr:uid="{00000000-0005-0000-0000-000048870000}"/>
    <cellStyle name="Normal 33 17 2" xfId="35265" xr:uid="{00000000-0005-0000-0000-000049870000}"/>
    <cellStyle name="Normal 33 17 3" xfId="35266" xr:uid="{00000000-0005-0000-0000-00004A870000}"/>
    <cellStyle name="Normal 33 17 4" xfId="35267" xr:uid="{00000000-0005-0000-0000-00004B870000}"/>
    <cellStyle name="Normal 33 17 5" xfId="35268" xr:uid="{00000000-0005-0000-0000-00004C870000}"/>
    <cellStyle name="Normal 33 17 6" xfId="35269" xr:uid="{00000000-0005-0000-0000-00004D870000}"/>
    <cellStyle name="Normal 33 18" xfId="35270" xr:uid="{00000000-0005-0000-0000-00004E870000}"/>
    <cellStyle name="Normal 33 18 2" xfId="35271" xr:uid="{00000000-0005-0000-0000-00004F870000}"/>
    <cellStyle name="Normal 33 18 3" xfId="35272" xr:uid="{00000000-0005-0000-0000-000050870000}"/>
    <cellStyle name="Normal 33 18 4" xfId="35273" xr:uid="{00000000-0005-0000-0000-000051870000}"/>
    <cellStyle name="Normal 33 18 5" xfId="35274" xr:uid="{00000000-0005-0000-0000-000052870000}"/>
    <cellStyle name="Normal 33 18 6" xfId="35275" xr:uid="{00000000-0005-0000-0000-000053870000}"/>
    <cellStyle name="Normal 33 19" xfId="35276" xr:uid="{00000000-0005-0000-0000-000054870000}"/>
    <cellStyle name="Normal 33 2" xfId="2539" xr:uid="{00000000-0005-0000-0000-000055870000}"/>
    <cellStyle name="Normal 33 2 10" xfId="35277" xr:uid="{00000000-0005-0000-0000-000056870000}"/>
    <cellStyle name="Normal 33 2 11" xfId="35278" xr:uid="{00000000-0005-0000-0000-000057870000}"/>
    <cellStyle name="Normal 33 2 12" xfId="35279" xr:uid="{00000000-0005-0000-0000-000058870000}"/>
    <cellStyle name="Normal 33 2 13" xfId="35280" xr:uid="{00000000-0005-0000-0000-000059870000}"/>
    <cellStyle name="Normal 33 2 2" xfId="35281" xr:uid="{00000000-0005-0000-0000-00005A870000}"/>
    <cellStyle name="Normal 33 2 2 2" xfId="35282" xr:uid="{00000000-0005-0000-0000-00005B870000}"/>
    <cellStyle name="Normal 33 2 2 3" xfId="35283" xr:uid="{00000000-0005-0000-0000-00005C870000}"/>
    <cellStyle name="Normal 33 2 2 4" xfId="35284" xr:uid="{00000000-0005-0000-0000-00005D870000}"/>
    <cellStyle name="Normal 33 2 2 5" xfId="35285" xr:uid="{00000000-0005-0000-0000-00005E870000}"/>
    <cellStyle name="Normal 33 2 2 6" xfId="35286" xr:uid="{00000000-0005-0000-0000-00005F870000}"/>
    <cellStyle name="Normal 33 2 3" xfId="35287" xr:uid="{00000000-0005-0000-0000-000060870000}"/>
    <cellStyle name="Normal 33 2 3 2" xfId="35288" xr:uid="{00000000-0005-0000-0000-000061870000}"/>
    <cellStyle name="Normal 33 2 3 3" xfId="35289" xr:uid="{00000000-0005-0000-0000-000062870000}"/>
    <cellStyle name="Normal 33 2 3 4" xfId="35290" xr:uid="{00000000-0005-0000-0000-000063870000}"/>
    <cellStyle name="Normal 33 2 3 5" xfId="35291" xr:uid="{00000000-0005-0000-0000-000064870000}"/>
    <cellStyle name="Normal 33 2 3 6" xfId="35292" xr:uid="{00000000-0005-0000-0000-000065870000}"/>
    <cellStyle name="Normal 33 2 4" xfId="35293" xr:uid="{00000000-0005-0000-0000-000066870000}"/>
    <cellStyle name="Normal 33 2 4 2" xfId="35294" xr:uid="{00000000-0005-0000-0000-000067870000}"/>
    <cellStyle name="Normal 33 2 4 3" xfId="35295" xr:uid="{00000000-0005-0000-0000-000068870000}"/>
    <cellStyle name="Normal 33 2 4 4" xfId="35296" xr:uid="{00000000-0005-0000-0000-000069870000}"/>
    <cellStyle name="Normal 33 2 4 5" xfId="35297" xr:uid="{00000000-0005-0000-0000-00006A870000}"/>
    <cellStyle name="Normal 33 2 4 6" xfId="35298" xr:uid="{00000000-0005-0000-0000-00006B870000}"/>
    <cellStyle name="Normal 33 2 5" xfId="35299" xr:uid="{00000000-0005-0000-0000-00006C870000}"/>
    <cellStyle name="Normal 33 2 5 2" xfId="35300" xr:uid="{00000000-0005-0000-0000-00006D870000}"/>
    <cellStyle name="Normal 33 2 5 3" xfId="35301" xr:uid="{00000000-0005-0000-0000-00006E870000}"/>
    <cellStyle name="Normal 33 2 5 4" xfId="35302" xr:uid="{00000000-0005-0000-0000-00006F870000}"/>
    <cellStyle name="Normal 33 2 5 5" xfId="35303" xr:uid="{00000000-0005-0000-0000-000070870000}"/>
    <cellStyle name="Normal 33 2 5 6" xfId="35304" xr:uid="{00000000-0005-0000-0000-000071870000}"/>
    <cellStyle name="Normal 33 2 6" xfId="35305" xr:uid="{00000000-0005-0000-0000-000072870000}"/>
    <cellStyle name="Normal 33 2 6 2" xfId="35306" xr:uid="{00000000-0005-0000-0000-000073870000}"/>
    <cellStyle name="Normal 33 2 6 3" xfId="35307" xr:uid="{00000000-0005-0000-0000-000074870000}"/>
    <cellStyle name="Normal 33 2 6 4" xfId="35308" xr:uid="{00000000-0005-0000-0000-000075870000}"/>
    <cellStyle name="Normal 33 2 6 5" xfId="35309" xr:uid="{00000000-0005-0000-0000-000076870000}"/>
    <cellStyle name="Normal 33 2 6 6" xfId="35310" xr:uid="{00000000-0005-0000-0000-000077870000}"/>
    <cellStyle name="Normal 33 2 7" xfId="35311" xr:uid="{00000000-0005-0000-0000-000078870000}"/>
    <cellStyle name="Normal 33 2 7 2" xfId="35312" xr:uid="{00000000-0005-0000-0000-000079870000}"/>
    <cellStyle name="Normal 33 2 7 3" xfId="35313" xr:uid="{00000000-0005-0000-0000-00007A870000}"/>
    <cellStyle name="Normal 33 2 7 4" xfId="35314" xr:uid="{00000000-0005-0000-0000-00007B870000}"/>
    <cellStyle name="Normal 33 2 7 5" xfId="35315" xr:uid="{00000000-0005-0000-0000-00007C870000}"/>
    <cellStyle name="Normal 33 2 7 6" xfId="35316" xr:uid="{00000000-0005-0000-0000-00007D870000}"/>
    <cellStyle name="Normal 33 2 8" xfId="35317" xr:uid="{00000000-0005-0000-0000-00007E870000}"/>
    <cellStyle name="Normal 33 2 8 2" xfId="35318" xr:uid="{00000000-0005-0000-0000-00007F870000}"/>
    <cellStyle name="Normal 33 2 8 3" xfId="35319" xr:uid="{00000000-0005-0000-0000-000080870000}"/>
    <cellStyle name="Normal 33 2 8 4" xfId="35320" xr:uid="{00000000-0005-0000-0000-000081870000}"/>
    <cellStyle name="Normal 33 2 8 5" xfId="35321" xr:uid="{00000000-0005-0000-0000-000082870000}"/>
    <cellStyle name="Normal 33 2 8 6" xfId="35322" xr:uid="{00000000-0005-0000-0000-000083870000}"/>
    <cellStyle name="Normal 33 2 9" xfId="35323" xr:uid="{00000000-0005-0000-0000-000084870000}"/>
    <cellStyle name="Normal 33 20" xfId="35324" xr:uid="{00000000-0005-0000-0000-000085870000}"/>
    <cellStyle name="Normal 33 21" xfId="35325" xr:uid="{00000000-0005-0000-0000-000086870000}"/>
    <cellStyle name="Normal 33 22" xfId="35326" xr:uid="{00000000-0005-0000-0000-000087870000}"/>
    <cellStyle name="Normal 33 23" xfId="35327" xr:uid="{00000000-0005-0000-0000-000088870000}"/>
    <cellStyle name="Normal 33 24" xfId="43354" xr:uid="{00000000-0005-0000-0000-000089870000}"/>
    <cellStyle name="Normal 33 3" xfId="35328" xr:uid="{00000000-0005-0000-0000-00008A870000}"/>
    <cellStyle name="Normal 33 3 10" xfId="35329" xr:uid="{00000000-0005-0000-0000-00008B870000}"/>
    <cellStyle name="Normal 33 3 11" xfId="35330" xr:uid="{00000000-0005-0000-0000-00008C870000}"/>
    <cellStyle name="Normal 33 3 12" xfId="35331" xr:uid="{00000000-0005-0000-0000-00008D870000}"/>
    <cellStyle name="Normal 33 3 13" xfId="35332" xr:uid="{00000000-0005-0000-0000-00008E870000}"/>
    <cellStyle name="Normal 33 3 2" xfId="35333" xr:uid="{00000000-0005-0000-0000-00008F870000}"/>
    <cellStyle name="Normal 33 3 2 2" xfId="35334" xr:uid="{00000000-0005-0000-0000-000090870000}"/>
    <cellStyle name="Normal 33 3 2 3" xfId="35335" xr:uid="{00000000-0005-0000-0000-000091870000}"/>
    <cellStyle name="Normal 33 3 2 4" xfId="35336" xr:uid="{00000000-0005-0000-0000-000092870000}"/>
    <cellStyle name="Normal 33 3 2 5" xfId="35337" xr:uid="{00000000-0005-0000-0000-000093870000}"/>
    <cellStyle name="Normal 33 3 2 6" xfId="35338" xr:uid="{00000000-0005-0000-0000-000094870000}"/>
    <cellStyle name="Normal 33 3 3" xfId="35339" xr:uid="{00000000-0005-0000-0000-000095870000}"/>
    <cellStyle name="Normal 33 3 3 2" xfId="35340" xr:uid="{00000000-0005-0000-0000-000096870000}"/>
    <cellStyle name="Normal 33 3 3 3" xfId="35341" xr:uid="{00000000-0005-0000-0000-000097870000}"/>
    <cellStyle name="Normal 33 3 3 4" xfId="35342" xr:uid="{00000000-0005-0000-0000-000098870000}"/>
    <cellStyle name="Normal 33 3 3 5" xfId="35343" xr:uid="{00000000-0005-0000-0000-000099870000}"/>
    <cellStyle name="Normal 33 3 3 6" xfId="35344" xr:uid="{00000000-0005-0000-0000-00009A870000}"/>
    <cellStyle name="Normal 33 3 4" xfId="35345" xr:uid="{00000000-0005-0000-0000-00009B870000}"/>
    <cellStyle name="Normal 33 3 4 2" xfId="35346" xr:uid="{00000000-0005-0000-0000-00009C870000}"/>
    <cellStyle name="Normal 33 3 4 3" xfId="35347" xr:uid="{00000000-0005-0000-0000-00009D870000}"/>
    <cellStyle name="Normal 33 3 4 4" xfId="35348" xr:uid="{00000000-0005-0000-0000-00009E870000}"/>
    <cellStyle name="Normal 33 3 4 5" xfId="35349" xr:uid="{00000000-0005-0000-0000-00009F870000}"/>
    <cellStyle name="Normal 33 3 4 6" xfId="35350" xr:uid="{00000000-0005-0000-0000-0000A0870000}"/>
    <cellStyle name="Normal 33 3 5" xfId="35351" xr:uid="{00000000-0005-0000-0000-0000A1870000}"/>
    <cellStyle name="Normal 33 3 5 2" xfId="35352" xr:uid="{00000000-0005-0000-0000-0000A2870000}"/>
    <cellStyle name="Normal 33 3 5 3" xfId="35353" xr:uid="{00000000-0005-0000-0000-0000A3870000}"/>
    <cellStyle name="Normal 33 3 5 4" xfId="35354" xr:uid="{00000000-0005-0000-0000-0000A4870000}"/>
    <cellStyle name="Normal 33 3 5 5" xfId="35355" xr:uid="{00000000-0005-0000-0000-0000A5870000}"/>
    <cellStyle name="Normal 33 3 5 6" xfId="35356" xr:uid="{00000000-0005-0000-0000-0000A6870000}"/>
    <cellStyle name="Normal 33 3 6" xfId="35357" xr:uid="{00000000-0005-0000-0000-0000A7870000}"/>
    <cellStyle name="Normal 33 3 6 2" xfId="35358" xr:uid="{00000000-0005-0000-0000-0000A8870000}"/>
    <cellStyle name="Normal 33 3 6 3" xfId="35359" xr:uid="{00000000-0005-0000-0000-0000A9870000}"/>
    <cellStyle name="Normal 33 3 6 4" xfId="35360" xr:uid="{00000000-0005-0000-0000-0000AA870000}"/>
    <cellStyle name="Normal 33 3 6 5" xfId="35361" xr:uid="{00000000-0005-0000-0000-0000AB870000}"/>
    <cellStyle name="Normal 33 3 6 6" xfId="35362" xr:uid="{00000000-0005-0000-0000-0000AC870000}"/>
    <cellStyle name="Normal 33 3 7" xfId="35363" xr:uid="{00000000-0005-0000-0000-0000AD870000}"/>
    <cellStyle name="Normal 33 3 7 2" xfId="35364" xr:uid="{00000000-0005-0000-0000-0000AE870000}"/>
    <cellStyle name="Normal 33 3 7 3" xfId="35365" xr:uid="{00000000-0005-0000-0000-0000AF870000}"/>
    <cellStyle name="Normal 33 3 7 4" xfId="35366" xr:uid="{00000000-0005-0000-0000-0000B0870000}"/>
    <cellStyle name="Normal 33 3 7 5" xfId="35367" xr:uid="{00000000-0005-0000-0000-0000B1870000}"/>
    <cellStyle name="Normal 33 3 7 6" xfId="35368" xr:uid="{00000000-0005-0000-0000-0000B2870000}"/>
    <cellStyle name="Normal 33 3 8" xfId="35369" xr:uid="{00000000-0005-0000-0000-0000B3870000}"/>
    <cellStyle name="Normal 33 3 8 2" xfId="35370" xr:uid="{00000000-0005-0000-0000-0000B4870000}"/>
    <cellStyle name="Normal 33 3 8 3" xfId="35371" xr:uid="{00000000-0005-0000-0000-0000B5870000}"/>
    <cellStyle name="Normal 33 3 8 4" xfId="35372" xr:uid="{00000000-0005-0000-0000-0000B6870000}"/>
    <cellStyle name="Normal 33 3 8 5" xfId="35373" xr:uid="{00000000-0005-0000-0000-0000B7870000}"/>
    <cellStyle name="Normal 33 3 8 6" xfId="35374" xr:uid="{00000000-0005-0000-0000-0000B8870000}"/>
    <cellStyle name="Normal 33 3 9" xfId="35375" xr:uid="{00000000-0005-0000-0000-0000B9870000}"/>
    <cellStyle name="Normal 33 4" xfId="35376" xr:uid="{00000000-0005-0000-0000-0000BA870000}"/>
    <cellStyle name="Normal 33 4 10" xfId="35377" xr:uid="{00000000-0005-0000-0000-0000BB870000}"/>
    <cellStyle name="Normal 33 4 11" xfId="35378" xr:uid="{00000000-0005-0000-0000-0000BC870000}"/>
    <cellStyle name="Normal 33 4 12" xfId="35379" xr:uid="{00000000-0005-0000-0000-0000BD870000}"/>
    <cellStyle name="Normal 33 4 13" xfId="35380" xr:uid="{00000000-0005-0000-0000-0000BE870000}"/>
    <cellStyle name="Normal 33 4 2" xfId="35381" xr:uid="{00000000-0005-0000-0000-0000BF870000}"/>
    <cellStyle name="Normal 33 4 2 2" xfId="35382" xr:uid="{00000000-0005-0000-0000-0000C0870000}"/>
    <cellStyle name="Normal 33 4 2 3" xfId="35383" xr:uid="{00000000-0005-0000-0000-0000C1870000}"/>
    <cellStyle name="Normal 33 4 2 4" xfId="35384" xr:uid="{00000000-0005-0000-0000-0000C2870000}"/>
    <cellStyle name="Normal 33 4 2 5" xfId="35385" xr:uid="{00000000-0005-0000-0000-0000C3870000}"/>
    <cellStyle name="Normal 33 4 2 6" xfId="35386" xr:uid="{00000000-0005-0000-0000-0000C4870000}"/>
    <cellStyle name="Normal 33 4 3" xfId="35387" xr:uid="{00000000-0005-0000-0000-0000C5870000}"/>
    <cellStyle name="Normal 33 4 3 2" xfId="35388" xr:uid="{00000000-0005-0000-0000-0000C6870000}"/>
    <cellStyle name="Normal 33 4 3 3" xfId="35389" xr:uid="{00000000-0005-0000-0000-0000C7870000}"/>
    <cellStyle name="Normal 33 4 3 4" xfId="35390" xr:uid="{00000000-0005-0000-0000-0000C8870000}"/>
    <cellStyle name="Normal 33 4 3 5" xfId="35391" xr:uid="{00000000-0005-0000-0000-0000C9870000}"/>
    <cellStyle name="Normal 33 4 3 6" xfId="35392" xr:uid="{00000000-0005-0000-0000-0000CA870000}"/>
    <cellStyle name="Normal 33 4 4" xfId="35393" xr:uid="{00000000-0005-0000-0000-0000CB870000}"/>
    <cellStyle name="Normal 33 4 4 2" xfId="35394" xr:uid="{00000000-0005-0000-0000-0000CC870000}"/>
    <cellStyle name="Normal 33 4 4 3" xfId="35395" xr:uid="{00000000-0005-0000-0000-0000CD870000}"/>
    <cellStyle name="Normal 33 4 4 4" xfId="35396" xr:uid="{00000000-0005-0000-0000-0000CE870000}"/>
    <cellStyle name="Normal 33 4 4 5" xfId="35397" xr:uid="{00000000-0005-0000-0000-0000CF870000}"/>
    <cellStyle name="Normal 33 4 4 6" xfId="35398" xr:uid="{00000000-0005-0000-0000-0000D0870000}"/>
    <cellStyle name="Normal 33 4 5" xfId="35399" xr:uid="{00000000-0005-0000-0000-0000D1870000}"/>
    <cellStyle name="Normal 33 4 5 2" xfId="35400" xr:uid="{00000000-0005-0000-0000-0000D2870000}"/>
    <cellStyle name="Normal 33 4 5 3" xfId="35401" xr:uid="{00000000-0005-0000-0000-0000D3870000}"/>
    <cellStyle name="Normal 33 4 5 4" xfId="35402" xr:uid="{00000000-0005-0000-0000-0000D4870000}"/>
    <cellStyle name="Normal 33 4 5 5" xfId="35403" xr:uid="{00000000-0005-0000-0000-0000D5870000}"/>
    <cellStyle name="Normal 33 4 5 6" xfId="35404" xr:uid="{00000000-0005-0000-0000-0000D6870000}"/>
    <cellStyle name="Normal 33 4 6" xfId="35405" xr:uid="{00000000-0005-0000-0000-0000D7870000}"/>
    <cellStyle name="Normal 33 4 6 2" xfId="35406" xr:uid="{00000000-0005-0000-0000-0000D8870000}"/>
    <cellStyle name="Normal 33 4 6 3" xfId="35407" xr:uid="{00000000-0005-0000-0000-0000D9870000}"/>
    <cellStyle name="Normal 33 4 6 4" xfId="35408" xr:uid="{00000000-0005-0000-0000-0000DA870000}"/>
    <cellStyle name="Normal 33 4 6 5" xfId="35409" xr:uid="{00000000-0005-0000-0000-0000DB870000}"/>
    <cellStyle name="Normal 33 4 6 6" xfId="35410" xr:uid="{00000000-0005-0000-0000-0000DC870000}"/>
    <cellStyle name="Normal 33 4 7" xfId="35411" xr:uid="{00000000-0005-0000-0000-0000DD870000}"/>
    <cellStyle name="Normal 33 4 7 2" xfId="35412" xr:uid="{00000000-0005-0000-0000-0000DE870000}"/>
    <cellStyle name="Normal 33 4 7 3" xfId="35413" xr:uid="{00000000-0005-0000-0000-0000DF870000}"/>
    <cellStyle name="Normal 33 4 7 4" xfId="35414" xr:uid="{00000000-0005-0000-0000-0000E0870000}"/>
    <cellStyle name="Normal 33 4 7 5" xfId="35415" xr:uid="{00000000-0005-0000-0000-0000E1870000}"/>
    <cellStyle name="Normal 33 4 7 6" xfId="35416" xr:uid="{00000000-0005-0000-0000-0000E2870000}"/>
    <cellStyle name="Normal 33 4 8" xfId="35417" xr:uid="{00000000-0005-0000-0000-0000E3870000}"/>
    <cellStyle name="Normal 33 4 8 2" xfId="35418" xr:uid="{00000000-0005-0000-0000-0000E4870000}"/>
    <cellStyle name="Normal 33 4 8 3" xfId="35419" xr:uid="{00000000-0005-0000-0000-0000E5870000}"/>
    <cellStyle name="Normal 33 4 8 4" xfId="35420" xr:uid="{00000000-0005-0000-0000-0000E6870000}"/>
    <cellStyle name="Normal 33 4 8 5" xfId="35421" xr:uid="{00000000-0005-0000-0000-0000E7870000}"/>
    <cellStyle name="Normal 33 4 8 6" xfId="35422" xr:uid="{00000000-0005-0000-0000-0000E8870000}"/>
    <cellStyle name="Normal 33 4 9" xfId="35423" xr:uid="{00000000-0005-0000-0000-0000E9870000}"/>
    <cellStyle name="Normal 33 5" xfId="35424" xr:uid="{00000000-0005-0000-0000-0000EA870000}"/>
    <cellStyle name="Normal 33 5 10" xfId="35425" xr:uid="{00000000-0005-0000-0000-0000EB870000}"/>
    <cellStyle name="Normal 33 5 11" xfId="35426" xr:uid="{00000000-0005-0000-0000-0000EC870000}"/>
    <cellStyle name="Normal 33 5 12" xfId="35427" xr:uid="{00000000-0005-0000-0000-0000ED870000}"/>
    <cellStyle name="Normal 33 5 13" xfId="35428" xr:uid="{00000000-0005-0000-0000-0000EE870000}"/>
    <cellStyle name="Normal 33 5 2" xfId="35429" xr:uid="{00000000-0005-0000-0000-0000EF870000}"/>
    <cellStyle name="Normal 33 5 2 2" xfId="35430" xr:uid="{00000000-0005-0000-0000-0000F0870000}"/>
    <cellStyle name="Normal 33 5 2 3" xfId="35431" xr:uid="{00000000-0005-0000-0000-0000F1870000}"/>
    <cellStyle name="Normal 33 5 2 4" xfId="35432" xr:uid="{00000000-0005-0000-0000-0000F2870000}"/>
    <cellStyle name="Normal 33 5 2 5" xfId="35433" xr:uid="{00000000-0005-0000-0000-0000F3870000}"/>
    <cellStyle name="Normal 33 5 2 6" xfId="35434" xr:uid="{00000000-0005-0000-0000-0000F4870000}"/>
    <cellStyle name="Normal 33 5 3" xfId="35435" xr:uid="{00000000-0005-0000-0000-0000F5870000}"/>
    <cellStyle name="Normal 33 5 3 2" xfId="35436" xr:uid="{00000000-0005-0000-0000-0000F6870000}"/>
    <cellStyle name="Normal 33 5 3 3" xfId="35437" xr:uid="{00000000-0005-0000-0000-0000F7870000}"/>
    <cellStyle name="Normal 33 5 3 4" xfId="35438" xr:uid="{00000000-0005-0000-0000-0000F8870000}"/>
    <cellStyle name="Normal 33 5 3 5" xfId="35439" xr:uid="{00000000-0005-0000-0000-0000F9870000}"/>
    <cellStyle name="Normal 33 5 3 6" xfId="35440" xr:uid="{00000000-0005-0000-0000-0000FA870000}"/>
    <cellStyle name="Normal 33 5 4" xfId="35441" xr:uid="{00000000-0005-0000-0000-0000FB870000}"/>
    <cellStyle name="Normal 33 5 4 2" xfId="35442" xr:uid="{00000000-0005-0000-0000-0000FC870000}"/>
    <cellStyle name="Normal 33 5 4 3" xfId="35443" xr:uid="{00000000-0005-0000-0000-0000FD870000}"/>
    <cellStyle name="Normal 33 5 4 4" xfId="35444" xr:uid="{00000000-0005-0000-0000-0000FE870000}"/>
    <cellStyle name="Normal 33 5 4 5" xfId="35445" xr:uid="{00000000-0005-0000-0000-0000FF870000}"/>
    <cellStyle name="Normal 33 5 4 6" xfId="35446" xr:uid="{00000000-0005-0000-0000-000000880000}"/>
    <cellStyle name="Normal 33 5 5" xfId="35447" xr:uid="{00000000-0005-0000-0000-000001880000}"/>
    <cellStyle name="Normal 33 5 5 2" xfId="35448" xr:uid="{00000000-0005-0000-0000-000002880000}"/>
    <cellStyle name="Normal 33 5 5 3" xfId="35449" xr:uid="{00000000-0005-0000-0000-000003880000}"/>
    <cellStyle name="Normal 33 5 5 4" xfId="35450" xr:uid="{00000000-0005-0000-0000-000004880000}"/>
    <cellStyle name="Normal 33 5 5 5" xfId="35451" xr:uid="{00000000-0005-0000-0000-000005880000}"/>
    <cellStyle name="Normal 33 5 5 6" xfId="35452" xr:uid="{00000000-0005-0000-0000-000006880000}"/>
    <cellStyle name="Normal 33 5 6" xfId="35453" xr:uid="{00000000-0005-0000-0000-000007880000}"/>
    <cellStyle name="Normal 33 5 6 2" xfId="35454" xr:uid="{00000000-0005-0000-0000-000008880000}"/>
    <cellStyle name="Normal 33 5 6 3" xfId="35455" xr:uid="{00000000-0005-0000-0000-000009880000}"/>
    <cellStyle name="Normal 33 5 6 4" xfId="35456" xr:uid="{00000000-0005-0000-0000-00000A880000}"/>
    <cellStyle name="Normal 33 5 6 5" xfId="35457" xr:uid="{00000000-0005-0000-0000-00000B880000}"/>
    <cellStyle name="Normal 33 5 6 6" xfId="35458" xr:uid="{00000000-0005-0000-0000-00000C880000}"/>
    <cellStyle name="Normal 33 5 7" xfId="35459" xr:uid="{00000000-0005-0000-0000-00000D880000}"/>
    <cellStyle name="Normal 33 5 7 2" xfId="35460" xr:uid="{00000000-0005-0000-0000-00000E880000}"/>
    <cellStyle name="Normal 33 5 7 3" xfId="35461" xr:uid="{00000000-0005-0000-0000-00000F880000}"/>
    <cellStyle name="Normal 33 5 7 4" xfId="35462" xr:uid="{00000000-0005-0000-0000-000010880000}"/>
    <cellStyle name="Normal 33 5 7 5" xfId="35463" xr:uid="{00000000-0005-0000-0000-000011880000}"/>
    <cellStyle name="Normal 33 5 7 6" xfId="35464" xr:uid="{00000000-0005-0000-0000-000012880000}"/>
    <cellStyle name="Normal 33 5 8" xfId="35465" xr:uid="{00000000-0005-0000-0000-000013880000}"/>
    <cellStyle name="Normal 33 5 8 2" xfId="35466" xr:uid="{00000000-0005-0000-0000-000014880000}"/>
    <cellStyle name="Normal 33 5 8 3" xfId="35467" xr:uid="{00000000-0005-0000-0000-000015880000}"/>
    <cellStyle name="Normal 33 5 8 4" xfId="35468" xr:uid="{00000000-0005-0000-0000-000016880000}"/>
    <cellStyle name="Normal 33 5 8 5" xfId="35469" xr:uid="{00000000-0005-0000-0000-000017880000}"/>
    <cellStyle name="Normal 33 5 8 6" xfId="35470" xr:uid="{00000000-0005-0000-0000-000018880000}"/>
    <cellStyle name="Normal 33 5 9" xfId="35471" xr:uid="{00000000-0005-0000-0000-000019880000}"/>
    <cellStyle name="Normal 33 6" xfId="35472" xr:uid="{00000000-0005-0000-0000-00001A880000}"/>
    <cellStyle name="Normal 33 6 10" xfId="35473" xr:uid="{00000000-0005-0000-0000-00001B880000}"/>
    <cellStyle name="Normal 33 6 11" xfId="35474" xr:uid="{00000000-0005-0000-0000-00001C880000}"/>
    <cellStyle name="Normal 33 6 12" xfId="35475" xr:uid="{00000000-0005-0000-0000-00001D880000}"/>
    <cellStyle name="Normal 33 6 13" xfId="35476" xr:uid="{00000000-0005-0000-0000-00001E880000}"/>
    <cellStyle name="Normal 33 6 2" xfId="35477" xr:uid="{00000000-0005-0000-0000-00001F880000}"/>
    <cellStyle name="Normal 33 6 2 2" xfId="35478" xr:uid="{00000000-0005-0000-0000-000020880000}"/>
    <cellStyle name="Normal 33 6 2 3" xfId="35479" xr:uid="{00000000-0005-0000-0000-000021880000}"/>
    <cellStyle name="Normal 33 6 2 4" xfId="35480" xr:uid="{00000000-0005-0000-0000-000022880000}"/>
    <cellStyle name="Normal 33 6 2 5" xfId="35481" xr:uid="{00000000-0005-0000-0000-000023880000}"/>
    <cellStyle name="Normal 33 6 2 6" xfId="35482" xr:uid="{00000000-0005-0000-0000-000024880000}"/>
    <cellStyle name="Normal 33 6 3" xfId="35483" xr:uid="{00000000-0005-0000-0000-000025880000}"/>
    <cellStyle name="Normal 33 6 3 2" xfId="35484" xr:uid="{00000000-0005-0000-0000-000026880000}"/>
    <cellStyle name="Normal 33 6 3 3" xfId="35485" xr:uid="{00000000-0005-0000-0000-000027880000}"/>
    <cellStyle name="Normal 33 6 3 4" xfId="35486" xr:uid="{00000000-0005-0000-0000-000028880000}"/>
    <cellStyle name="Normal 33 6 3 5" xfId="35487" xr:uid="{00000000-0005-0000-0000-000029880000}"/>
    <cellStyle name="Normal 33 6 3 6" xfId="35488" xr:uid="{00000000-0005-0000-0000-00002A880000}"/>
    <cellStyle name="Normal 33 6 4" xfId="35489" xr:uid="{00000000-0005-0000-0000-00002B880000}"/>
    <cellStyle name="Normal 33 6 4 2" xfId="35490" xr:uid="{00000000-0005-0000-0000-00002C880000}"/>
    <cellStyle name="Normal 33 6 4 3" xfId="35491" xr:uid="{00000000-0005-0000-0000-00002D880000}"/>
    <cellStyle name="Normal 33 6 4 4" xfId="35492" xr:uid="{00000000-0005-0000-0000-00002E880000}"/>
    <cellStyle name="Normal 33 6 4 5" xfId="35493" xr:uid="{00000000-0005-0000-0000-00002F880000}"/>
    <cellStyle name="Normal 33 6 4 6" xfId="35494" xr:uid="{00000000-0005-0000-0000-000030880000}"/>
    <cellStyle name="Normal 33 6 5" xfId="35495" xr:uid="{00000000-0005-0000-0000-000031880000}"/>
    <cellStyle name="Normal 33 6 5 2" xfId="35496" xr:uid="{00000000-0005-0000-0000-000032880000}"/>
    <cellStyle name="Normal 33 6 5 3" xfId="35497" xr:uid="{00000000-0005-0000-0000-000033880000}"/>
    <cellStyle name="Normal 33 6 5 4" xfId="35498" xr:uid="{00000000-0005-0000-0000-000034880000}"/>
    <cellStyle name="Normal 33 6 5 5" xfId="35499" xr:uid="{00000000-0005-0000-0000-000035880000}"/>
    <cellStyle name="Normal 33 6 5 6" xfId="35500" xr:uid="{00000000-0005-0000-0000-000036880000}"/>
    <cellStyle name="Normal 33 6 6" xfId="35501" xr:uid="{00000000-0005-0000-0000-000037880000}"/>
    <cellStyle name="Normal 33 6 6 2" xfId="35502" xr:uid="{00000000-0005-0000-0000-000038880000}"/>
    <cellStyle name="Normal 33 6 6 3" xfId="35503" xr:uid="{00000000-0005-0000-0000-000039880000}"/>
    <cellStyle name="Normal 33 6 6 4" xfId="35504" xr:uid="{00000000-0005-0000-0000-00003A880000}"/>
    <cellStyle name="Normal 33 6 6 5" xfId="35505" xr:uid="{00000000-0005-0000-0000-00003B880000}"/>
    <cellStyle name="Normal 33 6 6 6" xfId="35506" xr:uid="{00000000-0005-0000-0000-00003C880000}"/>
    <cellStyle name="Normal 33 6 7" xfId="35507" xr:uid="{00000000-0005-0000-0000-00003D880000}"/>
    <cellStyle name="Normal 33 6 7 2" xfId="35508" xr:uid="{00000000-0005-0000-0000-00003E880000}"/>
    <cellStyle name="Normal 33 6 7 3" xfId="35509" xr:uid="{00000000-0005-0000-0000-00003F880000}"/>
    <cellStyle name="Normal 33 6 7 4" xfId="35510" xr:uid="{00000000-0005-0000-0000-000040880000}"/>
    <cellStyle name="Normal 33 6 7 5" xfId="35511" xr:uid="{00000000-0005-0000-0000-000041880000}"/>
    <cellStyle name="Normal 33 6 7 6" xfId="35512" xr:uid="{00000000-0005-0000-0000-000042880000}"/>
    <cellStyle name="Normal 33 6 8" xfId="35513" xr:uid="{00000000-0005-0000-0000-000043880000}"/>
    <cellStyle name="Normal 33 6 8 2" xfId="35514" xr:uid="{00000000-0005-0000-0000-000044880000}"/>
    <cellStyle name="Normal 33 6 8 3" xfId="35515" xr:uid="{00000000-0005-0000-0000-000045880000}"/>
    <cellStyle name="Normal 33 6 8 4" xfId="35516" xr:uid="{00000000-0005-0000-0000-000046880000}"/>
    <cellStyle name="Normal 33 6 8 5" xfId="35517" xr:uid="{00000000-0005-0000-0000-000047880000}"/>
    <cellStyle name="Normal 33 6 8 6" xfId="35518" xr:uid="{00000000-0005-0000-0000-000048880000}"/>
    <cellStyle name="Normal 33 6 9" xfId="35519" xr:uid="{00000000-0005-0000-0000-000049880000}"/>
    <cellStyle name="Normal 33 7" xfId="35520" xr:uid="{00000000-0005-0000-0000-00004A880000}"/>
    <cellStyle name="Normal 33 7 10" xfId="35521" xr:uid="{00000000-0005-0000-0000-00004B880000}"/>
    <cellStyle name="Normal 33 7 11" xfId="35522" xr:uid="{00000000-0005-0000-0000-00004C880000}"/>
    <cellStyle name="Normal 33 7 12" xfId="35523" xr:uid="{00000000-0005-0000-0000-00004D880000}"/>
    <cellStyle name="Normal 33 7 13" xfId="35524" xr:uid="{00000000-0005-0000-0000-00004E880000}"/>
    <cellStyle name="Normal 33 7 2" xfId="35525" xr:uid="{00000000-0005-0000-0000-00004F880000}"/>
    <cellStyle name="Normal 33 7 2 2" xfId="35526" xr:uid="{00000000-0005-0000-0000-000050880000}"/>
    <cellStyle name="Normal 33 7 2 3" xfId="35527" xr:uid="{00000000-0005-0000-0000-000051880000}"/>
    <cellStyle name="Normal 33 7 2 4" xfId="35528" xr:uid="{00000000-0005-0000-0000-000052880000}"/>
    <cellStyle name="Normal 33 7 2 5" xfId="35529" xr:uid="{00000000-0005-0000-0000-000053880000}"/>
    <cellStyle name="Normal 33 7 2 6" xfId="35530" xr:uid="{00000000-0005-0000-0000-000054880000}"/>
    <cellStyle name="Normal 33 7 3" xfId="35531" xr:uid="{00000000-0005-0000-0000-000055880000}"/>
    <cellStyle name="Normal 33 7 3 2" xfId="35532" xr:uid="{00000000-0005-0000-0000-000056880000}"/>
    <cellStyle name="Normal 33 7 3 3" xfId="35533" xr:uid="{00000000-0005-0000-0000-000057880000}"/>
    <cellStyle name="Normal 33 7 3 4" xfId="35534" xr:uid="{00000000-0005-0000-0000-000058880000}"/>
    <cellStyle name="Normal 33 7 3 5" xfId="35535" xr:uid="{00000000-0005-0000-0000-000059880000}"/>
    <cellStyle name="Normal 33 7 3 6" xfId="35536" xr:uid="{00000000-0005-0000-0000-00005A880000}"/>
    <cellStyle name="Normal 33 7 4" xfId="35537" xr:uid="{00000000-0005-0000-0000-00005B880000}"/>
    <cellStyle name="Normal 33 7 4 2" xfId="35538" xr:uid="{00000000-0005-0000-0000-00005C880000}"/>
    <cellStyle name="Normal 33 7 4 3" xfId="35539" xr:uid="{00000000-0005-0000-0000-00005D880000}"/>
    <cellStyle name="Normal 33 7 4 4" xfId="35540" xr:uid="{00000000-0005-0000-0000-00005E880000}"/>
    <cellStyle name="Normal 33 7 4 5" xfId="35541" xr:uid="{00000000-0005-0000-0000-00005F880000}"/>
    <cellStyle name="Normal 33 7 4 6" xfId="35542" xr:uid="{00000000-0005-0000-0000-000060880000}"/>
    <cellStyle name="Normal 33 7 5" xfId="35543" xr:uid="{00000000-0005-0000-0000-000061880000}"/>
    <cellStyle name="Normal 33 7 5 2" xfId="35544" xr:uid="{00000000-0005-0000-0000-000062880000}"/>
    <cellStyle name="Normal 33 7 5 3" xfId="35545" xr:uid="{00000000-0005-0000-0000-000063880000}"/>
    <cellStyle name="Normal 33 7 5 4" xfId="35546" xr:uid="{00000000-0005-0000-0000-000064880000}"/>
    <cellStyle name="Normal 33 7 5 5" xfId="35547" xr:uid="{00000000-0005-0000-0000-000065880000}"/>
    <cellStyle name="Normal 33 7 5 6" xfId="35548" xr:uid="{00000000-0005-0000-0000-000066880000}"/>
    <cellStyle name="Normal 33 7 6" xfId="35549" xr:uid="{00000000-0005-0000-0000-000067880000}"/>
    <cellStyle name="Normal 33 7 6 2" xfId="35550" xr:uid="{00000000-0005-0000-0000-000068880000}"/>
    <cellStyle name="Normal 33 7 6 3" xfId="35551" xr:uid="{00000000-0005-0000-0000-000069880000}"/>
    <cellStyle name="Normal 33 7 6 4" xfId="35552" xr:uid="{00000000-0005-0000-0000-00006A880000}"/>
    <cellStyle name="Normal 33 7 6 5" xfId="35553" xr:uid="{00000000-0005-0000-0000-00006B880000}"/>
    <cellStyle name="Normal 33 7 6 6" xfId="35554" xr:uid="{00000000-0005-0000-0000-00006C880000}"/>
    <cellStyle name="Normal 33 7 7" xfId="35555" xr:uid="{00000000-0005-0000-0000-00006D880000}"/>
    <cellStyle name="Normal 33 7 7 2" xfId="35556" xr:uid="{00000000-0005-0000-0000-00006E880000}"/>
    <cellStyle name="Normal 33 7 7 3" xfId="35557" xr:uid="{00000000-0005-0000-0000-00006F880000}"/>
    <cellStyle name="Normal 33 7 7 4" xfId="35558" xr:uid="{00000000-0005-0000-0000-000070880000}"/>
    <cellStyle name="Normal 33 7 7 5" xfId="35559" xr:uid="{00000000-0005-0000-0000-000071880000}"/>
    <cellStyle name="Normal 33 7 7 6" xfId="35560" xr:uid="{00000000-0005-0000-0000-000072880000}"/>
    <cellStyle name="Normal 33 7 8" xfId="35561" xr:uid="{00000000-0005-0000-0000-000073880000}"/>
    <cellStyle name="Normal 33 7 8 2" xfId="35562" xr:uid="{00000000-0005-0000-0000-000074880000}"/>
    <cellStyle name="Normal 33 7 8 3" xfId="35563" xr:uid="{00000000-0005-0000-0000-000075880000}"/>
    <cellStyle name="Normal 33 7 8 4" xfId="35564" xr:uid="{00000000-0005-0000-0000-000076880000}"/>
    <cellStyle name="Normal 33 7 8 5" xfId="35565" xr:uid="{00000000-0005-0000-0000-000077880000}"/>
    <cellStyle name="Normal 33 7 8 6" xfId="35566" xr:uid="{00000000-0005-0000-0000-000078880000}"/>
    <cellStyle name="Normal 33 7 9" xfId="35567" xr:uid="{00000000-0005-0000-0000-000079880000}"/>
    <cellStyle name="Normal 33 8" xfId="35568" xr:uid="{00000000-0005-0000-0000-00007A880000}"/>
    <cellStyle name="Normal 33 8 10" xfId="35569" xr:uid="{00000000-0005-0000-0000-00007B880000}"/>
    <cellStyle name="Normal 33 8 11" xfId="35570" xr:uid="{00000000-0005-0000-0000-00007C880000}"/>
    <cellStyle name="Normal 33 8 12" xfId="35571" xr:uid="{00000000-0005-0000-0000-00007D880000}"/>
    <cellStyle name="Normal 33 8 13" xfId="35572" xr:uid="{00000000-0005-0000-0000-00007E880000}"/>
    <cellStyle name="Normal 33 8 2" xfId="35573" xr:uid="{00000000-0005-0000-0000-00007F880000}"/>
    <cellStyle name="Normal 33 8 2 2" xfId="35574" xr:uid="{00000000-0005-0000-0000-000080880000}"/>
    <cellStyle name="Normal 33 8 2 3" xfId="35575" xr:uid="{00000000-0005-0000-0000-000081880000}"/>
    <cellStyle name="Normal 33 8 2 4" xfId="35576" xr:uid="{00000000-0005-0000-0000-000082880000}"/>
    <cellStyle name="Normal 33 8 2 5" xfId="35577" xr:uid="{00000000-0005-0000-0000-000083880000}"/>
    <cellStyle name="Normal 33 8 2 6" xfId="35578" xr:uid="{00000000-0005-0000-0000-000084880000}"/>
    <cellStyle name="Normal 33 8 3" xfId="35579" xr:uid="{00000000-0005-0000-0000-000085880000}"/>
    <cellStyle name="Normal 33 8 3 2" xfId="35580" xr:uid="{00000000-0005-0000-0000-000086880000}"/>
    <cellStyle name="Normal 33 8 3 3" xfId="35581" xr:uid="{00000000-0005-0000-0000-000087880000}"/>
    <cellStyle name="Normal 33 8 3 4" xfId="35582" xr:uid="{00000000-0005-0000-0000-000088880000}"/>
    <cellStyle name="Normal 33 8 3 5" xfId="35583" xr:uid="{00000000-0005-0000-0000-000089880000}"/>
    <cellStyle name="Normal 33 8 3 6" xfId="35584" xr:uid="{00000000-0005-0000-0000-00008A880000}"/>
    <cellStyle name="Normal 33 8 4" xfId="35585" xr:uid="{00000000-0005-0000-0000-00008B880000}"/>
    <cellStyle name="Normal 33 8 4 2" xfId="35586" xr:uid="{00000000-0005-0000-0000-00008C880000}"/>
    <cellStyle name="Normal 33 8 4 3" xfId="35587" xr:uid="{00000000-0005-0000-0000-00008D880000}"/>
    <cellStyle name="Normal 33 8 4 4" xfId="35588" xr:uid="{00000000-0005-0000-0000-00008E880000}"/>
    <cellStyle name="Normal 33 8 4 5" xfId="35589" xr:uid="{00000000-0005-0000-0000-00008F880000}"/>
    <cellStyle name="Normal 33 8 4 6" xfId="35590" xr:uid="{00000000-0005-0000-0000-000090880000}"/>
    <cellStyle name="Normal 33 8 5" xfId="35591" xr:uid="{00000000-0005-0000-0000-000091880000}"/>
    <cellStyle name="Normal 33 8 5 2" xfId="35592" xr:uid="{00000000-0005-0000-0000-000092880000}"/>
    <cellStyle name="Normal 33 8 5 3" xfId="35593" xr:uid="{00000000-0005-0000-0000-000093880000}"/>
    <cellStyle name="Normal 33 8 5 4" xfId="35594" xr:uid="{00000000-0005-0000-0000-000094880000}"/>
    <cellStyle name="Normal 33 8 5 5" xfId="35595" xr:uid="{00000000-0005-0000-0000-000095880000}"/>
    <cellStyle name="Normal 33 8 5 6" xfId="35596" xr:uid="{00000000-0005-0000-0000-000096880000}"/>
    <cellStyle name="Normal 33 8 6" xfId="35597" xr:uid="{00000000-0005-0000-0000-000097880000}"/>
    <cellStyle name="Normal 33 8 6 2" xfId="35598" xr:uid="{00000000-0005-0000-0000-000098880000}"/>
    <cellStyle name="Normal 33 8 6 3" xfId="35599" xr:uid="{00000000-0005-0000-0000-000099880000}"/>
    <cellStyle name="Normal 33 8 6 4" xfId="35600" xr:uid="{00000000-0005-0000-0000-00009A880000}"/>
    <cellStyle name="Normal 33 8 6 5" xfId="35601" xr:uid="{00000000-0005-0000-0000-00009B880000}"/>
    <cellStyle name="Normal 33 8 6 6" xfId="35602" xr:uid="{00000000-0005-0000-0000-00009C880000}"/>
    <cellStyle name="Normal 33 8 7" xfId="35603" xr:uid="{00000000-0005-0000-0000-00009D880000}"/>
    <cellStyle name="Normal 33 8 7 2" xfId="35604" xr:uid="{00000000-0005-0000-0000-00009E880000}"/>
    <cellStyle name="Normal 33 8 7 3" xfId="35605" xr:uid="{00000000-0005-0000-0000-00009F880000}"/>
    <cellStyle name="Normal 33 8 7 4" xfId="35606" xr:uid="{00000000-0005-0000-0000-0000A0880000}"/>
    <cellStyle name="Normal 33 8 7 5" xfId="35607" xr:uid="{00000000-0005-0000-0000-0000A1880000}"/>
    <cellStyle name="Normal 33 8 7 6" xfId="35608" xr:uid="{00000000-0005-0000-0000-0000A2880000}"/>
    <cellStyle name="Normal 33 8 8" xfId="35609" xr:uid="{00000000-0005-0000-0000-0000A3880000}"/>
    <cellStyle name="Normal 33 8 8 2" xfId="35610" xr:uid="{00000000-0005-0000-0000-0000A4880000}"/>
    <cellStyle name="Normal 33 8 8 3" xfId="35611" xr:uid="{00000000-0005-0000-0000-0000A5880000}"/>
    <cellStyle name="Normal 33 8 8 4" xfId="35612" xr:uid="{00000000-0005-0000-0000-0000A6880000}"/>
    <cellStyle name="Normal 33 8 8 5" xfId="35613" xr:uid="{00000000-0005-0000-0000-0000A7880000}"/>
    <cellStyle name="Normal 33 8 8 6" xfId="35614" xr:uid="{00000000-0005-0000-0000-0000A8880000}"/>
    <cellStyle name="Normal 33 8 9" xfId="35615" xr:uid="{00000000-0005-0000-0000-0000A9880000}"/>
    <cellStyle name="Normal 33 9" xfId="35616" xr:uid="{00000000-0005-0000-0000-0000AA880000}"/>
    <cellStyle name="Normal 33 9 10" xfId="35617" xr:uid="{00000000-0005-0000-0000-0000AB880000}"/>
    <cellStyle name="Normal 33 9 11" xfId="35618" xr:uid="{00000000-0005-0000-0000-0000AC880000}"/>
    <cellStyle name="Normal 33 9 12" xfId="35619" xr:uid="{00000000-0005-0000-0000-0000AD880000}"/>
    <cellStyle name="Normal 33 9 13" xfId="35620" xr:uid="{00000000-0005-0000-0000-0000AE880000}"/>
    <cellStyle name="Normal 33 9 2" xfId="35621" xr:uid="{00000000-0005-0000-0000-0000AF880000}"/>
    <cellStyle name="Normal 33 9 2 2" xfId="35622" xr:uid="{00000000-0005-0000-0000-0000B0880000}"/>
    <cellStyle name="Normal 33 9 2 3" xfId="35623" xr:uid="{00000000-0005-0000-0000-0000B1880000}"/>
    <cellStyle name="Normal 33 9 2 4" xfId="35624" xr:uid="{00000000-0005-0000-0000-0000B2880000}"/>
    <cellStyle name="Normal 33 9 2 5" xfId="35625" xr:uid="{00000000-0005-0000-0000-0000B3880000}"/>
    <cellStyle name="Normal 33 9 2 6" xfId="35626" xr:uid="{00000000-0005-0000-0000-0000B4880000}"/>
    <cellStyle name="Normal 33 9 3" xfId="35627" xr:uid="{00000000-0005-0000-0000-0000B5880000}"/>
    <cellStyle name="Normal 33 9 3 2" xfId="35628" xr:uid="{00000000-0005-0000-0000-0000B6880000}"/>
    <cellStyle name="Normal 33 9 3 3" xfId="35629" xr:uid="{00000000-0005-0000-0000-0000B7880000}"/>
    <cellStyle name="Normal 33 9 3 4" xfId="35630" xr:uid="{00000000-0005-0000-0000-0000B8880000}"/>
    <cellStyle name="Normal 33 9 3 5" xfId="35631" xr:uid="{00000000-0005-0000-0000-0000B9880000}"/>
    <cellStyle name="Normal 33 9 3 6" xfId="35632" xr:uid="{00000000-0005-0000-0000-0000BA880000}"/>
    <cellStyle name="Normal 33 9 4" xfId="35633" xr:uid="{00000000-0005-0000-0000-0000BB880000}"/>
    <cellStyle name="Normal 33 9 4 2" xfId="35634" xr:uid="{00000000-0005-0000-0000-0000BC880000}"/>
    <cellStyle name="Normal 33 9 4 3" xfId="35635" xr:uid="{00000000-0005-0000-0000-0000BD880000}"/>
    <cellStyle name="Normal 33 9 4 4" xfId="35636" xr:uid="{00000000-0005-0000-0000-0000BE880000}"/>
    <cellStyle name="Normal 33 9 4 5" xfId="35637" xr:uid="{00000000-0005-0000-0000-0000BF880000}"/>
    <cellStyle name="Normal 33 9 4 6" xfId="35638" xr:uid="{00000000-0005-0000-0000-0000C0880000}"/>
    <cellStyle name="Normal 33 9 5" xfId="35639" xr:uid="{00000000-0005-0000-0000-0000C1880000}"/>
    <cellStyle name="Normal 33 9 5 2" xfId="35640" xr:uid="{00000000-0005-0000-0000-0000C2880000}"/>
    <cellStyle name="Normal 33 9 5 3" xfId="35641" xr:uid="{00000000-0005-0000-0000-0000C3880000}"/>
    <cellStyle name="Normal 33 9 5 4" xfId="35642" xr:uid="{00000000-0005-0000-0000-0000C4880000}"/>
    <cellStyle name="Normal 33 9 5 5" xfId="35643" xr:uid="{00000000-0005-0000-0000-0000C5880000}"/>
    <cellStyle name="Normal 33 9 5 6" xfId="35644" xr:uid="{00000000-0005-0000-0000-0000C6880000}"/>
    <cellStyle name="Normal 33 9 6" xfId="35645" xr:uid="{00000000-0005-0000-0000-0000C7880000}"/>
    <cellStyle name="Normal 33 9 6 2" xfId="35646" xr:uid="{00000000-0005-0000-0000-0000C8880000}"/>
    <cellStyle name="Normal 33 9 6 3" xfId="35647" xr:uid="{00000000-0005-0000-0000-0000C9880000}"/>
    <cellStyle name="Normal 33 9 6 4" xfId="35648" xr:uid="{00000000-0005-0000-0000-0000CA880000}"/>
    <cellStyle name="Normal 33 9 6 5" xfId="35649" xr:uid="{00000000-0005-0000-0000-0000CB880000}"/>
    <cellStyle name="Normal 33 9 6 6" xfId="35650" xr:uid="{00000000-0005-0000-0000-0000CC880000}"/>
    <cellStyle name="Normal 33 9 7" xfId="35651" xr:uid="{00000000-0005-0000-0000-0000CD880000}"/>
    <cellStyle name="Normal 33 9 7 2" xfId="35652" xr:uid="{00000000-0005-0000-0000-0000CE880000}"/>
    <cellStyle name="Normal 33 9 7 3" xfId="35653" xr:uid="{00000000-0005-0000-0000-0000CF880000}"/>
    <cellStyle name="Normal 33 9 7 4" xfId="35654" xr:uid="{00000000-0005-0000-0000-0000D0880000}"/>
    <cellStyle name="Normal 33 9 7 5" xfId="35655" xr:uid="{00000000-0005-0000-0000-0000D1880000}"/>
    <cellStyle name="Normal 33 9 7 6" xfId="35656" xr:uid="{00000000-0005-0000-0000-0000D2880000}"/>
    <cellStyle name="Normal 33 9 8" xfId="35657" xr:uid="{00000000-0005-0000-0000-0000D3880000}"/>
    <cellStyle name="Normal 33 9 8 2" xfId="35658" xr:uid="{00000000-0005-0000-0000-0000D4880000}"/>
    <cellStyle name="Normal 33 9 8 3" xfId="35659" xr:uid="{00000000-0005-0000-0000-0000D5880000}"/>
    <cellStyle name="Normal 33 9 8 4" xfId="35660" xr:uid="{00000000-0005-0000-0000-0000D6880000}"/>
    <cellStyle name="Normal 33 9 8 5" xfId="35661" xr:uid="{00000000-0005-0000-0000-0000D7880000}"/>
    <cellStyle name="Normal 33 9 8 6" xfId="35662" xr:uid="{00000000-0005-0000-0000-0000D8880000}"/>
    <cellStyle name="Normal 33 9 9" xfId="35663" xr:uid="{00000000-0005-0000-0000-0000D9880000}"/>
    <cellStyle name="Normal 34" xfId="1915" xr:uid="{00000000-0005-0000-0000-0000DA880000}"/>
    <cellStyle name="Normal 34 10" xfId="35664" xr:uid="{00000000-0005-0000-0000-0000DB880000}"/>
    <cellStyle name="Normal 34 10 10" xfId="35665" xr:uid="{00000000-0005-0000-0000-0000DC880000}"/>
    <cellStyle name="Normal 34 10 11" xfId="35666" xr:uid="{00000000-0005-0000-0000-0000DD880000}"/>
    <cellStyle name="Normal 34 10 12" xfId="35667" xr:uid="{00000000-0005-0000-0000-0000DE880000}"/>
    <cellStyle name="Normal 34 10 13" xfId="35668" xr:uid="{00000000-0005-0000-0000-0000DF880000}"/>
    <cellStyle name="Normal 34 10 2" xfId="35669" xr:uid="{00000000-0005-0000-0000-0000E0880000}"/>
    <cellStyle name="Normal 34 10 2 2" xfId="35670" xr:uid="{00000000-0005-0000-0000-0000E1880000}"/>
    <cellStyle name="Normal 34 10 2 3" xfId="35671" xr:uid="{00000000-0005-0000-0000-0000E2880000}"/>
    <cellStyle name="Normal 34 10 2 4" xfId="35672" xr:uid="{00000000-0005-0000-0000-0000E3880000}"/>
    <cellStyle name="Normal 34 10 2 5" xfId="35673" xr:uid="{00000000-0005-0000-0000-0000E4880000}"/>
    <cellStyle name="Normal 34 10 2 6" xfId="35674" xr:uid="{00000000-0005-0000-0000-0000E5880000}"/>
    <cellStyle name="Normal 34 10 3" xfId="35675" xr:uid="{00000000-0005-0000-0000-0000E6880000}"/>
    <cellStyle name="Normal 34 10 3 2" xfId="35676" xr:uid="{00000000-0005-0000-0000-0000E7880000}"/>
    <cellStyle name="Normal 34 10 3 3" xfId="35677" xr:uid="{00000000-0005-0000-0000-0000E8880000}"/>
    <cellStyle name="Normal 34 10 3 4" xfId="35678" xr:uid="{00000000-0005-0000-0000-0000E9880000}"/>
    <cellStyle name="Normal 34 10 3 5" xfId="35679" xr:uid="{00000000-0005-0000-0000-0000EA880000}"/>
    <cellStyle name="Normal 34 10 3 6" xfId="35680" xr:uid="{00000000-0005-0000-0000-0000EB880000}"/>
    <cellStyle name="Normal 34 10 4" xfId="35681" xr:uid="{00000000-0005-0000-0000-0000EC880000}"/>
    <cellStyle name="Normal 34 10 4 2" xfId="35682" xr:uid="{00000000-0005-0000-0000-0000ED880000}"/>
    <cellStyle name="Normal 34 10 4 3" xfId="35683" xr:uid="{00000000-0005-0000-0000-0000EE880000}"/>
    <cellStyle name="Normal 34 10 4 4" xfId="35684" xr:uid="{00000000-0005-0000-0000-0000EF880000}"/>
    <cellStyle name="Normal 34 10 4 5" xfId="35685" xr:uid="{00000000-0005-0000-0000-0000F0880000}"/>
    <cellStyle name="Normal 34 10 4 6" xfId="35686" xr:uid="{00000000-0005-0000-0000-0000F1880000}"/>
    <cellStyle name="Normal 34 10 5" xfId="35687" xr:uid="{00000000-0005-0000-0000-0000F2880000}"/>
    <cellStyle name="Normal 34 10 5 2" xfId="35688" xr:uid="{00000000-0005-0000-0000-0000F3880000}"/>
    <cellStyle name="Normal 34 10 5 3" xfId="35689" xr:uid="{00000000-0005-0000-0000-0000F4880000}"/>
    <cellStyle name="Normal 34 10 5 4" xfId="35690" xr:uid="{00000000-0005-0000-0000-0000F5880000}"/>
    <cellStyle name="Normal 34 10 5 5" xfId="35691" xr:uid="{00000000-0005-0000-0000-0000F6880000}"/>
    <cellStyle name="Normal 34 10 5 6" xfId="35692" xr:uid="{00000000-0005-0000-0000-0000F7880000}"/>
    <cellStyle name="Normal 34 10 6" xfId="35693" xr:uid="{00000000-0005-0000-0000-0000F8880000}"/>
    <cellStyle name="Normal 34 10 6 2" xfId="35694" xr:uid="{00000000-0005-0000-0000-0000F9880000}"/>
    <cellStyle name="Normal 34 10 6 3" xfId="35695" xr:uid="{00000000-0005-0000-0000-0000FA880000}"/>
    <cellStyle name="Normal 34 10 6 4" xfId="35696" xr:uid="{00000000-0005-0000-0000-0000FB880000}"/>
    <cellStyle name="Normal 34 10 6 5" xfId="35697" xr:uid="{00000000-0005-0000-0000-0000FC880000}"/>
    <cellStyle name="Normal 34 10 6 6" xfId="35698" xr:uid="{00000000-0005-0000-0000-0000FD880000}"/>
    <cellStyle name="Normal 34 10 7" xfId="35699" xr:uid="{00000000-0005-0000-0000-0000FE880000}"/>
    <cellStyle name="Normal 34 10 7 2" xfId="35700" xr:uid="{00000000-0005-0000-0000-0000FF880000}"/>
    <cellStyle name="Normal 34 10 7 3" xfId="35701" xr:uid="{00000000-0005-0000-0000-000000890000}"/>
    <cellStyle name="Normal 34 10 7 4" xfId="35702" xr:uid="{00000000-0005-0000-0000-000001890000}"/>
    <cellStyle name="Normal 34 10 7 5" xfId="35703" xr:uid="{00000000-0005-0000-0000-000002890000}"/>
    <cellStyle name="Normal 34 10 7 6" xfId="35704" xr:uid="{00000000-0005-0000-0000-000003890000}"/>
    <cellStyle name="Normal 34 10 8" xfId="35705" xr:uid="{00000000-0005-0000-0000-000004890000}"/>
    <cellStyle name="Normal 34 10 8 2" xfId="35706" xr:uid="{00000000-0005-0000-0000-000005890000}"/>
    <cellStyle name="Normal 34 10 8 3" xfId="35707" xr:uid="{00000000-0005-0000-0000-000006890000}"/>
    <cellStyle name="Normal 34 10 8 4" xfId="35708" xr:uid="{00000000-0005-0000-0000-000007890000}"/>
    <cellStyle name="Normal 34 10 8 5" xfId="35709" xr:uid="{00000000-0005-0000-0000-000008890000}"/>
    <cellStyle name="Normal 34 10 8 6" xfId="35710" xr:uid="{00000000-0005-0000-0000-000009890000}"/>
    <cellStyle name="Normal 34 10 9" xfId="35711" xr:uid="{00000000-0005-0000-0000-00000A890000}"/>
    <cellStyle name="Normal 34 11" xfId="35712" xr:uid="{00000000-0005-0000-0000-00000B890000}"/>
    <cellStyle name="Normal 34 11 10" xfId="35713" xr:uid="{00000000-0005-0000-0000-00000C890000}"/>
    <cellStyle name="Normal 34 11 11" xfId="35714" xr:uid="{00000000-0005-0000-0000-00000D890000}"/>
    <cellStyle name="Normal 34 11 12" xfId="35715" xr:uid="{00000000-0005-0000-0000-00000E890000}"/>
    <cellStyle name="Normal 34 11 13" xfId="35716" xr:uid="{00000000-0005-0000-0000-00000F890000}"/>
    <cellStyle name="Normal 34 11 2" xfId="35717" xr:uid="{00000000-0005-0000-0000-000010890000}"/>
    <cellStyle name="Normal 34 11 2 2" xfId="35718" xr:uid="{00000000-0005-0000-0000-000011890000}"/>
    <cellStyle name="Normal 34 11 2 3" xfId="35719" xr:uid="{00000000-0005-0000-0000-000012890000}"/>
    <cellStyle name="Normal 34 11 2 4" xfId="35720" xr:uid="{00000000-0005-0000-0000-000013890000}"/>
    <cellStyle name="Normal 34 11 2 5" xfId="35721" xr:uid="{00000000-0005-0000-0000-000014890000}"/>
    <cellStyle name="Normal 34 11 2 6" xfId="35722" xr:uid="{00000000-0005-0000-0000-000015890000}"/>
    <cellStyle name="Normal 34 11 3" xfId="35723" xr:uid="{00000000-0005-0000-0000-000016890000}"/>
    <cellStyle name="Normal 34 11 3 2" xfId="35724" xr:uid="{00000000-0005-0000-0000-000017890000}"/>
    <cellStyle name="Normal 34 11 3 3" xfId="35725" xr:uid="{00000000-0005-0000-0000-000018890000}"/>
    <cellStyle name="Normal 34 11 3 4" xfId="35726" xr:uid="{00000000-0005-0000-0000-000019890000}"/>
    <cellStyle name="Normal 34 11 3 5" xfId="35727" xr:uid="{00000000-0005-0000-0000-00001A890000}"/>
    <cellStyle name="Normal 34 11 3 6" xfId="35728" xr:uid="{00000000-0005-0000-0000-00001B890000}"/>
    <cellStyle name="Normal 34 11 4" xfId="35729" xr:uid="{00000000-0005-0000-0000-00001C890000}"/>
    <cellStyle name="Normal 34 11 4 2" xfId="35730" xr:uid="{00000000-0005-0000-0000-00001D890000}"/>
    <cellStyle name="Normal 34 11 4 3" xfId="35731" xr:uid="{00000000-0005-0000-0000-00001E890000}"/>
    <cellStyle name="Normal 34 11 4 4" xfId="35732" xr:uid="{00000000-0005-0000-0000-00001F890000}"/>
    <cellStyle name="Normal 34 11 4 5" xfId="35733" xr:uid="{00000000-0005-0000-0000-000020890000}"/>
    <cellStyle name="Normal 34 11 4 6" xfId="35734" xr:uid="{00000000-0005-0000-0000-000021890000}"/>
    <cellStyle name="Normal 34 11 5" xfId="35735" xr:uid="{00000000-0005-0000-0000-000022890000}"/>
    <cellStyle name="Normal 34 11 5 2" xfId="35736" xr:uid="{00000000-0005-0000-0000-000023890000}"/>
    <cellStyle name="Normal 34 11 5 3" xfId="35737" xr:uid="{00000000-0005-0000-0000-000024890000}"/>
    <cellStyle name="Normal 34 11 5 4" xfId="35738" xr:uid="{00000000-0005-0000-0000-000025890000}"/>
    <cellStyle name="Normal 34 11 5 5" xfId="35739" xr:uid="{00000000-0005-0000-0000-000026890000}"/>
    <cellStyle name="Normal 34 11 5 6" xfId="35740" xr:uid="{00000000-0005-0000-0000-000027890000}"/>
    <cellStyle name="Normal 34 11 6" xfId="35741" xr:uid="{00000000-0005-0000-0000-000028890000}"/>
    <cellStyle name="Normal 34 11 6 2" xfId="35742" xr:uid="{00000000-0005-0000-0000-000029890000}"/>
    <cellStyle name="Normal 34 11 6 3" xfId="35743" xr:uid="{00000000-0005-0000-0000-00002A890000}"/>
    <cellStyle name="Normal 34 11 6 4" xfId="35744" xr:uid="{00000000-0005-0000-0000-00002B890000}"/>
    <cellStyle name="Normal 34 11 6 5" xfId="35745" xr:uid="{00000000-0005-0000-0000-00002C890000}"/>
    <cellStyle name="Normal 34 11 6 6" xfId="35746" xr:uid="{00000000-0005-0000-0000-00002D890000}"/>
    <cellStyle name="Normal 34 11 7" xfId="35747" xr:uid="{00000000-0005-0000-0000-00002E890000}"/>
    <cellStyle name="Normal 34 11 7 2" xfId="35748" xr:uid="{00000000-0005-0000-0000-00002F890000}"/>
    <cellStyle name="Normal 34 11 7 3" xfId="35749" xr:uid="{00000000-0005-0000-0000-000030890000}"/>
    <cellStyle name="Normal 34 11 7 4" xfId="35750" xr:uid="{00000000-0005-0000-0000-000031890000}"/>
    <cellStyle name="Normal 34 11 7 5" xfId="35751" xr:uid="{00000000-0005-0000-0000-000032890000}"/>
    <cellStyle name="Normal 34 11 7 6" xfId="35752" xr:uid="{00000000-0005-0000-0000-000033890000}"/>
    <cellStyle name="Normal 34 11 8" xfId="35753" xr:uid="{00000000-0005-0000-0000-000034890000}"/>
    <cellStyle name="Normal 34 11 8 2" xfId="35754" xr:uid="{00000000-0005-0000-0000-000035890000}"/>
    <cellStyle name="Normal 34 11 8 3" xfId="35755" xr:uid="{00000000-0005-0000-0000-000036890000}"/>
    <cellStyle name="Normal 34 11 8 4" xfId="35756" xr:uid="{00000000-0005-0000-0000-000037890000}"/>
    <cellStyle name="Normal 34 11 8 5" xfId="35757" xr:uid="{00000000-0005-0000-0000-000038890000}"/>
    <cellStyle name="Normal 34 11 8 6" xfId="35758" xr:uid="{00000000-0005-0000-0000-000039890000}"/>
    <cellStyle name="Normal 34 11 9" xfId="35759" xr:uid="{00000000-0005-0000-0000-00003A890000}"/>
    <cellStyle name="Normal 34 12" xfId="35760" xr:uid="{00000000-0005-0000-0000-00003B890000}"/>
    <cellStyle name="Normal 34 12 2" xfId="35761" xr:uid="{00000000-0005-0000-0000-00003C890000}"/>
    <cellStyle name="Normal 34 12 3" xfId="35762" xr:uid="{00000000-0005-0000-0000-00003D890000}"/>
    <cellStyle name="Normal 34 12 4" xfId="35763" xr:uid="{00000000-0005-0000-0000-00003E890000}"/>
    <cellStyle name="Normal 34 12 5" xfId="35764" xr:uid="{00000000-0005-0000-0000-00003F890000}"/>
    <cellStyle name="Normal 34 12 6" xfId="35765" xr:uid="{00000000-0005-0000-0000-000040890000}"/>
    <cellStyle name="Normal 34 13" xfId="35766" xr:uid="{00000000-0005-0000-0000-000041890000}"/>
    <cellStyle name="Normal 34 13 2" xfId="35767" xr:uid="{00000000-0005-0000-0000-000042890000}"/>
    <cellStyle name="Normal 34 13 3" xfId="35768" xr:uid="{00000000-0005-0000-0000-000043890000}"/>
    <cellStyle name="Normal 34 13 4" xfId="35769" xr:uid="{00000000-0005-0000-0000-000044890000}"/>
    <cellStyle name="Normal 34 13 5" xfId="35770" xr:uid="{00000000-0005-0000-0000-000045890000}"/>
    <cellStyle name="Normal 34 13 6" xfId="35771" xr:uid="{00000000-0005-0000-0000-000046890000}"/>
    <cellStyle name="Normal 34 14" xfId="35772" xr:uid="{00000000-0005-0000-0000-000047890000}"/>
    <cellStyle name="Normal 34 14 2" xfId="35773" xr:uid="{00000000-0005-0000-0000-000048890000}"/>
    <cellStyle name="Normal 34 14 3" xfId="35774" xr:uid="{00000000-0005-0000-0000-000049890000}"/>
    <cellStyle name="Normal 34 14 4" xfId="35775" xr:uid="{00000000-0005-0000-0000-00004A890000}"/>
    <cellStyle name="Normal 34 14 5" xfId="35776" xr:uid="{00000000-0005-0000-0000-00004B890000}"/>
    <cellStyle name="Normal 34 14 6" xfId="35777" xr:uid="{00000000-0005-0000-0000-00004C890000}"/>
    <cellStyle name="Normal 34 15" xfId="35778" xr:uid="{00000000-0005-0000-0000-00004D890000}"/>
    <cellStyle name="Normal 34 15 2" xfId="35779" xr:uid="{00000000-0005-0000-0000-00004E890000}"/>
    <cellStyle name="Normal 34 15 3" xfId="35780" xr:uid="{00000000-0005-0000-0000-00004F890000}"/>
    <cellStyle name="Normal 34 15 4" xfId="35781" xr:uid="{00000000-0005-0000-0000-000050890000}"/>
    <cellStyle name="Normal 34 15 5" xfId="35782" xr:uid="{00000000-0005-0000-0000-000051890000}"/>
    <cellStyle name="Normal 34 15 6" xfId="35783" xr:uid="{00000000-0005-0000-0000-000052890000}"/>
    <cellStyle name="Normal 34 16" xfId="35784" xr:uid="{00000000-0005-0000-0000-000053890000}"/>
    <cellStyle name="Normal 34 16 2" xfId="35785" xr:uid="{00000000-0005-0000-0000-000054890000}"/>
    <cellStyle name="Normal 34 16 3" xfId="35786" xr:uid="{00000000-0005-0000-0000-000055890000}"/>
    <cellStyle name="Normal 34 16 4" xfId="35787" xr:uid="{00000000-0005-0000-0000-000056890000}"/>
    <cellStyle name="Normal 34 16 5" xfId="35788" xr:uid="{00000000-0005-0000-0000-000057890000}"/>
    <cellStyle name="Normal 34 16 6" xfId="35789" xr:uid="{00000000-0005-0000-0000-000058890000}"/>
    <cellStyle name="Normal 34 17" xfId="35790" xr:uid="{00000000-0005-0000-0000-000059890000}"/>
    <cellStyle name="Normal 34 17 2" xfId="35791" xr:uid="{00000000-0005-0000-0000-00005A890000}"/>
    <cellStyle name="Normal 34 17 3" xfId="35792" xr:uid="{00000000-0005-0000-0000-00005B890000}"/>
    <cellStyle name="Normal 34 17 4" xfId="35793" xr:uid="{00000000-0005-0000-0000-00005C890000}"/>
    <cellStyle name="Normal 34 17 5" xfId="35794" xr:uid="{00000000-0005-0000-0000-00005D890000}"/>
    <cellStyle name="Normal 34 17 6" xfId="35795" xr:uid="{00000000-0005-0000-0000-00005E890000}"/>
    <cellStyle name="Normal 34 18" xfId="35796" xr:uid="{00000000-0005-0000-0000-00005F890000}"/>
    <cellStyle name="Normal 34 18 2" xfId="35797" xr:uid="{00000000-0005-0000-0000-000060890000}"/>
    <cellStyle name="Normal 34 18 3" xfId="35798" xr:uid="{00000000-0005-0000-0000-000061890000}"/>
    <cellStyle name="Normal 34 18 4" xfId="35799" xr:uid="{00000000-0005-0000-0000-000062890000}"/>
    <cellStyle name="Normal 34 18 5" xfId="35800" xr:uid="{00000000-0005-0000-0000-000063890000}"/>
    <cellStyle name="Normal 34 18 6" xfId="35801" xr:uid="{00000000-0005-0000-0000-000064890000}"/>
    <cellStyle name="Normal 34 19" xfId="35802" xr:uid="{00000000-0005-0000-0000-000065890000}"/>
    <cellStyle name="Normal 34 2" xfId="35803" xr:uid="{00000000-0005-0000-0000-000066890000}"/>
    <cellStyle name="Normal 34 2 10" xfId="35804" xr:uid="{00000000-0005-0000-0000-000067890000}"/>
    <cellStyle name="Normal 34 2 11" xfId="35805" xr:uid="{00000000-0005-0000-0000-000068890000}"/>
    <cellStyle name="Normal 34 2 12" xfId="35806" xr:uid="{00000000-0005-0000-0000-000069890000}"/>
    <cellStyle name="Normal 34 2 13" xfId="35807" xr:uid="{00000000-0005-0000-0000-00006A890000}"/>
    <cellStyle name="Normal 34 2 2" xfId="35808" xr:uid="{00000000-0005-0000-0000-00006B890000}"/>
    <cellStyle name="Normal 34 2 2 2" xfId="35809" xr:uid="{00000000-0005-0000-0000-00006C890000}"/>
    <cellStyle name="Normal 34 2 2 3" xfId="35810" xr:uid="{00000000-0005-0000-0000-00006D890000}"/>
    <cellStyle name="Normal 34 2 2 4" xfId="35811" xr:uid="{00000000-0005-0000-0000-00006E890000}"/>
    <cellStyle name="Normal 34 2 2 5" xfId="35812" xr:uid="{00000000-0005-0000-0000-00006F890000}"/>
    <cellStyle name="Normal 34 2 2 6" xfId="35813" xr:uid="{00000000-0005-0000-0000-000070890000}"/>
    <cellStyle name="Normal 34 2 3" xfId="35814" xr:uid="{00000000-0005-0000-0000-000071890000}"/>
    <cellStyle name="Normal 34 2 3 2" xfId="35815" xr:uid="{00000000-0005-0000-0000-000072890000}"/>
    <cellStyle name="Normal 34 2 3 3" xfId="35816" xr:uid="{00000000-0005-0000-0000-000073890000}"/>
    <cellStyle name="Normal 34 2 3 4" xfId="35817" xr:uid="{00000000-0005-0000-0000-000074890000}"/>
    <cellStyle name="Normal 34 2 3 5" xfId="35818" xr:uid="{00000000-0005-0000-0000-000075890000}"/>
    <cellStyle name="Normal 34 2 3 6" xfId="35819" xr:uid="{00000000-0005-0000-0000-000076890000}"/>
    <cellStyle name="Normal 34 2 4" xfId="35820" xr:uid="{00000000-0005-0000-0000-000077890000}"/>
    <cellStyle name="Normal 34 2 4 2" xfId="35821" xr:uid="{00000000-0005-0000-0000-000078890000}"/>
    <cellStyle name="Normal 34 2 4 3" xfId="35822" xr:uid="{00000000-0005-0000-0000-000079890000}"/>
    <cellStyle name="Normal 34 2 4 4" xfId="35823" xr:uid="{00000000-0005-0000-0000-00007A890000}"/>
    <cellStyle name="Normal 34 2 4 5" xfId="35824" xr:uid="{00000000-0005-0000-0000-00007B890000}"/>
    <cellStyle name="Normal 34 2 4 6" xfId="35825" xr:uid="{00000000-0005-0000-0000-00007C890000}"/>
    <cellStyle name="Normal 34 2 5" xfId="35826" xr:uid="{00000000-0005-0000-0000-00007D890000}"/>
    <cellStyle name="Normal 34 2 5 2" xfId="35827" xr:uid="{00000000-0005-0000-0000-00007E890000}"/>
    <cellStyle name="Normal 34 2 5 3" xfId="35828" xr:uid="{00000000-0005-0000-0000-00007F890000}"/>
    <cellStyle name="Normal 34 2 5 4" xfId="35829" xr:uid="{00000000-0005-0000-0000-000080890000}"/>
    <cellStyle name="Normal 34 2 5 5" xfId="35830" xr:uid="{00000000-0005-0000-0000-000081890000}"/>
    <cellStyle name="Normal 34 2 5 6" xfId="35831" xr:uid="{00000000-0005-0000-0000-000082890000}"/>
    <cellStyle name="Normal 34 2 6" xfId="35832" xr:uid="{00000000-0005-0000-0000-000083890000}"/>
    <cellStyle name="Normal 34 2 6 2" xfId="35833" xr:uid="{00000000-0005-0000-0000-000084890000}"/>
    <cellStyle name="Normal 34 2 6 3" xfId="35834" xr:uid="{00000000-0005-0000-0000-000085890000}"/>
    <cellStyle name="Normal 34 2 6 4" xfId="35835" xr:uid="{00000000-0005-0000-0000-000086890000}"/>
    <cellStyle name="Normal 34 2 6 5" xfId="35836" xr:uid="{00000000-0005-0000-0000-000087890000}"/>
    <cellStyle name="Normal 34 2 6 6" xfId="35837" xr:uid="{00000000-0005-0000-0000-000088890000}"/>
    <cellStyle name="Normal 34 2 7" xfId="35838" xr:uid="{00000000-0005-0000-0000-000089890000}"/>
    <cellStyle name="Normal 34 2 7 2" xfId="35839" xr:uid="{00000000-0005-0000-0000-00008A890000}"/>
    <cellStyle name="Normal 34 2 7 3" xfId="35840" xr:uid="{00000000-0005-0000-0000-00008B890000}"/>
    <cellStyle name="Normal 34 2 7 4" xfId="35841" xr:uid="{00000000-0005-0000-0000-00008C890000}"/>
    <cellStyle name="Normal 34 2 7 5" xfId="35842" xr:uid="{00000000-0005-0000-0000-00008D890000}"/>
    <cellStyle name="Normal 34 2 7 6" xfId="35843" xr:uid="{00000000-0005-0000-0000-00008E890000}"/>
    <cellStyle name="Normal 34 2 8" xfId="35844" xr:uid="{00000000-0005-0000-0000-00008F890000}"/>
    <cellStyle name="Normal 34 2 8 2" xfId="35845" xr:uid="{00000000-0005-0000-0000-000090890000}"/>
    <cellStyle name="Normal 34 2 8 3" xfId="35846" xr:uid="{00000000-0005-0000-0000-000091890000}"/>
    <cellStyle name="Normal 34 2 8 4" xfId="35847" xr:uid="{00000000-0005-0000-0000-000092890000}"/>
    <cellStyle name="Normal 34 2 8 5" xfId="35848" xr:uid="{00000000-0005-0000-0000-000093890000}"/>
    <cellStyle name="Normal 34 2 8 6" xfId="35849" xr:uid="{00000000-0005-0000-0000-000094890000}"/>
    <cellStyle name="Normal 34 2 9" xfId="35850" xr:uid="{00000000-0005-0000-0000-000095890000}"/>
    <cellStyle name="Normal 34 20" xfId="35851" xr:uid="{00000000-0005-0000-0000-000096890000}"/>
    <cellStyle name="Normal 34 21" xfId="35852" xr:uid="{00000000-0005-0000-0000-000097890000}"/>
    <cellStyle name="Normal 34 22" xfId="35853" xr:uid="{00000000-0005-0000-0000-000098890000}"/>
    <cellStyle name="Normal 34 23" xfId="35854" xr:uid="{00000000-0005-0000-0000-000099890000}"/>
    <cellStyle name="Normal 34 3" xfId="35855" xr:uid="{00000000-0005-0000-0000-00009A890000}"/>
    <cellStyle name="Normal 34 3 10" xfId="35856" xr:uid="{00000000-0005-0000-0000-00009B890000}"/>
    <cellStyle name="Normal 34 3 11" xfId="35857" xr:uid="{00000000-0005-0000-0000-00009C890000}"/>
    <cellStyle name="Normal 34 3 12" xfId="35858" xr:uid="{00000000-0005-0000-0000-00009D890000}"/>
    <cellStyle name="Normal 34 3 13" xfId="35859" xr:uid="{00000000-0005-0000-0000-00009E890000}"/>
    <cellStyle name="Normal 34 3 2" xfId="35860" xr:uid="{00000000-0005-0000-0000-00009F890000}"/>
    <cellStyle name="Normal 34 3 2 2" xfId="35861" xr:uid="{00000000-0005-0000-0000-0000A0890000}"/>
    <cellStyle name="Normal 34 3 2 3" xfId="35862" xr:uid="{00000000-0005-0000-0000-0000A1890000}"/>
    <cellStyle name="Normal 34 3 2 4" xfId="35863" xr:uid="{00000000-0005-0000-0000-0000A2890000}"/>
    <cellStyle name="Normal 34 3 2 5" xfId="35864" xr:uid="{00000000-0005-0000-0000-0000A3890000}"/>
    <cellStyle name="Normal 34 3 2 6" xfId="35865" xr:uid="{00000000-0005-0000-0000-0000A4890000}"/>
    <cellStyle name="Normal 34 3 3" xfId="35866" xr:uid="{00000000-0005-0000-0000-0000A5890000}"/>
    <cellStyle name="Normal 34 3 3 2" xfId="35867" xr:uid="{00000000-0005-0000-0000-0000A6890000}"/>
    <cellStyle name="Normal 34 3 3 3" xfId="35868" xr:uid="{00000000-0005-0000-0000-0000A7890000}"/>
    <cellStyle name="Normal 34 3 3 4" xfId="35869" xr:uid="{00000000-0005-0000-0000-0000A8890000}"/>
    <cellStyle name="Normal 34 3 3 5" xfId="35870" xr:uid="{00000000-0005-0000-0000-0000A9890000}"/>
    <cellStyle name="Normal 34 3 3 6" xfId="35871" xr:uid="{00000000-0005-0000-0000-0000AA890000}"/>
    <cellStyle name="Normal 34 3 4" xfId="35872" xr:uid="{00000000-0005-0000-0000-0000AB890000}"/>
    <cellStyle name="Normal 34 3 4 2" xfId="35873" xr:uid="{00000000-0005-0000-0000-0000AC890000}"/>
    <cellStyle name="Normal 34 3 4 3" xfId="35874" xr:uid="{00000000-0005-0000-0000-0000AD890000}"/>
    <cellStyle name="Normal 34 3 4 4" xfId="35875" xr:uid="{00000000-0005-0000-0000-0000AE890000}"/>
    <cellStyle name="Normal 34 3 4 5" xfId="35876" xr:uid="{00000000-0005-0000-0000-0000AF890000}"/>
    <cellStyle name="Normal 34 3 4 6" xfId="35877" xr:uid="{00000000-0005-0000-0000-0000B0890000}"/>
    <cellStyle name="Normal 34 3 5" xfId="35878" xr:uid="{00000000-0005-0000-0000-0000B1890000}"/>
    <cellStyle name="Normal 34 3 5 2" xfId="35879" xr:uid="{00000000-0005-0000-0000-0000B2890000}"/>
    <cellStyle name="Normal 34 3 5 3" xfId="35880" xr:uid="{00000000-0005-0000-0000-0000B3890000}"/>
    <cellStyle name="Normal 34 3 5 4" xfId="35881" xr:uid="{00000000-0005-0000-0000-0000B4890000}"/>
    <cellStyle name="Normal 34 3 5 5" xfId="35882" xr:uid="{00000000-0005-0000-0000-0000B5890000}"/>
    <cellStyle name="Normal 34 3 5 6" xfId="35883" xr:uid="{00000000-0005-0000-0000-0000B6890000}"/>
    <cellStyle name="Normal 34 3 6" xfId="35884" xr:uid="{00000000-0005-0000-0000-0000B7890000}"/>
    <cellStyle name="Normal 34 3 6 2" xfId="35885" xr:uid="{00000000-0005-0000-0000-0000B8890000}"/>
    <cellStyle name="Normal 34 3 6 3" xfId="35886" xr:uid="{00000000-0005-0000-0000-0000B9890000}"/>
    <cellStyle name="Normal 34 3 6 4" xfId="35887" xr:uid="{00000000-0005-0000-0000-0000BA890000}"/>
    <cellStyle name="Normal 34 3 6 5" xfId="35888" xr:uid="{00000000-0005-0000-0000-0000BB890000}"/>
    <cellStyle name="Normal 34 3 6 6" xfId="35889" xr:uid="{00000000-0005-0000-0000-0000BC890000}"/>
    <cellStyle name="Normal 34 3 7" xfId="35890" xr:uid="{00000000-0005-0000-0000-0000BD890000}"/>
    <cellStyle name="Normal 34 3 7 2" xfId="35891" xr:uid="{00000000-0005-0000-0000-0000BE890000}"/>
    <cellStyle name="Normal 34 3 7 3" xfId="35892" xr:uid="{00000000-0005-0000-0000-0000BF890000}"/>
    <cellStyle name="Normal 34 3 7 4" xfId="35893" xr:uid="{00000000-0005-0000-0000-0000C0890000}"/>
    <cellStyle name="Normal 34 3 7 5" xfId="35894" xr:uid="{00000000-0005-0000-0000-0000C1890000}"/>
    <cellStyle name="Normal 34 3 7 6" xfId="35895" xr:uid="{00000000-0005-0000-0000-0000C2890000}"/>
    <cellStyle name="Normal 34 3 8" xfId="35896" xr:uid="{00000000-0005-0000-0000-0000C3890000}"/>
    <cellStyle name="Normal 34 3 8 2" xfId="35897" xr:uid="{00000000-0005-0000-0000-0000C4890000}"/>
    <cellStyle name="Normal 34 3 8 3" xfId="35898" xr:uid="{00000000-0005-0000-0000-0000C5890000}"/>
    <cellStyle name="Normal 34 3 8 4" xfId="35899" xr:uid="{00000000-0005-0000-0000-0000C6890000}"/>
    <cellStyle name="Normal 34 3 8 5" xfId="35900" xr:uid="{00000000-0005-0000-0000-0000C7890000}"/>
    <cellStyle name="Normal 34 3 8 6" xfId="35901" xr:uid="{00000000-0005-0000-0000-0000C8890000}"/>
    <cellStyle name="Normal 34 3 9" xfId="35902" xr:uid="{00000000-0005-0000-0000-0000C9890000}"/>
    <cellStyle name="Normal 34 4" xfId="35903" xr:uid="{00000000-0005-0000-0000-0000CA890000}"/>
    <cellStyle name="Normal 34 4 10" xfId="35904" xr:uid="{00000000-0005-0000-0000-0000CB890000}"/>
    <cellStyle name="Normal 34 4 11" xfId="35905" xr:uid="{00000000-0005-0000-0000-0000CC890000}"/>
    <cellStyle name="Normal 34 4 12" xfId="35906" xr:uid="{00000000-0005-0000-0000-0000CD890000}"/>
    <cellStyle name="Normal 34 4 13" xfId="35907" xr:uid="{00000000-0005-0000-0000-0000CE890000}"/>
    <cellStyle name="Normal 34 4 2" xfId="35908" xr:uid="{00000000-0005-0000-0000-0000CF890000}"/>
    <cellStyle name="Normal 34 4 2 2" xfId="35909" xr:uid="{00000000-0005-0000-0000-0000D0890000}"/>
    <cellStyle name="Normal 34 4 2 3" xfId="35910" xr:uid="{00000000-0005-0000-0000-0000D1890000}"/>
    <cellStyle name="Normal 34 4 2 4" xfId="35911" xr:uid="{00000000-0005-0000-0000-0000D2890000}"/>
    <cellStyle name="Normal 34 4 2 5" xfId="35912" xr:uid="{00000000-0005-0000-0000-0000D3890000}"/>
    <cellStyle name="Normal 34 4 2 6" xfId="35913" xr:uid="{00000000-0005-0000-0000-0000D4890000}"/>
    <cellStyle name="Normal 34 4 3" xfId="35914" xr:uid="{00000000-0005-0000-0000-0000D5890000}"/>
    <cellStyle name="Normal 34 4 3 2" xfId="35915" xr:uid="{00000000-0005-0000-0000-0000D6890000}"/>
    <cellStyle name="Normal 34 4 3 3" xfId="35916" xr:uid="{00000000-0005-0000-0000-0000D7890000}"/>
    <cellStyle name="Normal 34 4 3 4" xfId="35917" xr:uid="{00000000-0005-0000-0000-0000D8890000}"/>
    <cellStyle name="Normal 34 4 3 5" xfId="35918" xr:uid="{00000000-0005-0000-0000-0000D9890000}"/>
    <cellStyle name="Normal 34 4 3 6" xfId="35919" xr:uid="{00000000-0005-0000-0000-0000DA890000}"/>
    <cellStyle name="Normal 34 4 4" xfId="35920" xr:uid="{00000000-0005-0000-0000-0000DB890000}"/>
    <cellStyle name="Normal 34 4 4 2" xfId="35921" xr:uid="{00000000-0005-0000-0000-0000DC890000}"/>
    <cellStyle name="Normal 34 4 4 3" xfId="35922" xr:uid="{00000000-0005-0000-0000-0000DD890000}"/>
    <cellStyle name="Normal 34 4 4 4" xfId="35923" xr:uid="{00000000-0005-0000-0000-0000DE890000}"/>
    <cellStyle name="Normal 34 4 4 5" xfId="35924" xr:uid="{00000000-0005-0000-0000-0000DF890000}"/>
    <cellStyle name="Normal 34 4 4 6" xfId="35925" xr:uid="{00000000-0005-0000-0000-0000E0890000}"/>
    <cellStyle name="Normal 34 4 5" xfId="35926" xr:uid="{00000000-0005-0000-0000-0000E1890000}"/>
    <cellStyle name="Normal 34 4 5 2" xfId="35927" xr:uid="{00000000-0005-0000-0000-0000E2890000}"/>
    <cellStyle name="Normal 34 4 5 3" xfId="35928" xr:uid="{00000000-0005-0000-0000-0000E3890000}"/>
    <cellStyle name="Normal 34 4 5 4" xfId="35929" xr:uid="{00000000-0005-0000-0000-0000E4890000}"/>
    <cellStyle name="Normal 34 4 5 5" xfId="35930" xr:uid="{00000000-0005-0000-0000-0000E5890000}"/>
    <cellStyle name="Normal 34 4 5 6" xfId="35931" xr:uid="{00000000-0005-0000-0000-0000E6890000}"/>
    <cellStyle name="Normal 34 4 6" xfId="35932" xr:uid="{00000000-0005-0000-0000-0000E7890000}"/>
    <cellStyle name="Normal 34 4 6 2" xfId="35933" xr:uid="{00000000-0005-0000-0000-0000E8890000}"/>
    <cellStyle name="Normal 34 4 6 3" xfId="35934" xr:uid="{00000000-0005-0000-0000-0000E9890000}"/>
    <cellStyle name="Normal 34 4 6 4" xfId="35935" xr:uid="{00000000-0005-0000-0000-0000EA890000}"/>
    <cellStyle name="Normal 34 4 6 5" xfId="35936" xr:uid="{00000000-0005-0000-0000-0000EB890000}"/>
    <cellStyle name="Normal 34 4 6 6" xfId="35937" xr:uid="{00000000-0005-0000-0000-0000EC890000}"/>
    <cellStyle name="Normal 34 4 7" xfId="35938" xr:uid="{00000000-0005-0000-0000-0000ED890000}"/>
    <cellStyle name="Normal 34 4 7 2" xfId="35939" xr:uid="{00000000-0005-0000-0000-0000EE890000}"/>
    <cellStyle name="Normal 34 4 7 3" xfId="35940" xr:uid="{00000000-0005-0000-0000-0000EF890000}"/>
    <cellStyle name="Normal 34 4 7 4" xfId="35941" xr:uid="{00000000-0005-0000-0000-0000F0890000}"/>
    <cellStyle name="Normal 34 4 7 5" xfId="35942" xr:uid="{00000000-0005-0000-0000-0000F1890000}"/>
    <cellStyle name="Normal 34 4 7 6" xfId="35943" xr:uid="{00000000-0005-0000-0000-0000F2890000}"/>
    <cellStyle name="Normal 34 4 8" xfId="35944" xr:uid="{00000000-0005-0000-0000-0000F3890000}"/>
    <cellStyle name="Normal 34 4 8 2" xfId="35945" xr:uid="{00000000-0005-0000-0000-0000F4890000}"/>
    <cellStyle name="Normal 34 4 8 3" xfId="35946" xr:uid="{00000000-0005-0000-0000-0000F5890000}"/>
    <cellStyle name="Normal 34 4 8 4" xfId="35947" xr:uid="{00000000-0005-0000-0000-0000F6890000}"/>
    <cellStyle name="Normal 34 4 8 5" xfId="35948" xr:uid="{00000000-0005-0000-0000-0000F7890000}"/>
    <cellStyle name="Normal 34 4 8 6" xfId="35949" xr:uid="{00000000-0005-0000-0000-0000F8890000}"/>
    <cellStyle name="Normal 34 4 9" xfId="35950" xr:uid="{00000000-0005-0000-0000-0000F9890000}"/>
    <cellStyle name="Normal 34 5" xfId="35951" xr:uid="{00000000-0005-0000-0000-0000FA890000}"/>
    <cellStyle name="Normal 34 5 10" xfId="35952" xr:uid="{00000000-0005-0000-0000-0000FB890000}"/>
    <cellStyle name="Normal 34 5 11" xfId="35953" xr:uid="{00000000-0005-0000-0000-0000FC890000}"/>
    <cellStyle name="Normal 34 5 12" xfId="35954" xr:uid="{00000000-0005-0000-0000-0000FD890000}"/>
    <cellStyle name="Normal 34 5 13" xfId="35955" xr:uid="{00000000-0005-0000-0000-0000FE890000}"/>
    <cellStyle name="Normal 34 5 2" xfId="35956" xr:uid="{00000000-0005-0000-0000-0000FF890000}"/>
    <cellStyle name="Normal 34 5 2 2" xfId="35957" xr:uid="{00000000-0005-0000-0000-0000008A0000}"/>
    <cellStyle name="Normal 34 5 2 3" xfId="35958" xr:uid="{00000000-0005-0000-0000-0000018A0000}"/>
    <cellStyle name="Normal 34 5 2 4" xfId="35959" xr:uid="{00000000-0005-0000-0000-0000028A0000}"/>
    <cellStyle name="Normal 34 5 2 5" xfId="35960" xr:uid="{00000000-0005-0000-0000-0000038A0000}"/>
    <cellStyle name="Normal 34 5 2 6" xfId="35961" xr:uid="{00000000-0005-0000-0000-0000048A0000}"/>
    <cellStyle name="Normal 34 5 3" xfId="35962" xr:uid="{00000000-0005-0000-0000-0000058A0000}"/>
    <cellStyle name="Normal 34 5 3 2" xfId="35963" xr:uid="{00000000-0005-0000-0000-0000068A0000}"/>
    <cellStyle name="Normal 34 5 3 3" xfId="35964" xr:uid="{00000000-0005-0000-0000-0000078A0000}"/>
    <cellStyle name="Normal 34 5 3 4" xfId="35965" xr:uid="{00000000-0005-0000-0000-0000088A0000}"/>
    <cellStyle name="Normal 34 5 3 5" xfId="35966" xr:uid="{00000000-0005-0000-0000-0000098A0000}"/>
    <cellStyle name="Normal 34 5 3 6" xfId="35967" xr:uid="{00000000-0005-0000-0000-00000A8A0000}"/>
    <cellStyle name="Normal 34 5 4" xfId="35968" xr:uid="{00000000-0005-0000-0000-00000B8A0000}"/>
    <cellStyle name="Normal 34 5 4 2" xfId="35969" xr:uid="{00000000-0005-0000-0000-00000C8A0000}"/>
    <cellStyle name="Normal 34 5 4 3" xfId="35970" xr:uid="{00000000-0005-0000-0000-00000D8A0000}"/>
    <cellStyle name="Normal 34 5 4 4" xfId="35971" xr:uid="{00000000-0005-0000-0000-00000E8A0000}"/>
    <cellStyle name="Normal 34 5 4 5" xfId="35972" xr:uid="{00000000-0005-0000-0000-00000F8A0000}"/>
    <cellStyle name="Normal 34 5 4 6" xfId="35973" xr:uid="{00000000-0005-0000-0000-0000108A0000}"/>
    <cellStyle name="Normal 34 5 5" xfId="35974" xr:uid="{00000000-0005-0000-0000-0000118A0000}"/>
    <cellStyle name="Normal 34 5 5 2" xfId="35975" xr:uid="{00000000-0005-0000-0000-0000128A0000}"/>
    <cellStyle name="Normal 34 5 5 3" xfId="35976" xr:uid="{00000000-0005-0000-0000-0000138A0000}"/>
    <cellStyle name="Normal 34 5 5 4" xfId="35977" xr:uid="{00000000-0005-0000-0000-0000148A0000}"/>
    <cellStyle name="Normal 34 5 5 5" xfId="35978" xr:uid="{00000000-0005-0000-0000-0000158A0000}"/>
    <cellStyle name="Normal 34 5 5 6" xfId="35979" xr:uid="{00000000-0005-0000-0000-0000168A0000}"/>
    <cellStyle name="Normal 34 5 6" xfId="35980" xr:uid="{00000000-0005-0000-0000-0000178A0000}"/>
    <cellStyle name="Normal 34 5 6 2" xfId="35981" xr:uid="{00000000-0005-0000-0000-0000188A0000}"/>
    <cellStyle name="Normal 34 5 6 3" xfId="35982" xr:uid="{00000000-0005-0000-0000-0000198A0000}"/>
    <cellStyle name="Normal 34 5 6 4" xfId="35983" xr:uid="{00000000-0005-0000-0000-00001A8A0000}"/>
    <cellStyle name="Normal 34 5 6 5" xfId="35984" xr:uid="{00000000-0005-0000-0000-00001B8A0000}"/>
    <cellStyle name="Normal 34 5 6 6" xfId="35985" xr:uid="{00000000-0005-0000-0000-00001C8A0000}"/>
    <cellStyle name="Normal 34 5 7" xfId="35986" xr:uid="{00000000-0005-0000-0000-00001D8A0000}"/>
    <cellStyle name="Normal 34 5 7 2" xfId="35987" xr:uid="{00000000-0005-0000-0000-00001E8A0000}"/>
    <cellStyle name="Normal 34 5 7 3" xfId="35988" xr:uid="{00000000-0005-0000-0000-00001F8A0000}"/>
    <cellStyle name="Normal 34 5 7 4" xfId="35989" xr:uid="{00000000-0005-0000-0000-0000208A0000}"/>
    <cellStyle name="Normal 34 5 7 5" xfId="35990" xr:uid="{00000000-0005-0000-0000-0000218A0000}"/>
    <cellStyle name="Normal 34 5 7 6" xfId="35991" xr:uid="{00000000-0005-0000-0000-0000228A0000}"/>
    <cellStyle name="Normal 34 5 8" xfId="35992" xr:uid="{00000000-0005-0000-0000-0000238A0000}"/>
    <cellStyle name="Normal 34 5 8 2" xfId="35993" xr:uid="{00000000-0005-0000-0000-0000248A0000}"/>
    <cellStyle name="Normal 34 5 8 3" xfId="35994" xr:uid="{00000000-0005-0000-0000-0000258A0000}"/>
    <cellStyle name="Normal 34 5 8 4" xfId="35995" xr:uid="{00000000-0005-0000-0000-0000268A0000}"/>
    <cellStyle name="Normal 34 5 8 5" xfId="35996" xr:uid="{00000000-0005-0000-0000-0000278A0000}"/>
    <cellStyle name="Normal 34 5 8 6" xfId="35997" xr:uid="{00000000-0005-0000-0000-0000288A0000}"/>
    <cellStyle name="Normal 34 5 9" xfId="35998" xr:uid="{00000000-0005-0000-0000-0000298A0000}"/>
    <cellStyle name="Normal 34 6" xfId="35999" xr:uid="{00000000-0005-0000-0000-00002A8A0000}"/>
    <cellStyle name="Normal 34 6 10" xfId="36000" xr:uid="{00000000-0005-0000-0000-00002B8A0000}"/>
    <cellStyle name="Normal 34 6 11" xfId="36001" xr:uid="{00000000-0005-0000-0000-00002C8A0000}"/>
    <cellStyle name="Normal 34 6 12" xfId="36002" xr:uid="{00000000-0005-0000-0000-00002D8A0000}"/>
    <cellStyle name="Normal 34 6 13" xfId="36003" xr:uid="{00000000-0005-0000-0000-00002E8A0000}"/>
    <cellStyle name="Normal 34 6 2" xfId="36004" xr:uid="{00000000-0005-0000-0000-00002F8A0000}"/>
    <cellStyle name="Normal 34 6 2 2" xfId="36005" xr:uid="{00000000-0005-0000-0000-0000308A0000}"/>
    <cellStyle name="Normal 34 6 2 3" xfId="36006" xr:uid="{00000000-0005-0000-0000-0000318A0000}"/>
    <cellStyle name="Normal 34 6 2 4" xfId="36007" xr:uid="{00000000-0005-0000-0000-0000328A0000}"/>
    <cellStyle name="Normal 34 6 2 5" xfId="36008" xr:uid="{00000000-0005-0000-0000-0000338A0000}"/>
    <cellStyle name="Normal 34 6 2 6" xfId="36009" xr:uid="{00000000-0005-0000-0000-0000348A0000}"/>
    <cellStyle name="Normal 34 6 3" xfId="36010" xr:uid="{00000000-0005-0000-0000-0000358A0000}"/>
    <cellStyle name="Normal 34 6 3 2" xfId="36011" xr:uid="{00000000-0005-0000-0000-0000368A0000}"/>
    <cellStyle name="Normal 34 6 3 3" xfId="36012" xr:uid="{00000000-0005-0000-0000-0000378A0000}"/>
    <cellStyle name="Normal 34 6 3 4" xfId="36013" xr:uid="{00000000-0005-0000-0000-0000388A0000}"/>
    <cellStyle name="Normal 34 6 3 5" xfId="36014" xr:uid="{00000000-0005-0000-0000-0000398A0000}"/>
    <cellStyle name="Normal 34 6 3 6" xfId="36015" xr:uid="{00000000-0005-0000-0000-00003A8A0000}"/>
    <cellStyle name="Normal 34 6 4" xfId="36016" xr:uid="{00000000-0005-0000-0000-00003B8A0000}"/>
    <cellStyle name="Normal 34 6 4 2" xfId="36017" xr:uid="{00000000-0005-0000-0000-00003C8A0000}"/>
    <cellStyle name="Normal 34 6 4 3" xfId="36018" xr:uid="{00000000-0005-0000-0000-00003D8A0000}"/>
    <cellStyle name="Normal 34 6 4 4" xfId="36019" xr:uid="{00000000-0005-0000-0000-00003E8A0000}"/>
    <cellStyle name="Normal 34 6 4 5" xfId="36020" xr:uid="{00000000-0005-0000-0000-00003F8A0000}"/>
    <cellStyle name="Normal 34 6 4 6" xfId="36021" xr:uid="{00000000-0005-0000-0000-0000408A0000}"/>
    <cellStyle name="Normal 34 6 5" xfId="36022" xr:uid="{00000000-0005-0000-0000-0000418A0000}"/>
    <cellStyle name="Normal 34 6 5 2" xfId="36023" xr:uid="{00000000-0005-0000-0000-0000428A0000}"/>
    <cellStyle name="Normal 34 6 5 3" xfId="36024" xr:uid="{00000000-0005-0000-0000-0000438A0000}"/>
    <cellStyle name="Normal 34 6 5 4" xfId="36025" xr:uid="{00000000-0005-0000-0000-0000448A0000}"/>
    <cellStyle name="Normal 34 6 5 5" xfId="36026" xr:uid="{00000000-0005-0000-0000-0000458A0000}"/>
    <cellStyle name="Normal 34 6 5 6" xfId="36027" xr:uid="{00000000-0005-0000-0000-0000468A0000}"/>
    <cellStyle name="Normal 34 6 6" xfId="36028" xr:uid="{00000000-0005-0000-0000-0000478A0000}"/>
    <cellStyle name="Normal 34 6 6 2" xfId="36029" xr:uid="{00000000-0005-0000-0000-0000488A0000}"/>
    <cellStyle name="Normal 34 6 6 3" xfId="36030" xr:uid="{00000000-0005-0000-0000-0000498A0000}"/>
    <cellStyle name="Normal 34 6 6 4" xfId="36031" xr:uid="{00000000-0005-0000-0000-00004A8A0000}"/>
    <cellStyle name="Normal 34 6 6 5" xfId="36032" xr:uid="{00000000-0005-0000-0000-00004B8A0000}"/>
    <cellStyle name="Normal 34 6 6 6" xfId="36033" xr:uid="{00000000-0005-0000-0000-00004C8A0000}"/>
    <cellStyle name="Normal 34 6 7" xfId="36034" xr:uid="{00000000-0005-0000-0000-00004D8A0000}"/>
    <cellStyle name="Normal 34 6 7 2" xfId="36035" xr:uid="{00000000-0005-0000-0000-00004E8A0000}"/>
    <cellStyle name="Normal 34 6 7 3" xfId="36036" xr:uid="{00000000-0005-0000-0000-00004F8A0000}"/>
    <cellStyle name="Normal 34 6 7 4" xfId="36037" xr:uid="{00000000-0005-0000-0000-0000508A0000}"/>
    <cellStyle name="Normal 34 6 7 5" xfId="36038" xr:uid="{00000000-0005-0000-0000-0000518A0000}"/>
    <cellStyle name="Normal 34 6 7 6" xfId="36039" xr:uid="{00000000-0005-0000-0000-0000528A0000}"/>
    <cellStyle name="Normal 34 6 8" xfId="36040" xr:uid="{00000000-0005-0000-0000-0000538A0000}"/>
    <cellStyle name="Normal 34 6 8 2" xfId="36041" xr:uid="{00000000-0005-0000-0000-0000548A0000}"/>
    <cellStyle name="Normal 34 6 8 3" xfId="36042" xr:uid="{00000000-0005-0000-0000-0000558A0000}"/>
    <cellStyle name="Normal 34 6 8 4" xfId="36043" xr:uid="{00000000-0005-0000-0000-0000568A0000}"/>
    <cellStyle name="Normal 34 6 8 5" xfId="36044" xr:uid="{00000000-0005-0000-0000-0000578A0000}"/>
    <cellStyle name="Normal 34 6 8 6" xfId="36045" xr:uid="{00000000-0005-0000-0000-0000588A0000}"/>
    <cellStyle name="Normal 34 6 9" xfId="36046" xr:uid="{00000000-0005-0000-0000-0000598A0000}"/>
    <cellStyle name="Normal 34 7" xfId="36047" xr:uid="{00000000-0005-0000-0000-00005A8A0000}"/>
    <cellStyle name="Normal 34 7 10" xfId="36048" xr:uid="{00000000-0005-0000-0000-00005B8A0000}"/>
    <cellStyle name="Normal 34 7 11" xfId="36049" xr:uid="{00000000-0005-0000-0000-00005C8A0000}"/>
    <cellStyle name="Normal 34 7 12" xfId="36050" xr:uid="{00000000-0005-0000-0000-00005D8A0000}"/>
    <cellStyle name="Normal 34 7 13" xfId="36051" xr:uid="{00000000-0005-0000-0000-00005E8A0000}"/>
    <cellStyle name="Normal 34 7 2" xfId="36052" xr:uid="{00000000-0005-0000-0000-00005F8A0000}"/>
    <cellStyle name="Normal 34 7 2 2" xfId="36053" xr:uid="{00000000-0005-0000-0000-0000608A0000}"/>
    <cellStyle name="Normal 34 7 2 3" xfId="36054" xr:uid="{00000000-0005-0000-0000-0000618A0000}"/>
    <cellStyle name="Normal 34 7 2 4" xfId="36055" xr:uid="{00000000-0005-0000-0000-0000628A0000}"/>
    <cellStyle name="Normal 34 7 2 5" xfId="36056" xr:uid="{00000000-0005-0000-0000-0000638A0000}"/>
    <cellStyle name="Normal 34 7 2 6" xfId="36057" xr:uid="{00000000-0005-0000-0000-0000648A0000}"/>
    <cellStyle name="Normal 34 7 3" xfId="36058" xr:uid="{00000000-0005-0000-0000-0000658A0000}"/>
    <cellStyle name="Normal 34 7 3 2" xfId="36059" xr:uid="{00000000-0005-0000-0000-0000668A0000}"/>
    <cellStyle name="Normal 34 7 3 3" xfId="36060" xr:uid="{00000000-0005-0000-0000-0000678A0000}"/>
    <cellStyle name="Normal 34 7 3 4" xfId="36061" xr:uid="{00000000-0005-0000-0000-0000688A0000}"/>
    <cellStyle name="Normal 34 7 3 5" xfId="36062" xr:uid="{00000000-0005-0000-0000-0000698A0000}"/>
    <cellStyle name="Normal 34 7 3 6" xfId="36063" xr:uid="{00000000-0005-0000-0000-00006A8A0000}"/>
    <cellStyle name="Normal 34 7 4" xfId="36064" xr:uid="{00000000-0005-0000-0000-00006B8A0000}"/>
    <cellStyle name="Normal 34 7 4 2" xfId="36065" xr:uid="{00000000-0005-0000-0000-00006C8A0000}"/>
    <cellStyle name="Normal 34 7 4 3" xfId="36066" xr:uid="{00000000-0005-0000-0000-00006D8A0000}"/>
    <cellStyle name="Normal 34 7 4 4" xfId="36067" xr:uid="{00000000-0005-0000-0000-00006E8A0000}"/>
    <cellStyle name="Normal 34 7 4 5" xfId="36068" xr:uid="{00000000-0005-0000-0000-00006F8A0000}"/>
    <cellStyle name="Normal 34 7 4 6" xfId="36069" xr:uid="{00000000-0005-0000-0000-0000708A0000}"/>
    <cellStyle name="Normal 34 7 5" xfId="36070" xr:uid="{00000000-0005-0000-0000-0000718A0000}"/>
    <cellStyle name="Normal 34 7 5 2" xfId="36071" xr:uid="{00000000-0005-0000-0000-0000728A0000}"/>
    <cellStyle name="Normal 34 7 5 3" xfId="36072" xr:uid="{00000000-0005-0000-0000-0000738A0000}"/>
    <cellStyle name="Normal 34 7 5 4" xfId="36073" xr:uid="{00000000-0005-0000-0000-0000748A0000}"/>
    <cellStyle name="Normal 34 7 5 5" xfId="36074" xr:uid="{00000000-0005-0000-0000-0000758A0000}"/>
    <cellStyle name="Normal 34 7 5 6" xfId="36075" xr:uid="{00000000-0005-0000-0000-0000768A0000}"/>
    <cellStyle name="Normal 34 7 6" xfId="36076" xr:uid="{00000000-0005-0000-0000-0000778A0000}"/>
    <cellStyle name="Normal 34 7 6 2" xfId="36077" xr:uid="{00000000-0005-0000-0000-0000788A0000}"/>
    <cellStyle name="Normal 34 7 6 3" xfId="36078" xr:uid="{00000000-0005-0000-0000-0000798A0000}"/>
    <cellStyle name="Normal 34 7 6 4" xfId="36079" xr:uid="{00000000-0005-0000-0000-00007A8A0000}"/>
    <cellStyle name="Normal 34 7 6 5" xfId="36080" xr:uid="{00000000-0005-0000-0000-00007B8A0000}"/>
    <cellStyle name="Normal 34 7 6 6" xfId="36081" xr:uid="{00000000-0005-0000-0000-00007C8A0000}"/>
    <cellStyle name="Normal 34 7 7" xfId="36082" xr:uid="{00000000-0005-0000-0000-00007D8A0000}"/>
    <cellStyle name="Normal 34 7 7 2" xfId="36083" xr:uid="{00000000-0005-0000-0000-00007E8A0000}"/>
    <cellStyle name="Normal 34 7 7 3" xfId="36084" xr:uid="{00000000-0005-0000-0000-00007F8A0000}"/>
    <cellStyle name="Normal 34 7 7 4" xfId="36085" xr:uid="{00000000-0005-0000-0000-0000808A0000}"/>
    <cellStyle name="Normal 34 7 7 5" xfId="36086" xr:uid="{00000000-0005-0000-0000-0000818A0000}"/>
    <cellStyle name="Normal 34 7 7 6" xfId="36087" xr:uid="{00000000-0005-0000-0000-0000828A0000}"/>
    <cellStyle name="Normal 34 7 8" xfId="36088" xr:uid="{00000000-0005-0000-0000-0000838A0000}"/>
    <cellStyle name="Normal 34 7 8 2" xfId="36089" xr:uid="{00000000-0005-0000-0000-0000848A0000}"/>
    <cellStyle name="Normal 34 7 8 3" xfId="36090" xr:uid="{00000000-0005-0000-0000-0000858A0000}"/>
    <cellStyle name="Normal 34 7 8 4" xfId="36091" xr:uid="{00000000-0005-0000-0000-0000868A0000}"/>
    <cellStyle name="Normal 34 7 8 5" xfId="36092" xr:uid="{00000000-0005-0000-0000-0000878A0000}"/>
    <cellStyle name="Normal 34 7 8 6" xfId="36093" xr:uid="{00000000-0005-0000-0000-0000888A0000}"/>
    <cellStyle name="Normal 34 7 9" xfId="36094" xr:uid="{00000000-0005-0000-0000-0000898A0000}"/>
    <cellStyle name="Normal 34 8" xfId="36095" xr:uid="{00000000-0005-0000-0000-00008A8A0000}"/>
    <cellStyle name="Normal 34 8 10" xfId="36096" xr:uid="{00000000-0005-0000-0000-00008B8A0000}"/>
    <cellStyle name="Normal 34 8 11" xfId="36097" xr:uid="{00000000-0005-0000-0000-00008C8A0000}"/>
    <cellStyle name="Normal 34 8 12" xfId="36098" xr:uid="{00000000-0005-0000-0000-00008D8A0000}"/>
    <cellStyle name="Normal 34 8 13" xfId="36099" xr:uid="{00000000-0005-0000-0000-00008E8A0000}"/>
    <cellStyle name="Normal 34 8 2" xfId="36100" xr:uid="{00000000-0005-0000-0000-00008F8A0000}"/>
    <cellStyle name="Normal 34 8 2 2" xfId="36101" xr:uid="{00000000-0005-0000-0000-0000908A0000}"/>
    <cellStyle name="Normal 34 8 2 3" xfId="36102" xr:uid="{00000000-0005-0000-0000-0000918A0000}"/>
    <cellStyle name="Normal 34 8 2 4" xfId="36103" xr:uid="{00000000-0005-0000-0000-0000928A0000}"/>
    <cellStyle name="Normal 34 8 2 5" xfId="36104" xr:uid="{00000000-0005-0000-0000-0000938A0000}"/>
    <cellStyle name="Normal 34 8 2 6" xfId="36105" xr:uid="{00000000-0005-0000-0000-0000948A0000}"/>
    <cellStyle name="Normal 34 8 3" xfId="36106" xr:uid="{00000000-0005-0000-0000-0000958A0000}"/>
    <cellStyle name="Normal 34 8 3 2" xfId="36107" xr:uid="{00000000-0005-0000-0000-0000968A0000}"/>
    <cellStyle name="Normal 34 8 3 3" xfId="36108" xr:uid="{00000000-0005-0000-0000-0000978A0000}"/>
    <cellStyle name="Normal 34 8 3 4" xfId="36109" xr:uid="{00000000-0005-0000-0000-0000988A0000}"/>
    <cellStyle name="Normal 34 8 3 5" xfId="36110" xr:uid="{00000000-0005-0000-0000-0000998A0000}"/>
    <cellStyle name="Normal 34 8 3 6" xfId="36111" xr:uid="{00000000-0005-0000-0000-00009A8A0000}"/>
    <cellStyle name="Normal 34 8 4" xfId="36112" xr:uid="{00000000-0005-0000-0000-00009B8A0000}"/>
    <cellStyle name="Normal 34 8 4 2" xfId="36113" xr:uid="{00000000-0005-0000-0000-00009C8A0000}"/>
    <cellStyle name="Normal 34 8 4 3" xfId="36114" xr:uid="{00000000-0005-0000-0000-00009D8A0000}"/>
    <cellStyle name="Normal 34 8 4 4" xfId="36115" xr:uid="{00000000-0005-0000-0000-00009E8A0000}"/>
    <cellStyle name="Normal 34 8 4 5" xfId="36116" xr:uid="{00000000-0005-0000-0000-00009F8A0000}"/>
    <cellStyle name="Normal 34 8 4 6" xfId="36117" xr:uid="{00000000-0005-0000-0000-0000A08A0000}"/>
    <cellStyle name="Normal 34 8 5" xfId="36118" xr:uid="{00000000-0005-0000-0000-0000A18A0000}"/>
    <cellStyle name="Normal 34 8 5 2" xfId="36119" xr:uid="{00000000-0005-0000-0000-0000A28A0000}"/>
    <cellStyle name="Normal 34 8 5 3" xfId="36120" xr:uid="{00000000-0005-0000-0000-0000A38A0000}"/>
    <cellStyle name="Normal 34 8 5 4" xfId="36121" xr:uid="{00000000-0005-0000-0000-0000A48A0000}"/>
    <cellStyle name="Normal 34 8 5 5" xfId="36122" xr:uid="{00000000-0005-0000-0000-0000A58A0000}"/>
    <cellStyle name="Normal 34 8 5 6" xfId="36123" xr:uid="{00000000-0005-0000-0000-0000A68A0000}"/>
    <cellStyle name="Normal 34 8 6" xfId="36124" xr:uid="{00000000-0005-0000-0000-0000A78A0000}"/>
    <cellStyle name="Normal 34 8 6 2" xfId="36125" xr:uid="{00000000-0005-0000-0000-0000A88A0000}"/>
    <cellStyle name="Normal 34 8 6 3" xfId="36126" xr:uid="{00000000-0005-0000-0000-0000A98A0000}"/>
    <cellStyle name="Normal 34 8 6 4" xfId="36127" xr:uid="{00000000-0005-0000-0000-0000AA8A0000}"/>
    <cellStyle name="Normal 34 8 6 5" xfId="36128" xr:uid="{00000000-0005-0000-0000-0000AB8A0000}"/>
    <cellStyle name="Normal 34 8 6 6" xfId="36129" xr:uid="{00000000-0005-0000-0000-0000AC8A0000}"/>
    <cellStyle name="Normal 34 8 7" xfId="36130" xr:uid="{00000000-0005-0000-0000-0000AD8A0000}"/>
    <cellStyle name="Normal 34 8 7 2" xfId="36131" xr:uid="{00000000-0005-0000-0000-0000AE8A0000}"/>
    <cellStyle name="Normal 34 8 7 3" xfId="36132" xr:uid="{00000000-0005-0000-0000-0000AF8A0000}"/>
    <cellStyle name="Normal 34 8 7 4" xfId="36133" xr:uid="{00000000-0005-0000-0000-0000B08A0000}"/>
    <cellStyle name="Normal 34 8 7 5" xfId="36134" xr:uid="{00000000-0005-0000-0000-0000B18A0000}"/>
    <cellStyle name="Normal 34 8 7 6" xfId="36135" xr:uid="{00000000-0005-0000-0000-0000B28A0000}"/>
    <cellStyle name="Normal 34 8 8" xfId="36136" xr:uid="{00000000-0005-0000-0000-0000B38A0000}"/>
    <cellStyle name="Normal 34 8 8 2" xfId="36137" xr:uid="{00000000-0005-0000-0000-0000B48A0000}"/>
    <cellStyle name="Normal 34 8 8 3" xfId="36138" xr:uid="{00000000-0005-0000-0000-0000B58A0000}"/>
    <cellStyle name="Normal 34 8 8 4" xfId="36139" xr:uid="{00000000-0005-0000-0000-0000B68A0000}"/>
    <cellStyle name="Normal 34 8 8 5" xfId="36140" xr:uid="{00000000-0005-0000-0000-0000B78A0000}"/>
    <cellStyle name="Normal 34 8 8 6" xfId="36141" xr:uid="{00000000-0005-0000-0000-0000B88A0000}"/>
    <cellStyle name="Normal 34 8 9" xfId="36142" xr:uid="{00000000-0005-0000-0000-0000B98A0000}"/>
    <cellStyle name="Normal 34 9" xfId="36143" xr:uid="{00000000-0005-0000-0000-0000BA8A0000}"/>
    <cellStyle name="Normal 34 9 10" xfId="36144" xr:uid="{00000000-0005-0000-0000-0000BB8A0000}"/>
    <cellStyle name="Normal 34 9 11" xfId="36145" xr:uid="{00000000-0005-0000-0000-0000BC8A0000}"/>
    <cellStyle name="Normal 34 9 12" xfId="36146" xr:uid="{00000000-0005-0000-0000-0000BD8A0000}"/>
    <cellStyle name="Normal 34 9 13" xfId="36147" xr:uid="{00000000-0005-0000-0000-0000BE8A0000}"/>
    <cellStyle name="Normal 34 9 2" xfId="36148" xr:uid="{00000000-0005-0000-0000-0000BF8A0000}"/>
    <cellStyle name="Normal 34 9 2 2" xfId="36149" xr:uid="{00000000-0005-0000-0000-0000C08A0000}"/>
    <cellStyle name="Normal 34 9 2 3" xfId="36150" xr:uid="{00000000-0005-0000-0000-0000C18A0000}"/>
    <cellStyle name="Normal 34 9 2 4" xfId="36151" xr:uid="{00000000-0005-0000-0000-0000C28A0000}"/>
    <cellStyle name="Normal 34 9 2 5" xfId="36152" xr:uid="{00000000-0005-0000-0000-0000C38A0000}"/>
    <cellStyle name="Normal 34 9 2 6" xfId="36153" xr:uid="{00000000-0005-0000-0000-0000C48A0000}"/>
    <cellStyle name="Normal 34 9 3" xfId="36154" xr:uid="{00000000-0005-0000-0000-0000C58A0000}"/>
    <cellStyle name="Normal 34 9 3 2" xfId="36155" xr:uid="{00000000-0005-0000-0000-0000C68A0000}"/>
    <cellStyle name="Normal 34 9 3 3" xfId="36156" xr:uid="{00000000-0005-0000-0000-0000C78A0000}"/>
    <cellStyle name="Normal 34 9 3 4" xfId="36157" xr:uid="{00000000-0005-0000-0000-0000C88A0000}"/>
    <cellStyle name="Normal 34 9 3 5" xfId="36158" xr:uid="{00000000-0005-0000-0000-0000C98A0000}"/>
    <cellStyle name="Normal 34 9 3 6" xfId="36159" xr:uid="{00000000-0005-0000-0000-0000CA8A0000}"/>
    <cellStyle name="Normal 34 9 4" xfId="36160" xr:uid="{00000000-0005-0000-0000-0000CB8A0000}"/>
    <cellStyle name="Normal 34 9 4 2" xfId="36161" xr:uid="{00000000-0005-0000-0000-0000CC8A0000}"/>
    <cellStyle name="Normal 34 9 4 3" xfId="36162" xr:uid="{00000000-0005-0000-0000-0000CD8A0000}"/>
    <cellStyle name="Normal 34 9 4 4" xfId="36163" xr:uid="{00000000-0005-0000-0000-0000CE8A0000}"/>
    <cellStyle name="Normal 34 9 4 5" xfId="36164" xr:uid="{00000000-0005-0000-0000-0000CF8A0000}"/>
    <cellStyle name="Normal 34 9 4 6" xfId="36165" xr:uid="{00000000-0005-0000-0000-0000D08A0000}"/>
    <cellStyle name="Normal 34 9 5" xfId="36166" xr:uid="{00000000-0005-0000-0000-0000D18A0000}"/>
    <cellStyle name="Normal 34 9 5 2" xfId="36167" xr:uid="{00000000-0005-0000-0000-0000D28A0000}"/>
    <cellStyle name="Normal 34 9 5 3" xfId="36168" xr:uid="{00000000-0005-0000-0000-0000D38A0000}"/>
    <cellStyle name="Normal 34 9 5 4" xfId="36169" xr:uid="{00000000-0005-0000-0000-0000D48A0000}"/>
    <cellStyle name="Normal 34 9 5 5" xfId="36170" xr:uid="{00000000-0005-0000-0000-0000D58A0000}"/>
    <cellStyle name="Normal 34 9 5 6" xfId="36171" xr:uid="{00000000-0005-0000-0000-0000D68A0000}"/>
    <cellStyle name="Normal 34 9 6" xfId="36172" xr:uid="{00000000-0005-0000-0000-0000D78A0000}"/>
    <cellStyle name="Normal 34 9 6 2" xfId="36173" xr:uid="{00000000-0005-0000-0000-0000D88A0000}"/>
    <cellStyle name="Normal 34 9 6 3" xfId="36174" xr:uid="{00000000-0005-0000-0000-0000D98A0000}"/>
    <cellStyle name="Normal 34 9 6 4" xfId="36175" xr:uid="{00000000-0005-0000-0000-0000DA8A0000}"/>
    <cellStyle name="Normal 34 9 6 5" xfId="36176" xr:uid="{00000000-0005-0000-0000-0000DB8A0000}"/>
    <cellStyle name="Normal 34 9 6 6" xfId="36177" xr:uid="{00000000-0005-0000-0000-0000DC8A0000}"/>
    <cellStyle name="Normal 34 9 7" xfId="36178" xr:uid="{00000000-0005-0000-0000-0000DD8A0000}"/>
    <cellStyle name="Normal 34 9 7 2" xfId="36179" xr:uid="{00000000-0005-0000-0000-0000DE8A0000}"/>
    <cellStyle name="Normal 34 9 7 3" xfId="36180" xr:uid="{00000000-0005-0000-0000-0000DF8A0000}"/>
    <cellStyle name="Normal 34 9 7 4" xfId="36181" xr:uid="{00000000-0005-0000-0000-0000E08A0000}"/>
    <cellStyle name="Normal 34 9 7 5" xfId="36182" xr:uid="{00000000-0005-0000-0000-0000E18A0000}"/>
    <cellStyle name="Normal 34 9 7 6" xfId="36183" xr:uid="{00000000-0005-0000-0000-0000E28A0000}"/>
    <cellStyle name="Normal 34 9 8" xfId="36184" xr:uid="{00000000-0005-0000-0000-0000E38A0000}"/>
    <cellStyle name="Normal 34 9 8 2" xfId="36185" xr:uid="{00000000-0005-0000-0000-0000E48A0000}"/>
    <cellStyle name="Normal 34 9 8 3" xfId="36186" xr:uid="{00000000-0005-0000-0000-0000E58A0000}"/>
    <cellStyle name="Normal 34 9 8 4" xfId="36187" xr:uid="{00000000-0005-0000-0000-0000E68A0000}"/>
    <cellStyle name="Normal 34 9 8 5" xfId="36188" xr:uid="{00000000-0005-0000-0000-0000E78A0000}"/>
    <cellStyle name="Normal 34 9 8 6" xfId="36189" xr:uid="{00000000-0005-0000-0000-0000E88A0000}"/>
    <cellStyle name="Normal 34 9 9" xfId="36190" xr:uid="{00000000-0005-0000-0000-0000E98A0000}"/>
    <cellStyle name="Normal 35" xfId="2540" xr:uid="{00000000-0005-0000-0000-0000EA8A0000}"/>
    <cellStyle name="Normal 35 10" xfId="36191" xr:uid="{00000000-0005-0000-0000-0000EB8A0000}"/>
    <cellStyle name="Normal 35 11" xfId="36192" xr:uid="{00000000-0005-0000-0000-0000EC8A0000}"/>
    <cellStyle name="Normal 35 12" xfId="36193" xr:uid="{00000000-0005-0000-0000-0000ED8A0000}"/>
    <cellStyle name="Normal 35 13" xfId="36194" xr:uid="{00000000-0005-0000-0000-0000EE8A0000}"/>
    <cellStyle name="Normal 35 14" xfId="36195" xr:uid="{00000000-0005-0000-0000-0000EF8A0000}"/>
    <cellStyle name="Normal 35 15" xfId="36196" xr:uid="{00000000-0005-0000-0000-0000F08A0000}"/>
    <cellStyle name="Normal 35 16" xfId="36197" xr:uid="{00000000-0005-0000-0000-0000F18A0000}"/>
    <cellStyle name="Normal 35 17" xfId="36198" xr:uid="{00000000-0005-0000-0000-0000F28A0000}"/>
    <cellStyle name="Normal 35 18" xfId="36199" xr:uid="{00000000-0005-0000-0000-0000F38A0000}"/>
    <cellStyle name="Normal 35 19" xfId="36200" xr:uid="{00000000-0005-0000-0000-0000F48A0000}"/>
    <cellStyle name="Normal 35 2" xfId="36201" xr:uid="{00000000-0005-0000-0000-0000F58A0000}"/>
    <cellStyle name="Normal 35 20" xfId="36202" xr:uid="{00000000-0005-0000-0000-0000F68A0000}"/>
    <cellStyle name="Normal 35 21" xfId="36203" xr:uid="{00000000-0005-0000-0000-0000F78A0000}"/>
    <cellStyle name="Normal 35 22" xfId="36204" xr:uid="{00000000-0005-0000-0000-0000F88A0000}"/>
    <cellStyle name="Normal 35 23" xfId="36205" xr:uid="{00000000-0005-0000-0000-0000F98A0000}"/>
    <cellStyle name="Normal 35 24" xfId="36206" xr:uid="{00000000-0005-0000-0000-0000FA8A0000}"/>
    <cellStyle name="Normal 35 25" xfId="36207" xr:uid="{00000000-0005-0000-0000-0000FB8A0000}"/>
    <cellStyle name="Normal 35 26" xfId="36208" xr:uid="{00000000-0005-0000-0000-0000FC8A0000}"/>
    <cellStyle name="Normal 35 27" xfId="36209" xr:uid="{00000000-0005-0000-0000-0000FD8A0000}"/>
    <cellStyle name="Normal 35 28" xfId="36210" xr:uid="{00000000-0005-0000-0000-0000FE8A0000}"/>
    <cellStyle name="Normal 35 29" xfId="36211" xr:uid="{00000000-0005-0000-0000-0000FF8A0000}"/>
    <cellStyle name="Normal 35 3" xfId="36212" xr:uid="{00000000-0005-0000-0000-0000008B0000}"/>
    <cellStyle name="Normal 35 30" xfId="36213" xr:uid="{00000000-0005-0000-0000-0000018B0000}"/>
    <cellStyle name="Normal 35 31" xfId="36214" xr:uid="{00000000-0005-0000-0000-0000028B0000}"/>
    <cellStyle name="Normal 35 32" xfId="36215" xr:uid="{00000000-0005-0000-0000-0000038B0000}"/>
    <cellStyle name="Normal 35 33" xfId="36216" xr:uid="{00000000-0005-0000-0000-0000048B0000}"/>
    <cellStyle name="Normal 35 34" xfId="36217" xr:uid="{00000000-0005-0000-0000-0000058B0000}"/>
    <cellStyle name="Normal 35 35" xfId="36218" xr:uid="{00000000-0005-0000-0000-0000068B0000}"/>
    <cellStyle name="Normal 35 36" xfId="36219" xr:uid="{00000000-0005-0000-0000-0000078B0000}"/>
    <cellStyle name="Normal 35 37" xfId="36220" xr:uid="{00000000-0005-0000-0000-0000088B0000}"/>
    <cellStyle name="Normal 35 38" xfId="36221" xr:uid="{00000000-0005-0000-0000-0000098B0000}"/>
    <cellStyle name="Normal 35 39" xfId="36222" xr:uid="{00000000-0005-0000-0000-00000A8B0000}"/>
    <cellStyle name="Normal 35 4" xfId="36223" xr:uid="{00000000-0005-0000-0000-00000B8B0000}"/>
    <cellStyle name="Normal 35 40" xfId="36224" xr:uid="{00000000-0005-0000-0000-00000C8B0000}"/>
    <cellStyle name="Normal 35 41" xfId="36225" xr:uid="{00000000-0005-0000-0000-00000D8B0000}"/>
    <cellStyle name="Normal 35 42" xfId="36226" xr:uid="{00000000-0005-0000-0000-00000E8B0000}"/>
    <cellStyle name="Normal 35 43" xfId="36227" xr:uid="{00000000-0005-0000-0000-00000F8B0000}"/>
    <cellStyle name="Normal 35 5" xfId="36228" xr:uid="{00000000-0005-0000-0000-0000108B0000}"/>
    <cellStyle name="Normal 35 6" xfId="36229" xr:uid="{00000000-0005-0000-0000-0000118B0000}"/>
    <cellStyle name="Normal 35 7" xfId="36230" xr:uid="{00000000-0005-0000-0000-0000128B0000}"/>
    <cellStyle name="Normal 35 8" xfId="36231" xr:uid="{00000000-0005-0000-0000-0000138B0000}"/>
    <cellStyle name="Normal 35 9" xfId="36232" xr:uid="{00000000-0005-0000-0000-0000148B0000}"/>
    <cellStyle name="Normal 36" xfId="2541" xr:uid="{00000000-0005-0000-0000-0000158B0000}"/>
    <cellStyle name="Normal 36 2" xfId="36233" xr:uid="{00000000-0005-0000-0000-0000168B0000}"/>
    <cellStyle name="Normal 37" xfId="2542" xr:uid="{00000000-0005-0000-0000-0000178B0000}"/>
    <cellStyle name="Normal 37 2" xfId="36234" xr:uid="{00000000-0005-0000-0000-0000188B0000}"/>
    <cellStyle name="Normal 38" xfId="2406" xr:uid="{00000000-0005-0000-0000-0000198B0000}"/>
    <cellStyle name="Normal 38 2" xfId="36235" xr:uid="{00000000-0005-0000-0000-00001A8B0000}"/>
    <cellStyle name="Normal 39" xfId="2125" xr:uid="{00000000-0005-0000-0000-00001B8B0000}"/>
    <cellStyle name="Normal 39 10" xfId="36236" xr:uid="{00000000-0005-0000-0000-00001C8B0000}"/>
    <cellStyle name="Normal 39 11" xfId="36237" xr:uid="{00000000-0005-0000-0000-00001D8B0000}"/>
    <cellStyle name="Normal 39 12" xfId="36238" xr:uid="{00000000-0005-0000-0000-00001E8B0000}"/>
    <cellStyle name="Normal 39 13" xfId="36239" xr:uid="{00000000-0005-0000-0000-00001F8B0000}"/>
    <cellStyle name="Normal 39 2" xfId="36240" xr:uid="{00000000-0005-0000-0000-0000208B0000}"/>
    <cellStyle name="Normal 39 2 2" xfId="36241" xr:uid="{00000000-0005-0000-0000-0000218B0000}"/>
    <cellStyle name="Normal 39 2 3" xfId="36242" xr:uid="{00000000-0005-0000-0000-0000228B0000}"/>
    <cellStyle name="Normal 39 2 4" xfId="36243" xr:uid="{00000000-0005-0000-0000-0000238B0000}"/>
    <cellStyle name="Normal 39 2 5" xfId="36244" xr:uid="{00000000-0005-0000-0000-0000248B0000}"/>
    <cellStyle name="Normal 39 2 6" xfId="36245" xr:uid="{00000000-0005-0000-0000-0000258B0000}"/>
    <cellStyle name="Normal 39 3" xfId="36246" xr:uid="{00000000-0005-0000-0000-0000268B0000}"/>
    <cellStyle name="Normal 39 3 2" xfId="36247" xr:uid="{00000000-0005-0000-0000-0000278B0000}"/>
    <cellStyle name="Normal 39 3 3" xfId="36248" xr:uid="{00000000-0005-0000-0000-0000288B0000}"/>
    <cellStyle name="Normal 39 3 4" xfId="36249" xr:uid="{00000000-0005-0000-0000-0000298B0000}"/>
    <cellStyle name="Normal 39 3 5" xfId="36250" xr:uid="{00000000-0005-0000-0000-00002A8B0000}"/>
    <cellStyle name="Normal 39 3 6" xfId="36251" xr:uid="{00000000-0005-0000-0000-00002B8B0000}"/>
    <cellStyle name="Normal 39 4" xfId="36252" xr:uid="{00000000-0005-0000-0000-00002C8B0000}"/>
    <cellStyle name="Normal 39 4 2" xfId="36253" xr:uid="{00000000-0005-0000-0000-00002D8B0000}"/>
    <cellStyle name="Normal 39 4 3" xfId="36254" xr:uid="{00000000-0005-0000-0000-00002E8B0000}"/>
    <cellStyle name="Normal 39 4 4" xfId="36255" xr:uid="{00000000-0005-0000-0000-00002F8B0000}"/>
    <cellStyle name="Normal 39 4 5" xfId="36256" xr:uid="{00000000-0005-0000-0000-0000308B0000}"/>
    <cellStyle name="Normal 39 4 6" xfId="36257" xr:uid="{00000000-0005-0000-0000-0000318B0000}"/>
    <cellStyle name="Normal 39 5" xfId="36258" xr:uid="{00000000-0005-0000-0000-0000328B0000}"/>
    <cellStyle name="Normal 39 5 2" xfId="36259" xr:uid="{00000000-0005-0000-0000-0000338B0000}"/>
    <cellStyle name="Normal 39 5 3" xfId="36260" xr:uid="{00000000-0005-0000-0000-0000348B0000}"/>
    <cellStyle name="Normal 39 5 4" xfId="36261" xr:uid="{00000000-0005-0000-0000-0000358B0000}"/>
    <cellStyle name="Normal 39 5 5" xfId="36262" xr:uid="{00000000-0005-0000-0000-0000368B0000}"/>
    <cellStyle name="Normal 39 5 6" xfId="36263" xr:uid="{00000000-0005-0000-0000-0000378B0000}"/>
    <cellStyle name="Normal 39 6" xfId="36264" xr:uid="{00000000-0005-0000-0000-0000388B0000}"/>
    <cellStyle name="Normal 39 6 2" xfId="36265" xr:uid="{00000000-0005-0000-0000-0000398B0000}"/>
    <cellStyle name="Normal 39 6 3" xfId="36266" xr:uid="{00000000-0005-0000-0000-00003A8B0000}"/>
    <cellStyle name="Normal 39 6 4" xfId="36267" xr:uid="{00000000-0005-0000-0000-00003B8B0000}"/>
    <cellStyle name="Normal 39 6 5" xfId="36268" xr:uid="{00000000-0005-0000-0000-00003C8B0000}"/>
    <cellStyle name="Normal 39 6 6" xfId="36269" xr:uid="{00000000-0005-0000-0000-00003D8B0000}"/>
    <cellStyle name="Normal 39 7" xfId="36270" xr:uid="{00000000-0005-0000-0000-00003E8B0000}"/>
    <cellStyle name="Normal 39 7 2" xfId="36271" xr:uid="{00000000-0005-0000-0000-00003F8B0000}"/>
    <cellStyle name="Normal 39 7 3" xfId="36272" xr:uid="{00000000-0005-0000-0000-0000408B0000}"/>
    <cellStyle name="Normal 39 7 4" xfId="36273" xr:uid="{00000000-0005-0000-0000-0000418B0000}"/>
    <cellStyle name="Normal 39 7 5" xfId="36274" xr:uid="{00000000-0005-0000-0000-0000428B0000}"/>
    <cellStyle name="Normal 39 7 6" xfId="36275" xr:uid="{00000000-0005-0000-0000-0000438B0000}"/>
    <cellStyle name="Normal 39 8" xfId="36276" xr:uid="{00000000-0005-0000-0000-0000448B0000}"/>
    <cellStyle name="Normal 39 8 2" xfId="36277" xr:uid="{00000000-0005-0000-0000-0000458B0000}"/>
    <cellStyle name="Normal 39 8 3" xfId="36278" xr:uid="{00000000-0005-0000-0000-0000468B0000}"/>
    <cellStyle name="Normal 39 8 4" xfId="36279" xr:uid="{00000000-0005-0000-0000-0000478B0000}"/>
    <cellStyle name="Normal 39 8 5" xfId="36280" xr:uid="{00000000-0005-0000-0000-0000488B0000}"/>
    <cellStyle name="Normal 39 8 6" xfId="36281" xr:uid="{00000000-0005-0000-0000-0000498B0000}"/>
    <cellStyle name="Normal 39 9" xfId="36282" xr:uid="{00000000-0005-0000-0000-00004A8B0000}"/>
    <cellStyle name="Normal 4" xfId="828" xr:uid="{00000000-0005-0000-0000-00004B8B0000}"/>
    <cellStyle name="Normal 4 10" xfId="36283" xr:uid="{00000000-0005-0000-0000-00004C8B0000}"/>
    <cellStyle name="Normal 4 11" xfId="36284" xr:uid="{00000000-0005-0000-0000-00004D8B0000}"/>
    <cellStyle name="Normal 4 12" xfId="36285" xr:uid="{00000000-0005-0000-0000-00004E8B0000}"/>
    <cellStyle name="Normal 4 13" xfId="36286" xr:uid="{00000000-0005-0000-0000-00004F8B0000}"/>
    <cellStyle name="Normal 4 14" xfId="36287" xr:uid="{00000000-0005-0000-0000-0000508B0000}"/>
    <cellStyle name="Normal 4 15" xfId="36288" xr:uid="{00000000-0005-0000-0000-0000518B0000}"/>
    <cellStyle name="Normal 4 16" xfId="36289" xr:uid="{00000000-0005-0000-0000-0000528B0000}"/>
    <cellStyle name="Normal 4 17" xfId="36290" xr:uid="{00000000-0005-0000-0000-0000538B0000}"/>
    <cellStyle name="Normal 4 18" xfId="36291" xr:uid="{00000000-0005-0000-0000-0000548B0000}"/>
    <cellStyle name="Normal 4 19" xfId="36292" xr:uid="{00000000-0005-0000-0000-0000558B0000}"/>
    <cellStyle name="Normal 4 2" xfId="1069" xr:uid="{00000000-0005-0000-0000-0000568B0000}"/>
    <cellStyle name="Normal 4 2 2" xfId="36293" xr:uid="{00000000-0005-0000-0000-0000578B0000}"/>
    <cellStyle name="Normal 4 2 2 2" xfId="36294" xr:uid="{00000000-0005-0000-0000-0000588B0000}"/>
    <cellStyle name="Normal 4 2 2 2 2" xfId="36295" xr:uid="{00000000-0005-0000-0000-0000598B0000}"/>
    <cellStyle name="Normal 4 2 2 3" xfId="36296" xr:uid="{00000000-0005-0000-0000-00005A8B0000}"/>
    <cellStyle name="Normal 4 2 3" xfId="36297" xr:uid="{00000000-0005-0000-0000-00005B8B0000}"/>
    <cellStyle name="Normal 4 20" xfId="36298" xr:uid="{00000000-0005-0000-0000-00005C8B0000}"/>
    <cellStyle name="Normal 4 21" xfId="36299" xr:uid="{00000000-0005-0000-0000-00005D8B0000}"/>
    <cellStyle name="Normal 4 22" xfId="36300" xr:uid="{00000000-0005-0000-0000-00005E8B0000}"/>
    <cellStyle name="Normal 4 23" xfId="36301" xr:uid="{00000000-0005-0000-0000-00005F8B0000}"/>
    <cellStyle name="Normal 4 24" xfId="36302" xr:uid="{00000000-0005-0000-0000-0000608B0000}"/>
    <cellStyle name="Normal 4 25" xfId="36303" xr:uid="{00000000-0005-0000-0000-0000618B0000}"/>
    <cellStyle name="Normal 4 26" xfId="36304" xr:uid="{00000000-0005-0000-0000-0000628B0000}"/>
    <cellStyle name="Normal 4 27" xfId="36305" xr:uid="{00000000-0005-0000-0000-0000638B0000}"/>
    <cellStyle name="Normal 4 28" xfId="36306" xr:uid="{00000000-0005-0000-0000-0000648B0000}"/>
    <cellStyle name="Normal 4 3" xfId="1070" xr:uid="{00000000-0005-0000-0000-0000658B0000}"/>
    <cellStyle name="Normal 4 3 2" xfId="36307" xr:uid="{00000000-0005-0000-0000-0000668B0000}"/>
    <cellStyle name="Normal 4 4" xfId="36308" xr:uid="{00000000-0005-0000-0000-0000678B0000}"/>
    <cellStyle name="Normal 4 4 2" xfId="36309" xr:uid="{00000000-0005-0000-0000-0000688B0000}"/>
    <cellStyle name="Normal 4 5" xfId="36310" xr:uid="{00000000-0005-0000-0000-0000698B0000}"/>
    <cellStyle name="Normal 4 5 2" xfId="36311" xr:uid="{00000000-0005-0000-0000-00006A8B0000}"/>
    <cellStyle name="Normal 4 5 3" xfId="36312" xr:uid="{00000000-0005-0000-0000-00006B8B0000}"/>
    <cellStyle name="Normal 4 6" xfId="36313" xr:uid="{00000000-0005-0000-0000-00006C8B0000}"/>
    <cellStyle name="Normal 4 6 2" xfId="36314" xr:uid="{00000000-0005-0000-0000-00006D8B0000}"/>
    <cellStyle name="Normal 4 7" xfId="36315" xr:uid="{00000000-0005-0000-0000-00006E8B0000}"/>
    <cellStyle name="Normal 4 8" xfId="36316" xr:uid="{00000000-0005-0000-0000-00006F8B0000}"/>
    <cellStyle name="Normal 4 9" xfId="36317" xr:uid="{00000000-0005-0000-0000-0000708B0000}"/>
    <cellStyle name="Normal 4_Base de correção ER Escelsa" xfId="36318" xr:uid="{00000000-0005-0000-0000-0000718B0000}"/>
    <cellStyle name="Normal 40" xfId="1665" xr:uid="{00000000-0005-0000-0000-0000728B0000}"/>
    <cellStyle name="Normal 40 2" xfId="1863" xr:uid="{00000000-0005-0000-0000-0000738B0000}"/>
    <cellStyle name="Normal 40 2 2" xfId="2058" xr:uid="{00000000-0005-0000-0000-0000748B0000}"/>
    <cellStyle name="Normal 40 2 2 2" xfId="2543" xr:uid="{00000000-0005-0000-0000-0000758B0000}"/>
    <cellStyle name="Normal 40 2 2 3" xfId="43355" xr:uid="{00000000-0005-0000-0000-0000768B0000}"/>
    <cellStyle name="Normal 40 2 3" xfId="2544" xr:uid="{00000000-0005-0000-0000-0000778B0000}"/>
    <cellStyle name="Normal 40 2 3 2" xfId="43356" xr:uid="{00000000-0005-0000-0000-0000788B0000}"/>
    <cellStyle name="Normal 40 2 4" xfId="2437" xr:uid="{00000000-0005-0000-0000-0000798B0000}"/>
    <cellStyle name="Normal 40 2 5" xfId="2393" xr:uid="{00000000-0005-0000-0000-00007A8B0000}"/>
    <cellStyle name="Normal 40 2 6" xfId="43254" xr:uid="{00000000-0005-0000-0000-00007B8B0000}"/>
    <cellStyle name="Normal 40 3" xfId="1971" xr:uid="{00000000-0005-0000-0000-00007C8B0000}"/>
    <cellStyle name="Normal 40 3 2" xfId="2545" xr:uid="{00000000-0005-0000-0000-00007D8B0000}"/>
    <cellStyle name="Normal 40 3 3" xfId="43357" xr:uid="{00000000-0005-0000-0000-00007E8B0000}"/>
    <cellStyle name="Normal 40 4" xfId="2546" xr:uid="{00000000-0005-0000-0000-00007F8B0000}"/>
    <cellStyle name="Normal 40 4 2" xfId="43358" xr:uid="{00000000-0005-0000-0000-0000808B0000}"/>
    <cellStyle name="Normal 40 5" xfId="2436" xr:uid="{00000000-0005-0000-0000-0000818B0000}"/>
    <cellStyle name="Normal 40 6" xfId="2335" xr:uid="{00000000-0005-0000-0000-0000828B0000}"/>
    <cellStyle name="Normal 40 7" xfId="43253" xr:uid="{00000000-0005-0000-0000-0000838B0000}"/>
    <cellStyle name="Normal 41" xfId="2378" xr:uid="{00000000-0005-0000-0000-0000848B0000}"/>
    <cellStyle name="Normal 41 2" xfId="36319" xr:uid="{00000000-0005-0000-0000-0000858B0000}"/>
    <cellStyle name="Normal 41 3" xfId="36320" xr:uid="{00000000-0005-0000-0000-0000868B0000}"/>
    <cellStyle name="Normal 42" xfId="2199" xr:uid="{00000000-0005-0000-0000-0000878B0000}"/>
    <cellStyle name="Normal 42 2" xfId="36321" xr:uid="{00000000-0005-0000-0000-0000888B0000}"/>
    <cellStyle name="Normal 42 3" xfId="36322" xr:uid="{00000000-0005-0000-0000-0000898B0000}"/>
    <cellStyle name="Normal 43" xfId="36323" xr:uid="{00000000-0005-0000-0000-00008A8B0000}"/>
    <cellStyle name="Normal 43 2" xfId="36324" xr:uid="{00000000-0005-0000-0000-00008B8B0000}"/>
    <cellStyle name="Normal 43 3" xfId="36325" xr:uid="{00000000-0005-0000-0000-00008C8B0000}"/>
    <cellStyle name="Normal 43 4" xfId="36326" xr:uid="{00000000-0005-0000-0000-00008D8B0000}"/>
    <cellStyle name="Normal 43 5" xfId="36327" xr:uid="{00000000-0005-0000-0000-00008E8B0000}"/>
    <cellStyle name="Normal 44" xfId="36328" xr:uid="{00000000-0005-0000-0000-00008F8B0000}"/>
    <cellStyle name="Normal 44 2" xfId="36329" xr:uid="{00000000-0005-0000-0000-0000908B0000}"/>
    <cellStyle name="Normal 44 2 2" xfId="36330" xr:uid="{00000000-0005-0000-0000-0000918B0000}"/>
    <cellStyle name="Normal 44 2 3" xfId="36331" xr:uid="{00000000-0005-0000-0000-0000928B0000}"/>
    <cellStyle name="Normal 44 2 4" xfId="36332" xr:uid="{00000000-0005-0000-0000-0000938B0000}"/>
    <cellStyle name="Normal 44 2 5" xfId="36333" xr:uid="{00000000-0005-0000-0000-0000948B0000}"/>
    <cellStyle name="Normal 44 2 6" xfId="36334" xr:uid="{00000000-0005-0000-0000-0000958B0000}"/>
    <cellStyle name="Normal 44 3" xfId="36335" xr:uid="{00000000-0005-0000-0000-0000968B0000}"/>
    <cellStyle name="Normal 44 3 2" xfId="36336" xr:uid="{00000000-0005-0000-0000-0000978B0000}"/>
    <cellStyle name="Normal 44 3 3" xfId="36337" xr:uid="{00000000-0005-0000-0000-0000988B0000}"/>
    <cellStyle name="Normal 44 3 4" xfId="36338" xr:uid="{00000000-0005-0000-0000-0000998B0000}"/>
    <cellStyle name="Normal 44 3 5" xfId="36339" xr:uid="{00000000-0005-0000-0000-00009A8B0000}"/>
    <cellStyle name="Normal 44 3 6" xfId="36340" xr:uid="{00000000-0005-0000-0000-00009B8B0000}"/>
    <cellStyle name="Normal 45" xfId="36341" xr:uid="{00000000-0005-0000-0000-00009C8B0000}"/>
    <cellStyle name="Normal 45 2" xfId="36342" xr:uid="{00000000-0005-0000-0000-00009D8B0000}"/>
    <cellStyle name="Normal 45 2 2" xfId="36343" xr:uid="{00000000-0005-0000-0000-00009E8B0000}"/>
    <cellStyle name="Normal 45 2 2 2" xfId="36344" xr:uid="{00000000-0005-0000-0000-00009F8B0000}"/>
    <cellStyle name="Normal 45 2 2 3" xfId="36345" xr:uid="{00000000-0005-0000-0000-0000A08B0000}"/>
    <cellStyle name="Normal 45 2 2 4" xfId="36346" xr:uid="{00000000-0005-0000-0000-0000A18B0000}"/>
    <cellStyle name="Normal 45 2 2 5" xfId="36347" xr:uid="{00000000-0005-0000-0000-0000A28B0000}"/>
    <cellStyle name="Normal 45 2 2 6" xfId="36348" xr:uid="{00000000-0005-0000-0000-0000A38B0000}"/>
    <cellStyle name="Normal 45 2 2 7" xfId="36349" xr:uid="{00000000-0005-0000-0000-0000A48B0000}"/>
    <cellStyle name="Normal 45 3" xfId="36350" xr:uid="{00000000-0005-0000-0000-0000A58B0000}"/>
    <cellStyle name="Normal 45 4" xfId="36351" xr:uid="{00000000-0005-0000-0000-0000A68B0000}"/>
    <cellStyle name="Normal 45 5" xfId="36352" xr:uid="{00000000-0005-0000-0000-0000A78B0000}"/>
    <cellStyle name="Normal 45 6" xfId="36353" xr:uid="{00000000-0005-0000-0000-0000A88B0000}"/>
    <cellStyle name="Normal 45 7" xfId="36354" xr:uid="{00000000-0005-0000-0000-0000A98B0000}"/>
    <cellStyle name="Normal 45 8" xfId="36355" xr:uid="{00000000-0005-0000-0000-0000AA8B0000}"/>
    <cellStyle name="Normal 46" xfId="36356" xr:uid="{00000000-0005-0000-0000-0000AB8B0000}"/>
    <cellStyle name="Normal 46 2" xfId="36357" xr:uid="{00000000-0005-0000-0000-0000AC8B0000}"/>
    <cellStyle name="Normal 47" xfId="36358" xr:uid="{00000000-0005-0000-0000-0000AD8B0000}"/>
    <cellStyle name="Normal 47 2" xfId="36359" xr:uid="{00000000-0005-0000-0000-0000AE8B0000}"/>
    <cellStyle name="Normal 48" xfId="36360" xr:uid="{00000000-0005-0000-0000-0000AF8B0000}"/>
    <cellStyle name="Normal 48 2" xfId="36361" xr:uid="{00000000-0005-0000-0000-0000B08B0000}"/>
    <cellStyle name="Normal 49" xfId="36362" xr:uid="{00000000-0005-0000-0000-0000B18B0000}"/>
    <cellStyle name="Normal 49 2" xfId="36363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7" xr:uid="{00000000-0005-0000-0000-0000B58B0000}"/>
    <cellStyle name="Normal 5 2 2 2" xfId="43565" xr:uid="{CA2822F8-9F0C-4414-B657-9EFE43AD8A12}"/>
    <cellStyle name="Normal 5 2 2 2 2" xfId="43748" xr:uid="{8A8D3F67-29FD-4299-8A03-4D21DB6E621F}"/>
    <cellStyle name="Normal 5 2 2 2 3" xfId="43931" xr:uid="{1E100C53-B094-4244-B7D1-21142D6AD611}"/>
    <cellStyle name="Normal 5 2 2 3" xfId="43681" xr:uid="{BA9281C6-A2FF-4613-9AF5-F001650DDD56}"/>
    <cellStyle name="Normal 5 2 2 4" xfId="43864" xr:uid="{62647369-3720-4EF0-A4CB-5D170C71E55B}"/>
    <cellStyle name="Normal 5 2 2 5" xfId="43498" xr:uid="{81AA40D6-2475-44F0-8848-E12D81A84B3F}"/>
    <cellStyle name="Normal 5 2 3" xfId="43537" xr:uid="{1702AA97-A0B0-45F0-8EE1-31E1BE82A5FD}"/>
    <cellStyle name="Normal 5 2 3 2" xfId="43720" xr:uid="{8A9A3DD7-A9E7-4C9D-8EE8-DBDBF5B4EB6D}"/>
    <cellStyle name="Normal 5 2 3 3" xfId="43903" xr:uid="{383CFB19-FACA-4AD4-8CD0-875061AA9FD3}"/>
    <cellStyle name="Normal 5 2 4" xfId="43599" xr:uid="{A213ADCE-669F-48E7-97AC-11E36C082687}"/>
    <cellStyle name="Normal 5 2 4 2" xfId="43782" xr:uid="{8BE52CE0-F2DA-4C91-9C5E-954752915F0A}"/>
    <cellStyle name="Normal 5 2 4 3" xfId="43965" xr:uid="{22F545BD-1E23-4FF9-A04E-394F490FD503}"/>
    <cellStyle name="Normal 5 2 5" xfId="43658" xr:uid="{B9CC93A8-BB9F-4F28-A4CB-2980BB8FCC0D}"/>
    <cellStyle name="Normal 5 2 6" xfId="43841" xr:uid="{DA4B2BE2-79E6-4A6A-A585-CE3ECB09A3ED}"/>
    <cellStyle name="Normal 5 2 7" xfId="43470" xr:uid="{3ECBAEAE-A498-4011-A42A-0320FCBFB8EE}"/>
    <cellStyle name="Normal 5 3" xfId="1771" xr:uid="{00000000-0005-0000-0000-0000B68B0000}"/>
    <cellStyle name="Normal 5 3 2" xfId="36364" xr:uid="{00000000-0005-0000-0000-0000B78B0000}"/>
    <cellStyle name="Normal 5 3 2 2" xfId="43737" xr:uid="{840CB113-8ABD-4F53-B882-0D50618C79C6}"/>
    <cellStyle name="Normal 5 3 2 3" xfId="43920" xr:uid="{D5367BAF-B142-4224-8545-9A20BE48551C}"/>
    <cellStyle name="Normal 5 3 2 4" xfId="43554" xr:uid="{C73347B5-940E-4A9F-B86D-4EB3389EEF10}"/>
    <cellStyle name="Normal 5 3 3" xfId="43670" xr:uid="{12C6BF06-9109-4EDD-97DC-68798BF3A0AD}"/>
    <cellStyle name="Normal 5 3 4" xfId="43853" xr:uid="{3874142A-9BF2-4934-BA69-C62DD1A65BD8}"/>
    <cellStyle name="Normal 5 3 5" xfId="43487" xr:uid="{ED5ABFDE-FB9C-456C-A172-B06DA6A65731}"/>
    <cellStyle name="Normal 5 4" xfId="2548" xr:uid="{00000000-0005-0000-0000-0000B88B0000}"/>
    <cellStyle name="Normal 5 4 2" xfId="43576" xr:uid="{94F1EDC8-D959-442F-AF8B-96E059BAC18C}"/>
    <cellStyle name="Normal 5 4 2 2" xfId="43759" xr:uid="{A1BDD11C-6A1C-4085-897A-159576A64A7D}"/>
    <cellStyle name="Normal 5 4 2 3" xfId="43942" xr:uid="{CCF1558F-989C-4381-8F05-AC6C0E550AC3}"/>
    <cellStyle name="Normal 5 4 3" xfId="43692" xr:uid="{124D1FC3-A437-4D58-9EE8-989139709295}"/>
    <cellStyle name="Normal 5 4 4" xfId="43875" xr:uid="{1BFA0D95-8545-4CE8-9E12-4E93993ECE1A}"/>
    <cellStyle name="Normal 5 4 5" xfId="43509" xr:uid="{635AE7D8-091B-460B-BA95-3FF2C9737FD1}"/>
    <cellStyle name="Normal 5 5" xfId="36365" xr:uid="{00000000-0005-0000-0000-0000B98B0000}"/>
    <cellStyle name="Normal 5 5 2" xfId="43702" xr:uid="{EAFE5953-E6B5-411C-A98D-14D7B6D9A6EB}"/>
    <cellStyle name="Normal 5 5 3" xfId="43885" xr:uid="{7F3D4318-59D7-4C61-83A7-C55E4458B8E1}"/>
    <cellStyle name="Normal 5 5 4" xfId="43519" xr:uid="{CC3AC824-4E4B-4332-875A-8FB50743B8D9}"/>
    <cellStyle name="Normal 5 6" xfId="36366" xr:uid="{00000000-0005-0000-0000-0000BA8B0000}"/>
    <cellStyle name="Normal 5 6 2" xfId="43769" xr:uid="{090B1C4A-6EB5-4BE5-BF53-4B530F65689C}"/>
    <cellStyle name="Normal 5 6 3" xfId="43952" xr:uid="{8A798E08-15A9-44AD-A06D-CCC4319A4E0A}"/>
    <cellStyle name="Normal 5 6 4" xfId="43586" xr:uid="{DD638FAE-8DC4-4AA7-9040-223E2A79F822}"/>
    <cellStyle name="Normal 5 7" xfId="36367" xr:uid="{00000000-0005-0000-0000-0000BB8B0000}"/>
    <cellStyle name="Normal 5 7 2" xfId="43645" xr:uid="{C794C6DE-9A53-4002-9FE7-BBB2A77907F5}"/>
    <cellStyle name="Normal 5 8" xfId="43828" xr:uid="{B3ABEADC-9F35-4EB0-B9E5-AEB5BFE4CDB0}"/>
    <cellStyle name="Normal 5 9" xfId="43449" xr:uid="{8A038D51-CDA0-4F84-BF7E-72A794CAA666}"/>
    <cellStyle name="Normal 50" xfId="36368" xr:uid="{00000000-0005-0000-0000-0000BC8B0000}"/>
    <cellStyle name="Normal 50 2" xfId="36369" xr:uid="{00000000-0005-0000-0000-0000BD8B0000}"/>
    <cellStyle name="Normal 51" xfId="36370" xr:uid="{00000000-0005-0000-0000-0000BE8B0000}"/>
    <cellStyle name="Normal 51 2" xfId="36371" xr:uid="{00000000-0005-0000-0000-0000BF8B0000}"/>
    <cellStyle name="Normal 52" xfId="36372" xr:uid="{00000000-0005-0000-0000-0000C08B0000}"/>
    <cellStyle name="Normal 52 2" xfId="36373" xr:uid="{00000000-0005-0000-0000-0000C18B0000}"/>
    <cellStyle name="Normal 53" xfId="36374" xr:uid="{00000000-0005-0000-0000-0000C28B0000}"/>
    <cellStyle name="Normal 53 2" xfId="36375" xr:uid="{00000000-0005-0000-0000-0000C38B0000}"/>
    <cellStyle name="Normal 54" xfId="36376" xr:uid="{00000000-0005-0000-0000-0000C48B0000}"/>
    <cellStyle name="Normal 54 2" xfId="36377" xr:uid="{00000000-0005-0000-0000-0000C58B0000}"/>
    <cellStyle name="Normal 55" xfId="36378" xr:uid="{00000000-0005-0000-0000-0000C68B0000}"/>
    <cellStyle name="Normal 55 2" xfId="36379" xr:uid="{00000000-0005-0000-0000-0000C78B0000}"/>
    <cellStyle name="Normal 56" xfId="36380" xr:uid="{00000000-0005-0000-0000-0000C88B0000}"/>
    <cellStyle name="Normal 56 2" xfId="36381" xr:uid="{00000000-0005-0000-0000-0000C98B0000}"/>
    <cellStyle name="Normal 57" xfId="36382" xr:uid="{00000000-0005-0000-0000-0000CA8B0000}"/>
    <cellStyle name="Normal 57 2" xfId="36383" xr:uid="{00000000-0005-0000-0000-0000CB8B0000}"/>
    <cellStyle name="Normal 58" xfId="36384" xr:uid="{00000000-0005-0000-0000-0000CC8B0000}"/>
    <cellStyle name="Normal 58 2" xfId="36385" xr:uid="{00000000-0005-0000-0000-0000CD8B0000}"/>
    <cellStyle name="Normal 59" xfId="36386" xr:uid="{00000000-0005-0000-0000-0000CE8B0000}"/>
    <cellStyle name="Normal 59 2" xfId="36387" xr:uid="{00000000-0005-0000-0000-0000CF8B0000}"/>
    <cellStyle name="Normal 6" xfId="1072" xr:uid="{00000000-0005-0000-0000-0000D08B0000}"/>
    <cellStyle name="Normal 6 2" xfId="1073" xr:uid="{00000000-0005-0000-0000-0000D18B0000}"/>
    <cellStyle name="Normal 6 2 2" xfId="43471" xr:uid="{19DF74CD-408A-4914-9133-716ECD2D28A0}"/>
    <cellStyle name="Normal 6 2 2 2" xfId="43499" xr:uid="{3F877EE9-3900-445B-BA5F-9E6714D0742F}"/>
    <cellStyle name="Normal 6 2 2 2 2" xfId="43566" xr:uid="{C78090AB-F61E-4047-8C88-F3DBFE59B3A9}"/>
    <cellStyle name="Normal 6 2 2 2 2 2" xfId="43749" xr:uid="{B59CFF7C-20ED-4324-A97B-074C90A8440C}"/>
    <cellStyle name="Normal 6 2 2 2 2 3" xfId="43932" xr:uid="{F5690B05-A357-4ACD-B690-99CBD72B4666}"/>
    <cellStyle name="Normal 6 2 2 2 3" xfId="43682" xr:uid="{1C4BC093-8B18-4CA3-AE0F-1BF5126347F2}"/>
    <cellStyle name="Normal 6 2 2 2 4" xfId="43865" xr:uid="{873A3290-3BE4-490A-9BDF-8AA8DE78731F}"/>
    <cellStyle name="Normal 6 2 2 3" xfId="43538" xr:uid="{4BE9D75D-AC79-40DC-AFFB-F38C3B8A7446}"/>
    <cellStyle name="Normal 6 2 2 3 2" xfId="43721" xr:uid="{EB180C2F-DAAA-4292-B9FC-6CECAB08954A}"/>
    <cellStyle name="Normal 6 2 2 3 3" xfId="43904" xr:uid="{4F8C032B-A906-4541-AFB6-DE885EB148B8}"/>
    <cellStyle name="Normal 6 2 2 4" xfId="43600" xr:uid="{8C59159B-A4D9-49E0-AB12-0A79736772B1}"/>
    <cellStyle name="Normal 6 2 2 4 2" xfId="43783" xr:uid="{F07DA61F-9DF5-453B-8544-15A44A93409B}"/>
    <cellStyle name="Normal 6 2 2 4 3" xfId="43966" xr:uid="{7A0B5B7C-EB1C-4FA5-AC8B-56604AD3450E}"/>
    <cellStyle name="Normal 6 2 2 5" xfId="43659" xr:uid="{5C0DFC00-C3A9-4A93-A080-16AFF95A2082}"/>
    <cellStyle name="Normal 6 2 2 6" xfId="43842" xr:uid="{640D2254-0488-4B23-8A0A-9E82BE549B75}"/>
    <cellStyle name="Normal 6 2 3" xfId="43488" xr:uid="{80441F80-A76A-4DCE-B383-6B035AC85CD5}"/>
    <cellStyle name="Normal 6 2 3 2" xfId="43555" xr:uid="{2359E836-2E1E-4C8C-AF33-ECAA30A7DD03}"/>
    <cellStyle name="Normal 6 2 3 2 2" xfId="43738" xr:uid="{1EAA37BD-A0D7-4E0D-9974-36CA586A33EC}"/>
    <cellStyle name="Normal 6 2 3 2 3" xfId="43921" xr:uid="{5F4429DC-B2FF-4CB8-AACB-BDBA73AB5AF0}"/>
    <cellStyle name="Normal 6 2 3 3" xfId="43671" xr:uid="{2A67DCD7-ADC4-479B-8E5D-A613F60DC0B5}"/>
    <cellStyle name="Normal 6 2 3 4" xfId="43854" xr:uid="{1298ADE5-1855-44AF-B610-15BDBE2B282C}"/>
    <cellStyle name="Normal 6 2 4" xfId="43510" xr:uid="{2A522BB6-8DC6-4A3D-AED6-9D12C68BCC46}"/>
    <cellStyle name="Normal 6 2 4 2" xfId="43577" xr:uid="{15F4574D-0BCA-4C98-8755-99106E1A42E4}"/>
    <cellStyle name="Normal 6 2 4 2 2" xfId="43760" xr:uid="{61E915C8-341D-462C-A388-FCFE16EB2634}"/>
    <cellStyle name="Normal 6 2 4 2 3" xfId="43943" xr:uid="{95A4454A-6772-47A9-947E-B62048A27706}"/>
    <cellStyle name="Normal 6 2 4 3" xfId="43693" xr:uid="{67DA2102-7230-4A1F-B252-E8A0F1C479FD}"/>
    <cellStyle name="Normal 6 2 4 4" xfId="43876" xr:uid="{1B3FED44-0BE1-4EBF-8AE6-0E3283A9BE2A}"/>
    <cellStyle name="Normal 6 2 5" xfId="43520" xr:uid="{53CD81CE-3D50-4D4C-8A72-8A011F128F9C}"/>
    <cellStyle name="Normal 6 2 5 2" xfId="43703" xr:uid="{472A69BE-4C5E-4B7B-B3E4-0AA1D4B43E20}"/>
    <cellStyle name="Normal 6 2 5 3" xfId="43886" xr:uid="{8BEFCC91-BAAF-4BB8-BAD6-C7BF1B30977C}"/>
    <cellStyle name="Normal 6 2 6" xfId="43587" xr:uid="{7B768E4A-2F29-4995-9A4D-A5073562984A}"/>
    <cellStyle name="Normal 6 2 6 2" xfId="43770" xr:uid="{DB111640-F099-4692-81BA-03CB6360ED03}"/>
    <cellStyle name="Normal 6 2 6 3" xfId="43953" xr:uid="{FB352AEC-7728-430D-8F6E-55B621D0BF5B}"/>
    <cellStyle name="Normal 6 2 7" xfId="43646" xr:uid="{C912EDD0-0B32-4697-B385-BB9E221BF1F3}"/>
    <cellStyle name="Normal 6 2 8" xfId="43829" xr:uid="{E47C4727-683D-4719-BA14-9110C32863FD}"/>
    <cellStyle name="Normal 6 2 9" xfId="43450" xr:uid="{38165BC0-8FC4-4F40-BD3C-699675BCF82D}"/>
    <cellStyle name="Normal 6 3" xfId="2549" xr:uid="{00000000-0005-0000-0000-0000D28B0000}"/>
    <cellStyle name="Normal 6 3 2" xfId="36388" xr:uid="{00000000-0005-0000-0000-0000D38B0000}"/>
    <cellStyle name="Normal 6 3 3" xfId="43359" xr:uid="{00000000-0005-0000-0000-0000D48B0000}"/>
    <cellStyle name="Normal 6 4" xfId="36389" xr:uid="{00000000-0005-0000-0000-0000D58B0000}"/>
    <cellStyle name="Normal 6 5" xfId="36390" xr:uid="{00000000-0005-0000-0000-0000D68B0000}"/>
    <cellStyle name="Normal 60" xfId="36391" xr:uid="{00000000-0005-0000-0000-0000D78B0000}"/>
    <cellStyle name="Normal 60 2" xfId="36392" xr:uid="{00000000-0005-0000-0000-0000D88B0000}"/>
    <cellStyle name="Normal 61" xfId="36393" xr:uid="{00000000-0005-0000-0000-0000D98B0000}"/>
    <cellStyle name="Normal 61 2" xfId="36394" xr:uid="{00000000-0005-0000-0000-0000DA8B0000}"/>
    <cellStyle name="Normal 61 3" xfId="36395" xr:uid="{00000000-0005-0000-0000-0000DB8B0000}"/>
    <cellStyle name="Normal 61 4" xfId="36396" xr:uid="{00000000-0005-0000-0000-0000DC8B0000}"/>
    <cellStyle name="Normal 61 5" xfId="36397" xr:uid="{00000000-0005-0000-0000-0000DD8B0000}"/>
    <cellStyle name="Normal 61 6" xfId="36398" xr:uid="{00000000-0005-0000-0000-0000DE8B0000}"/>
    <cellStyle name="Normal 61 7" xfId="36399" xr:uid="{00000000-0005-0000-0000-0000DF8B0000}"/>
    <cellStyle name="Normal 62" xfId="36400" xr:uid="{00000000-0005-0000-0000-0000E08B0000}"/>
    <cellStyle name="Normal 63" xfId="36401" xr:uid="{00000000-0005-0000-0000-0000E18B0000}"/>
    <cellStyle name="Normal 64" xfId="36402" xr:uid="{00000000-0005-0000-0000-0000E28B0000}"/>
    <cellStyle name="Normal 65" xfId="36403" xr:uid="{00000000-0005-0000-0000-0000E38B0000}"/>
    <cellStyle name="Normal 66" xfId="36404" xr:uid="{00000000-0005-0000-0000-0000E48B0000}"/>
    <cellStyle name="Normal 67" xfId="36405" xr:uid="{00000000-0005-0000-0000-0000E58B0000}"/>
    <cellStyle name="Normal 68" xfId="36406" xr:uid="{00000000-0005-0000-0000-0000E68B0000}"/>
    <cellStyle name="Normal 68 2" xfId="43628" xr:uid="{D8E1E391-6B75-48C6-B2C9-95F8059C66BB}"/>
    <cellStyle name="Normal 68 2 2" xfId="43629" xr:uid="{8AFCCE1F-F41E-46F0-BDF7-E636CF1E4151}"/>
    <cellStyle name="Normal 68 2 2 2" xfId="43809" xr:uid="{27354523-540B-4BAD-8B8F-94946727E757}"/>
    <cellStyle name="Normal 68 2 2 3" xfId="43987" xr:uid="{8B9AF145-F747-4B11-BDC1-CB448FE4805B}"/>
    <cellStyle name="Normal 68 2 3" xfId="43630" xr:uid="{C9422503-0812-452A-88E2-D6F91F9E68A9}"/>
    <cellStyle name="Normal 68 2 3 2" xfId="43810" xr:uid="{5610F616-A057-4859-8D15-F2B95438859B}"/>
    <cellStyle name="Normal 68 2 3 3" xfId="43997" xr:uid="{E6DD63CD-E0E4-42B5-9A22-BC2319B5B00E}"/>
    <cellStyle name="Normal 68 2 4" xfId="43808" xr:uid="{5B108078-F5A2-45D8-8FF4-6E68D5BCDECC}"/>
    <cellStyle name="Normal 68 2 5" xfId="43977" xr:uid="{27189811-F6CB-4410-B923-67763F55E0DF}"/>
    <cellStyle name="Normal 68 3" xfId="43631" xr:uid="{E00DE2DD-1681-4D98-BADE-BA75C4588531}"/>
    <cellStyle name="Normal 68 3 2" xfId="43811" xr:uid="{6D402E2E-C92B-4145-951A-0EB1D2C20F9F}"/>
    <cellStyle name="Normal 68 3 3" xfId="43985" xr:uid="{754FCDC0-58D1-4589-A6AC-B2ED65ECD2D3}"/>
    <cellStyle name="Normal 68 4" xfId="43632" xr:uid="{31125668-7327-46F5-BCA6-69BA764996AF}"/>
    <cellStyle name="Normal 68 4 2" xfId="43812" xr:uid="{872E3896-CBFC-4A02-8FF5-E6D1D468359A}"/>
    <cellStyle name="Normal 68 4 3" xfId="43995" xr:uid="{C128BA85-2DE0-4535-B4F6-EC316893FB82}"/>
    <cellStyle name="Normal 68 5" xfId="43807" xr:uid="{6B11E969-FB79-41E9-9008-CF7FF9969BB4}"/>
    <cellStyle name="Normal 68 6" xfId="43975" xr:uid="{F90B5DF9-7F17-4073-8338-94A7754A7743}"/>
    <cellStyle name="Normal 68 7" xfId="43627" xr:uid="{E4F836BF-E3A9-4472-AEBC-387C37267945}"/>
    <cellStyle name="Normal 69" xfId="36407" xr:uid="{00000000-0005-0000-0000-0000E78B0000}"/>
    <cellStyle name="Normal 7" xfId="1074" xr:uid="{00000000-0005-0000-0000-0000E88B0000}"/>
    <cellStyle name="Normal 7 10" xfId="36408" xr:uid="{00000000-0005-0000-0000-0000E98B0000}"/>
    <cellStyle name="Normal 7 11" xfId="36409" xr:uid="{00000000-0005-0000-0000-0000EA8B0000}"/>
    <cellStyle name="Normal 7 12" xfId="36410" xr:uid="{00000000-0005-0000-0000-0000EB8B0000}"/>
    <cellStyle name="Normal 7 13" xfId="36411" xr:uid="{00000000-0005-0000-0000-0000EC8B0000}"/>
    <cellStyle name="Normal 7 14" xfId="36412" xr:uid="{00000000-0005-0000-0000-0000ED8B0000}"/>
    <cellStyle name="Normal 7 15" xfId="36413" xr:uid="{00000000-0005-0000-0000-0000EE8B0000}"/>
    <cellStyle name="Normal 7 16" xfId="36414" xr:uid="{00000000-0005-0000-0000-0000EF8B0000}"/>
    <cellStyle name="Normal 7 17" xfId="36415" xr:uid="{00000000-0005-0000-0000-0000F08B0000}"/>
    <cellStyle name="Normal 7 18" xfId="36416" xr:uid="{00000000-0005-0000-0000-0000F18B0000}"/>
    <cellStyle name="Normal 7 19" xfId="36417" xr:uid="{00000000-0005-0000-0000-0000F28B0000}"/>
    <cellStyle name="Normal 7 2" xfId="1075" xr:uid="{00000000-0005-0000-0000-0000F38B0000}"/>
    <cellStyle name="Normal 7 2 2" xfId="2550" xr:uid="{00000000-0005-0000-0000-0000F48B0000}"/>
    <cellStyle name="Normal 7 20" xfId="36418" xr:uid="{00000000-0005-0000-0000-0000F58B0000}"/>
    <cellStyle name="Normal 7 21" xfId="36419" xr:uid="{00000000-0005-0000-0000-0000F68B0000}"/>
    <cellStyle name="Normal 7 22" xfId="36420" xr:uid="{00000000-0005-0000-0000-0000F78B0000}"/>
    <cellStyle name="Normal 7 23" xfId="36421" xr:uid="{00000000-0005-0000-0000-0000F88B0000}"/>
    <cellStyle name="Normal 7 24" xfId="36422" xr:uid="{00000000-0005-0000-0000-0000F98B0000}"/>
    <cellStyle name="Normal 7 25" xfId="36423" xr:uid="{00000000-0005-0000-0000-0000FA8B0000}"/>
    <cellStyle name="Normal 7 26" xfId="36424" xr:uid="{00000000-0005-0000-0000-0000FB8B0000}"/>
    <cellStyle name="Normal 7 27" xfId="36425" xr:uid="{00000000-0005-0000-0000-0000FC8B0000}"/>
    <cellStyle name="Normal 7 28" xfId="36426" xr:uid="{00000000-0005-0000-0000-0000FD8B0000}"/>
    <cellStyle name="Normal 7 29" xfId="36427" xr:uid="{00000000-0005-0000-0000-0000FE8B0000}"/>
    <cellStyle name="Normal 7 3" xfId="1847" xr:uid="{00000000-0005-0000-0000-0000FF8B0000}"/>
    <cellStyle name="Normal 7 3 2" xfId="2044" xr:uid="{00000000-0005-0000-0000-0000008C0000}"/>
    <cellStyle name="Normal 7 3 2 2" xfId="2551" xr:uid="{00000000-0005-0000-0000-0000018C0000}"/>
    <cellStyle name="Normal 7 3 2 3" xfId="43360" xr:uid="{00000000-0005-0000-0000-0000028C0000}"/>
    <cellStyle name="Normal 7 3 3" xfId="2552" xr:uid="{00000000-0005-0000-0000-0000038C0000}"/>
    <cellStyle name="Normal 7 3 3 2" xfId="43361" xr:uid="{00000000-0005-0000-0000-0000048C0000}"/>
    <cellStyle name="Normal 7 3 4" xfId="2438" xr:uid="{00000000-0005-0000-0000-0000058C0000}"/>
    <cellStyle name="Normal 7 3 5" xfId="2381" xr:uid="{00000000-0005-0000-0000-0000068C0000}"/>
    <cellStyle name="Normal 7 3 6" xfId="43255" xr:uid="{00000000-0005-0000-0000-0000078C0000}"/>
    <cellStyle name="Normal 7 30" xfId="36428" xr:uid="{00000000-0005-0000-0000-0000088C0000}"/>
    <cellStyle name="Normal 7 31" xfId="36429" xr:uid="{00000000-0005-0000-0000-0000098C0000}"/>
    <cellStyle name="Normal 7 32" xfId="36430" xr:uid="{00000000-0005-0000-0000-00000A8C0000}"/>
    <cellStyle name="Normal 7 33" xfId="36431" xr:uid="{00000000-0005-0000-0000-00000B8C0000}"/>
    <cellStyle name="Normal 7 34" xfId="36432" xr:uid="{00000000-0005-0000-0000-00000C8C0000}"/>
    <cellStyle name="Normal 7 35" xfId="36433" xr:uid="{00000000-0005-0000-0000-00000D8C0000}"/>
    <cellStyle name="Normal 7 36" xfId="36434" xr:uid="{00000000-0005-0000-0000-00000E8C0000}"/>
    <cellStyle name="Normal 7 37" xfId="36435" xr:uid="{00000000-0005-0000-0000-00000F8C0000}"/>
    <cellStyle name="Normal 7 38" xfId="36436" xr:uid="{00000000-0005-0000-0000-0000108C0000}"/>
    <cellStyle name="Normal 7 39" xfId="36437" xr:uid="{00000000-0005-0000-0000-0000118C0000}"/>
    <cellStyle name="Normal 7 4" xfId="1936" xr:uid="{00000000-0005-0000-0000-0000128C0000}"/>
    <cellStyle name="Normal 7 4 2" xfId="2553" xr:uid="{00000000-0005-0000-0000-0000138C0000}"/>
    <cellStyle name="Normal 7 40" xfId="36438" xr:uid="{00000000-0005-0000-0000-0000148C0000}"/>
    <cellStyle name="Normal 7 41" xfId="36439" xr:uid="{00000000-0005-0000-0000-0000158C0000}"/>
    <cellStyle name="Normal 7 42" xfId="36440" xr:uid="{00000000-0005-0000-0000-0000168C0000}"/>
    <cellStyle name="Normal 7 43" xfId="36441" xr:uid="{00000000-0005-0000-0000-0000178C0000}"/>
    <cellStyle name="Normal 7 44" xfId="36442" xr:uid="{00000000-0005-0000-0000-0000188C0000}"/>
    <cellStyle name="Normal 7 45" xfId="36443" xr:uid="{00000000-0005-0000-0000-0000198C0000}"/>
    <cellStyle name="Normal 7 46" xfId="36444" xr:uid="{00000000-0005-0000-0000-00001A8C0000}"/>
    <cellStyle name="Normal 7 47" xfId="36445" xr:uid="{00000000-0005-0000-0000-00001B8C0000}"/>
    <cellStyle name="Normal 7 48" xfId="36446" xr:uid="{00000000-0005-0000-0000-00001C8C0000}"/>
    <cellStyle name="Normal 7 49" xfId="36447" xr:uid="{00000000-0005-0000-0000-00001D8C0000}"/>
    <cellStyle name="Normal 7 5" xfId="2554" xr:uid="{00000000-0005-0000-0000-00001E8C0000}"/>
    <cellStyle name="Normal 7 5 2" xfId="43362" xr:uid="{00000000-0005-0000-0000-00001F8C0000}"/>
    <cellStyle name="Normal 7 50" xfId="36448" xr:uid="{00000000-0005-0000-0000-0000208C0000}"/>
    <cellStyle name="Normal 7 51" xfId="36449" xr:uid="{00000000-0005-0000-0000-0000218C0000}"/>
    <cellStyle name="Normal 7 52" xfId="36450" xr:uid="{00000000-0005-0000-0000-0000228C0000}"/>
    <cellStyle name="Normal 7 53" xfId="36451" xr:uid="{00000000-0005-0000-0000-0000238C0000}"/>
    <cellStyle name="Normal 7 54" xfId="36452" xr:uid="{00000000-0005-0000-0000-0000248C0000}"/>
    <cellStyle name="Normal 7 55" xfId="36453" xr:uid="{00000000-0005-0000-0000-0000258C0000}"/>
    <cellStyle name="Normal 7 56" xfId="36454" xr:uid="{00000000-0005-0000-0000-0000268C0000}"/>
    <cellStyle name="Normal 7 57" xfId="36455" xr:uid="{00000000-0005-0000-0000-0000278C0000}"/>
    <cellStyle name="Normal 7 58" xfId="43202" xr:uid="{00000000-0005-0000-0000-0000288C0000}"/>
    <cellStyle name="Normal 7 59" xfId="43405" xr:uid="{00000000-0005-0000-0000-0000298C0000}"/>
    <cellStyle name="Normal 7 6" xfId="2555" xr:uid="{00000000-0005-0000-0000-00002A8C0000}"/>
    <cellStyle name="Normal 7 6 2" xfId="43363" xr:uid="{00000000-0005-0000-0000-00002B8C0000}"/>
    <cellStyle name="Normal 7 7" xfId="2407" xr:uid="{00000000-0005-0000-0000-00002C8C0000}"/>
    <cellStyle name="Normal 7 8" xfId="2243" xr:uid="{00000000-0005-0000-0000-00002D8C0000}"/>
    <cellStyle name="Normal 7 9" xfId="36456" xr:uid="{00000000-0005-0000-0000-00002E8C0000}"/>
    <cellStyle name="Normal 70" xfId="36457" xr:uid="{00000000-0005-0000-0000-00002F8C0000}"/>
    <cellStyle name="Normal 71" xfId="36458" xr:uid="{00000000-0005-0000-0000-0000308C0000}"/>
    <cellStyle name="Normal 72" xfId="36459" xr:uid="{00000000-0005-0000-0000-0000318C0000}"/>
    <cellStyle name="Normal 73" xfId="36460" xr:uid="{00000000-0005-0000-0000-0000328C0000}"/>
    <cellStyle name="Normal 74" xfId="36461" xr:uid="{00000000-0005-0000-0000-0000338C0000}"/>
    <cellStyle name="Normal 75" xfId="36462" xr:uid="{00000000-0005-0000-0000-0000348C0000}"/>
    <cellStyle name="Normal 76" xfId="36463" xr:uid="{00000000-0005-0000-0000-0000358C0000}"/>
    <cellStyle name="Normal 77" xfId="36464" xr:uid="{00000000-0005-0000-0000-0000368C0000}"/>
    <cellStyle name="Normal 78" xfId="36465" xr:uid="{00000000-0005-0000-0000-0000378C0000}"/>
    <cellStyle name="Normal 79" xfId="36466" xr:uid="{00000000-0005-0000-0000-0000388C0000}"/>
    <cellStyle name="Normal 8" xfId="1076" xr:uid="{00000000-0005-0000-0000-0000398C0000}"/>
    <cellStyle name="Normal 8 10" xfId="36467" xr:uid="{00000000-0005-0000-0000-00003A8C0000}"/>
    <cellStyle name="Normal 8 10 10" xfId="36468" xr:uid="{00000000-0005-0000-0000-00003B8C0000}"/>
    <cellStyle name="Normal 8 10 11" xfId="36469" xr:uid="{00000000-0005-0000-0000-00003C8C0000}"/>
    <cellStyle name="Normal 8 10 12" xfId="36470" xr:uid="{00000000-0005-0000-0000-00003D8C0000}"/>
    <cellStyle name="Normal 8 10 13" xfId="36471" xr:uid="{00000000-0005-0000-0000-00003E8C0000}"/>
    <cellStyle name="Normal 8 10 2" xfId="36472" xr:uid="{00000000-0005-0000-0000-00003F8C0000}"/>
    <cellStyle name="Normal 8 10 2 2" xfId="36473" xr:uid="{00000000-0005-0000-0000-0000408C0000}"/>
    <cellStyle name="Normal 8 10 2 3" xfId="36474" xr:uid="{00000000-0005-0000-0000-0000418C0000}"/>
    <cellStyle name="Normal 8 10 2 4" xfId="36475" xr:uid="{00000000-0005-0000-0000-0000428C0000}"/>
    <cellStyle name="Normal 8 10 2 5" xfId="36476" xr:uid="{00000000-0005-0000-0000-0000438C0000}"/>
    <cellStyle name="Normal 8 10 2 6" xfId="36477" xr:uid="{00000000-0005-0000-0000-0000448C0000}"/>
    <cellStyle name="Normal 8 10 3" xfId="36478" xr:uid="{00000000-0005-0000-0000-0000458C0000}"/>
    <cellStyle name="Normal 8 10 3 2" xfId="36479" xr:uid="{00000000-0005-0000-0000-0000468C0000}"/>
    <cellStyle name="Normal 8 10 3 3" xfId="36480" xr:uid="{00000000-0005-0000-0000-0000478C0000}"/>
    <cellStyle name="Normal 8 10 3 4" xfId="36481" xr:uid="{00000000-0005-0000-0000-0000488C0000}"/>
    <cellStyle name="Normal 8 10 3 5" xfId="36482" xr:uid="{00000000-0005-0000-0000-0000498C0000}"/>
    <cellStyle name="Normal 8 10 3 6" xfId="36483" xr:uid="{00000000-0005-0000-0000-00004A8C0000}"/>
    <cellStyle name="Normal 8 10 4" xfId="36484" xr:uid="{00000000-0005-0000-0000-00004B8C0000}"/>
    <cellStyle name="Normal 8 10 4 2" xfId="36485" xr:uid="{00000000-0005-0000-0000-00004C8C0000}"/>
    <cellStyle name="Normal 8 10 4 3" xfId="36486" xr:uid="{00000000-0005-0000-0000-00004D8C0000}"/>
    <cellStyle name="Normal 8 10 4 4" xfId="36487" xr:uid="{00000000-0005-0000-0000-00004E8C0000}"/>
    <cellStyle name="Normal 8 10 4 5" xfId="36488" xr:uid="{00000000-0005-0000-0000-00004F8C0000}"/>
    <cellStyle name="Normal 8 10 4 6" xfId="36489" xr:uid="{00000000-0005-0000-0000-0000508C0000}"/>
    <cellStyle name="Normal 8 10 5" xfId="36490" xr:uid="{00000000-0005-0000-0000-0000518C0000}"/>
    <cellStyle name="Normal 8 10 5 2" xfId="36491" xr:uid="{00000000-0005-0000-0000-0000528C0000}"/>
    <cellStyle name="Normal 8 10 5 3" xfId="36492" xr:uid="{00000000-0005-0000-0000-0000538C0000}"/>
    <cellStyle name="Normal 8 10 5 4" xfId="36493" xr:uid="{00000000-0005-0000-0000-0000548C0000}"/>
    <cellStyle name="Normal 8 10 5 5" xfId="36494" xr:uid="{00000000-0005-0000-0000-0000558C0000}"/>
    <cellStyle name="Normal 8 10 5 6" xfId="36495" xr:uid="{00000000-0005-0000-0000-0000568C0000}"/>
    <cellStyle name="Normal 8 10 6" xfId="36496" xr:uid="{00000000-0005-0000-0000-0000578C0000}"/>
    <cellStyle name="Normal 8 10 6 2" xfId="36497" xr:uid="{00000000-0005-0000-0000-0000588C0000}"/>
    <cellStyle name="Normal 8 10 6 3" xfId="36498" xr:uid="{00000000-0005-0000-0000-0000598C0000}"/>
    <cellStyle name="Normal 8 10 6 4" xfId="36499" xr:uid="{00000000-0005-0000-0000-00005A8C0000}"/>
    <cellStyle name="Normal 8 10 6 5" xfId="36500" xr:uid="{00000000-0005-0000-0000-00005B8C0000}"/>
    <cellStyle name="Normal 8 10 6 6" xfId="36501" xr:uid="{00000000-0005-0000-0000-00005C8C0000}"/>
    <cellStyle name="Normal 8 10 7" xfId="36502" xr:uid="{00000000-0005-0000-0000-00005D8C0000}"/>
    <cellStyle name="Normal 8 10 7 2" xfId="36503" xr:uid="{00000000-0005-0000-0000-00005E8C0000}"/>
    <cellStyle name="Normal 8 10 7 3" xfId="36504" xr:uid="{00000000-0005-0000-0000-00005F8C0000}"/>
    <cellStyle name="Normal 8 10 7 4" xfId="36505" xr:uid="{00000000-0005-0000-0000-0000608C0000}"/>
    <cellStyle name="Normal 8 10 7 5" xfId="36506" xr:uid="{00000000-0005-0000-0000-0000618C0000}"/>
    <cellStyle name="Normal 8 10 7 6" xfId="36507" xr:uid="{00000000-0005-0000-0000-0000628C0000}"/>
    <cellStyle name="Normal 8 10 8" xfId="36508" xr:uid="{00000000-0005-0000-0000-0000638C0000}"/>
    <cellStyle name="Normal 8 10 8 2" xfId="36509" xr:uid="{00000000-0005-0000-0000-0000648C0000}"/>
    <cellStyle name="Normal 8 10 8 3" xfId="36510" xr:uid="{00000000-0005-0000-0000-0000658C0000}"/>
    <cellStyle name="Normal 8 10 8 4" xfId="36511" xr:uid="{00000000-0005-0000-0000-0000668C0000}"/>
    <cellStyle name="Normal 8 10 8 5" xfId="36512" xr:uid="{00000000-0005-0000-0000-0000678C0000}"/>
    <cellStyle name="Normal 8 10 8 6" xfId="36513" xr:uid="{00000000-0005-0000-0000-0000688C0000}"/>
    <cellStyle name="Normal 8 10 9" xfId="36514" xr:uid="{00000000-0005-0000-0000-0000698C0000}"/>
    <cellStyle name="Normal 8 11" xfId="36515" xr:uid="{00000000-0005-0000-0000-00006A8C0000}"/>
    <cellStyle name="Normal 8 11 10" xfId="36516" xr:uid="{00000000-0005-0000-0000-00006B8C0000}"/>
    <cellStyle name="Normal 8 11 11" xfId="36517" xr:uid="{00000000-0005-0000-0000-00006C8C0000}"/>
    <cellStyle name="Normal 8 11 12" xfId="36518" xr:uid="{00000000-0005-0000-0000-00006D8C0000}"/>
    <cellStyle name="Normal 8 11 13" xfId="36519" xr:uid="{00000000-0005-0000-0000-00006E8C0000}"/>
    <cellStyle name="Normal 8 11 2" xfId="36520" xr:uid="{00000000-0005-0000-0000-00006F8C0000}"/>
    <cellStyle name="Normal 8 11 2 2" xfId="36521" xr:uid="{00000000-0005-0000-0000-0000708C0000}"/>
    <cellStyle name="Normal 8 11 2 3" xfId="36522" xr:uid="{00000000-0005-0000-0000-0000718C0000}"/>
    <cellStyle name="Normal 8 11 2 4" xfId="36523" xr:uid="{00000000-0005-0000-0000-0000728C0000}"/>
    <cellStyle name="Normal 8 11 2 5" xfId="36524" xr:uid="{00000000-0005-0000-0000-0000738C0000}"/>
    <cellStyle name="Normal 8 11 2 6" xfId="36525" xr:uid="{00000000-0005-0000-0000-0000748C0000}"/>
    <cellStyle name="Normal 8 11 3" xfId="36526" xr:uid="{00000000-0005-0000-0000-0000758C0000}"/>
    <cellStyle name="Normal 8 11 3 2" xfId="36527" xr:uid="{00000000-0005-0000-0000-0000768C0000}"/>
    <cellStyle name="Normal 8 11 3 3" xfId="36528" xr:uid="{00000000-0005-0000-0000-0000778C0000}"/>
    <cellStyle name="Normal 8 11 3 4" xfId="36529" xr:uid="{00000000-0005-0000-0000-0000788C0000}"/>
    <cellStyle name="Normal 8 11 3 5" xfId="36530" xr:uid="{00000000-0005-0000-0000-0000798C0000}"/>
    <cellStyle name="Normal 8 11 3 6" xfId="36531" xr:uid="{00000000-0005-0000-0000-00007A8C0000}"/>
    <cellStyle name="Normal 8 11 4" xfId="36532" xr:uid="{00000000-0005-0000-0000-00007B8C0000}"/>
    <cellStyle name="Normal 8 11 4 2" xfId="36533" xr:uid="{00000000-0005-0000-0000-00007C8C0000}"/>
    <cellStyle name="Normal 8 11 4 3" xfId="36534" xr:uid="{00000000-0005-0000-0000-00007D8C0000}"/>
    <cellStyle name="Normal 8 11 4 4" xfId="36535" xr:uid="{00000000-0005-0000-0000-00007E8C0000}"/>
    <cellStyle name="Normal 8 11 4 5" xfId="36536" xr:uid="{00000000-0005-0000-0000-00007F8C0000}"/>
    <cellStyle name="Normal 8 11 4 6" xfId="36537" xr:uid="{00000000-0005-0000-0000-0000808C0000}"/>
    <cellStyle name="Normal 8 11 5" xfId="36538" xr:uid="{00000000-0005-0000-0000-0000818C0000}"/>
    <cellStyle name="Normal 8 11 5 2" xfId="36539" xr:uid="{00000000-0005-0000-0000-0000828C0000}"/>
    <cellStyle name="Normal 8 11 5 3" xfId="36540" xr:uid="{00000000-0005-0000-0000-0000838C0000}"/>
    <cellStyle name="Normal 8 11 5 4" xfId="36541" xr:uid="{00000000-0005-0000-0000-0000848C0000}"/>
    <cellStyle name="Normal 8 11 5 5" xfId="36542" xr:uid="{00000000-0005-0000-0000-0000858C0000}"/>
    <cellStyle name="Normal 8 11 5 6" xfId="36543" xr:uid="{00000000-0005-0000-0000-0000868C0000}"/>
    <cellStyle name="Normal 8 11 6" xfId="36544" xr:uid="{00000000-0005-0000-0000-0000878C0000}"/>
    <cellStyle name="Normal 8 11 6 2" xfId="36545" xr:uid="{00000000-0005-0000-0000-0000888C0000}"/>
    <cellStyle name="Normal 8 11 6 3" xfId="36546" xr:uid="{00000000-0005-0000-0000-0000898C0000}"/>
    <cellStyle name="Normal 8 11 6 4" xfId="36547" xr:uid="{00000000-0005-0000-0000-00008A8C0000}"/>
    <cellStyle name="Normal 8 11 6 5" xfId="36548" xr:uid="{00000000-0005-0000-0000-00008B8C0000}"/>
    <cellStyle name="Normal 8 11 6 6" xfId="36549" xr:uid="{00000000-0005-0000-0000-00008C8C0000}"/>
    <cellStyle name="Normal 8 11 7" xfId="36550" xr:uid="{00000000-0005-0000-0000-00008D8C0000}"/>
    <cellStyle name="Normal 8 11 7 2" xfId="36551" xr:uid="{00000000-0005-0000-0000-00008E8C0000}"/>
    <cellStyle name="Normal 8 11 7 3" xfId="36552" xr:uid="{00000000-0005-0000-0000-00008F8C0000}"/>
    <cellStyle name="Normal 8 11 7 4" xfId="36553" xr:uid="{00000000-0005-0000-0000-0000908C0000}"/>
    <cellStyle name="Normal 8 11 7 5" xfId="36554" xr:uid="{00000000-0005-0000-0000-0000918C0000}"/>
    <cellStyle name="Normal 8 11 7 6" xfId="36555" xr:uid="{00000000-0005-0000-0000-0000928C0000}"/>
    <cellStyle name="Normal 8 11 8" xfId="36556" xr:uid="{00000000-0005-0000-0000-0000938C0000}"/>
    <cellStyle name="Normal 8 11 8 2" xfId="36557" xr:uid="{00000000-0005-0000-0000-0000948C0000}"/>
    <cellStyle name="Normal 8 11 8 3" xfId="36558" xr:uid="{00000000-0005-0000-0000-0000958C0000}"/>
    <cellStyle name="Normal 8 11 8 4" xfId="36559" xr:uid="{00000000-0005-0000-0000-0000968C0000}"/>
    <cellStyle name="Normal 8 11 8 5" xfId="36560" xr:uid="{00000000-0005-0000-0000-0000978C0000}"/>
    <cellStyle name="Normal 8 11 8 6" xfId="36561" xr:uid="{00000000-0005-0000-0000-0000988C0000}"/>
    <cellStyle name="Normal 8 11 9" xfId="36562" xr:uid="{00000000-0005-0000-0000-0000998C0000}"/>
    <cellStyle name="Normal 8 12" xfId="36563" xr:uid="{00000000-0005-0000-0000-00009A8C0000}"/>
    <cellStyle name="Normal 8 12 10" xfId="36564" xr:uid="{00000000-0005-0000-0000-00009B8C0000}"/>
    <cellStyle name="Normal 8 12 11" xfId="36565" xr:uid="{00000000-0005-0000-0000-00009C8C0000}"/>
    <cellStyle name="Normal 8 12 12" xfId="36566" xr:uid="{00000000-0005-0000-0000-00009D8C0000}"/>
    <cellStyle name="Normal 8 12 13" xfId="36567" xr:uid="{00000000-0005-0000-0000-00009E8C0000}"/>
    <cellStyle name="Normal 8 12 2" xfId="36568" xr:uid="{00000000-0005-0000-0000-00009F8C0000}"/>
    <cellStyle name="Normal 8 12 2 2" xfId="36569" xr:uid="{00000000-0005-0000-0000-0000A08C0000}"/>
    <cellStyle name="Normal 8 12 2 3" xfId="36570" xr:uid="{00000000-0005-0000-0000-0000A18C0000}"/>
    <cellStyle name="Normal 8 12 2 4" xfId="36571" xr:uid="{00000000-0005-0000-0000-0000A28C0000}"/>
    <cellStyle name="Normal 8 12 2 5" xfId="36572" xr:uid="{00000000-0005-0000-0000-0000A38C0000}"/>
    <cellStyle name="Normal 8 12 2 6" xfId="36573" xr:uid="{00000000-0005-0000-0000-0000A48C0000}"/>
    <cellStyle name="Normal 8 12 3" xfId="36574" xr:uid="{00000000-0005-0000-0000-0000A58C0000}"/>
    <cellStyle name="Normal 8 12 3 2" xfId="36575" xr:uid="{00000000-0005-0000-0000-0000A68C0000}"/>
    <cellStyle name="Normal 8 12 3 3" xfId="36576" xr:uid="{00000000-0005-0000-0000-0000A78C0000}"/>
    <cellStyle name="Normal 8 12 3 4" xfId="36577" xr:uid="{00000000-0005-0000-0000-0000A88C0000}"/>
    <cellStyle name="Normal 8 12 3 5" xfId="36578" xr:uid="{00000000-0005-0000-0000-0000A98C0000}"/>
    <cellStyle name="Normal 8 12 3 6" xfId="36579" xr:uid="{00000000-0005-0000-0000-0000AA8C0000}"/>
    <cellStyle name="Normal 8 12 4" xfId="36580" xr:uid="{00000000-0005-0000-0000-0000AB8C0000}"/>
    <cellStyle name="Normal 8 12 4 2" xfId="36581" xr:uid="{00000000-0005-0000-0000-0000AC8C0000}"/>
    <cellStyle name="Normal 8 12 4 3" xfId="36582" xr:uid="{00000000-0005-0000-0000-0000AD8C0000}"/>
    <cellStyle name="Normal 8 12 4 4" xfId="36583" xr:uid="{00000000-0005-0000-0000-0000AE8C0000}"/>
    <cellStyle name="Normal 8 12 4 5" xfId="36584" xr:uid="{00000000-0005-0000-0000-0000AF8C0000}"/>
    <cellStyle name="Normal 8 12 4 6" xfId="36585" xr:uid="{00000000-0005-0000-0000-0000B08C0000}"/>
    <cellStyle name="Normal 8 12 5" xfId="36586" xr:uid="{00000000-0005-0000-0000-0000B18C0000}"/>
    <cellStyle name="Normal 8 12 5 2" xfId="36587" xr:uid="{00000000-0005-0000-0000-0000B28C0000}"/>
    <cellStyle name="Normal 8 12 5 3" xfId="36588" xr:uid="{00000000-0005-0000-0000-0000B38C0000}"/>
    <cellStyle name="Normal 8 12 5 4" xfId="36589" xr:uid="{00000000-0005-0000-0000-0000B48C0000}"/>
    <cellStyle name="Normal 8 12 5 5" xfId="36590" xr:uid="{00000000-0005-0000-0000-0000B58C0000}"/>
    <cellStyle name="Normal 8 12 5 6" xfId="36591" xr:uid="{00000000-0005-0000-0000-0000B68C0000}"/>
    <cellStyle name="Normal 8 12 6" xfId="36592" xr:uid="{00000000-0005-0000-0000-0000B78C0000}"/>
    <cellStyle name="Normal 8 12 6 2" xfId="36593" xr:uid="{00000000-0005-0000-0000-0000B88C0000}"/>
    <cellStyle name="Normal 8 12 6 3" xfId="36594" xr:uid="{00000000-0005-0000-0000-0000B98C0000}"/>
    <cellStyle name="Normal 8 12 6 4" xfId="36595" xr:uid="{00000000-0005-0000-0000-0000BA8C0000}"/>
    <cellStyle name="Normal 8 12 6 5" xfId="36596" xr:uid="{00000000-0005-0000-0000-0000BB8C0000}"/>
    <cellStyle name="Normal 8 12 6 6" xfId="36597" xr:uid="{00000000-0005-0000-0000-0000BC8C0000}"/>
    <cellStyle name="Normal 8 12 7" xfId="36598" xr:uid="{00000000-0005-0000-0000-0000BD8C0000}"/>
    <cellStyle name="Normal 8 12 7 2" xfId="36599" xr:uid="{00000000-0005-0000-0000-0000BE8C0000}"/>
    <cellStyle name="Normal 8 12 7 3" xfId="36600" xr:uid="{00000000-0005-0000-0000-0000BF8C0000}"/>
    <cellStyle name="Normal 8 12 7 4" xfId="36601" xr:uid="{00000000-0005-0000-0000-0000C08C0000}"/>
    <cellStyle name="Normal 8 12 7 5" xfId="36602" xr:uid="{00000000-0005-0000-0000-0000C18C0000}"/>
    <cellStyle name="Normal 8 12 7 6" xfId="36603" xr:uid="{00000000-0005-0000-0000-0000C28C0000}"/>
    <cellStyle name="Normal 8 12 8" xfId="36604" xr:uid="{00000000-0005-0000-0000-0000C38C0000}"/>
    <cellStyle name="Normal 8 12 8 2" xfId="36605" xr:uid="{00000000-0005-0000-0000-0000C48C0000}"/>
    <cellStyle name="Normal 8 12 8 3" xfId="36606" xr:uid="{00000000-0005-0000-0000-0000C58C0000}"/>
    <cellStyle name="Normal 8 12 8 4" xfId="36607" xr:uid="{00000000-0005-0000-0000-0000C68C0000}"/>
    <cellStyle name="Normal 8 12 8 5" xfId="36608" xr:uid="{00000000-0005-0000-0000-0000C78C0000}"/>
    <cellStyle name="Normal 8 12 8 6" xfId="36609" xr:uid="{00000000-0005-0000-0000-0000C88C0000}"/>
    <cellStyle name="Normal 8 12 9" xfId="36610" xr:uid="{00000000-0005-0000-0000-0000C98C0000}"/>
    <cellStyle name="Normal 8 13" xfId="36611" xr:uid="{00000000-0005-0000-0000-0000CA8C0000}"/>
    <cellStyle name="Normal 8 13 10" xfId="36612" xr:uid="{00000000-0005-0000-0000-0000CB8C0000}"/>
    <cellStyle name="Normal 8 13 11" xfId="36613" xr:uid="{00000000-0005-0000-0000-0000CC8C0000}"/>
    <cellStyle name="Normal 8 13 12" xfId="36614" xr:uid="{00000000-0005-0000-0000-0000CD8C0000}"/>
    <cellStyle name="Normal 8 13 13" xfId="36615" xr:uid="{00000000-0005-0000-0000-0000CE8C0000}"/>
    <cellStyle name="Normal 8 13 2" xfId="36616" xr:uid="{00000000-0005-0000-0000-0000CF8C0000}"/>
    <cellStyle name="Normal 8 13 2 2" xfId="36617" xr:uid="{00000000-0005-0000-0000-0000D08C0000}"/>
    <cellStyle name="Normal 8 13 2 3" xfId="36618" xr:uid="{00000000-0005-0000-0000-0000D18C0000}"/>
    <cellStyle name="Normal 8 13 2 4" xfId="36619" xr:uid="{00000000-0005-0000-0000-0000D28C0000}"/>
    <cellStyle name="Normal 8 13 2 5" xfId="36620" xr:uid="{00000000-0005-0000-0000-0000D38C0000}"/>
    <cellStyle name="Normal 8 13 2 6" xfId="36621" xr:uid="{00000000-0005-0000-0000-0000D48C0000}"/>
    <cellStyle name="Normal 8 13 3" xfId="36622" xr:uid="{00000000-0005-0000-0000-0000D58C0000}"/>
    <cellStyle name="Normal 8 13 3 2" xfId="36623" xr:uid="{00000000-0005-0000-0000-0000D68C0000}"/>
    <cellStyle name="Normal 8 13 3 3" xfId="36624" xr:uid="{00000000-0005-0000-0000-0000D78C0000}"/>
    <cellStyle name="Normal 8 13 3 4" xfId="36625" xr:uid="{00000000-0005-0000-0000-0000D88C0000}"/>
    <cellStyle name="Normal 8 13 3 5" xfId="36626" xr:uid="{00000000-0005-0000-0000-0000D98C0000}"/>
    <cellStyle name="Normal 8 13 3 6" xfId="36627" xr:uid="{00000000-0005-0000-0000-0000DA8C0000}"/>
    <cellStyle name="Normal 8 13 4" xfId="36628" xr:uid="{00000000-0005-0000-0000-0000DB8C0000}"/>
    <cellStyle name="Normal 8 13 4 2" xfId="36629" xr:uid="{00000000-0005-0000-0000-0000DC8C0000}"/>
    <cellStyle name="Normal 8 13 4 3" xfId="36630" xr:uid="{00000000-0005-0000-0000-0000DD8C0000}"/>
    <cellStyle name="Normal 8 13 4 4" xfId="36631" xr:uid="{00000000-0005-0000-0000-0000DE8C0000}"/>
    <cellStyle name="Normal 8 13 4 5" xfId="36632" xr:uid="{00000000-0005-0000-0000-0000DF8C0000}"/>
    <cellStyle name="Normal 8 13 4 6" xfId="36633" xr:uid="{00000000-0005-0000-0000-0000E08C0000}"/>
    <cellStyle name="Normal 8 13 5" xfId="36634" xr:uid="{00000000-0005-0000-0000-0000E18C0000}"/>
    <cellStyle name="Normal 8 13 5 2" xfId="36635" xr:uid="{00000000-0005-0000-0000-0000E28C0000}"/>
    <cellStyle name="Normal 8 13 5 3" xfId="36636" xr:uid="{00000000-0005-0000-0000-0000E38C0000}"/>
    <cellStyle name="Normal 8 13 5 4" xfId="36637" xr:uid="{00000000-0005-0000-0000-0000E48C0000}"/>
    <cellStyle name="Normal 8 13 5 5" xfId="36638" xr:uid="{00000000-0005-0000-0000-0000E58C0000}"/>
    <cellStyle name="Normal 8 13 5 6" xfId="36639" xr:uid="{00000000-0005-0000-0000-0000E68C0000}"/>
    <cellStyle name="Normal 8 13 6" xfId="36640" xr:uid="{00000000-0005-0000-0000-0000E78C0000}"/>
    <cellStyle name="Normal 8 13 6 2" xfId="36641" xr:uid="{00000000-0005-0000-0000-0000E88C0000}"/>
    <cellStyle name="Normal 8 13 6 3" xfId="36642" xr:uid="{00000000-0005-0000-0000-0000E98C0000}"/>
    <cellStyle name="Normal 8 13 6 4" xfId="36643" xr:uid="{00000000-0005-0000-0000-0000EA8C0000}"/>
    <cellStyle name="Normal 8 13 6 5" xfId="36644" xr:uid="{00000000-0005-0000-0000-0000EB8C0000}"/>
    <cellStyle name="Normal 8 13 6 6" xfId="36645" xr:uid="{00000000-0005-0000-0000-0000EC8C0000}"/>
    <cellStyle name="Normal 8 13 7" xfId="36646" xr:uid="{00000000-0005-0000-0000-0000ED8C0000}"/>
    <cellStyle name="Normal 8 13 7 2" xfId="36647" xr:uid="{00000000-0005-0000-0000-0000EE8C0000}"/>
    <cellStyle name="Normal 8 13 7 3" xfId="36648" xr:uid="{00000000-0005-0000-0000-0000EF8C0000}"/>
    <cellStyle name="Normal 8 13 7 4" xfId="36649" xr:uid="{00000000-0005-0000-0000-0000F08C0000}"/>
    <cellStyle name="Normal 8 13 7 5" xfId="36650" xr:uid="{00000000-0005-0000-0000-0000F18C0000}"/>
    <cellStyle name="Normal 8 13 7 6" xfId="36651" xr:uid="{00000000-0005-0000-0000-0000F28C0000}"/>
    <cellStyle name="Normal 8 13 8" xfId="36652" xr:uid="{00000000-0005-0000-0000-0000F38C0000}"/>
    <cellStyle name="Normal 8 13 8 2" xfId="36653" xr:uid="{00000000-0005-0000-0000-0000F48C0000}"/>
    <cellStyle name="Normal 8 13 8 3" xfId="36654" xr:uid="{00000000-0005-0000-0000-0000F58C0000}"/>
    <cellStyle name="Normal 8 13 8 4" xfId="36655" xr:uid="{00000000-0005-0000-0000-0000F68C0000}"/>
    <cellStyle name="Normal 8 13 8 5" xfId="36656" xr:uid="{00000000-0005-0000-0000-0000F78C0000}"/>
    <cellStyle name="Normal 8 13 8 6" xfId="36657" xr:uid="{00000000-0005-0000-0000-0000F88C0000}"/>
    <cellStyle name="Normal 8 13 9" xfId="36658" xr:uid="{00000000-0005-0000-0000-0000F98C0000}"/>
    <cellStyle name="Normal 8 14" xfId="36659" xr:uid="{00000000-0005-0000-0000-0000FA8C0000}"/>
    <cellStyle name="Normal 8 14 10" xfId="36660" xr:uid="{00000000-0005-0000-0000-0000FB8C0000}"/>
    <cellStyle name="Normal 8 14 11" xfId="36661" xr:uid="{00000000-0005-0000-0000-0000FC8C0000}"/>
    <cellStyle name="Normal 8 14 12" xfId="36662" xr:uid="{00000000-0005-0000-0000-0000FD8C0000}"/>
    <cellStyle name="Normal 8 14 13" xfId="36663" xr:uid="{00000000-0005-0000-0000-0000FE8C0000}"/>
    <cellStyle name="Normal 8 14 2" xfId="36664" xr:uid="{00000000-0005-0000-0000-0000FF8C0000}"/>
    <cellStyle name="Normal 8 14 2 2" xfId="36665" xr:uid="{00000000-0005-0000-0000-0000008D0000}"/>
    <cellStyle name="Normal 8 14 2 3" xfId="36666" xr:uid="{00000000-0005-0000-0000-0000018D0000}"/>
    <cellStyle name="Normal 8 14 2 4" xfId="36667" xr:uid="{00000000-0005-0000-0000-0000028D0000}"/>
    <cellStyle name="Normal 8 14 2 5" xfId="36668" xr:uid="{00000000-0005-0000-0000-0000038D0000}"/>
    <cellStyle name="Normal 8 14 2 6" xfId="36669" xr:uid="{00000000-0005-0000-0000-0000048D0000}"/>
    <cellStyle name="Normal 8 14 3" xfId="36670" xr:uid="{00000000-0005-0000-0000-0000058D0000}"/>
    <cellStyle name="Normal 8 14 3 2" xfId="36671" xr:uid="{00000000-0005-0000-0000-0000068D0000}"/>
    <cellStyle name="Normal 8 14 3 3" xfId="36672" xr:uid="{00000000-0005-0000-0000-0000078D0000}"/>
    <cellStyle name="Normal 8 14 3 4" xfId="36673" xr:uid="{00000000-0005-0000-0000-0000088D0000}"/>
    <cellStyle name="Normal 8 14 3 5" xfId="36674" xr:uid="{00000000-0005-0000-0000-0000098D0000}"/>
    <cellStyle name="Normal 8 14 3 6" xfId="36675" xr:uid="{00000000-0005-0000-0000-00000A8D0000}"/>
    <cellStyle name="Normal 8 14 4" xfId="36676" xr:uid="{00000000-0005-0000-0000-00000B8D0000}"/>
    <cellStyle name="Normal 8 14 4 2" xfId="36677" xr:uid="{00000000-0005-0000-0000-00000C8D0000}"/>
    <cellStyle name="Normal 8 14 4 3" xfId="36678" xr:uid="{00000000-0005-0000-0000-00000D8D0000}"/>
    <cellStyle name="Normal 8 14 4 4" xfId="36679" xr:uid="{00000000-0005-0000-0000-00000E8D0000}"/>
    <cellStyle name="Normal 8 14 4 5" xfId="36680" xr:uid="{00000000-0005-0000-0000-00000F8D0000}"/>
    <cellStyle name="Normal 8 14 4 6" xfId="36681" xr:uid="{00000000-0005-0000-0000-0000108D0000}"/>
    <cellStyle name="Normal 8 14 5" xfId="36682" xr:uid="{00000000-0005-0000-0000-0000118D0000}"/>
    <cellStyle name="Normal 8 14 5 2" xfId="36683" xr:uid="{00000000-0005-0000-0000-0000128D0000}"/>
    <cellStyle name="Normal 8 14 5 3" xfId="36684" xr:uid="{00000000-0005-0000-0000-0000138D0000}"/>
    <cellStyle name="Normal 8 14 5 4" xfId="36685" xr:uid="{00000000-0005-0000-0000-0000148D0000}"/>
    <cellStyle name="Normal 8 14 5 5" xfId="36686" xr:uid="{00000000-0005-0000-0000-0000158D0000}"/>
    <cellStyle name="Normal 8 14 5 6" xfId="36687" xr:uid="{00000000-0005-0000-0000-0000168D0000}"/>
    <cellStyle name="Normal 8 14 6" xfId="36688" xr:uid="{00000000-0005-0000-0000-0000178D0000}"/>
    <cellStyle name="Normal 8 14 6 2" xfId="36689" xr:uid="{00000000-0005-0000-0000-0000188D0000}"/>
    <cellStyle name="Normal 8 14 6 3" xfId="36690" xr:uid="{00000000-0005-0000-0000-0000198D0000}"/>
    <cellStyle name="Normal 8 14 6 4" xfId="36691" xr:uid="{00000000-0005-0000-0000-00001A8D0000}"/>
    <cellStyle name="Normal 8 14 6 5" xfId="36692" xr:uid="{00000000-0005-0000-0000-00001B8D0000}"/>
    <cellStyle name="Normal 8 14 6 6" xfId="36693" xr:uid="{00000000-0005-0000-0000-00001C8D0000}"/>
    <cellStyle name="Normal 8 14 7" xfId="36694" xr:uid="{00000000-0005-0000-0000-00001D8D0000}"/>
    <cellStyle name="Normal 8 14 7 2" xfId="36695" xr:uid="{00000000-0005-0000-0000-00001E8D0000}"/>
    <cellStyle name="Normal 8 14 7 3" xfId="36696" xr:uid="{00000000-0005-0000-0000-00001F8D0000}"/>
    <cellStyle name="Normal 8 14 7 4" xfId="36697" xr:uid="{00000000-0005-0000-0000-0000208D0000}"/>
    <cellStyle name="Normal 8 14 7 5" xfId="36698" xr:uid="{00000000-0005-0000-0000-0000218D0000}"/>
    <cellStyle name="Normal 8 14 7 6" xfId="36699" xr:uid="{00000000-0005-0000-0000-0000228D0000}"/>
    <cellStyle name="Normal 8 14 8" xfId="36700" xr:uid="{00000000-0005-0000-0000-0000238D0000}"/>
    <cellStyle name="Normal 8 14 8 2" xfId="36701" xr:uid="{00000000-0005-0000-0000-0000248D0000}"/>
    <cellStyle name="Normal 8 14 8 3" xfId="36702" xr:uid="{00000000-0005-0000-0000-0000258D0000}"/>
    <cellStyle name="Normal 8 14 8 4" xfId="36703" xr:uid="{00000000-0005-0000-0000-0000268D0000}"/>
    <cellStyle name="Normal 8 14 8 5" xfId="36704" xr:uid="{00000000-0005-0000-0000-0000278D0000}"/>
    <cellStyle name="Normal 8 14 8 6" xfId="36705" xr:uid="{00000000-0005-0000-0000-0000288D0000}"/>
    <cellStyle name="Normal 8 14 9" xfId="36706" xr:uid="{00000000-0005-0000-0000-0000298D0000}"/>
    <cellStyle name="Normal 8 15" xfId="36707" xr:uid="{00000000-0005-0000-0000-00002A8D0000}"/>
    <cellStyle name="Normal 8 15 10" xfId="36708" xr:uid="{00000000-0005-0000-0000-00002B8D0000}"/>
    <cellStyle name="Normal 8 15 11" xfId="36709" xr:uid="{00000000-0005-0000-0000-00002C8D0000}"/>
    <cellStyle name="Normal 8 15 12" xfId="36710" xr:uid="{00000000-0005-0000-0000-00002D8D0000}"/>
    <cellStyle name="Normal 8 15 13" xfId="36711" xr:uid="{00000000-0005-0000-0000-00002E8D0000}"/>
    <cellStyle name="Normal 8 15 2" xfId="36712" xr:uid="{00000000-0005-0000-0000-00002F8D0000}"/>
    <cellStyle name="Normal 8 15 2 2" xfId="36713" xr:uid="{00000000-0005-0000-0000-0000308D0000}"/>
    <cellStyle name="Normal 8 15 2 3" xfId="36714" xr:uid="{00000000-0005-0000-0000-0000318D0000}"/>
    <cellStyle name="Normal 8 15 2 4" xfId="36715" xr:uid="{00000000-0005-0000-0000-0000328D0000}"/>
    <cellStyle name="Normal 8 15 2 5" xfId="36716" xr:uid="{00000000-0005-0000-0000-0000338D0000}"/>
    <cellStyle name="Normal 8 15 2 6" xfId="36717" xr:uid="{00000000-0005-0000-0000-0000348D0000}"/>
    <cellStyle name="Normal 8 15 3" xfId="36718" xr:uid="{00000000-0005-0000-0000-0000358D0000}"/>
    <cellStyle name="Normal 8 15 3 2" xfId="36719" xr:uid="{00000000-0005-0000-0000-0000368D0000}"/>
    <cellStyle name="Normal 8 15 3 3" xfId="36720" xr:uid="{00000000-0005-0000-0000-0000378D0000}"/>
    <cellStyle name="Normal 8 15 3 4" xfId="36721" xr:uid="{00000000-0005-0000-0000-0000388D0000}"/>
    <cellStyle name="Normal 8 15 3 5" xfId="36722" xr:uid="{00000000-0005-0000-0000-0000398D0000}"/>
    <cellStyle name="Normal 8 15 3 6" xfId="36723" xr:uid="{00000000-0005-0000-0000-00003A8D0000}"/>
    <cellStyle name="Normal 8 15 4" xfId="36724" xr:uid="{00000000-0005-0000-0000-00003B8D0000}"/>
    <cellStyle name="Normal 8 15 4 2" xfId="36725" xr:uid="{00000000-0005-0000-0000-00003C8D0000}"/>
    <cellStyle name="Normal 8 15 4 3" xfId="36726" xr:uid="{00000000-0005-0000-0000-00003D8D0000}"/>
    <cellStyle name="Normal 8 15 4 4" xfId="36727" xr:uid="{00000000-0005-0000-0000-00003E8D0000}"/>
    <cellStyle name="Normal 8 15 4 5" xfId="36728" xr:uid="{00000000-0005-0000-0000-00003F8D0000}"/>
    <cellStyle name="Normal 8 15 4 6" xfId="36729" xr:uid="{00000000-0005-0000-0000-0000408D0000}"/>
    <cellStyle name="Normal 8 15 5" xfId="36730" xr:uid="{00000000-0005-0000-0000-0000418D0000}"/>
    <cellStyle name="Normal 8 15 5 2" xfId="36731" xr:uid="{00000000-0005-0000-0000-0000428D0000}"/>
    <cellStyle name="Normal 8 15 5 3" xfId="36732" xr:uid="{00000000-0005-0000-0000-0000438D0000}"/>
    <cellStyle name="Normal 8 15 5 4" xfId="36733" xr:uid="{00000000-0005-0000-0000-0000448D0000}"/>
    <cellStyle name="Normal 8 15 5 5" xfId="36734" xr:uid="{00000000-0005-0000-0000-0000458D0000}"/>
    <cellStyle name="Normal 8 15 5 6" xfId="36735" xr:uid="{00000000-0005-0000-0000-0000468D0000}"/>
    <cellStyle name="Normal 8 15 6" xfId="36736" xr:uid="{00000000-0005-0000-0000-0000478D0000}"/>
    <cellStyle name="Normal 8 15 6 2" xfId="36737" xr:uid="{00000000-0005-0000-0000-0000488D0000}"/>
    <cellStyle name="Normal 8 15 6 3" xfId="36738" xr:uid="{00000000-0005-0000-0000-0000498D0000}"/>
    <cellStyle name="Normal 8 15 6 4" xfId="36739" xr:uid="{00000000-0005-0000-0000-00004A8D0000}"/>
    <cellStyle name="Normal 8 15 6 5" xfId="36740" xr:uid="{00000000-0005-0000-0000-00004B8D0000}"/>
    <cellStyle name="Normal 8 15 6 6" xfId="36741" xr:uid="{00000000-0005-0000-0000-00004C8D0000}"/>
    <cellStyle name="Normal 8 15 7" xfId="36742" xr:uid="{00000000-0005-0000-0000-00004D8D0000}"/>
    <cellStyle name="Normal 8 15 7 2" xfId="36743" xr:uid="{00000000-0005-0000-0000-00004E8D0000}"/>
    <cellStyle name="Normal 8 15 7 3" xfId="36744" xr:uid="{00000000-0005-0000-0000-00004F8D0000}"/>
    <cellStyle name="Normal 8 15 7 4" xfId="36745" xr:uid="{00000000-0005-0000-0000-0000508D0000}"/>
    <cellStyle name="Normal 8 15 7 5" xfId="36746" xr:uid="{00000000-0005-0000-0000-0000518D0000}"/>
    <cellStyle name="Normal 8 15 7 6" xfId="36747" xr:uid="{00000000-0005-0000-0000-0000528D0000}"/>
    <cellStyle name="Normal 8 15 8" xfId="36748" xr:uid="{00000000-0005-0000-0000-0000538D0000}"/>
    <cellStyle name="Normal 8 15 8 2" xfId="36749" xr:uid="{00000000-0005-0000-0000-0000548D0000}"/>
    <cellStyle name="Normal 8 15 8 3" xfId="36750" xr:uid="{00000000-0005-0000-0000-0000558D0000}"/>
    <cellStyle name="Normal 8 15 8 4" xfId="36751" xr:uid="{00000000-0005-0000-0000-0000568D0000}"/>
    <cellStyle name="Normal 8 15 8 5" xfId="36752" xr:uid="{00000000-0005-0000-0000-0000578D0000}"/>
    <cellStyle name="Normal 8 15 8 6" xfId="36753" xr:uid="{00000000-0005-0000-0000-0000588D0000}"/>
    <cellStyle name="Normal 8 15 9" xfId="36754" xr:uid="{00000000-0005-0000-0000-0000598D0000}"/>
    <cellStyle name="Normal 8 16" xfId="36755" xr:uid="{00000000-0005-0000-0000-00005A8D0000}"/>
    <cellStyle name="Normal 8 16 10" xfId="36756" xr:uid="{00000000-0005-0000-0000-00005B8D0000}"/>
    <cellStyle name="Normal 8 16 11" xfId="36757" xr:uid="{00000000-0005-0000-0000-00005C8D0000}"/>
    <cellStyle name="Normal 8 16 12" xfId="36758" xr:uid="{00000000-0005-0000-0000-00005D8D0000}"/>
    <cellStyle name="Normal 8 16 13" xfId="36759" xr:uid="{00000000-0005-0000-0000-00005E8D0000}"/>
    <cellStyle name="Normal 8 16 2" xfId="36760" xr:uid="{00000000-0005-0000-0000-00005F8D0000}"/>
    <cellStyle name="Normal 8 16 2 2" xfId="36761" xr:uid="{00000000-0005-0000-0000-0000608D0000}"/>
    <cellStyle name="Normal 8 16 2 3" xfId="36762" xr:uid="{00000000-0005-0000-0000-0000618D0000}"/>
    <cellStyle name="Normal 8 16 2 4" xfId="36763" xr:uid="{00000000-0005-0000-0000-0000628D0000}"/>
    <cellStyle name="Normal 8 16 2 5" xfId="36764" xr:uid="{00000000-0005-0000-0000-0000638D0000}"/>
    <cellStyle name="Normal 8 16 2 6" xfId="36765" xr:uid="{00000000-0005-0000-0000-0000648D0000}"/>
    <cellStyle name="Normal 8 16 3" xfId="36766" xr:uid="{00000000-0005-0000-0000-0000658D0000}"/>
    <cellStyle name="Normal 8 16 3 2" xfId="36767" xr:uid="{00000000-0005-0000-0000-0000668D0000}"/>
    <cellStyle name="Normal 8 16 3 3" xfId="36768" xr:uid="{00000000-0005-0000-0000-0000678D0000}"/>
    <cellStyle name="Normal 8 16 3 4" xfId="36769" xr:uid="{00000000-0005-0000-0000-0000688D0000}"/>
    <cellStyle name="Normal 8 16 3 5" xfId="36770" xr:uid="{00000000-0005-0000-0000-0000698D0000}"/>
    <cellStyle name="Normal 8 16 3 6" xfId="36771" xr:uid="{00000000-0005-0000-0000-00006A8D0000}"/>
    <cellStyle name="Normal 8 16 4" xfId="36772" xr:uid="{00000000-0005-0000-0000-00006B8D0000}"/>
    <cellStyle name="Normal 8 16 4 2" xfId="36773" xr:uid="{00000000-0005-0000-0000-00006C8D0000}"/>
    <cellStyle name="Normal 8 16 4 3" xfId="36774" xr:uid="{00000000-0005-0000-0000-00006D8D0000}"/>
    <cellStyle name="Normal 8 16 4 4" xfId="36775" xr:uid="{00000000-0005-0000-0000-00006E8D0000}"/>
    <cellStyle name="Normal 8 16 4 5" xfId="36776" xr:uid="{00000000-0005-0000-0000-00006F8D0000}"/>
    <cellStyle name="Normal 8 16 4 6" xfId="36777" xr:uid="{00000000-0005-0000-0000-0000708D0000}"/>
    <cellStyle name="Normal 8 16 5" xfId="36778" xr:uid="{00000000-0005-0000-0000-0000718D0000}"/>
    <cellStyle name="Normal 8 16 5 2" xfId="36779" xr:uid="{00000000-0005-0000-0000-0000728D0000}"/>
    <cellStyle name="Normal 8 16 5 3" xfId="36780" xr:uid="{00000000-0005-0000-0000-0000738D0000}"/>
    <cellStyle name="Normal 8 16 5 4" xfId="36781" xr:uid="{00000000-0005-0000-0000-0000748D0000}"/>
    <cellStyle name="Normal 8 16 5 5" xfId="36782" xr:uid="{00000000-0005-0000-0000-0000758D0000}"/>
    <cellStyle name="Normal 8 16 5 6" xfId="36783" xr:uid="{00000000-0005-0000-0000-0000768D0000}"/>
    <cellStyle name="Normal 8 16 6" xfId="36784" xr:uid="{00000000-0005-0000-0000-0000778D0000}"/>
    <cellStyle name="Normal 8 16 6 2" xfId="36785" xr:uid="{00000000-0005-0000-0000-0000788D0000}"/>
    <cellStyle name="Normal 8 16 6 3" xfId="36786" xr:uid="{00000000-0005-0000-0000-0000798D0000}"/>
    <cellStyle name="Normal 8 16 6 4" xfId="36787" xr:uid="{00000000-0005-0000-0000-00007A8D0000}"/>
    <cellStyle name="Normal 8 16 6 5" xfId="36788" xr:uid="{00000000-0005-0000-0000-00007B8D0000}"/>
    <cellStyle name="Normal 8 16 6 6" xfId="36789" xr:uid="{00000000-0005-0000-0000-00007C8D0000}"/>
    <cellStyle name="Normal 8 16 7" xfId="36790" xr:uid="{00000000-0005-0000-0000-00007D8D0000}"/>
    <cellStyle name="Normal 8 16 7 2" xfId="36791" xr:uid="{00000000-0005-0000-0000-00007E8D0000}"/>
    <cellStyle name="Normal 8 16 7 3" xfId="36792" xr:uid="{00000000-0005-0000-0000-00007F8D0000}"/>
    <cellStyle name="Normal 8 16 7 4" xfId="36793" xr:uid="{00000000-0005-0000-0000-0000808D0000}"/>
    <cellStyle name="Normal 8 16 7 5" xfId="36794" xr:uid="{00000000-0005-0000-0000-0000818D0000}"/>
    <cellStyle name="Normal 8 16 7 6" xfId="36795" xr:uid="{00000000-0005-0000-0000-0000828D0000}"/>
    <cellStyle name="Normal 8 16 8" xfId="36796" xr:uid="{00000000-0005-0000-0000-0000838D0000}"/>
    <cellStyle name="Normal 8 16 8 2" xfId="36797" xr:uid="{00000000-0005-0000-0000-0000848D0000}"/>
    <cellStyle name="Normal 8 16 8 3" xfId="36798" xr:uid="{00000000-0005-0000-0000-0000858D0000}"/>
    <cellStyle name="Normal 8 16 8 4" xfId="36799" xr:uid="{00000000-0005-0000-0000-0000868D0000}"/>
    <cellStyle name="Normal 8 16 8 5" xfId="36800" xr:uid="{00000000-0005-0000-0000-0000878D0000}"/>
    <cellStyle name="Normal 8 16 8 6" xfId="36801" xr:uid="{00000000-0005-0000-0000-0000888D0000}"/>
    <cellStyle name="Normal 8 16 9" xfId="36802" xr:uid="{00000000-0005-0000-0000-0000898D0000}"/>
    <cellStyle name="Normal 8 17" xfId="36803" xr:uid="{00000000-0005-0000-0000-00008A8D0000}"/>
    <cellStyle name="Normal 8 17 10" xfId="36804" xr:uid="{00000000-0005-0000-0000-00008B8D0000}"/>
    <cellStyle name="Normal 8 17 11" xfId="36805" xr:uid="{00000000-0005-0000-0000-00008C8D0000}"/>
    <cellStyle name="Normal 8 17 12" xfId="36806" xr:uid="{00000000-0005-0000-0000-00008D8D0000}"/>
    <cellStyle name="Normal 8 17 13" xfId="36807" xr:uid="{00000000-0005-0000-0000-00008E8D0000}"/>
    <cellStyle name="Normal 8 17 2" xfId="36808" xr:uid="{00000000-0005-0000-0000-00008F8D0000}"/>
    <cellStyle name="Normal 8 17 2 2" xfId="36809" xr:uid="{00000000-0005-0000-0000-0000908D0000}"/>
    <cellStyle name="Normal 8 17 2 3" xfId="36810" xr:uid="{00000000-0005-0000-0000-0000918D0000}"/>
    <cellStyle name="Normal 8 17 2 4" xfId="36811" xr:uid="{00000000-0005-0000-0000-0000928D0000}"/>
    <cellStyle name="Normal 8 17 2 5" xfId="36812" xr:uid="{00000000-0005-0000-0000-0000938D0000}"/>
    <cellStyle name="Normal 8 17 2 6" xfId="36813" xr:uid="{00000000-0005-0000-0000-0000948D0000}"/>
    <cellStyle name="Normal 8 17 3" xfId="36814" xr:uid="{00000000-0005-0000-0000-0000958D0000}"/>
    <cellStyle name="Normal 8 17 3 2" xfId="36815" xr:uid="{00000000-0005-0000-0000-0000968D0000}"/>
    <cellStyle name="Normal 8 17 3 3" xfId="36816" xr:uid="{00000000-0005-0000-0000-0000978D0000}"/>
    <cellStyle name="Normal 8 17 3 4" xfId="36817" xr:uid="{00000000-0005-0000-0000-0000988D0000}"/>
    <cellStyle name="Normal 8 17 3 5" xfId="36818" xr:uid="{00000000-0005-0000-0000-0000998D0000}"/>
    <cellStyle name="Normal 8 17 3 6" xfId="36819" xr:uid="{00000000-0005-0000-0000-00009A8D0000}"/>
    <cellStyle name="Normal 8 17 4" xfId="36820" xr:uid="{00000000-0005-0000-0000-00009B8D0000}"/>
    <cellStyle name="Normal 8 17 4 2" xfId="36821" xr:uid="{00000000-0005-0000-0000-00009C8D0000}"/>
    <cellStyle name="Normal 8 17 4 3" xfId="36822" xr:uid="{00000000-0005-0000-0000-00009D8D0000}"/>
    <cellStyle name="Normal 8 17 4 4" xfId="36823" xr:uid="{00000000-0005-0000-0000-00009E8D0000}"/>
    <cellStyle name="Normal 8 17 4 5" xfId="36824" xr:uid="{00000000-0005-0000-0000-00009F8D0000}"/>
    <cellStyle name="Normal 8 17 4 6" xfId="36825" xr:uid="{00000000-0005-0000-0000-0000A08D0000}"/>
    <cellStyle name="Normal 8 17 5" xfId="36826" xr:uid="{00000000-0005-0000-0000-0000A18D0000}"/>
    <cellStyle name="Normal 8 17 5 2" xfId="36827" xr:uid="{00000000-0005-0000-0000-0000A28D0000}"/>
    <cellStyle name="Normal 8 17 5 3" xfId="36828" xr:uid="{00000000-0005-0000-0000-0000A38D0000}"/>
    <cellStyle name="Normal 8 17 5 4" xfId="36829" xr:uid="{00000000-0005-0000-0000-0000A48D0000}"/>
    <cellStyle name="Normal 8 17 5 5" xfId="36830" xr:uid="{00000000-0005-0000-0000-0000A58D0000}"/>
    <cellStyle name="Normal 8 17 5 6" xfId="36831" xr:uid="{00000000-0005-0000-0000-0000A68D0000}"/>
    <cellStyle name="Normal 8 17 6" xfId="36832" xr:uid="{00000000-0005-0000-0000-0000A78D0000}"/>
    <cellStyle name="Normal 8 17 6 2" xfId="36833" xr:uid="{00000000-0005-0000-0000-0000A88D0000}"/>
    <cellStyle name="Normal 8 17 6 3" xfId="36834" xr:uid="{00000000-0005-0000-0000-0000A98D0000}"/>
    <cellStyle name="Normal 8 17 6 4" xfId="36835" xr:uid="{00000000-0005-0000-0000-0000AA8D0000}"/>
    <cellStyle name="Normal 8 17 6 5" xfId="36836" xr:uid="{00000000-0005-0000-0000-0000AB8D0000}"/>
    <cellStyle name="Normal 8 17 6 6" xfId="36837" xr:uid="{00000000-0005-0000-0000-0000AC8D0000}"/>
    <cellStyle name="Normal 8 17 7" xfId="36838" xr:uid="{00000000-0005-0000-0000-0000AD8D0000}"/>
    <cellStyle name="Normal 8 17 7 2" xfId="36839" xr:uid="{00000000-0005-0000-0000-0000AE8D0000}"/>
    <cellStyle name="Normal 8 17 7 3" xfId="36840" xr:uid="{00000000-0005-0000-0000-0000AF8D0000}"/>
    <cellStyle name="Normal 8 17 7 4" xfId="36841" xr:uid="{00000000-0005-0000-0000-0000B08D0000}"/>
    <cellStyle name="Normal 8 17 7 5" xfId="36842" xr:uid="{00000000-0005-0000-0000-0000B18D0000}"/>
    <cellStyle name="Normal 8 17 7 6" xfId="36843" xr:uid="{00000000-0005-0000-0000-0000B28D0000}"/>
    <cellStyle name="Normal 8 17 8" xfId="36844" xr:uid="{00000000-0005-0000-0000-0000B38D0000}"/>
    <cellStyle name="Normal 8 17 8 2" xfId="36845" xr:uid="{00000000-0005-0000-0000-0000B48D0000}"/>
    <cellStyle name="Normal 8 17 8 3" xfId="36846" xr:uid="{00000000-0005-0000-0000-0000B58D0000}"/>
    <cellStyle name="Normal 8 17 8 4" xfId="36847" xr:uid="{00000000-0005-0000-0000-0000B68D0000}"/>
    <cellStyle name="Normal 8 17 8 5" xfId="36848" xr:uid="{00000000-0005-0000-0000-0000B78D0000}"/>
    <cellStyle name="Normal 8 17 8 6" xfId="36849" xr:uid="{00000000-0005-0000-0000-0000B88D0000}"/>
    <cellStyle name="Normal 8 17 9" xfId="36850" xr:uid="{00000000-0005-0000-0000-0000B98D0000}"/>
    <cellStyle name="Normal 8 18" xfId="36851" xr:uid="{00000000-0005-0000-0000-0000BA8D0000}"/>
    <cellStyle name="Normal 8 18 10" xfId="36852" xr:uid="{00000000-0005-0000-0000-0000BB8D0000}"/>
    <cellStyle name="Normal 8 18 11" xfId="36853" xr:uid="{00000000-0005-0000-0000-0000BC8D0000}"/>
    <cellStyle name="Normal 8 18 12" xfId="36854" xr:uid="{00000000-0005-0000-0000-0000BD8D0000}"/>
    <cellStyle name="Normal 8 18 13" xfId="36855" xr:uid="{00000000-0005-0000-0000-0000BE8D0000}"/>
    <cellStyle name="Normal 8 18 2" xfId="36856" xr:uid="{00000000-0005-0000-0000-0000BF8D0000}"/>
    <cellStyle name="Normal 8 18 2 2" xfId="36857" xr:uid="{00000000-0005-0000-0000-0000C08D0000}"/>
    <cellStyle name="Normal 8 18 2 3" xfId="36858" xr:uid="{00000000-0005-0000-0000-0000C18D0000}"/>
    <cellStyle name="Normal 8 18 2 4" xfId="36859" xr:uid="{00000000-0005-0000-0000-0000C28D0000}"/>
    <cellStyle name="Normal 8 18 2 5" xfId="36860" xr:uid="{00000000-0005-0000-0000-0000C38D0000}"/>
    <cellStyle name="Normal 8 18 2 6" xfId="36861" xr:uid="{00000000-0005-0000-0000-0000C48D0000}"/>
    <cellStyle name="Normal 8 18 3" xfId="36862" xr:uid="{00000000-0005-0000-0000-0000C58D0000}"/>
    <cellStyle name="Normal 8 18 3 2" xfId="36863" xr:uid="{00000000-0005-0000-0000-0000C68D0000}"/>
    <cellStyle name="Normal 8 18 3 3" xfId="36864" xr:uid="{00000000-0005-0000-0000-0000C78D0000}"/>
    <cellStyle name="Normal 8 18 3 4" xfId="36865" xr:uid="{00000000-0005-0000-0000-0000C88D0000}"/>
    <cellStyle name="Normal 8 18 3 5" xfId="36866" xr:uid="{00000000-0005-0000-0000-0000C98D0000}"/>
    <cellStyle name="Normal 8 18 3 6" xfId="36867" xr:uid="{00000000-0005-0000-0000-0000CA8D0000}"/>
    <cellStyle name="Normal 8 18 4" xfId="36868" xr:uid="{00000000-0005-0000-0000-0000CB8D0000}"/>
    <cellStyle name="Normal 8 18 4 2" xfId="36869" xr:uid="{00000000-0005-0000-0000-0000CC8D0000}"/>
    <cellStyle name="Normal 8 18 4 3" xfId="36870" xr:uid="{00000000-0005-0000-0000-0000CD8D0000}"/>
    <cellStyle name="Normal 8 18 4 4" xfId="36871" xr:uid="{00000000-0005-0000-0000-0000CE8D0000}"/>
    <cellStyle name="Normal 8 18 4 5" xfId="36872" xr:uid="{00000000-0005-0000-0000-0000CF8D0000}"/>
    <cellStyle name="Normal 8 18 4 6" xfId="36873" xr:uid="{00000000-0005-0000-0000-0000D08D0000}"/>
    <cellStyle name="Normal 8 18 5" xfId="36874" xr:uid="{00000000-0005-0000-0000-0000D18D0000}"/>
    <cellStyle name="Normal 8 18 5 2" xfId="36875" xr:uid="{00000000-0005-0000-0000-0000D28D0000}"/>
    <cellStyle name="Normal 8 18 5 3" xfId="36876" xr:uid="{00000000-0005-0000-0000-0000D38D0000}"/>
    <cellStyle name="Normal 8 18 5 4" xfId="36877" xr:uid="{00000000-0005-0000-0000-0000D48D0000}"/>
    <cellStyle name="Normal 8 18 5 5" xfId="36878" xr:uid="{00000000-0005-0000-0000-0000D58D0000}"/>
    <cellStyle name="Normal 8 18 5 6" xfId="36879" xr:uid="{00000000-0005-0000-0000-0000D68D0000}"/>
    <cellStyle name="Normal 8 18 6" xfId="36880" xr:uid="{00000000-0005-0000-0000-0000D78D0000}"/>
    <cellStyle name="Normal 8 18 6 2" xfId="36881" xr:uid="{00000000-0005-0000-0000-0000D88D0000}"/>
    <cellStyle name="Normal 8 18 6 3" xfId="36882" xr:uid="{00000000-0005-0000-0000-0000D98D0000}"/>
    <cellStyle name="Normal 8 18 6 4" xfId="36883" xr:uid="{00000000-0005-0000-0000-0000DA8D0000}"/>
    <cellStyle name="Normal 8 18 6 5" xfId="36884" xr:uid="{00000000-0005-0000-0000-0000DB8D0000}"/>
    <cellStyle name="Normal 8 18 6 6" xfId="36885" xr:uid="{00000000-0005-0000-0000-0000DC8D0000}"/>
    <cellStyle name="Normal 8 18 7" xfId="36886" xr:uid="{00000000-0005-0000-0000-0000DD8D0000}"/>
    <cellStyle name="Normal 8 18 7 2" xfId="36887" xr:uid="{00000000-0005-0000-0000-0000DE8D0000}"/>
    <cellStyle name="Normal 8 18 7 3" xfId="36888" xr:uid="{00000000-0005-0000-0000-0000DF8D0000}"/>
    <cellStyle name="Normal 8 18 7 4" xfId="36889" xr:uid="{00000000-0005-0000-0000-0000E08D0000}"/>
    <cellStyle name="Normal 8 18 7 5" xfId="36890" xr:uid="{00000000-0005-0000-0000-0000E18D0000}"/>
    <cellStyle name="Normal 8 18 7 6" xfId="36891" xr:uid="{00000000-0005-0000-0000-0000E28D0000}"/>
    <cellStyle name="Normal 8 18 8" xfId="36892" xr:uid="{00000000-0005-0000-0000-0000E38D0000}"/>
    <cellStyle name="Normal 8 18 8 2" xfId="36893" xr:uid="{00000000-0005-0000-0000-0000E48D0000}"/>
    <cellStyle name="Normal 8 18 8 3" xfId="36894" xr:uid="{00000000-0005-0000-0000-0000E58D0000}"/>
    <cellStyle name="Normal 8 18 8 4" xfId="36895" xr:uid="{00000000-0005-0000-0000-0000E68D0000}"/>
    <cellStyle name="Normal 8 18 8 5" xfId="36896" xr:uid="{00000000-0005-0000-0000-0000E78D0000}"/>
    <cellStyle name="Normal 8 18 8 6" xfId="36897" xr:uid="{00000000-0005-0000-0000-0000E88D0000}"/>
    <cellStyle name="Normal 8 18 9" xfId="36898" xr:uid="{00000000-0005-0000-0000-0000E98D0000}"/>
    <cellStyle name="Normal 8 19" xfId="36899" xr:uid="{00000000-0005-0000-0000-0000EA8D0000}"/>
    <cellStyle name="Normal 8 19 10" xfId="36900" xr:uid="{00000000-0005-0000-0000-0000EB8D0000}"/>
    <cellStyle name="Normal 8 19 11" xfId="36901" xr:uid="{00000000-0005-0000-0000-0000EC8D0000}"/>
    <cellStyle name="Normal 8 19 12" xfId="36902" xr:uid="{00000000-0005-0000-0000-0000ED8D0000}"/>
    <cellStyle name="Normal 8 19 13" xfId="36903" xr:uid="{00000000-0005-0000-0000-0000EE8D0000}"/>
    <cellStyle name="Normal 8 19 2" xfId="36904" xr:uid="{00000000-0005-0000-0000-0000EF8D0000}"/>
    <cellStyle name="Normal 8 19 2 2" xfId="36905" xr:uid="{00000000-0005-0000-0000-0000F08D0000}"/>
    <cellStyle name="Normal 8 19 2 3" xfId="36906" xr:uid="{00000000-0005-0000-0000-0000F18D0000}"/>
    <cellStyle name="Normal 8 19 2 4" xfId="36907" xr:uid="{00000000-0005-0000-0000-0000F28D0000}"/>
    <cellStyle name="Normal 8 19 2 5" xfId="36908" xr:uid="{00000000-0005-0000-0000-0000F38D0000}"/>
    <cellStyle name="Normal 8 19 2 6" xfId="36909" xr:uid="{00000000-0005-0000-0000-0000F48D0000}"/>
    <cellStyle name="Normal 8 19 3" xfId="36910" xr:uid="{00000000-0005-0000-0000-0000F58D0000}"/>
    <cellStyle name="Normal 8 19 3 2" xfId="36911" xr:uid="{00000000-0005-0000-0000-0000F68D0000}"/>
    <cellStyle name="Normal 8 19 3 3" xfId="36912" xr:uid="{00000000-0005-0000-0000-0000F78D0000}"/>
    <cellStyle name="Normal 8 19 3 4" xfId="36913" xr:uid="{00000000-0005-0000-0000-0000F88D0000}"/>
    <cellStyle name="Normal 8 19 3 5" xfId="36914" xr:uid="{00000000-0005-0000-0000-0000F98D0000}"/>
    <cellStyle name="Normal 8 19 3 6" xfId="36915" xr:uid="{00000000-0005-0000-0000-0000FA8D0000}"/>
    <cellStyle name="Normal 8 19 4" xfId="36916" xr:uid="{00000000-0005-0000-0000-0000FB8D0000}"/>
    <cellStyle name="Normal 8 19 4 2" xfId="36917" xr:uid="{00000000-0005-0000-0000-0000FC8D0000}"/>
    <cellStyle name="Normal 8 19 4 3" xfId="36918" xr:uid="{00000000-0005-0000-0000-0000FD8D0000}"/>
    <cellStyle name="Normal 8 19 4 4" xfId="36919" xr:uid="{00000000-0005-0000-0000-0000FE8D0000}"/>
    <cellStyle name="Normal 8 19 4 5" xfId="36920" xr:uid="{00000000-0005-0000-0000-0000FF8D0000}"/>
    <cellStyle name="Normal 8 19 4 6" xfId="36921" xr:uid="{00000000-0005-0000-0000-0000008E0000}"/>
    <cellStyle name="Normal 8 19 5" xfId="36922" xr:uid="{00000000-0005-0000-0000-0000018E0000}"/>
    <cellStyle name="Normal 8 19 5 2" xfId="36923" xr:uid="{00000000-0005-0000-0000-0000028E0000}"/>
    <cellStyle name="Normal 8 19 5 3" xfId="36924" xr:uid="{00000000-0005-0000-0000-0000038E0000}"/>
    <cellStyle name="Normal 8 19 5 4" xfId="36925" xr:uid="{00000000-0005-0000-0000-0000048E0000}"/>
    <cellStyle name="Normal 8 19 5 5" xfId="36926" xr:uid="{00000000-0005-0000-0000-0000058E0000}"/>
    <cellStyle name="Normal 8 19 5 6" xfId="36927" xr:uid="{00000000-0005-0000-0000-0000068E0000}"/>
    <cellStyle name="Normal 8 19 6" xfId="36928" xr:uid="{00000000-0005-0000-0000-0000078E0000}"/>
    <cellStyle name="Normal 8 19 6 2" xfId="36929" xr:uid="{00000000-0005-0000-0000-0000088E0000}"/>
    <cellStyle name="Normal 8 19 6 3" xfId="36930" xr:uid="{00000000-0005-0000-0000-0000098E0000}"/>
    <cellStyle name="Normal 8 19 6 4" xfId="36931" xr:uid="{00000000-0005-0000-0000-00000A8E0000}"/>
    <cellStyle name="Normal 8 19 6 5" xfId="36932" xr:uid="{00000000-0005-0000-0000-00000B8E0000}"/>
    <cellStyle name="Normal 8 19 6 6" xfId="36933" xr:uid="{00000000-0005-0000-0000-00000C8E0000}"/>
    <cellStyle name="Normal 8 19 7" xfId="36934" xr:uid="{00000000-0005-0000-0000-00000D8E0000}"/>
    <cellStyle name="Normal 8 19 7 2" xfId="36935" xr:uid="{00000000-0005-0000-0000-00000E8E0000}"/>
    <cellStyle name="Normal 8 19 7 3" xfId="36936" xr:uid="{00000000-0005-0000-0000-00000F8E0000}"/>
    <cellStyle name="Normal 8 19 7 4" xfId="36937" xr:uid="{00000000-0005-0000-0000-0000108E0000}"/>
    <cellStyle name="Normal 8 19 7 5" xfId="36938" xr:uid="{00000000-0005-0000-0000-0000118E0000}"/>
    <cellStyle name="Normal 8 19 7 6" xfId="36939" xr:uid="{00000000-0005-0000-0000-0000128E0000}"/>
    <cellStyle name="Normal 8 19 8" xfId="36940" xr:uid="{00000000-0005-0000-0000-0000138E0000}"/>
    <cellStyle name="Normal 8 19 8 2" xfId="36941" xr:uid="{00000000-0005-0000-0000-0000148E0000}"/>
    <cellStyle name="Normal 8 19 8 3" xfId="36942" xr:uid="{00000000-0005-0000-0000-0000158E0000}"/>
    <cellStyle name="Normal 8 19 8 4" xfId="36943" xr:uid="{00000000-0005-0000-0000-0000168E0000}"/>
    <cellStyle name="Normal 8 19 8 5" xfId="36944" xr:uid="{00000000-0005-0000-0000-0000178E0000}"/>
    <cellStyle name="Normal 8 19 8 6" xfId="36945" xr:uid="{00000000-0005-0000-0000-0000188E0000}"/>
    <cellStyle name="Normal 8 19 9" xfId="36946" xr:uid="{00000000-0005-0000-0000-0000198E0000}"/>
    <cellStyle name="Normal 8 2" xfId="1077" xr:uid="{00000000-0005-0000-0000-00001A8E0000}"/>
    <cellStyle name="Normal 8 2 10" xfId="36947" xr:uid="{00000000-0005-0000-0000-00001B8E0000}"/>
    <cellStyle name="Normal 8 2 11" xfId="36948" xr:uid="{00000000-0005-0000-0000-00001C8E0000}"/>
    <cellStyle name="Normal 8 2 12" xfId="36949" xr:uid="{00000000-0005-0000-0000-00001D8E0000}"/>
    <cellStyle name="Normal 8 2 13" xfId="36950" xr:uid="{00000000-0005-0000-0000-00001E8E0000}"/>
    <cellStyle name="Normal 8 2 14" xfId="36951" xr:uid="{00000000-0005-0000-0000-00001F8E0000}"/>
    <cellStyle name="Normal 8 2 15" xfId="43452" xr:uid="{242B5A7F-1D97-48DC-8505-6BFD836B02A8}"/>
    <cellStyle name="Normal 8 2 2" xfId="36952" xr:uid="{00000000-0005-0000-0000-0000208E0000}"/>
    <cellStyle name="Normal 8 2 2 2" xfId="36953" xr:uid="{00000000-0005-0000-0000-0000218E0000}"/>
    <cellStyle name="Normal 8 2 2 2 2" xfId="43568" xr:uid="{1C1F2E85-DD0D-49A7-A5C0-87EF0CC60216}"/>
    <cellStyle name="Normal 8 2 2 2 2 2" xfId="43751" xr:uid="{A50AE767-A725-46B6-8735-050044253BA1}"/>
    <cellStyle name="Normal 8 2 2 2 2 3" xfId="43934" xr:uid="{00523D89-F8E0-45C2-BCA5-9C215DA29371}"/>
    <cellStyle name="Normal 8 2 2 2 3" xfId="43684" xr:uid="{DBCD7F7A-A69E-48C4-AA7E-559AAAAA4E24}"/>
    <cellStyle name="Normal 8 2 2 2 4" xfId="43867" xr:uid="{A2FCD6D0-D363-4478-8E7D-794E54C8D825}"/>
    <cellStyle name="Normal 8 2 2 2 5" xfId="43501" xr:uid="{68EA986A-13F8-4B05-BB40-C6FF48E29CB2}"/>
    <cellStyle name="Normal 8 2 2 3" xfId="36954" xr:uid="{00000000-0005-0000-0000-0000228E0000}"/>
    <cellStyle name="Normal 8 2 2 3 2" xfId="43723" xr:uid="{B83E2168-DE97-4E9A-9A2F-1338E92A1ABC}"/>
    <cellStyle name="Normal 8 2 2 3 3" xfId="43906" xr:uid="{F629C7B5-302D-4877-8FB8-4AC3A83A360F}"/>
    <cellStyle name="Normal 8 2 2 3 4" xfId="43540" xr:uid="{775FD73A-F9E7-406D-8229-D1A9FF52BDC3}"/>
    <cellStyle name="Normal 8 2 2 4" xfId="36955" xr:uid="{00000000-0005-0000-0000-0000238E0000}"/>
    <cellStyle name="Normal 8 2 2 4 2" xfId="43785" xr:uid="{A3DD7748-6998-48F5-BB13-66CA206E078C}"/>
    <cellStyle name="Normal 8 2 2 4 3" xfId="43968" xr:uid="{44091DCC-D690-48CC-8449-DF9754D2E67D}"/>
    <cellStyle name="Normal 8 2 2 4 4" xfId="43602" xr:uid="{9C3733C2-91DB-469B-BFBE-11E6BF06DFFF}"/>
    <cellStyle name="Normal 8 2 2 5" xfId="36956" xr:uid="{00000000-0005-0000-0000-0000248E0000}"/>
    <cellStyle name="Normal 8 2 2 5 2" xfId="43661" xr:uid="{48E9543A-EF7B-4DF6-AC8F-EA3C99F9BAAB}"/>
    <cellStyle name="Normal 8 2 2 6" xfId="36957" xr:uid="{00000000-0005-0000-0000-0000258E0000}"/>
    <cellStyle name="Normal 8 2 2 6 2" xfId="43844" xr:uid="{BB98C302-8AB1-482E-9E92-2B8B8A5E7CCC}"/>
    <cellStyle name="Normal 8 2 2 7" xfId="43473" xr:uid="{2E43AD5B-5BA5-42AE-8479-D5516636C2F0}"/>
    <cellStyle name="Normal 8 2 3" xfId="36958" xr:uid="{00000000-0005-0000-0000-0000268E0000}"/>
    <cellStyle name="Normal 8 2 3 2" xfId="36959" xr:uid="{00000000-0005-0000-0000-0000278E0000}"/>
    <cellStyle name="Normal 8 2 3 2 2" xfId="43740" xr:uid="{C7F4EE37-8ED3-413A-966A-1EEDCCA5F5E8}"/>
    <cellStyle name="Normal 8 2 3 2 3" xfId="43923" xr:uid="{570A21CA-6C5F-48B8-8B7E-CA504D6AFAD0}"/>
    <cellStyle name="Normal 8 2 3 2 4" xfId="43557" xr:uid="{F63DD141-F099-4DF0-8FAB-60476A1AFDC0}"/>
    <cellStyle name="Normal 8 2 3 3" xfId="36960" xr:uid="{00000000-0005-0000-0000-0000288E0000}"/>
    <cellStyle name="Normal 8 2 3 3 2" xfId="43673" xr:uid="{752F91CE-A947-4A74-AB63-B4631CC93157}"/>
    <cellStyle name="Normal 8 2 3 4" xfId="36961" xr:uid="{00000000-0005-0000-0000-0000298E0000}"/>
    <cellStyle name="Normal 8 2 3 4 2" xfId="43856" xr:uid="{B4C2A461-AD39-4C09-BBE3-2E85BA745031}"/>
    <cellStyle name="Normal 8 2 3 5" xfId="36962" xr:uid="{00000000-0005-0000-0000-00002A8E0000}"/>
    <cellStyle name="Normal 8 2 3 6" xfId="36963" xr:uid="{00000000-0005-0000-0000-00002B8E0000}"/>
    <cellStyle name="Normal 8 2 3 7" xfId="43490" xr:uid="{82E7A1CD-7A22-4AB6-A3A0-74968ACCDA05}"/>
    <cellStyle name="Normal 8 2 4" xfId="36964" xr:uid="{00000000-0005-0000-0000-00002C8E0000}"/>
    <cellStyle name="Normal 8 2 4 2" xfId="36965" xr:uid="{00000000-0005-0000-0000-00002D8E0000}"/>
    <cellStyle name="Normal 8 2 4 2 2" xfId="43762" xr:uid="{30DCB60F-5E0E-45E8-BA83-54D959401509}"/>
    <cellStyle name="Normal 8 2 4 2 3" xfId="43945" xr:uid="{69919A23-EF67-430A-A550-A0DFA9450B4F}"/>
    <cellStyle name="Normal 8 2 4 2 4" xfId="43579" xr:uid="{5710983B-56EA-4C0E-876A-FB3957AF6524}"/>
    <cellStyle name="Normal 8 2 4 3" xfId="36966" xr:uid="{00000000-0005-0000-0000-00002E8E0000}"/>
    <cellStyle name="Normal 8 2 4 3 2" xfId="43695" xr:uid="{B00A40D2-EE17-4351-8D58-79BEA481545F}"/>
    <cellStyle name="Normal 8 2 4 4" xfId="36967" xr:uid="{00000000-0005-0000-0000-00002F8E0000}"/>
    <cellStyle name="Normal 8 2 4 4 2" xfId="43878" xr:uid="{060104A5-7DCE-4F03-95C6-BCA6C12D5167}"/>
    <cellStyle name="Normal 8 2 4 5" xfId="36968" xr:uid="{00000000-0005-0000-0000-0000308E0000}"/>
    <cellStyle name="Normal 8 2 4 6" xfId="36969" xr:uid="{00000000-0005-0000-0000-0000318E0000}"/>
    <cellStyle name="Normal 8 2 4 7" xfId="43512" xr:uid="{758A81BE-FD0B-428D-BD7A-7A15724CBEEC}"/>
    <cellStyle name="Normal 8 2 5" xfId="36970" xr:uid="{00000000-0005-0000-0000-0000328E0000}"/>
    <cellStyle name="Normal 8 2 5 2" xfId="36971" xr:uid="{00000000-0005-0000-0000-0000338E0000}"/>
    <cellStyle name="Normal 8 2 5 2 2" xfId="43705" xr:uid="{5D231618-2C07-4629-8C29-6ACC517DBF6A}"/>
    <cellStyle name="Normal 8 2 5 3" xfId="36972" xr:uid="{00000000-0005-0000-0000-0000348E0000}"/>
    <cellStyle name="Normal 8 2 5 3 2" xfId="43888" xr:uid="{DF5B88F2-9C87-498F-975E-C707DEE5A051}"/>
    <cellStyle name="Normal 8 2 5 4" xfId="36973" xr:uid="{00000000-0005-0000-0000-0000358E0000}"/>
    <cellStyle name="Normal 8 2 5 5" xfId="36974" xr:uid="{00000000-0005-0000-0000-0000368E0000}"/>
    <cellStyle name="Normal 8 2 5 6" xfId="36975" xr:uid="{00000000-0005-0000-0000-0000378E0000}"/>
    <cellStyle name="Normal 8 2 5 7" xfId="43522" xr:uid="{77C2B630-1924-4E9D-A992-01E578F3E5C7}"/>
    <cellStyle name="Normal 8 2 6" xfId="36976" xr:uid="{00000000-0005-0000-0000-0000388E0000}"/>
    <cellStyle name="Normal 8 2 6 2" xfId="36977" xr:uid="{00000000-0005-0000-0000-0000398E0000}"/>
    <cellStyle name="Normal 8 2 6 2 2" xfId="43772" xr:uid="{939436FB-42C6-47FA-A756-FD9111BD9CD3}"/>
    <cellStyle name="Normal 8 2 6 3" xfId="36978" xr:uid="{00000000-0005-0000-0000-00003A8E0000}"/>
    <cellStyle name="Normal 8 2 6 3 2" xfId="43955" xr:uid="{872576E4-9A55-4EA1-90EA-3477A5D83CBD}"/>
    <cellStyle name="Normal 8 2 6 4" xfId="36979" xr:uid="{00000000-0005-0000-0000-00003B8E0000}"/>
    <cellStyle name="Normal 8 2 6 5" xfId="36980" xr:uid="{00000000-0005-0000-0000-00003C8E0000}"/>
    <cellStyle name="Normal 8 2 6 6" xfId="36981" xr:uid="{00000000-0005-0000-0000-00003D8E0000}"/>
    <cellStyle name="Normal 8 2 6 7" xfId="43589" xr:uid="{BF8F972D-9D5F-4EDE-94BF-AC37CBC951A9}"/>
    <cellStyle name="Normal 8 2 7" xfId="36982" xr:uid="{00000000-0005-0000-0000-00003E8E0000}"/>
    <cellStyle name="Normal 8 2 7 2" xfId="36983" xr:uid="{00000000-0005-0000-0000-00003F8E0000}"/>
    <cellStyle name="Normal 8 2 7 3" xfId="36984" xr:uid="{00000000-0005-0000-0000-0000408E0000}"/>
    <cellStyle name="Normal 8 2 7 4" xfId="36985" xr:uid="{00000000-0005-0000-0000-0000418E0000}"/>
    <cellStyle name="Normal 8 2 7 5" xfId="36986" xr:uid="{00000000-0005-0000-0000-0000428E0000}"/>
    <cellStyle name="Normal 8 2 7 6" xfId="36987" xr:uid="{00000000-0005-0000-0000-0000438E0000}"/>
    <cellStyle name="Normal 8 2 7 7" xfId="43648" xr:uid="{6C36EB3B-D39E-4364-BCE2-5832652ABC66}"/>
    <cellStyle name="Normal 8 2 8" xfId="36988" xr:uid="{00000000-0005-0000-0000-0000448E0000}"/>
    <cellStyle name="Normal 8 2 8 2" xfId="36989" xr:uid="{00000000-0005-0000-0000-0000458E0000}"/>
    <cellStyle name="Normal 8 2 8 3" xfId="36990" xr:uid="{00000000-0005-0000-0000-0000468E0000}"/>
    <cellStyle name="Normal 8 2 8 4" xfId="36991" xr:uid="{00000000-0005-0000-0000-0000478E0000}"/>
    <cellStyle name="Normal 8 2 8 5" xfId="36992" xr:uid="{00000000-0005-0000-0000-0000488E0000}"/>
    <cellStyle name="Normal 8 2 8 6" xfId="36993" xr:uid="{00000000-0005-0000-0000-0000498E0000}"/>
    <cellStyle name="Normal 8 2 8 7" xfId="43831" xr:uid="{A34D53C9-6F50-4E21-BF92-ABD8980F6054}"/>
    <cellStyle name="Normal 8 2 9" xfId="36994" xr:uid="{00000000-0005-0000-0000-00004A8E0000}"/>
    <cellStyle name="Normal 8 20" xfId="36995" xr:uid="{00000000-0005-0000-0000-00004B8E0000}"/>
    <cellStyle name="Normal 8 20 10" xfId="36996" xr:uid="{00000000-0005-0000-0000-00004C8E0000}"/>
    <cellStyle name="Normal 8 20 11" xfId="36997" xr:uid="{00000000-0005-0000-0000-00004D8E0000}"/>
    <cellStyle name="Normal 8 20 12" xfId="36998" xr:uid="{00000000-0005-0000-0000-00004E8E0000}"/>
    <cellStyle name="Normal 8 20 13" xfId="36999" xr:uid="{00000000-0005-0000-0000-00004F8E0000}"/>
    <cellStyle name="Normal 8 20 2" xfId="37000" xr:uid="{00000000-0005-0000-0000-0000508E0000}"/>
    <cellStyle name="Normal 8 20 2 2" xfId="37001" xr:uid="{00000000-0005-0000-0000-0000518E0000}"/>
    <cellStyle name="Normal 8 20 2 3" xfId="37002" xr:uid="{00000000-0005-0000-0000-0000528E0000}"/>
    <cellStyle name="Normal 8 20 2 4" xfId="37003" xr:uid="{00000000-0005-0000-0000-0000538E0000}"/>
    <cellStyle name="Normal 8 20 2 5" xfId="37004" xr:uid="{00000000-0005-0000-0000-0000548E0000}"/>
    <cellStyle name="Normal 8 20 2 6" xfId="37005" xr:uid="{00000000-0005-0000-0000-0000558E0000}"/>
    <cellStyle name="Normal 8 20 3" xfId="37006" xr:uid="{00000000-0005-0000-0000-0000568E0000}"/>
    <cellStyle name="Normal 8 20 3 2" xfId="37007" xr:uid="{00000000-0005-0000-0000-0000578E0000}"/>
    <cellStyle name="Normal 8 20 3 3" xfId="37008" xr:uid="{00000000-0005-0000-0000-0000588E0000}"/>
    <cellStyle name="Normal 8 20 3 4" xfId="37009" xr:uid="{00000000-0005-0000-0000-0000598E0000}"/>
    <cellStyle name="Normal 8 20 3 5" xfId="37010" xr:uid="{00000000-0005-0000-0000-00005A8E0000}"/>
    <cellStyle name="Normal 8 20 3 6" xfId="37011" xr:uid="{00000000-0005-0000-0000-00005B8E0000}"/>
    <cellStyle name="Normal 8 20 4" xfId="37012" xr:uid="{00000000-0005-0000-0000-00005C8E0000}"/>
    <cellStyle name="Normal 8 20 4 2" xfId="37013" xr:uid="{00000000-0005-0000-0000-00005D8E0000}"/>
    <cellStyle name="Normal 8 20 4 3" xfId="37014" xr:uid="{00000000-0005-0000-0000-00005E8E0000}"/>
    <cellStyle name="Normal 8 20 4 4" xfId="37015" xr:uid="{00000000-0005-0000-0000-00005F8E0000}"/>
    <cellStyle name="Normal 8 20 4 5" xfId="37016" xr:uid="{00000000-0005-0000-0000-0000608E0000}"/>
    <cellStyle name="Normal 8 20 4 6" xfId="37017" xr:uid="{00000000-0005-0000-0000-0000618E0000}"/>
    <cellStyle name="Normal 8 20 5" xfId="37018" xr:uid="{00000000-0005-0000-0000-0000628E0000}"/>
    <cellStyle name="Normal 8 20 5 2" xfId="37019" xr:uid="{00000000-0005-0000-0000-0000638E0000}"/>
    <cellStyle name="Normal 8 20 5 3" xfId="37020" xr:uid="{00000000-0005-0000-0000-0000648E0000}"/>
    <cellStyle name="Normal 8 20 5 4" xfId="37021" xr:uid="{00000000-0005-0000-0000-0000658E0000}"/>
    <cellStyle name="Normal 8 20 5 5" xfId="37022" xr:uid="{00000000-0005-0000-0000-0000668E0000}"/>
    <cellStyle name="Normal 8 20 5 6" xfId="37023" xr:uid="{00000000-0005-0000-0000-0000678E0000}"/>
    <cellStyle name="Normal 8 20 6" xfId="37024" xr:uid="{00000000-0005-0000-0000-0000688E0000}"/>
    <cellStyle name="Normal 8 20 6 2" xfId="37025" xr:uid="{00000000-0005-0000-0000-0000698E0000}"/>
    <cellStyle name="Normal 8 20 6 3" xfId="37026" xr:uid="{00000000-0005-0000-0000-00006A8E0000}"/>
    <cellStyle name="Normal 8 20 6 4" xfId="37027" xr:uid="{00000000-0005-0000-0000-00006B8E0000}"/>
    <cellStyle name="Normal 8 20 6 5" xfId="37028" xr:uid="{00000000-0005-0000-0000-00006C8E0000}"/>
    <cellStyle name="Normal 8 20 6 6" xfId="37029" xr:uid="{00000000-0005-0000-0000-00006D8E0000}"/>
    <cellStyle name="Normal 8 20 7" xfId="37030" xr:uid="{00000000-0005-0000-0000-00006E8E0000}"/>
    <cellStyle name="Normal 8 20 7 2" xfId="37031" xr:uid="{00000000-0005-0000-0000-00006F8E0000}"/>
    <cellStyle name="Normal 8 20 7 3" xfId="37032" xr:uid="{00000000-0005-0000-0000-0000708E0000}"/>
    <cellStyle name="Normal 8 20 7 4" xfId="37033" xr:uid="{00000000-0005-0000-0000-0000718E0000}"/>
    <cellStyle name="Normal 8 20 7 5" xfId="37034" xr:uid="{00000000-0005-0000-0000-0000728E0000}"/>
    <cellStyle name="Normal 8 20 7 6" xfId="37035" xr:uid="{00000000-0005-0000-0000-0000738E0000}"/>
    <cellStyle name="Normal 8 20 8" xfId="37036" xr:uid="{00000000-0005-0000-0000-0000748E0000}"/>
    <cellStyle name="Normal 8 20 8 2" xfId="37037" xr:uid="{00000000-0005-0000-0000-0000758E0000}"/>
    <cellStyle name="Normal 8 20 8 3" xfId="37038" xr:uid="{00000000-0005-0000-0000-0000768E0000}"/>
    <cellStyle name="Normal 8 20 8 4" xfId="37039" xr:uid="{00000000-0005-0000-0000-0000778E0000}"/>
    <cellStyle name="Normal 8 20 8 5" xfId="37040" xr:uid="{00000000-0005-0000-0000-0000788E0000}"/>
    <cellStyle name="Normal 8 20 8 6" xfId="37041" xr:uid="{00000000-0005-0000-0000-0000798E0000}"/>
    <cellStyle name="Normal 8 20 9" xfId="37042" xr:uid="{00000000-0005-0000-0000-00007A8E0000}"/>
    <cellStyle name="Normal 8 21" xfId="37043" xr:uid="{00000000-0005-0000-0000-00007B8E0000}"/>
    <cellStyle name="Normal 8 21 10" xfId="37044" xr:uid="{00000000-0005-0000-0000-00007C8E0000}"/>
    <cellStyle name="Normal 8 21 11" xfId="37045" xr:uid="{00000000-0005-0000-0000-00007D8E0000}"/>
    <cellStyle name="Normal 8 21 12" xfId="37046" xr:uid="{00000000-0005-0000-0000-00007E8E0000}"/>
    <cellStyle name="Normal 8 21 13" xfId="37047" xr:uid="{00000000-0005-0000-0000-00007F8E0000}"/>
    <cellStyle name="Normal 8 21 2" xfId="37048" xr:uid="{00000000-0005-0000-0000-0000808E0000}"/>
    <cellStyle name="Normal 8 21 2 2" xfId="37049" xr:uid="{00000000-0005-0000-0000-0000818E0000}"/>
    <cellStyle name="Normal 8 21 2 3" xfId="37050" xr:uid="{00000000-0005-0000-0000-0000828E0000}"/>
    <cellStyle name="Normal 8 21 2 4" xfId="37051" xr:uid="{00000000-0005-0000-0000-0000838E0000}"/>
    <cellStyle name="Normal 8 21 2 5" xfId="37052" xr:uid="{00000000-0005-0000-0000-0000848E0000}"/>
    <cellStyle name="Normal 8 21 2 6" xfId="37053" xr:uid="{00000000-0005-0000-0000-0000858E0000}"/>
    <cellStyle name="Normal 8 21 3" xfId="37054" xr:uid="{00000000-0005-0000-0000-0000868E0000}"/>
    <cellStyle name="Normal 8 21 3 2" xfId="37055" xr:uid="{00000000-0005-0000-0000-0000878E0000}"/>
    <cellStyle name="Normal 8 21 3 3" xfId="37056" xr:uid="{00000000-0005-0000-0000-0000888E0000}"/>
    <cellStyle name="Normal 8 21 3 4" xfId="37057" xr:uid="{00000000-0005-0000-0000-0000898E0000}"/>
    <cellStyle name="Normal 8 21 3 5" xfId="37058" xr:uid="{00000000-0005-0000-0000-00008A8E0000}"/>
    <cellStyle name="Normal 8 21 3 6" xfId="37059" xr:uid="{00000000-0005-0000-0000-00008B8E0000}"/>
    <cellStyle name="Normal 8 21 4" xfId="37060" xr:uid="{00000000-0005-0000-0000-00008C8E0000}"/>
    <cellStyle name="Normal 8 21 4 2" xfId="37061" xr:uid="{00000000-0005-0000-0000-00008D8E0000}"/>
    <cellStyle name="Normal 8 21 4 3" xfId="37062" xr:uid="{00000000-0005-0000-0000-00008E8E0000}"/>
    <cellStyle name="Normal 8 21 4 4" xfId="37063" xr:uid="{00000000-0005-0000-0000-00008F8E0000}"/>
    <cellStyle name="Normal 8 21 4 5" xfId="37064" xr:uid="{00000000-0005-0000-0000-0000908E0000}"/>
    <cellStyle name="Normal 8 21 4 6" xfId="37065" xr:uid="{00000000-0005-0000-0000-0000918E0000}"/>
    <cellStyle name="Normal 8 21 5" xfId="37066" xr:uid="{00000000-0005-0000-0000-0000928E0000}"/>
    <cellStyle name="Normal 8 21 5 2" xfId="37067" xr:uid="{00000000-0005-0000-0000-0000938E0000}"/>
    <cellStyle name="Normal 8 21 5 3" xfId="37068" xr:uid="{00000000-0005-0000-0000-0000948E0000}"/>
    <cellStyle name="Normal 8 21 5 4" xfId="37069" xr:uid="{00000000-0005-0000-0000-0000958E0000}"/>
    <cellStyle name="Normal 8 21 5 5" xfId="37070" xr:uid="{00000000-0005-0000-0000-0000968E0000}"/>
    <cellStyle name="Normal 8 21 5 6" xfId="37071" xr:uid="{00000000-0005-0000-0000-0000978E0000}"/>
    <cellStyle name="Normal 8 21 6" xfId="37072" xr:uid="{00000000-0005-0000-0000-0000988E0000}"/>
    <cellStyle name="Normal 8 21 6 2" xfId="37073" xr:uid="{00000000-0005-0000-0000-0000998E0000}"/>
    <cellStyle name="Normal 8 21 6 3" xfId="37074" xr:uid="{00000000-0005-0000-0000-00009A8E0000}"/>
    <cellStyle name="Normal 8 21 6 4" xfId="37075" xr:uid="{00000000-0005-0000-0000-00009B8E0000}"/>
    <cellStyle name="Normal 8 21 6 5" xfId="37076" xr:uid="{00000000-0005-0000-0000-00009C8E0000}"/>
    <cellStyle name="Normal 8 21 6 6" xfId="37077" xr:uid="{00000000-0005-0000-0000-00009D8E0000}"/>
    <cellStyle name="Normal 8 21 7" xfId="37078" xr:uid="{00000000-0005-0000-0000-00009E8E0000}"/>
    <cellStyle name="Normal 8 21 7 2" xfId="37079" xr:uid="{00000000-0005-0000-0000-00009F8E0000}"/>
    <cellStyle name="Normal 8 21 7 3" xfId="37080" xr:uid="{00000000-0005-0000-0000-0000A08E0000}"/>
    <cellStyle name="Normal 8 21 7 4" xfId="37081" xr:uid="{00000000-0005-0000-0000-0000A18E0000}"/>
    <cellStyle name="Normal 8 21 7 5" xfId="37082" xr:uid="{00000000-0005-0000-0000-0000A28E0000}"/>
    <cellStyle name="Normal 8 21 7 6" xfId="37083" xr:uid="{00000000-0005-0000-0000-0000A38E0000}"/>
    <cellStyle name="Normal 8 21 8" xfId="37084" xr:uid="{00000000-0005-0000-0000-0000A48E0000}"/>
    <cellStyle name="Normal 8 21 8 2" xfId="37085" xr:uid="{00000000-0005-0000-0000-0000A58E0000}"/>
    <cellStyle name="Normal 8 21 8 3" xfId="37086" xr:uid="{00000000-0005-0000-0000-0000A68E0000}"/>
    <cellStyle name="Normal 8 21 8 4" xfId="37087" xr:uid="{00000000-0005-0000-0000-0000A78E0000}"/>
    <cellStyle name="Normal 8 21 8 5" xfId="37088" xr:uid="{00000000-0005-0000-0000-0000A88E0000}"/>
    <cellStyle name="Normal 8 21 8 6" xfId="37089" xr:uid="{00000000-0005-0000-0000-0000A98E0000}"/>
    <cellStyle name="Normal 8 21 9" xfId="37090" xr:uid="{00000000-0005-0000-0000-0000AA8E0000}"/>
    <cellStyle name="Normal 8 22" xfId="37091" xr:uid="{00000000-0005-0000-0000-0000AB8E0000}"/>
    <cellStyle name="Normal 8 22 10" xfId="37092" xr:uid="{00000000-0005-0000-0000-0000AC8E0000}"/>
    <cellStyle name="Normal 8 22 11" xfId="37093" xr:uid="{00000000-0005-0000-0000-0000AD8E0000}"/>
    <cellStyle name="Normal 8 22 12" xfId="37094" xr:uid="{00000000-0005-0000-0000-0000AE8E0000}"/>
    <cellStyle name="Normal 8 22 13" xfId="37095" xr:uid="{00000000-0005-0000-0000-0000AF8E0000}"/>
    <cellStyle name="Normal 8 22 2" xfId="37096" xr:uid="{00000000-0005-0000-0000-0000B08E0000}"/>
    <cellStyle name="Normal 8 22 2 2" xfId="37097" xr:uid="{00000000-0005-0000-0000-0000B18E0000}"/>
    <cellStyle name="Normal 8 22 2 3" xfId="37098" xr:uid="{00000000-0005-0000-0000-0000B28E0000}"/>
    <cellStyle name="Normal 8 22 2 4" xfId="37099" xr:uid="{00000000-0005-0000-0000-0000B38E0000}"/>
    <cellStyle name="Normal 8 22 2 5" xfId="37100" xr:uid="{00000000-0005-0000-0000-0000B48E0000}"/>
    <cellStyle name="Normal 8 22 2 6" xfId="37101" xr:uid="{00000000-0005-0000-0000-0000B58E0000}"/>
    <cellStyle name="Normal 8 22 3" xfId="37102" xr:uid="{00000000-0005-0000-0000-0000B68E0000}"/>
    <cellStyle name="Normal 8 22 3 2" xfId="37103" xr:uid="{00000000-0005-0000-0000-0000B78E0000}"/>
    <cellStyle name="Normal 8 22 3 3" xfId="37104" xr:uid="{00000000-0005-0000-0000-0000B88E0000}"/>
    <cellStyle name="Normal 8 22 3 4" xfId="37105" xr:uid="{00000000-0005-0000-0000-0000B98E0000}"/>
    <cellStyle name="Normal 8 22 3 5" xfId="37106" xr:uid="{00000000-0005-0000-0000-0000BA8E0000}"/>
    <cellStyle name="Normal 8 22 3 6" xfId="37107" xr:uid="{00000000-0005-0000-0000-0000BB8E0000}"/>
    <cellStyle name="Normal 8 22 4" xfId="37108" xr:uid="{00000000-0005-0000-0000-0000BC8E0000}"/>
    <cellStyle name="Normal 8 22 4 2" xfId="37109" xr:uid="{00000000-0005-0000-0000-0000BD8E0000}"/>
    <cellStyle name="Normal 8 22 4 3" xfId="37110" xr:uid="{00000000-0005-0000-0000-0000BE8E0000}"/>
    <cellStyle name="Normal 8 22 4 4" xfId="37111" xr:uid="{00000000-0005-0000-0000-0000BF8E0000}"/>
    <cellStyle name="Normal 8 22 4 5" xfId="37112" xr:uid="{00000000-0005-0000-0000-0000C08E0000}"/>
    <cellStyle name="Normal 8 22 4 6" xfId="37113" xr:uid="{00000000-0005-0000-0000-0000C18E0000}"/>
    <cellStyle name="Normal 8 22 5" xfId="37114" xr:uid="{00000000-0005-0000-0000-0000C28E0000}"/>
    <cellStyle name="Normal 8 22 5 2" xfId="37115" xr:uid="{00000000-0005-0000-0000-0000C38E0000}"/>
    <cellStyle name="Normal 8 22 5 3" xfId="37116" xr:uid="{00000000-0005-0000-0000-0000C48E0000}"/>
    <cellStyle name="Normal 8 22 5 4" xfId="37117" xr:uid="{00000000-0005-0000-0000-0000C58E0000}"/>
    <cellStyle name="Normal 8 22 5 5" xfId="37118" xr:uid="{00000000-0005-0000-0000-0000C68E0000}"/>
    <cellStyle name="Normal 8 22 5 6" xfId="37119" xr:uid="{00000000-0005-0000-0000-0000C78E0000}"/>
    <cellStyle name="Normal 8 22 6" xfId="37120" xr:uid="{00000000-0005-0000-0000-0000C88E0000}"/>
    <cellStyle name="Normal 8 22 6 2" xfId="37121" xr:uid="{00000000-0005-0000-0000-0000C98E0000}"/>
    <cellStyle name="Normal 8 22 6 3" xfId="37122" xr:uid="{00000000-0005-0000-0000-0000CA8E0000}"/>
    <cellStyle name="Normal 8 22 6 4" xfId="37123" xr:uid="{00000000-0005-0000-0000-0000CB8E0000}"/>
    <cellStyle name="Normal 8 22 6 5" xfId="37124" xr:uid="{00000000-0005-0000-0000-0000CC8E0000}"/>
    <cellStyle name="Normal 8 22 6 6" xfId="37125" xr:uid="{00000000-0005-0000-0000-0000CD8E0000}"/>
    <cellStyle name="Normal 8 22 7" xfId="37126" xr:uid="{00000000-0005-0000-0000-0000CE8E0000}"/>
    <cellStyle name="Normal 8 22 7 2" xfId="37127" xr:uid="{00000000-0005-0000-0000-0000CF8E0000}"/>
    <cellStyle name="Normal 8 22 7 3" xfId="37128" xr:uid="{00000000-0005-0000-0000-0000D08E0000}"/>
    <cellStyle name="Normal 8 22 7 4" xfId="37129" xr:uid="{00000000-0005-0000-0000-0000D18E0000}"/>
    <cellStyle name="Normal 8 22 7 5" xfId="37130" xr:uid="{00000000-0005-0000-0000-0000D28E0000}"/>
    <cellStyle name="Normal 8 22 7 6" xfId="37131" xr:uid="{00000000-0005-0000-0000-0000D38E0000}"/>
    <cellStyle name="Normal 8 22 8" xfId="37132" xr:uid="{00000000-0005-0000-0000-0000D48E0000}"/>
    <cellStyle name="Normal 8 22 8 2" xfId="37133" xr:uid="{00000000-0005-0000-0000-0000D58E0000}"/>
    <cellStyle name="Normal 8 22 8 3" xfId="37134" xr:uid="{00000000-0005-0000-0000-0000D68E0000}"/>
    <cellStyle name="Normal 8 22 8 4" xfId="37135" xr:uid="{00000000-0005-0000-0000-0000D78E0000}"/>
    <cellStyle name="Normal 8 22 8 5" xfId="37136" xr:uid="{00000000-0005-0000-0000-0000D88E0000}"/>
    <cellStyle name="Normal 8 22 8 6" xfId="37137" xr:uid="{00000000-0005-0000-0000-0000D98E0000}"/>
    <cellStyle name="Normal 8 22 9" xfId="37138" xr:uid="{00000000-0005-0000-0000-0000DA8E0000}"/>
    <cellStyle name="Normal 8 23" xfId="37139" xr:uid="{00000000-0005-0000-0000-0000DB8E0000}"/>
    <cellStyle name="Normal 8 23 10" xfId="37140" xr:uid="{00000000-0005-0000-0000-0000DC8E0000}"/>
    <cellStyle name="Normal 8 23 11" xfId="37141" xr:uid="{00000000-0005-0000-0000-0000DD8E0000}"/>
    <cellStyle name="Normal 8 23 12" xfId="37142" xr:uid="{00000000-0005-0000-0000-0000DE8E0000}"/>
    <cellStyle name="Normal 8 23 13" xfId="37143" xr:uid="{00000000-0005-0000-0000-0000DF8E0000}"/>
    <cellStyle name="Normal 8 23 2" xfId="37144" xr:uid="{00000000-0005-0000-0000-0000E08E0000}"/>
    <cellStyle name="Normal 8 23 2 2" xfId="37145" xr:uid="{00000000-0005-0000-0000-0000E18E0000}"/>
    <cellStyle name="Normal 8 23 2 3" xfId="37146" xr:uid="{00000000-0005-0000-0000-0000E28E0000}"/>
    <cellStyle name="Normal 8 23 2 4" xfId="37147" xr:uid="{00000000-0005-0000-0000-0000E38E0000}"/>
    <cellStyle name="Normal 8 23 2 5" xfId="37148" xr:uid="{00000000-0005-0000-0000-0000E48E0000}"/>
    <cellStyle name="Normal 8 23 2 6" xfId="37149" xr:uid="{00000000-0005-0000-0000-0000E58E0000}"/>
    <cellStyle name="Normal 8 23 3" xfId="37150" xr:uid="{00000000-0005-0000-0000-0000E68E0000}"/>
    <cellStyle name="Normal 8 23 3 2" xfId="37151" xr:uid="{00000000-0005-0000-0000-0000E78E0000}"/>
    <cellStyle name="Normal 8 23 3 3" xfId="37152" xr:uid="{00000000-0005-0000-0000-0000E88E0000}"/>
    <cellStyle name="Normal 8 23 3 4" xfId="37153" xr:uid="{00000000-0005-0000-0000-0000E98E0000}"/>
    <cellStyle name="Normal 8 23 3 5" xfId="37154" xr:uid="{00000000-0005-0000-0000-0000EA8E0000}"/>
    <cellStyle name="Normal 8 23 3 6" xfId="37155" xr:uid="{00000000-0005-0000-0000-0000EB8E0000}"/>
    <cellStyle name="Normal 8 23 4" xfId="37156" xr:uid="{00000000-0005-0000-0000-0000EC8E0000}"/>
    <cellStyle name="Normal 8 23 4 2" xfId="37157" xr:uid="{00000000-0005-0000-0000-0000ED8E0000}"/>
    <cellStyle name="Normal 8 23 4 3" xfId="37158" xr:uid="{00000000-0005-0000-0000-0000EE8E0000}"/>
    <cellStyle name="Normal 8 23 4 4" xfId="37159" xr:uid="{00000000-0005-0000-0000-0000EF8E0000}"/>
    <cellStyle name="Normal 8 23 4 5" xfId="37160" xr:uid="{00000000-0005-0000-0000-0000F08E0000}"/>
    <cellStyle name="Normal 8 23 4 6" xfId="37161" xr:uid="{00000000-0005-0000-0000-0000F18E0000}"/>
    <cellStyle name="Normal 8 23 5" xfId="37162" xr:uid="{00000000-0005-0000-0000-0000F28E0000}"/>
    <cellStyle name="Normal 8 23 5 2" xfId="37163" xr:uid="{00000000-0005-0000-0000-0000F38E0000}"/>
    <cellStyle name="Normal 8 23 5 3" xfId="37164" xr:uid="{00000000-0005-0000-0000-0000F48E0000}"/>
    <cellStyle name="Normal 8 23 5 4" xfId="37165" xr:uid="{00000000-0005-0000-0000-0000F58E0000}"/>
    <cellStyle name="Normal 8 23 5 5" xfId="37166" xr:uid="{00000000-0005-0000-0000-0000F68E0000}"/>
    <cellStyle name="Normal 8 23 5 6" xfId="37167" xr:uid="{00000000-0005-0000-0000-0000F78E0000}"/>
    <cellStyle name="Normal 8 23 6" xfId="37168" xr:uid="{00000000-0005-0000-0000-0000F88E0000}"/>
    <cellStyle name="Normal 8 23 6 2" xfId="37169" xr:uid="{00000000-0005-0000-0000-0000F98E0000}"/>
    <cellStyle name="Normal 8 23 6 3" xfId="37170" xr:uid="{00000000-0005-0000-0000-0000FA8E0000}"/>
    <cellStyle name="Normal 8 23 6 4" xfId="37171" xr:uid="{00000000-0005-0000-0000-0000FB8E0000}"/>
    <cellStyle name="Normal 8 23 6 5" xfId="37172" xr:uid="{00000000-0005-0000-0000-0000FC8E0000}"/>
    <cellStyle name="Normal 8 23 6 6" xfId="37173" xr:uid="{00000000-0005-0000-0000-0000FD8E0000}"/>
    <cellStyle name="Normal 8 23 7" xfId="37174" xr:uid="{00000000-0005-0000-0000-0000FE8E0000}"/>
    <cellStyle name="Normal 8 23 7 2" xfId="37175" xr:uid="{00000000-0005-0000-0000-0000FF8E0000}"/>
    <cellStyle name="Normal 8 23 7 3" xfId="37176" xr:uid="{00000000-0005-0000-0000-0000008F0000}"/>
    <cellStyle name="Normal 8 23 7 4" xfId="37177" xr:uid="{00000000-0005-0000-0000-0000018F0000}"/>
    <cellStyle name="Normal 8 23 7 5" xfId="37178" xr:uid="{00000000-0005-0000-0000-0000028F0000}"/>
    <cellStyle name="Normal 8 23 7 6" xfId="37179" xr:uid="{00000000-0005-0000-0000-0000038F0000}"/>
    <cellStyle name="Normal 8 23 8" xfId="37180" xr:uid="{00000000-0005-0000-0000-0000048F0000}"/>
    <cellStyle name="Normal 8 23 8 2" xfId="37181" xr:uid="{00000000-0005-0000-0000-0000058F0000}"/>
    <cellStyle name="Normal 8 23 8 3" xfId="37182" xr:uid="{00000000-0005-0000-0000-0000068F0000}"/>
    <cellStyle name="Normal 8 23 8 4" xfId="37183" xr:uid="{00000000-0005-0000-0000-0000078F0000}"/>
    <cellStyle name="Normal 8 23 8 5" xfId="37184" xr:uid="{00000000-0005-0000-0000-0000088F0000}"/>
    <cellStyle name="Normal 8 23 8 6" xfId="37185" xr:uid="{00000000-0005-0000-0000-0000098F0000}"/>
    <cellStyle name="Normal 8 23 9" xfId="37186" xr:uid="{00000000-0005-0000-0000-00000A8F0000}"/>
    <cellStyle name="Normal 8 24" xfId="37187" xr:uid="{00000000-0005-0000-0000-00000B8F0000}"/>
    <cellStyle name="Normal 8 24 10" xfId="37188" xr:uid="{00000000-0005-0000-0000-00000C8F0000}"/>
    <cellStyle name="Normal 8 24 11" xfId="37189" xr:uid="{00000000-0005-0000-0000-00000D8F0000}"/>
    <cellStyle name="Normal 8 24 12" xfId="37190" xr:uid="{00000000-0005-0000-0000-00000E8F0000}"/>
    <cellStyle name="Normal 8 24 13" xfId="37191" xr:uid="{00000000-0005-0000-0000-00000F8F0000}"/>
    <cellStyle name="Normal 8 24 2" xfId="37192" xr:uid="{00000000-0005-0000-0000-0000108F0000}"/>
    <cellStyle name="Normal 8 24 2 2" xfId="37193" xr:uid="{00000000-0005-0000-0000-0000118F0000}"/>
    <cellStyle name="Normal 8 24 2 3" xfId="37194" xr:uid="{00000000-0005-0000-0000-0000128F0000}"/>
    <cellStyle name="Normal 8 24 2 4" xfId="37195" xr:uid="{00000000-0005-0000-0000-0000138F0000}"/>
    <cellStyle name="Normal 8 24 2 5" xfId="37196" xr:uid="{00000000-0005-0000-0000-0000148F0000}"/>
    <cellStyle name="Normal 8 24 2 6" xfId="37197" xr:uid="{00000000-0005-0000-0000-0000158F0000}"/>
    <cellStyle name="Normal 8 24 3" xfId="37198" xr:uid="{00000000-0005-0000-0000-0000168F0000}"/>
    <cellStyle name="Normal 8 24 3 2" xfId="37199" xr:uid="{00000000-0005-0000-0000-0000178F0000}"/>
    <cellStyle name="Normal 8 24 3 3" xfId="37200" xr:uid="{00000000-0005-0000-0000-0000188F0000}"/>
    <cellStyle name="Normal 8 24 3 4" xfId="37201" xr:uid="{00000000-0005-0000-0000-0000198F0000}"/>
    <cellStyle name="Normal 8 24 3 5" xfId="37202" xr:uid="{00000000-0005-0000-0000-00001A8F0000}"/>
    <cellStyle name="Normal 8 24 3 6" xfId="37203" xr:uid="{00000000-0005-0000-0000-00001B8F0000}"/>
    <cellStyle name="Normal 8 24 4" xfId="37204" xr:uid="{00000000-0005-0000-0000-00001C8F0000}"/>
    <cellStyle name="Normal 8 24 4 2" xfId="37205" xr:uid="{00000000-0005-0000-0000-00001D8F0000}"/>
    <cellStyle name="Normal 8 24 4 3" xfId="37206" xr:uid="{00000000-0005-0000-0000-00001E8F0000}"/>
    <cellStyle name="Normal 8 24 4 4" xfId="37207" xr:uid="{00000000-0005-0000-0000-00001F8F0000}"/>
    <cellStyle name="Normal 8 24 4 5" xfId="37208" xr:uid="{00000000-0005-0000-0000-0000208F0000}"/>
    <cellStyle name="Normal 8 24 4 6" xfId="37209" xr:uid="{00000000-0005-0000-0000-0000218F0000}"/>
    <cellStyle name="Normal 8 24 5" xfId="37210" xr:uid="{00000000-0005-0000-0000-0000228F0000}"/>
    <cellStyle name="Normal 8 24 5 2" xfId="37211" xr:uid="{00000000-0005-0000-0000-0000238F0000}"/>
    <cellStyle name="Normal 8 24 5 3" xfId="37212" xr:uid="{00000000-0005-0000-0000-0000248F0000}"/>
    <cellStyle name="Normal 8 24 5 4" xfId="37213" xr:uid="{00000000-0005-0000-0000-0000258F0000}"/>
    <cellStyle name="Normal 8 24 5 5" xfId="37214" xr:uid="{00000000-0005-0000-0000-0000268F0000}"/>
    <cellStyle name="Normal 8 24 5 6" xfId="37215" xr:uid="{00000000-0005-0000-0000-0000278F0000}"/>
    <cellStyle name="Normal 8 24 6" xfId="37216" xr:uid="{00000000-0005-0000-0000-0000288F0000}"/>
    <cellStyle name="Normal 8 24 6 2" xfId="37217" xr:uid="{00000000-0005-0000-0000-0000298F0000}"/>
    <cellStyle name="Normal 8 24 6 3" xfId="37218" xr:uid="{00000000-0005-0000-0000-00002A8F0000}"/>
    <cellStyle name="Normal 8 24 6 4" xfId="37219" xr:uid="{00000000-0005-0000-0000-00002B8F0000}"/>
    <cellStyle name="Normal 8 24 6 5" xfId="37220" xr:uid="{00000000-0005-0000-0000-00002C8F0000}"/>
    <cellStyle name="Normal 8 24 6 6" xfId="37221" xr:uid="{00000000-0005-0000-0000-00002D8F0000}"/>
    <cellStyle name="Normal 8 24 7" xfId="37222" xr:uid="{00000000-0005-0000-0000-00002E8F0000}"/>
    <cellStyle name="Normal 8 24 7 2" xfId="37223" xr:uid="{00000000-0005-0000-0000-00002F8F0000}"/>
    <cellStyle name="Normal 8 24 7 3" xfId="37224" xr:uid="{00000000-0005-0000-0000-0000308F0000}"/>
    <cellStyle name="Normal 8 24 7 4" xfId="37225" xr:uid="{00000000-0005-0000-0000-0000318F0000}"/>
    <cellStyle name="Normal 8 24 7 5" xfId="37226" xr:uid="{00000000-0005-0000-0000-0000328F0000}"/>
    <cellStyle name="Normal 8 24 7 6" xfId="37227" xr:uid="{00000000-0005-0000-0000-0000338F0000}"/>
    <cellStyle name="Normal 8 24 8" xfId="37228" xr:uid="{00000000-0005-0000-0000-0000348F0000}"/>
    <cellStyle name="Normal 8 24 8 2" xfId="37229" xr:uid="{00000000-0005-0000-0000-0000358F0000}"/>
    <cellStyle name="Normal 8 24 8 3" xfId="37230" xr:uid="{00000000-0005-0000-0000-0000368F0000}"/>
    <cellStyle name="Normal 8 24 8 4" xfId="37231" xr:uid="{00000000-0005-0000-0000-0000378F0000}"/>
    <cellStyle name="Normal 8 24 8 5" xfId="37232" xr:uid="{00000000-0005-0000-0000-0000388F0000}"/>
    <cellStyle name="Normal 8 24 8 6" xfId="37233" xr:uid="{00000000-0005-0000-0000-0000398F0000}"/>
    <cellStyle name="Normal 8 24 9" xfId="37234" xr:uid="{00000000-0005-0000-0000-00003A8F0000}"/>
    <cellStyle name="Normal 8 25" xfId="37235" xr:uid="{00000000-0005-0000-0000-00003B8F0000}"/>
    <cellStyle name="Normal 8 25 10" xfId="37236" xr:uid="{00000000-0005-0000-0000-00003C8F0000}"/>
    <cellStyle name="Normal 8 25 11" xfId="37237" xr:uid="{00000000-0005-0000-0000-00003D8F0000}"/>
    <cellStyle name="Normal 8 25 12" xfId="37238" xr:uid="{00000000-0005-0000-0000-00003E8F0000}"/>
    <cellStyle name="Normal 8 25 13" xfId="37239" xr:uid="{00000000-0005-0000-0000-00003F8F0000}"/>
    <cellStyle name="Normal 8 25 2" xfId="37240" xr:uid="{00000000-0005-0000-0000-0000408F0000}"/>
    <cellStyle name="Normal 8 25 2 2" xfId="37241" xr:uid="{00000000-0005-0000-0000-0000418F0000}"/>
    <cellStyle name="Normal 8 25 2 3" xfId="37242" xr:uid="{00000000-0005-0000-0000-0000428F0000}"/>
    <cellStyle name="Normal 8 25 2 4" xfId="37243" xr:uid="{00000000-0005-0000-0000-0000438F0000}"/>
    <cellStyle name="Normal 8 25 2 5" xfId="37244" xr:uid="{00000000-0005-0000-0000-0000448F0000}"/>
    <cellStyle name="Normal 8 25 2 6" xfId="37245" xr:uid="{00000000-0005-0000-0000-0000458F0000}"/>
    <cellStyle name="Normal 8 25 3" xfId="37246" xr:uid="{00000000-0005-0000-0000-0000468F0000}"/>
    <cellStyle name="Normal 8 25 3 2" xfId="37247" xr:uid="{00000000-0005-0000-0000-0000478F0000}"/>
    <cellStyle name="Normal 8 25 3 3" xfId="37248" xr:uid="{00000000-0005-0000-0000-0000488F0000}"/>
    <cellStyle name="Normal 8 25 3 4" xfId="37249" xr:uid="{00000000-0005-0000-0000-0000498F0000}"/>
    <cellStyle name="Normal 8 25 3 5" xfId="37250" xr:uid="{00000000-0005-0000-0000-00004A8F0000}"/>
    <cellStyle name="Normal 8 25 3 6" xfId="37251" xr:uid="{00000000-0005-0000-0000-00004B8F0000}"/>
    <cellStyle name="Normal 8 25 4" xfId="37252" xr:uid="{00000000-0005-0000-0000-00004C8F0000}"/>
    <cellStyle name="Normal 8 25 4 2" xfId="37253" xr:uid="{00000000-0005-0000-0000-00004D8F0000}"/>
    <cellStyle name="Normal 8 25 4 3" xfId="37254" xr:uid="{00000000-0005-0000-0000-00004E8F0000}"/>
    <cellStyle name="Normal 8 25 4 4" xfId="37255" xr:uid="{00000000-0005-0000-0000-00004F8F0000}"/>
    <cellStyle name="Normal 8 25 4 5" xfId="37256" xr:uid="{00000000-0005-0000-0000-0000508F0000}"/>
    <cellStyle name="Normal 8 25 4 6" xfId="37257" xr:uid="{00000000-0005-0000-0000-0000518F0000}"/>
    <cellStyle name="Normal 8 25 5" xfId="37258" xr:uid="{00000000-0005-0000-0000-0000528F0000}"/>
    <cellStyle name="Normal 8 25 5 2" xfId="37259" xr:uid="{00000000-0005-0000-0000-0000538F0000}"/>
    <cellStyle name="Normal 8 25 5 3" xfId="37260" xr:uid="{00000000-0005-0000-0000-0000548F0000}"/>
    <cellStyle name="Normal 8 25 5 4" xfId="37261" xr:uid="{00000000-0005-0000-0000-0000558F0000}"/>
    <cellStyle name="Normal 8 25 5 5" xfId="37262" xr:uid="{00000000-0005-0000-0000-0000568F0000}"/>
    <cellStyle name="Normal 8 25 5 6" xfId="37263" xr:uid="{00000000-0005-0000-0000-0000578F0000}"/>
    <cellStyle name="Normal 8 25 6" xfId="37264" xr:uid="{00000000-0005-0000-0000-0000588F0000}"/>
    <cellStyle name="Normal 8 25 6 2" xfId="37265" xr:uid="{00000000-0005-0000-0000-0000598F0000}"/>
    <cellStyle name="Normal 8 25 6 3" xfId="37266" xr:uid="{00000000-0005-0000-0000-00005A8F0000}"/>
    <cellStyle name="Normal 8 25 6 4" xfId="37267" xr:uid="{00000000-0005-0000-0000-00005B8F0000}"/>
    <cellStyle name="Normal 8 25 6 5" xfId="37268" xr:uid="{00000000-0005-0000-0000-00005C8F0000}"/>
    <cellStyle name="Normal 8 25 6 6" xfId="37269" xr:uid="{00000000-0005-0000-0000-00005D8F0000}"/>
    <cellStyle name="Normal 8 25 7" xfId="37270" xr:uid="{00000000-0005-0000-0000-00005E8F0000}"/>
    <cellStyle name="Normal 8 25 7 2" xfId="37271" xr:uid="{00000000-0005-0000-0000-00005F8F0000}"/>
    <cellStyle name="Normal 8 25 7 3" xfId="37272" xr:uid="{00000000-0005-0000-0000-0000608F0000}"/>
    <cellStyle name="Normal 8 25 7 4" xfId="37273" xr:uid="{00000000-0005-0000-0000-0000618F0000}"/>
    <cellStyle name="Normal 8 25 7 5" xfId="37274" xr:uid="{00000000-0005-0000-0000-0000628F0000}"/>
    <cellStyle name="Normal 8 25 7 6" xfId="37275" xr:uid="{00000000-0005-0000-0000-0000638F0000}"/>
    <cellStyle name="Normal 8 25 8" xfId="37276" xr:uid="{00000000-0005-0000-0000-0000648F0000}"/>
    <cellStyle name="Normal 8 25 8 2" xfId="37277" xr:uid="{00000000-0005-0000-0000-0000658F0000}"/>
    <cellStyle name="Normal 8 25 8 3" xfId="37278" xr:uid="{00000000-0005-0000-0000-0000668F0000}"/>
    <cellStyle name="Normal 8 25 8 4" xfId="37279" xr:uid="{00000000-0005-0000-0000-0000678F0000}"/>
    <cellStyle name="Normal 8 25 8 5" xfId="37280" xr:uid="{00000000-0005-0000-0000-0000688F0000}"/>
    <cellStyle name="Normal 8 25 8 6" xfId="37281" xr:uid="{00000000-0005-0000-0000-0000698F0000}"/>
    <cellStyle name="Normal 8 25 9" xfId="37282" xr:uid="{00000000-0005-0000-0000-00006A8F0000}"/>
    <cellStyle name="Normal 8 26" xfId="37283" xr:uid="{00000000-0005-0000-0000-00006B8F0000}"/>
    <cellStyle name="Normal 8 26 10" xfId="37284" xr:uid="{00000000-0005-0000-0000-00006C8F0000}"/>
    <cellStyle name="Normal 8 26 11" xfId="37285" xr:uid="{00000000-0005-0000-0000-00006D8F0000}"/>
    <cellStyle name="Normal 8 26 12" xfId="37286" xr:uid="{00000000-0005-0000-0000-00006E8F0000}"/>
    <cellStyle name="Normal 8 26 13" xfId="37287" xr:uid="{00000000-0005-0000-0000-00006F8F0000}"/>
    <cellStyle name="Normal 8 26 2" xfId="37288" xr:uid="{00000000-0005-0000-0000-0000708F0000}"/>
    <cellStyle name="Normal 8 26 2 2" xfId="37289" xr:uid="{00000000-0005-0000-0000-0000718F0000}"/>
    <cellStyle name="Normal 8 26 2 3" xfId="37290" xr:uid="{00000000-0005-0000-0000-0000728F0000}"/>
    <cellStyle name="Normal 8 26 2 4" xfId="37291" xr:uid="{00000000-0005-0000-0000-0000738F0000}"/>
    <cellStyle name="Normal 8 26 2 5" xfId="37292" xr:uid="{00000000-0005-0000-0000-0000748F0000}"/>
    <cellStyle name="Normal 8 26 2 6" xfId="37293" xr:uid="{00000000-0005-0000-0000-0000758F0000}"/>
    <cellStyle name="Normal 8 26 3" xfId="37294" xr:uid="{00000000-0005-0000-0000-0000768F0000}"/>
    <cellStyle name="Normal 8 26 3 2" xfId="37295" xr:uid="{00000000-0005-0000-0000-0000778F0000}"/>
    <cellStyle name="Normal 8 26 3 3" xfId="37296" xr:uid="{00000000-0005-0000-0000-0000788F0000}"/>
    <cellStyle name="Normal 8 26 3 4" xfId="37297" xr:uid="{00000000-0005-0000-0000-0000798F0000}"/>
    <cellStyle name="Normal 8 26 3 5" xfId="37298" xr:uid="{00000000-0005-0000-0000-00007A8F0000}"/>
    <cellStyle name="Normal 8 26 3 6" xfId="37299" xr:uid="{00000000-0005-0000-0000-00007B8F0000}"/>
    <cellStyle name="Normal 8 26 4" xfId="37300" xr:uid="{00000000-0005-0000-0000-00007C8F0000}"/>
    <cellStyle name="Normal 8 26 4 2" xfId="37301" xr:uid="{00000000-0005-0000-0000-00007D8F0000}"/>
    <cellStyle name="Normal 8 26 4 3" xfId="37302" xr:uid="{00000000-0005-0000-0000-00007E8F0000}"/>
    <cellStyle name="Normal 8 26 4 4" xfId="37303" xr:uid="{00000000-0005-0000-0000-00007F8F0000}"/>
    <cellStyle name="Normal 8 26 4 5" xfId="37304" xr:uid="{00000000-0005-0000-0000-0000808F0000}"/>
    <cellStyle name="Normal 8 26 4 6" xfId="37305" xr:uid="{00000000-0005-0000-0000-0000818F0000}"/>
    <cellStyle name="Normal 8 26 5" xfId="37306" xr:uid="{00000000-0005-0000-0000-0000828F0000}"/>
    <cellStyle name="Normal 8 26 5 2" xfId="37307" xr:uid="{00000000-0005-0000-0000-0000838F0000}"/>
    <cellStyle name="Normal 8 26 5 3" xfId="37308" xr:uid="{00000000-0005-0000-0000-0000848F0000}"/>
    <cellStyle name="Normal 8 26 5 4" xfId="37309" xr:uid="{00000000-0005-0000-0000-0000858F0000}"/>
    <cellStyle name="Normal 8 26 5 5" xfId="37310" xr:uid="{00000000-0005-0000-0000-0000868F0000}"/>
    <cellStyle name="Normal 8 26 5 6" xfId="37311" xr:uid="{00000000-0005-0000-0000-0000878F0000}"/>
    <cellStyle name="Normal 8 26 6" xfId="37312" xr:uid="{00000000-0005-0000-0000-0000888F0000}"/>
    <cellStyle name="Normal 8 26 6 2" xfId="37313" xr:uid="{00000000-0005-0000-0000-0000898F0000}"/>
    <cellStyle name="Normal 8 26 6 3" xfId="37314" xr:uid="{00000000-0005-0000-0000-00008A8F0000}"/>
    <cellStyle name="Normal 8 26 6 4" xfId="37315" xr:uid="{00000000-0005-0000-0000-00008B8F0000}"/>
    <cellStyle name="Normal 8 26 6 5" xfId="37316" xr:uid="{00000000-0005-0000-0000-00008C8F0000}"/>
    <cellStyle name="Normal 8 26 6 6" xfId="37317" xr:uid="{00000000-0005-0000-0000-00008D8F0000}"/>
    <cellStyle name="Normal 8 26 7" xfId="37318" xr:uid="{00000000-0005-0000-0000-00008E8F0000}"/>
    <cellStyle name="Normal 8 26 7 2" xfId="37319" xr:uid="{00000000-0005-0000-0000-00008F8F0000}"/>
    <cellStyle name="Normal 8 26 7 3" xfId="37320" xr:uid="{00000000-0005-0000-0000-0000908F0000}"/>
    <cellStyle name="Normal 8 26 7 4" xfId="37321" xr:uid="{00000000-0005-0000-0000-0000918F0000}"/>
    <cellStyle name="Normal 8 26 7 5" xfId="37322" xr:uid="{00000000-0005-0000-0000-0000928F0000}"/>
    <cellStyle name="Normal 8 26 7 6" xfId="37323" xr:uid="{00000000-0005-0000-0000-0000938F0000}"/>
    <cellStyle name="Normal 8 26 8" xfId="37324" xr:uid="{00000000-0005-0000-0000-0000948F0000}"/>
    <cellStyle name="Normal 8 26 8 2" xfId="37325" xr:uid="{00000000-0005-0000-0000-0000958F0000}"/>
    <cellStyle name="Normal 8 26 8 3" xfId="37326" xr:uid="{00000000-0005-0000-0000-0000968F0000}"/>
    <cellStyle name="Normal 8 26 8 4" xfId="37327" xr:uid="{00000000-0005-0000-0000-0000978F0000}"/>
    <cellStyle name="Normal 8 26 8 5" xfId="37328" xr:uid="{00000000-0005-0000-0000-0000988F0000}"/>
    <cellStyle name="Normal 8 26 8 6" xfId="37329" xr:uid="{00000000-0005-0000-0000-0000998F0000}"/>
    <cellStyle name="Normal 8 26 9" xfId="37330" xr:uid="{00000000-0005-0000-0000-00009A8F0000}"/>
    <cellStyle name="Normal 8 27" xfId="37331" xr:uid="{00000000-0005-0000-0000-00009B8F0000}"/>
    <cellStyle name="Normal 8 27 10" xfId="37332" xr:uid="{00000000-0005-0000-0000-00009C8F0000}"/>
    <cellStyle name="Normal 8 27 11" xfId="37333" xr:uid="{00000000-0005-0000-0000-00009D8F0000}"/>
    <cellStyle name="Normal 8 27 12" xfId="37334" xr:uid="{00000000-0005-0000-0000-00009E8F0000}"/>
    <cellStyle name="Normal 8 27 13" xfId="37335" xr:uid="{00000000-0005-0000-0000-00009F8F0000}"/>
    <cellStyle name="Normal 8 27 2" xfId="37336" xr:uid="{00000000-0005-0000-0000-0000A08F0000}"/>
    <cellStyle name="Normal 8 27 2 2" xfId="37337" xr:uid="{00000000-0005-0000-0000-0000A18F0000}"/>
    <cellStyle name="Normal 8 27 2 3" xfId="37338" xr:uid="{00000000-0005-0000-0000-0000A28F0000}"/>
    <cellStyle name="Normal 8 27 2 4" xfId="37339" xr:uid="{00000000-0005-0000-0000-0000A38F0000}"/>
    <cellStyle name="Normal 8 27 2 5" xfId="37340" xr:uid="{00000000-0005-0000-0000-0000A48F0000}"/>
    <cellStyle name="Normal 8 27 2 6" xfId="37341" xr:uid="{00000000-0005-0000-0000-0000A58F0000}"/>
    <cellStyle name="Normal 8 27 3" xfId="37342" xr:uid="{00000000-0005-0000-0000-0000A68F0000}"/>
    <cellStyle name="Normal 8 27 3 2" xfId="37343" xr:uid="{00000000-0005-0000-0000-0000A78F0000}"/>
    <cellStyle name="Normal 8 27 3 3" xfId="37344" xr:uid="{00000000-0005-0000-0000-0000A88F0000}"/>
    <cellStyle name="Normal 8 27 3 4" xfId="37345" xr:uid="{00000000-0005-0000-0000-0000A98F0000}"/>
    <cellStyle name="Normal 8 27 3 5" xfId="37346" xr:uid="{00000000-0005-0000-0000-0000AA8F0000}"/>
    <cellStyle name="Normal 8 27 3 6" xfId="37347" xr:uid="{00000000-0005-0000-0000-0000AB8F0000}"/>
    <cellStyle name="Normal 8 27 4" xfId="37348" xr:uid="{00000000-0005-0000-0000-0000AC8F0000}"/>
    <cellStyle name="Normal 8 27 4 2" xfId="37349" xr:uid="{00000000-0005-0000-0000-0000AD8F0000}"/>
    <cellStyle name="Normal 8 27 4 3" xfId="37350" xr:uid="{00000000-0005-0000-0000-0000AE8F0000}"/>
    <cellStyle name="Normal 8 27 4 4" xfId="37351" xr:uid="{00000000-0005-0000-0000-0000AF8F0000}"/>
    <cellStyle name="Normal 8 27 4 5" xfId="37352" xr:uid="{00000000-0005-0000-0000-0000B08F0000}"/>
    <cellStyle name="Normal 8 27 4 6" xfId="37353" xr:uid="{00000000-0005-0000-0000-0000B18F0000}"/>
    <cellStyle name="Normal 8 27 5" xfId="37354" xr:uid="{00000000-0005-0000-0000-0000B28F0000}"/>
    <cellStyle name="Normal 8 27 5 2" xfId="37355" xr:uid="{00000000-0005-0000-0000-0000B38F0000}"/>
    <cellStyle name="Normal 8 27 5 3" xfId="37356" xr:uid="{00000000-0005-0000-0000-0000B48F0000}"/>
    <cellStyle name="Normal 8 27 5 4" xfId="37357" xr:uid="{00000000-0005-0000-0000-0000B58F0000}"/>
    <cellStyle name="Normal 8 27 5 5" xfId="37358" xr:uid="{00000000-0005-0000-0000-0000B68F0000}"/>
    <cellStyle name="Normal 8 27 5 6" xfId="37359" xr:uid="{00000000-0005-0000-0000-0000B78F0000}"/>
    <cellStyle name="Normal 8 27 6" xfId="37360" xr:uid="{00000000-0005-0000-0000-0000B88F0000}"/>
    <cellStyle name="Normal 8 27 6 2" xfId="37361" xr:uid="{00000000-0005-0000-0000-0000B98F0000}"/>
    <cellStyle name="Normal 8 27 6 3" xfId="37362" xr:uid="{00000000-0005-0000-0000-0000BA8F0000}"/>
    <cellStyle name="Normal 8 27 6 4" xfId="37363" xr:uid="{00000000-0005-0000-0000-0000BB8F0000}"/>
    <cellStyle name="Normal 8 27 6 5" xfId="37364" xr:uid="{00000000-0005-0000-0000-0000BC8F0000}"/>
    <cellStyle name="Normal 8 27 6 6" xfId="37365" xr:uid="{00000000-0005-0000-0000-0000BD8F0000}"/>
    <cellStyle name="Normal 8 27 7" xfId="37366" xr:uid="{00000000-0005-0000-0000-0000BE8F0000}"/>
    <cellStyle name="Normal 8 27 7 2" xfId="37367" xr:uid="{00000000-0005-0000-0000-0000BF8F0000}"/>
    <cellStyle name="Normal 8 27 7 3" xfId="37368" xr:uid="{00000000-0005-0000-0000-0000C08F0000}"/>
    <cellStyle name="Normal 8 27 7 4" xfId="37369" xr:uid="{00000000-0005-0000-0000-0000C18F0000}"/>
    <cellStyle name="Normal 8 27 7 5" xfId="37370" xr:uid="{00000000-0005-0000-0000-0000C28F0000}"/>
    <cellStyle name="Normal 8 27 7 6" xfId="37371" xr:uid="{00000000-0005-0000-0000-0000C38F0000}"/>
    <cellStyle name="Normal 8 27 8" xfId="37372" xr:uid="{00000000-0005-0000-0000-0000C48F0000}"/>
    <cellStyle name="Normal 8 27 8 2" xfId="37373" xr:uid="{00000000-0005-0000-0000-0000C58F0000}"/>
    <cellStyle name="Normal 8 27 8 3" xfId="37374" xr:uid="{00000000-0005-0000-0000-0000C68F0000}"/>
    <cellStyle name="Normal 8 27 8 4" xfId="37375" xr:uid="{00000000-0005-0000-0000-0000C78F0000}"/>
    <cellStyle name="Normal 8 27 8 5" xfId="37376" xr:uid="{00000000-0005-0000-0000-0000C88F0000}"/>
    <cellStyle name="Normal 8 27 8 6" xfId="37377" xr:uid="{00000000-0005-0000-0000-0000C98F0000}"/>
    <cellStyle name="Normal 8 27 9" xfId="37378" xr:uid="{00000000-0005-0000-0000-0000CA8F0000}"/>
    <cellStyle name="Normal 8 28" xfId="37379" xr:uid="{00000000-0005-0000-0000-0000CB8F0000}"/>
    <cellStyle name="Normal 8 28 10" xfId="37380" xr:uid="{00000000-0005-0000-0000-0000CC8F0000}"/>
    <cellStyle name="Normal 8 28 11" xfId="37381" xr:uid="{00000000-0005-0000-0000-0000CD8F0000}"/>
    <cellStyle name="Normal 8 28 12" xfId="37382" xr:uid="{00000000-0005-0000-0000-0000CE8F0000}"/>
    <cellStyle name="Normal 8 28 13" xfId="37383" xr:uid="{00000000-0005-0000-0000-0000CF8F0000}"/>
    <cellStyle name="Normal 8 28 2" xfId="37384" xr:uid="{00000000-0005-0000-0000-0000D08F0000}"/>
    <cellStyle name="Normal 8 28 2 2" xfId="37385" xr:uid="{00000000-0005-0000-0000-0000D18F0000}"/>
    <cellStyle name="Normal 8 28 2 3" xfId="37386" xr:uid="{00000000-0005-0000-0000-0000D28F0000}"/>
    <cellStyle name="Normal 8 28 2 4" xfId="37387" xr:uid="{00000000-0005-0000-0000-0000D38F0000}"/>
    <cellStyle name="Normal 8 28 2 5" xfId="37388" xr:uid="{00000000-0005-0000-0000-0000D48F0000}"/>
    <cellStyle name="Normal 8 28 2 6" xfId="37389" xr:uid="{00000000-0005-0000-0000-0000D58F0000}"/>
    <cellStyle name="Normal 8 28 3" xfId="37390" xr:uid="{00000000-0005-0000-0000-0000D68F0000}"/>
    <cellStyle name="Normal 8 28 3 2" xfId="37391" xr:uid="{00000000-0005-0000-0000-0000D78F0000}"/>
    <cellStyle name="Normal 8 28 3 3" xfId="37392" xr:uid="{00000000-0005-0000-0000-0000D88F0000}"/>
    <cellStyle name="Normal 8 28 3 4" xfId="37393" xr:uid="{00000000-0005-0000-0000-0000D98F0000}"/>
    <cellStyle name="Normal 8 28 3 5" xfId="37394" xr:uid="{00000000-0005-0000-0000-0000DA8F0000}"/>
    <cellStyle name="Normal 8 28 3 6" xfId="37395" xr:uid="{00000000-0005-0000-0000-0000DB8F0000}"/>
    <cellStyle name="Normal 8 28 4" xfId="37396" xr:uid="{00000000-0005-0000-0000-0000DC8F0000}"/>
    <cellStyle name="Normal 8 28 4 2" xfId="37397" xr:uid="{00000000-0005-0000-0000-0000DD8F0000}"/>
    <cellStyle name="Normal 8 28 4 3" xfId="37398" xr:uid="{00000000-0005-0000-0000-0000DE8F0000}"/>
    <cellStyle name="Normal 8 28 4 4" xfId="37399" xr:uid="{00000000-0005-0000-0000-0000DF8F0000}"/>
    <cellStyle name="Normal 8 28 4 5" xfId="37400" xr:uid="{00000000-0005-0000-0000-0000E08F0000}"/>
    <cellStyle name="Normal 8 28 4 6" xfId="37401" xr:uid="{00000000-0005-0000-0000-0000E18F0000}"/>
    <cellStyle name="Normal 8 28 5" xfId="37402" xr:uid="{00000000-0005-0000-0000-0000E28F0000}"/>
    <cellStyle name="Normal 8 28 5 2" xfId="37403" xr:uid="{00000000-0005-0000-0000-0000E38F0000}"/>
    <cellStyle name="Normal 8 28 5 3" xfId="37404" xr:uid="{00000000-0005-0000-0000-0000E48F0000}"/>
    <cellStyle name="Normal 8 28 5 4" xfId="37405" xr:uid="{00000000-0005-0000-0000-0000E58F0000}"/>
    <cellStyle name="Normal 8 28 5 5" xfId="37406" xr:uid="{00000000-0005-0000-0000-0000E68F0000}"/>
    <cellStyle name="Normal 8 28 5 6" xfId="37407" xr:uid="{00000000-0005-0000-0000-0000E78F0000}"/>
    <cellStyle name="Normal 8 28 6" xfId="37408" xr:uid="{00000000-0005-0000-0000-0000E88F0000}"/>
    <cellStyle name="Normal 8 28 6 2" xfId="37409" xr:uid="{00000000-0005-0000-0000-0000E98F0000}"/>
    <cellStyle name="Normal 8 28 6 3" xfId="37410" xr:uid="{00000000-0005-0000-0000-0000EA8F0000}"/>
    <cellStyle name="Normal 8 28 6 4" xfId="37411" xr:uid="{00000000-0005-0000-0000-0000EB8F0000}"/>
    <cellStyle name="Normal 8 28 6 5" xfId="37412" xr:uid="{00000000-0005-0000-0000-0000EC8F0000}"/>
    <cellStyle name="Normal 8 28 6 6" xfId="37413" xr:uid="{00000000-0005-0000-0000-0000ED8F0000}"/>
    <cellStyle name="Normal 8 28 7" xfId="37414" xr:uid="{00000000-0005-0000-0000-0000EE8F0000}"/>
    <cellStyle name="Normal 8 28 7 2" xfId="37415" xr:uid="{00000000-0005-0000-0000-0000EF8F0000}"/>
    <cellStyle name="Normal 8 28 7 3" xfId="37416" xr:uid="{00000000-0005-0000-0000-0000F08F0000}"/>
    <cellStyle name="Normal 8 28 7 4" xfId="37417" xr:uid="{00000000-0005-0000-0000-0000F18F0000}"/>
    <cellStyle name="Normal 8 28 7 5" xfId="37418" xr:uid="{00000000-0005-0000-0000-0000F28F0000}"/>
    <cellStyle name="Normal 8 28 7 6" xfId="37419" xr:uid="{00000000-0005-0000-0000-0000F38F0000}"/>
    <cellStyle name="Normal 8 28 8" xfId="37420" xr:uid="{00000000-0005-0000-0000-0000F48F0000}"/>
    <cellStyle name="Normal 8 28 8 2" xfId="37421" xr:uid="{00000000-0005-0000-0000-0000F58F0000}"/>
    <cellStyle name="Normal 8 28 8 3" xfId="37422" xr:uid="{00000000-0005-0000-0000-0000F68F0000}"/>
    <cellStyle name="Normal 8 28 8 4" xfId="37423" xr:uid="{00000000-0005-0000-0000-0000F78F0000}"/>
    <cellStyle name="Normal 8 28 8 5" xfId="37424" xr:uid="{00000000-0005-0000-0000-0000F88F0000}"/>
    <cellStyle name="Normal 8 28 8 6" xfId="37425" xr:uid="{00000000-0005-0000-0000-0000F98F0000}"/>
    <cellStyle name="Normal 8 28 9" xfId="37426" xr:uid="{00000000-0005-0000-0000-0000FA8F0000}"/>
    <cellStyle name="Normal 8 29" xfId="37427" xr:uid="{00000000-0005-0000-0000-0000FB8F0000}"/>
    <cellStyle name="Normal 8 29 10" xfId="37428" xr:uid="{00000000-0005-0000-0000-0000FC8F0000}"/>
    <cellStyle name="Normal 8 29 11" xfId="37429" xr:uid="{00000000-0005-0000-0000-0000FD8F0000}"/>
    <cellStyle name="Normal 8 29 12" xfId="37430" xr:uid="{00000000-0005-0000-0000-0000FE8F0000}"/>
    <cellStyle name="Normal 8 29 13" xfId="37431" xr:uid="{00000000-0005-0000-0000-0000FF8F0000}"/>
    <cellStyle name="Normal 8 29 2" xfId="37432" xr:uid="{00000000-0005-0000-0000-000000900000}"/>
    <cellStyle name="Normal 8 29 2 2" xfId="37433" xr:uid="{00000000-0005-0000-0000-000001900000}"/>
    <cellStyle name="Normal 8 29 2 3" xfId="37434" xr:uid="{00000000-0005-0000-0000-000002900000}"/>
    <cellStyle name="Normal 8 29 2 4" xfId="37435" xr:uid="{00000000-0005-0000-0000-000003900000}"/>
    <cellStyle name="Normal 8 29 2 5" xfId="37436" xr:uid="{00000000-0005-0000-0000-000004900000}"/>
    <cellStyle name="Normal 8 29 2 6" xfId="37437" xr:uid="{00000000-0005-0000-0000-000005900000}"/>
    <cellStyle name="Normal 8 29 3" xfId="37438" xr:uid="{00000000-0005-0000-0000-000006900000}"/>
    <cellStyle name="Normal 8 29 3 2" xfId="37439" xr:uid="{00000000-0005-0000-0000-000007900000}"/>
    <cellStyle name="Normal 8 29 3 3" xfId="37440" xr:uid="{00000000-0005-0000-0000-000008900000}"/>
    <cellStyle name="Normal 8 29 3 4" xfId="37441" xr:uid="{00000000-0005-0000-0000-000009900000}"/>
    <cellStyle name="Normal 8 29 3 5" xfId="37442" xr:uid="{00000000-0005-0000-0000-00000A900000}"/>
    <cellStyle name="Normal 8 29 3 6" xfId="37443" xr:uid="{00000000-0005-0000-0000-00000B900000}"/>
    <cellStyle name="Normal 8 29 4" xfId="37444" xr:uid="{00000000-0005-0000-0000-00000C900000}"/>
    <cellStyle name="Normal 8 29 4 2" xfId="37445" xr:uid="{00000000-0005-0000-0000-00000D900000}"/>
    <cellStyle name="Normal 8 29 4 3" xfId="37446" xr:uid="{00000000-0005-0000-0000-00000E900000}"/>
    <cellStyle name="Normal 8 29 4 4" xfId="37447" xr:uid="{00000000-0005-0000-0000-00000F900000}"/>
    <cellStyle name="Normal 8 29 4 5" xfId="37448" xr:uid="{00000000-0005-0000-0000-000010900000}"/>
    <cellStyle name="Normal 8 29 4 6" xfId="37449" xr:uid="{00000000-0005-0000-0000-000011900000}"/>
    <cellStyle name="Normal 8 29 5" xfId="37450" xr:uid="{00000000-0005-0000-0000-000012900000}"/>
    <cellStyle name="Normal 8 29 5 2" xfId="37451" xr:uid="{00000000-0005-0000-0000-000013900000}"/>
    <cellStyle name="Normal 8 29 5 3" xfId="37452" xr:uid="{00000000-0005-0000-0000-000014900000}"/>
    <cellStyle name="Normal 8 29 5 4" xfId="37453" xr:uid="{00000000-0005-0000-0000-000015900000}"/>
    <cellStyle name="Normal 8 29 5 5" xfId="37454" xr:uid="{00000000-0005-0000-0000-000016900000}"/>
    <cellStyle name="Normal 8 29 5 6" xfId="37455" xr:uid="{00000000-0005-0000-0000-000017900000}"/>
    <cellStyle name="Normal 8 29 6" xfId="37456" xr:uid="{00000000-0005-0000-0000-000018900000}"/>
    <cellStyle name="Normal 8 29 6 2" xfId="37457" xr:uid="{00000000-0005-0000-0000-000019900000}"/>
    <cellStyle name="Normal 8 29 6 3" xfId="37458" xr:uid="{00000000-0005-0000-0000-00001A900000}"/>
    <cellStyle name="Normal 8 29 6 4" xfId="37459" xr:uid="{00000000-0005-0000-0000-00001B900000}"/>
    <cellStyle name="Normal 8 29 6 5" xfId="37460" xr:uid="{00000000-0005-0000-0000-00001C900000}"/>
    <cellStyle name="Normal 8 29 6 6" xfId="37461" xr:uid="{00000000-0005-0000-0000-00001D900000}"/>
    <cellStyle name="Normal 8 29 7" xfId="37462" xr:uid="{00000000-0005-0000-0000-00001E900000}"/>
    <cellStyle name="Normal 8 29 7 2" xfId="37463" xr:uid="{00000000-0005-0000-0000-00001F900000}"/>
    <cellStyle name="Normal 8 29 7 3" xfId="37464" xr:uid="{00000000-0005-0000-0000-000020900000}"/>
    <cellStyle name="Normal 8 29 7 4" xfId="37465" xr:uid="{00000000-0005-0000-0000-000021900000}"/>
    <cellStyle name="Normal 8 29 7 5" xfId="37466" xr:uid="{00000000-0005-0000-0000-000022900000}"/>
    <cellStyle name="Normal 8 29 7 6" xfId="37467" xr:uid="{00000000-0005-0000-0000-000023900000}"/>
    <cellStyle name="Normal 8 29 8" xfId="37468" xr:uid="{00000000-0005-0000-0000-000024900000}"/>
    <cellStyle name="Normal 8 29 8 2" xfId="37469" xr:uid="{00000000-0005-0000-0000-000025900000}"/>
    <cellStyle name="Normal 8 29 8 3" xfId="37470" xr:uid="{00000000-0005-0000-0000-000026900000}"/>
    <cellStyle name="Normal 8 29 8 4" xfId="37471" xr:uid="{00000000-0005-0000-0000-000027900000}"/>
    <cellStyle name="Normal 8 29 8 5" xfId="37472" xr:uid="{00000000-0005-0000-0000-000028900000}"/>
    <cellStyle name="Normal 8 29 8 6" xfId="37473" xr:uid="{00000000-0005-0000-0000-000029900000}"/>
    <cellStyle name="Normal 8 29 9" xfId="37474" xr:uid="{00000000-0005-0000-0000-00002A900000}"/>
    <cellStyle name="Normal 8 3" xfId="1078" xr:uid="{00000000-0005-0000-0000-00002B900000}"/>
    <cellStyle name="Normal 8 3 10" xfId="37475" xr:uid="{00000000-0005-0000-0000-00002C900000}"/>
    <cellStyle name="Normal 8 3 11" xfId="37476" xr:uid="{00000000-0005-0000-0000-00002D900000}"/>
    <cellStyle name="Normal 8 3 12" xfId="37477" xr:uid="{00000000-0005-0000-0000-00002E900000}"/>
    <cellStyle name="Normal 8 3 13" xfId="37478" xr:uid="{00000000-0005-0000-0000-00002F900000}"/>
    <cellStyle name="Normal 8 3 14" xfId="37479" xr:uid="{00000000-0005-0000-0000-000030900000}"/>
    <cellStyle name="Normal 8 3 15" xfId="43472" xr:uid="{C22340D2-EFDD-4F69-8AA4-32D20DE10A89}"/>
    <cellStyle name="Normal 8 3 2" xfId="37480" xr:uid="{00000000-0005-0000-0000-000031900000}"/>
    <cellStyle name="Normal 8 3 2 2" xfId="37481" xr:uid="{00000000-0005-0000-0000-000032900000}"/>
    <cellStyle name="Normal 8 3 2 2 2" xfId="43750" xr:uid="{40AD805C-D2EB-4082-B5F0-E81BF192A75B}"/>
    <cellStyle name="Normal 8 3 2 2 3" xfId="43933" xr:uid="{0E1AC6A4-CE7B-49E3-B63A-FF2195E12DE5}"/>
    <cellStyle name="Normal 8 3 2 2 4" xfId="43567" xr:uid="{98A285E3-BFEB-4A17-B0E1-AC9858D8B628}"/>
    <cellStyle name="Normal 8 3 2 3" xfId="37482" xr:uid="{00000000-0005-0000-0000-000033900000}"/>
    <cellStyle name="Normal 8 3 2 3 2" xfId="43683" xr:uid="{122FF87C-8C95-424B-BFE9-16EDFB66D8AE}"/>
    <cellStyle name="Normal 8 3 2 4" xfId="37483" xr:uid="{00000000-0005-0000-0000-000034900000}"/>
    <cellStyle name="Normal 8 3 2 4 2" xfId="43866" xr:uid="{92C080F1-B64D-4DEB-9ABD-94F649DB79B6}"/>
    <cellStyle name="Normal 8 3 2 5" xfId="37484" xr:uid="{00000000-0005-0000-0000-000035900000}"/>
    <cellStyle name="Normal 8 3 2 6" xfId="37485" xr:uid="{00000000-0005-0000-0000-000036900000}"/>
    <cellStyle name="Normal 8 3 2 7" xfId="43500" xr:uid="{9162B9A3-5A28-43C5-837A-46DBC82DF5CD}"/>
    <cellStyle name="Normal 8 3 3" xfId="37486" xr:uid="{00000000-0005-0000-0000-000037900000}"/>
    <cellStyle name="Normal 8 3 3 2" xfId="37487" xr:uid="{00000000-0005-0000-0000-000038900000}"/>
    <cellStyle name="Normal 8 3 3 2 2" xfId="43722" xr:uid="{49821762-D112-436F-93BF-5613F7E86194}"/>
    <cellStyle name="Normal 8 3 3 3" xfId="37488" xr:uid="{00000000-0005-0000-0000-000039900000}"/>
    <cellStyle name="Normal 8 3 3 3 2" xfId="43905" xr:uid="{BC5B809E-B51A-44B5-9999-DB75D6A66114}"/>
    <cellStyle name="Normal 8 3 3 4" xfId="37489" xr:uid="{00000000-0005-0000-0000-00003A900000}"/>
    <cellStyle name="Normal 8 3 3 5" xfId="37490" xr:uid="{00000000-0005-0000-0000-00003B900000}"/>
    <cellStyle name="Normal 8 3 3 6" xfId="37491" xr:uid="{00000000-0005-0000-0000-00003C900000}"/>
    <cellStyle name="Normal 8 3 3 7" xfId="43539" xr:uid="{FA0EEB34-34B9-43B9-8E09-2570B37CC318}"/>
    <cellStyle name="Normal 8 3 4" xfId="37492" xr:uid="{00000000-0005-0000-0000-00003D900000}"/>
    <cellStyle name="Normal 8 3 4 2" xfId="37493" xr:uid="{00000000-0005-0000-0000-00003E900000}"/>
    <cellStyle name="Normal 8 3 4 2 2" xfId="43784" xr:uid="{F19795DE-EA5F-460C-B0C2-E3724D73D599}"/>
    <cellStyle name="Normal 8 3 4 3" xfId="37494" xr:uid="{00000000-0005-0000-0000-00003F900000}"/>
    <cellStyle name="Normal 8 3 4 3 2" xfId="43967" xr:uid="{BF047856-09F9-4734-AF16-4EDF43629876}"/>
    <cellStyle name="Normal 8 3 4 4" xfId="37495" xr:uid="{00000000-0005-0000-0000-000040900000}"/>
    <cellStyle name="Normal 8 3 4 5" xfId="37496" xr:uid="{00000000-0005-0000-0000-000041900000}"/>
    <cellStyle name="Normal 8 3 4 6" xfId="37497" xr:uid="{00000000-0005-0000-0000-000042900000}"/>
    <cellStyle name="Normal 8 3 4 7" xfId="43601" xr:uid="{37C183C9-780D-4A3E-A10A-80425B8BAC38}"/>
    <cellStyle name="Normal 8 3 5" xfId="37498" xr:uid="{00000000-0005-0000-0000-000043900000}"/>
    <cellStyle name="Normal 8 3 5 2" xfId="37499" xr:uid="{00000000-0005-0000-0000-000044900000}"/>
    <cellStyle name="Normal 8 3 5 3" xfId="37500" xr:uid="{00000000-0005-0000-0000-000045900000}"/>
    <cellStyle name="Normal 8 3 5 4" xfId="37501" xr:uid="{00000000-0005-0000-0000-000046900000}"/>
    <cellStyle name="Normal 8 3 5 5" xfId="37502" xr:uid="{00000000-0005-0000-0000-000047900000}"/>
    <cellStyle name="Normal 8 3 5 6" xfId="37503" xr:uid="{00000000-0005-0000-0000-000048900000}"/>
    <cellStyle name="Normal 8 3 5 7" xfId="43660" xr:uid="{B10D2099-7770-458A-BAFD-3D9F11A050BC}"/>
    <cellStyle name="Normal 8 3 6" xfId="37504" xr:uid="{00000000-0005-0000-0000-000049900000}"/>
    <cellStyle name="Normal 8 3 6 2" xfId="37505" xr:uid="{00000000-0005-0000-0000-00004A900000}"/>
    <cellStyle name="Normal 8 3 6 3" xfId="37506" xr:uid="{00000000-0005-0000-0000-00004B900000}"/>
    <cellStyle name="Normal 8 3 6 4" xfId="37507" xr:uid="{00000000-0005-0000-0000-00004C900000}"/>
    <cellStyle name="Normal 8 3 6 5" xfId="37508" xr:uid="{00000000-0005-0000-0000-00004D900000}"/>
    <cellStyle name="Normal 8 3 6 6" xfId="37509" xr:uid="{00000000-0005-0000-0000-00004E900000}"/>
    <cellStyle name="Normal 8 3 6 7" xfId="43843" xr:uid="{1D55DB24-CED6-4905-A38B-CCF3303716CD}"/>
    <cellStyle name="Normal 8 3 7" xfId="37510" xr:uid="{00000000-0005-0000-0000-00004F900000}"/>
    <cellStyle name="Normal 8 3 7 2" xfId="37511" xr:uid="{00000000-0005-0000-0000-000050900000}"/>
    <cellStyle name="Normal 8 3 7 3" xfId="37512" xr:uid="{00000000-0005-0000-0000-000051900000}"/>
    <cellStyle name="Normal 8 3 7 4" xfId="37513" xr:uid="{00000000-0005-0000-0000-000052900000}"/>
    <cellStyle name="Normal 8 3 7 5" xfId="37514" xr:uid="{00000000-0005-0000-0000-000053900000}"/>
    <cellStyle name="Normal 8 3 7 6" xfId="37515" xr:uid="{00000000-0005-0000-0000-000054900000}"/>
    <cellStyle name="Normal 8 3 8" xfId="37516" xr:uid="{00000000-0005-0000-0000-000055900000}"/>
    <cellStyle name="Normal 8 3 8 2" xfId="37517" xr:uid="{00000000-0005-0000-0000-000056900000}"/>
    <cellStyle name="Normal 8 3 8 3" xfId="37518" xr:uid="{00000000-0005-0000-0000-000057900000}"/>
    <cellStyle name="Normal 8 3 8 4" xfId="37519" xr:uid="{00000000-0005-0000-0000-000058900000}"/>
    <cellStyle name="Normal 8 3 8 5" xfId="37520" xr:uid="{00000000-0005-0000-0000-000059900000}"/>
    <cellStyle name="Normal 8 3 8 6" xfId="37521" xr:uid="{00000000-0005-0000-0000-00005A900000}"/>
    <cellStyle name="Normal 8 3 9" xfId="37522" xr:uid="{00000000-0005-0000-0000-00005B900000}"/>
    <cellStyle name="Normal 8 30" xfId="37523" xr:uid="{00000000-0005-0000-0000-00005C900000}"/>
    <cellStyle name="Normal 8 30 10" xfId="37524" xr:uid="{00000000-0005-0000-0000-00005D900000}"/>
    <cellStyle name="Normal 8 30 11" xfId="37525" xr:uid="{00000000-0005-0000-0000-00005E900000}"/>
    <cellStyle name="Normal 8 30 12" xfId="37526" xr:uid="{00000000-0005-0000-0000-00005F900000}"/>
    <cellStyle name="Normal 8 30 13" xfId="37527" xr:uid="{00000000-0005-0000-0000-000060900000}"/>
    <cellStyle name="Normal 8 30 2" xfId="37528" xr:uid="{00000000-0005-0000-0000-000061900000}"/>
    <cellStyle name="Normal 8 30 2 2" xfId="37529" xr:uid="{00000000-0005-0000-0000-000062900000}"/>
    <cellStyle name="Normal 8 30 2 3" xfId="37530" xr:uid="{00000000-0005-0000-0000-000063900000}"/>
    <cellStyle name="Normal 8 30 2 4" xfId="37531" xr:uid="{00000000-0005-0000-0000-000064900000}"/>
    <cellStyle name="Normal 8 30 2 5" xfId="37532" xr:uid="{00000000-0005-0000-0000-000065900000}"/>
    <cellStyle name="Normal 8 30 2 6" xfId="37533" xr:uid="{00000000-0005-0000-0000-000066900000}"/>
    <cellStyle name="Normal 8 30 3" xfId="37534" xr:uid="{00000000-0005-0000-0000-000067900000}"/>
    <cellStyle name="Normal 8 30 3 2" xfId="37535" xr:uid="{00000000-0005-0000-0000-000068900000}"/>
    <cellStyle name="Normal 8 30 3 3" xfId="37536" xr:uid="{00000000-0005-0000-0000-000069900000}"/>
    <cellStyle name="Normal 8 30 3 4" xfId="37537" xr:uid="{00000000-0005-0000-0000-00006A900000}"/>
    <cellStyle name="Normal 8 30 3 5" xfId="37538" xr:uid="{00000000-0005-0000-0000-00006B900000}"/>
    <cellStyle name="Normal 8 30 3 6" xfId="37539" xr:uid="{00000000-0005-0000-0000-00006C900000}"/>
    <cellStyle name="Normal 8 30 4" xfId="37540" xr:uid="{00000000-0005-0000-0000-00006D900000}"/>
    <cellStyle name="Normal 8 30 4 2" xfId="37541" xr:uid="{00000000-0005-0000-0000-00006E900000}"/>
    <cellStyle name="Normal 8 30 4 3" xfId="37542" xr:uid="{00000000-0005-0000-0000-00006F900000}"/>
    <cellStyle name="Normal 8 30 4 4" xfId="37543" xr:uid="{00000000-0005-0000-0000-000070900000}"/>
    <cellStyle name="Normal 8 30 4 5" xfId="37544" xr:uid="{00000000-0005-0000-0000-000071900000}"/>
    <cellStyle name="Normal 8 30 4 6" xfId="37545" xr:uid="{00000000-0005-0000-0000-000072900000}"/>
    <cellStyle name="Normal 8 30 5" xfId="37546" xr:uid="{00000000-0005-0000-0000-000073900000}"/>
    <cellStyle name="Normal 8 30 5 2" xfId="37547" xr:uid="{00000000-0005-0000-0000-000074900000}"/>
    <cellStyle name="Normal 8 30 5 3" xfId="37548" xr:uid="{00000000-0005-0000-0000-000075900000}"/>
    <cellStyle name="Normal 8 30 5 4" xfId="37549" xr:uid="{00000000-0005-0000-0000-000076900000}"/>
    <cellStyle name="Normal 8 30 5 5" xfId="37550" xr:uid="{00000000-0005-0000-0000-000077900000}"/>
    <cellStyle name="Normal 8 30 5 6" xfId="37551" xr:uid="{00000000-0005-0000-0000-000078900000}"/>
    <cellStyle name="Normal 8 30 6" xfId="37552" xr:uid="{00000000-0005-0000-0000-000079900000}"/>
    <cellStyle name="Normal 8 30 6 2" xfId="37553" xr:uid="{00000000-0005-0000-0000-00007A900000}"/>
    <cellStyle name="Normal 8 30 6 3" xfId="37554" xr:uid="{00000000-0005-0000-0000-00007B900000}"/>
    <cellStyle name="Normal 8 30 6 4" xfId="37555" xr:uid="{00000000-0005-0000-0000-00007C900000}"/>
    <cellStyle name="Normal 8 30 6 5" xfId="37556" xr:uid="{00000000-0005-0000-0000-00007D900000}"/>
    <cellStyle name="Normal 8 30 6 6" xfId="37557" xr:uid="{00000000-0005-0000-0000-00007E900000}"/>
    <cellStyle name="Normal 8 30 7" xfId="37558" xr:uid="{00000000-0005-0000-0000-00007F900000}"/>
    <cellStyle name="Normal 8 30 7 2" xfId="37559" xr:uid="{00000000-0005-0000-0000-000080900000}"/>
    <cellStyle name="Normal 8 30 7 3" xfId="37560" xr:uid="{00000000-0005-0000-0000-000081900000}"/>
    <cellStyle name="Normal 8 30 7 4" xfId="37561" xr:uid="{00000000-0005-0000-0000-000082900000}"/>
    <cellStyle name="Normal 8 30 7 5" xfId="37562" xr:uid="{00000000-0005-0000-0000-000083900000}"/>
    <cellStyle name="Normal 8 30 7 6" xfId="37563" xr:uid="{00000000-0005-0000-0000-000084900000}"/>
    <cellStyle name="Normal 8 30 8" xfId="37564" xr:uid="{00000000-0005-0000-0000-000085900000}"/>
    <cellStyle name="Normal 8 30 8 2" xfId="37565" xr:uid="{00000000-0005-0000-0000-000086900000}"/>
    <cellStyle name="Normal 8 30 8 3" xfId="37566" xr:uid="{00000000-0005-0000-0000-000087900000}"/>
    <cellStyle name="Normal 8 30 8 4" xfId="37567" xr:uid="{00000000-0005-0000-0000-000088900000}"/>
    <cellStyle name="Normal 8 30 8 5" xfId="37568" xr:uid="{00000000-0005-0000-0000-000089900000}"/>
    <cellStyle name="Normal 8 30 8 6" xfId="37569" xr:uid="{00000000-0005-0000-0000-00008A900000}"/>
    <cellStyle name="Normal 8 30 9" xfId="37570" xr:uid="{00000000-0005-0000-0000-00008B900000}"/>
    <cellStyle name="Normal 8 31" xfId="37571" xr:uid="{00000000-0005-0000-0000-00008C900000}"/>
    <cellStyle name="Normal 8 31 10" xfId="37572" xr:uid="{00000000-0005-0000-0000-00008D900000}"/>
    <cellStyle name="Normal 8 31 11" xfId="37573" xr:uid="{00000000-0005-0000-0000-00008E900000}"/>
    <cellStyle name="Normal 8 31 12" xfId="37574" xr:uid="{00000000-0005-0000-0000-00008F900000}"/>
    <cellStyle name="Normal 8 31 13" xfId="37575" xr:uid="{00000000-0005-0000-0000-000090900000}"/>
    <cellStyle name="Normal 8 31 2" xfId="37576" xr:uid="{00000000-0005-0000-0000-000091900000}"/>
    <cellStyle name="Normal 8 31 2 2" xfId="37577" xr:uid="{00000000-0005-0000-0000-000092900000}"/>
    <cellStyle name="Normal 8 31 2 3" xfId="37578" xr:uid="{00000000-0005-0000-0000-000093900000}"/>
    <cellStyle name="Normal 8 31 2 4" xfId="37579" xr:uid="{00000000-0005-0000-0000-000094900000}"/>
    <cellStyle name="Normal 8 31 2 5" xfId="37580" xr:uid="{00000000-0005-0000-0000-000095900000}"/>
    <cellStyle name="Normal 8 31 2 6" xfId="37581" xr:uid="{00000000-0005-0000-0000-000096900000}"/>
    <cellStyle name="Normal 8 31 3" xfId="37582" xr:uid="{00000000-0005-0000-0000-000097900000}"/>
    <cellStyle name="Normal 8 31 3 2" xfId="37583" xr:uid="{00000000-0005-0000-0000-000098900000}"/>
    <cellStyle name="Normal 8 31 3 3" xfId="37584" xr:uid="{00000000-0005-0000-0000-000099900000}"/>
    <cellStyle name="Normal 8 31 3 4" xfId="37585" xr:uid="{00000000-0005-0000-0000-00009A900000}"/>
    <cellStyle name="Normal 8 31 3 5" xfId="37586" xr:uid="{00000000-0005-0000-0000-00009B900000}"/>
    <cellStyle name="Normal 8 31 3 6" xfId="37587" xr:uid="{00000000-0005-0000-0000-00009C900000}"/>
    <cellStyle name="Normal 8 31 4" xfId="37588" xr:uid="{00000000-0005-0000-0000-00009D900000}"/>
    <cellStyle name="Normal 8 31 4 2" xfId="37589" xr:uid="{00000000-0005-0000-0000-00009E900000}"/>
    <cellStyle name="Normal 8 31 4 3" xfId="37590" xr:uid="{00000000-0005-0000-0000-00009F900000}"/>
    <cellStyle name="Normal 8 31 4 4" xfId="37591" xr:uid="{00000000-0005-0000-0000-0000A0900000}"/>
    <cellStyle name="Normal 8 31 4 5" xfId="37592" xr:uid="{00000000-0005-0000-0000-0000A1900000}"/>
    <cellStyle name="Normal 8 31 4 6" xfId="37593" xr:uid="{00000000-0005-0000-0000-0000A2900000}"/>
    <cellStyle name="Normal 8 31 5" xfId="37594" xr:uid="{00000000-0005-0000-0000-0000A3900000}"/>
    <cellStyle name="Normal 8 31 5 2" xfId="37595" xr:uid="{00000000-0005-0000-0000-0000A4900000}"/>
    <cellStyle name="Normal 8 31 5 3" xfId="37596" xr:uid="{00000000-0005-0000-0000-0000A5900000}"/>
    <cellStyle name="Normal 8 31 5 4" xfId="37597" xr:uid="{00000000-0005-0000-0000-0000A6900000}"/>
    <cellStyle name="Normal 8 31 5 5" xfId="37598" xr:uid="{00000000-0005-0000-0000-0000A7900000}"/>
    <cellStyle name="Normal 8 31 5 6" xfId="37599" xr:uid="{00000000-0005-0000-0000-0000A8900000}"/>
    <cellStyle name="Normal 8 31 6" xfId="37600" xr:uid="{00000000-0005-0000-0000-0000A9900000}"/>
    <cellStyle name="Normal 8 31 6 2" xfId="37601" xr:uid="{00000000-0005-0000-0000-0000AA900000}"/>
    <cellStyle name="Normal 8 31 6 3" xfId="37602" xr:uid="{00000000-0005-0000-0000-0000AB900000}"/>
    <cellStyle name="Normal 8 31 6 4" xfId="37603" xr:uid="{00000000-0005-0000-0000-0000AC900000}"/>
    <cellStyle name="Normal 8 31 6 5" xfId="37604" xr:uid="{00000000-0005-0000-0000-0000AD900000}"/>
    <cellStyle name="Normal 8 31 6 6" xfId="37605" xr:uid="{00000000-0005-0000-0000-0000AE900000}"/>
    <cellStyle name="Normal 8 31 7" xfId="37606" xr:uid="{00000000-0005-0000-0000-0000AF900000}"/>
    <cellStyle name="Normal 8 31 7 2" xfId="37607" xr:uid="{00000000-0005-0000-0000-0000B0900000}"/>
    <cellStyle name="Normal 8 31 7 3" xfId="37608" xr:uid="{00000000-0005-0000-0000-0000B1900000}"/>
    <cellStyle name="Normal 8 31 7 4" xfId="37609" xr:uid="{00000000-0005-0000-0000-0000B2900000}"/>
    <cellStyle name="Normal 8 31 7 5" xfId="37610" xr:uid="{00000000-0005-0000-0000-0000B3900000}"/>
    <cellStyle name="Normal 8 31 7 6" xfId="37611" xr:uid="{00000000-0005-0000-0000-0000B4900000}"/>
    <cellStyle name="Normal 8 31 8" xfId="37612" xr:uid="{00000000-0005-0000-0000-0000B5900000}"/>
    <cellStyle name="Normal 8 31 8 2" xfId="37613" xr:uid="{00000000-0005-0000-0000-0000B6900000}"/>
    <cellStyle name="Normal 8 31 8 3" xfId="37614" xr:uid="{00000000-0005-0000-0000-0000B7900000}"/>
    <cellStyle name="Normal 8 31 8 4" xfId="37615" xr:uid="{00000000-0005-0000-0000-0000B8900000}"/>
    <cellStyle name="Normal 8 31 8 5" xfId="37616" xr:uid="{00000000-0005-0000-0000-0000B9900000}"/>
    <cellStyle name="Normal 8 31 8 6" xfId="37617" xr:uid="{00000000-0005-0000-0000-0000BA900000}"/>
    <cellStyle name="Normal 8 31 9" xfId="37618" xr:uid="{00000000-0005-0000-0000-0000BB900000}"/>
    <cellStyle name="Normal 8 32" xfId="37619" xr:uid="{00000000-0005-0000-0000-0000BC900000}"/>
    <cellStyle name="Normal 8 32 10" xfId="37620" xr:uid="{00000000-0005-0000-0000-0000BD900000}"/>
    <cellStyle name="Normal 8 32 11" xfId="37621" xr:uid="{00000000-0005-0000-0000-0000BE900000}"/>
    <cellStyle name="Normal 8 32 12" xfId="37622" xr:uid="{00000000-0005-0000-0000-0000BF900000}"/>
    <cellStyle name="Normal 8 32 13" xfId="37623" xr:uid="{00000000-0005-0000-0000-0000C0900000}"/>
    <cellStyle name="Normal 8 32 2" xfId="37624" xr:uid="{00000000-0005-0000-0000-0000C1900000}"/>
    <cellStyle name="Normal 8 32 2 2" xfId="37625" xr:uid="{00000000-0005-0000-0000-0000C2900000}"/>
    <cellStyle name="Normal 8 32 2 3" xfId="37626" xr:uid="{00000000-0005-0000-0000-0000C3900000}"/>
    <cellStyle name="Normal 8 32 2 4" xfId="37627" xr:uid="{00000000-0005-0000-0000-0000C4900000}"/>
    <cellStyle name="Normal 8 32 2 5" xfId="37628" xr:uid="{00000000-0005-0000-0000-0000C5900000}"/>
    <cellStyle name="Normal 8 32 2 6" xfId="37629" xr:uid="{00000000-0005-0000-0000-0000C6900000}"/>
    <cellStyle name="Normal 8 32 3" xfId="37630" xr:uid="{00000000-0005-0000-0000-0000C7900000}"/>
    <cellStyle name="Normal 8 32 3 2" xfId="37631" xr:uid="{00000000-0005-0000-0000-0000C8900000}"/>
    <cellStyle name="Normal 8 32 3 3" xfId="37632" xr:uid="{00000000-0005-0000-0000-0000C9900000}"/>
    <cellStyle name="Normal 8 32 3 4" xfId="37633" xr:uid="{00000000-0005-0000-0000-0000CA900000}"/>
    <cellStyle name="Normal 8 32 3 5" xfId="37634" xr:uid="{00000000-0005-0000-0000-0000CB900000}"/>
    <cellStyle name="Normal 8 32 3 6" xfId="37635" xr:uid="{00000000-0005-0000-0000-0000CC900000}"/>
    <cellStyle name="Normal 8 32 4" xfId="37636" xr:uid="{00000000-0005-0000-0000-0000CD900000}"/>
    <cellStyle name="Normal 8 32 4 2" xfId="37637" xr:uid="{00000000-0005-0000-0000-0000CE900000}"/>
    <cellStyle name="Normal 8 32 4 3" xfId="37638" xr:uid="{00000000-0005-0000-0000-0000CF900000}"/>
    <cellStyle name="Normal 8 32 4 4" xfId="37639" xr:uid="{00000000-0005-0000-0000-0000D0900000}"/>
    <cellStyle name="Normal 8 32 4 5" xfId="37640" xr:uid="{00000000-0005-0000-0000-0000D1900000}"/>
    <cellStyle name="Normal 8 32 4 6" xfId="37641" xr:uid="{00000000-0005-0000-0000-0000D2900000}"/>
    <cellStyle name="Normal 8 32 5" xfId="37642" xr:uid="{00000000-0005-0000-0000-0000D3900000}"/>
    <cellStyle name="Normal 8 32 5 2" xfId="37643" xr:uid="{00000000-0005-0000-0000-0000D4900000}"/>
    <cellStyle name="Normal 8 32 5 3" xfId="37644" xr:uid="{00000000-0005-0000-0000-0000D5900000}"/>
    <cellStyle name="Normal 8 32 5 4" xfId="37645" xr:uid="{00000000-0005-0000-0000-0000D6900000}"/>
    <cellStyle name="Normal 8 32 5 5" xfId="37646" xr:uid="{00000000-0005-0000-0000-0000D7900000}"/>
    <cellStyle name="Normal 8 32 5 6" xfId="37647" xr:uid="{00000000-0005-0000-0000-0000D8900000}"/>
    <cellStyle name="Normal 8 32 6" xfId="37648" xr:uid="{00000000-0005-0000-0000-0000D9900000}"/>
    <cellStyle name="Normal 8 32 6 2" xfId="37649" xr:uid="{00000000-0005-0000-0000-0000DA900000}"/>
    <cellStyle name="Normal 8 32 6 3" xfId="37650" xr:uid="{00000000-0005-0000-0000-0000DB900000}"/>
    <cellStyle name="Normal 8 32 6 4" xfId="37651" xr:uid="{00000000-0005-0000-0000-0000DC900000}"/>
    <cellStyle name="Normal 8 32 6 5" xfId="37652" xr:uid="{00000000-0005-0000-0000-0000DD900000}"/>
    <cellStyle name="Normal 8 32 6 6" xfId="37653" xr:uid="{00000000-0005-0000-0000-0000DE900000}"/>
    <cellStyle name="Normal 8 32 7" xfId="37654" xr:uid="{00000000-0005-0000-0000-0000DF900000}"/>
    <cellStyle name="Normal 8 32 7 2" xfId="37655" xr:uid="{00000000-0005-0000-0000-0000E0900000}"/>
    <cellStyle name="Normal 8 32 7 3" xfId="37656" xr:uid="{00000000-0005-0000-0000-0000E1900000}"/>
    <cellStyle name="Normal 8 32 7 4" xfId="37657" xr:uid="{00000000-0005-0000-0000-0000E2900000}"/>
    <cellStyle name="Normal 8 32 7 5" xfId="37658" xr:uid="{00000000-0005-0000-0000-0000E3900000}"/>
    <cellStyle name="Normal 8 32 7 6" xfId="37659" xr:uid="{00000000-0005-0000-0000-0000E4900000}"/>
    <cellStyle name="Normal 8 32 8" xfId="37660" xr:uid="{00000000-0005-0000-0000-0000E5900000}"/>
    <cellStyle name="Normal 8 32 8 2" xfId="37661" xr:uid="{00000000-0005-0000-0000-0000E6900000}"/>
    <cellStyle name="Normal 8 32 8 3" xfId="37662" xr:uid="{00000000-0005-0000-0000-0000E7900000}"/>
    <cellStyle name="Normal 8 32 8 4" xfId="37663" xr:uid="{00000000-0005-0000-0000-0000E8900000}"/>
    <cellStyle name="Normal 8 32 8 5" xfId="37664" xr:uid="{00000000-0005-0000-0000-0000E9900000}"/>
    <cellStyle name="Normal 8 32 8 6" xfId="37665" xr:uid="{00000000-0005-0000-0000-0000EA900000}"/>
    <cellStyle name="Normal 8 32 9" xfId="37666" xr:uid="{00000000-0005-0000-0000-0000EB900000}"/>
    <cellStyle name="Normal 8 33" xfId="37667" xr:uid="{00000000-0005-0000-0000-0000EC900000}"/>
    <cellStyle name="Normal 8 33 10" xfId="37668" xr:uid="{00000000-0005-0000-0000-0000ED900000}"/>
    <cellStyle name="Normal 8 33 11" xfId="37669" xr:uid="{00000000-0005-0000-0000-0000EE900000}"/>
    <cellStyle name="Normal 8 33 12" xfId="37670" xr:uid="{00000000-0005-0000-0000-0000EF900000}"/>
    <cellStyle name="Normal 8 33 13" xfId="37671" xr:uid="{00000000-0005-0000-0000-0000F0900000}"/>
    <cellStyle name="Normal 8 33 2" xfId="37672" xr:uid="{00000000-0005-0000-0000-0000F1900000}"/>
    <cellStyle name="Normal 8 33 2 2" xfId="37673" xr:uid="{00000000-0005-0000-0000-0000F2900000}"/>
    <cellStyle name="Normal 8 33 2 3" xfId="37674" xr:uid="{00000000-0005-0000-0000-0000F3900000}"/>
    <cellStyle name="Normal 8 33 2 4" xfId="37675" xr:uid="{00000000-0005-0000-0000-0000F4900000}"/>
    <cellStyle name="Normal 8 33 2 5" xfId="37676" xr:uid="{00000000-0005-0000-0000-0000F5900000}"/>
    <cellStyle name="Normal 8 33 2 6" xfId="37677" xr:uid="{00000000-0005-0000-0000-0000F6900000}"/>
    <cellStyle name="Normal 8 33 3" xfId="37678" xr:uid="{00000000-0005-0000-0000-0000F7900000}"/>
    <cellStyle name="Normal 8 33 3 2" xfId="37679" xr:uid="{00000000-0005-0000-0000-0000F8900000}"/>
    <cellStyle name="Normal 8 33 3 3" xfId="37680" xr:uid="{00000000-0005-0000-0000-0000F9900000}"/>
    <cellStyle name="Normal 8 33 3 4" xfId="37681" xr:uid="{00000000-0005-0000-0000-0000FA900000}"/>
    <cellStyle name="Normal 8 33 3 5" xfId="37682" xr:uid="{00000000-0005-0000-0000-0000FB900000}"/>
    <cellStyle name="Normal 8 33 3 6" xfId="37683" xr:uid="{00000000-0005-0000-0000-0000FC900000}"/>
    <cellStyle name="Normal 8 33 4" xfId="37684" xr:uid="{00000000-0005-0000-0000-0000FD900000}"/>
    <cellStyle name="Normal 8 33 4 2" xfId="37685" xr:uid="{00000000-0005-0000-0000-0000FE900000}"/>
    <cellStyle name="Normal 8 33 4 3" xfId="37686" xr:uid="{00000000-0005-0000-0000-0000FF900000}"/>
    <cellStyle name="Normal 8 33 4 4" xfId="37687" xr:uid="{00000000-0005-0000-0000-000000910000}"/>
    <cellStyle name="Normal 8 33 4 5" xfId="37688" xr:uid="{00000000-0005-0000-0000-000001910000}"/>
    <cellStyle name="Normal 8 33 4 6" xfId="37689" xr:uid="{00000000-0005-0000-0000-000002910000}"/>
    <cellStyle name="Normal 8 33 5" xfId="37690" xr:uid="{00000000-0005-0000-0000-000003910000}"/>
    <cellStyle name="Normal 8 33 5 2" xfId="37691" xr:uid="{00000000-0005-0000-0000-000004910000}"/>
    <cellStyle name="Normal 8 33 5 3" xfId="37692" xr:uid="{00000000-0005-0000-0000-000005910000}"/>
    <cellStyle name="Normal 8 33 5 4" xfId="37693" xr:uid="{00000000-0005-0000-0000-000006910000}"/>
    <cellStyle name="Normal 8 33 5 5" xfId="37694" xr:uid="{00000000-0005-0000-0000-000007910000}"/>
    <cellStyle name="Normal 8 33 5 6" xfId="37695" xr:uid="{00000000-0005-0000-0000-000008910000}"/>
    <cellStyle name="Normal 8 33 6" xfId="37696" xr:uid="{00000000-0005-0000-0000-000009910000}"/>
    <cellStyle name="Normal 8 33 6 2" xfId="37697" xr:uid="{00000000-0005-0000-0000-00000A910000}"/>
    <cellStyle name="Normal 8 33 6 3" xfId="37698" xr:uid="{00000000-0005-0000-0000-00000B910000}"/>
    <cellStyle name="Normal 8 33 6 4" xfId="37699" xr:uid="{00000000-0005-0000-0000-00000C910000}"/>
    <cellStyle name="Normal 8 33 6 5" xfId="37700" xr:uid="{00000000-0005-0000-0000-00000D910000}"/>
    <cellStyle name="Normal 8 33 6 6" xfId="37701" xr:uid="{00000000-0005-0000-0000-00000E910000}"/>
    <cellStyle name="Normal 8 33 7" xfId="37702" xr:uid="{00000000-0005-0000-0000-00000F910000}"/>
    <cellStyle name="Normal 8 33 7 2" xfId="37703" xr:uid="{00000000-0005-0000-0000-000010910000}"/>
    <cellStyle name="Normal 8 33 7 3" xfId="37704" xr:uid="{00000000-0005-0000-0000-000011910000}"/>
    <cellStyle name="Normal 8 33 7 4" xfId="37705" xr:uid="{00000000-0005-0000-0000-000012910000}"/>
    <cellStyle name="Normal 8 33 7 5" xfId="37706" xr:uid="{00000000-0005-0000-0000-000013910000}"/>
    <cellStyle name="Normal 8 33 7 6" xfId="37707" xr:uid="{00000000-0005-0000-0000-000014910000}"/>
    <cellStyle name="Normal 8 33 8" xfId="37708" xr:uid="{00000000-0005-0000-0000-000015910000}"/>
    <cellStyle name="Normal 8 33 8 2" xfId="37709" xr:uid="{00000000-0005-0000-0000-000016910000}"/>
    <cellStyle name="Normal 8 33 8 3" xfId="37710" xr:uid="{00000000-0005-0000-0000-000017910000}"/>
    <cellStyle name="Normal 8 33 8 4" xfId="37711" xr:uid="{00000000-0005-0000-0000-000018910000}"/>
    <cellStyle name="Normal 8 33 8 5" xfId="37712" xr:uid="{00000000-0005-0000-0000-000019910000}"/>
    <cellStyle name="Normal 8 33 8 6" xfId="37713" xr:uid="{00000000-0005-0000-0000-00001A910000}"/>
    <cellStyle name="Normal 8 33 9" xfId="37714" xr:uid="{00000000-0005-0000-0000-00001B910000}"/>
    <cellStyle name="Normal 8 34" xfId="37715" xr:uid="{00000000-0005-0000-0000-00001C910000}"/>
    <cellStyle name="Normal 8 34 2" xfId="37716" xr:uid="{00000000-0005-0000-0000-00001D910000}"/>
    <cellStyle name="Normal 8 34 3" xfId="37717" xr:uid="{00000000-0005-0000-0000-00001E910000}"/>
    <cellStyle name="Normal 8 34 4" xfId="37718" xr:uid="{00000000-0005-0000-0000-00001F910000}"/>
    <cellStyle name="Normal 8 34 5" xfId="37719" xr:uid="{00000000-0005-0000-0000-000020910000}"/>
    <cellStyle name="Normal 8 34 6" xfId="37720" xr:uid="{00000000-0005-0000-0000-000021910000}"/>
    <cellStyle name="Normal 8 35" xfId="37721" xr:uid="{00000000-0005-0000-0000-000022910000}"/>
    <cellStyle name="Normal 8 35 2" xfId="37722" xr:uid="{00000000-0005-0000-0000-000023910000}"/>
    <cellStyle name="Normal 8 35 3" xfId="37723" xr:uid="{00000000-0005-0000-0000-000024910000}"/>
    <cellStyle name="Normal 8 35 4" xfId="37724" xr:uid="{00000000-0005-0000-0000-000025910000}"/>
    <cellStyle name="Normal 8 35 5" xfId="37725" xr:uid="{00000000-0005-0000-0000-000026910000}"/>
    <cellStyle name="Normal 8 35 6" xfId="37726" xr:uid="{00000000-0005-0000-0000-000027910000}"/>
    <cellStyle name="Normal 8 36" xfId="37727" xr:uid="{00000000-0005-0000-0000-000028910000}"/>
    <cellStyle name="Normal 8 36 2" xfId="37728" xr:uid="{00000000-0005-0000-0000-000029910000}"/>
    <cellStyle name="Normal 8 36 3" xfId="37729" xr:uid="{00000000-0005-0000-0000-00002A910000}"/>
    <cellStyle name="Normal 8 36 4" xfId="37730" xr:uid="{00000000-0005-0000-0000-00002B910000}"/>
    <cellStyle name="Normal 8 36 5" xfId="37731" xr:uid="{00000000-0005-0000-0000-00002C910000}"/>
    <cellStyle name="Normal 8 36 6" xfId="37732" xr:uid="{00000000-0005-0000-0000-00002D910000}"/>
    <cellStyle name="Normal 8 37" xfId="37733" xr:uid="{00000000-0005-0000-0000-00002E910000}"/>
    <cellStyle name="Normal 8 37 2" xfId="37734" xr:uid="{00000000-0005-0000-0000-00002F910000}"/>
    <cellStyle name="Normal 8 37 3" xfId="37735" xr:uid="{00000000-0005-0000-0000-000030910000}"/>
    <cellStyle name="Normal 8 37 4" xfId="37736" xr:uid="{00000000-0005-0000-0000-000031910000}"/>
    <cellStyle name="Normal 8 37 5" xfId="37737" xr:uid="{00000000-0005-0000-0000-000032910000}"/>
    <cellStyle name="Normal 8 37 6" xfId="37738" xr:uid="{00000000-0005-0000-0000-000033910000}"/>
    <cellStyle name="Normal 8 38" xfId="37739" xr:uid="{00000000-0005-0000-0000-000034910000}"/>
    <cellStyle name="Normal 8 38 2" xfId="37740" xr:uid="{00000000-0005-0000-0000-000035910000}"/>
    <cellStyle name="Normal 8 38 3" xfId="37741" xr:uid="{00000000-0005-0000-0000-000036910000}"/>
    <cellStyle name="Normal 8 38 4" xfId="37742" xr:uid="{00000000-0005-0000-0000-000037910000}"/>
    <cellStyle name="Normal 8 38 5" xfId="37743" xr:uid="{00000000-0005-0000-0000-000038910000}"/>
    <cellStyle name="Normal 8 38 6" xfId="37744" xr:uid="{00000000-0005-0000-0000-000039910000}"/>
    <cellStyle name="Normal 8 39" xfId="37745" xr:uid="{00000000-0005-0000-0000-00003A910000}"/>
    <cellStyle name="Normal 8 39 2" xfId="37746" xr:uid="{00000000-0005-0000-0000-00003B910000}"/>
    <cellStyle name="Normal 8 39 3" xfId="37747" xr:uid="{00000000-0005-0000-0000-00003C910000}"/>
    <cellStyle name="Normal 8 39 4" xfId="37748" xr:uid="{00000000-0005-0000-0000-00003D910000}"/>
    <cellStyle name="Normal 8 39 5" xfId="37749" xr:uid="{00000000-0005-0000-0000-00003E910000}"/>
    <cellStyle name="Normal 8 39 6" xfId="37750" xr:uid="{00000000-0005-0000-0000-00003F910000}"/>
    <cellStyle name="Normal 8 4" xfId="2556" xr:uid="{00000000-0005-0000-0000-000040910000}"/>
    <cellStyle name="Normal 8 4 10" xfId="37751" xr:uid="{00000000-0005-0000-0000-000041910000}"/>
    <cellStyle name="Normal 8 4 11" xfId="37752" xr:uid="{00000000-0005-0000-0000-000042910000}"/>
    <cellStyle name="Normal 8 4 12" xfId="37753" xr:uid="{00000000-0005-0000-0000-000043910000}"/>
    <cellStyle name="Normal 8 4 13" xfId="37754" xr:uid="{00000000-0005-0000-0000-000044910000}"/>
    <cellStyle name="Normal 8 4 14" xfId="43489" xr:uid="{5C1AFFE3-432F-4E5E-8A16-60982178D619}"/>
    <cellStyle name="Normal 8 4 2" xfId="37755" xr:uid="{00000000-0005-0000-0000-000045910000}"/>
    <cellStyle name="Normal 8 4 2 2" xfId="37756" xr:uid="{00000000-0005-0000-0000-000046910000}"/>
    <cellStyle name="Normal 8 4 2 2 2" xfId="43739" xr:uid="{6A00661D-0185-4623-8A30-1A378B0F878C}"/>
    <cellStyle name="Normal 8 4 2 3" xfId="37757" xr:uid="{00000000-0005-0000-0000-000047910000}"/>
    <cellStyle name="Normal 8 4 2 3 2" xfId="43922" xr:uid="{675FB31B-557E-4FF8-AF69-7BCE355BB5E1}"/>
    <cellStyle name="Normal 8 4 2 4" xfId="37758" xr:uid="{00000000-0005-0000-0000-000048910000}"/>
    <cellStyle name="Normal 8 4 2 5" xfId="37759" xr:uid="{00000000-0005-0000-0000-000049910000}"/>
    <cellStyle name="Normal 8 4 2 6" xfId="37760" xr:uid="{00000000-0005-0000-0000-00004A910000}"/>
    <cellStyle name="Normal 8 4 2 7" xfId="43556" xr:uid="{8AFF61C5-0BE3-42C4-9926-73759DCD9CA0}"/>
    <cellStyle name="Normal 8 4 3" xfId="37761" xr:uid="{00000000-0005-0000-0000-00004B910000}"/>
    <cellStyle name="Normal 8 4 3 2" xfId="37762" xr:uid="{00000000-0005-0000-0000-00004C910000}"/>
    <cellStyle name="Normal 8 4 3 3" xfId="37763" xr:uid="{00000000-0005-0000-0000-00004D910000}"/>
    <cellStyle name="Normal 8 4 3 4" xfId="37764" xr:uid="{00000000-0005-0000-0000-00004E910000}"/>
    <cellStyle name="Normal 8 4 3 5" xfId="37765" xr:uid="{00000000-0005-0000-0000-00004F910000}"/>
    <cellStyle name="Normal 8 4 3 6" xfId="37766" xr:uid="{00000000-0005-0000-0000-000050910000}"/>
    <cellStyle name="Normal 8 4 3 7" xfId="43672" xr:uid="{C97AB3F3-D85E-43B6-ADC4-C781CDB899C3}"/>
    <cellStyle name="Normal 8 4 4" xfId="37767" xr:uid="{00000000-0005-0000-0000-000051910000}"/>
    <cellStyle name="Normal 8 4 4 2" xfId="37768" xr:uid="{00000000-0005-0000-0000-000052910000}"/>
    <cellStyle name="Normal 8 4 4 3" xfId="37769" xr:uid="{00000000-0005-0000-0000-000053910000}"/>
    <cellStyle name="Normal 8 4 4 4" xfId="37770" xr:uid="{00000000-0005-0000-0000-000054910000}"/>
    <cellStyle name="Normal 8 4 4 5" xfId="37771" xr:uid="{00000000-0005-0000-0000-000055910000}"/>
    <cellStyle name="Normal 8 4 4 6" xfId="37772" xr:uid="{00000000-0005-0000-0000-000056910000}"/>
    <cellStyle name="Normal 8 4 4 7" xfId="43855" xr:uid="{4880DC80-ED18-4CE6-84CF-BAF94107E29D}"/>
    <cellStyle name="Normal 8 4 5" xfId="37773" xr:uid="{00000000-0005-0000-0000-000057910000}"/>
    <cellStyle name="Normal 8 4 5 2" xfId="37774" xr:uid="{00000000-0005-0000-0000-000058910000}"/>
    <cellStyle name="Normal 8 4 5 3" xfId="37775" xr:uid="{00000000-0005-0000-0000-000059910000}"/>
    <cellStyle name="Normal 8 4 5 4" xfId="37776" xr:uid="{00000000-0005-0000-0000-00005A910000}"/>
    <cellStyle name="Normal 8 4 5 5" xfId="37777" xr:uid="{00000000-0005-0000-0000-00005B910000}"/>
    <cellStyle name="Normal 8 4 5 6" xfId="37778" xr:uid="{00000000-0005-0000-0000-00005C910000}"/>
    <cellStyle name="Normal 8 4 6" xfId="37779" xr:uid="{00000000-0005-0000-0000-00005D910000}"/>
    <cellStyle name="Normal 8 4 6 2" xfId="37780" xr:uid="{00000000-0005-0000-0000-00005E910000}"/>
    <cellStyle name="Normal 8 4 6 3" xfId="37781" xr:uid="{00000000-0005-0000-0000-00005F910000}"/>
    <cellStyle name="Normal 8 4 6 4" xfId="37782" xr:uid="{00000000-0005-0000-0000-000060910000}"/>
    <cellStyle name="Normal 8 4 6 5" xfId="37783" xr:uid="{00000000-0005-0000-0000-000061910000}"/>
    <cellStyle name="Normal 8 4 6 6" xfId="37784" xr:uid="{00000000-0005-0000-0000-000062910000}"/>
    <cellStyle name="Normal 8 4 7" xfId="37785" xr:uid="{00000000-0005-0000-0000-000063910000}"/>
    <cellStyle name="Normal 8 4 7 2" xfId="37786" xr:uid="{00000000-0005-0000-0000-000064910000}"/>
    <cellStyle name="Normal 8 4 7 3" xfId="37787" xr:uid="{00000000-0005-0000-0000-000065910000}"/>
    <cellStyle name="Normal 8 4 7 4" xfId="37788" xr:uid="{00000000-0005-0000-0000-000066910000}"/>
    <cellStyle name="Normal 8 4 7 5" xfId="37789" xr:uid="{00000000-0005-0000-0000-000067910000}"/>
    <cellStyle name="Normal 8 4 7 6" xfId="37790" xr:uid="{00000000-0005-0000-0000-000068910000}"/>
    <cellStyle name="Normal 8 4 8" xfId="37791" xr:uid="{00000000-0005-0000-0000-000069910000}"/>
    <cellStyle name="Normal 8 4 8 2" xfId="37792" xr:uid="{00000000-0005-0000-0000-00006A910000}"/>
    <cellStyle name="Normal 8 4 8 3" xfId="37793" xr:uid="{00000000-0005-0000-0000-00006B910000}"/>
    <cellStyle name="Normal 8 4 8 4" xfId="37794" xr:uid="{00000000-0005-0000-0000-00006C910000}"/>
    <cellStyle name="Normal 8 4 8 5" xfId="37795" xr:uid="{00000000-0005-0000-0000-00006D910000}"/>
    <cellStyle name="Normal 8 4 8 6" xfId="37796" xr:uid="{00000000-0005-0000-0000-00006E910000}"/>
    <cellStyle name="Normal 8 4 9" xfId="37797" xr:uid="{00000000-0005-0000-0000-00006F910000}"/>
    <cellStyle name="Normal 8 40" xfId="37798" xr:uid="{00000000-0005-0000-0000-000070910000}"/>
    <cellStyle name="Normal 8 40 2" xfId="37799" xr:uid="{00000000-0005-0000-0000-000071910000}"/>
    <cellStyle name="Normal 8 40 3" xfId="37800" xr:uid="{00000000-0005-0000-0000-000072910000}"/>
    <cellStyle name="Normal 8 40 4" xfId="37801" xr:uid="{00000000-0005-0000-0000-000073910000}"/>
    <cellStyle name="Normal 8 40 5" xfId="37802" xr:uid="{00000000-0005-0000-0000-000074910000}"/>
    <cellStyle name="Normal 8 40 6" xfId="37803" xr:uid="{00000000-0005-0000-0000-000075910000}"/>
    <cellStyle name="Normal 8 41" xfId="37804" xr:uid="{00000000-0005-0000-0000-000076910000}"/>
    <cellStyle name="Normal 8 42" xfId="37805" xr:uid="{00000000-0005-0000-0000-000077910000}"/>
    <cellStyle name="Normal 8 43" xfId="37806" xr:uid="{00000000-0005-0000-0000-000078910000}"/>
    <cellStyle name="Normal 8 44" xfId="37807" xr:uid="{00000000-0005-0000-0000-000079910000}"/>
    <cellStyle name="Normal 8 45" xfId="37808" xr:uid="{00000000-0005-0000-0000-00007A910000}"/>
    <cellStyle name="Normal 8 46" xfId="37809" xr:uid="{00000000-0005-0000-0000-00007B910000}"/>
    <cellStyle name="Normal 8 47" xfId="43451" xr:uid="{49F4C98C-1613-4540-A053-907C6249280B}"/>
    <cellStyle name="Normal 8 5" xfId="37810" xr:uid="{00000000-0005-0000-0000-00007C910000}"/>
    <cellStyle name="Normal 8 5 10" xfId="37811" xr:uid="{00000000-0005-0000-0000-00007D910000}"/>
    <cellStyle name="Normal 8 5 11" xfId="37812" xr:uid="{00000000-0005-0000-0000-00007E910000}"/>
    <cellStyle name="Normal 8 5 12" xfId="37813" xr:uid="{00000000-0005-0000-0000-00007F910000}"/>
    <cellStyle name="Normal 8 5 13" xfId="37814" xr:uid="{00000000-0005-0000-0000-000080910000}"/>
    <cellStyle name="Normal 8 5 14" xfId="43511" xr:uid="{434312BC-2927-4CD7-8CE1-BF2652F87AF2}"/>
    <cellStyle name="Normal 8 5 2" xfId="37815" xr:uid="{00000000-0005-0000-0000-000081910000}"/>
    <cellStyle name="Normal 8 5 2 2" xfId="37816" xr:uid="{00000000-0005-0000-0000-000082910000}"/>
    <cellStyle name="Normal 8 5 2 2 2" xfId="43761" xr:uid="{5610A2C5-6258-450A-BD66-1BADE1D92A91}"/>
    <cellStyle name="Normal 8 5 2 3" xfId="37817" xr:uid="{00000000-0005-0000-0000-000083910000}"/>
    <cellStyle name="Normal 8 5 2 3 2" xfId="43944" xr:uid="{17236599-6E5F-4B14-81C8-26220B5C638C}"/>
    <cellStyle name="Normal 8 5 2 4" xfId="37818" xr:uid="{00000000-0005-0000-0000-000084910000}"/>
    <cellStyle name="Normal 8 5 2 5" xfId="37819" xr:uid="{00000000-0005-0000-0000-000085910000}"/>
    <cellStyle name="Normal 8 5 2 6" xfId="37820" xr:uid="{00000000-0005-0000-0000-000086910000}"/>
    <cellStyle name="Normal 8 5 2 7" xfId="43578" xr:uid="{5DF8F3DE-2D53-4E34-A550-6417B313DD33}"/>
    <cellStyle name="Normal 8 5 3" xfId="37821" xr:uid="{00000000-0005-0000-0000-000087910000}"/>
    <cellStyle name="Normal 8 5 3 2" xfId="37822" xr:uid="{00000000-0005-0000-0000-000088910000}"/>
    <cellStyle name="Normal 8 5 3 3" xfId="37823" xr:uid="{00000000-0005-0000-0000-000089910000}"/>
    <cellStyle name="Normal 8 5 3 4" xfId="37824" xr:uid="{00000000-0005-0000-0000-00008A910000}"/>
    <cellStyle name="Normal 8 5 3 5" xfId="37825" xr:uid="{00000000-0005-0000-0000-00008B910000}"/>
    <cellStyle name="Normal 8 5 3 6" xfId="37826" xr:uid="{00000000-0005-0000-0000-00008C910000}"/>
    <cellStyle name="Normal 8 5 3 7" xfId="43694" xr:uid="{B89594CA-EF64-4CF3-BEAF-A4859F053DA4}"/>
    <cellStyle name="Normal 8 5 4" xfId="37827" xr:uid="{00000000-0005-0000-0000-00008D910000}"/>
    <cellStyle name="Normal 8 5 4 2" xfId="37828" xr:uid="{00000000-0005-0000-0000-00008E910000}"/>
    <cellStyle name="Normal 8 5 4 3" xfId="37829" xr:uid="{00000000-0005-0000-0000-00008F910000}"/>
    <cellStyle name="Normal 8 5 4 4" xfId="37830" xr:uid="{00000000-0005-0000-0000-000090910000}"/>
    <cellStyle name="Normal 8 5 4 5" xfId="37831" xr:uid="{00000000-0005-0000-0000-000091910000}"/>
    <cellStyle name="Normal 8 5 4 6" xfId="37832" xr:uid="{00000000-0005-0000-0000-000092910000}"/>
    <cellStyle name="Normal 8 5 4 7" xfId="43877" xr:uid="{D33D8D25-653B-4C97-8A29-FD69B415F9FC}"/>
    <cellStyle name="Normal 8 5 5" xfId="37833" xr:uid="{00000000-0005-0000-0000-000093910000}"/>
    <cellStyle name="Normal 8 5 5 2" xfId="37834" xr:uid="{00000000-0005-0000-0000-000094910000}"/>
    <cellStyle name="Normal 8 5 5 3" xfId="37835" xr:uid="{00000000-0005-0000-0000-000095910000}"/>
    <cellStyle name="Normal 8 5 5 4" xfId="37836" xr:uid="{00000000-0005-0000-0000-000096910000}"/>
    <cellStyle name="Normal 8 5 5 5" xfId="37837" xr:uid="{00000000-0005-0000-0000-000097910000}"/>
    <cellStyle name="Normal 8 5 5 6" xfId="37838" xr:uid="{00000000-0005-0000-0000-000098910000}"/>
    <cellStyle name="Normal 8 5 6" xfId="37839" xr:uid="{00000000-0005-0000-0000-000099910000}"/>
    <cellStyle name="Normal 8 5 6 2" xfId="37840" xr:uid="{00000000-0005-0000-0000-00009A910000}"/>
    <cellStyle name="Normal 8 5 6 3" xfId="37841" xr:uid="{00000000-0005-0000-0000-00009B910000}"/>
    <cellStyle name="Normal 8 5 6 4" xfId="37842" xr:uid="{00000000-0005-0000-0000-00009C910000}"/>
    <cellStyle name="Normal 8 5 6 5" xfId="37843" xr:uid="{00000000-0005-0000-0000-00009D910000}"/>
    <cellStyle name="Normal 8 5 6 6" xfId="37844" xr:uid="{00000000-0005-0000-0000-00009E910000}"/>
    <cellStyle name="Normal 8 5 7" xfId="37845" xr:uid="{00000000-0005-0000-0000-00009F910000}"/>
    <cellStyle name="Normal 8 5 7 2" xfId="37846" xr:uid="{00000000-0005-0000-0000-0000A0910000}"/>
    <cellStyle name="Normal 8 5 7 3" xfId="37847" xr:uid="{00000000-0005-0000-0000-0000A1910000}"/>
    <cellStyle name="Normal 8 5 7 4" xfId="37848" xr:uid="{00000000-0005-0000-0000-0000A2910000}"/>
    <cellStyle name="Normal 8 5 7 5" xfId="37849" xr:uid="{00000000-0005-0000-0000-0000A3910000}"/>
    <cellStyle name="Normal 8 5 7 6" xfId="37850" xr:uid="{00000000-0005-0000-0000-0000A4910000}"/>
    <cellStyle name="Normal 8 5 8" xfId="37851" xr:uid="{00000000-0005-0000-0000-0000A5910000}"/>
    <cellStyle name="Normal 8 5 8 2" xfId="37852" xr:uid="{00000000-0005-0000-0000-0000A6910000}"/>
    <cellStyle name="Normal 8 5 8 3" xfId="37853" xr:uid="{00000000-0005-0000-0000-0000A7910000}"/>
    <cellStyle name="Normal 8 5 8 4" xfId="37854" xr:uid="{00000000-0005-0000-0000-0000A8910000}"/>
    <cellStyle name="Normal 8 5 8 5" xfId="37855" xr:uid="{00000000-0005-0000-0000-0000A9910000}"/>
    <cellStyle name="Normal 8 5 8 6" xfId="37856" xr:uid="{00000000-0005-0000-0000-0000AA910000}"/>
    <cellStyle name="Normal 8 5 9" xfId="37857" xr:uid="{00000000-0005-0000-0000-0000AB910000}"/>
    <cellStyle name="Normal 8 6" xfId="37858" xr:uid="{00000000-0005-0000-0000-0000AC910000}"/>
    <cellStyle name="Normal 8 6 10" xfId="37859" xr:uid="{00000000-0005-0000-0000-0000AD910000}"/>
    <cellStyle name="Normal 8 6 11" xfId="37860" xr:uid="{00000000-0005-0000-0000-0000AE910000}"/>
    <cellStyle name="Normal 8 6 12" xfId="37861" xr:uid="{00000000-0005-0000-0000-0000AF910000}"/>
    <cellStyle name="Normal 8 6 13" xfId="37862" xr:uid="{00000000-0005-0000-0000-0000B0910000}"/>
    <cellStyle name="Normal 8 6 14" xfId="43521" xr:uid="{1BF7E4CC-2785-42CA-97F4-73A06976D1FE}"/>
    <cellStyle name="Normal 8 6 2" xfId="37863" xr:uid="{00000000-0005-0000-0000-0000B1910000}"/>
    <cellStyle name="Normal 8 6 2 2" xfId="37864" xr:uid="{00000000-0005-0000-0000-0000B2910000}"/>
    <cellStyle name="Normal 8 6 2 3" xfId="37865" xr:uid="{00000000-0005-0000-0000-0000B3910000}"/>
    <cellStyle name="Normal 8 6 2 4" xfId="37866" xr:uid="{00000000-0005-0000-0000-0000B4910000}"/>
    <cellStyle name="Normal 8 6 2 5" xfId="37867" xr:uid="{00000000-0005-0000-0000-0000B5910000}"/>
    <cellStyle name="Normal 8 6 2 6" xfId="37868" xr:uid="{00000000-0005-0000-0000-0000B6910000}"/>
    <cellStyle name="Normal 8 6 2 7" xfId="43704" xr:uid="{DF1CD4AB-F1ED-45DA-BF70-411B2497EBC5}"/>
    <cellStyle name="Normal 8 6 3" xfId="37869" xr:uid="{00000000-0005-0000-0000-0000B7910000}"/>
    <cellStyle name="Normal 8 6 3 2" xfId="37870" xr:uid="{00000000-0005-0000-0000-0000B8910000}"/>
    <cellStyle name="Normal 8 6 3 3" xfId="37871" xr:uid="{00000000-0005-0000-0000-0000B9910000}"/>
    <cellStyle name="Normal 8 6 3 4" xfId="37872" xr:uid="{00000000-0005-0000-0000-0000BA910000}"/>
    <cellStyle name="Normal 8 6 3 5" xfId="37873" xr:uid="{00000000-0005-0000-0000-0000BB910000}"/>
    <cellStyle name="Normal 8 6 3 6" xfId="37874" xr:uid="{00000000-0005-0000-0000-0000BC910000}"/>
    <cellStyle name="Normal 8 6 3 7" xfId="43887" xr:uid="{EA4B409E-B99C-4853-951A-6AC310CDCA66}"/>
    <cellStyle name="Normal 8 6 4" xfId="37875" xr:uid="{00000000-0005-0000-0000-0000BD910000}"/>
    <cellStyle name="Normal 8 6 4 2" xfId="37876" xr:uid="{00000000-0005-0000-0000-0000BE910000}"/>
    <cellStyle name="Normal 8 6 4 3" xfId="37877" xr:uid="{00000000-0005-0000-0000-0000BF910000}"/>
    <cellStyle name="Normal 8 6 4 4" xfId="37878" xr:uid="{00000000-0005-0000-0000-0000C0910000}"/>
    <cellStyle name="Normal 8 6 4 5" xfId="37879" xr:uid="{00000000-0005-0000-0000-0000C1910000}"/>
    <cellStyle name="Normal 8 6 4 6" xfId="37880" xr:uid="{00000000-0005-0000-0000-0000C2910000}"/>
    <cellStyle name="Normal 8 6 5" xfId="37881" xr:uid="{00000000-0005-0000-0000-0000C3910000}"/>
    <cellStyle name="Normal 8 6 5 2" xfId="37882" xr:uid="{00000000-0005-0000-0000-0000C4910000}"/>
    <cellStyle name="Normal 8 6 5 3" xfId="37883" xr:uid="{00000000-0005-0000-0000-0000C5910000}"/>
    <cellStyle name="Normal 8 6 5 4" xfId="37884" xr:uid="{00000000-0005-0000-0000-0000C6910000}"/>
    <cellStyle name="Normal 8 6 5 5" xfId="37885" xr:uid="{00000000-0005-0000-0000-0000C7910000}"/>
    <cellStyle name="Normal 8 6 5 6" xfId="37886" xr:uid="{00000000-0005-0000-0000-0000C8910000}"/>
    <cellStyle name="Normal 8 6 6" xfId="37887" xr:uid="{00000000-0005-0000-0000-0000C9910000}"/>
    <cellStyle name="Normal 8 6 6 2" xfId="37888" xr:uid="{00000000-0005-0000-0000-0000CA910000}"/>
    <cellStyle name="Normal 8 6 6 3" xfId="37889" xr:uid="{00000000-0005-0000-0000-0000CB910000}"/>
    <cellStyle name="Normal 8 6 6 4" xfId="37890" xr:uid="{00000000-0005-0000-0000-0000CC910000}"/>
    <cellStyle name="Normal 8 6 6 5" xfId="37891" xr:uid="{00000000-0005-0000-0000-0000CD910000}"/>
    <cellStyle name="Normal 8 6 6 6" xfId="37892" xr:uid="{00000000-0005-0000-0000-0000CE910000}"/>
    <cellStyle name="Normal 8 6 7" xfId="37893" xr:uid="{00000000-0005-0000-0000-0000CF910000}"/>
    <cellStyle name="Normal 8 6 7 2" xfId="37894" xr:uid="{00000000-0005-0000-0000-0000D0910000}"/>
    <cellStyle name="Normal 8 6 7 3" xfId="37895" xr:uid="{00000000-0005-0000-0000-0000D1910000}"/>
    <cellStyle name="Normal 8 6 7 4" xfId="37896" xr:uid="{00000000-0005-0000-0000-0000D2910000}"/>
    <cellStyle name="Normal 8 6 7 5" xfId="37897" xr:uid="{00000000-0005-0000-0000-0000D3910000}"/>
    <cellStyle name="Normal 8 6 7 6" xfId="37898" xr:uid="{00000000-0005-0000-0000-0000D4910000}"/>
    <cellStyle name="Normal 8 6 8" xfId="37899" xr:uid="{00000000-0005-0000-0000-0000D5910000}"/>
    <cellStyle name="Normal 8 6 8 2" xfId="37900" xr:uid="{00000000-0005-0000-0000-0000D6910000}"/>
    <cellStyle name="Normal 8 6 8 3" xfId="37901" xr:uid="{00000000-0005-0000-0000-0000D7910000}"/>
    <cellStyle name="Normal 8 6 8 4" xfId="37902" xr:uid="{00000000-0005-0000-0000-0000D8910000}"/>
    <cellStyle name="Normal 8 6 8 5" xfId="37903" xr:uid="{00000000-0005-0000-0000-0000D9910000}"/>
    <cellStyle name="Normal 8 6 8 6" xfId="37904" xr:uid="{00000000-0005-0000-0000-0000DA910000}"/>
    <cellStyle name="Normal 8 6 9" xfId="37905" xr:uid="{00000000-0005-0000-0000-0000DB910000}"/>
    <cellStyle name="Normal 8 7" xfId="37906" xr:uid="{00000000-0005-0000-0000-0000DC910000}"/>
    <cellStyle name="Normal 8 7 10" xfId="37907" xr:uid="{00000000-0005-0000-0000-0000DD910000}"/>
    <cellStyle name="Normal 8 7 11" xfId="37908" xr:uid="{00000000-0005-0000-0000-0000DE910000}"/>
    <cellStyle name="Normal 8 7 12" xfId="37909" xr:uid="{00000000-0005-0000-0000-0000DF910000}"/>
    <cellStyle name="Normal 8 7 13" xfId="37910" xr:uid="{00000000-0005-0000-0000-0000E0910000}"/>
    <cellStyle name="Normal 8 7 14" xfId="43588" xr:uid="{8DD542CC-BFBC-4876-879D-C0EF1D8CF892}"/>
    <cellStyle name="Normal 8 7 2" xfId="37911" xr:uid="{00000000-0005-0000-0000-0000E1910000}"/>
    <cellStyle name="Normal 8 7 2 2" xfId="37912" xr:uid="{00000000-0005-0000-0000-0000E2910000}"/>
    <cellStyle name="Normal 8 7 2 3" xfId="37913" xr:uid="{00000000-0005-0000-0000-0000E3910000}"/>
    <cellStyle name="Normal 8 7 2 4" xfId="37914" xr:uid="{00000000-0005-0000-0000-0000E4910000}"/>
    <cellStyle name="Normal 8 7 2 5" xfId="37915" xr:uid="{00000000-0005-0000-0000-0000E5910000}"/>
    <cellStyle name="Normal 8 7 2 6" xfId="37916" xr:uid="{00000000-0005-0000-0000-0000E6910000}"/>
    <cellStyle name="Normal 8 7 2 7" xfId="43771" xr:uid="{E114B1FF-31BC-4FE0-8831-11DCA032F03D}"/>
    <cellStyle name="Normal 8 7 3" xfId="37917" xr:uid="{00000000-0005-0000-0000-0000E7910000}"/>
    <cellStyle name="Normal 8 7 3 2" xfId="37918" xr:uid="{00000000-0005-0000-0000-0000E8910000}"/>
    <cellStyle name="Normal 8 7 3 3" xfId="37919" xr:uid="{00000000-0005-0000-0000-0000E9910000}"/>
    <cellStyle name="Normal 8 7 3 4" xfId="37920" xr:uid="{00000000-0005-0000-0000-0000EA910000}"/>
    <cellStyle name="Normal 8 7 3 5" xfId="37921" xr:uid="{00000000-0005-0000-0000-0000EB910000}"/>
    <cellStyle name="Normal 8 7 3 6" xfId="37922" xr:uid="{00000000-0005-0000-0000-0000EC910000}"/>
    <cellStyle name="Normal 8 7 3 7" xfId="43954" xr:uid="{4EC38E8A-4326-4EA3-8C7C-F0E7F009334D}"/>
    <cellStyle name="Normal 8 7 4" xfId="37923" xr:uid="{00000000-0005-0000-0000-0000ED910000}"/>
    <cellStyle name="Normal 8 7 4 2" xfId="37924" xr:uid="{00000000-0005-0000-0000-0000EE910000}"/>
    <cellStyle name="Normal 8 7 4 3" xfId="37925" xr:uid="{00000000-0005-0000-0000-0000EF910000}"/>
    <cellStyle name="Normal 8 7 4 4" xfId="37926" xr:uid="{00000000-0005-0000-0000-0000F0910000}"/>
    <cellStyle name="Normal 8 7 4 5" xfId="37927" xr:uid="{00000000-0005-0000-0000-0000F1910000}"/>
    <cellStyle name="Normal 8 7 4 6" xfId="37928" xr:uid="{00000000-0005-0000-0000-0000F2910000}"/>
    <cellStyle name="Normal 8 7 5" xfId="37929" xr:uid="{00000000-0005-0000-0000-0000F3910000}"/>
    <cellStyle name="Normal 8 7 5 2" xfId="37930" xr:uid="{00000000-0005-0000-0000-0000F4910000}"/>
    <cellStyle name="Normal 8 7 5 3" xfId="37931" xr:uid="{00000000-0005-0000-0000-0000F5910000}"/>
    <cellStyle name="Normal 8 7 5 4" xfId="37932" xr:uid="{00000000-0005-0000-0000-0000F6910000}"/>
    <cellStyle name="Normal 8 7 5 5" xfId="37933" xr:uid="{00000000-0005-0000-0000-0000F7910000}"/>
    <cellStyle name="Normal 8 7 5 6" xfId="37934" xr:uid="{00000000-0005-0000-0000-0000F8910000}"/>
    <cellStyle name="Normal 8 7 6" xfId="37935" xr:uid="{00000000-0005-0000-0000-0000F9910000}"/>
    <cellStyle name="Normal 8 7 6 2" xfId="37936" xr:uid="{00000000-0005-0000-0000-0000FA910000}"/>
    <cellStyle name="Normal 8 7 6 3" xfId="37937" xr:uid="{00000000-0005-0000-0000-0000FB910000}"/>
    <cellStyle name="Normal 8 7 6 4" xfId="37938" xr:uid="{00000000-0005-0000-0000-0000FC910000}"/>
    <cellStyle name="Normal 8 7 6 5" xfId="37939" xr:uid="{00000000-0005-0000-0000-0000FD910000}"/>
    <cellStyle name="Normal 8 7 6 6" xfId="37940" xr:uid="{00000000-0005-0000-0000-0000FE910000}"/>
    <cellStyle name="Normal 8 7 7" xfId="37941" xr:uid="{00000000-0005-0000-0000-0000FF910000}"/>
    <cellStyle name="Normal 8 7 7 2" xfId="37942" xr:uid="{00000000-0005-0000-0000-000000920000}"/>
    <cellStyle name="Normal 8 7 7 3" xfId="37943" xr:uid="{00000000-0005-0000-0000-000001920000}"/>
    <cellStyle name="Normal 8 7 7 4" xfId="37944" xr:uid="{00000000-0005-0000-0000-000002920000}"/>
    <cellStyle name="Normal 8 7 7 5" xfId="37945" xr:uid="{00000000-0005-0000-0000-000003920000}"/>
    <cellStyle name="Normal 8 7 7 6" xfId="37946" xr:uid="{00000000-0005-0000-0000-000004920000}"/>
    <cellStyle name="Normal 8 7 8" xfId="37947" xr:uid="{00000000-0005-0000-0000-000005920000}"/>
    <cellStyle name="Normal 8 7 8 2" xfId="37948" xr:uid="{00000000-0005-0000-0000-000006920000}"/>
    <cellStyle name="Normal 8 7 8 3" xfId="37949" xr:uid="{00000000-0005-0000-0000-000007920000}"/>
    <cellStyle name="Normal 8 7 8 4" xfId="37950" xr:uid="{00000000-0005-0000-0000-000008920000}"/>
    <cellStyle name="Normal 8 7 8 5" xfId="37951" xr:uid="{00000000-0005-0000-0000-000009920000}"/>
    <cellStyle name="Normal 8 7 8 6" xfId="37952" xr:uid="{00000000-0005-0000-0000-00000A920000}"/>
    <cellStyle name="Normal 8 7 9" xfId="37953" xr:uid="{00000000-0005-0000-0000-00000B920000}"/>
    <cellStyle name="Normal 8 8" xfId="37954" xr:uid="{00000000-0005-0000-0000-00000C920000}"/>
    <cellStyle name="Normal 8 8 10" xfId="37955" xr:uid="{00000000-0005-0000-0000-00000D920000}"/>
    <cellStyle name="Normal 8 8 11" xfId="37956" xr:uid="{00000000-0005-0000-0000-00000E920000}"/>
    <cellStyle name="Normal 8 8 12" xfId="37957" xr:uid="{00000000-0005-0000-0000-00000F920000}"/>
    <cellStyle name="Normal 8 8 13" xfId="37958" xr:uid="{00000000-0005-0000-0000-000010920000}"/>
    <cellStyle name="Normal 8 8 14" xfId="43647" xr:uid="{A147182F-5E94-4B78-8733-6A07E40D43E2}"/>
    <cellStyle name="Normal 8 8 2" xfId="37959" xr:uid="{00000000-0005-0000-0000-000011920000}"/>
    <cellStyle name="Normal 8 8 2 2" xfId="37960" xr:uid="{00000000-0005-0000-0000-000012920000}"/>
    <cellStyle name="Normal 8 8 2 3" xfId="37961" xr:uid="{00000000-0005-0000-0000-000013920000}"/>
    <cellStyle name="Normal 8 8 2 4" xfId="37962" xr:uid="{00000000-0005-0000-0000-000014920000}"/>
    <cellStyle name="Normal 8 8 2 5" xfId="37963" xr:uid="{00000000-0005-0000-0000-000015920000}"/>
    <cellStyle name="Normal 8 8 2 6" xfId="37964" xr:uid="{00000000-0005-0000-0000-000016920000}"/>
    <cellStyle name="Normal 8 8 3" xfId="37965" xr:uid="{00000000-0005-0000-0000-000017920000}"/>
    <cellStyle name="Normal 8 8 3 2" xfId="37966" xr:uid="{00000000-0005-0000-0000-000018920000}"/>
    <cellStyle name="Normal 8 8 3 3" xfId="37967" xr:uid="{00000000-0005-0000-0000-000019920000}"/>
    <cellStyle name="Normal 8 8 3 4" xfId="37968" xr:uid="{00000000-0005-0000-0000-00001A920000}"/>
    <cellStyle name="Normal 8 8 3 5" xfId="37969" xr:uid="{00000000-0005-0000-0000-00001B920000}"/>
    <cellStyle name="Normal 8 8 3 6" xfId="37970" xr:uid="{00000000-0005-0000-0000-00001C920000}"/>
    <cellStyle name="Normal 8 8 4" xfId="37971" xr:uid="{00000000-0005-0000-0000-00001D920000}"/>
    <cellStyle name="Normal 8 8 4 2" xfId="37972" xr:uid="{00000000-0005-0000-0000-00001E920000}"/>
    <cellStyle name="Normal 8 8 4 3" xfId="37973" xr:uid="{00000000-0005-0000-0000-00001F920000}"/>
    <cellStyle name="Normal 8 8 4 4" xfId="37974" xr:uid="{00000000-0005-0000-0000-000020920000}"/>
    <cellStyle name="Normal 8 8 4 5" xfId="37975" xr:uid="{00000000-0005-0000-0000-000021920000}"/>
    <cellStyle name="Normal 8 8 4 6" xfId="37976" xr:uid="{00000000-0005-0000-0000-000022920000}"/>
    <cellStyle name="Normal 8 8 5" xfId="37977" xr:uid="{00000000-0005-0000-0000-000023920000}"/>
    <cellStyle name="Normal 8 8 5 2" xfId="37978" xr:uid="{00000000-0005-0000-0000-000024920000}"/>
    <cellStyle name="Normal 8 8 5 3" xfId="37979" xr:uid="{00000000-0005-0000-0000-000025920000}"/>
    <cellStyle name="Normal 8 8 5 4" xfId="37980" xr:uid="{00000000-0005-0000-0000-000026920000}"/>
    <cellStyle name="Normal 8 8 5 5" xfId="37981" xr:uid="{00000000-0005-0000-0000-000027920000}"/>
    <cellStyle name="Normal 8 8 5 6" xfId="37982" xr:uid="{00000000-0005-0000-0000-000028920000}"/>
    <cellStyle name="Normal 8 8 6" xfId="37983" xr:uid="{00000000-0005-0000-0000-000029920000}"/>
    <cellStyle name="Normal 8 8 6 2" xfId="37984" xr:uid="{00000000-0005-0000-0000-00002A920000}"/>
    <cellStyle name="Normal 8 8 6 3" xfId="37985" xr:uid="{00000000-0005-0000-0000-00002B920000}"/>
    <cellStyle name="Normal 8 8 6 4" xfId="37986" xr:uid="{00000000-0005-0000-0000-00002C920000}"/>
    <cellStyle name="Normal 8 8 6 5" xfId="37987" xr:uid="{00000000-0005-0000-0000-00002D920000}"/>
    <cellStyle name="Normal 8 8 6 6" xfId="37988" xr:uid="{00000000-0005-0000-0000-00002E920000}"/>
    <cellStyle name="Normal 8 8 7" xfId="37989" xr:uid="{00000000-0005-0000-0000-00002F920000}"/>
    <cellStyle name="Normal 8 8 7 2" xfId="37990" xr:uid="{00000000-0005-0000-0000-000030920000}"/>
    <cellStyle name="Normal 8 8 7 3" xfId="37991" xr:uid="{00000000-0005-0000-0000-000031920000}"/>
    <cellStyle name="Normal 8 8 7 4" xfId="37992" xr:uid="{00000000-0005-0000-0000-000032920000}"/>
    <cellStyle name="Normal 8 8 7 5" xfId="37993" xr:uid="{00000000-0005-0000-0000-000033920000}"/>
    <cellStyle name="Normal 8 8 7 6" xfId="37994" xr:uid="{00000000-0005-0000-0000-000034920000}"/>
    <cellStyle name="Normal 8 8 8" xfId="37995" xr:uid="{00000000-0005-0000-0000-000035920000}"/>
    <cellStyle name="Normal 8 8 8 2" xfId="37996" xr:uid="{00000000-0005-0000-0000-000036920000}"/>
    <cellStyle name="Normal 8 8 8 3" xfId="37997" xr:uid="{00000000-0005-0000-0000-000037920000}"/>
    <cellStyle name="Normal 8 8 8 4" xfId="37998" xr:uid="{00000000-0005-0000-0000-000038920000}"/>
    <cellStyle name="Normal 8 8 8 5" xfId="37999" xr:uid="{00000000-0005-0000-0000-000039920000}"/>
    <cellStyle name="Normal 8 8 8 6" xfId="38000" xr:uid="{00000000-0005-0000-0000-00003A920000}"/>
    <cellStyle name="Normal 8 8 9" xfId="38001" xr:uid="{00000000-0005-0000-0000-00003B920000}"/>
    <cellStyle name="Normal 8 9" xfId="38002" xr:uid="{00000000-0005-0000-0000-00003C920000}"/>
    <cellStyle name="Normal 8 9 10" xfId="38003" xr:uid="{00000000-0005-0000-0000-00003D920000}"/>
    <cellStyle name="Normal 8 9 11" xfId="38004" xr:uid="{00000000-0005-0000-0000-00003E920000}"/>
    <cellStyle name="Normal 8 9 12" xfId="38005" xr:uid="{00000000-0005-0000-0000-00003F920000}"/>
    <cellStyle name="Normal 8 9 13" xfId="38006" xr:uid="{00000000-0005-0000-0000-000040920000}"/>
    <cellStyle name="Normal 8 9 14" xfId="43830" xr:uid="{56419CF4-FEA4-4C66-BCCA-5F1012A4838E}"/>
    <cellStyle name="Normal 8 9 2" xfId="38007" xr:uid="{00000000-0005-0000-0000-000041920000}"/>
    <cellStyle name="Normal 8 9 2 2" xfId="38008" xr:uid="{00000000-0005-0000-0000-000042920000}"/>
    <cellStyle name="Normal 8 9 2 3" xfId="38009" xr:uid="{00000000-0005-0000-0000-000043920000}"/>
    <cellStyle name="Normal 8 9 2 4" xfId="38010" xr:uid="{00000000-0005-0000-0000-000044920000}"/>
    <cellStyle name="Normal 8 9 2 5" xfId="38011" xr:uid="{00000000-0005-0000-0000-000045920000}"/>
    <cellStyle name="Normal 8 9 2 6" xfId="38012" xr:uid="{00000000-0005-0000-0000-000046920000}"/>
    <cellStyle name="Normal 8 9 3" xfId="38013" xr:uid="{00000000-0005-0000-0000-000047920000}"/>
    <cellStyle name="Normal 8 9 3 2" xfId="38014" xr:uid="{00000000-0005-0000-0000-000048920000}"/>
    <cellStyle name="Normal 8 9 3 3" xfId="38015" xr:uid="{00000000-0005-0000-0000-000049920000}"/>
    <cellStyle name="Normal 8 9 3 4" xfId="38016" xr:uid="{00000000-0005-0000-0000-00004A920000}"/>
    <cellStyle name="Normal 8 9 3 5" xfId="38017" xr:uid="{00000000-0005-0000-0000-00004B920000}"/>
    <cellStyle name="Normal 8 9 3 6" xfId="38018" xr:uid="{00000000-0005-0000-0000-00004C920000}"/>
    <cellStyle name="Normal 8 9 4" xfId="38019" xr:uid="{00000000-0005-0000-0000-00004D920000}"/>
    <cellStyle name="Normal 8 9 4 2" xfId="38020" xr:uid="{00000000-0005-0000-0000-00004E920000}"/>
    <cellStyle name="Normal 8 9 4 3" xfId="38021" xr:uid="{00000000-0005-0000-0000-00004F920000}"/>
    <cellStyle name="Normal 8 9 4 4" xfId="38022" xr:uid="{00000000-0005-0000-0000-000050920000}"/>
    <cellStyle name="Normal 8 9 4 5" xfId="38023" xr:uid="{00000000-0005-0000-0000-000051920000}"/>
    <cellStyle name="Normal 8 9 4 6" xfId="38024" xr:uid="{00000000-0005-0000-0000-000052920000}"/>
    <cellStyle name="Normal 8 9 5" xfId="38025" xr:uid="{00000000-0005-0000-0000-000053920000}"/>
    <cellStyle name="Normal 8 9 5 2" xfId="38026" xr:uid="{00000000-0005-0000-0000-000054920000}"/>
    <cellStyle name="Normal 8 9 5 3" xfId="38027" xr:uid="{00000000-0005-0000-0000-000055920000}"/>
    <cellStyle name="Normal 8 9 5 4" xfId="38028" xr:uid="{00000000-0005-0000-0000-000056920000}"/>
    <cellStyle name="Normal 8 9 5 5" xfId="38029" xr:uid="{00000000-0005-0000-0000-000057920000}"/>
    <cellStyle name="Normal 8 9 5 6" xfId="38030" xr:uid="{00000000-0005-0000-0000-000058920000}"/>
    <cellStyle name="Normal 8 9 6" xfId="38031" xr:uid="{00000000-0005-0000-0000-000059920000}"/>
    <cellStyle name="Normal 8 9 6 2" xfId="38032" xr:uid="{00000000-0005-0000-0000-00005A920000}"/>
    <cellStyle name="Normal 8 9 6 3" xfId="38033" xr:uid="{00000000-0005-0000-0000-00005B920000}"/>
    <cellStyle name="Normal 8 9 6 4" xfId="38034" xr:uid="{00000000-0005-0000-0000-00005C920000}"/>
    <cellStyle name="Normal 8 9 6 5" xfId="38035" xr:uid="{00000000-0005-0000-0000-00005D920000}"/>
    <cellStyle name="Normal 8 9 6 6" xfId="38036" xr:uid="{00000000-0005-0000-0000-00005E920000}"/>
    <cellStyle name="Normal 8 9 7" xfId="38037" xr:uid="{00000000-0005-0000-0000-00005F920000}"/>
    <cellStyle name="Normal 8 9 7 2" xfId="38038" xr:uid="{00000000-0005-0000-0000-000060920000}"/>
    <cellStyle name="Normal 8 9 7 3" xfId="38039" xr:uid="{00000000-0005-0000-0000-000061920000}"/>
    <cellStyle name="Normal 8 9 7 4" xfId="38040" xr:uid="{00000000-0005-0000-0000-000062920000}"/>
    <cellStyle name="Normal 8 9 7 5" xfId="38041" xr:uid="{00000000-0005-0000-0000-000063920000}"/>
    <cellStyle name="Normal 8 9 7 6" xfId="38042" xr:uid="{00000000-0005-0000-0000-000064920000}"/>
    <cellStyle name="Normal 8 9 8" xfId="38043" xr:uid="{00000000-0005-0000-0000-000065920000}"/>
    <cellStyle name="Normal 8 9 8 2" xfId="38044" xr:uid="{00000000-0005-0000-0000-000066920000}"/>
    <cellStyle name="Normal 8 9 8 3" xfId="38045" xr:uid="{00000000-0005-0000-0000-000067920000}"/>
    <cellStyle name="Normal 8 9 8 4" xfId="38046" xr:uid="{00000000-0005-0000-0000-000068920000}"/>
    <cellStyle name="Normal 8 9 8 5" xfId="38047" xr:uid="{00000000-0005-0000-0000-000069920000}"/>
    <cellStyle name="Normal 8 9 8 6" xfId="38048" xr:uid="{00000000-0005-0000-0000-00006A920000}"/>
    <cellStyle name="Normal 8 9 9" xfId="38049" xr:uid="{00000000-0005-0000-0000-00006B920000}"/>
    <cellStyle name="Normal 8_FLC -  RECEITA" xfId="43453" xr:uid="{B3FA4F26-DCE2-48AB-B343-76247870D6AD}"/>
    <cellStyle name="Normal 80" xfId="38050" xr:uid="{00000000-0005-0000-0000-00006D920000}"/>
    <cellStyle name="Normal 81" xfId="38051" xr:uid="{00000000-0005-0000-0000-00006E920000}"/>
    <cellStyle name="Normal 82" xfId="38052" xr:uid="{00000000-0005-0000-0000-00006F920000}"/>
    <cellStyle name="Normal 83" xfId="38053" xr:uid="{00000000-0005-0000-0000-000070920000}"/>
    <cellStyle name="Normal 84" xfId="38054" xr:uid="{00000000-0005-0000-0000-000071920000}"/>
    <cellStyle name="Normal 85" xfId="38055" xr:uid="{00000000-0005-0000-0000-000072920000}"/>
    <cellStyle name="Normal 86" xfId="38056" xr:uid="{00000000-0005-0000-0000-000073920000}"/>
    <cellStyle name="Normal 87" xfId="38057" xr:uid="{00000000-0005-0000-0000-000074920000}"/>
    <cellStyle name="Normal 88" xfId="38058" xr:uid="{00000000-0005-0000-0000-000075920000}"/>
    <cellStyle name="Normal 89" xfId="38059" xr:uid="{00000000-0005-0000-0000-000076920000}"/>
    <cellStyle name="Normal 9" xfId="829" xr:uid="{00000000-0005-0000-0000-000077920000}"/>
    <cellStyle name="Normal 9 10" xfId="38060" xr:uid="{00000000-0005-0000-0000-000078920000}"/>
    <cellStyle name="Normal 9 10 10" xfId="38061" xr:uid="{00000000-0005-0000-0000-000079920000}"/>
    <cellStyle name="Normal 9 10 11" xfId="38062" xr:uid="{00000000-0005-0000-0000-00007A920000}"/>
    <cellStyle name="Normal 9 10 12" xfId="38063" xr:uid="{00000000-0005-0000-0000-00007B920000}"/>
    <cellStyle name="Normal 9 10 13" xfId="38064" xr:uid="{00000000-0005-0000-0000-00007C920000}"/>
    <cellStyle name="Normal 9 10 2" xfId="38065" xr:uid="{00000000-0005-0000-0000-00007D920000}"/>
    <cellStyle name="Normal 9 10 2 2" xfId="38066" xr:uid="{00000000-0005-0000-0000-00007E920000}"/>
    <cellStyle name="Normal 9 10 2 3" xfId="38067" xr:uid="{00000000-0005-0000-0000-00007F920000}"/>
    <cellStyle name="Normal 9 10 2 4" xfId="38068" xr:uid="{00000000-0005-0000-0000-000080920000}"/>
    <cellStyle name="Normal 9 10 2 5" xfId="38069" xr:uid="{00000000-0005-0000-0000-000081920000}"/>
    <cellStyle name="Normal 9 10 2 6" xfId="38070" xr:uid="{00000000-0005-0000-0000-000082920000}"/>
    <cellStyle name="Normal 9 10 3" xfId="38071" xr:uid="{00000000-0005-0000-0000-000083920000}"/>
    <cellStyle name="Normal 9 10 3 2" xfId="38072" xr:uid="{00000000-0005-0000-0000-000084920000}"/>
    <cellStyle name="Normal 9 10 3 3" xfId="38073" xr:uid="{00000000-0005-0000-0000-000085920000}"/>
    <cellStyle name="Normal 9 10 3 4" xfId="38074" xr:uid="{00000000-0005-0000-0000-000086920000}"/>
    <cellStyle name="Normal 9 10 3 5" xfId="38075" xr:uid="{00000000-0005-0000-0000-000087920000}"/>
    <cellStyle name="Normal 9 10 3 6" xfId="38076" xr:uid="{00000000-0005-0000-0000-000088920000}"/>
    <cellStyle name="Normal 9 10 4" xfId="38077" xr:uid="{00000000-0005-0000-0000-000089920000}"/>
    <cellStyle name="Normal 9 10 4 2" xfId="38078" xr:uid="{00000000-0005-0000-0000-00008A920000}"/>
    <cellStyle name="Normal 9 10 4 3" xfId="38079" xr:uid="{00000000-0005-0000-0000-00008B920000}"/>
    <cellStyle name="Normal 9 10 4 4" xfId="38080" xr:uid="{00000000-0005-0000-0000-00008C920000}"/>
    <cellStyle name="Normal 9 10 4 5" xfId="38081" xr:uid="{00000000-0005-0000-0000-00008D920000}"/>
    <cellStyle name="Normal 9 10 4 6" xfId="38082" xr:uid="{00000000-0005-0000-0000-00008E920000}"/>
    <cellStyle name="Normal 9 10 5" xfId="38083" xr:uid="{00000000-0005-0000-0000-00008F920000}"/>
    <cellStyle name="Normal 9 10 5 2" xfId="38084" xr:uid="{00000000-0005-0000-0000-000090920000}"/>
    <cellStyle name="Normal 9 10 5 3" xfId="38085" xr:uid="{00000000-0005-0000-0000-000091920000}"/>
    <cellStyle name="Normal 9 10 5 4" xfId="38086" xr:uid="{00000000-0005-0000-0000-000092920000}"/>
    <cellStyle name="Normal 9 10 5 5" xfId="38087" xr:uid="{00000000-0005-0000-0000-000093920000}"/>
    <cellStyle name="Normal 9 10 5 6" xfId="38088" xr:uid="{00000000-0005-0000-0000-000094920000}"/>
    <cellStyle name="Normal 9 10 6" xfId="38089" xr:uid="{00000000-0005-0000-0000-000095920000}"/>
    <cellStyle name="Normal 9 10 6 2" xfId="38090" xr:uid="{00000000-0005-0000-0000-000096920000}"/>
    <cellStyle name="Normal 9 10 6 3" xfId="38091" xr:uid="{00000000-0005-0000-0000-000097920000}"/>
    <cellStyle name="Normal 9 10 6 4" xfId="38092" xr:uid="{00000000-0005-0000-0000-000098920000}"/>
    <cellStyle name="Normal 9 10 6 5" xfId="38093" xr:uid="{00000000-0005-0000-0000-000099920000}"/>
    <cellStyle name="Normal 9 10 6 6" xfId="38094" xr:uid="{00000000-0005-0000-0000-00009A920000}"/>
    <cellStyle name="Normal 9 10 7" xfId="38095" xr:uid="{00000000-0005-0000-0000-00009B920000}"/>
    <cellStyle name="Normal 9 10 7 2" xfId="38096" xr:uid="{00000000-0005-0000-0000-00009C920000}"/>
    <cellStyle name="Normal 9 10 7 3" xfId="38097" xr:uid="{00000000-0005-0000-0000-00009D920000}"/>
    <cellStyle name="Normal 9 10 7 4" xfId="38098" xr:uid="{00000000-0005-0000-0000-00009E920000}"/>
    <cellStyle name="Normal 9 10 7 5" xfId="38099" xr:uid="{00000000-0005-0000-0000-00009F920000}"/>
    <cellStyle name="Normal 9 10 7 6" xfId="38100" xr:uid="{00000000-0005-0000-0000-0000A0920000}"/>
    <cellStyle name="Normal 9 10 8" xfId="38101" xr:uid="{00000000-0005-0000-0000-0000A1920000}"/>
    <cellStyle name="Normal 9 10 8 2" xfId="38102" xr:uid="{00000000-0005-0000-0000-0000A2920000}"/>
    <cellStyle name="Normal 9 10 8 3" xfId="38103" xr:uid="{00000000-0005-0000-0000-0000A3920000}"/>
    <cellStyle name="Normal 9 10 8 4" xfId="38104" xr:uid="{00000000-0005-0000-0000-0000A4920000}"/>
    <cellStyle name="Normal 9 10 8 5" xfId="38105" xr:uid="{00000000-0005-0000-0000-0000A5920000}"/>
    <cellStyle name="Normal 9 10 8 6" xfId="38106" xr:uid="{00000000-0005-0000-0000-0000A6920000}"/>
    <cellStyle name="Normal 9 10 9" xfId="38107" xr:uid="{00000000-0005-0000-0000-0000A7920000}"/>
    <cellStyle name="Normal 9 11" xfId="38108" xr:uid="{00000000-0005-0000-0000-0000A8920000}"/>
    <cellStyle name="Normal 9 11 10" xfId="38109" xr:uid="{00000000-0005-0000-0000-0000A9920000}"/>
    <cellStyle name="Normal 9 11 11" xfId="38110" xr:uid="{00000000-0005-0000-0000-0000AA920000}"/>
    <cellStyle name="Normal 9 11 12" xfId="38111" xr:uid="{00000000-0005-0000-0000-0000AB920000}"/>
    <cellStyle name="Normal 9 11 13" xfId="38112" xr:uid="{00000000-0005-0000-0000-0000AC920000}"/>
    <cellStyle name="Normal 9 11 2" xfId="38113" xr:uid="{00000000-0005-0000-0000-0000AD920000}"/>
    <cellStyle name="Normal 9 11 2 2" xfId="38114" xr:uid="{00000000-0005-0000-0000-0000AE920000}"/>
    <cellStyle name="Normal 9 11 2 3" xfId="38115" xr:uid="{00000000-0005-0000-0000-0000AF920000}"/>
    <cellStyle name="Normal 9 11 2 4" xfId="38116" xr:uid="{00000000-0005-0000-0000-0000B0920000}"/>
    <cellStyle name="Normal 9 11 2 5" xfId="38117" xr:uid="{00000000-0005-0000-0000-0000B1920000}"/>
    <cellStyle name="Normal 9 11 2 6" xfId="38118" xr:uid="{00000000-0005-0000-0000-0000B2920000}"/>
    <cellStyle name="Normal 9 11 3" xfId="38119" xr:uid="{00000000-0005-0000-0000-0000B3920000}"/>
    <cellStyle name="Normal 9 11 3 2" xfId="38120" xr:uid="{00000000-0005-0000-0000-0000B4920000}"/>
    <cellStyle name="Normal 9 11 3 3" xfId="38121" xr:uid="{00000000-0005-0000-0000-0000B5920000}"/>
    <cellStyle name="Normal 9 11 3 4" xfId="38122" xr:uid="{00000000-0005-0000-0000-0000B6920000}"/>
    <cellStyle name="Normal 9 11 3 5" xfId="38123" xr:uid="{00000000-0005-0000-0000-0000B7920000}"/>
    <cellStyle name="Normal 9 11 3 6" xfId="38124" xr:uid="{00000000-0005-0000-0000-0000B8920000}"/>
    <cellStyle name="Normal 9 11 4" xfId="38125" xr:uid="{00000000-0005-0000-0000-0000B9920000}"/>
    <cellStyle name="Normal 9 11 4 2" xfId="38126" xr:uid="{00000000-0005-0000-0000-0000BA920000}"/>
    <cellStyle name="Normal 9 11 4 3" xfId="38127" xr:uid="{00000000-0005-0000-0000-0000BB920000}"/>
    <cellStyle name="Normal 9 11 4 4" xfId="38128" xr:uid="{00000000-0005-0000-0000-0000BC920000}"/>
    <cellStyle name="Normal 9 11 4 5" xfId="38129" xr:uid="{00000000-0005-0000-0000-0000BD920000}"/>
    <cellStyle name="Normal 9 11 4 6" xfId="38130" xr:uid="{00000000-0005-0000-0000-0000BE920000}"/>
    <cellStyle name="Normal 9 11 5" xfId="38131" xr:uid="{00000000-0005-0000-0000-0000BF920000}"/>
    <cellStyle name="Normal 9 11 5 2" xfId="38132" xr:uid="{00000000-0005-0000-0000-0000C0920000}"/>
    <cellStyle name="Normal 9 11 5 3" xfId="38133" xr:uid="{00000000-0005-0000-0000-0000C1920000}"/>
    <cellStyle name="Normal 9 11 5 4" xfId="38134" xr:uid="{00000000-0005-0000-0000-0000C2920000}"/>
    <cellStyle name="Normal 9 11 5 5" xfId="38135" xr:uid="{00000000-0005-0000-0000-0000C3920000}"/>
    <cellStyle name="Normal 9 11 5 6" xfId="38136" xr:uid="{00000000-0005-0000-0000-0000C4920000}"/>
    <cellStyle name="Normal 9 11 6" xfId="38137" xr:uid="{00000000-0005-0000-0000-0000C5920000}"/>
    <cellStyle name="Normal 9 11 6 2" xfId="38138" xr:uid="{00000000-0005-0000-0000-0000C6920000}"/>
    <cellStyle name="Normal 9 11 6 3" xfId="38139" xr:uid="{00000000-0005-0000-0000-0000C7920000}"/>
    <cellStyle name="Normal 9 11 6 4" xfId="38140" xr:uid="{00000000-0005-0000-0000-0000C8920000}"/>
    <cellStyle name="Normal 9 11 6 5" xfId="38141" xr:uid="{00000000-0005-0000-0000-0000C9920000}"/>
    <cellStyle name="Normal 9 11 6 6" xfId="38142" xr:uid="{00000000-0005-0000-0000-0000CA920000}"/>
    <cellStyle name="Normal 9 11 7" xfId="38143" xr:uid="{00000000-0005-0000-0000-0000CB920000}"/>
    <cellStyle name="Normal 9 11 7 2" xfId="38144" xr:uid="{00000000-0005-0000-0000-0000CC920000}"/>
    <cellStyle name="Normal 9 11 7 3" xfId="38145" xr:uid="{00000000-0005-0000-0000-0000CD920000}"/>
    <cellStyle name="Normal 9 11 7 4" xfId="38146" xr:uid="{00000000-0005-0000-0000-0000CE920000}"/>
    <cellStyle name="Normal 9 11 7 5" xfId="38147" xr:uid="{00000000-0005-0000-0000-0000CF920000}"/>
    <cellStyle name="Normal 9 11 7 6" xfId="38148" xr:uid="{00000000-0005-0000-0000-0000D0920000}"/>
    <cellStyle name="Normal 9 11 8" xfId="38149" xr:uid="{00000000-0005-0000-0000-0000D1920000}"/>
    <cellStyle name="Normal 9 11 8 2" xfId="38150" xr:uid="{00000000-0005-0000-0000-0000D2920000}"/>
    <cellStyle name="Normal 9 11 8 3" xfId="38151" xr:uid="{00000000-0005-0000-0000-0000D3920000}"/>
    <cellStyle name="Normal 9 11 8 4" xfId="38152" xr:uid="{00000000-0005-0000-0000-0000D4920000}"/>
    <cellStyle name="Normal 9 11 8 5" xfId="38153" xr:uid="{00000000-0005-0000-0000-0000D5920000}"/>
    <cellStyle name="Normal 9 11 8 6" xfId="38154" xr:uid="{00000000-0005-0000-0000-0000D6920000}"/>
    <cellStyle name="Normal 9 11 9" xfId="38155" xr:uid="{00000000-0005-0000-0000-0000D7920000}"/>
    <cellStyle name="Normal 9 12" xfId="38156" xr:uid="{00000000-0005-0000-0000-0000D8920000}"/>
    <cellStyle name="Normal 9 12 10" xfId="38157" xr:uid="{00000000-0005-0000-0000-0000D9920000}"/>
    <cellStyle name="Normal 9 12 11" xfId="38158" xr:uid="{00000000-0005-0000-0000-0000DA920000}"/>
    <cellStyle name="Normal 9 12 12" xfId="38159" xr:uid="{00000000-0005-0000-0000-0000DB920000}"/>
    <cellStyle name="Normal 9 12 13" xfId="38160" xr:uid="{00000000-0005-0000-0000-0000DC920000}"/>
    <cellStyle name="Normal 9 12 2" xfId="38161" xr:uid="{00000000-0005-0000-0000-0000DD920000}"/>
    <cellStyle name="Normal 9 12 2 2" xfId="38162" xr:uid="{00000000-0005-0000-0000-0000DE920000}"/>
    <cellStyle name="Normal 9 12 2 3" xfId="38163" xr:uid="{00000000-0005-0000-0000-0000DF920000}"/>
    <cellStyle name="Normal 9 12 2 4" xfId="38164" xr:uid="{00000000-0005-0000-0000-0000E0920000}"/>
    <cellStyle name="Normal 9 12 2 5" xfId="38165" xr:uid="{00000000-0005-0000-0000-0000E1920000}"/>
    <cellStyle name="Normal 9 12 2 6" xfId="38166" xr:uid="{00000000-0005-0000-0000-0000E2920000}"/>
    <cellStyle name="Normal 9 12 3" xfId="38167" xr:uid="{00000000-0005-0000-0000-0000E3920000}"/>
    <cellStyle name="Normal 9 12 3 2" xfId="38168" xr:uid="{00000000-0005-0000-0000-0000E4920000}"/>
    <cellStyle name="Normal 9 12 3 3" xfId="38169" xr:uid="{00000000-0005-0000-0000-0000E5920000}"/>
    <cellStyle name="Normal 9 12 3 4" xfId="38170" xr:uid="{00000000-0005-0000-0000-0000E6920000}"/>
    <cellStyle name="Normal 9 12 3 5" xfId="38171" xr:uid="{00000000-0005-0000-0000-0000E7920000}"/>
    <cellStyle name="Normal 9 12 3 6" xfId="38172" xr:uid="{00000000-0005-0000-0000-0000E8920000}"/>
    <cellStyle name="Normal 9 12 4" xfId="38173" xr:uid="{00000000-0005-0000-0000-0000E9920000}"/>
    <cellStyle name="Normal 9 12 4 2" xfId="38174" xr:uid="{00000000-0005-0000-0000-0000EA920000}"/>
    <cellStyle name="Normal 9 12 4 3" xfId="38175" xr:uid="{00000000-0005-0000-0000-0000EB920000}"/>
    <cellStyle name="Normal 9 12 4 4" xfId="38176" xr:uid="{00000000-0005-0000-0000-0000EC920000}"/>
    <cellStyle name="Normal 9 12 4 5" xfId="38177" xr:uid="{00000000-0005-0000-0000-0000ED920000}"/>
    <cellStyle name="Normal 9 12 4 6" xfId="38178" xr:uid="{00000000-0005-0000-0000-0000EE920000}"/>
    <cellStyle name="Normal 9 12 5" xfId="38179" xr:uid="{00000000-0005-0000-0000-0000EF920000}"/>
    <cellStyle name="Normal 9 12 5 2" xfId="38180" xr:uid="{00000000-0005-0000-0000-0000F0920000}"/>
    <cellStyle name="Normal 9 12 5 3" xfId="38181" xr:uid="{00000000-0005-0000-0000-0000F1920000}"/>
    <cellStyle name="Normal 9 12 5 4" xfId="38182" xr:uid="{00000000-0005-0000-0000-0000F2920000}"/>
    <cellStyle name="Normal 9 12 5 5" xfId="38183" xr:uid="{00000000-0005-0000-0000-0000F3920000}"/>
    <cellStyle name="Normal 9 12 5 6" xfId="38184" xr:uid="{00000000-0005-0000-0000-0000F4920000}"/>
    <cellStyle name="Normal 9 12 6" xfId="38185" xr:uid="{00000000-0005-0000-0000-0000F5920000}"/>
    <cellStyle name="Normal 9 12 6 2" xfId="38186" xr:uid="{00000000-0005-0000-0000-0000F6920000}"/>
    <cellStyle name="Normal 9 12 6 3" xfId="38187" xr:uid="{00000000-0005-0000-0000-0000F7920000}"/>
    <cellStyle name="Normal 9 12 6 4" xfId="38188" xr:uid="{00000000-0005-0000-0000-0000F8920000}"/>
    <cellStyle name="Normal 9 12 6 5" xfId="38189" xr:uid="{00000000-0005-0000-0000-0000F9920000}"/>
    <cellStyle name="Normal 9 12 6 6" xfId="38190" xr:uid="{00000000-0005-0000-0000-0000FA920000}"/>
    <cellStyle name="Normal 9 12 7" xfId="38191" xr:uid="{00000000-0005-0000-0000-0000FB920000}"/>
    <cellStyle name="Normal 9 12 7 2" xfId="38192" xr:uid="{00000000-0005-0000-0000-0000FC920000}"/>
    <cellStyle name="Normal 9 12 7 3" xfId="38193" xr:uid="{00000000-0005-0000-0000-0000FD920000}"/>
    <cellStyle name="Normal 9 12 7 4" xfId="38194" xr:uid="{00000000-0005-0000-0000-0000FE920000}"/>
    <cellStyle name="Normal 9 12 7 5" xfId="38195" xr:uid="{00000000-0005-0000-0000-0000FF920000}"/>
    <cellStyle name="Normal 9 12 7 6" xfId="38196" xr:uid="{00000000-0005-0000-0000-000000930000}"/>
    <cellStyle name="Normal 9 12 8" xfId="38197" xr:uid="{00000000-0005-0000-0000-000001930000}"/>
    <cellStyle name="Normal 9 12 8 2" xfId="38198" xr:uid="{00000000-0005-0000-0000-000002930000}"/>
    <cellStyle name="Normal 9 12 8 3" xfId="38199" xr:uid="{00000000-0005-0000-0000-000003930000}"/>
    <cellStyle name="Normal 9 12 8 4" xfId="38200" xr:uid="{00000000-0005-0000-0000-000004930000}"/>
    <cellStyle name="Normal 9 12 8 5" xfId="38201" xr:uid="{00000000-0005-0000-0000-000005930000}"/>
    <cellStyle name="Normal 9 12 8 6" xfId="38202" xr:uid="{00000000-0005-0000-0000-000006930000}"/>
    <cellStyle name="Normal 9 12 9" xfId="38203" xr:uid="{00000000-0005-0000-0000-000007930000}"/>
    <cellStyle name="Normal 9 13" xfId="38204" xr:uid="{00000000-0005-0000-0000-000008930000}"/>
    <cellStyle name="Normal 9 13 10" xfId="38205" xr:uid="{00000000-0005-0000-0000-000009930000}"/>
    <cellStyle name="Normal 9 13 11" xfId="38206" xr:uid="{00000000-0005-0000-0000-00000A930000}"/>
    <cellStyle name="Normal 9 13 12" xfId="38207" xr:uid="{00000000-0005-0000-0000-00000B930000}"/>
    <cellStyle name="Normal 9 13 13" xfId="38208" xr:uid="{00000000-0005-0000-0000-00000C930000}"/>
    <cellStyle name="Normal 9 13 2" xfId="38209" xr:uid="{00000000-0005-0000-0000-00000D930000}"/>
    <cellStyle name="Normal 9 13 2 2" xfId="38210" xr:uid="{00000000-0005-0000-0000-00000E930000}"/>
    <cellStyle name="Normal 9 13 2 3" xfId="38211" xr:uid="{00000000-0005-0000-0000-00000F930000}"/>
    <cellStyle name="Normal 9 13 2 4" xfId="38212" xr:uid="{00000000-0005-0000-0000-000010930000}"/>
    <cellStyle name="Normal 9 13 2 5" xfId="38213" xr:uid="{00000000-0005-0000-0000-000011930000}"/>
    <cellStyle name="Normal 9 13 2 6" xfId="38214" xr:uid="{00000000-0005-0000-0000-000012930000}"/>
    <cellStyle name="Normal 9 13 3" xfId="38215" xr:uid="{00000000-0005-0000-0000-000013930000}"/>
    <cellStyle name="Normal 9 13 3 2" xfId="38216" xr:uid="{00000000-0005-0000-0000-000014930000}"/>
    <cellStyle name="Normal 9 13 3 3" xfId="38217" xr:uid="{00000000-0005-0000-0000-000015930000}"/>
    <cellStyle name="Normal 9 13 3 4" xfId="38218" xr:uid="{00000000-0005-0000-0000-000016930000}"/>
    <cellStyle name="Normal 9 13 3 5" xfId="38219" xr:uid="{00000000-0005-0000-0000-000017930000}"/>
    <cellStyle name="Normal 9 13 3 6" xfId="38220" xr:uid="{00000000-0005-0000-0000-000018930000}"/>
    <cellStyle name="Normal 9 13 4" xfId="38221" xr:uid="{00000000-0005-0000-0000-000019930000}"/>
    <cellStyle name="Normal 9 13 4 2" xfId="38222" xr:uid="{00000000-0005-0000-0000-00001A930000}"/>
    <cellStyle name="Normal 9 13 4 3" xfId="38223" xr:uid="{00000000-0005-0000-0000-00001B930000}"/>
    <cellStyle name="Normal 9 13 4 4" xfId="38224" xr:uid="{00000000-0005-0000-0000-00001C930000}"/>
    <cellStyle name="Normal 9 13 4 5" xfId="38225" xr:uid="{00000000-0005-0000-0000-00001D930000}"/>
    <cellStyle name="Normal 9 13 4 6" xfId="38226" xr:uid="{00000000-0005-0000-0000-00001E930000}"/>
    <cellStyle name="Normal 9 13 5" xfId="38227" xr:uid="{00000000-0005-0000-0000-00001F930000}"/>
    <cellStyle name="Normal 9 13 5 2" xfId="38228" xr:uid="{00000000-0005-0000-0000-000020930000}"/>
    <cellStyle name="Normal 9 13 5 3" xfId="38229" xr:uid="{00000000-0005-0000-0000-000021930000}"/>
    <cellStyle name="Normal 9 13 5 4" xfId="38230" xr:uid="{00000000-0005-0000-0000-000022930000}"/>
    <cellStyle name="Normal 9 13 5 5" xfId="38231" xr:uid="{00000000-0005-0000-0000-000023930000}"/>
    <cellStyle name="Normal 9 13 5 6" xfId="38232" xr:uid="{00000000-0005-0000-0000-000024930000}"/>
    <cellStyle name="Normal 9 13 6" xfId="38233" xr:uid="{00000000-0005-0000-0000-000025930000}"/>
    <cellStyle name="Normal 9 13 6 2" xfId="38234" xr:uid="{00000000-0005-0000-0000-000026930000}"/>
    <cellStyle name="Normal 9 13 6 3" xfId="38235" xr:uid="{00000000-0005-0000-0000-000027930000}"/>
    <cellStyle name="Normal 9 13 6 4" xfId="38236" xr:uid="{00000000-0005-0000-0000-000028930000}"/>
    <cellStyle name="Normal 9 13 6 5" xfId="38237" xr:uid="{00000000-0005-0000-0000-000029930000}"/>
    <cellStyle name="Normal 9 13 6 6" xfId="38238" xr:uid="{00000000-0005-0000-0000-00002A930000}"/>
    <cellStyle name="Normal 9 13 7" xfId="38239" xr:uid="{00000000-0005-0000-0000-00002B930000}"/>
    <cellStyle name="Normal 9 13 7 2" xfId="38240" xr:uid="{00000000-0005-0000-0000-00002C930000}"/>
    <cellStyle name="Normal 9 13 7 3" xfId="38241" xr:uid="{00000000-0005-0000-0000-00002D930000}"/>
    <cellStyle name="Normal 9 13 7 4" xfId="38242" xr:uid="{00000000-0005-0000-0000-00002E930000}"/>
    <cellStyle name="Normal 9 13 7 5" xfId="38243" xr:uid="{00000000-0005-0000-0000-00002F930000}"/>
    <cellStyle name="Normal 9 13 7 6" xfId="38244" xr:uid="{00000000-0005-0000-0000-000030930000}"/>
    <cellStyle name="Normal 9 13 8" xfId="38245" xr:uid="{00000000-0005-0000-0000-000031930000}"/>
    <cellStyle name="Normal 9 13 8 2" xfId="38246" xr:uid="{00000000-0005-0000-0000-000032930000}"/>
    <cellStyle name="Normal 9 13 8 3" xfId="38247" xr:uid="{00000000-0005-0000-0000-000033930000}"/>
    <cellStyle name="Normal 9 13 8 4" xfId="38248" xr:uid="{00000000-0005-0000-0000-000034930000}"/>
    <cellStyle name="Normal 9 13 8 5" xfId="38249" xr:uid="{00000000-0005-0000-0000-000035930000}"/>
    <cellStyle name="Normal 9 13 8 6" xfId="38250" xr:uid="{00000000-0005-0000-0000-000036930000}"/>
    <cellStyle name="Normal 9 13 9" xfId="38251" xr:uid="{00000000-0005-0000-0000-000037930000}"/>
    <cellStyle name="Normal 9 14" xfId="38252" xr:uid="{00000000-0005-0000-0000-000038930000}"/>
    <cellStyle name="Normal 9 14 10" xfId="38253" xr:uid="{00000000-0005-0000-0000-000039930000}"/>
    <cellStyle name="Normal 9 14 11" xfId="38254" xr:uid="{00000000-0005-0000-0000-00003A930000}"/>
    <cellStyle name="Normal 9 14 12" xfId="38255" xr:uid="{00000000-0005-0000-0000-00003B930000}"/>
    <cellStyle name="Normal 9 14 13" xfId="38256" xr:uid="{00000000-0005-0000-0000-00003C930000}"/>
    <cellStyle name="Normal 9 14 2" xfId="38257" xr:uid="{00000000-0005-0000-0000-00003D930000}"/>
    <cellStyle name="Normal 9 14 2 2" xfId="38258" xr:uid="{00000000-0005-0000-0000-00003E930000}"/>
    <cellStyle name="Normal 9 14 2 3" xfId="38259" xr:uid="{00000000-0005-0000-0000-00003F930000}"/>
    <cellStyle name="Normal 9 14 2 4" xfId="38260" xr:uid="{00000000-0005-0000-0000-000040930000}"/>
    <cellStyle name="Normal 9 14 2 5" xfId="38261" xr:uid="{00000000-0005-0000-0000-000041930000}"/>
    <cellStyle name="Normal 9 14 2 6" xfId="38262" xr:uid="{00000000-0005-0000-0000-000042930000}"/>
    <cellStyle name="Normal 9 14 3" xfId="38263" xr:uid="{00000000-0005-0000-0000-000043930000}"/>
    <cellStyle name="Normal 9 14 3 2" xfId="38264" xr:uid="{00000000-0005-0000-0000-000044930000}"/>
    <cellStyle name="Normal 9 14 3 3" xfId="38265" xr:uid="{00000000-0005-0000-0000-000045930000}"/>
    <cellStyle name="Normal 9 14 3 4" xfId="38266" xr:uid="{00000000-0005-0000-0000-000046930000}"/>
    <cellStyle name="Normal 9 14 3 5" xfId="38267" xr:uid="{00000000-0005-0000-0000-000047930000}"/>
    <cellStyle name="Normal 9 14 3 6" xfId="38268" xr:uid="{00000000-0005-0000-0000-000048930000}"/>
    <cellStyle name="Normal 9 14 4" xfId="38269" xr:uid="{00000000-0005-0000-0000-000049930000}"/>
    <cellStyle name="Normal 9 14 4 2" xfId="38270" xr:uid="{00000000-0005-0000-0000-00004A930000}"/>
    <cellStyle name="Normal 9 14 4 3" xfId="38271" xr:uid="{00000000-0005-0000-0000-00004B930000}"/>
    <cellStyle name="Normal 9 14 4 4" xfId="38272" xr:uid="{00000000-0005-0000-0000-00004C930000}"/>
    <cellStyle name="Normal 9 14 4 5" xfId="38273" xr:uid="{00000000-0005-0000-0000-00004D930000}"/>
    <cellStyle name="Normal 9 14 4 6" xfId="38274" xr:uid="{00000000-0005-0000-0000-00004E930000}"/>
    <cellStyle name="Normal 9 14 5" xfId="38275" xr:uid="{00000000-0005-0000-0000-00004F930000}"/>
    <cellStyle name="Normal 9 14 5 2" xfId="38276" xr:uid="{00000000-0005-0000-0000-000050930000}"/>
    <cellStyle name="Normal 9 14 5 3" xfId="38277" xr:uid="{00000000-0005-0000-0000-000051930000}"/>
    <cellStyle name="Normal 9 14 5 4" xfId="38278" xr:uid="{00000000-0005-0000-0000-000052930000}"/>
    <cellStyle name="Normal 9 14 5 5" xfId="38279" xr:uid="{00000000-0005-0000-0000-000053930000}"/>
    <cellStyle name="Normal 9 14 5 6" xfId="38280" xr:uid="{00000000-0005-0000-0000-000054930000}"/>
    <cellStyle name="Normal 9 14 6" xfId="38281" xr:uid="{00000000-0005-0000-0000-000055930000}"/>
    <cellStyle name="Normal 9 14 6 2" xfId="38282" xr:uid="{00000000-0005-0000-0000-000056930000}"/>
    <cellStyle name="Normal 9 14 6 3" xfId="38283" xr:uid="{00000000-0005-0000-0000-000057930000}"/>
    <cellStyle name="Normal 9 14 6 4" xfId="38284" xr:uid="{00000000-0005-0000-0000-000058930000}"/>
    <cellStyle name="Normal 9 14 6 5" xfId="38285" xr:uid="{00000000-0005-0000-0000-000059930000}"/>
    <cellStyle name="Normal 9 14 6 6" xfId="38286" xr:uid="{00000000-0005-0000-0000-00005A930000}"/>
    <cellStyle name="Normal 9 14 7" xfId="38287" xr:uid="{00000000-0005-0000-0000-00005B930000}"/>
    <cellStyle name="Normal 9 14 7 2" xfId="38288" xr:uid="{00000000-0005-0000-0000-00005C930000}"/>
    <cellStyle name="Normal 9 14 7 3" xfId="38289" xr:uid="{00000000-0005-0000-0000-00005D930000}"/>
    <cellStyle name="Normal 9 14 7 4" xfId="38290" xr:uid="{00000000-0005-0000-0000-00005E930000}"/>
    <cellStyle name="Normal 9 14 7 5" xfId="38291" xr:uid="{00000000-0005-0000-0000-00005F930000}"/>
    <cellStyle name="Normal 9 14 7 6" xfId="38292" xr:uid="{00000000-0005-0000-0000-000060930000}"/>
    <cellStyle name="Normal 9 14 8" xfId="38293" xr:uid="{00000000-0005-0000-0000-000061930000}"/>
    <cellStyle name="Normal 9 14 8 2" xfId="38294" xr:uid="{00000000-0005-0000-0000-000062930000}"/>
    <cellStyle name="Normal 9 14 8 3" xfId="38295" xr:uid="{00000000-0005-0000-0000-000063930000}"/>
    <cellStyle name="Normal 9 14 8 4" xfId="38296" xr:uid="{00000000-0005-0000-0000-000064930000}"/>
    <cellStyle name="Normal 9 14 8 5" xfId="38297" xr:uid="{00000000-0005-0000-0000-000065930000}"/>
    <cellStyle name="Normal 9 14 8 6" xfId="38298" xr:uid="{00000000-0005-0000-0000-000066930000}"/>
    <cellStyle name="Normal 9 14 9" xfId="38299" xr:uid="{00000000-0005-0000-0000-000067930000}"/>
    <cellStyle name="Normal 9 15" xfId="38300" xr:uid="{00000000-0005-0000-0000-000068930000}"/>
    <cellStyle name="Normal 9 15 10" xfId="38301" xr:uid="{00000000-0005-0000-0000-000069930000}"/>
    <cellStyle name="Normal 9 15 11" xfId="38302" xr:uid="{00000000-0005-0000-0000-00006A930000}"/>
    <cellStyle name="Normal 9 15 12" xfId="38303" xr:uid="{00000000-0005-0000-0000-00006B930000}"/>
    <cellStyle name="Normal 9 15 13" xfId="38304" xr:uid="{00000000-0005-0000-0000-00006C930000}"/>
    <cellStyle name="Normal 9 15 2" xfId="38305" xr:uid="{00000000-0005-0000-0000-00006D930000}"/>
    <cellStyle name="Normal 9 15 2 2" xfId="38306" xr:uid="{00000000-0005-0000-0000-00006E930000}"/>
    <cellStyle name="Normal 9 15 2 3" xfId="38307" xr:uid="{00000000-0005-0000-0000-00006F930000}"/>
    <cellStyle name="Normal 9 15 2 4" xfId="38308" xr:uid="{00000000-0005-0000-0000-000070930000}"/>
    <cellStyle name="Normal 9 15 2 5" xfId="38309" xr:uid="{00000000-0005-0000-0000-000071930000}"/>
    <cellStyle name="Normal 9 15 2 6" xfId="38310" xr:uid="{00000000-0005-0000-0000-000072930000}"/>
    <cellStyle name="Normal 9 15 3" xfId="38311" xr:uid="{00000000-0005-0000-0000-000073930000}"/>
    <cellStyle name="Normal 9 15 3 2" xfId="38312" xr:uid="{00000000-0005-0000-0000-000074930000}"/>
    <cellStyle name="Normal 9 15 3 3" xfId="38313" xr:uid="{00000000-0005-0000-0000-000075930000}"/>
    <cellStyle name="Normal 9 15 3 4" xfId="38314" xr:uid="{00000000-0005-0000-0000-000076930000}"/>
    <cellStyle name="Normal 9 15 3 5" xfId="38315" xr:uid="{00000000-0005-0000-0000-000077930000}"/>
    <cellStyle name="Normal 9 15 3 6" xfId="38316" xr:uid="{00000000-0005-0000-0000-000078930000}"/>
    <cellStyle name="Normal 9 15 4" xfId="38317" xr:uid="{00000000-0005-0000-0000-000079930000}"/>
    <cellStyle name="Normal 9 15 4 2" xfId="38318" xr:uid="{00000000-0005-0000-0000-00007A930000}"/>
    <cellStyle name="Normal 9 15 4 3" xfId="38319" xr:uid="{00000000-0005-0000-0000-00007B930000}"/>
    <cellStyle name="Normal 9 15 4 4" xfId="38320" xr:uid="{00000000-0005-0000-0000-00007C930000}"/>
    <cellStyle name="Normal 9 15 4 5" xfId="38321" xr:uid="{00000000-0005-0000-0000-00007D930000}"/>
    <cellStyle name="Normal 9 15 4 6" xfId="38322" xr:uid="{00000000-0005-0000-0000-00007E930000}"/>
    <cellStyle name="Normal 9 15 5" xfId="38323" xr:uid="{00000000-0005-0000-0000-00007F930000}"/>
    <cellStyle name="Normal 9 15 5 2" xfId="38324" xr:uid="{00000000-0005-0000-0000-000080930000}"/>
    <cellStyle name="Normal 9 15 5 3" xfId="38325" xr:uid="{00000000-0005-0000-0000-000081930000}"/>
    <cellStyle name="Normal 9 15 5 4" xfId="38326" xr:uid="{00000000-0005-0000-0000-000082930000}"/>
    <cellStyle name="Normal 9 15 5 5" xfId="38327" xr:uid="{00000000-0005-0000-0000-000083930000}"/>
    <cellStyle name="Normal 9 15 5 6" xfId="38328" xr:uid="{00000000-0005-0000-0000-000084930000}"/>
    <cellStyle name="Normal 9 15 6" xfId="38329" xr:uid="{00000000-0005-0000-0000-000085930000}"/>
    <cellStyle name="Normal 9 15 6 2" xfId="38330" xr:uid="{00000000-0005-0000-0000-000086930000}"/>
    <cellStyle name="Normal 9 15 6 3" xfId="38331" xr:uid="{00000000-0005-0000-0000-000087930000}"/>
    <cellStyle name="Normal 9 15 6 4" xfId="38332" xr:uid="{00000000-0005-0000-0000-000088930000}"/>
    <cellStyle name="Normal 9 15 6 5" xfId="38333" xr:uid="{00000000-0005-0000-0000-000089930000}"/>
    <cellStyle name="Normal 9 15 6 6" xfId="38334" xr:uid="{00000000-0005-0000-0000-00008A930000}"/>
    <cellStyle name="Normal 9 15 7" xfId="38335" xr:uid="{00000000-0005-0000-0000-00008B930000}"/>
    <cellStyle name="Normal 9 15 7 2" xfId="38336" xr:uid="{00000000-0005-0000-0000-00008C930000}"/>
    <cellStyle name="Normal 9 15 7 3" xfId="38337" xr:uid="{00000000-0005-0000-0000-00008D930000}"/>
    <cellStyle name="Normal 9 15 7 4" xfId="38338" xr:uid="{00000000-0005-0000-0000-00008E930000}"/>
    <cellStyle name="Normal 9 15 7 5" xfId="38339" xr:uid="{00000000-0005-0000-0000-00008F930000}"/>
    <cellStyle name="Normal 9 15 7 6" xfId="38340" xr:uid="{00000000-0005-0000-0000-000090930000}"/>
    <cellStyle name="Normal 9 15 8" xfId="38341" xr:uid="{00000000-0005-0000-0000-000091930000}"/>
    <cellStyle name="Normal 9 15 8 2" xfId="38342" xr:uid="{00000000-0005-0000-0000-000092930000}"/>
    <cellStyle name="Normal 9 15 8 3" xfId="38343" xr:uid="{00000000-0005-0000-0000-000093930000}"/>
    <cellStyle name="Normal 9 15 8 4" xfId="38344" xr:uid="{00000000-0005-0000-0000-000094930000}"/>
    <cellStyle name="Normal 9 15 8 5" xfId="38345" xr:uid="{00000000-0005-0000-0000-000095930000}"/>
    <cellStyle name="Normal 9 15 8 6" xfId="38346" xr:uid="{00000000-0005-0000-0000-000096930000}"/>
    <cellStyle name="Normal 9 15 9" xfId="38347" xr:uid="{00000000-0005-0000-0000-000097930000}"/>
    <cellStyle name="Normal 9 16" xfId="38348" xr:uid="{00000000-0005-0000-0000-000098930000}"/>
    <cellStyle name="Normal 9 16 10" xfId="38349" xr:uid="{00000000-0005-0000-0000-000099930000}"/>
    <cellStyle name="Normal 9 16 11" xfId="38350" xr:uid="{00000000-0005-0000-0000-00009A930000}"/>
    <cellStyle name="Normal 9 16 12" xfId="38351" xr:uid="{00000000-0005-0000-0000-00009B930000}"/>
    <cellStyle name="Normal 9 16 13" xfId="38352" xr:uid="{00000000-0005-0000-0000-00009C930000}"/>
    <cellStyle name="Normal 9 16 2" xfId="38353" xr:uid="{00000000-0005-0000-0000-00009D930000}"/>
    <cellStyle name="Normal 9 16 2 2" xfId="38354" xr:uid="{00000000-0005-0000-0000-00009E930000}"/>
    <cellStyle name="Normal 9 16 2 3" xfId="38355" xr:uid="{00000000-0005-0000-0000-00009F930000}"/>
    <cellStyle name="Normal 9 16 2 4" xfId="38356" xr:uid="{00000000-0005-0000-0000-0000A0930000}"/>
    <cellStyle name="Normal 9 16 2 5" xfId="38357" xr:uid="{00000000-0005-0000-0000-0000A1930000}"/>
    <cellStyle name="Normal 9 16 2 6" xfId="38358" xr:uid="{00000000-0005-0000-0000-0000A2930000}"/>
    <cellStyle name="Normal 9 16 3" xfId="38359" xr:uid="{00000000-0005-0000-0000-0000A3930000}"/>
    <cellStyle name="Normal 9 16 3 2" xfId="38360" xr:uid="{00000000-0005-0000-0000-0000A4930000}"/>
    <cellStyle name="Normal 9 16 3 3" xfId="38361" xr:uid="{00000000-0005-0000-0000-0000A5930000}"/>
    <cellStyle name="Normal 9 16 3 4" xfId="38362" xr:uid="{00000000-0005-0000-0000-0000A6930000}"/>
    <cellStyle name="Normal 9 16 3 5" xfId="38363" xr:uid="{00000000-0005-0000-0000-0000A7930000}"/>
    <cellStyle name="Normal 9 16 3 6" xfId="38364" xr:uid="{00000000-0005-0000-0000-0000A8930000}"/>
    <cellStyle name="Normal 9 16 4" xfId="38365" xr:uid="{00000000-0005-0000-0000-0000A9930000}"/>
    <cellStyle name="Normal 9 16 4 2" xfId="38366" xr:uid="{00000000-0005-0000-0000-0000AA930000}"/>
    <cellStyle name="Normal 9 16 4 3" xfId="38367" xr:uid="{00000000-0005-0000-0000-0000AB930000}"/>
    <cellStyle name="Normal 9 16 4 4" xfId="38368" xr:uid="{00000000-0005-0000-0000-0000AC930000}"/>
    <cellStyle name="Normal 9 16 4 5" xfId="38369" xr:uid="{00000000-0005-0000-0000-0000AD930000}"/>
    <cellStyle name="Normal 9 16 4 6" xfId="38370" xr:uid="{00000000-0005-0000-0000-0000AE930000}"/>
    <cellStyle name="Normal 9 16 5" xfId="38371" xr:uid="{00000000-0005-0000-0000-0000AF930000}"/>
    <cellStyle name="Normal 9 16 5 2" xfId="38372" xr:uid="{00000000-0005-0000-0000-0000B0930000}"/>
    <cellStyle name="Normal 9 16 5 3" xfId="38373" xr:uid="{00000000-0005-0000-0000-0000B1930000}"/>
    <cellStyle name="Normal 9 16 5 4" xfId="38374" xr:uid="{00000000-0005-0000-0000-0000B2930000}"/>
    <cellStyle name="Normal 9 16 5 5" xfId="38375" xr:uid="{00000000-0005-0000-0000-0000B3930000}"/>
    <cellStyle name="Normal 9 16 5 6" xfId="38376" xr:uid="{00000000-0005-0000-0000-0000B4930000}"/>
    <cellStyle name="Normal 9 16 6" xfId="38377" xr:uid="{00000000-0005-0000-0000-0000B5930000}"/>
    <cellStyle name="Normal 9 16 6 2" xfId="38378" xr:uid="{00000000-0005-0000-0000-0000B6930000}"/>
    <cellStyle name="Normal 9 16 6 3" xfId="38379" xr:uid="{00000000-0005-0000-0000-0000B7930000}"/>
    <cellStyle name="Normal 9 16 6 4" xfId="38380" xr:uid="{00000000-0005-0000-0000-0000B8930000}"/>
    <cellStyle name="Normal 9 16 6 5" xfId="38381" xr:uid="{00000000-0005-0000-0000-0000B9930000}"/>
    <cellStyle name="Normal 9 16 6 6" xfId="38382" xr:uid="{00000000-0005-0000-0000-0000BA930000}"/>
    <cellStyle name="Normal 9 16 7" xfId="38383" xr:uid="{00000000-0005-0000-0000-0000BB930000}"/>
    <cellStyle name="Normal 9 16 7 2" xfId="38384" xr:uid="{00000000-0005-0000-0000-0000BC930000}"/>
    <cellStyle name="Normal 9 16 7 3" xfId="38385" xr:uid="{00000000-0005-0000-0000-0000BD930000}"/>
    <cellStyle name="Normal 9 16 7 4" xfId="38386" xr:uid="{00000000-0005-0000-0000-0000BE930000}"/>
    <cellStyle name="Normal 9 16 7 5" xfId="38387" xr:uid="{00000000-0005-0000-0000-0000BF930000}"/>
    <cellStyle name="Normal 9 16 7 6" xfId="38388" xr:uid="{00000000-0005-0000-0000-0000C0930000}"/>
    <cellStyle name="Normal 9 16 8" xfId="38389" xr:uid="{00000000-0005-0000-0000-0000C1930000}"/>
    <cellStyle name="Normal 9 16 8 2" xfId="38390" xr:uid="{00000000-0005-0000-0000-0000C2930000}"/>
    <cellStyle name="Normal 9 16 8 3" xfId="38391" xr:uid="{00000000-0005-0000-0000-0000C3930000}"/>
    <cellStyle name="Normal 9 16 8 4" xfId="38392" xr:uid="{00000000-0005-0000-0000-0000C4930000}"/>
    <cellStyle name="Normal 9 16 8 5" xfId="38393" xr:uid="{00000000-0005-0000-0000-0000C5930000}"/>
    <cellStyle name="Normal 9 16 8 6" xfId="38394" xr:uid="{00000000-0005-0000-0000-0000C6930000}"/>
    <cellStyle name="Normal 9 16 9" xfId="38395" xr:uid="{00000000-0005-0000-0000-0000C7930000}"/>
    <cellStyle name="Normal 9 17" xfId="38396" xr:uid="{00000000-0005-0000-0000-0000C8930000}"/>
    <cellStyle name="Normal 9 17 10" xfId="38397" xr:uid="{00000000-0005-0000-0000-0000C9930000}"/>
    <cellStyle name="Normal 9 17 11" xfId="38398" xr:uid="{00000000-0005-0000-0000-0000CA930000}"/>
    <cellStyle name="Normal 9 17 12" xfId="38399" xr:uid="{00000000-0005-0000-0000-0000CB930000}"/>
    <cellStyle name="Normal 9 17 13" xfId="38400" xr:uid="{00000000-0005-0000-0000-0000CC930000}"/>
    <cellStyle name="Normal 9 17 2" xfId="38401" xr:uid="{00000000-0005-0000-0000-0000CD930000}"/>
    <cellStyle name="Normal 9 17 2 2" xfId="38402" xr:uid="{00000000-0005-0000-0000-0000CE930000}"/>
    <cellStyle name="Normal 9 17 2 3" xfId="38403" xr:uid="{00000000-0005-0000-0000-0000CF930000}"/>
    <cellStyle name="Normal 9 17 2 4" xfId="38404" xr:uid="{00000000-0005-0000-0000-0000D0930000}"/>
    <cellStyle name="Normal 9 17 2 5" xfId="38405" xr:uid="{00000000-0005-0000-0000-0000D1930000}"/>
    <cellStyle name="Normal 9 17 2 6" xfId="38406" xr:uid="{00000000-0005-0000-0000-0000D2930000}"/>
    <cellStyle name="Normal 9 17 3" xfId="38407" xr:uid="{00000000-0005-0000-0000-0000D3930000}"/>
    <cellStyle name="Normal 9 17 3 2" xfId="38408" xr:uid="{00000000-0005-0000-0000-0000D4930000}"/>
    <cellStyle name="Normal 9 17 3 3" xfId="38409" xr:uid="{00000000-0005-0000-0000-0000D5930000}"/>
    <cellStyle name="Normal 9 17 3 4" xfId="38410" xr:uid="{00000000-0005-0000-0000-0000D6930000}"/>
    <cellStyle name="Normal 9 17 3 5" xfId="38411" xr:uid="{00000000-0005-0000-0000-0000D7930000}"/>
    <cellStyle name="Normal 9 17 3 6" xfId="38412" xr:uid="{00000000-0005-0000-0000-0000D8930000}"/>
    <cellStyle name="Normal 9 17 4" xfId="38413" xr:uid="{00000000-0005-0000-0000-0000D9930000}"/>
    <cellStyle name="Normal 9 17 4 2" xfId="38414" xr:uid="{00000000-0005-0000-0000-0000DA930000}"/>
    <cellStyle name="Normal 9 17 4 3" xfId="38415" xr:uid="{00000000-0005-0000-0000-0000DB930000}"/>
    <cellStyle name="Normal 9 17 4 4" xfId="38416" xr:uid="{00000000-0005-0000-0000-0000DC930000}"/>
    <cellStyle name="Normal 9 17 4 5" xfId="38417" xr:uid="{00000000-0005-0000-0000-0000DD930000}"/>
    <cellStyle name="Normal 9 17 4 6" xfId="38418" xr:uid="{00000000-0005-0000-0000-0000DE930000}"/>
    <cellStyle name="Normal 9 17 5" xfId="38419" xr:uid="{00000000-0005-0000-0000-0000DF930000}"/>
    <cellStyle name="Normal 9 17 5 2" xfId="38420" xr:uid="{00000000-0005-0000-0000-0000E0930000}"/>
    <cellStyle name="Normal 9 17 5 3" xfId="38421" xr:uid="{00000000-0005-0000-0000-0000E1930000}"/>
    <cellStyle name="Normal 9 17 5 4" xfId="38422" xr:uid="{00000000-0005-0000-0000-0000E2930000}"/>
    <cellStyle name="Normal 9 17 5 5" xfId="38423" xr:uid="{00000000-0005-0000-0000-0000E3930000}"/>
    <cellStyle name="Normal 9 17 5 6" xfId="38424" xr:uid="{00000000-0005-0000-0000-0000E4930000}"/>
    <cellStyle name="Normal 9 17 6" xfId="38425" xr:uid="{00000000-0005-0000-0000-0000E5930000}"/>
    <cellStyle name="Normal 9 17 6 2" xfId="38426" xr:uid="{00000000-0005-0000-0000-0000E6930000}"/>
    <cellStyle name="Normal 9 17 6 3" xfId="38427" xr:uid="{00000000-0005-0000-0000-0000E7930000}"/>
    <cellStyle name="Normal 9 17 6 4" xfId="38428" xr:uid="{00000000-0005-0000-0000-0000E8930000}"/>
    <cellStyle name="Normal 9 17 6 5" xfId="38429" xr:uid="{00000000-0005-0000-0000-0000E9930000}"/>
    <cellStyle name="Normal 9 17 6 6" xfId="38430" xr:uid="{00000000-0005-0000-0000-0000EA930000}"/>
    <cellStyle name="Normal 9 17 7" xfId="38431" xr:uid="{00000000-0005-0000-0000-0000EB930000}"/>
    <cellStyle name="Normal 9 17 7 2" xfId="38432" xr:uid="{00000000-0005-0000-0000-0000EC930000}"/>
    <cellStyle name="Normal 9 17 7 3" xfId="38433" xr:uid="{00000000-0005-0000-0000-0000ED930000}"/>
    <cellStyle name="Normal 9 17 7 4" xfId="38434" xr:uid="{00000000-0005-0000-0000-0000EE930000}"/>
    <cellStyle name="Normal 9 17 7 5" xfId="38435" xr:uid="{00000000-0005-0000-0000-0000EF930000}"/>
    <cellStyle name="Normal 9 17 7 6" xfId="38436" xr:uid="{00000000-0005-0000-0000-0000F0930000}"/>
    <cellStyle name="Normal 9 17 8" xfId="38437" xr:uid="{00000000-0005-0000-0000-0000F1930000}"/>
    <cellStyle name="Normal 9 17 8 2" xfId="38438" xr:uid="{00000000-0005-0000-0000-0000F2930000}"/>
    <cellStyle name="Normal 9 17 8 3" xfId="38439" xr:uid="{00000000-0005-0000-0000-0000F3930000}"/>
    <cellStyle name="Normal 9 17 8 4" xfId="38440" xr:uid="{00000000-0005-0000-0000-0000F4930000}"/>
    <cellStyle name="Normal 9 17 8 5" xfId="38441" xr:uid="{00000000-0005-0000-0000-0000F5930000}"/>
    <cellStyle name="Normal 9 17 8 6" xfId="38442" xr:uid="{00000000-0005-0000-0000-0000F6930000}"/>
    <cellStyle name="Normal 9 17 9" xfId="38443" xr:uid="{00000000-0005-0000-0000-0000F7930000}"/>
    <cellStyle name="Normal 9 18" xfId="38444" xr:uid="{00000000-0005-0000-0000-0000F8930000}"/>
    <cellStyle name="Normal 9 18 10" xfId="38445" xr:uid="{00000000-0005-0000-0000-0000F9930000}"/>
    <cellStyle name="Normal 9 18 11" xfId="38446" xr:uid="{00000000-0005-0000-0000-0000FA930000}"/>
    <cellStyle name="Normal 9 18 12" xfId="38447" xr:uid="{00000000-0005-0000-0000-0000FB930000}"/>
    <cellStyle name="Normal 9 18 13" xfId="38448" xr:uid="{00000000-0005-0000-0000-0000FC930000}"/>
    <cellStyle name="Normal 9 18 2" xfId="38449" xr:uid="{00000000-0005-0000-0000-0000FD930000}"/>
    <cellStyle name="Normal 9 18 2 2" xfId="38450" xr:uid="{00000000-0005-0000-0000-0000FE930000}"/>
    <cellStyle name="Normal 9 18 2 3" xfId="38451" xr:uid="{00000000-0005-0000-0000-0000FF930000}"/>
    <cellStyle name="Normal 9 18 2 4" xfId="38452" xr:uid="{00000000-0005-0000-0000-000000940000}"/>
    <cellStyle name="Normal 9 18 2 5" xfId="38453" xr:uid="{00000000-0005-0000-0000-000001940000}"/>
    <cellStyle name="Normal 9 18 2 6" xfId="38454" xr:uid="{00000000-0005-0000-0000-000002940000}"/>
    <cellStyle name="Normal 9 18 3" xfId="38455" xr:uid="{00000000-0005-0000-0000-000003940000}"/>
    <cellStyle name="Normal 9 18 3 2" xfId="38456" xr:uid="{00000000-0005-0000-0000-000004940000}"/>
    <cellStyle name="Normal 9 18 3 3" xfId="38457" xr:uid="{00000000-0005-0000-0000-000005940000}"/>
    <cellStyle name="Normal 9 18 3 4" xfId="38458" xr:uid="{00000000-0005-0000-0000-000006940000}"/>
    <cellStyle name="Normal 9 18 3 5" xfId="38459" xr:uid="{00000000-0005-0000-0000-000007940000}"/>
    <cellStyle name="Normal 9 18 3 6" xfId="38460" xr:uid="{00000000-0005-0000-0000-000008940000}"/>
    <cellStyle name="Normal 9 18 4" xfId="38461" xr:uid="{00000000-0005-0000-0000-000009940000}"/>
    <cellStyle name="Normal 9 18 4 2" xfId="38462" xr:uid="{00000000-0005-0000-0000-00000A940000}"/>
    <cellStyle name="Normal 9 18 4 3" xfId="38463" xr:uid="{00000000-0005-0000-0000-00000B940000}"/>
    <cellStyle name="Normal 9 18 4 4" xfId="38464" xr:uid="{00000000-0005-0000-0000-00000C940000}"/>
    <cellStyle name="Normal 9 18 4 5" xfId="38465" xr:uid="{00000000-0005-0000-0000-00000D940000}"/>
    <cellStyle name="Normal 9 18 4 6" xfId="38466" xr:uid="{00000000-0005-0000-0000-00000E940000}"/>
    <cellStyle name="Normal 9 18 5" xfId="38467" xr:uid="{00000000-0005-0000-0000-00000F940000}"/>
    <cellStyle name="Normal 9 18 5 2" xfId="38468" xr:uid="{00000000-0005-0000-0000-000010940000}"/>
    <cellStyle name="Normal 9 18 5 3" xfId="38469" xr:uid="{00000000-0005-0000-0000-000011940000}"/>
    <cellStyle name="Normal 9 18 5 4" xfId="38470" xr:uid="{00000000-0005-0000-0000-000012940000}"/>
    <cellStyle name="Normal 9 18 5 5" xfId="38471" xr:uid="{00000000-0005-0000-0000-000013940000}"/>
    <cellStyle name="Normal 9 18 5 6" xfId="38472" xr:uid="{00000000-0005-0000-0000-000014940000}"/>
    <cellStyle name="Normal 9 18 6" xfId="38473" xr:uid="{00000000-0005-0000-0000-000015940000}"/>
    <cellStyle name="Normal 9 18 6 2" xfId="38474" xr:uid="{00000000-0005-0000-0000-000016940000}"/>
    <cellStyle name="Normal 9 18 6 3" xfId="38475" xr:uid="{00000000-0005-0000-0000-000017940000}"/>
    <cellStyle name="Normal 9 18 6 4" xfId="38476" xr:uid="{00000000-0005-0000-0000-000018940000}"/>
    <cellStyle name="Normal 9 18 6 5" xfId="38477" xr:uid="{00000000-0005-0000-0000-000019940000}"/>
    <cellStyle name="Normal 9 18 6 6" xfId="38478" xr:uid="{00000000-0005-0000-0000-00001A940000}"/>
    <cellStyle name="Normal 9 18 7" xfId="38479" xr:uid="{00000000-0005-0000-0000-00001B940000}"/>
    <cellStyle name="Normal 9 18 7 2" xfId="38480" xr:uid="{00000000-0005-0000-0000-00001C940000}"/>
    <cellStyle name="Normal 9 18 7 3" xfId="38481" xr:uid="{00000000-0005-0000-0000-00001D940000}"/>
    <cellStyle name="Normal 9 18 7 4" xfId="38482" xr:uid="{00000000-0005-0000-0000-00001E940000}"/>
    <cellStyle name="Normal 9 18 7 5" xfId="38483" xr:uid="{00000000-0005-0000-0000-00001F940000}"/>
    <cellStyle name="Normal 9 18 7 6" xfId="38484" xr:uid="{00000000-0005-0000-0000-000020940000}"/>
    <cellStyle name="Normal 9 18 8" xfId="38485" xr:uid="{00000000-0005-0000-0000-000021940000}"/>
    <cellStyle name="Normal 9 18 8 2" xfId="38486" xr:uid="{00000000-0005-0000-0000-000022940000}"/>
    <cellStyle name="Normal 9 18 8 3" xfId="38487" xr:uid="{00000000-0005-0000-0000-000023940000}"/>
    <cellStyle name="Normal 9 18 8 4" xfId="38488" xr:uid="{00000000-0005-0000-0000-000024940000}"/>
    <cellStyle name="Normal 9 18 8 5" xfId="38489" xr:uid="{00000000-0005-0000-0000-000025940000}"/>
    <cellStyle name="Normal 9 18 8 6" xfId="38490" xr:uid="{00000000-0005-0000-0000-000026940000}"/>
    <cellStyle name="Normal 9 18 9" xfId="38491" xr:uid="{00000000-0005-0000-0000-000027940000}"/>
    <cellStyle name="Normal 9 19" xfId="38492" xr:uid="{00000000-0005-0000-0000-000028940000}"/>
    <cellStyle name="Normal 9 19 10" xfId="38493" xr:uid="{00000000-0005-0000-0000-000029940000}"/>
    <cellStyle name="Normal 9 19 11" xfId="38494" xr:uid="{00000000-0005-0000-0000-00002A940000}"/>
    <cellStyle name="Normal 9 19 12" xfId="38495" xr:uid="{00000000-0005-0000-0000-00002B940000}"/>
    <cellStyle name="Normal 9 19 13" xfId="38496" xr:uid="{00000000-0005-0000-0000-00002C940000}"/>
    <cellStyle name="Normal 9 19 2" xfId="38497" xr:uid="{00000000-0005-0000-0000-00002D940000}"/>
    <cellStyle name="Normal 9 19 2 2" xfId="38498" xr:uid="{00000000-0005-0000-0000-00002E940000}"/>
    <cellStyle name="Normal 9 19 2 3" xfId="38499" xr:uid="{00000000-0005-0000-0000-00002F940000}"/>
    <cellStyle name="Normal 9 19 2 4" xfId="38500" xr:uid="{00000000-0005-0000-0000-000030940000}"/>
    <cellStyle name="Normal 9 19 2 5" xfId="38501" xr:uid="{00000000-0005-0000-0000-000031940000}"/>
    <cellStyle name="Normal 9 19 2 6" xfId="38502" xr:uid="{00000000-0005-0000-0000-000032940000}"/>
    <cellStyle name="Normal 9 19 3" xfId="38503" xr:uid="{00000000-0005-0000-0000-000033940000}"/>
    <cellStyle name="Normal 9 19 3 2" xfId="38504" xr:uid="{00000000-0005-0000-0000-000034940000}"/>
    <cellStyle name="Normal 9 19 3 3" xfId="38505" xr:uid="{00000000-0005-0000-0000-000035940000}"/>
    <cellStyle name="Normal 9 19 3 4" xfId="38506" xr:uid="{00000000-0005-0000-0000-000036940000}"/>
    <cellStyle name="Normal 9 19 3 5" xfId="38507" xr:uid="{00000000-0005-0000-0000-000037940000}"/>
    <cellStyle name="Normal 9 19 3 6" xfId="38508" xr:uid="{00000000-0005-0000-0000-000038940000}"/>
    <cellStyle name="Normal 9 19 4" xfId="38509" xr:uid="{00000000-0005-0000-0000-000039940000}"/>
    <cellStyle name="Normal 9 19 4 2" xfId="38510" xr:uid="{00000000-0005-0000-0000-00003A940000}"/>
    <cellStyle name="Normal 9 19 4 3" xfId="38511" xr:uid="{00000000-0005-0000-0000-00003B940000}"/>
    <cellStyle name="Normal 9 19 4 4" xfId="38512" xr:uid="{00000000-0005-0000-0000-00003C940000}"/>
    <cellStyle name="Normal 9 19 4 5" xfId="38513" xr:uid="{00000000-0005-0000-0000-00003D940000}"/>
    <cellStyle name="Normal 9 19 4 6" xfId="38514" xr:uid="{00000000-0005-0000-0000-00003E940000}"/>
    <cellStyle name="Normal 9 19 5" xfId="38515" xr:uid="{00000000-0005-0000-0000-00003F940000}"/>
    <cellStyle name="Normal 9 19 5 2" xfId="38516" xr:uid="{00000000-0005-0000-0000-000040940000}"/>
    <cellStyle name="Normal 9 19 5 3" xfId="38517" xr:uid="{00000000-0005-0000-0000-000041940000}"/>
    <cellStyle name="Normal 9 19 5 4" xfId="38518" xr:uid="{00000000-0005-0000-0000-000042940000}"/>
    <cellStyle name="Normal 9 19 5 5" xfId="38519" xr:uid="{00000000-0005-0000-0000-000043940000}"/>
    <cellStyle name="Normal 9 19 5 6" xfId="38520" xr:uid="{00000000-0005-0000-0000-000044940000}"/>
    <cellStyle name="Normal 9 19 6" xfId="38521" xr:uid="{00000000-0005-0000-0000-000045940000}"/>
    <cellStyle name="Normal 9 19 6 2" xfId="38522" xr:uid="{00000000-0005-0000-0000-000046940000}"/>
    <cellStyle name="Normal 9 19 6 3" xfId="38523" xr:uid="{00000000-0005-0000-0000-000047940000}"/>
    <cellStyle name="Normal 9 19 6 4" xfId="38524" xr:uid="{00000000-0005-0000-0000-000048940000}"/>
    <cellStyle name="Normal 9 19 6 5" xfId="38525" xr:uid="{00000000-0005-0000-0000-000049940000}"/>
    <cellStyle name="Normal 9 19 6 6" xfId="38526" xr:uid="{00000000-0005-0000-0000-00004A940000}"/>
    <cellStyle name="Normal 9 19 7" xfId="38527" xr:uid="{00000000-0005-0000-0000-00004B940000}"/>
    <cellStyle name="Normal 9 19 7 2" xfId="38528" xr:uid="{00000000-0005-0000-0000-00004C940000}"/>
    <cellStyle name="Normal 9 19 7 3" xfId="38529" xr:uid="{00000000-0005-0000-0000-00004D940000}"/>
    <cellStyle name="Normal 9 19 7 4" xfId="38530" xr:uid="{00000000-0005-0000-0000-00004E940000}"/>
    <cellStyle name="Normal 9 19 7 5" xfId="38531" xr:uid="{00000000-0005-0000-0000-00004F940000}"/>
    <cellStyle name="Normal 9 19 7 6" xfId="38532" xr:uid="{00000000-0005-0000-0000-000050940000}"/>
    <cellStyle name="Normal 9 19 8" xfId="38533" xr:uid="{00000000-0005-0000-0000-000051940000}"/>
    <cellStyle name="Normal 9 19 8 2" xfId="38534" xr:uid="{00000000-0005-0000-0000-000052940000}"/>
    <cellStyle name="Normal 9 19 8 3" xfId="38535" xr:uid="{00000000-0005-0000-0000-000053940000}"/>
    <cellStyle name="Normal 9 19 8 4" xfId="38536" xr:uid="{00000000-0005-0000-0000-000054940000}"/>
    <cellStyle name="Normal 9 19 8 5" xfId="38537" xr:uid="{00000000-0005-0000-0000-000055940000}"/>
    <cellStyle name="Normal 9 19 8 6" xfId="38538" xr:uid="{00000000-0005-0000-0000-000056940000}"/>
    <cellStyle name="Normal 9 19 9" xfId="38539" xr:uid="{00000000-0005-0000-0000-000057940000}"/>
    <cellStyle name="Normal 9 2" xfId="38540" xr:uid="{00000000-0005-0000-0000-000058940000}"/>
    <cellStyle name="Normal 9 2 10" xfId="38541" xr:uid="{00000000-0005-0000-0000-000059940000}"/>
    <cellStyle name="Normal 9 2 11" xfId="38542" xr:uid="{00000000-0005-0000-0000-00005A940000}"/>
    <cellStyle name="Normal 9 2 12" xfId="38543" xr:uid="{00000000-0005-0000-0000-00005B940000}"/>
    <cellStyle name="Normal 9 2 13" xfId="38544" xr:uid="{00000000-0005-0000-0000-00005C940000}"/>
    <cellStyle name="Normal 9 2 14" xfId="38545" xr:uid="{00000000-0005-0000-0000-00005D940000}"/>
    <cellStyle name="Normal 9 2 15" xfId="43474" xr:uid="{B8DA3751-2F53-4717-87AA-7FB8FE606A84}"/>
    <cellStyle name="Normal 9 2 2" xfId="38546" xr:uid="{00000000-0005-0000-0000-00005E940000}"/>
    <cellStyle name="Normal 9 2 2 2" xfId="38547" xr:uid="{00000000-0005-0000-0000-00005F940000}"/>
    <cellStyle name="Normal 9 2 2 2 2" xfId="43752" xr:uid="{0FF0E991-86A9-4695-AC61-4485277B9DFF}"/>
    <cellStyle name="Normal 9 2 2 2 3" xfId="43935" xr:uid="{90EC3CC0-7667-49A9-AE9B-47C99B62FA7F}"/>
    <cellStyle name="Normal 9 2 2 2 4" xfId="43569" xr:uid="{0C431F78-A03E-49A3-9CE4-23DC1773FC56}"/>
    <cellStyle name="Normal 9 2 2 3" xfId="38548" xr:uid="{00000000-0005-0000-0000-000060940000}"/>
    <cellStyle name="Normal 9 2 2 3 2" xfId="43685" xr:uid="{B51C2AC1-8E4D-42AB-9048-6A3C52DACE97}"/>
    <cellStyle name="Normal 9 2 2 4" xfId="38549" xr:uid="{00000000-0005-0000-0000-000061940000}"/>
    <cellStyle name="Normal 9 2 2 4 2" xfId="43868" xr:uid="{781024CF-3BD2-4136-BF17-84871FD2D240}"/>
    <cellStyle name="Normal 9 2 2 5" xfId="38550" xr:uid="{00000000-0005-0000-0000-000062940000}"/>
    <cellStyle name="Normal 9 2 2 6" xfId="38551" xr:uid="{00000000-0005-0000-0000-000063940000}"/>
    <cellStyle name="Normal 9 2 2 7" xfId="43502" xr:uid="{545A6950-C2D7-4E5B-A43E-BEE6059DCA1C}"/>
    <cellStyle name="Normal 9 2 3" xfId="38552" xr:uid="{00000000-0005-0000-0000-000064940000}"/>
    <cellStyle name="Normal 9 2 3 2" xfId="38553" xr:uid="{00000000-0005-0000-0000-000065940000}"/>
    <cellStyle name="Normal 9 2 3 2 2" xfId="43724" xr:uid="{AFDD3F57-61A6-43C9-B5B3-86D341F24B6B}"/>
    <cellStyle name="Normal 9 2 3 3" xfId="38554" xr:uid="{00000000-0005-0000-0000-000066940000}"/>
    <cellStyle name="Normal 9 2 3 3 2" xfId="43907" xr:uid="{5038A765-34DF-4FE0-AF0B-B9AFE35E7753}"/>
    <cellStyle name="Normal 9 2 3 4" xfId="38555" xr:uid="{00000000-0005-0000-0000-000067940000}"/>
    <cellStyle name="Normal 9 2 3 5" xfId="38556" xr:uid="{00000000-0005-0000-0000-000068940000}"/>
    <cellStyle name="Normal 9 2 3 6" xfId="38557" xr:uid="{00000000-0005-0000-0000-000069940000}"/>
    <cellStyle name="Normal 9 2 3 7" xfId="43541" xr:uid="{C5A73D85-8851-4863-9112-DD833B5D5A97}"/>
    <cellStyle name="Normal 9 2 4" xfId="38558" xr:uid="{00000000-0005-0000-0000-00006A940000}"/>
    <cellStyle name="Normal 9 2 4 2" xfId="38559" xr:uid="{00000000-0005-0000-0000-00006B940000}"/>
    <cellStyle name="Normal 9 2 4 2 2" xfId="43786" xr:uid="{791481E4-0510-4C17-9595-3364CF6B97F1}"/>
    <cellStyle name="Normal 9 2 4 3" xfId="38560" xr:uid="{00000000-0005-0000-0000-00006C940000}"/>
    <cellStyle name="Normal 9 2 4 3 2" xfId="43969" xr:uid="{6957D8B2-F724-4B23-91C1-3478938820DD}"/>
    <cellStyle name="Normal 9 2 4 4" xfId="38561" xr:uid="{00000000-0005-0000-0000-00006D940000}"/>
    <cellStyle name="Normal 9 2 4 5" xfId="38562" xr:uid="{00000000-0005-0000-0000-00006E940000}"/>
    <cellStyle name="Normal 9 2 4 6" xfId="38563" xr:uid="{00000000-0005-0000-0000-00006F940000}"/>
    <cellStyle name="Normal 9 2 4 7" xfId="43603" xr:uid="{762829E8-8381-4E22-8571-BC135B2CFB10}"/>
    <cellStyle name="Normal 9 2 5" xfId="38564" xr:uid="{00000000-0005-0000-0000-000070940000}"/>
    <cellStyle name="Normal 9 2 5 2" xfId="38565" xr:uid="{00000000-0005-0000-0000-000071940000}"/>
    <cellStyle name="Normal 9 2 5 3" xfId="38566" xr:uid="{00000000-0005-0000-0000-000072940000}"/>
    <cellStyle name="Normal 9 2 5 4" xfId="38567" xr:uid="{00000000-0005-0000-0000-000073940000}"/>
    <cellStyle name="Normal 9 2 5 5" xfId="38568" xr:uid="{00000000-0005-0000-0000-000074940000}"/>
    <cellStyle name="Normal 9 2 5 6" xfId="38569" xr:uid="{00000000-0005-0000-0000-000075940000}"/>
    <cellStyle name="Normal 9 2 5 7" xfId="43662" xr:uid="{547727A3-594A-4D15-A7D7-BADF03E70223}"/>
    <cellStyle name="Normal 9 2 6" xfId="38570" xr:uid="{00000000-0005-0000-0000-000076940000}"/>
    <cellStyle name="Normal 9 2 6 2" xfId="38571" xr:uid="{00000000-0005-0000-0000-000077940000}"/>
    <cellStyle name="Normal 9 2 6 3" xfId="38572" xr:uid="{00000000-0005-0000-0000-000078940000}"/>
    <cellStyle name="Normal 9 2 6 4" xfId="38573" xr:uid="{00000000-0005-0000-0000-000079940000}"/>
    <cellStyle name="Normal 9 2 6 5" xfId="38574" xr:uid="{00000000-0005-0000-0000-00007A940000}"/>
    <cellStyle name="Normal 9 2 6 6" xfId="38575" xr:uid="{00000000-0005-0000-0000-00007B940000}"/>
    <cellStyle name="Normal 9 2 6 7" xfId="43845" xr:uid="{879898AD-DC7B-48A1-AB9F-3696B54C6E36}"/>
    <cellStyle name="Normal 9 2 7" xfId="38576" xr:uid="{00000000-0005-0000-0000-00007C940000}"/>
    <cellStyle name="Normal 9 2 7 2" xfId="38577" xr:uid="{00000000-0005-0000-0000-00007D940000}"/>
    <cellStyle name="Normal 9 2 7 3" xfId="38578" xr:uid="{00000000-0005-0000-0000-00007E940000}"/>
    <cellStyle name="Normal 9 2 7 4" xfId="38579" xr:uid="{00000000-0005-0000-0000-00007F940000}"/>
    <cellStyle name="Normal 9 2 7 5" xfId="38580" xr:uid="{00000000-0005-0000-0000-000080940000}"/>
    <cellStyle name="Normal 9 2 7 6" xfId="38581" xr:uid="{00000000-0005-0000-0000-000081940000}"/>
    <cellStyle name="Normal 9 2 8" xfId="38582" xr:uid="{00000000-0005-0000-0000-000082940000}"/>
    <cellStyle name="Normal 9 2 8 2" xfId="38583" xr:uid="{00000000-0005-0000-0000-000083940000}"/>
    <cellStyle name="Normal 9 2 8 3" xfId="38584" xr:uid="{00000000-0005-0000-0000-000084940000}"/>
    <cellStyle name="Normal 9 2 8 4" xfId="38585" xr:uid="{00000000-0005-0000-0000-000085940000}"/>
    <cellStyle name="Normal 9 2 8 5" xfId="38586" xr:uid="{00000000-0005-0000-0000-000086940000}"/>
    <cellStyle name="Normal 9 2 8 6" xfId="38587" xr:uid="{00000000-0005-0000-0000-000087940000}"/>
    <cellStyle name="Normal 9 2 9" xfId="38588" xr:uid="{00000000-0005-0000-0000-000088940000}"/>
    <cellStyle name="Normal 9 20" xfId="38589" xr:uid="{00000000-0005-0000-0000-000089940000}"/>
    <cellStyle name="Normal 9 20 10" xfId="38590" xr:uid="{00000000-0005-0000-0000-00008A940000}"/>
    <cellStyle name="Normal 9 20 11" xfId="38591" xr:uid="{00000000-0005-0000-0000-00008B940000}"/>
    <cellStyle name="Normal 9 20 12" xfId="38592" xr:uid="{00000000-0005-0000-0000-00008C940000}"/>
    <cellStyle name="Normal 9 20 13" xfId="38593" xr:uid="{00000000-0005-0000-0000-00008D940000}"/>
    <cellStyle name="Normal 9 20 2" xfId="38594" xr:uid="{00000000-0005-0000-0000-00008E940000}"/>
    <cellStyle name="Normal 9 20 2 2" xfId="38595" xr:uid="{00000000-0005-0000-0000-00008F940000}"/>
    <cellStyle name="Normal 9 20 2 3" xfId="38596" xr:uid="{00000000-0005-0000-0000-000090940000}"/>
    <cellStyle name="Normal 9 20 2 4" xfId="38597" xr:uid="{00000000-0005-0000-0000-000091940000}"/>
    <cellStyle name="Normal 9 20 2 5" xfId="38598" xr:uid="{00000000-0005-0000-0000-000092940000}"/>
    <cellStyle name="Normal 9 20 2 6" xfId="38599" xr:uid="{00000000-0005-0000-0000-000093940000}"/>
    <cellStyle name="Normal 9 20 3" xfId="38600" xr:uid="{00000000-0005-0000-0000-000094940000}"/>
    <cellStyle name="Normal 9 20 3 2" xfId="38601" xr:uid="{00000000-0005-0000-0000-000095940000}"/>
    <cellStyle name="Normal 9 20 3 3" xfId="38602" xr:uid="{00000000-0005-0000-0000-000096940000}"/>
    <cellStyle name="Normal 9 20 3 4" xfId="38603" xr:uid="{00000000-0005-0000-0000-000097940000}"/>
    <cellStyle name="Normal 9 20 3 5" xfId="38604" xr:uid="{00000000-0005-0000-0000-000098940000}"/>
    <cellStyle name="Normal 9 20 3 6" xfId="38605" xr:uid="{00000000-0005-0000-0000-000099940000}"/>
    <cellStyle name="Normal 9 20 4" xfId="38606" xr:uid="{00000000-0005-0000-0000-00009A940000}"/>
    <cellStyle name="Normal 9 20 4 2" xfId="38607" xr:uid="{00000000-0005-0000-0000-00009B940000}"/>
    <cellStyle name="Normal 9 20 4 3" xfId="38608" xr:uid="{00000000-0005-0000-0000-00009C940000}"/>
    <cellStyle name="Normal 9 20 4 4" xfId="38609" xr:uid="{00000000-0005-0000-0000-00009D940000}"/>
    <cellStyle name="Normal 9 20 4 5" xfId="38610" xr:uid="{00000000-0005-0000-0000-00009E940000}"/>
    <cellStyle name="Normal 9 20 4 6" xfId="38611" xr:uid="{00000000-0005-0000-0000-00009F940000}"/>
    <cellStyle name="Normal 9 20 5" xfId="38612" xr:uid="{00000000-0005-0000-0000-0000A0940000}"/>
    <cellStyle name="Normal 9 20 5 2" xfId="38613" xr:uid="{00000000-0005-0000-0000-0000A1940000}"/>
    <cellStyle name="Normal 9 20 5 3" xfId="38614" xr:uid="{00000000-0005-0000-0000-0000A2940000}"/>
    <cellStyle name="Normal 9 20 5 4" xfId="38615" xr:uid="{00000000-0005-0000-0000-0000A3940000}"/>
    <cellStyle name="Normal 9 20 5 5" xfId="38616" xr:uid="{00000000-0005-0000-0000-0000A4940000}"/>
    <cellStyle name="Normal 9 20 5 6" xfId="38617" xr:uid="{00000000-0005-0000-0000-0000A5940000}"/>
    <cellStyle name="Normal 9 20 6" xfId="38618" xr:uid="{00000000-0005-0000-0000-0000A6940000}"/>
    <cellStyle name="Normal 9 20 6 2" xfId="38619" xr:uid="{00000000-0005-0000-0000-0000A7940000}"/>
    <cellStyle name="Normal 9 20 6 3" xfId="38620" xr:uid="{00000000-0005-0000-0000-0000A8940000}"/>
    <cellStyle name="Normal 9 20 6 4" xfId="38621" xr:uid="{00000000-0005-0000-0000-0000A9940000}"/>
    <cellStyle name="Normal 9 20 6 5" xfId="38622" xr:uid="{00000000-0005-0000-0000-0000AA940000}"/>
    <cellStyle name="Normal 9 20 6 6" xfId="38623" xr:uid="{00000000-0005-0000-0000-0000AB940000}"/>
    <cellStyle name="Normal 9 20 7" xfId="38624" xr:uid="{00000000-0005-0000-0000-0000AC940000}"/>
    <cellStyle name="Normal 9 20 7 2" xfId="38625" xr:uid="{00000000-0005-0000-0000-0000AD940000}"/>
    <cellStyle name="Normal 9 20 7 3" xfId="38626" xr:uid="{00000000-0005-0000-0000-0000AE940000}"/>
    <cellStyle name="Normal 9 20 7 4" xfId="38627" xr:uid="{00000000-0005-0000-0000-0000AF940000}"/>
    <cellStyle name="Normal 9 20 7 5" xfId="38628" xr:uid="{00000000-0005-0000-0000-0000B0940000}"/>
    <cellStyle name="Normal 9 20 7 6" xfId="38629" xr:uid="{00000000-0005-0000-0000-0000B1940000}"/>
    <cellStyle name="Normal 9 20 8" xfId="38630" xr:uid="{00000000-0005-0000-0000-0000B2940000}"/>
    <cellStyle name="Normal 9 20 8 2" xfId="38631" xr:uid="{00000000-0005-0000-0000-0000B3940000}"/>
    <cellStyle name="Normal 9 20 8 3" xfId="38632" xr:uid="{00000000-0005-0000-0000-0000B4940000}"/>
    <cellStyle name="Normal 9 20 8 4" xfId="38633" xr:uid="{00000000-0005-0000-0000-0000B5940000}"/>
    <cellStyle name="Normal 9 20 8 5" xfId="38634" xr:uid="{00000000-0005-0000-0000-0000B6940000}"/>
    <cellStyle name="Normal 9 20 8 6" xfId="38635" xr:uid="{00000000-0005-0000-0000-0000B7940000}"/>
    <cellStyle name="Normal 9 20 9" xfId="38636" xr:uid="{00000000-0005-0000-0000-0000B8940000}"/>
    <cellStyle name="Normal 9 21" xfId="38637" xr:uid="{00000000-0005-0000-0000-0000B9940000}"/>
    <cellStyle name="Normal 9 21 10" xfId="38638" xr:uid="{00000000-0005-0000-0000-0000BA940000}"/>
    <cellStyle name="Normal 9 21 11" xfId="38639" xr:uid="{00000000-0005-0000-0000-0000BB940000}"/>
    <cellStyle name="Normal 9 21 12" xfId="38640" xr:uid="{00000000-0005-0000-0000-0000BC940000}"/>
    <cellStyle name="Normal 9 21 13" xfId="38641" xr:uid="{00000000-0005-0000-0000-0000BD940000}"/>
    <cellStyle name="Normal 9 21 2" xfId="38642" xr:uid="{00000000-0005-0000-0000-0000BE940000}"/>
    <cellStyle name="Normal 9 21 2 2" xfId="38643" xr:uid="{00000000-0005-0000-0000-0000BF940000}"/>
    <cellStyle name="Normal 9 21 2 3" xfId="38644" xr:uid="{00000000-0005-0000-0000-0000C0940000}"/>
    <cellStyle name="Normal 9 21 2 4" xfId="38645" xr:uid="{00000000-0005-0000-0000-0000C1940000}"/>
    <cellStyle name="Normal 9 21 2 5" xfId="38646" xr:uid="{00000000-0005-0000-0000-0000C2940000}"/>
    <cellStyle name="Normal 9 21 2 6" xfId="38647" xr:uid="{00000000-0005-0000-0000-0000C3940000}"/>
    <cellStyle name="Normal 9 21 3" xfId="38648" xr:uid="{00000000-0005-0000-0000-0000C4940000}"/>
    <cellStyle name="Normal 9 21 3 2" xfId="38649" xr:uid="{00000000-0005-0000-0000-0000C5940000}"/>
    <cellStyle name="Normal 9 21 3 3" xfId="38650" xr:uid="{00000000-0005-0000-0000-0000C6940000}"/>
    <cellStyle name="Normal 9 21 3 4" xfId="38651" xr:uid="{00000000-0005-0000-0000-0000C7940000}"/>
    <cellStyle name="Normal 9 21 3 5" xfId="38652" xr:uid="{00000000-0005-0000-0000-0000C8940000}"/>
    <cellStyle name="Normal 9 21 3 6" xfId="38653" xr:uid="{00000000-0005-0000-0000-0000C9940000}"/>
    <cellStyle name="Normal 9 21 4" xfId="38654" xr:uid="{00000000-0005-0000-0000-0000CA940000}"/>
    <cellStyle name="Normal 9 21 4 2" xfId="38655" xr:uid="{00000000-0005-0000-0000-0000CB940000}"/>
    <cellStyle name="Normal 9 21 4 3" xfId="38656" xr:uid="{00000000-0005-0000-0000-0000CC940000}"/>
    <cellStyle name="Normal 9 21 4 4" xfId="38657" xr:uid="{00000000-0005-0000-0000-0000CD940000}"/>
    <cellStyle name="Normal 9 21 4 5" xfId="38658" xr:uid="{00000000-0005-0000-0000-0000CE940000}"/>
    <cellStyle name="Normal 9 21 4 6" xfId="38659" xr:uid="{00000000-0005-0000-0000-0000CF940000}"/>
    <cellStyle name="Normal 9 21 5" xfId="38660" xr:uid="{00000000-0005-0000-0000-0000D0940000}"/>
    <cellStyle name="Normal 9 21 5 2" xfId="38661" xr:uid="{00000000-0005-0000-0000-0000D1940000}"/>
    <cellStyle name="Normal 9 21 5 3" xfId="38662" xr:uid="{00000000-0005-0000-0000-0000D2940000}"/>
    <cellStyle name="Normal 9 21 5 4" xfId="38663" xr:uid="{00000000-0005-0000-0000-0000D3940000}"/>
    <cellStyle name="Normal 9 21 5 5" xfId="38664" xr:uid="{00000000-0005-0000-0000-0000D4940000}"/>
    <cellStyle name="Normal 9 21 5 6" xfId="38665" xr:uid="{00000000-0005-0000-0000-0000D5940000}"/>
    <cellStyle name="Normal 9 21 6" xfId="38666" xr:uid="{00000000-0005-0000-0000-0000D6940000}"/>
    <cellStyle name="Normal 9 21 6 2" xfId="38667" xr:uid="{00000000-0005-0000-0000-0000D7940000}"/>
    <cellStyle name="Normal 9 21 6 3" xfId="38668" xr:uid="{00000000-0005-0000-0000-0000D8940000}"/>
    <cellStyle name="Normal 9 21 6 4" xfId="38669" xr:uid="{00000000-0005-0000-0000-0000D9940000}"/>
    <cellStyle name="Normal 9 21 6 5" xfId="38670" xr:uid="{00000000-0005-0000-0000-0000DA940000}"/>
    <cellStyle name="Normal 9 21 6 6" xfId="38671" xr:uid="{00000000-0005-0000-0000-0000DB940000}"/>
    <cellStyle name="Normal 9 21 7" xfId="38672" xr:uid="{00000000-0005-0000-0000-0000DC940000}"/>
    <cellStyle name="Normal 9 21 7 2" xfId="38673" xr:uid="{00000000-0005-0000-0000-0000DD940000}"/>
    <cellStyle name="Normal 9 21 7 3" xfId="38674" xr:uid="{00000000-0005-0000-0000-0000DE940000}"/>
    <cellStyle name="Normal 9 21 7 4" xfId="38675" xr:uid="{00000000-0005-0000-0000-0000DF940000}"/>
    <cellStyle name="Normal 9 21 7 5" xfId="38676" xr:uid="{00000000-0005-0000-0000-0000E0940000}"/>
    <cellStyle name="Normal 9 21 7 6" xfId="38677" xr:uid="{00000000-0005-0000-0000-0000E1940000}"/>
    <cellStyle name="Normal 9 21 8" xfId="38678" xr:uid="{00000000-0005-0000-0000-0000E2940000}"/>
    <cellStyle name="Normal 9 21 8 2" xfId="38679" xr:uid="{00000000-0005-0000-0000-0000E3940000}"/>
    <cellStyle name="Normal 9 21 8 3" xfId="38680" xr:uid="{00000000-0005-0000-0000-0000E4940000}"/>
    <cellStyle name="Normal 9 21 8 4" xfId="38681" xr:uid="{00000000-0005-0000-0000-0000E5940000}"/>
    <cellStyle name="Normal 9 21 8 5" xfId="38682" xr:uid="{00000000-0005-0000-0000-0000E6940000}"/>
    <cellStyle name="Normal 9 21 8 6" xfId="38683" xr:uid="{00000000-0005-0000-0000-0000E7940000}"/>
    <cellStyle name="Normal 9 21 9" xfId="38684" xr:uid="{00000000-0005-0000-0000-0000E8940000}"/>
    <cellStyle name="Normal 9 22" xfId="38685" xr:uid="{00000000-0005-0000-0000-0000E9940000}"/>
    <cellStyle name="Normal 9 22 10" xfId="38686" xr:uid="{00000000-0005-0000-0000-0000EA940000}"/>
    <cellStyle name="Normal 9 22 11" xfId="38687" xr:uid="{00000000-0005-0000-0000-0000EB940000}"/>
    <cellStyle name="Normal 9 22 12" xfId="38688" xr:uid="{00000000-0005-0000-0000-0000EC940000}"/>
    <cellStyle name="Normal 9 22 13" xfId="38689" xr:uid="{00000000-0005-0000-0000-0000ED940000}"/>
    <cellStyle name="Normal 9 22 2" xfId="38690" xr:uid="{00000000-0005-0000-0000-0000EE940000}"/>
    <cellStyle name="Normal 9 22 2 2" xfId="38691" xr:uid="{00000000-0005-0000-0000-0000EF940000}"/>
    <cellStyle name="Normal 9 22 2 3" xfId="38692" xr:uid="{00000000-0005-0000-0000-0000F0940000}"/>
    <cellStyle name="Normal 9 22 2 4" xfId="38693" xr:uid="{00000000-0005-0000-0000-0000F1940000}"/>
    <cellStyle name="Normal 9 22 2 5" xfId="38694" xr:uid="{00000000-0005-0000-0000-0000F2940000}"/>
    <cellStyle name="Normal 9 22 2 6" xfId="38695" xr:uid="{00000000-0005-0000-0000-0000F3940000}"/>
    <cellStyle name="Normal 9 22 3" xfId="38696" xr:uid="{00000000-0005-0000-0000-0000F4940000}"/>
    <cellStyle name="Normal 9 22 3 2" xfId="38697" xr:uid="{00000000-0005-0000-0000-0000F5940000}"/>
    <cellStyle name="Normal 9 22 3 3" xfId="38698" xr:uid="{00000000-0005-0000-0000-0000F6940000}"/>
    <cellStyle name="Normal 9 22 3 4" xfId="38699" xr:uid="{00000000-0005-0000-0000-0000F7940000}"/>
    <cellStyle name="Normal 9 22 3 5" xfId="38700" xr:uid="{00000000-0005-0000-0000-0000F8940000}"/>
    <cellStyle name="Normal 9 22 3 6" xfId="38701" xr:uid="{00000000-0005-0000-0000-0000F9940000}"/>
    <cellStyle name="Normal 9 22 4" xfId="38702" xr:uid="{00000000-0005-0000-0000-0000FA940000}"/>
    <cellStyle name="Normal 9 22 4 2" xfId="38703" xr:uid="{00000000-0005-0000-0000-0000FB940000}"/>
    <cellStyle name="Normal 9 22 4 3" xfId="38704" xr:uid="{00000000-0005-0000-0000-0000FC940000}"/>
    <cellStyle name="Normal 9 22 4 4" xfId="38705" xr:uid="{00000000-0005-0000-0000-0000FD940000}"/>
    <cellStyle name="Normal 9 22 4 5" xfId="38706" xr:uid="{00000000-0005-0000-0000-0000FE940000}"/>
    <cellStyle name="Normal 9 22 4 6" xfId="38707" xr:uid="{00000000-0005-0000-0000-0000FF940000}"/>
    <cellStyle name="Normal 9 22 5" xfId="38708" xr:uid="{00000000-0005-0000-0000-000000950000}"/>
    <cellStyle name="Normal 9 22 5 2" xfId="38709" xr:uid="{00000000-0005-0000-0000-000001950000}"/>
    <cellStyle name="Normal 9 22 5 3" xfId="38710" xr:uid="{00000000-0005-0000-0000-000002950000}"/>
    <cellStyle name="Normal 9 22 5 4" xfId="38711" xr:uid="{00000000-0005-0000-0000-000003950000}"/>
    <cellStyle name="Normal 9 22 5 5" xfId="38712" xr:uid="{00000000-0005-0000-0000-000004950000}"/>
    <cellStyle name="Normal 9 22 5 6" xfId="38713" xr:uid="{00000000-0005-0000-0000-000005950000}"/>
    <cellStyle name="Normal 9 22 6" xfId="38714" xr:uid="{00000000-0005-0000-0000-000006950000}"/>
    <cellStyle name="Normal 9 22 6 2" xfId="38715" xr:uid="{00000000-0005-0000-0000-000007950000}"/>
    <cellStyle name="Normal 9 22 6 3" xfId="38716" xr:uid="{00000000-0005-0000-0000-000008950000}"/>
    <cellStyle name="Normal 9 22 6 4" xfId="38717" xr:uid="{00000000-0005-0000-0000-000009950000}"/>
    <cellStyle name="Normal 9 22 6 5" xfId="38718" xr:uid="{00000000-0005-0000-0000-00000A950000}"/>
    <cellStyle name="Normal 9 22 6 6" xfId="38719" xr:uid="{00000000-0005-0000-0000-00000B950000}"/>
    <cellStyle name="Normal 9 22 7" xfId="38720" xr:uid="{00000000-0005-0000-0000-00000C950000}"/>
    <cellStyle name="Normal 9 22 7 2" xfId="38721" xr:uid="{00000000-0005-0000-0000-00000D950000}"/>
    <cellStyle name="Normal 9 22 7 3" xfId="38722" xr:uid="{00000000-0005-0000-0000-00000E950000}"/>
    <cellStyle name="Normal 9 22 7 4" xfId="38723" xr:uid="{00000000-0005-0000-0000-00000F950000}"/>
    <cellStyle name="Normal 9 22 7 5" xfId="38724" xr:uid="{00000000-0005-0000-0000-000010950000}"/>
    <cellStyle name="Normal 9 22 7 6" xfId="38725" xr:uid="{00000000-0005-0000-0000-000011950000}"/>
    <cellStyle name="Normal 9 22 8" xfId="38726" xr:uid="{00000000-0005-0000-0000-000012950000}"/>
    <cellStyle name="Normal 9 22 8 2" xfId="38727" xr:uid="{00000000-0005-0000-0000-000013950000}"/>
    <cellStyle name="Normal 9 22 8 3" xfId="38728" xr:uid="{00000000-0005-0000-0000-000014950000}"/>
    <cellStyle name="Normal 9 22 8 4" xfId="38729" xr:uid="{00000000-0005-0000-0000-000015950000}"/>
    <cellStyle name="Normal 9 22 8 5" xfId="38730" xr:uid="{00000000-0005-0000-0000-000016950000}"/>
    <cellStyle name="Normal 9 22 8 6" xfId="38731" xr:uid="{00000000-0005-0000-0000-000017950000}"/>
    <cellStyle name="Normal 9 22 9" xfId="38732" xr:uid="{00000000-0005-0000-0000-000018950000}"/>
    <cellStyle name="Normal 9 23" xfId="38733" xr:uid="{00000000-0005-0000-0000-000019950000}"/>
    <cellStyle name="Normal 9 23 10" xfId="38734" xr:uid="{00000000-0005-0000-0000-00001A950000}"/>
    <cellStyle name="Normal 9 23 11" xfId="38735" xr:uid="{00000000-0005-0000-0000-00001B950000}"/>
    <cellStyle name="Normal 9 23 12" xfId="38736" xr:uid="{00000000-0005-0000-0000-00001C950000}"/>
    <cellStyle name="Normal 9 23 13" xfId="38737" xr:uid="{00000000-0005-0000-0000-00001D950000}"/>
    <cellStyle name="Normal 9 23 2" xfId="38738" xr:uid="{00000000-0005-0000-0000-00001E950000}"/>
    <cellStyle name="Normal 9 23 2 2" xfId="38739" xr:uid="{00000000-0005-0000-0000-00001F950000}"/>
    <cellStyle name="Normal 9 23 2 3" xfId="38740" xr:uid="{00000000-0005-0000-0000-000020950000}"/>
    <cellStyle name="Normal 9 23 2 4" xfId="38741" xr:uid="{00000000-0005-0000-0000-000021950000}"/>
    <cellStyle name="Normal 9 23 2 5" xfId="38742" xr:uid="{00000000-0005-0000-0000-000022950000}"/>
    <cellStyle name="Normal 9 23 2 6" xfId="38743" xr:uid="{00000000-0005-0000-0000-000023950000}"/>
    <cellStyle name="Normal 9 23 3" xfId="38744" xr:uid="{00000000-0005-0000-0000-000024950000}"/>
    <cellStyle name="Normal 9 23 3 2" xfId="38745" xr:uid="{00000000-0005-0000-0000-000025950000}"/>
    <cellStyle name="Normal 9 23 3 3" xfId="38746" xr:uid="{00000000-0005-0000-0000-000026950000}"/>
    <cellStyle name="Normal 9 23 3 4" xfId="38747" xr:uid="{00000000-0005-0000-0000-000027950000}"/>
    <cellStyle name="Normal 9 23 3 5" xfId="38748" xr:uid="{00000000-0005-0000-0000-000028950000}"/>
    <cellStyle name="Normal 9 23 3 6" xfId="38749" xr:uid="{00000000-0005-0000-0000-000029950000}"/>
    <cellStyle name="Normal 9 23 4" xfId="38750" xr:uid="{00000000-0005-0000-0000-00002A950000}"/>
    <cellStyle name="Normal 9 23 4 2" xfId="38751" xr:uid="{00000000-0005-0000-0000-00002B950000}"/>
    <cellStyle name="Normal 9 23 4 3" xfId="38752" xr:uid="{00000000-0005-0000-0000-00002C950000}"/>
    <cellStyle name="Normal 9 23 4 4" xfId="38753" xr:uid="{00000000-0005-0000-0000-00002D950000}"/>
    <cellStyle name="Normal 9 23 4 5" xfId="38754" xr:uid="{00000000-0005-0000-0000-00002E950000}"/>
    <cellStyle name="Normal 9 23 4 6" xfId="38755" xr:uid="{00000000-0005-0000-0000-00002F950000}"/>
    <cellStyle name="Normal 9 23 5" xfId="38756" xr:uid="{00000000-0005-0000-0000-000030950000}"/>
    <cellStyle name="Normal 9 23 5 2" xfId="38757" xr:uid="{00000000-0005-0000-0000-000031950000}"/>
    <cellStyle name="Normal 9 23 5 3" xfId="38758" xr:uid="{00000000-0005-0000-0000-000032950000}"/>
    <cellStyle name="Normal 9 23 5 4" xfId="38759" xr:uid="{00000000-0005-0000-0000-000033950000}"/>
    <cellStyle name="Normal 9 23 5 5" xfId="38760" xr:uid="{00000000-0005-0000-0000-000034950000}"/>
    <cellStyle name="Normal 9 23 5 6" xfId="38761" xr:uid="{00000000-0005-0000-0000-000035950000}"/>
    <cellStyle name="Normal 9 23 6" xfId="38762" xr:uid="{00000000-0005-0000-0000-000036950000}"/>
    <cellStyle name="Normal 9 23 6 2" xfId="38763" xr:uid="{00000000-0005-0000-0000-000037950000}"/>
    <cellStyle name="Normal 9 23 6 3" xfId="38764" xr:uid="{00000000-0005-0000-0000-000038950000}"/>
    <cellStyle name="Normal 9 23 6 4" xfId="38765" xr:uid="{00000000-0005-0000-0000-000039950000}"/>
    <cellStyle name="Normal 9 23 6 5" xfId="38766" xr:uid="{00000000-0005-0000-0000-00003A950000}"/>
    <cellStyle name="Normal 9 23 6 6" xfId="38767" xr:uid="{00000000-0005-0000-0000-00003B950000}"/>
    <cellStyle name="Normal 9 23 7" xfId="38768" xr:uid="{00000000-0005-0000-0000-00003C950000}"/>
    <cellStyle name="Normal 9 23 7 2" xfId="38769" xr:uid="{00000000-0005-0000-0000-00003D950000}"/>
    <cellStyle name="Normal 9 23 7 3" xfId="38770" xr:uid="{00000000-0005-0000-0000-00003E950000}"/>
    <cellStyle name="Normal 9 23 7 4" xfId="38771" xr:uid="{00000000-0005-0000-0000-00003F950000}"/>
    <cellStyle name="Normal 9 23 7 5" xfId="38772" xr:uid="{00000000-0005-0000-0000-000040950000}"/>
    <cellStyle name="Normal 9 23 7 6" xfId="38773" xr:uid="{00000000-0005-0000-0000-000041950000}"/>
    <cellStyle name="Normal 9 23 8" xfId="38774" xr:uid="{00000000-0005-0000-0000-000042950000}"/>
    <cellStyle name="Normal 9 23 8 2" xfId="38775" xr:uid="{00000000-0005-0000-0000-000043950000}"/>
    <cellStyle name="Normal 9 23 8 3" xfId="38776" xr:uid="{00000000-0005-0000-0000-000044950000}"/>
    <cellStyle name="Normal 9 23 8 4" xfId="38777" xr:uid="{00000000-0005-0000-0000-000045950000}"/>
    <cellStyle name="Normal 9 23 8 5" xfId="38778" xr:uid="{00000000-0005-0000-0000-000046950000}"/>
    <cellStyle name="Normal 9 23 8 6" xfId="38779" xr:uid="{00000000-0005-0000-0000-000047950000}"/>
    <cellStyle name="Normal 9 23 9" xfId="38780" xr:uid="{00000000-0005-0000-0000-000048950000}"/>
    <cellStyle name="Normal 9 24" xfId="38781" xr:uid="{00000000-0005-0000-0000-000049950000}"/>
    <cellStyle name="Normal 9 24 10" xfId="38782" xr:uid="{00000000-0005-0000-0000-00004A950000}"/>
    <cellStyle name="Normal 9 24 11" xfId="38783" xr:uid="{00000000-0005-0000-0000-00004B950000}"/>
    <cellStyle name="Normal 9 24 12" xfId="38784" xr:uid="{00000000-0005-0000-0000-00004C950000}"/>
    <cellStyle name="Normal 9 24 13" xfId="38785" xr:uid="{00000000-0005-0000-0000-00004D950000}"/>
    <cellStyle name="Normal 9 24 2" xfId="38786" xr:uid="{00000000-0005-0000-0000-00004E950000}"/>
    <cellStyle name="Normal 9 24 2 2" xfId="38787" xr:uid="{00000000-0005-0000-0000-00004F950000}"/>
    <cellStyle name="Normal 9 24 2 3" xfId="38788" xr:uid="{00000000-0005-0000-0000-000050950000}"/>
    <cellStyle name="Normal 9 24 2 4" xfId="38789" xr:uid="{00000000-0005-0000-0000-000051950000}"/>
    <cellStyle name="Normal 9 24 2 5" xfId="38790" xr:uid="{00000000-0005-0000-0000-000052950000}"/>
    <cellStyle name="Normal 9 24 2 6" xfId="38791" xr:uid="{00000000-0005-0000-0000-000053950000}"/>
    <cellStyle name="Normal 9 24 3" xfId="38792" xr:uid="{00000000-0005-0000-0000-000054950000}"/>
    <cellStyle name="Normal 9 24 3 2" xfId="38793" xr:uid="{00000000-0005-0000-0000-000055950000}"/>
    <cellStyle name="Normal 9 24 3 3" xfId="38794" xr:uid="{00000000-0005-0000-0000-000056950000}"/>
    <cellStyle name="Normal 9 24 3 4" xfId="38795" xr:uid="{00000000-0005-0000-0000-000057950000}"/>
    <cellStyle name="Normal 9 24 3 5" xfId="38796" xr:uid="{00000000-0005-0000-0000-000058950000}"/>
    <cellStyle name="Normal 9 24 3 6" xfId="38797" xr:uid="{00000000-0005-0000-0000-000059950000}"/>
    <cellStyle name="Normal 9 24 4" xfId="38798" xr:uid="{00000000-0005-0000-0000-00005A950000}"/>
    <cellStyle name="Normal 9 24 4 2" xfId="38799" xr:uid="{00000000-0005-0000-0000-00005B950000}"/>
    <cellStyle name="Normal 9 24 4 3" xfId="38800" xr:uid="{00000000-0005-0000-0000-00005C950000}"/>
    <cellStyle name="Normal 9 24 4 4" xfId="38801" xr:uid="{00000000-0005-0000-0000-00005D950000}"/>
    <cellStyle name="Normal 9 24 4 5" xfId="38802" xr:uid="{00000000-0005-0000-0000-00005E950000}"/>
    <cellStyle name="Normal 9 24 4 6" xfId="38803" xr:uid="{00000000-0005-0000-0000-00005F950000}"/>
    <cellStyle name="Normal 9 24 5" xfId="38804" xr:uid="{00000000-0005-0000-0000-000060950000}"/>
    <cellStyle name="Normal 9 24 5 2" xfId="38805" xr:uid="{00000000-0005-0000-0000-000061950000}"/>
    <cellStyle name="Normal 9 24 5 3" xfId="38806" xr:uid="{00000000-0005-0000-0000-000062950000}"/>
    <cellStyle name="Normal 9 24 5 4" xfId="38807" xr:uid="{00000000-0005-0000-0000-000063950000}"/>
    <cellStyle name="Normal 9 24 5 5" xfId="38808" xr:uid="{00000000-0005-0000-0000-000064950000}"/>
    <cellStyle name="Normal 9 24 5 6" xfId="38809" xr:uid="{00000000-0005-0000-0000-000065950000}"/>
    <cellStyle name="Normal 9 24 6" xfId="38810" xr:uid="{00000000-0005-0000-0000-000066950000}"/>
    <cellStyle name="Normal 9 24 6 2" xfId="38811" xr:uid="{00000000-0005-0000-0000-000067950000}"/>
    <cellStyle name="Normal 9 24 6 3" xfId="38812" xr:uid="{00000000-0005-0000-0000-000068950000}"/>
    <cellStyle name="Normal 9 24 6 4" xfId="38813" xr:uid="{00000000-0005-0000-0000-000069950000}"/>
    <cellStyle name="Normal 9 24 6 5" xfId="38814" xr:uid="{00000000-0005-0000-0000-00006A950000}"/>
    <cellStyle name="Normal 9 24 6 6" xfId="38815" xr:uid="{00000000-0005-0000-0000-00006B950000}"/>
    <cellStyle name="Normal 9 24 7" xfId="38816" xr:uid="{00000000-0005-0000-0000-00006C950000}"/>
    <cellStyle name="Normal 9 24 7 2" xfId="38817" xr:uid="{00000000-0005-0000-0000-00006D950000}"/>
    <cellStyle name="Normal 9 24 7 3" xfId="38818" xr:uid="{00000000-0005-0000-0000-00006E950000}"/>
    <cellStyle name="Normal 9 24 7 4" xfId="38819" xr:uid="{00000000-0005-0000-0000-00006F950000}"/>
    <cellStyle name="Normal 9 24 7 5" xfId="38820" xr:uid="{00000000-0005-0000-0000-000070950000}"/>
    <cellStyle name="Normal 9 24 7 6" xfId="38821" xr:uid="{00000000-0005-0000-0000-000071950000}"/>
    <cellStyle name="Normal 9 24 8" xfId="38822" xr:uid="{00000000-0005-0000-0000-000072950000}"/>
    <cellStyle name="Normal 9 24 8 2" xfId="38823" xr:uid="{00000000-0005-0000-0000-000073950000}"/>
    <cellStyle name="Normal 9 24 8 3" xfId="38824" xr:uid="{00000000-0005-0000-0000-000074950000}"/>
    <cellStyle name="Normal 9 24 8 4" xfId="38825" xr:uid="{00000000-0005-0000-0000-000075950000}"/>
    <cellStyle name="Normal 9 24 8 5" xfId="38826" xr:uid="{00000000-0005-0000-0000-000076950000}"/>
    <cellStyle name="Normal 9 24 8 6" xfId="38827" xr:uid="{00000000-0005-0000-0000-000077950000}"/>
    <cellStyle name="Normal 9 24 9" xfId="38828" xr:uid="{00000000-0005-0000-0000-000078950000}"/>
    <cellStyle name="Normal 9 25" xfId="38829" xr:uid="{00000000-0005-0000-0000-000079950000}"/>
    <cellStyle name="Normal 9 25 10" xfId="38830" xr:uid="{00000000-0005-0000-0000-00007A950000}"/>
    <cellStyle name="Normal 9 25 11" xfId="38831" xr:uid="{00000000-0005-0000-0000-00007B950000}"/>
    <cellStyle name="Normal 9 25 12" xfId="38832" xr:uid="{00000000-0005-0000-0000-00007C950000}"/>
    <cellStyle name="Normal 9 25 13" xfId="38833" xr:uid="{00000000-0005-0000-0000-00007D950000}"/>
    <cellStyle name="Normal 9 25 2" xfId="38834" xr:uid="{00000000-0005-0000-0000-00007E950000}"/>
    <cellStyle name="Normal 9 25 2 2" xfId="38835" xr:uid="{00000000-0005-0000-0000-00007F950000}"/>
    <cellStyle name="Normal 9 25 2 3" xfId="38836" xr:uid="{00000000-0005-0000-0000-000080950000}"/>
    <cellStyle name="Normal 9 25 2 4" xfId="38837" xr:uid="{00000000-0005-0000-0000-000081950000}"/>
    <cellStyle name="Normal 9 25 2 5" xfId="38838" xr:uid="{00000000-0005-0000-0000-000082950000}"/>
    <cellStyle name="Normal 9 25 2 6" xfId="38839" xr:uid="{00000000-0005-0000-0000-000083950000}"/>
    <cellStyle name="Normal 9 25 3" xfId="38840" xr:uid="{00000000-0005-0000-0000-000084950000}"/>
    <cellStyle name="Normal 9 25 3 2" xfId="38841" xr:uid="{00000000-0005-0000-0000-000085950000}"/>
    <cellStyle name="Normal 9 25 3 3" xfId="38842" xr:uid="{00000000-0005-0000-0000-000086950000}"/>
    <cellStyle name="Normal 9 25 3 4" xfId="38843" xr:uid="{00000000-0005-0000-0000-000087950000}"/>
    <cellStyle name="Normal 9 25 3 5" xfId="38844" xr:uid="{00000000-0005-0000-0000-000088950000}"/>
    <cellStyle name="Normal 9 25 3 6" xfId="38845" xr:uid="{00000000-0005-0000-0000-000089950000}"/>
    <cellStyle name="Normal 9 25 4" xfId="38846" xr:uid="{00000000-0005-0000-0000-00008A950000}"/>
    <cellStyle name="Normal 9 25 4 2" xfId="38847" xr:uid="{00000000-0005-0000-0000-00008B950000}"/>
    <cellStyle name="Normal 9 25 4 3" xfId="38848" xr:uid="{00000000-0005-0000-0000-00008C950000}"/>
    <cellStyle name="Normal 9 25 4 4" xfId="38849" xr:uid="{00000000-0005-0000-0000-00008D950000}"/>
    <cellStyle name="Normal 9 25 4 5" xfId="38850" xr:uid="{00000000-0005-0000-0000-00008E950000}"/>
    <cellStyle name="Normal 9 25 4 6" xfId="38851" xr:uid="{00000000-0005-0000-0000-00008F950000}"/>
    <cellStyle name="Normal 9 25 5" xfId="38852" xr:uid="{00000000-0005-0000-0000-000090950000}"/>
    <cellStyle name="Normal 9 25 5 2" xfId="38853" xr:uid="{00000000-0005-0000-0000-000091950000}"/>
    <cellStyle name="Normal 9 25 5 3" xfId="38854" xr:uid="{00000000-0005-0000-0000-000092950000}"/>
    <cellStyle name="Normal 9 25 5 4" xfId="38855" xr:uid="{00000000-0005-0000-0000-000093950000}"/>
    <cellStyle name="Normal 9 25 5 5" xfId="38856" xr:uid="{00000000-0005-0000-0000-000094950000}"/>
    <cellStyle name="Normal 9 25 5 6" xfId="38857" xr:uid="{00000000-0005-0000-0000-000095950000}"/>
    <cellStyle name="Normal 9 25 6" xfId="38858" xr:uid="{00000000-0005-0000-0000-000096950000}"/>
    <cellStyle name="Normal 9 25 6 2" xfId="38859" xr:uid="{00000000-0005-0000-0000-000097950000}"/>
    <cellStyle name="Normal 9 25 6 3" xfId="38860" xr:uid="{00000000-0005-0000-0000-000098950000}"/>
    <cellStyle name="Normal 9 25 6 4" xfId="38861" xr:uid="{00000000-0005-0000-0000-000099950000}"/>
    <cellStyle name="Normal 9 25 6 5" xfId="38862" xr:uid="{00000000-0005-0000-0000-00009A950000}"/>
    <cellStyle name="Normal 9 25 6 6" xfId="38863" xr:uid="{00000000-0005-0000-0000-00009B950000}"/>
    <cellStyle name="Normal 9 25 7" xfId="38864" xr:uid="{00000000-0005-0000-0000-00009C950000}"/>
    <cellStyle name="Normal 9 25 7 2" xfId="38865" xr:uid="{00000000-0005-0000-0000-00009D950000}"/>
    <cellStyle name="Normal 9 25 7 3" xfId="38866" xr:uid="{00000000-0005-0000-0000-00009E950000}"/>
    <cellStyle name="Normal 9 25 7 4" xfId="38867" xr:uid="{00000000-0005-0000-0000-00009F950000}"/>
    <cellStyle name="Normal 9 25 7 5" xfId="38868" xr:uid="{00000000-0005-0000-0000-0000A0950000}"/>
    <cellStyle name="Normal 9 25 7 6" xfId="38869" xr:uid="{00000000-0005-0000-0000-0000A1950000}"/>
    <cellStyle name="Normal 9 25 8" xfId="38870" xr:uid="{00000000-0005-0000-0000-0000A2950000}"/>
    <cellStyle name="Normal 9 25 8 2" xfId="38871" xr:uid="{00000000-0005-0000-0000-0000A3950000}"/>
    <cellStyle name="Normal 9 25 8 3" xfId="38872" xr:uid="{00000000-0005-0000-0000-0000A4950000}"/>
    <cellStyle name="Normal 9 25 8 4" xfId="38873" xr:uid="{00000000-0005-0000-0000-0000A5950000}"/>
    <cellStyle name="Normal 9 25 8 5" xfId="38874" xr:uid="{00000000-0005-0000-0000-0000A6950000}"/>
    <cellStyle name="Normal 9 25 8 6" xfId="38875" xr:uid="{00000000-0005-0000-0000-0000A7950000}"/>
    <cellStyle name="Normal 9 25 9" xfId="38876" xr:uid="{00000000-0005-0000-0000-0000A8950000}"/>
    <cellStyle name="Normal 9 26" xfId="38877" xr:uid="{00000000-0005-0000-0000-0000A9950000}"/>
    <cellStyle name="Normal 9 26 10" xfId="38878" xr:uid="{00000000-0005-0000-0000-0000AA950000}"/>
    <cellStyle name="Normal 9 26 11" xfId="38879" xr:uid="{00000000-0005-0000-0000-0000AB950000}"/>
    <cellStyle name="Normal 9 26 12" xfId="38880" xr:uid="{00000000-0005-0000-0000-0000AC950000}"/>
    <cellStyle name="Normal 9 26 13" xfId="38881" xr:uid="{00000000-0005-0000-0000-0000AD950000}"/>
    <cellStyle name="Normal 9 26 2" xfId="38882" xr:uid="{00000000-0005-0000-0000-0000AE950000}"/>
    <cellStyle name="Normal 9 26 2 2" xfId="38883" xr:uid="{00000000-0005-0000-0000-0000AF950000}"/>
    <cellStyle name="Normal 9 26 2 3" xfId="38884" xr:uid="{00000000-0005-0000-0000-0000B0950000}"/>
    <cellStyle name="Normal 9 26 2 4" xfId="38885" xr:uid="{00000000-0005-0000-0000-0000B1950000}"/>
    <cellStyle name="Normal 9 26 2 5" xfId="38886" xr:uid="{00000000-0005-0000-0000-0000B2950000}"/>
    <cellStyle name="Normal 9 26 2 6" xfId="38887" xr:uid="{00000000-0005-0000-0000-0000B3950000}"/>
    <cellStyle name="Normal 9 26 3" xfId="38888" xr:uid="{00000000-0005-0000-0000-0000B4950000}"/>
    <cellStyle name="Normal 9 26 3 2" xfId="38889" xr:uid="{00000000-0005-0000-0000-0000B5950000}"/>
    <cellStyle name="Normal 9 26 3 3" xfId="38890" xr:uid="{00000000-0005-0000-0000-0000B6950000}"/>
    <cellStyle name="Normal 9 26 3 4" xfId="38891" xr:uid="{00000000-0005-0000-0000-0000B7950000}"/>
    <cellStyle name="Normal 9 26 3 5" xfId="38892" xr:uid="{00000000-0005-0000-0000-0000B8950000}"/>
    <cellStyle name="Normal 9 26 3 6" xfId="38893" xr:uid="{00000000-0005-0000-0000-0000B9950000}"/>
    <cellStyle name="Normal 9 26 4" xfId="38894" xr:uid="{00000000-0005-0000-0000-0000BA950000}"/>
    <cellStyle name="Normal 9 26 4 2" xfId="38895" xr:uid="{00000000-0005-0000-0000-0000BB950000}"/>
    <cellStyle name="Normal 9 26 4 3" xfId="38896" xr:uid="{00000000-0005-0000-0000-0000BC950000}"/>
    <cellStyle name="Normal 9 26 4 4" xfId="38897" xr:uid="{00000000-0005-0000-0000-0000BD950000}"/>
    <cellStyle name="Normal 9 26 4 5" xfId="38898" xr:uid="{00000000-0005-0000-0000-0000BE950000}"/>
    <cellStyle name="Normal 9 26 4 6" xfId="38899" xr:uid="{00000000-0005-0000-0000-0000BF950000}"/>
    <cellStyle name="Normal 9 26 5" xfId="38900" xr:uid="{00000000-0005-0000-0000-0000C0950000}"/>
    <cellStyle name="Normal 9 26 5 2" xfId="38901" xr:uid="{00000000-0005-0000-0000-0000C1950000}"/>
    <cellStyle name="Normal 9 26 5 3" xfId="38902" xr:uid="{00000000-0005-0000-0000-0000C2950000}"/>
    <cellStyle name="Normal 9 26 5 4" xfId="38903" xr:uid="{00000000-0005-0000-0000-0000C3950000}"/>
    <cellStyle name="Normal 9 26 5 5" xfId="38904" xr:uid="{00000000-0005-0000-0000-0000C4950000}"/>
    <cellStyle name="Normal 9 26 5 6" xfId="38905" xr:uid="{00000000-0005-0000-0000-0000C5950000}"/>
    <cellStyle name="Normal 9 26 6" xfId="38906" xr:uid="{00000000-0005-0000-0000-0000C6950000}"/>
    <cellStyle name="Normal 9 26 6 2" xfId="38907" xr:uid="{00000000-0005-0000-0000-0000C7950000}"/>
    <cellStyle name="Normal 9 26 6 3" xfId="38908" xr:uid="{00000000-0005-0000-0000-0000C8950000}"/>
    <cellStyle name="Normal 9 26 6 4" xfId="38909" xr:uid="{00000000-0005-0000-0000-0000C9950000}"/>
    <cellStyle name="Normal 9 26 6 5" xfId="38910" xr:uid="{00000000-0005-0000-0000-0000CA950000}"/>
    <cellStyle name="Normal 9 26 6 6" xfId="38911" xr:uid="{00000000-0005-0000-0000-0000CB950000}"/>
    <cellStyle name="Normal 9 26 7" xfId="38912" xr:uid="{00000000-0005-0000-0000-0000CC950000}"/>
    <cellStyle name="Normal 9 26 7 2" xfId="38913" xr:uid="{00000000-0005-0000-0000-0000CD950000}"/>
    <cellStyle name="Normal 9 26 7 3" xfId="38914" xr:uid="{00000000-0005-0000-0000-0000CE950000}"/>
    <cellStyle name="Normal 9 26 7 4" xfId="38915" xr:uid="{00000000-0005-0000-0000-0000CF950000}"/>
    <cellStyle name="Normal 9 26 7 5" xfId="38916" xr:uid="{00000000-0005-0000-0000-0000D0950000}"/>
    <cellStyle name="Normal 9 26 7 6" xfId="38917" xr:uid="{00000000-0005-0000-0000-0000D1950000}"/>
    <cellStyle name="Normal 9 26 8" xfId="38918" xr:uid="{00000000-0005-0000-0000-0000D2950000}"/>
    <cellStyle name="Normal 9 26 8 2" xfId="38919" xr:uid="{00000000-0005-0000-0000-0000D3950000}"/>
    <cellStyle name="Normal 9 26 8 3" xfId="38920" xr:uid="{00000000-0005-0000-0000-0000D4950000}"/>
    <cellStyle name="Normal 9 26 8 4" xfId="38921" xr:uid="{00000000-0005-0000-0000-0000D5950000}"/>
    <cellStyle name="Normal 9 26 8 5" xfId="38922" xr:uid="{00000000-0005-0000-0000-0000D6950000}"/>
    <cellStyle name="Normal 9 26 8 6" xfId="38923" xr:uid="{00000000-0005-0000-0000-0000D7950000}"/>
    <cellStyle name="Normal 9 26 9" xfId="38924" xr:uid="{00000000-0005-0000-0000-0000D8950000}"/>
    <cellStyle name="Normal 9 27" xfId="38925" xr:uid="{00000000-0005-0000-0000-0000D9950000}"/>
    <cellStyle name="Normal 9 27 10" xfId="38926" xr:uid="{00000000-0005-0000-0000-0000DA950000}"/>
    <cellStyle name="Normal 9 27 11" xfId="38927" xr:uid="{00000000-0005-0000-0000-0000DB950000}"/>
    <cellStyle name="Normal 9 27 12" xfId="38928" xr:uid="{00000000-0005-0000-0000-0000DC950000}"/>
    <cellStyle name="Normal 9 27 13" xfId="38929" xr:uid="{00000000-0005-0000-0000-0000DD950000}"/>
    <cellStyle name="Normal 9 27 2" xfId="38930" xr:uid="{00000000-0005-0000-0000-0000DE950000}"/>
    <cellStyle name="Normal 9 27 2 2" xfId="38931" xr:uid="{00000000-0005-0000-0000-0000DF950000}"/>
    <cellStyle name="Normal 9 27 2 3" xfId="38932" xr:uid="{00000000-0005-0000-0000-0000E0950000}"/>
    <cellStyle name="Normal 9 27 2 4" xfId="38933" xr:uid="{00000000-0005-0000-0000-0000E1950000}"/>
    <cellStyle name="Normal 9 27 2 5" xfId="38934" xr:uid="{00000000-0005-0000-0000-0000E2950000}"/>
    <cellStyle name="Normal 9 27 2 6" xfId="38935" xr:uid="{00000000-0005-0000-0000-0000E3950000}"/>
    <cellStyle name="Normal 9 27 3" xfId="38936" xr:uid="{00000000-0005-0000-0000-0000E4950000}"/>
    <cellStyle name="Normal 9 27 3 2" xfId="38937" xr:uid="{00000000-0005-0000-0000-0000E5950000}"/>
    <cellStyle name="Normal 9 27 3 3" xfId="38938" xr:uid="{00000000-0005-0000-0000-0000E6950000}"/>
    <cellStyle name="Normal 9 27 3 4" xfId="38939" xr:uid="{00000000-0005-0000-0000-0000E7950000}"/>
    <cellStyle name="Normal 9 27 3 5" xfId="38940" xr:uid="{00000000-0005-0000-0000-0000E8950000}"/>
    <cellStyle name="Normal 9 27 3 6" xfId="38941" xr:uid="{00000000-0005-0000-0000-0000E9950000}"/>
    <cellStyle name="Normal 9 27 4" xfId="38942" xr:uid="{00000000-0005-0000-0000-0000EA950000}"/>
    <cellStyle name="Normal 9 27 4 2" xfId="38943" xr:uid="{00000000-0005-0000-0000-0000EB950000}"/>
    <cellStyle name="Normal 9 27 4 3" xfId="38944" xr:uid="{00000000-0005-0000-0000-0000EC950000}"/>
    <cellStyle name="Normal 9 27 4 4" xfId="38945" xr:uid="{00000000-0005-0000-0000-0000ED950000}"/>
    <cellStyle name="Normal 9 27 4 5" xfId="38946" xr:uid="{00000000-0005-0000-0000-0000EE950000}"/>
    <cellStyle name="Normal 9 27 4 6" xfId="38947" xr:uid="{00000000-0005-0000-0000-0000EF950000}"/>
    <cellStyle name="Normal 9 27 5" xfId="38948" xr:uid="{00000000-0005-0000-0000-0000F0950000}"/>
    <cellStyle name="Normal 9 27 5 2" xfId="38949" xr:uid="{00000000-0005-0000-0000-0000F1950000}"/>
    <cellStyle name="Normal 9 27 5 3" xfId="38950" xr:uid="{00000000-0005-0000-0000-0000F2950000}"/>
    <cellStyle name="Normal 9 27 5 4" xfId="38951" xr:uid="{00000000-0005-0000-0000-0000F3950000}"/>
    <cellStyle name="Normal 9 27 5 5" xfId="38952" xr:uid="{00000000-0005-0000-0000-0000F4950000}"/>
    <cellStyle name="Normal 9 27 5 6" xfId="38953" xr:uid="{00000000-0005-0000-0000-0000F5950000}"/>
    <cellStyle name="Normal 9 27 6" xfId="38954" xr:uid="{00000000-0005-0000-0000-0000F6950000}"/>
    <cellStyle name="Normal 9 27 6 2" xfId="38955" xr:uid="{00000000-0005-0000-0000-0000F7950000}"/>
    <cellStyle name="Normal 9 27 6 3" xfId="38956" xr:uid="{00000000-0005-0000-0000-0000F8950000}"/>
    <cellStyle name="Normal 9 27 6 4" xfId="38957" xr:uid="{00000000-0005-0000-0000-0000F9950000}"/>
    <cellStyle name="Normal 9 27 6 5" xfId="38958" xr:uid="{00000000-0005-0000-0000-0000FA950000}"/>
    <cellStyle name="Normal 9 27 6 6" xfId="38959" xr:uid="{00000000-0005-0000-0000-0000FB950000}"/>
    <cellStyle name="Normal 9 27 7" xfId="38960" xr:uid="{00000000-0005-0000-0000-0000FC950000}"/>
    <cellStyle name="Normal 9 27 7 2" xfId="38961" xr:uid="{00000000-0005-0000-0000-0000FD950000}"/>
    <cellStyle name="Normal 9 27 7 3" xfId="38962" xr:uid="{00000000-0005-0000-0000-0000FE950000}"/>
    <cellStyle name="Normal 9 27 7 4" xfId="38963" xr:uid="{00000000-0005-0000-0000-0000FF950000}"/>
    <cellStyle name="Normal 9 27 7 5" xfId="38964" xr:uid="{00000000-0005-0000-0000-000000960000}"/>
    <cellStyle name="Normal 9 27 7 6" xfId="38965" xr:uid="{00000000-0005-0000-0000-000001960000}"/>
    <cellStyle name="Normal 9 27 8" xfId="38966" xr:uid="{00000000-0005-0000-0000-000002960000}"/>
    <cellStyle name="Normal 9 27 8 2" xfId="38967" xr:uid="{00000000-0005-0000-0000-000003960000}"/>
    <cellStyle name="Normal 9 27 8 3" xfId="38968" xr:uid="{00000000-0005-0000-0000-000004960000}"/>
    <cellStyle name="Normal 9 27 8 4" xfId="38969" xr:uid="{00000000-0005-0000-0000-000005960000}"/>
    <cellStyle name="Normal 9 27 8 5" xfId="38970" xr:uid="{00000000-0005-0000-0000-000006960000}"/>
    <cellStyle name="Normal 9 27 8 6" xfId="38971" xr:uid="{00000000-0005-0000-0000-000007960000}"/>
    <cellStyle name="Normal 9 27 9" xfId="38972" xr:uid="{00000000-0005-0000-0000-000008960000}"/>
    <cellStyle name="Normal 9 28" xfId="38973" xr:uid="{00000000-0005-0000-0000-000009960000}"/>
    <cellStyle name="Normal 9 28 10" xfId="38974" xr:uid="{00000000-0005-0000-0000-00000A960000}"/>
    <cellStyle name="Normal 9 28 11" xfId="38975" xr:uid="{00000000-0005-0000-0000-00000B960000}"/>
    <cellStyle name="Normal 9 28 12" xfId="38976" xr:uid="{00000000-0005-0000-0000-00000C960000}"/>
    <cellStyle name="Normal 9 28 13" xfId="38977" xr:uid="{00000000-0005-0000-0000-00000D960000}"/>
    <cellStyle name="Normal 9 28 2" xfId="38978" xr:uid="{00000000-0005-0000-0000-00000E960000}"/>
    <cellStyle name="Normal 9 28 2 2" xfId="38979" xr:uid="{00000000-0005-0000-0000-00000F960000}"/>
    <cellStyle name="Normal 9 28 2 3" xfId="38980" xr:uid="{00000000-0005-0000-0000-000010960000}"/>
    <cellStyle name="Normal 9 28 2 4" xfId="38981" xr:uid="{00000000-0005-0000-0000-000011960000}"/>
    <cellStyle name="Normal 9 28 2 5" xfId="38982" xr:uid="{00000000-0005-0000-0000-000012960000}"/>
    <cellStyle name="Normal 9 28 2 6" xfId="38983" xr:uid="{00000000-0005-0000-0000-000013960000}"/>
    <cellStyle name="Normal 9 28 3" xfId="38984" xr:uid="{00000000-0005-0000-0000-000014960000}"/>
    <cellStyle name="Normal 9 28 3 2" xfId="38985" xr:uid="{00000000-0005-0000-0000-000015960000}"/>
    <cellStyle name="Normal 9 28 3 3" xfId="38986" xr:uid="{00000000-0005-0000-0000-000016960000}"/>
    <cellStyle name="Normal 9 28 3 4" xfId="38987" xr:uid="{00000000-0005-0000-0000-000017960000}"/>
    <cellStyle name="Normal 9 28 3 5" xfId="38988" xr:uid="{00000000-0005-0000-0000-000018960000}"/>
    <cellStyle name="Normal 9 28 3 6" xfId="38989" xr:uid="{00000000-0005-0000-0000-000019960000}"/>
    <cellStyle name="Normal 9 28 4" xfId="38990" xr:uid="{00000000-0005-0000-0000-00001A960000}"/>
    <cellStyle name="Normal 9 28 4 2" xfId="38991" xr:uid="{00000000-0005-0000-0000-00001B960000}"/>
    <cellStyle name="Normal 9 28 4 3" xfId="38992" xr:uid="{00000000-0005-0000-0000-00001C960000}"/>
    <cellStyle name="Normal 9 28 4 4" xfId="38993" xr:uid="{00000000-0005-0000-0000-00001D960000}"/>
    <cellStyle name="Normal 9 28 4 5" xfId="38994" xr:uid="{00000000-0005-0000-0000-00001E960000}"/>
    <cellStyle name="Normal 9 28 4 6" xfId="38995" xr:uid="{00000000-0005-0000-0000-00001F960000}"/>
    <cellStyle name="Normal 9 28 5" xfId="38996" xr:uid="{00000000-0005-0000-0000-000020960000}"/>
    <cellStyle name="Normal 9 28 5 2" xfId="38997" xr:uid="{00000000-0005-0000-0000-000021960000}"/>
    <cellStyle name="Normal 9 28 5 3" xfId="38998" xr:uid="{00000000-0005-0000-0000-000022960000}"/>
    <cellStyle name="Normal 9 28 5 4" xfId="38999" xr:uid="{00000000-0005-0000-0000-000023960000}"/>
    <cellStyle name="Normal 9 28 5 5" xfId="39000" xr:uid="{00000000-0005-0000-0000-000024960000}"/>
    <cellStyle name="Normal 9 28 5 6" xfId="39001" xr:uid="{00000000-0005-0000-0000-000025960000}"/>
    <cellStyle name="Normal 9 28 6" xfId="39002" xr:uid="{00000000-0005-0000-0000-000026960000}"/>
    <cellStyle name="Normal 9 28 6 2" xfId="39003" xr:uid="{00000000-0005-0000-0000-000027960000}"/>
    <cellStyle name="Normal 9 28 6 3" xfId="39004" xr:uid="{00000000-0005-0000-0000-000028960000}"/>
    <cellStyle name="Normal 9 28 6 4" xfId="39005" xr:uid="{00000000-0005-0000-0000-000029960000}"/>
    <cellStyle name="Normal 9 28 6 5" xfId="39006" xr:uid="{00000000-0005-0000-0000-00002A960000}"/>
    <cellStyle name="Normal 9 28 6 6" xfId="39007" xr:uid="{00000000-0005-0000-0000-00002B960000}"/>
    <cellStyle name="Normal 9 28 7" xfId="39008" xr:uid="{00000000-0005-0000-0000-00002C960000}"/>
    <cellStyle name="Normal 9 28 7 2" xfId="39009" xr:uid="{00000000-0005-0000-0000-00002D960000}"/>
    <cellStyle name="Normal 9 28 7 3" xfId="39010" xr:uid="{00000000-0005-0000-0000-00002E960000}"/>
    <cellStyle name="Normal 9 28 7 4" xfId="39011" xr:uid="{00000000-0005-0000-0000-00002F960000}"/>
    <cellStyle name="Normal 9 28 7 5" xfId="39012" xr:uid="{00000000-0005-0000-0000-000030960000}"/>
    <cellStyle name="Normal 9 28 7 6" xfId="39013" xr:uid="{00000000-0005-0000-0000-000031960000}"/>
    <cellStyle name="Normal 9 28 8" xfId="39014" xr:uid="{00000000-0005-0000-0000-000032960000}"/>
    <cellStyle name="Normal 9 28 8 2" xfId="39015" xr:uid="{00000000-0005-0000-0000-000033960000}"/>
    <cellStyle name="Normal 9 28 8 3" xfId="39016" xr:uid="{00000000-0005-0000-0000-000034960000}"/>
    <cellStyle name="Normal 9 28 8 4" xfId="39017" xr:uid="{00000000-0005-0000-0000-000035960000}"/>
    <cellStyle name="Normal 9 28 8 5" xfId="39018" xr:uid="{00000000-0005-0000-0000-000036960000}"/>
    <cellStyle name="Normal 9 28 8 6" xfId="39019" xr:uid="{00000000-0005-0000-0000-000037960000}"/>
    <cellStyle name="Normal 9 28 9" xfId="39020" xr:uid="{00000000-0005-0000-0000-000038960000}"/>
    <cellStyle name="Normal 9 29" xfId="39021" xr:uid="{00000000-0005-0000-0000-000039960000}"/>
    <cellStyle name="Normal 9 29 10" xfId="39022" xr:uid="{00000000-0005-0000-0000-00003A960000}"/>
    <cellStyle name="Normal 9 29 11" xfId="39023" xr:uid="{00000000-0005-0000-0000-00003B960000}"/>
    <cellStyle name="Normal 9 29 12" xfId="39024" xr:uid="{00000000-0005-0000-0000-00003C960000}"/>
    <cellStyle name="Normal 9 29 13" xfId="39025" xr:uid="{00000000-0005-0000-0000-00003D960000}"/>
    <cellStyle name="Normal 9 29 2" xfId="39026" xr:uid="{00000000-0005-0000-0000-00003E960000}"/>
    <cellStyle name="Normal 9 29 2 2" xfId="39027" xr:uid="{00000000-0005-0000-0000-00003F960000}"/>
    <cellStyle name="Normal 9 29 2 3" xfId="39028" xr:uid="{00000000-0005-0000-0000-000040960000}"/>
    <cellStyle name="Normal 9 29 2 4" xfId="39029" xr:uid="{00000000-0005-0000-0000-000041960000}"/>
    <cellStyle name="Normal 9 29 2 5" xfId="39030" xr:uid="{00000000-0005-0000-0000-000042960000}"/>
    <cellStyle name="Normal 9 29 2 6" xfId="39031" xr:uid="{00000000-0005-0000-0000-000043960000}"/>
    <cellStyle name="Normal 9 29 3" xfId="39032" xr:uid="{00000000-0005-0000-0000-000044960000}"/>
    <cellStyle name="Normal 9 29 3 2" xfId="39033" xr:uid="{00000000-0005-0000-0000-000045960000}"/>
    <cellStyle name="Normal 9 29 3 3" xfId="39034" xr:uid="{00000000-0005-0000-0000-000046960000}"/>
    <cellStyle name="Normal 9 29 3 4" xfId="39035" xr:uid="{00000000-0005-0000-0000-000047960000}"/>
    <cellStyle name="Normal 9 29 3 5" xfId="39036" xr:uid="{00000000-0005-0000-0000-000048960000}"/>
    <cellStyle name="Normal 9 29 3 6" xfId="39037" xr:uid="{00000000-0005-0000-0000-000049960000}"/>
    <cellStyle name="Normal 9 29 4" xfId="39038" xr:uid="{00000000-0005-0000-0000-00004A960000}"/>
    <cellStyle name="Normal 9 29 4 2" xfId="39039" xr:uid="{00000000-0005-0000-0000-00004B960000}"/>
    <cellStyle name="Normal 9 29 4 3" xfId="39040" xr:uid="{00000000-0005-0000-0000-00004C960000}"/>
    <cellStyle name="Normal 9 29 4 4" xfId="39041" xr:uid="{00000000-0005-0000-0000-00004D960000}"/>
    <cellStyle name="Normal 9 29 4 5" xfId="39042" xr:uid="{00000000-0005-0000-0000-00004E960000}"/>
    <cellStyle name="Normal 9 29 4 6" xfId="39043" xr:uid="{00000000-0005-0000-0000-00004F960000}"/>
    <cellStyle name="Normal 9 29 5" xfId="39044" xr:uid="{00000000-0005-0000-0000-000050960000}"/>
    <cellStyle name="Normal 9 29 5 2" xfId="39045" xr:uid="{00000000-0005-0000-0000-000051960000}"/>
    <cellStyle name="Normal 9 29 5 3" xfId="39046" xr:uid="{00000000-0005-0000-0000-000052960000}"/>
    <cellStyle name="Normal 9 29 5 4" xfId="39047" xr:uid="{00000000-0005-0000-0000-000053960000}"/>
    <cellStyle name="Normal 9 29 5 5" xfId="39048" xr:uid="{00000000-0005-0000-0000-000054960000}"/>
    <cellStyle name="Normal 9 29 5 6" xfId="39049" xr:uid="{00000000-0005-0000-0000-000055960000}"/>
    <cellStyle name="Normal 9 29 6" xfId="39050" xr:uid="{00000000-0005-0000-0000-000056960000}"/>
    <cellStyle name="Normal 9 29 6 2" xfId="39051" xr:uid="{00000000-0005-0000-0000-000057960000}"/>
    <cellStyle name="Normal 9 29 6 3" xfId="39052" xr:uid="{00000000-0005-0000-0000-000058960000}"/>
    <cellStyle name="Normal 9 29 6 4" xfId="39053" xr:uid="{00000000-0005-0000-0000-000059960000}"/>
    <cellStyle name="Normal 9 29 6 5" xfId="39054" xr:uid="{00000000-0005-0000-0000-00005A960000}"/>
    <cellStyle name="Normal 9 29 6 6" xfId="39055" xr:uid="{00000000-0005-0000-0000-00005B960000}"/>
    <cellStyle name="Normal 9 29 7" xfId="39056" xr:uid="{00000000-0005-0000-0000-00005C960000}"/>
    <cellStyle name="Normal 9 29 7 2" xfId="39057" xr:uid="{00000000-0005-0000-0000-00005D960000}"/>
    <cellStyle name="Normal 9 29 7 3" xfId="39058" xr:uid="{00000000-0005-0000-0000-00005E960000}"/>
    <cellStyle name="Normal 9 29 7 4" xfId="39059" xr:uid="{00000000-0005-0000-0000-00005F960000}"/>
    <cellStyle name="Normal 9 29 7 5" xfId="39060" xr:uid="{00000000-0005-0000-0000-000060960000}"/>
    <cellStyle name="Normal 9 29 7 6" xfId="39061" xr:uid="{00000000-0005-0000-0000-000061960000}"/>
    <cellStyle name="Normal 9 29 8" xfId="39062" xr:uid="{00000000-0005-0000-0000-000062960000}"/>
    <cellStyle name="Normal 9 29 8 2" xfId="39063" xr:uid="{00000000-0005-0000-0000-000063960000}"/>
    <cellStyle name="Normal 9 29 8 3" xfId="39064" xr:uid="{00000000-0005-0000-0000-000064960000}"/>
    <cellStyle name="Normal 9 29 8 4" xfId="39065" xr:uid="{00000000-0005-0000-0000-000065960000}"/>
    <cellStyle name="Normal 9 29 8 5" xfId="39066" xr:uid="{00000000-0005-0000-0000-000066960000}"/>
    <cellStyle name="Normal 9 29 8 6" xfId="39067" xr:uid="{00000000-0005-0000-0000-000067960000}"/>
    <cellStyle name="Normal 9 29 9" xfId="39068" xr:uid="{00000000-0005-0000-0000-000068960000}"/>
    <cellStyle name="Normal 9 3" xfId="39069" xr:uid="{00000000-0005-0000-0000-000069960000}"/>
    <cellStyle name="Normal 9 3 10" xfId="39070" xr:uid="{00000000-0005-0000-0000-00006A960000}"/>
    <cellStyle name="Normal 9 3 11" xfId="39071" xr:uid="{00000000-0005-0000-0000-00006B960000}"/>
    <cellStyle name="Normal 9 3 12" xfId="39072" xr:uid="{00000000-0005-0000-0000-00006C960000}"/>
    <cellStyle name="Normal 9 3 13" xfId="39073" xr:uid="{00000000-0005-0000-0000-00006D960000}"/>
    <cellStyle name="Normal 9 3 14" xfId="39074" xr:uid="{00000000-0005-0000-0000-00006E960000}"/>
    <cellStyle name="Normal 9 3 15" xfId="43491" xr:uid="{6E976118-3AD6-4E51-8FD5-FB137FB29A03}"/>
    <cellStyle name="Normal 9 3 2" xfId="39075" xr:uid="{00000000-0005-0000-0000-00006F960000}"/>
    <cellStyle name="Normal 9 3 2 2" xfId="39076" xr:uid="{00000000-0005-0000-0000-000070960000}"/>
    <cellStyle name="Normal 9 3 2 2 2" xfId="43741" xr:uid="{72673F88-8756-4072-B8FF-43770A41C82B}"/>
    <cellStyle name="Normal 9 3 2 3" xfId="39077" xr:uid="{00000000-0005-0000-0000-000071960000}"/>
    <cellStyle name="Normal 9 3 2 3 2" xfId="43924" xr:uid="{7B08D548-C9F3-47B2-973F-D7FF829BC43B}"/>
    <cellStyle name="Normal 9 3 2 4" xfId="39078" xr:uid="{00000000-0005-0000-0000-000072960000}"/>
    <cellStyle name="Normal 9 3 2 5" xfId="39079" xr:uid="{00000000-0005-0000-0000-000073960000}"/>
    <cellStyle name="Normal 9 3 2 6" xfId="39080" xr:uid="{00000000-0005-0000-0000-000074960000}"/>
    <cellStyle name="Normal 9 3 2 7" xfId="43558" xr:uid="{1AE03744-083A-480D-BAF8-600A5B1FB57A}"/>
    <cellStyle name="Normal 9 3 3" xfId="39081" xr:uid="{00000000-0005-0000-0000-000075960000}"/>
    <cellStyle name="Normal 9 3 3 2" xfId="39082" xr:uid="{00000000-0005-0000-0000-000076960000}"/>
    <cellStyle name="Normal 9 3 3 3" xfId="39083" xr:uid="{00000000-0005-0000-0000-000077960000}"/>
    <cellStyle name="Normal 9 3 3 4" xfId="39084" xr:uid="{00000000-0005-0000-0000-000078960000}"/>
    <cellStyle name="Normal 9 3 3 5" xfId="39085" xr:uid="{00000000-0005-0000-0000-000079960000}"/>
    <cellStyle name="Normal 9 3 3 6" xfId="39086" xr:uid="{00000000-0005-0000-0000-00007A960000}"/>
    <cellStyle name="Normal 9 3 3 7" xfId="43674" xr:uid="{6B78FAB5-559D-4B5C-9F10-2ED61C67BF3E}"/>
    <cellStyle name="Normal 9 3 4" xfId="39087" xr:uid="{00000000-0005-0000-0000-00007B960000}"/>
    <cellStyle name="Normal 9 3 4 2" xfId="39088" xr:uid="{00000000-0005-0000-0000-00007C960000}"/>
    <cellStyle name="Normal 9 3 4 3" xfId="39089" xr:uid="{00000000-0005-0000-0000-00007D960000}"/>
    <cellStyle name="Normal 9 3 4 4" xfId="39090" xr:uid="{00000000-0005-0000-0000-00007E960000}"/>
    <cellStyle name="Normal 9 3 4 5" xfId="39091" xr:uid="{00000000-0005-0000-0000-00007F960000}"/>
    <cellStyle name="Normal 9 3 4 6" xfId="39092" xr:uid="{00000000-0005-0000-0000-000080960000}"/>
    <cellStyle name="Normal 9 3 4 7" xfId="43857" xr:uid="{3C185FAF-20F1-4CBC-B837-48E50E953B19}"/>
    <cellStyle name="Normal 9 3 5" xfId="39093" xr:uid="{00000000-0005-0000-0000-000081960000}"/>
    <cellStyle name="Normal 9 3 5 2" xfId="39094" xr:uid="{00000000-0005-0000-0000-000082960000}"/>
    <cellStyle name="Normal 9 3 5 3" xfId="39095" xr:uid="{00000000-0005-0000-0000-000083960000}"/>
    <cellStyle name="Normal 9 3 5 4" xfId="39096" xr:uid="{00000000-0005-0000-0000-000084960000}"/>
    <cellStyle name="Normal 9 3 5 5" xfId="39097" xr:uid="{00000000-0005-0000-0000-000085960000}"/>
    <cellStyle name="Normal 9 3 5 6" xfId="39098" xr:uid="{00000000-0005-0000-0000-000086960000}"/>
    <cellStyle name="Normal 9 3 6" xfId="39099" xr:uid="{00000000-0005-0000-0000-000087960000}"/>
    <cellStyle name="Normal 9 3 6 2" xfId="39100" xr:uid="{00000000-0005-0000-0000-000088960000}"/>
    <cellStyle name="Normal 9 3 6 3" xfId="39101" xr:uid="{00000000-0005-0000-0000-000089960000}"/>
    <cellStyle name="Normal 9 3 6 4" xfId="39102" xr:uid="{00000000-0005-0000-0000-00008A960000}"/>
    <cellStyle name="Normal 9 3 6 5" xfId="39103" xr:uid="{00000000-0005-0000-0000-00008B960000}"/>
    <cellStyle name="Normal 9 3 6 6" xfId="39104" xr:uid="{00000000-0005-0000-0000-00008C960000}"/>
    <cellStyle name="Normal 9 3 7" xfId="39105" xr:uid="{00000000-0005-0000-0000-00008D960000}"/>
    <cellStyle name="Normal 9 3 7 2" xfId="39106" xr:uid="{00000000-0005-0000-0000-00008E960000}"/>
    <cellStyle name="Normal 9 3 7 3" xfId="39107" xr:uid="{00000000-0005-0000-0000-00008F960000}"/>
    <cellStyle name="Normal 9 3 7 4" xfId="39108" xr:uid="{00000000-0005-0000-0000-000090960000}"/>
    <cellStyle name="Normal 9 3 7 5" xfId="39109" xr:uid="{00000000-0005-0000-0000-000091960000}"/>
    <cellStyle name="Normal 9 3 7 6" xfId="39110" xr:uid="{00000000-0005-0000-0000-000092960000}"/>
    <cellStyle name="Normal 9 3 8" xfId="39111" xr:uid="{00000000-0005-0000-0000-000093960000}"/>
    <cellStyle name="Normal 9 3 8 2" xfId="39112" xr:uid="{00000000-0005-0000-0000-000094960000}"/>
    <cellStyle name="Normal 9 3 8 3" xfId="39113" xr:uid="{00000000-0005-0000-0000-000095960000}"/>
    <cellStyle name="Normal 9 3 8 4" xfId="39114" xr:uid="{00000000-0005-0000-0000-000096960000}"/>
    <cellStyle name="Normal 9 3 8 5" xfId="39115" xr:uid="{00000000-0005-0000-0000-000097960000}"/>
    <cellStyle name="Normal 9 3 8 6" xfId="39116" xr:uid="{00000000-0005-0000-0000-000098960000}"/>
    <cellStyle name="Normal 9 3 9" xfId="39117" xr:uid="{00000000-0005-0000-0000-000099960000}"/>
    <cellStyle name="Normal 9 30" xfId="39118" xr:uid="{00000000-0005-0000-0000-00009A960000}"/>
    <cellStyle name="Normal 9 30 10" xfId="39119" xr:uid="{00000000-0005-0000-0000-00009B960000}"/>
    <cellStyle name="Normal 9 30 11" xfId="39120" xr:uid="{00000000-0005-0000-0000-00009C960000}"/>
    <cellStyle name="Normal 9 30 12" xfId="39121" xr:uid="{00000000-0005-0000-0000-00009D960000}"/>
    <cellStyle name="Normal 9 30 13" xfId="39122" xr:uid="{00000000-0005-0000-0000-00009E960000}"/>
    <cellStyle name="Normal 9 30 2" xfId="39123" xr:uid="{00000000-0005-0000-0000-00009F960000}"/>
    <cellStyle name="Normal 9 30 2 2" xfId="39124" xr:uid="{00000000-0005-0000-0000-0000A0960000}"/>
    <cellStyle name="Normal 9 30 2 3" xfId="39125" xr:uid="{00000000-0005-0000-0000-0000A1960000}"/>
    <cellStyle name="Normal 9 30 2 4" xfId="39126" xr:uid="{00000000-0005-0000-0000-0000A2960000}"/>
    <cellStyle name="Normal 9 30 2 5" xfId="39127" xr:uid="{00000000-0005-0000-0000-0000A3960000}"/>
    <cellStyle name="Normal 9 30 2 6" xfId="39128" xr:uid="{00000000-0005-0000-0000-0000A4960000}"/>
    <cellStyle name="Normal 9 30 3" xfId="39129" xr:uid="{00000000-0005-0000-0000-0000A5960000}"/>
    <cellStyle name="Normal 9 30 3 2" xfId="39130" xr:uid="{00000000-0005-0000-0000-0000A6960000}"/>
    <cellStyle name="Normal 9 30 3 3" xfId="39131" xr:uid="{00000000-0005-0000-0000-0000A7960000}"/>
    <cellStyle name="Normal 9 30 3 4" xfId="39132" xr:uid="{00000000-0005-0000-0000-0000A8960000}"/>
    <cellStyle name="Normal 9 30 3 5" xfId="39133" xr:uid="{00000000-0005-0000-0000-0000A9960000}"/>
    <cellStyle name="Normal 9 30 3 6" xfId="39134" xr:uid="{00000000-0005-0000-0000-0000AA960000}"/>
    <cellStyle name="Normal 9 30 4" xfId="39135" xr:uid="{00000000-0005-0000-0000-0000AB960000}"/>
    <cellStyle name="Normal 9 30 4 2" xfId="39136" xr:uid="{00000000-0005-0000-0000-0000AC960000}"/>
    <cellStyle name="Normal 9 30 4 3" xfId="39137" xr:uid="{00000000-0005-0000-0000-0000AD960000}"/>
    <cellStyle name="Normal 9 30 4 4" xfId="39138" xr:uid="{00000000-0005-0000-0000-0000AE960000}"/>
    <cellStyle name="Normal 9 30 4 5" xfId="39139" xr:uid="{00000000-0005-0000-0000-0000AF960000}"/>
    <cellStyle name="Normal 9 30 4 6" xfId="39140" xr:uid="{00000000-0005-0000-0000-0000B0960000}"/>
    <cellStyle name="Normal 9 30 5" xfId="39141" xr:uid="{00000000-0005-0000-0000-0000B1960000}"/>
    <cellStyle name="Normal 9 30 5 2" xfId="39142" xr:uid="{00000000-0005-0000-0000-0000B2960000}"/>
    <cellStyle name="Normal 9 30 5 3" xfId="39143" xr:uid="{00000000-0005-0000-0000-0000B3960000}"/>
    <cellStyle name="Normal 9 30 5 4" xfId="39144" xr:uid="{00000000-0005-0000-0000-0000B4960000}"/>
    <cellStyle name="Normal 9 30 5 5" xfId="39145" xr:uid="{00000000-0005-0000-0000-0000B5960000}"/>
    <cellStyle name="Normal 9 30 5 6" xfId="39146" xr:uid="{00000000-0005-0000-0000-0000B6960000}"/>
    <cellStyle name="Normal 9 30 6" xfId="39147" xr:uid="{00000000-0005-0000-0000-0000B7960000}"/>
    <cellStyle name="Normal 9 30 6 2" xfId="39148" xr:uid="{00000000-0005-0000-0000-0000B8960000}"/>
    <cellStyle name="Normal 9 30 6 3" xfId="39149" xr:uid="{00000000-0005-0000-0000-0000B9960000}"/>
    <cellStyle name="Normal 9 30 6 4" xfId="39150" xr:uid="{00000000-0005-0000-0000-0000BA960000}"/>
    <cellStyle name="Normal 9 30 6 5" xfId="39151" xr:uid="{00000000-0005-0000-0000-0000BB960000}"/>
    <cellStyle name="Normal 9 30 6 6" xfId="39152" xr:uid="{00000000-0005-0000-0000-0000BC960000}"/>
    <cellStyle name="Normal 9 30 7" xfId="39153" xr:uid="{00000000-0005-0000-0000-0000BD960000}"/>
    <cellStyle name="Normal 9 30 7 2" xfId="39154" xr:uid="{00000000-0005-0000-0000-0000BE960000}"/>
    <cellStyle name="Normal 9 30 7 3" xfId="39155" xr:uid="{00000000-0005-0000-0000-0000BF960000}"/>
    <cellStyle name="Normal 9 30 7 4" xfId="39156" xr:uid="{00000000-0005-0000-0000-0000C0960000}"/>
    <cellStyle name="Normal 9 30 7 5" xfId="39157" xr:uid="{00000000-0005-0000-0000-0000C1960000}"/>
    <cellStyle name="Normal 9 30 7 6" xfId="39158" xr:uid="{00000000-0005-0000-0000-0000C2960000}"/>
    <cellStyle name="Normal 9 30 8" xfId="39159" xr:uid="{00000000-0005-0000-0000-0000C3960000}"/>
    <cellStyle name="Normal 9 30 8 2" xfId="39160" xr:uid="{00000000-0005-0000-0000-0000C4960000}"/>
    <cellStyle name="Normal 9 30 8 3" xfId="39161" xr:uid="{00000000-0005-0000-0000-0000C5960000}"/>
    <cellStyle name="Normal 9 30 8 4" xfId="39162" xr:uid="{00000000-0005-0000-0000-0000C6960000}"/>
    <cellStyle name="Normal 9 30 8 5" xfId="39163" xr:uid="{00000000-0005-0000-0000-0000C7960000}"/>
    <cellStyle name="Normal 9 30 8 6" xfId="39164" xr:uid="{00000000-0005-0000-0000-0000C8960000}"/>
    <cellStyle name="Normal 9 30 9" xfId="39165" xr:uid="{00000000-0005-0000-0000-0000C9960000}"/>
    <cellStyle name="Normal 9 31" xfId="39166" xr:uid="{00000000-0005-0000-0000-0000CA960000}"/>
    <cellStyle name="Normal 9 31 10" xfId="39167" xr:uid="{00000000-0005-0000-0000-0000CB960000}"/>
    <cellStyle name="Normal 9 31 11" xfId="39168" xr:uid="{00000000-0005-0000-0000-0000CC960000}"/>
    <cellStyle name="Normal 9 31 12" xfId="39169" xr:uid="{00000000-0005-0000-0000-0000CD960000}"/>
    <cellStyle name="Normal 9 31 13" xfId="39170" xr:uid="{00000000-0005-0000-0000-0000CE960000}"/>
    <cellStyle name="Normal 9 31 2" xfId="39171" xr:uid="{00000000-0005-0000-0000-0000CF960000}"/>
    <cellStyle name="Normal 9 31 2 2" xfId="39172" xr:uid="{00000000-0005-0000-0000-0000D0960000}"/>
    <cellStyle name="Normal 9 31 2 3" xfId="39173" xr:uid="{00000000-0005-0000-0000-0000D1960000}"/>
    <cellStyle name="Normal 9 31 2 4" xfId="39174" xr:uid="{00000000-0005-0000-0000-0000D2960000}"/>
    <cellStyle name="Normal 9 31 2 5" xfId="39175" xr:uid="{00000000-0005-0000-0000-0000D3960000}"/>
    <cellStyle name="Normal 9 31 2 6" xfId="39176" xr:uid="{00000000-0005-0000-0000-0000D4960000}"/>
    <cellStyle name="Normal 9 31 3" xfId="39177" xr:uid="{00000000-0005-0000-0000-0000D5960000}"/>
    <cellStyle name="Normal 9 31 3 2" xfId="39178" xr:uid="{00000000-0005-0000-0000-0000D6960000}"/>
    <cellStyle name="Normal 9 31 3 3" xfId="39179" xr:uid="{00000000-0005-0000-0000-0000D7960000}"/>
    <cellStyle name="Normal 9 31 3 4" xfId="39180" xr:uid="{00000000-0005-0000-0000-0000D8960000}"/>
    <cellStyle name="Normal 9 31 3 5" xfId="39181" xr:uid="{00000000-0005-0000-0000-0000D9960000}"/>
    <cellStyle name="Normal 9 31 3 6" xfId="39182" xr:uid="{00000000-0005-0000-0000-0000DA960000}"/>
    <cellStyle name="Normal 9 31 4" xfId="39183" xr:uid="{00000000-0005-0000-0000-0000DB960000}"/>
    <cellStyle name="Normal 9 31 4 2" xfId="39184" xr:uid="{00000000-0005-0000-0000-0000DC960000}"/>
    <cellStyle name="Normal 9 31 4 3" xfId="39185" xr:uid="{00000000-0005-0000-0000-0000DD960000}"/>
    <cellStyle name="Normal 9 31 4 4" xfId="39186" xr:uid="{00000000-0005-0000-0000-0000DE960000}"/>
    <cellStyle name="Normal 9 31 4 5" xfId="39187" xr:uid="{00000000-0005-0000-0000-0000DF960000}"/>
    <cellStyle name="Normal 9 31 4 6" xfId="39188" xr:uid="{00000000-0005-0000-0000-0000E0960000}"/>
    <cellStyle name="Normal 9 31 5" xfId="39189" xr:uid="{00000000-0005-0000-0000-0000E1960000}"/>
    <cellStyle name="Normal 9 31 5 2" xfId="39190" xr:uid="{00000000-0005-0000-0000-0000E2960000}"/>
    <cellStyle name="Normal 9 31 5 3" xfId="39191" xr:uid="{00000000-0005-0000-0000-0000E3960000}"/>
    <cellStyle name="Normal 9 31 5 4" xfId="39192" xr:uid="{00000000-0005-0000-0000-0000E4960000}"/>
    <cellStyle name="Normal 9 31 5 5" xfId="39193" xr:uid="{00000000-0005-0000-0000-0000E5960000}"/>
    <cellStyle name="Normal 9 31 5 6" xfId="39194" xr:uid="{00000000-0005-0000-0000-0000E6960000}"/>
    <cellStyle name="Normal 9 31 6" xfId="39195" xr:uid="{00000000-0005-0000-0000-0000E7960000}"/>
    <cellStyle name="Normal 9 31 6 2" xfId="39196" xr:uid="{00000000-0005-0000-0000-0000E8960000}"/>
    <cellStyle name="Normal 9 31 6 3" xfId="39197" xr:uid="{00000000-0005-0000-0000-0000E9960000}"/>
    <cellStyle name="Normal 9 31 6 4" xfId="39198" xr:uid="{00000000-0005-0000-0000-0000EA960000}"/>
    <cellStyle name="Normal 9 31 6 5" xfId="39199" xr:uid="{00000000-0005-0000-0000-0000EB960000}"/>
    <cellStyle name="Normal 9 31 6 6" xfId="39200" xr:uid="{00000000-0005-0000-0000-0000EC960000}"/>
    <cellStyle name="Normal 9 31 7" xfId="39201" xr:uid="{00000000-0005-0000-0000-0000ED960000}"/>
    <cellStyle name="Normal 9 31 7 2" xfId="39202" xr:uid="{00000000-0005-0000-0000-0000EE960000}"/>
    <cellStyle name="Normal 9 31 7 3" xfId="39203" xr:uid="{00000000-0005-0000-0000-0000EF960000}"/>
    <cellStyle name="Normal 9 31 7 4" xfId="39204" xr:uid="{00000000-0005-0000-0000-0000F0960000}"/>
    <cellStyle name="Normal 9 31 7 5" xfId="39205" xr:uid="{00000000-0005-0000-0000-0000F1960000}"/>
    <cellStyle name="Normal 9 31 7 6" xfId="39206" xr:uid="{00000000-0005-0000-0000-0000F2960000}"/>
    <cellStyle name="Normal 9 31 8" xfId="39207" xr:uid="{00000000-0005-0000-0000-0000F3960000}"/>
    <cellStyle name="Normal 9 31 8 2" xfId="39208" xr:uid="{00000000-0005-0000-0000-0000F4960000}"/>
    <cellStyle name="Normal 9 31 8 3" xfId="39209" xr:uid="{00000000-0005-0000-0000-0000F5960000}"/>
    <cellStyle name="Normal 9 31 8 4" xfId="39210" xr:uid="{00000000-0005-0000-0000-0000F6960000}"/>
    <cellStyle name="Normal 9 31 8 5" xfId="39211" xr:uid="{00000000-0005-0000-0000-0000F7960000}"/>
    <cellStyle name="Normal 9 31 8 6" xfId="39212" xr:uid="{00000000-0005-0000-0000-0000F8960000}"/>
    <cellStyle name="Normal 9 31 9" xfId="39213" xr:uid="{00000000-0005-0000-0000-0000F9960000}"/>
    <cellStyle name="Normal 9 32" xfId="39214" xr:uid="{00000000-0005-0000-0000-0000FA960000}"/>
    <cellStyle name="Normal 9 32 10" xfId="39215" xr:uid="{00000000-0005-0000-0000-0000FB960000}"/>
    <cellStyle name="Normal 9 32 11" xfId="39216" xr:uid="{00000000-0005-0000-0000-0000FC960000}"/>
    <cellStyle name="Normal 9 32 12" xfId="39217" xr:uid="{00000000-0005-0000-0000-0000FD960000}"/>
    <cellStyle name="Normal 9 32 13" xfId="39218" xr:uid="{00000000-0005-0000-0000-0000FE960000}"/>
    <cellStyle name="Normal 9 32 2" xfId="39219" xr:uid="{00000000-0005-0000-0000-0000FF960000}"/>
    <cellStyle name="Normal 9 32 2 2" xfId="39220" xr:uid="{00000000-0005-0000-0000-000000970000}"/>
    <cellStyle name="Normal 9 32 2 3" xfId="39221" xr:uid="{00000000-0005-0000-0000-000001970000}"/>
    <cellStyle name="Normal 9 32 2 4" xfId="39222" xr:uid="{00000000-0005-0000-0000-000002970000}"/>
    <cellStyle name="Normal 9 32 2 5" xfId="39223" xr:uid="{00000000-0005-0000-0000-000003970000}"/>
    <cellStyle name="Normal 9 32 2 6" xfId="39224" xr:uid="{00000000-0005-0000-0000-000004970000}"/>
    <cellStyle name="Normal 9 32 3" xfId="39225" xr:uid="{00000000-0005-0000-0000-000005970000}"/>
    <cellStyle name="Normal 9 32 3 2" xfId="39226" xr:uid="{00000000-0005-0000-0000-000006970000}"/>
    <cellStyle name="Normal 9 32 3 3" xfId="39227" xr:uid="{00000000-0005-0000-0000-000007970000}"/>
    <cellStyle name="Normal 9 32 3 4" xfId="39228" xr:uid="{00000000-0005-0000-0000-000008970000}"/>
    <cellStyle name="Normal 9 32 3 5" xfId="39229" xr:uid="{00000000-0005-0000-0000-000009970000}"/>
    <cellStyle name="Normal 9 32 3 6" xfId="39230" xr:uid="{00000000-0005-0000-0000-00000A970000}"/>
    <cellStyle name="Normal 9 32 4" xfId="39231" xr:uid="{00000000-0005-0000-0000-00000B970000}"/>
    <cellStyle name="Normal 9 32 4 2" xfId="39232" xr:uid="{00000000-0005-0000-0000-00000C970000}"/>
    <cellStyle name="Normal 9 32 4 3" xfId="39233" xr:uid="{00000000-0005-0000-0000-00000D970000}"/>
    <cellStyle name="Normal 9 32 4 4" xfId="39234" xr:uid="{00000000-0005-0000-0000-00000E970000}"/>
    <cellStyle name="Normal 9 32 4 5" xfId="39235" xr:uid="{00000000-0005-0000-0000-00000F970000}"/>
    <cellStyle name="Normal 9 32 4 6" xfId="39236" xr:uid="{00000000-0005-0000-0000-000010970000}"/>
    <cellStyle name="Normal 9 32 5" xfId="39237" xr:uid="{00000000-0005-0000-0000-000011970000}"/>
    <cellStyle name="Normal 9 32 5 2" xfId="39238" xr:uid="{00000000-0005-0000-0000-000012970000}"/>
    <cellStyle name="Normal 9 32 5 3" xfId="39239" xr:uid="{00000000-0005-0000-0000-000013970000}"/>
    <cellStyle name="Normal 9 32 5 4" xfId="39240" xr:uid="{00000000-0005-0000-0000-000014970000}"/>
    <cellStyle name="Normal 9 32 5 5" xfId="39241" xr:uid="{00000000-0005-0000-0000-000015970000}"/>
    <cellStyle name="Normal 9 32 5 6" xfId="39242" xr:uid="{00000000-0005-0000-0000-000016970000}"/>
    <cellStyle name="Normal 9 32 6" xfId="39243" xr:uid="{00000000-0005-0000-0000-000017970000}"/>
    <cellStyle name="Normal 9 32 6 2" xfId="39244" xr:uid="{00000000-0005-0000-0000-000018970000}"/>
    <cellStyle name="Normal 9 32 6 3" xfId="39245" xr:uid="{00000000-0005-0000-0000-000019970000}"/>
    <cellStyle name="Normal 9 32 6 4" xfId="39246" xr:uid="{00000000-0005-0000-0000-00001A970000}"/>
    <cellStyle name="Normal 9 32 6 5" xfId="39247" xr:uid="{00000000-0005-0000-0000-00001B970000}"/>
    <cellStyle name="Normal 9 32 6 6" xfId="39248" xr:uid="{00000000-0005-0000-0000-00001C970000}"/>
    <cellStyle name="Normal 9 32 7" xfId="39249" xr:uid="{00000000-0005-0000-0000-00001D970000}"/>
    <cellStyle name="Normal 9 32 7 2" xfId="39250" xr:uid="{00000000-0005-0000-0000-00001E970000}"/>
    <cellStyle name="Normal 9 32 7 3" xfId="39251" xr:uid="{00000000-0005-0000-0000-00001F970000}"/>
    <cellStyle name="Normal 9 32 7 4" xfId="39252" xr:uid="{00000000-0005-0000-0000-000020970000}"/>
    <cellStyle name="Normal 9 32 7 5" xfId="39253" xr:uid="{00000000-0005-0000-0000-000021970000}"/>
    <cellStyle name="Normal 9 32 7 6" xfId="39254" xr:uid="{00000000-0005-0000-0000-000022970000}"/>
    <cellStyle name="Normal 9 32 8" xfId="39255" xr:uid="{00000000-0005-0000-0000-000023970000}"/>
    <cellStyle name="Normal 9 32 8 2" xfId="39256" xr:uid="{00000000-0005-0000-0000-000024970000}"/>
    <cellStyle name="Normal 9 32 8 3" xfId="39257" xr:uid="{00000000-0005-0000-0000-000025970000}"/>
    <cellStyle name="Normal 9 32 8 4" xfId="39258" xr:uid="{00000000-0005-0000-0000-000026970000}"/>
    <cellStyle name="Normal 9 32 8 5" xfId="39259" xr:uid="{00000000-0005-0000-0000-000027970000}"/>
    <cellStyle name="Normal 9 32 8 6" xfId="39260" xr:uid="{00000000-0005-0000-0000-000028970000}"/>
    <cellStyle name="Normal 9 32 9" xfId="39261" xr:uid="{00000000-0005-0000-0000-000029970000}"/>
    <cellStyle name="Normal 9 33" xfId="39262" xr:uid="{00000000-0005-0000-0000-00002A970000}"/>
    <cellStyle name="Normal 9 33 10" xfId="39263" xr:uid="{00000000-0005-0000-0000-00002B970000}"/>
    <cellStyle name="Normal 9 33 11" xfId="39264" xr:uid="{00000000-0005-0000-0000-00002C970000}"/>
    <cellStyle name="Normal 9 33 12" xfId="39265" xr:uid="{00000000-0005-0000-0000-00002D970000}"/>
    <cellStyle name="Normal 9 33 13" xfId="39266" xr:uid="{00000000-0005-0000-0000-00002E970000}"/>
    <cellStyle name="Normal 9 33 2" xfId="39267" xr:uid="{00000000-0005-0000-0000-00002F970000}"/>
    <cellStyle name="Normal 9 33 2 2" xfId="39268" xr:uid="{00000000-0005-0000-0000-000030970000}"/>
    <cellStyle name="Normal 9 33 2 3" xfId="39269" xr:uid="{00000000-0005-0000-0000-000031970000}"/>
    <cellStyle name="Normal 9 33 2 4" xfId="39270" xr:uid="{00000000-0005-0000-0000-000032970000}"/>
    <cellStyle name="Normal 9 33 2 5" xfId="39271" xr:uid="{00000000-0005-0000-0000-000033970000}"/>
    <cellStyle name="Normal 9 33 2 6" xfId="39272" xr:uid="{00000000-0005-0000-0000-000034970000}"/>
    <cellStyle name="Normal 9 33 3" xfId="39273" xr:uid="{00000000-0005-0000-0000-000035970000}"/>
    <cellStyle name="Normal 9 33 3 2" xfId="39274" xr:uid="{00000000-0005-0000-0000-000036970000}"/>
    <cellStyle name="Normal 9 33 3 3" xfId="39275" xr:uid="{00000000-0005-0000-0000-000037970000}"/>
    <cellStyle name="Normal 9 33 3 4" xfId="39276" xr:uid="{00000000-0005-0000-0000-000038970000}"/>
    <cellStyle name="Normal 9 33 3 5" xfId="39277" xr:uid="{00000000-0005-0000-0000-000039970000}"/>
    <cellStyle name="Normal 9 33 3 6" xfId="39278" xr:uid="{00000000-0005-0000-0000-00003A970000}"/>
    <cellStyle name="Normal 9 33 4" xfId="39279" xr:uid="{00000000-0005-0000-0000-00003B970000}"/>
    <cellStyle name="Normal 9 33 4 2" xfId="39280" xr:uid="{00000000-0005-0000-0000-00003C970000}"/>
    <cellStyle name="Normal 9 33 4 3" xfId="39281" xr:uid="{00000000-0005-0000-0000-00003D970000}"/>
    <cellStyle name="Normal 9 33 4 4" xfId="39282" xr:uid="{00000000-0005-0000-0000-00003E970000}"/>
    <cellStyle name="Normal 9 33 4 5" xfId="39283" xr:uid="{00000000-0005-0000-0000-00003F970000}"/>
    <cellStyle name="Normal 9 33 4 6" xfId="39284" xr:uid="{00000000-0005-0000-0000-000040970000}"/>
    <cellStyle name="Normal 9 33 5" xfId="39285" xr:uid="{00000000-0005-0000-0000-000041970000}"/>
    <cellStyle name="Normal 9 33 5 2" xfId="39286" xr:uid="{00000000-0005-0000-0000-000042970000}"/>
    <cellStyle name="Normal 9 33 5 3" xfId="39287" xr:uid="{00000000-0005-0000-0000-000043970000}"/>
    <cellStyle name="Normal 9 33 5 4" xfId="39288" xr:uid="{00000000-0005-0000-0000-000044970000}"/>
    <cellStyle name="Normal 9 33 5 5" xfId="39289" xr:uid="{00000000-0005-0000-0000-000045970000}"/>
    <cellStyle name="Normal 9 33 5 6" xfId="39290" xr:uid="{00000000-0005-0000-0000-000046970000}"/>
    <cellStyle name="Normal 9 33 6" xfId="39291" xr:uid="{00000000-0005-0000-0000-000047970000}"/>
    <cellStyle name="Normal 9 33 6 2" xfId="39292" xr:uid="{00000000-0005-0000-0000-000048970000}"/>
    <cellStyle name="Normal 9 33 6 3" xfId="39293" xr:uid="{00000000-0005-0000-0000-000049970000}"/>
    <cellStyle name="Normal 9 33 6 4" xfId="39294" xr:uid="{00000000-0005-0000-0000-00004A970000}"/>
    <cellStyle name="Normal 9 33 6 5" xfId="39295" xr:uid="{00000000-0005-0000-0000-00004B970000}"/>
    <cellStyle name="Normal 9 33 6 6" xfId="39296" xr:uid="{00000000-0005-0000-0000-00004C970000}"/>
    <cellStyle name="Normal 9 33 7" xfId="39297" xr:uid="{00000000-0005-0000-0000-00004D970000}"/>
    <cellStyle name="Normal 9 33 7 2" xfId="39298" xr:uid="{00000000-0005-0000-0000-00004E970000}"/>
    <cellStyle name="Normal 9 33 7 3" xfId="39299" xr:uid="{00000000-0005-0000-0000-00004F970000}"/>
    <cellStyle name="Normal 9 33 7 4" xfId="39300" xr:uid="{00000000-0005-0000-0000-000050970000}"/>
    <cellStyle name="Normal 9 33 7 5" xfId="39301" xr:uid="{00000000-0005-0000-0000-000051970000}"/>
    <cellStyle name="Normal 9 33 7 6" xfId="39302" xr:uid="{00000000-0005-0000-0000-000052970000}"/>
    <cellStyle name="Normal 9 33 8" xfId="39303" xr:uid="{00000000-0005-0000-0000-000053970000}"/>
    <cellStyle name="Normal 9 33 8 2" xfId="39304" xr:uid="{00000000-0005-0000-0000-000054970000}"/>
    <cellStyle name="Normal 9 33 8 3" xfId="39305" xr:uid="{00000000-0005-0000-0000-000055970000}"/>
    <cellStyle name="Normal 9 33 8 4" xfId="39306" xr:uid="{00000000-0005-0000-0000-000056970000}"/>
    <cellStyle name="Normal 9 33 8 5" xfId="39307" xr:uid="{00000000-0005-0000-0000-000057970000}"/>
    <cellStyle name="Normal 9 33 8 6" xfId="39308" xr:uid="{00000000-0005-0000-0000-000058970000}"/>
    <cellStyle name="Normal 9 33 9" xfId="39309" xr:uid="{00000000-0005-0000-0000-000059970000}"/>
    <cellStyle name="Normal 9 34" xfId="39310" xr:uid="{00000000-0005-0000-0000-00005A970000}"/>
    <cellStyle name="Normal 9 34 2" xfId="39311" xr:uid="{00000000-0005-0000-0000-00005B970000}"/>
    <cellStyle name="Normal 9 34 3" xfId="39312" xr:uid="{00000000-0005-0000-0000-00005C970000}"/>
    <cellStyle name="Normal 9 34 4" xfId="39313" xr:uid="{00000000-0005-0000-0000-00005D970000}"/>
    <cellStyle name="Normal 9 34 5" xfId="39314" xr:uid="{00000000-0005-0000-0000-00005E970000}"/>
    <cellStyle name="Normal 9 34 6" xfId="39315" xr:uid="{00000000-0005-0000-0000-00005F970000}"/>
    <cellStyle name="Normal 9 35" xfId="39316" xr:uid="{00000000-0005-0000-0000-000060970000}"/>
    <cellStyle name="Normal 9 35 2" xfId="39317" xr:uid="{00000000-0005-0000-0000-000061970000}"/>
    <cellStyle name="Normal 9 35 3" xfId="39318" xr:uid="{00000000-0005-0000-0000-000062970000}"/>
    <cellStyle name="Normal 9 35 4" xfId="39319" xr:uid="{00000000-0005-0000-0000-000063970000}"/>
    <cellStyle name="Normal 9 35 5" xfId="39320" xr:uid="{00000000-0005-0000-0000-000064970000}"/>
    <cellStyle name="Normal 9 35 6" xfId="39321" xr:uid="{00000000-0005-0000-0000-000065970000}"/>
    <cellStyle name="Normal 9 36" xfId="39322" xr:uid="{00000000-0005-0000-0000-000066970000}"/>
    <cellStyle name="Normal 9 36 2" xfId="39323" xr:uid="{00000000-0005-0000-0000-000067970000}"/>
    <cellStyle name="Normal 9 36 3" xfId="39324" xr:uid="{00000000-0005-0000-0000-000068970000}"/>
    <cellStyle name="Normal 9 36 4" xfId="39325" xr:uid="{00000000-0005-0000-0000-000069970000}"/>
    <cellStyle name="Normal 9 36 5" xfId="39326" xr:uid="{00000000-0005-0000-0000-00006A970000}"/>
    <cellStyle name="Normal 9 36 6" xfId="39327" xr:uid="{00000000-0005-0000-0000-00006B970000}"/>
    <cellStyle name="Normal 9 37" xfId="39328" xr:uid="{00000000-0005-0000-0000-00006C970000}"/>
    <cellStyle name="Normal 9 37 2" xfId="39329" xr:uid="{00000000-0005-0000-0000-00006D970000}"/>
    <cellStyle name="Normal 9 37 3" xfId="39330" xr:uid="{00000000-0005-0000-0000-00006E970000}"/>
    <cellStyle name="Normal 9 37 4" xfId="39331" xr:uid="{00000000-0005-0000-0000-00006F970000}"/>
    <cellStyle name="Normal 9 37 5" xfId="39332" xr:uid="{00000000-0005-0000-0000-000070970000}"/>
    <cellStyle name="Normal 9 37 6" xfId="39333" xr:uid="{00000000-0005-0000-0000-000071970000}"/>
    <cellStyle name="Normal 9 38" xfId="39334" xr:uid="{00000000-0005-0000-0000-000072970000}"/>
    <cellStyle name="Normal 9 38 2" xfId="39335" xr:uid="{00000000-0005-0000-0000-000073970000}"/>
    <cellStyle name="Normal 9 38 3" xfId="39336" xr:uid="{00000000-0005-0000-0000-000074970000}"/>
    <cellStyle name="Normal 9 38 4" xfId="39337" xr:uid="{00000000-0005-0000-0000-000075970000}"/>
    <cellStyle name="Normal 9 38 5" xfId="39338" xr:uid="{00000000-0005-0000-0000-000076970000}"/>
    <cellStyle name="Normal 9 38 6" xfId="39339" xr:uid="{00000000-0005-0000-0000-000077970000}"/>
    <cellStyle name="Normal 9 39" xfId="39340" xr:uid="{00000000-0005-0000-0000-000078970000}"/>
    <cellStyle name="Normal 9 39 2" xfId="39341" xr:uid="{00000000-0005-0000-0000-000079970000}"/>
    <cellStyle name="Normal 9 39 3" xfId="39342" xr:uid="{00000000-0005-0000-0000-00007A970000}"/>
    <cellStyle name="Normal 9 39 4" xfId="39343" xr:uid="{00000000-0005-0000-0000-00007B970000}"/>
    <cellStyle name="Normal 9 39 5" xfId="39344" xr:uid="{00000000-0005-0000-0000-00007C970000}"/>
    <cellStyle name="Normal 9 39 6" xfId="39345" xr:uid="{00000000-0005-0000-0000-00007D970000}"/>
    <cellStyle name="Normal 9 4" xfId="39346" xr:uid="{00000000-0005-0000-0000-00007E970000}"/>
    <cellStyle name="Normal 9 4 10" xfId="39347" xr:uid="{00000000-0005-0000-0000-00007F970000}"/>
    <cellStyle name="Normal 9 4 11" xfId="39348" xr:uid="{00000000-0005-0000-0000-000080970000}"/>
    <cellStyle name="Normal 9 4 12" xfId="39349" xr:uid="{00000000-0005-0000-0000-000081970000}"/>
    <cellStyle name="Normal 9 4 13" xfId="39350" xr:uid="{00000000-0005-0000-0000-000082970000}"/>
    <cellStyle name="Normal 9 4 14" xfId="43513" xr:uid="{2CA2E38F-718F-4F34-862E-6FFEB4FCF5D8}"/>
    <cellStyle name="Normal 9 4 2" xfId="39351" xr:uid="{00000000-0005-0000-0000-000083970000}"/>
    <cellStyle name="Normal 9 4 2 2" xfId="39352" xr:uid="{00000000-0005-0000-0000-000084970000}"/>
    <cellStyle name="Normal 9 4 2 2 2" xfId="43763" xr:uid="{EB257C4E-9AEA-473D-BBF3-05971ED3073C}"/>
    <cellStyle name="Normal 9 4 2 3" xfId="39353" xr:uid="{00000000-0005-0000-0000-000085970000}"/>
    <cellStyle name="Normal 9 4 2 3 2" xfId="43946" xr:uid="{DBBA2C80-F3DA-40E1-A301-BC91D35732C3}"/>
    <cellStyle name="Normal 9 4 2 4" xfId="39354" xr:uid="{00000000-0005-0000-0000-000086970000}"/>
    <cellStyle name="Normal 9 4 2 5" xfId="39355" xr:uid="{00000000-0005-0000-0000-000087970000}"/>
    <cellStyle name="Normal 9 4 2 6" xfId="39356" xr:uid="{00000000-0005-0000-0000-000088970000}"/>
    <cellStyle name="Normal 9 4 2 7" xfId="43580" xr:uid="{3139F861-54C1-470F-8518-8FC99D68EAC4}"/>
    <cellStyle name="Normal 9 4 3" xfId="39357" xr:uid="{00000000-0005-0000-0000-000089970000}"/>
    <cellStyle name="Normal 9 4 3 2" xfId="39358" xr:uid="{00000000-0005-0000-0000-00008A970000}"/>
    <cellStyle name="Normal 9 4 3 3" xfId="39359" xr:uid="{00000000-0005-0000-0000-00008B970000}"/>
    <cellStyle name="Normal 9 4 3 4" xfId="39360" xr:uid="{00000000-0005-0000-0000-00008C970000}"/>
    <cellStyle name="Normal 9 4 3 5" xfId="39361" xr:uid="{00000000-0005-0000-0000-00008D970000}"/>
    <cellStyle name="Normal 9 4 3 6" xfId="39362" xr:uid="{00000000-0005-0000-0000-00008E970000}"/>
    <cellStyle name="Normal 9 4 3 7" xfId="43696" xr:uid="{9A043521-91F8-4001-B17B-2ED866E36CB3}"/>
    <cellStyle name="Normal 9 4 4" xfId="39363" xr:uid="{00000000-0005-0000-0000-00008F970000}"/>
    <cellStyle name="Normal 9 4 4 2" xfId="39364" xr:uid="{00000000-0005-0000-0000-000090970000}"/>
    <cellStyle name="Normal 9 4 4 3" xfId="39365" xr:uid="{00000000-0005-0000-0000-000091970000}"/>
    <cellStyle name="Normal 9 4 4 4" xfId="39366" xr:uid="{00000000-0005-0000-0000-000092970000}"/>
    <cellStyle name="Normal 9 4 4 5" xfId="39367" xr:uid="{00000000-0005-0000-0000-000093970000}"/>
    <cellStyle name="Normal 9 4 4 6" xfId="39368" xr:uid="{00000000-0005-0000-0000-000094970000}"/>
    <cellStyle name="Normal 9 4 4 7" xfId="43879" xr:uid="{1485A4A8-E863-449C-818C-FD167CE4A257}"/>
    <cellStyle name="Normal 9 4 5" xfId="39369" xr:uid="{00000000-0005-0000-0000-000095970000}"/>
    <cellStyle name="Normal 9 4 5 2" xfId="39370" xr:uid="{00000000-0005-0000-0000-000096970000}"/>
    <cellStyle name="Normal 9 4 5 3" xfId="39371" xr:uid="{00000000-0005-0000-0000-000097970000}"/>
    <cellStyle name="Normal 9 4 5 4" xfId="39372" xr:uid="{00000000-0005-0000-0000-000098970000}"/>
    <cellStyle name="Normal 9 4 5 5" xfId="39373" xr:uid="{00000000-0005-0000-0000-000099970000}"/>
    <cellStyle name="Normal 9 4 5 6" xfId="39374" xr:uid="{00000000-0005-0000-0000-00009A970000}"/>
    <cellStyle name="Normal 9 4 6" xfId="39375" xr:uid="{00000000-0005-0000-0000-00009B970000}"/>
    <cellStyle name="Normal 9 4 6 2" xfId="39376" xr:uid="{00000000-0005-0000-0000-00009C970000}"/>
    <cellStyle name="Normal 9 4 6 3" xfId="39377" xr:uid="{00000000-0005-0000-0000-00009D970000}"/>
    <cellStyle name="Normal 9 4 6 4" xfId="39378" xr:uid="{00000000-0005-0000-0000-00009E970000}"/>
    <cellStyle name="Normal 9 4 6 5" xfId="39379" xr:uid="{00000000-0005-0000-0000-00009F970000}"/>
    <cellStyle name="Normal 9 4 6 6" xfId="39380" xr:uid="{00000000-0005-0000-0000-0000A0970000}"/>
    <cellStyle name="Normal 9 4 7" xfId="39381" xr:uid="{00000000-0005-0000-0000-0000A1970000}"/>
    <cellStyle name="Normal 9 4 7 2" xfId="39382" xr:uid="{00000000-0005-0000-0000-0000A2970000}"/>
    <cellStyle name="Normal 9 4 7 3" xfId="39383" xr:uid="{00000000-0005-0000-0000-0000A3970000}"/>
    <cellStyle name="Normal 9 4 7 4" xfId="39384" xr:uid="{00000000-0005-0000-0000-0000A4970000}"/>
    <cellStyle name="Normal 9 4 7 5" xfId="39385" xr:uid="{00000000-0005-0000-0000-0000A5970000}"/>
    <cellStyle name="Normal 9 4 7 6" xfId="39386" xr:uid="{00000000-0005-0000-0000-0000A6970000}"/>
    <cellStyle name="Normal 9 4 8" xfId="39387" xr:uid="{00000000-0005-0000-0000-0000A7970000}"/>
    <cellStyle name="Normal 9 4 8 2" xfId="39388" xr:uid="{00000000-0005-0000-0000-0000A8970000}"/>
    <cellStyle name="Normal 9 4 8 3" xfId="39389" xr:uid="{00000000-0005-0000-0000-0000A9970000}"/>
    <cellStyle name="Normal 9 4 8 4" xfId="39390" xr:uid="{00000000-0005-0000-0000-0000AA970000}"/>
    <cellStyle name="Normal 9 4 8 5" xfId="39391" xr:uid="{00000000-0005-0000-0000-0000AB970000}"/>
    <cellStyle name="Normal 9 4 8 6" xfId="39392" xr:uid="{00000000-0005-0000-0000-0000AC970000}"/>
    <cellStyle name="Normal 9 4 9" xfId="39393" xr:uid="{00000000-0005-0000-0000-0000AD970000}"/>
    <cellStyle name="Normal 9 40" xfId="39394" xr:uid="{00000000-0005-0000-0000-0000AE970000}"/>
    <cellStyle name="Normal 9 40 2" xfId="39395" xr:uid="{00000000-0005-0000-0000-0000AF970000}"/>
    <cellStyle name="Normal 9 40 3" xfId="39396" xr:uid="{00000000-0005-0000-0000-0000B0970000}"/>
    <cellStyle name="Normal 9 40 4" xfId="39397" xr:uid="{00000000-0005-0000-0000-0000B1970000}"/>
    <cellStyle name="Normal 9 40 5" xfId="39398" xr:uid="{00000000-0005-0000-0000-0000B2970000}"/>
    <cellStyle name="Normal 9 40 6" xfId="39399" xr:uid="{00000000-0005-0000-0000-0000B3970000}"/>
    <cellStyle name="Normal 9 41" xfId="39400" xr:uid="{00000000-0005-0000-0000-0000B4970000}"/>
    <cellStyle name="Normal 9 42" xfId="39401" xr:uid="{00000000-0005-0000-0000-0000B5970000}"/>
    <cellStyle name="Normal 9 43" xfId="39402" xr:uid="{00000000-0005-0000-0000-0000B6970000}"/>
    <cellStyle name="Normal 9 44" xfId="39403" xr:uid="{00000000-0005-0000-0000-0000B7970000}"/>
    <cellStyle name="Normal 9 45" xfId="39404" xr:uid="{00000000-0005-0000-0000-0000B8970000}"/>
    <cellStyle name="Normal 9 46" xfId="39405" xr:uid="{00000000-0005-0000-0000-0000B9970000}"/>
    <cellStyle name="Normal 9 47" xfId="43454" xr:uid="{420FE66B-5CE7-49D6-8121-18E56A18AC8C}"/>
    <cellStyle name="Normal 9 5" xfId="39406" xr:uid="{00000000-0005-0000-0000-0000BA970000}"/>
    <cellStyle name="Normal 9 5 10" xfId="39407" xr:uid="{00000000-0005-0000-0000-0000BB970000}"/>
    <cellStyle name="Normal 9 5 11" xfId="39408" xr:uid="{00000000-0005-0000-0000-0000BC970000}"/>
    <cellStyle name="Normal 9 5 12" xfId="39409" xr:uid="{00000000-0005-0000-0000-0000BD970000}"/>
    <cellStyle name="Normal 9 5 13" xfId="39410" xr:uid="{00000000-0005-0000-0000-0000BE970000}"/>
    <cellStyle name="Normal 9 5 14" xfId="43523" xr:uid="{79604C60-B277-487C-9F18-5596105D224D}"/>
    <cellStyle name="Normal 9 5 2" xfId="39411" xr:uid="{00000000-0005-0000-0000-0000BF970000}"/>
    <cellStyle name="Normal 9 5 2 2" xfId="39412" xr:uid="{00000000-0005-0000-0000-0000C0970000}"/>
    <cellStyle name="Normal 9 5 2 3" xfId="39413" xr:uid="{00000000-0005-0000-0000-0000C1970000}"/>
    <cellStyle name="Normal 9 5 2 4" xfId="39414" xr:uid="{00000000-0005-0000-0000-0000C2970000}"/>
    <cellStyle name="Normal 9 5 2 5" xfId="39415" xr:uid="{00000000-0005-0000-0000-0000C3970000}"/>
    <cellStyle name="Normal 9 5 2 6" xfId="39416" xr:uid="{00000000-0005-0000-0000-0000C4970000}"/>
    <cellStyle name="Normal 9 5 2 7" xfId="43706" xr:uid="{977F9B5B-B2F6-45C1-8CB3-1D82069E3E94}"/>
    <cellStyle name="Normal 9 5 3" xfId="39417" xr:uid="{00000000-0005-0000-0000-0000C5970000}"/>
    <cellStyle name="Normal 9 5 3 2" xfId="39418" xr:uid="{00000000-0005-0000-0000-0000C6970000}"/>
    <cellStyle name="Normal 9 5 3 3" xfId="39419" xr:uid="{00000000-0005-0000-0000-0000C7970000}"/>
    <cellStyle name="Normal 9 5 3 4" xfId="39420" xr:uid="{00000000-0005-0000-0000-0000C8970000}"/>
    <cellStyle name="Normal 9 5 3 5" xfId="39421" xr:uid="{00000000-0005-0000-0000-0000C9970000}"/>
    <cellStyle name="Normal 9 5 3 6" xfId="39422" xr:uid="{00000000-0005-0000-0000-0000CA970000}"/>
    <cellStyle name="Normal 9 5 3 7" xfId="43889" xr:uid="{DE00F43C-E870-4E89-A760-9E3E11AE0510}"/>
    <cellStyle name="Normal 9 5 4" xfId="39423" xr:uid="{00000000-0005-0000-0000-0000CB970000}"/>
    <cellStyle name="Normal 9 5 4 2" xfId="39424" xr:uid="{00000000-0005-0000-0000-0000CC970000}"/>
    <cellStyle name="Normal 9 5 4 3" xfId="39425" xr:uid="{00000000-0005-0000-0000-0000CD970000}"/>
    <cellStyle name="Normal 9 5 4 4" xfId="39426" xr:uid="{00000000-0005-0000-0000-0000CE970000}"/>
    <cellStyle name="Normal 9 5 4 5" xfId="39427" xr:uid="{00000000-0005-0000-0000-0000CF970000}"/>
    <cellStyle name="Normal 9 5 4 6" xfId="39428" xr:uid="{00000000-0005-0000-0000-0000D0970000}"/>
    <cellStyle name="Normal 9 5 5" xfId="39429" xr:uid="{00000000-0005-0000-0000-0000D1970000}"/>
    <cellStyle name="Normal 9 5 5 2" xfId="39430" xr:uid="{00000000-0005-0000-0000-0000D2970000}"/>
    <cellStyle name="Normal 9 5 5 3" xfId="39431" xr:uid="{00000000-0005-0000-0000-0000D3970000}"/>
    <cellStyle name="Normal 9 5 5 4" xfId="39432" xr:uid="{00000000-0005-0000-0000-0000D4970000}"/>
    <cellStyle name="Normal 9 5 5 5" xfId="39433" xr:uid="{00000000-0005-0000-0000-0000D5970000}"/>
    <cellStyle name="Normal 9 5 5 6" xfId="39434" xr:uid="{00000000-0005-0000-0000-0000D6970000}"/>
    <cellStyle name="Normal 9 5 6" xfId="39435" xr:uid="{00000000-0005-0000-0000-0000D7970000}"/>
    <cellStyle name="Normal 9 5 6 2" xfId="39436" xr:uid="{00000000-0005-0000-0000-0000D8970000}"/>
    <cellStyle name="Normal 9 5 6 3" xfId="39437" xr:uid="{00000000-0005-0000-0000-0000D9970000}"/>
    <cellStyle name="Normal 9 5 6 4" xfId="39438" xr:uid="{00000000-0005-0000-0000-0000DA970000}"/>
    <cellStyle name="Normal 9 5 6 5" xfId="39439" xr:uid="{00000000-0005-0000-0000-0000DB970000}"/>
    <cellStyle name="Normal 9 5 6 6" xfId="39440" xr:uid="{00000000-0005-0000-0000-0000DC970000}"/>
    <cellStyle name="Normal 9 5 7" xfId="39441" xr:uid="{00000000-0005-0000-0000-0000DD970000}"/>
    <cellStyle name="Normal 9 5 7 2" xfId="39442" xr:uid="{00000000-0005-0000-0000-0000DE970000}"/>
    <cellStyle name="Normal 9 5 7 3" xfId="39443" xr:uid="{00000000-0005-0000-0000-0000DF970000}"/>
    <cellStyle name="Normal 9 5 7 4" xfId="39444" xr:uid="{00000000-0005-0000-0000-0000E0970000}"/>
    <cellStyle name="Normal 9 5 7 5" xfId="39445" xr:uid="{00000000-0005-0000-0000-0000E1970000}"/>
    <cellStyle name="Normal 9 5 7 6" xfId="39446" xr:uid="{00000000-0005-0000-0000-0000E2970000}"/>
    <cellStyle name="Normal 9 5 8" xfId="39447" xr:uid="{00000000-0005-0000-0000-0000E3970000}"/>
    <cellStyle name="Normal 9 5 8 2" xfId="39448" xr:uid="{00000000-0005-0000-0000-0000E4970000}"/>
    <cellStyle name="Normal 9 5 8 3" xfId="39449" xr:uid="{00000000-0005-0000-0000-0000E5970000}"/>
    <cellStyle name="Normal 9 5 8 4" xfId="39450" xr:uid="{00000000-0005-0000-0000-0000E6970000}"/>
    <cellStyle name="Normal 9 5 8 5" xfId="39451" xr:uid="{00000000-0005-0000-0000-0000E7970000}"/>
    <cellStyle name="Normal 9 5 8 6" xfId="39452" xr:uid="{00000000-0005-0000-0000-0000E8970000}"/>
    <cellStyle name="Normal 9 5 9" xfId="39453" xr:uid="{00000000-0005-0000-0000-0000E9970000}"/>
    <cellStyle name="Normal 9 6" xfId="39454" xr:uid="{00000000-0005-0000-0000-0000EA970000}"/>
    <cellStyle name="Normal 9 6 10" xfId="39455" xr:uid="{00000000-0005-0000-0000-0000EB970000}"/>
    <cellStyle name="Normal 9 6 11" xfId="39456" xr:uid="{00000000-0005-0000-0000-0000EC970000}"/>
    <cellStyle name="Normal 9 6 12" xfId="39457" xr:uid="{00000000-0005-0000-0000-0000ED970000}"/>
    <cellStyle name="Normal 9 6 13" xfId="39458" xr:uid="{00000000-0005-0000-0000-0000EE970000}"/>
    <cellStyle name="Normal 9 6 14" xfId="43590" xr:uid="{EC98FAC1-DB3E-40EA-93BF-B823927C79BA}"/>
    <cellStyle name="Normal 9 6 2" xfId="39459" xr:uid="{00000000-0005-0000-0000-0000EF970000}"/>
    <cellStyle name="Normal 9 6 2 2" xfId="39460" xr:uid="{00000000-0005-0000-0000-0000F0970000}"/>
    <cellStyle name="Normal 9 6 2 3" xfId="39461" xr:uid="{00000000-0005-0000-0000-0000F1970000}"/>
    <cellStyle name="Normal 9 6 2 4" xfId="39462" xr:uid="{00000000-0005-0000-0000-0000F2970000}"/>
    <cellStyle name="Normal 9 6 2 5" xfId="39463" xr:uid="{00000000-0005-0000-0000-0000F3970000}"/>
    <cellStyle name="Normal 9 6 2 6" xfId="39464" xr:uid="{00000000-0005-0000-0000-0000F4970000}"/>
    <cellStyle name="Normal 9 6 2 7" xfId="43773" xr:uid="{D822D827-3B5A-4322-AE6C-435B74CDF76C}"/>
    <cellStyle name="Normal 9 6 3" xfId="39465" xr:uid="{00000000-0005-0000-0000-0000F5970000}"/>
    <cellStyle name="Normal 9 6 3 2" xfId="39466" xr:uid="{00000000-0005-0000-0000-0000F6970000}"/>
    <cellStyle name="Normal 9 6 3 3" xfId="39467" xr:uid="{00000000-0005-0000-0000-0000F7970000}"/>
    <cellStyle name="Normal 9 6 3 4" xfId="39468" xr:uid="{00000000-0005-0000-0000-0000F8970000}"/>
    <cellStyle name="Normal 9 6 3 5" xfId="39469" xr:uid="{00000000-0005-0000-0000-0000F9970000}"/>
    <cellStyle name="Normal 9 6 3 6" xfId="39470" xr:uid="{00000000-0005-0000-0000-0000FA970000}"/>
    <cellStyle name="Normal 9 6 3 7" xfId="43956" xr:uid="{DF09AE66-B880-4869-8C72-DCA9214673D0}"/>
    <cellStyle name="Normal 9 6 4" xfId="39471" xr:uid="{00000000-0005-0000-0000-0000FB970000}"/>
    <cellStyle name="Normal 9 6 4 2" xfId="39472" xr:uid="{00000000-0005-0000-0000-0000FC970000}"/>
    <cellStyle name="Normal 9 6 4 3" xfId="39473" xr:uid="{00000000-0005-0000-0000-0000FD970000}"/>
    <cellStyle name="Normal 9 6 4 4" xfId="39474" xr:uid="{00000000-0005-0000-0000-0000FE970000}"/>
    <cellStyle name="Normal 9 6 4 5" xfId="39475" xr:uid="{00000000-0005-0000-0000-0000FF970000}"/>
    <cellStyle name="Normal 9 6 4 6" xfId="39476" xr:uid="{00000000-0005-0000-0000-000000980000}"/>
    <cellStyle name="Normal 9 6 5" xfId="39477" xr:uid="{00000000-0005-0000-0000-000001980000}"/>
    <cellStyle name="Normal 9 6 5 2" xfId="39478" xr:uid="{00000000-0005-0000-0000-000002980000}"/>
    <cellStyle name="Normal 9 6 5 3" xfId="39479" xr:uid="{00000000-0005-0000-0000-000003980000}"/>
    <cellStyle name="Normal 9 6 5 4" xfId="39480" xr:uid="{00000000-0005-0000-0000-000004980000}"/>
    <cellStyle name="Normal 9 6 5 5" xfId="39481" xr:uid="{00000000-0005-0000-0000-000005980000}"/>
    <cellStyle name="Normal 9 6 5 6" xfId="39482" xr:uid="{00000000-0005-0000-0000-000006980000}"/>
    <cellStyle name="Normal 9 6 6" xfId="39483" xr:uid="{00000000-0005-0000-0000-000007980000}"/>
    <cellStyle name="Normal 9 6 6 2" xfId="39484" xr:uid="{00000000-0005-0000-0000-000008980000}"/>
    <cellStyle name="Normal 9 6 6 3" xfId="39485" xr:uid="{00000000-0005-0000-0000-000009980000}"/>
    <cellStyle name="Normal 9 6 6 4" xfId="39486" xr:uid="{00000000-0005-0000-0000-00000A980000}"/>
    <cellStyle name="Normal 9 6 6 5" xfId="39487" xr:uid="{00000000-0005-0000-0000-00000B980000}"/>
    <cellStyle name="Normal 9 6 6 6" xfId="39488" xr:uid="{00000000-0005-0000-0000-00000C980000}"/>
    <cellStyle name="Normal 9 6 7" xfId="39489" xr:uid="{00000000-0005-0000-0000-00000D980000}"/>
    <cellStyle name="Normal 9 6 7 2" xfId="39490" xr:uid="{00000000-0005-0000-0000-00000E980000}"/>
    <cellStyle name="Normal 9 6 7 3" xfId="39491" xr:uid="{00000000-0005-0000-0000-00000F980000}"/>
    <cellStyle name="Normal 9 6 7 4" xfId="39492" xr:uid="{00000000-0005-0000-0000-000010980000}"/>
    <cellStyle name="Normal 9 6 7 5" xfId="39493" xr:uid="{00000000-0005-0000-0000-000011980000}"/>
    <cellStyle name="Normal 9 6 7 6" xfId="39494" xr:uid="{00000000-0005-0000-0000-000012980000}"/>
    <cellStyle name="Normal 9 6 8" xfId="39495" xr:uid="{00000000-0005-0000-0000-000013980000}"/>
    <cellStyle name="Normal 9 6 8 2" xfId="39496" xr:uid="{00000000-0005-0000-0000-000014980000}"/>
    <cellStyle name="Normal 9 6 8 3" xfId="39497" xr:uid="{00000000-0005-0000-0000-000015980000}"/>
    <cellStyle name="Normal 9 6 8 4" xfId="39498" xr:uid="{00000000-0005-0000-0000-000016980000}"/>
    <cellStyle name="Normal 9 6 8 5" xfId="39499" xr:uid="{00000000-0005-0000-0000-000017980000}"/>
    <cellStyle name="Normal 9 6 8 6" xfId="39500" xr:uid="{00000000-0005-0000-0000-000018980000}"/>
    <cellStyle name="Normal 9 6 9" xfId="39501" xr:uid="{00000000-0005-0000-0000-000019980000}"/>
    <cellStyle name="Normal 9 7" xfId="39502" xr:uid="{00000000-0005-0000-0000-00001A980000}"/>
    <cellStyle name="Normal 9 7 10" xfId="39503" xr:uid="{00000000-0005-0000-0000-00001B980000}"/>
    <cellStyle name="Normal 9 7 11" xfId="39504" xr:uid="{00000000-0005-0000-0000-00001C980000}"/>
    <cellStyle name="Normal 9 7 12" xfId="39505" xr:uid="{00000000-0005-0000-0000-00001D980000}"/>
    <cellStyle name="Normal 9 7 13" xfId="39506" xr:uid="{00000000-0005-0000-0000-00001E980000}"/>
    <cellStyle name="Normal 9 7 14" xfId="43649" xr:uid="{369B1DD1-5430-4115-8540-04848B0D927E}"/>
    <cellStyle name="Normal 9 7 2" xfId="39507" xr:uid="{00000000-0005-0000-0000-00001F980000}"/>
    <cellStyle name="Normal 9 7 2 2" xfId="39508" xr:uid="{00000000-0005-0000-0000-000020980000}"/>
    <cellStyle name="Normal 9 7 2 3" xfId="39509" xr:uid="{00000000-0005-0000-0000-000021980000}"/>
    <cellStyle name="Normal 9 7 2 4" xfId="39510" xr:uid="{00000000-0005-0000-0000-000022980000}"/>
    <cellStyle name="Normal 9 7 2 5" xfId="39511" xr:uid="{00000000-0005-0000-0000-000023980000}"/>
    <cellStyle name="Normal 9 7 2 6" xfId="39512" xr:uid="{00000000-0005-0000-0000-000024980000}"/>
    <cellStyle name="Normal 9 7 3" xfId="39513" xr:uid="{00000000-0005-0000-0000-000025980000}"/>
    <cellStyle name="Normal 9 7 3 2" xfId="39514" xr:uid="{00000000-0005-0000-0000-000026980000}"/>
    <cellStyle name="Normal 9 7 3 3" xfId="39515" xr:uid="{00000000-0005-0000-0000-000027980000}"/>
    <cellStyle name="Normal 9 7 3 4" xfId="39516" xr:uid="{00000000-0005-0000-0000-000028980000}"/>
    <cellStyle name="Normal 9 7 3 5" xfId="39517" xr:uid="{00000000-0005-0000-0000-000029980000}"/>
    <cellStyle name="Normal 9 7 3 6" xfId="39518" xr:uid="{00000000-0005-0000-0000-00002A980000}"/>
    <cellStyle name="Normal 9 7 4" xfId="39519" xr:uid="{00000000-0005-0000-0000-00002B980000}"/>
    <cellStyle name="Normal 9 7 4 2" xfId="39520" xr:uid="{00000000-0005-0000-0000-00002C980000}"/>
    <cellStyle name="Normal 9 7 4 3" xfId="39521" xr:uid="{00000000-0005-0000-0000-00002D980000}"/>
    <cellStyle name="Normal 9 7 4 4" xfId="39522" xr:uid="{00000000-0005-0000-0000-00002E980000}"/>
    <cellStyle name="Normal 9 7 4 5" xfId="39523" xr:uid="{00000000-0005-0000-0000-00002F980000}"/>
    <cellStyle name="Normal 9 7 4 6" xfId="39524" xr:uid="{00000000-0005-0000-0000-000030980000}"/>
    <cellStyle name="Normal 9 7 5" xfId="39525" xr:uid="{00000000-0005-0000-0000-000031980000}"/>
    <cellStyle name="Normal 9 7 5 2" xfId="39526" xr:uid="{00000000-0005-0000-0000-000032980000}"/>
    <cellStyle name="Normal 9 7 5 3" xfId="39527" xr:uid="{00000000-0005-0000-0000-000033980000}"/>
    <cellStyle name="Normal 9 7 5 4" xfId="39528" xr:uid="{00000000-0005-0000-0000-000034980000}"/>
    <cellStyle name="Normal 9 7 5 5" xfId="39529" xr:uid="{00000000-0005-0000-0000-000035980000}"/>
    <cellStyle name="Normal 9 7 5 6" xfId="39530" xr:uid="{00000000-0005-0000-0000-000036980000}"/>
    <cellStyle name="Normal 9 7 6" xfId="39531" xr:uid="{00000000-0005-0000-0000-000037980000}"/>
    <cellStyle name="Normal 9 7 6 2" xfId="39532" xr:uid="{00000000-0005-0000-0000-000038980000}"/>
    <cellStyle name="Normal 9 7 6 3" xfId="39533" xr:uid="{00000000-0005-0000-0000-000039980000}"/>
    <cellStyle name="Normal 9 7 6 4" xfId="39534" xr:uid="{00000000-0005-0000-0000-00003A980000}"/>
    <cellStyle name="Normal 9 7 6 5" xfId="39535" xr:uid="{00000000-0005-0000-0000-00003B980000}"/>
    <cellStyle name="Normal 9 7 6 6" xfId="39536" xr:uid="{00000000-0005-0000-0000-00003C980000}"/>
    <cellStyle name="Normal 9 7 7" xfId="39537" xr:uid="{00000000-0005-0000-0000-00003D980000}"/>
    <cellStyle name="Normal 9 7 7 2" xfId="39538" xr:uid="{00000000-0005-0000-0000-00003E980000}"/>
    <cellStyle name="Normal 9 7 7 3" xfId="39539" xr:uid="{00000000-0005-0000-0000-00003F980000}"/>
    <cellStyle name="Normal 9 7 7 4" xfId="39540" xr:uid="{00000000-0005-0000-0000-000040980000}"/>
    <cellStyle name="Normal 9 7 7 5" xfId="39541" xr:uid="{00000000-0005-0000-0000-000041980000}"/>
    <cellStyle name="Normal 9 7 7 6" xfId="39542" xr:uid="{00000000-0005-0000-0000-000042980000}"/>
    <cellStyle name="Normal 9 7 8" xfId="39543" xr:uid="{00000000-0005-0000-0000-000043980000}"/>
    <cellStyle name="Normal 9 7 8 2" xfId="39544" xr:uid="{00000000-0005-0000-0000-000044980000}"/>
    <cellStyle name="Normal 9 7 8 3" xfId="39545" xr:uid="{00000000-0005-0000-0000-000045980000}"/>
    <cellStyle name="Normal 9 7 8 4" xfId="39546" xr:uid="{00000000-0005-0000-0000-000046980000}"/>
    <cellStyle name="Normal 9 7 8 5" xfId="39547" xr:uid="{00000000-0005-0000-0000-000047980000}"/>
    <cellStyle name="Normal 9 7 8 6" xfId="39548" xr:uid="{00000000-0005-0000-0000-000048980000}"/>
    <cellStyle name="Normal 9 7 9" xfId="39549" xr:uid="{00000000-0005-0000-0000-000049980000}"/>
    <cellStyle name="Normal 9 8" xfId="39550" xr:uid="{00000000-0005-0000-0000-00004A980000}"/>
    <cellStyle name="Normal 9 8 10" xfId="39551" xr:uid="{00000000-0005-0000-0000-00004B980000}"/>
    <cellStyle name="Normal 9 8 11" xfId="39552" xr:uid="{00000000-0005-0000-0000-00004C980000}"/>
    <cellStyle name="Normal 9 8 12" xfId="39553" xr:uid="{00000000-0005-0000-0000-00004D980000}"/>
    <cellStyle name="Normal 9 8 13" xfId="39554" xr:uid="{00000000-0005-0000-0000-00004E980000}"/>
    <cellStyle name="Normal 9 8 14" xfId="43832" xr:uid="{0A537E52-110A-4A03-8215-CDEF5866ABA6}"/>
    <cellStyle name="Normal 9 8 2" xfId="39555" xr:uid="{00000000-0005-0000-0000-00004F980000}"/>
    <cellStyle name="Normal 9 8 2 2" xfId="39556" xr:uid="{00000000-0005-0000-0000-000050980000}"/>
    <cellStyle name="Normal 9 8 2 3" xfId="39557" xr:uid="{00000000-0005-0000-0000-000051980000}"/>
    <cellStyle name="Normal 9 8 2 4" xfId="39558" xr:uid="{00000000-0005-0000-0000-000052980000}"/>
    <cellStyle name="Normal 9 8 2 5" xfId="39559" xr:uid="{00000000-0005-0000-0000-000053980000}"/>
    <cellStyle name="Normal 9 8 2 6" xfId="39560" xr:uid="{00000000-0005-0000-0000-000054980000}"/>
    <cellStyle name="Normal 9 8 3" xfId="39561" xr:uid="{00000000-0005-0000-0000-000055980000}"/>
    <cellStyle name="Normal 9 8 3 2" xfId="39562" xr:uid="{00000000-0005-0000-0000-000056980000}"/>
    <cellStyle name="Normal 9 8 3 3" xfId="39563" xr:uid="{00000000-0005-0000-0000-000057980000}"/>
    <cellStyle name="Normal 9 8 3 4" xfId="39564" xr:uid="{00000000-0005-0000-0000-000058980000}"/>
    <cellStyle name="Normal 9 8 3 5" xfId="39565" xr:uid="{00000000-0005-0000-0000-000059980000}"/>
    <cellStyle name="Normal 9 8 3 6" xfId="39566" xr:uid="{00000000-0005-0000-0000-00005A980000}"/>
    <cellStyle name="Normal 9 8 4" xfId="39567" xr:uid="{00000000-0005-0000-0000-00005B980000}"/>
    <cellStyle name="Normal 9 8 4 2" xfId="39568" xr:uid="{00000000-0005-0000-0000-00005C980000}"/>
    <cellStyle name="Normal 9 8 4 3" xfId="39569" xr:uid="{00000000-0005-0000-0000-00005D980000}"/>
    <cellStyle name="Normal 9 8 4 4" xfId="39570" xr:uid="{00000000-0005-0000-0000-00005E980000}"/>
    <cellStyle name="Normal 9 8 4 5" xfId="39571" xr:uid="{00000000-0005-0000-0000-00005F980000}"/>
    <cellStyle name="Normal 9 8 4 6" xfId="39572" xr:uid="{00000000-0005-0000-0000-000060980000}"/>
    <cellStyle name="Normal 9 8 5" xfId="39573" xr:uid="{00000000-0005-0000-0000-000061980000}"/>
    <cellStyle name="Normal 9 8 5 2" xfId="39574" xr:uid="{00000000-0005-0000-0000-000062980000}"/>
    <cellStyle name="Normal 9 8 5 3" xfId="39575" xr:uid="{00000000-0005-0000-0000-000063980000}"/>
    <cellStyle name="Normal 9 8 5 4" xfId="39576" xr:uid="{00000000-0005-0000-0000-000064980000}"/>
    <cellStyle name="Normal 9 8 5 5" xfId="39577" xr:uid="{00000000-0005-0000-0000-000065980000}"/>
    <cellStyle name="Normal 9 8 5 6" xfId="39578" xr:uid="{00000000-0005-0000-0000-000066980000}"/>
    <cellStyle name="Normal 9 8 6" xfId="39579" xr:uid="{00000000-0005-0000-0000-000067980000}"/>
    <cellStyle name="Normal 9 8 6 2" xfId="39580" xr:uid="{00000000-0005-0000-0000-000068980000}"/>
    <cellStyle name="Normal 9 8 6 3" xfId="39581" xr:uid="{00000000-0005-0000-0000-000069980000}"/>
    <cellStyle name="Normal 9 8 6 4" xfId="39582" xr:uid="{00000000-0005-0000-0000-00006A980000}"/>
    <cellStyle name="Normal 9 8 6 5" xfId="39583" xr:uid="{00000000-0005-0000-0000-00006B980000}"/>
    <cellStyle name="Normal 9 8 6 6" xfId="39584" xr:uid="{00000000-0005-0000-0000-00006C980000}"/>
    <cellStyle name="Normal 9 8 7" xfId="39585" xr:uid="{00000000-0005-0000-0000-00006D980000}"/>
    <cellStyle name="Normal 9 8 7 2" xfId="39586" xr:uid="{00000000-0005-0000-0000-00006E980000}"/>
    <cellStyle name="Normal 9 8 7 3" xfId="39587" xr:uid="{00000000-0005-0000-0000-00006F980000}"/>
    <cellStyle name="Normal 9 8 7 4" xfId="39588" xr:uid="{00000000-0005-0000-0000-000070980000}"/>
    <cellStyle name="Normal 9 8 7 5" xfId="39589" xr:uid="{00000000-0005-0000-0000-000071980000}"/>
    <cellStyle name="Normal 9 8 7 6" xfId="39590" xr:uid="{00000000-0005-0000-0000-000072980000}"/>
    <cellStyle name="Normal 9 8 8" xfId="39591" xr:uid="{00000000-0005-0000-0000-000073980000}"/>
    <cellStyle name="Normal 9 8 8 2" xfId="39592" xr:uid="{00000000-0005-0000-0000-000074980000}"/>
    <cellStyle name="Normal 9 8 8 3" xfId="39593" xr:uid="{00000000-0005-0000-0000-000075980000}"/>
    <cellStyle name="Normal 9 8 8 4" xfId="39594" xr:uid="{00000000-0005-0000-0000-000076980000}"/>
    <cellStyle name="Normal 9 8 8 5" xfId="39595" xr:uid="{00000000-0005-0000-0000-000077980000}"/>
    <cellStyle name="Normal 9 8 8 6" xfId="39596" xr:uid="{00000000-0005-0000-0000-000078980000}"/>
    <cellStyle name="Normal 9 8 9" xfId="39597" xr:uid="{00000000-0005-0000-0000-000079980000}"/>
    <cellStyle name="Normal 9 9" xfId="39598" xr:uid="{00000000-0005-0000-0000-00007A980000}"/>
    <cellStyle name="Normal 9 9 10" xfId="39599" xr:uid="{00000000-0005-0000-0000-00007B980000}"/>
    <cellStyle name="Normal 9 9 11" xfId="39600" xr:uid="{00000000-0005-0000-0000-00007C980000}"/>
    <cellStyle name="Normal 9 9 12" xfId="39601" xr:uid="{00000000-0005-0000-0000-00007D980000}"/>
    <cellStyle name="Normal 9 9 13" xfId="39602" xr:uid="{00000000-0005-0000-0000-00007E980000}"/>
    <cellStyle name="Normal 9 9 2" xfId="39603" xr:uid="{00000000-0005-0000-0000-00007F980000}"/>
    <cellStyle name="Normal 9 9 2 2" xfId="39604" xr:uid="{00000000-0005-0000-0000-000080980000}"/>
    <cellStyle name="Normal 9 9 2 3" xfId="39605" xr:uid="{00000000-0005-0000-0000-000081980000}"/>
    <cellStyle name="Normal 9 9 2 4" xfId="39606" xr:uid="{00000000-0005-0000-0000-000082980000}"/>
    <cellStyle name="Normal 9 9 2 5" xfId="39607" xr:uid="{00000000-0005-0000-0000-000083980000}"/>
    <cellStyle name="Normal 9 9 2 6" xfId="39608" xr:uid="{00000000-0005-0000-0000-000084980000}"/>
    <cellStyle name="Normal 9 9 3" xfId="39609" xr:uid="{00000000-0005-0000-0000-000085980000}"/>
    <cellStyle name="Normal 9 9 3 2" xfId="39610" xr:uid="{00000000-0005-0000-0000-000086980000}"/>
    <cellStyle name="Normal 9 9 3 3" xfId="39611" xr:uid="{00000000-0005-0000-0000-000087980000}"/>
    <cellStyle name="Normal 9 9 3 4" xfId="39612" xr:uid="{00000000-0005-0000-0000-000088980000}"/>
    <cellStyle name="Normal 9 9 3 5" xfId="39613" xr:uid="{00000000-0005-0000-0000-000089980000}"/>
    <cellStyle name="Normal 9 9 3 6" xfId="39614" xr:uid="{00000000-0005-0000-0000-00008A980000}"/>
    <cellStyle name="Normal 9 9 4" xfId="39615" xr:uid="{00000000-0005-0000-0000-00008B980000}"/>
    <cellStyle name="Normal 9 9 4 2" xfId="39616" xr:uid="{00000000-0005-0000-0000-00008C980000}"/>
    <cellStyle name="Normal 9 9 4 3" xfId="39617" xr:uid="{00000000-0005-0000-0000-00008D980000}"/>
    <cellStyle name="Normal 9 9 4 4" xfId="39618" xr:uid="{00000000-0005-0000-0000-00008E980000}"/>
    <cellStyle name="Normal 9 9 4 5" xfId="39619" xr:uid="{00000000-0005-0000-0000-00008F980000}"/>
    <cellStyle name="Normal 9 9 4 6" xfId="39620" xr:uid="{00000000-0005-0000-0000-000090980000}"/>
    <cellStyle name="Normal 9 9 5" xfId="39621" xr:uid="{00000000-0005-0000-0000-000091980000}"/>
    <cellStyle name="Normal 9 9 5 2" xfId="39622" xr:uid="{00000000-0005-0000-0000-000092980000}"/>
    <cellStyle name="Normal 9 9 5 3" xfId="39623" xr:uid="{00000000-0005-0000-0000-000093980000}"/>
    <cellStyle name="Normal 9 9 5 4" xfId="39624" xr:uid="{00000000-0005-0000-0000-000094980000}"/>
    <cellStyle name="Normal 9 9 5 5" xfId="39625" xr:uid="{00000000-0005-0000-0000-000095980000}"/>
    <cellStyle name="Normal 9 9 5 6" xfId="39626" xr:uid="{00000000-0005-0000-0000-000096980000}"/>
    <cellStyle name="Normal 9 9 6" xfId="39627" xr:uid="{00000000-0005-0000-0000-000097980000}"/>
    <cellStyle name="Normal 9 9 6 2" xfId="39628" xr:uid="{00000000-0005-0000-0000-000098980000}"/>
    <cellStyle name="Normal 9 9 6 3" xfId="39629" xr:uid="{00000000-0005-0000-0000-000099980000}"/>
    <cellStyle name="Normal 9 9 6 4" xfId="39630" xr:uid="{00000000-0005-0000-0000-00009A980000}"/>
    <cellStyle name="Normal 9 9 6 5" xfId="39631" xr:uid="{00000000-0005-0000-0000-00009B980000}"/>
    <cellStyle name="Normal 9 9 6 6" xfId="39632" xr:uid="{00000000-0005-0000-0000-00009C980000}"/>
    <cellStyle name="Normal 9 9 7" xfId="39633" xr:uid="{00000000-0005-0000-0000-00009D980000}"/>
    <cellStyle name="Normal 9 9 7 2" xfId="39634" xr:uid="{00000000-0005-0000-0000-00009E980000}"/>
    <cellStyle name="Normal 9 9 7 3" xfId="39635" xr:uid="{00000000-0005-0000-0000-00009F980000}"/>
    <cellStyle name="Normal 9 9 7 4" xfId="39636" xr:uid="{00000000-0005-0000-0000-0000A0980000}"/>
    <cellStyle name="Normal 9 9 7 5" xfId="39637" xr:uid="{00000000-0005-0000-0000-0000A1980000}"/>
    <cellStyle name="Normal 9 9 7 6" xfId="39638" xr:uid="{00000000-0005-0000-0000-0000A2980000}"/>
    <cellStyle name="Normal 9 9 8" xfId="39639" xr:uid="{00000000-0005-0000-0000-0000A3980000}"/>
    <cellStyle name="Normal 9 9 8 2" xfId="39640" xr:uid="{00000000-0005-0000-0000-0000A4980000}"/>
    <cellStyle name="Normal 9 9 8 3" xfId="39641" xr:uid="{00000000-0005-0000-0000-0000A5980000}"/>
    <cellStyle name="Normal 9 9 8 4" xfId="39642" xr:uid="{00000000-0005-0000-0000-0000A6980000}"/>
    <cellStyle name="Normal 9 9 8 5" xfId="39643" xr:uid="{00000000-0005-0000-0000-0000A7980000}"/>
    <cellStyle name="Normal 9 9 8 6" xfId="39644" xr:uid="{00000000-0005-0000-0000-0000A8980000}"/>
    <cellStyle name="Normal 9 9 9" xfId="39645" xr:uid="{00000000-0005-0000-0000-0000A9980000}"/>
    <cellStyle name="Normal 9_casulo 5" xfId="830" xr:uid="{00000000-0005-0000-0000-0000AA980000}"/>
    <cellStyle name="Normal 9_casulo 5 2" xfId="43435" xr:uid="{D183B464-4FD2-4DD3-B1AD-0B7D2F7EDB52}"/>
    <cellStyle name="Normal 90" xfId="39646" xr:uid="{00000000-0005-0000-0000-0000AB980000}"/>
    <cellStyle name="Normal 91" xfId="39647" xr:uid="{00000000-0005-0000-0000-0000AC980000}"/>
    <cellStyle name="Normal 92" xfId="39648" xr:uid="{00000000-0005-0000-0000-0000AD980000}"/>
    <cellStyle name="Normal 93" xfId="39649" xr:uid="{00000000-0005-0000-0000-0000AE980000}"/>
    <cellStyle name="Normal 94" xfId="39650" xr:uid="{00000000-0005-0000-0000-0000AF980000}"/>
    <cellStyle name="Normal 95" xfId="39651" xr:uid="{00000000-0005-0000-0000-0000B0980000}"/>
    <cellStyle name="Normal 96" xfId="39652" xr:uid="{00000000-0005-0000-0000-0000B1980000}"/>
    <cellStyle name="Normal 97" xfId="39653" xr:uid="{00000000-0005-0000-0000-0000B2980000}"/>
    <cellStyle name="Normal 98" xfId="39654" xr:uid="{00000000-0005-0000-0000-0000B3980000}"/>
    <cellStyle name="Normal 99" xfId="39655" xr:uid="{00000000-0005-0000-0000-0000B4980000}"/>
    <cellStyle name="Normal Bold" xfId="1666" xr:uid="{00000000-0005-0000-0000-0000B5980000}"/>
    <cellStyle name="Normal_COEFICIENTES" xfId="43409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6" xr:uid="{37BFF47F-FC8E-4344-93E3-78A31AF313B8}"/>
    <cellStyle name="Normal_REVISO ESCELSA FINAL MRB" xfId="834" xr:uid="{00000000-0005-0000-0000-0000BA980000}"/>
    <cellStyle name="Normal1" xfId="39656" xr:uid="{00000000-0005-0000-0000-0000BB980000}"/>
    <cellStyle name="Normale_ cellular Costs" xfId="39657" xr:uid="{00000000-0005-0000-0000-0000BC980000}"/>
    <cellStyle name="normální_Business Plan MCE" xfId="39658" xr:uid="{00000000-0005-0000-0000-0000BD980000}"/>
    <cellStyle name="normбlnм_laroux" xfId="39659" xr:uid="{00000000-0005-0000-0000-0000BE980000}"/>
    <cellStyle name="Nota" xfId="835" xr:uid="{00000000-0005-0000-0000-0000BF980000}"/>
    <cellStyle name="Nota 10" xfId="39660" xr:uid="{00000000-0005-0000-0000-0000C0980000}"/>
    <cellStyle name="Nota 2" xfId="1079" xr:uid="{00000000-0005-0000-0000-0000C1980000}"/>
    <cellStyle name="Nota 2 2" xfId="1937" xr:uid="{00000000-0005-0000-0000-0000C2980000}"/>
    <cellStyle name="Nota 2 2 2" xfId="2557" xr:uid="{00000000-0005-0000-0000-0000C3980000}"/>
    <cellStyle name="Nota 2 2 3" xfId="2667" xr:uid="{00000000-0005-0000-0000-0000C4980000}"/>
    <cellStyle name="Nota 2 2 4" xfId="2681" xr:uid="{00000000-0005-0000-0000-0000C5980000}"/>
    <cellStyle name="Nota 2 3" xfId="2439" xr:uid="{00000000-0005-0000-0000-0000C6980000}"/>
    <cellStyle name="Nota 2 3 2" xfId="2641" xr:uid="{00000000-0005-0000-0000-0000C7980000}"/>
    <cellStyle name="Nota 2 3 3" xfId="2377" xr:uid="{00000000-0005-0000-0000-0000C8980000}"/>
    <cellStyle name="Nota 2 4" xfId="2244" xr:uid="{00000000-0005-0000-0000-0000C9980000}"/>
    <cellStyle name="Nota 2 5" xfId="2204" xr:uid="{00000000-0005-0000-0000-0000CA980000}"/>
    <cellStyle name="Nota 2 6" xfId="43455" xr:uid="{EEB61657-5B8B-437E-BCC1-1D89795D26DC}"/>
    <cellStyle name="Nota 3" xfId="1772" xr:uid="{00000000-0005-0000-0000-0000CB980000}"/>
    <cellStyle name="Nota 3 2" xfId="1873" xr:uid="{00000000-0005-0000-0000-0000CC980000}"/>
    <cellStyle name="Nota 3 2 2" xfId="2062" xr:uid="{00000000-0005-0000-0000-0000CD980000}"/>
    <cellStyle name="Nota 3 2 2 2" xfId="2558" xr:uid="{00000000-0005-0000-0000-0000CE980000}"/>
    <cellStyle name="Nota 3 2 2 3" xfId="2668" xr:uid="{00000000-0005-0000-0000-0000CF980000}"/>
    <cellStyle name="Nota 3 2 2 4" xfId="2682" xr:uid="{00000000-0005-0000-0000-0000D0980000}"/>
    <cellStyle name="Nota 3 2 3" xfId="2440" xr:uid="{00000000-0005-0000-0000-0000D1980000}"/>
    <cellStyle name="Nota 3 2 3 2" xfId="2642" xr:uid="{00000000-0005-0000-0000-0000D2980000}"/>
    <cellStyle name="Nota 3 2 3 3" xfId="2230" xr:uid="{00000000-0005-0000-0000-0000D3980000}"/>
    <cellStyle name="Nota 3 2 4" xfId="2398" xr:uid="{00000000-0005-0000-0000-0000D4980000}"/>
    <cellStyle name="Nota 3 2 5" xfId="2324" xr:uid="{00000000-0005-0000-0000-0000D5980000}"/>
    <cellStyle name="Nota 3 3" xfId="2008" xr:uid="{00000000-0005-0000-0000-0000D6980000}"/>
    <cellStyle name="Nota 3 4" xfId="2077" xr:uid="{00000000-0005-0000-0000-0000D7980000}"/>
    <cellStyle name="Nota 3 5" xfId="2135" xr:uid="{00000000-0005-0000-0000-0000D8980000}"/>
    <cellStyle name="Nota 3 6" xfId="2395" xr:uid="{00000000-0005-0000-0000-0000D9980000}"/>
    <cellStyle name="Nota 4" xfId="1819" xr:uid="{00000000-0005-0000-0000-0000DA980000}"/>
    <cellStyle name="Nota 4 2" xfId="2027" xr:uid="{00000000-0005-0000-0000-0000DB980000}"/>
    <cellStyle name="Nota 4 2 2" xfId="2559" xr:uid="{00000000-0005-0000-0000-0000DC980000}"/>
    <cellStyle name="Nota 4 2 3" xfId="2669" xr:uid="{00000000-0005-0000-0000-0000DD980000}"/>
    <cellStyle name="Nota 4 2 4" xfId="2683" xr:uid="{00000000-0005-0000-0000-0000DE980000}"/>
    <cellStyle name="Nota 4 3" xfId="2441" xr:uid="{00000000-0005-0000-0000-0000DF980000}"/>
    <cellStyle name="Nota 4 3 2" xfId="2643" xr:uid="{00000000-0005-0000-0000-0000E0980000}"/>
    <cellStyle name="Nota 4 3 3" xfId="2190" xr:uid="{00000000-0005-0000-0000-0000E1980000}"/>
    <cellStyle name="Nota 4 4" xfId="2376" xr:uid="{00000000-0005-0000-0000-0000E2980000}"/>
    <cellStyle name="Nota 4 5" xfId="2296" xr:uid="{00000000-0005-0000-0000-0000E3980000}"/>
    <cellStyle name="Nota 5" xfId="1911" xr:uid="{00000000-0005-0000-0000-0000E4980000}"/>
    <cellStyle name="Nota 5 2" xfId="2560" xr:uid="{00000000-0005-0000-0000-0000E5980000}"/>
    <cellStyle name="Nota 5 3" xfId="2670" xr:uid="{00000000-0005-0000-0000-0000E6980000}"/>
    <cellStyle name="Nota 5 4" xfId="2684" xr:uid="{00000000-0005-0000-0000-0000E7980000}"/>
    <cellStyle name="Nota 6" xfId="2208" xr:uid="{00000000-0005-0000-0000-0000E8980000}"/>
    <cellStyle name="Nota 7" xfId="2198" xr:uid="{00000000-0005-0000-0000-0000E9980000}"/>
    <cellStyle name="Nota 8" xfId="39661" xr:uid="{00000000-0005-0000-0000-0000EA980000}"/>
    <cellStyle name="Nota 9" xfId="39662" xr:uid="{00000000-0005-0000-0000-0000EB980000}"/>
    <cellStyle name="Notas" xfId="1080" xr:uid="{00000000-0005-0000-0000-0000EC980000}"/>
    <cellStyle name="Notas 10" xfId="39663" xr:uid="{00000000-0005-0000-0000-0000ED980000}"/>
    <cellStyle name="Notas 11" xfId="39664" xr:uid="{00000000-0005-0000-0000-0000EE980000}"/>
    <cellStyle name="Notas 12" xfId="39665" xr:uid="{00000000-0005-0000-0000-0000EF980000}"/>
    <cellStyle name="Notas 13" xfId="39666" xr:uid="{00000000-0005-0000-0000-0000F0980000}"/>
    <cellStyle name="Notas 14" xfId="39667" xr:uid="{00000000-0005-0000-0000-0000F1980000}"/>
    <cellStyle name="Notas 15" xfId="39668" xr:uid="{00000000-0005-0000-0000-0000F2980000}"/>
    <cellStyle name="Notas 16" xfId="39669" xr:uid="{00000000-0005-0000-0000-0000F3980000}"/>
    <cellStyle name="Notas 17" xfId="39670" xr:uid="{00000000-0005-0000-0000-0000F4980000}"/>
    <cellStyle name="Notas 18" xfId="39671" xr:uid="{00000000-0005-0000-0000-0000F5980000}"/>
    <cellStyle name="Notas 19" xfId="39672" xr:uid="{00000000-0005-0000-0000-0000F6980000}"/>
    <cellStyle name="Notas 2" xfId="1081" xr:uid="{00000000-0005-0000-0000-0000F7980000}"/>
    <cellStyle name="Notas 2 2" xfId="1939" xr:uid="{00000000-0005-0000-0000-0000F8980000}"/>
    <cellStyle name="Notas 2 2 2" xfId="2561" xr:uid="{00000000-0005-0000-0000-0000F9980000}"/>
    <cellStyle name="Notas 2 2 3" xfId="2671" xr:uid="{00000000-0005-0000-0000-0000FA980000}"/>
    <cellStyle name="Notas 2 2 4" xfId="2685" xr:uid="{00000000-0005-0000-0000-0000FB980000}"/>
    <cellStyle name="Notas 2 3" xfId="2443" xr:uid="{00000000-0005-0000-0000-0000FC980000}"/>
    <cellStyle name="Notas 2 3 2" xfId="2645" xr:uid="{00000000-0005-0000-0000-0000FD980000}"/>
    <cellStyle name="Notas 2 3 3" xfId="2163" xr:uid="{00000000-0005-0000-0000-0000FE980000}"/>
    <cellStyle name="Notas 2 4" xfId="2246" xr:uid="{00000000-0005-0000-0000-0000FF980000}"/>
    <cellStyle name="Notas 2 5" xfId="2329" xr:uid="{00000000-0005-0000-0000-000000990000}"/>
    <cellStyle name="Notas 20" xfId="39673" xr:uid="{00000000-0005-0000-0000-000001990000}"/>
    <cellStyle name="Notas 21" xfId="39674" xr:uid="{00000000-0005-0000-0000-000002990000}"/>
    <cellStyle name="Notas 22" xfId="39675" xr:uid="{00000000-0005-0000-0000-000003990000}"/>
    <cellStyle name="Notas 23" xfId="39676" xr:uid="{00000000-0005-0000-0000-000004990000}"/>
    <cellStyle name="Notas 24" xfId="39677" xr:uid="{00000000-0005-0000-0000-000005990000}"/>
    <cellStyle name="Notas 25" xfId="39678" xr:uid="{00000000-0005-0000-0000-000006990000}"/>
    <cellStyle name="Notas 3" xfId="1082" xr:uid="{00000000-0005-0000-0000-000007990000}"/>
    <cellStyle name="Notas 3 2" xfId="1940" xr:uid="{00000000-0005-0000-0000-000008990000}"/>
    <cellStyle name="Notas 3 2 2" xfId="2562" xr:uid="{00000000-0005-0000-0000-000009990000}"/>
    <cellStyle name="Notas 3 2 3" xfId="2672" xr:uid="{00000000-0005-0000-0000-00000A990000}"/>
    <cellStyle name="Notas 3 2 4" xfId="2686" xr:uid="{00000000-0005-0000-0000-00000B990000}"/>
    <cellStyle name="Notas 3 3" xfId="2444" xr:uid="{00000000-0005-0000-0000-00000C990000}"/>
    <cellStyle name="Notas 3 3 2" xfId="2646" xr:uid="{00000000-0005-0000-0000-00000D990000}"/>
    <cellStyle name="Notas 3 3 3" xfId="2232" xr:uid="{00000000-0005-0000-0000-00000E990000}"/>
    <cellStyle name="Notas 3 4" xfId="2247" xr:uid="{00000000-0005-0000-0000-00000F990000}"/>
    <cellStyle name="Notas 3 5" xfId="2333" xr:uid="{00000000-0005-0000-0000-000010990000}"/>
    <cellStyle name="Notas 4" xfId="1083" xr:uid="{00000000-0005-0000-0000-000011990000}"/>
    <cellStyle name="Notas 4 2" xfId="1941" xr:uid="{00000000-0005-0000-0000-000012990000}"/>
    <cellStyle name="Notas 4 2 2" xfId="2563" xr:uid="{00000000-0005-0000-0000-000013990000}"/>
    <cellStyle name="Notas 4 2 3" xfId="2673" xr:uid="{00000000-0005-0000-0000-000014990000}"/>
    <cellStyle name="Notas 4 2 4" xfId="2687" xr:uid="{00000000-0005-0000-0000-000015990000}"/>
    <cellStyle name="Notas 4 3" xfId="2445" xr:uid="{00000000-0005-0000-0000-000016990000}"/>
    <cellStyle name="Notas 4 3 2" xfId="2647" xr:uid="{00000000-0005-0000-0000-000017990000}"/>
    <cellStyle name="Notas 4 3 3" xfId="2274" xr:uid="{00000000-0005-0000-0000-000018990000}"/>
    <cellStyle name="Notas 4 4" xfId="2248" xr:uid="{00000000-0005-0000-0000-000019990000}"/>
    <cellStyle name="Notas 4 5" xfId="2206" xr:uid="{00000000-0005-0000-0000-00001A990000}"/>
    <cellStyle name="Notas 5" xfId="1938" xr:uid="{00000000-0005-0000-0000-00001B990000}"/>
    <cellStyle name="Notas 5 2" xfId="2564" xr:uid="{00000000-0005-0000-0000-00001C990000}"/>
    <cellStyle name="Notas 5 3" xfId="2674" xr:uid="{00000000-0005-0000-0000-00001D990000}"/>
    <cellStyle name="Notas 5 4" xfId="2688" xr:uid="{00000000-0005-0000-0000-00001E990000}"/>
    <cellStyle name="Notas 6" xfId="2442" xr:uid="{00000000-0005-0000-0000-00001F990000}"/>
    <cellStyle name="Notas 6 2" xfId="2644" xr:uid="{00000000-0005-0000-0000-000020990000}"/>
    <cellStyle name="Notas 6 3" xfId="2231" xr:uid="{00000000-0005-0000-0000-000021990000}"/>
    <cellStyle name="Notas 7" xfId="2245" xr:uid="{00000000-0005-0000-0000-000022990000}"/>
    <cellStyle name="Notas 8" xfId="2205" xr:uid="{00000000-0005-0000-0000-000023990000}"/>
    <cellStyle name="Notas 9" xfId="39679" xr:uid="{00000000-0005-0000-0000-000024990000}"/>
    <cellStyle name="Note" xfId="836" xr:uid="{00000000-0005-0000-0000-000025990000}"/>
    <cellStyle name="Note 2" xfId="1084" xr:uid="{00000000-0005-0000-0000-000026990000}"/>
    <cellStyle name="Note 2 2" xfId="1942" xr:uid="{00000000-0005-0000-0000-000027990000}"/>
    <cellStyle name="Note 2 2 2" xfId="2565" xr:uid="{00000000-0005-0000-0000-000028990000}"/>
    <cellStyle name="Note 2 2 3" xfId="2675" xr:uid="{00000000-0005-0000-0000-000029990000}"/>
    <cellStyle name="Note 2 2 4" xfId="2689" xr:uid="{00000000-0005-0000-0000-00002A990000}"/>
    <cellStyle name="Note 2 3" xfId="2447" xr:uid="{00000000-0005-0000-0000-00002B990000}"/>
    <cellStyle name="Note 2 3 2" xfId="2649" xr:uid="{00000000-0005-0000-0000-00002C990000}"/>
    <cellStyle name="Note 2 3 3" xfId="2275" xr:uid="{00000000-0005-0000-0000-00002D990000}"/>
    <cellStyle name="Note 2 4" xfId="2249" xr:uid="{00000000-0005-0000-0000-00002E990000}"/>
    <cellStyle name="Note 2 5" xfId="2241" xr:uid="{00000000-0005-0000-0000-00002F990000}"/>
    <cellStyle name="Note 3" xfId="1085" xr:uid="{00000000-0005-0000-0000-000030990000}"/>
    <cellStyle name="Note 3 2" xfId="1943" xr:uid="{00000000-0005-0000-0000-000031990000}"/>
    <cellStyle name="Note 3 2 2" xfId="2566" xr:uid="{00000000-0005-0000-0000-000032990000}"/>
    <cellStyle name="Note 3 2 3" xfId="2676" xr:uid="{00000000-0005-0000-0000-000033990000}"/>
    <cellStyle name="Note 3 2 4" xfId="2690" xr:uid="{00000000-0005-0000-0000-000034990000}"/>
    <cellStyle name="Note 3 3" xfId="2448" xr:uid="{00000000-0005-0000-0000-000035990000}"/>
    <cellStyle name="Note 3 3 2" xfId="2650" xr:uid="{00000000-0005-0000-0000-000036990000}"/>
    <cellStyle name="Note 3 3 3" xfId="2191" xr:uid="{00000000-0005-0000-0000-000037990000}"/>
    <cellStyle name="Note 3 4" xfId="2250" xr:uid="{00000000-0005-0000-0000-000038990000}"/>
    <cellStyle name="Note 3 5" xfId="2169" xr:uid="{00000000-0005-0000-0000-000039990000}"/>
    <cellStyle name="Note 4" xfId="1086" xr:uid="{00000000-0005-0000-0000-00003A990000}"/>
    <cellStyle name="Note 4 2" xfId="1944" xr:uid="{00000000-0005-0000-0000-00003B990000}"/>
    <cellStyle name="Note 4 2 2" xfId="2567" xr:uid="{00000000-0005-0000-0000-00003C990000}"/>
    <cellStyle name="Note 4 2 3" xfId="2677" xr:uid="{00000000-0005-0000-0000-00003D990000}"/>
    <cellStyle name="Note 4 2 4" xfId="2691" xr:uid="{00000000-0005-0000-0000-00003E990000}"/>
    <cellStyle name="Note 4 3" xfId="2449" xr:uid="{00000000-0005-0000-0000-00003F990000}"/>
    <cellStyle name="Note 4 3 2" xfId="2651" xr:uid="{00000000-0005-0000-0000-000040990000}"/>
    <cellStyle name="Note 4 3 3" xfId="2276" xr:uid="{00000000-0005-0000-0000-000041990000}"/>
    <cellStyle name="Note 4 4" xfId="2251" xr:uid="{00000000-0005-0000-0000-000042990000}"/>
    <cellStyle name="Note 4 5" xfId="2347" xr:uid="{00000000-0005-0000-0000-000043990000}"/>
    <cellStyle name="Note 5" xfId="1805" xr:uid="{00000000-0005-0000-0000-000044990000}"/>
    <cellStyle name="Note 5 2" xfId="2018" xr:uid="{00000000-0005-0000-0000-000045990000}"/>
    <cellStyle name="Note 5 2 2" xfId="2568" xr:uid="{00000000-0005-0000-0000-000046990000}"/>
    <cellStyle name="Note 5 2 3" xfId="2678" xr:uid="{00000000-0005-0000-0000-000047990000}"/>
    <cellStyle name="Note 5 2 4" xfId="2692" xr:uid="{00000000-0005-0000-0000-000048990000}"/>
    <cellStyle name="Note 5 3" xfId="2450" xr:uid="{00000000-0005-0000-0000-000049990000}"/>
    <cellStyle name="Note 5 3 2" xfId="2652" xr:uid="{00000000-0005-0000-0000-00004A990000}"/>
    <cellStyle name="Note 5 3 3" xfId="2192" xr:uid="{00000000-0005-0000-0000-00004B990000}"/>
    <cellStyle name="Note 5 4" xfId="2370" xr:uid="{00000000-0005-0000-0000-00004C990000}"/>
    <cellStyle name="Note 5 5" xfId="2266" xr:uid="{00000000-0005-0000-0000-00004D990000}"/>
    <cellStyle name="Note 6" xfId="1912" xr:uid="{00000000-0005-0000-0000-00004E990000}"/>
    <cellStyle name="Note 6 2" xfId="2569" xr:uid="{00000000-0005-0000-0000-00004F990000}"/>
    <cellStyle name="Note 6 3" xfId="2679" xr:uid="{00000000-0005-0000-0000-000050990000}"/>
    <cellStyle name="Note 6 4" xfId="2693" xr:uid="{00000000-0005-0000-0000-000051990000}"/>
    <cellStyle name="Note 7" xfId="2446" xr:uid="{00000000-0005-0000-0000-000052990000}"/>
    <cellStyle name="Note 7 2" xfId="2648" xr:uid="{00000000-0005-0000-0000-000053990000}"/>
    <cellStyle name="Note 7 3" xfId="2301" xr:uid="{00000000-0005-0000-0000-000054990000}"/>
    <cellStyle name="Note 8" xfId="2209" xr:uid="{00000000-0005-0000-0000-000055990000}"/>
    <cellStyle name="Note 9" xfId="2280" xr:uid="{00000000-0005-0000-0000-000056990000}"/>
    <cellStyle name="O" xfId="39680" xr:uid="{00000000-0005-0000-0000-000057990000}"/>
    <cellStyle name="Œ…‹æØ‚è [0.00]_laroux" xfId="39681" xr:uid="{00000000-0005-0000-0000-000058990000}"/>
    <cellStyle name="Œ…‹æØ‚è_laroux" xfId="39682" xr:uid="{00000000-0005-0000-0000-000059990000}"/>
    <cellStyle name="Output" xfId="837" xr:uid="{00000000-0005-0000-0000-00005A990000}"/>
    <cellStyle name="Output 2" xfId="1806" xr:uid="{00000000-0005-0000-0000-00005B990000}"/>
    <cellStyle name="Output 2 2" xfId="2019" xr:uid="{00000000-0005-0000-0000-00005C990000}"/>
    <cellStyle name="Output 2 3" xfId="2081" xr:uid="{00000000-0005-0000-0000-00005D990000}"/>
    <cellStyle name="Output 2 4" xfId="2278" xr:uid="{00000000-0005-0000-0000-00005E990000}"/>
    <cellStyle name="Output 2 5" xfId="2179" xr:uid="{00000000-0005-0000-0000-00005F990000}"/>
    <cellStyle name="Output 3" xfId="1913" xr:uid="{00000000-0005-0000-0000-000060990000}"/>
    <cellStyle name="Output 4" xfId="2137" xr:uid="{00000000-0005-0000-0000-000061990000}"/>
    <cellStyle name="Output Line Items" xfId="39683" xr:uid="{00000000-0005-0000-0000-000062990000}"/>
    <cellStyle name="Page Number" xfId="39684" xr:uid="{00000000-0005-0000-0000-000063990000}"/>
    <cellStyle name="paint" xfId="838" xr:uid="{00000000-0005-0000-0000-000064990000}"/>
    <cellStyle name="pb_page_heading_LS" xfId="39685" xr:uid="{00000000-0005-0000-0000-000065990000}"/>
    <cellStyle name="Percen - Estilo1" xfId="39686" xr:uid="{00000000-0005-0000-0000-000066990000}"/>
    <cellStyle name="Percen - Estilo2" xfId="39687" xr:uid="{00000000-0005-0000-0000-000067990000}"/>
    <cellStyle name="Percent ()" xfId="839" xr:uid="{00000000-0005-0000-0000-000068990000}"/>
    <cellStyle name="Percent () 2" xfId="1087" xr:uid="{00000000-0005-0000-0000-000069990000}"/>
    <cellStyle name="Percent () 2 2" xfId="1848" xr:uid="{00000000-0005-0000-0000-00006A990000}"/>
    <cellStyle name="Percent () 3" xfId="1820" xr:uid="{00000000-0005-0000-0000-00006B990000}"/>
    <cellStyle name="Percent () 3 2" xfId="39688" xr:uid="{00000000-0005-0000-0000-00006C990000}"/>
    <cellStyle name="Percent (0%)" xfId="39689" xr:uid="{00000000-0005-0000-0000-00006D990000}"/>
    <cellStyle name="Percent (0)" xfId="840" xr:uid="{00000000-0005-0000-0000-00006E990000}"/>
    <cellStyle name="Percent (0) 2" xfId="39690" xr:uid="{00000000-0005-0000-0000-00006F990000}"/>
    <cellStyle name="Percent (0) 3" xfId="39691" xr:uid="{00000000-0005-0000-0000-000070990000}"/>
    <cellStyle name="Percent (0) 3 2" xfId="39692" xr:uid="{00000000-0005-0000-0000-000071990000}"/>
    <cellStyle name="Percent (0.0%)" xfId="39693" xr:uid="{00000000-0005-0000-0000-000072990000}"/>
    <cellStyle name="Percent (0.00%)" xfId="39694" xr:uid="{00000000-0005-0000-0000-000073990000}"/>
    <cellStyle name="Percent (1)" xfId="841" xr:uid="{00000000-0005-0000-0000-000074990000}"/>
    <cellStyle name="Percent (1) 2" xfId="39695" xr:uid="{00000000-0005-0000-0000-000075990000}"/>
    <cellStyle name="Percent (1) 3" xfId="39696" xr:uid="{00000000-0005-0000-0000-000076990000}"/>
    <cellStyle name="Percent (1) 3 2" xfId="39697" xr:uid="{00000000-0005-0000-0000-000077990000}"/>
    <cellStyle name="Percent [0]" xfId="842" xr:uid="{00000000-0005-0000-0000-000078990000}"/>
    <cellStyle name="Percent [0] 2" xfId="39698" xr:uid="{00000000-0005-0000-0000-000079990000}"/>
    <cellStyle name="Percent [0] 3" xfId="39699" xr:uid="{00000000-0005-0000-0000-00007A990000}"/>
    <cellStyle name="Percent [0] 3 2" xfId="39700" xr:uid="{00000000-0005-0000-0000-00007B990000}"/>
    <cellStyle name="Percent [00]" xfId="843" xr:uid="{00000000-0005-0000-0000-00007C990000}"/>
    <cellStyle name="Percent [00] 2" xfId="1088" xr:uid="{00000000-0005-0000-0000-00007D990000}"/>
    <cellStyle name="Percent [00] 3" xfId="39701" xr:uid="{00000000-0005-0000-0000-00007E990000}"/>
    <cellStyle name="Percent [2]" xfId="844" xr:uid="{00000000-0005-0000-0000-00007F990000}"/>
    <cellStyle name="Percent [2] 2" xfId="1089" xr:uid="{00000000-0005-0000-0000-000080990000}"/>
    <cellStyle name="Percent [2] 2 2" xfId="39702" xr:uid="{00000000-0005-0000-0000-000081990000}"/>
    <cellStyle name="Percent [2] 3" xfId="1090" xr:uid="{00000000-0005-0000-0000-000082990000}"/>
    <cellStyle name="Percent [2] 4" xfId="1091" xr:uid="{00000000-0005-0000-0000-000083990000}"/>
    <cellStyle name="Percent [2] 4 2" xfId="39703" xr:uid="{00000000-0005-0000-0000-000084990000}"/>
    <cellStyle name="Percent 1" xfId="845" xr:uid="{00000000-0005-0000-0000-000085990000}"/>
    <cellStyle name="Percent 1 2" xfId="39704" xr:uid="{00000000-0005-0000-0000-000086990000}"/>
    <cellStyle name="Percent 1 3" xfId="39705" xr:uid="{00000000-0005-0000-0000-000087990000}"/>
    <cellStyle name="Percent 1 3 2" xfId="39706" xr:uid="{00000000-0005-0000-0000-000088990000}"/>
    <cellStyle name="Percent 2" xfId="846" xr:uid="{00000000-0005-0000-0000-000089990000}"/>
    <cellStyle name="Percent 2 2" xfId="1092" xr:uid="{00000000-0005-0000-0000-00008A990000}"/>
    <cellStyle name="Percent 2 3" xfId="39707" xr:uid="{00000000-0005-0000-0000-00008B990000}"/>
    <cellStyle name="Percent 2 3 2" xfId="39708" xr:uid="{00000000-0005-0000-0000-00008C990000}"/>
    <cellStyle name="Percent 3" xfId="1093" xr:uid="{00000000-0005-0000-0000-00008D990000}"/>
    <cellStyle name="Percent 3 2" xfId="1849" xr:uid="{00000000-0005-0000-0000-00008E990000}"/>
    <cellStyle name="Percent 3 2 2" xfId="2045" xr:uid="{00000000-0005-0000-0000-00008F990000}"/>
    <cellStyle name="Percent 3 2 2 2" xfId="2570" xr:uid="{00000000-0005-0000-0000-000090990000}"/>
    <cellStyle name="Percent 3 2 2 3" xfId="43364" xr:uid="{00000000-0005-0000-0000-000091990000}"/>
    <cellStyle name="Percent 3 2 3" xfId="2571" xr:uid="{00000000-0005-0000-0000-000092990000}"/>
    <cellStyle name="Percent 3 2 3 2" xfId="43365" xr:uid="{00000000-0005-0000-0000-000093990000}"/>
    <cellStyle name="Percent 3 2 4" xfId="2452" xr:uid="{00000000-0005-0000-0000-000094990000}"/>
    <cellStyle name="Percent 3 2 5" xfId="2382" xr:uid="{00000000-0005-0000-0000-000095990000}"/>
    <cellStyle name="Percent 3 2 6" xfId="43257" xr:uid="{00000000-0005-0000-0000-000096990000}"/>
    <cellStyle name="Percent 3 3" xfId="1945" xr:uid="{00000000-0005-0000-0000-000097990000}"/>
    <cellStyle name="Percent 3 3 2" xfId="2572" xr:uid="{00000000-0005-0000-0000-000098990000}"/>
    <cellStyle name="Percent 3 3 3" xfId="43366" xr:uid="{00000000-0005-0000-0000-000099990000}"/>
    <cellStyle name="Percent 3 4" xfId="2573" xr:uid="{00000000-0005-0000-0000-00009A990000}"/>
    <cellStyle name="Percent 3 4 2" xfId="43367" xr:uid="{00000000-0005-0000-0000-00009B990000}"/>
    <cellStyle name="Percent 3 5" xfId="2451" xr:uid="{00000000-0005-0000-0000-00009C990000}"/>
    <cellStyle name="Percent 3 6" xfId="2252" xr:uid="{00000000-0005-0000-0000-00009D990000}"/>
    <cellStyle name="Percent 3 7" xfId="43256" xr:uid="{00000000-0005-0000-0000-00009E990000}"/>
    <cellStyle name="Percent 4" xfId="39709" xr:uid="{00000000-0005-0000-0000-00009F990000}"/>
    <cellStyle name="Percent 5" xfId="39710" xr:uid="{00000000-0005-0000-0000-0000A0990000}"/>
    <cellStyle name="Percent Black [0]" xfId="39711" xr:uid="{00000000-0005-0000-0000-0000A1990000}"/>
    <cellStyle name="Percent Black [1]" xfId="39712" xr:uid="{00000000-0005-0000-0000-0000A2990000}"/>
    <cellStyle name="Percent Black [2]" xfId="39713" xr:uid="{00000000-0005-0000-0000-0000A3990000}"/>
    <cellStyle name="Percent Blue [0]" xfId="39714" xr:uid="{00000000-0005-0000-0000-0000A4990000}"/>
    <cellStyle name="Percent Blue [1]" xfId="39715" xr:uid="{00000000-0005-0000-0000-0000A5990000}"/>
    <cellStyle name="Percent Blue [2]" xfId="39716" xr:uid="{00000000-0005-0000-0000-0000A6990000}"/>
    <cellStyle name="Percent_06_200403" xfId="39717" xr:uid="{00000000-0005-0000-0000-0000A7990000}"/>
    <cellStyle name="Percentual" xfId="39718" xr:uid="{00000000-0005-0000-0000-0000A8990000}"/>
    <cellStyle name="Ponto" xfId="39719" xr:uid="{00000000-0005-0000-0000-0000A9990000}"/>
    <cellStyle name="Porcentagem" xfId="847" builtinId="5"/>
    <cellStyle name="Porcentagem 10" xfId="1094" xr:uid="{00000000-0005-0000-0000-0000AB990000}"/>
    <cellStyle name="Porcentagem 11" xfId="1095" xr:uid="{00000000-0005-0000-0000-0000AC990000}"/>
    <cellStyle name="Porcentagem 12" xfId="1096" xr:uid="{00000000-0005-0000-0000-0000AD990000}"/>
    <cellStyle name="Porcentagem 13" xfId="1097" xr:uid="{00000000-0005-0000-0000-0000AE990000}"/>
    <cellStyle name="Porcentagem 14" xfId="1098" xr:uid="{00000000-0005-0000-0000-0000AF990000}"/>
    <cellStyle name="Porcentagem 15" xfId="1099" xr:uid="{00000000-0005-0000-0000-0000B0990000}"/>
    <cellStyle name="Porcentagem 16" xfId="1793" xr:uid="{00000000-0005-0000-0000-0000B1990000}"/>
    <cellStyle name="Porcentagem 16 2" xfId="1876" xr:uid="{00000000-0005-0000-0000-0000B2990000}"/>
    <cellStyle name="Porcentagem 16 2 2" xfId="2065" xr:uid="{00000000-0005-0000-0000-0000B3990000}"/>
    <cellStyle name="Porcentagem 16 2 2 2" xfId="2574" xr:uid="{00000000-0005-0000-0000-0000B4990000}"/>
    <cellStyle name="Porcentagem 16 2 2 3" xfId="43368" xr:uid="{00000000-0005-0000-0000-0000B5990000}"/>
    <cellStyle name="Porcentagem 16 2 3" xfId="2575" xr:uid="{00000000-0005-0000-0000-0000B6990000}"/>
    <cellStyle name="Porcentagem 16 2 3 2" xfId="43369" xr:uid="{00000000-0005-0000-0000-0000B7990000}"/>
    <cellStyle name="Porcentagem 16 2 4" xfId="2454" xr:uid="{00000000-0005-0000-0000-0000B8990000}"/>
    <cellStyle name="Porcentagem 16 2 5" xfId="2401" xr:uid="{00000000-0005-0000-0000-0000B9990000}"/>
    <cellStyle name="Porcentagem 16 2 6" xfId="43259" xr:uid="{00000000-0005-0000-0000-0000BA990000}"/>
    <cellStyle name="Porcentagem 16 3" xfId="2014" xr:uid="{00000000-0005-0000-0000-0000BB990000}"/>
    <cellStyle name="Porcentagem 16 3 2" xfId="2576" xr:uid="{00000000-0005-0000-0000-0000BC990000}"/>
    <cellStyle name="Porcentagem 16 3 3" xfId="43370" xr:uid="{00000000-0005-0000-0000-0000BD990000}"/>
    <cellStyle name="Porcentagem 16 4" xfId="2577" xr:uid="{00000000-0005-0000-0000-0000BE990000}"/>
    <cellStyle name="Porcentagem 16 4 2" xfId="43371" xr:uid="{00000000-0005-0000-0000-0000BF990000}"/>
    <cellStyle name="Porcentagem 16 5" xfId="2453" xr:uid="{00000000-0005-0000-0000-0000C0990000}"/>
    <cellStyle name="Porcentagem 16 6" xfId="2369" xr:uid="{00000000-0005-0000-0000-0000C1990000}"/>
    <cellStyle name="Porcentagem 16 7" xfId="43258" xr:uid="{00000000-0005-0000-0000-0000C2990000}"/>
    <cellStyle name="Porcentagem 17" xfId="43188" xr:uid="{00000000-0005-0000-0000-0000C3990000}"/>
    <cellStyle name="Porcentagem 18" xfId="43195" xr:uid="{00000000-0005-0000-0000-0000C4990000}"/>
    <cellStyle name="Porcentagem 19" xfId="43421" xr:uid="{00000000-0005-0000-0000-0000C5990000}"/>
    <cellStyle name="Porcentagem 2" xfId="848" xr:uid="{00000000-0005-0000-0000-0000C6990000}"/>
    <cellStyle name="Porcentagem 2 10" xfId="39720" xr:uid="{00000000-0005-0000-0000-0000C7990000}"/>
    <cellStyle name="Porcentagem 2 11" xfId="39721" xr:uid="{00000000-0005-0000-0000-0000C8990000}"/>
    <cellStyle name="Porcentagem 2 12" xfId="39722" xr:uid="{00000000-0005-0000-0000-0000C9990000}"/>
    <cellStyle name="Porcentagem 2 13" xfId="39723" xr:uid="{00000000-0005-0000-0000-0000CA990000}"/>
    <cellStyle name="Porcentagem 2 14" xfId="39724" xr:uid="{00000000-0005-0000-0000-0000CB990000}"/>
    <cellStyle name="Porcentagem 2 15" xfId="39725" xr:uid="{00000000-0005-0000-0000-0000CC990000}"/>
    <cellStyle name="Porcentagem 2 16" xfId="39726" xr:uid="{00000000-0005-0000-0000-0000CD990000}"/>
    <cellStyle name="Porcentagem 2 17" xfId="39727" xr:uid="{00000000-0005-0000-0000-0000CE990000}"/>
    <cellStyle name="Porcentagem 2 18" xfId="39728" xr:uid="{00000000-0005-0000-0000-0000CF990000}"/>
    <cellStyle name="Porcentagem 2 19" xfId="39729" xr:uid="{00000000-0005-0000-0000-0000D0990000}"/>
    <cellStyle name="Porcentagem 2 2" xfId="849" xr:uid="{00000000-0005-0000-0000-0000D1990000}"/>
    <cellStyle name="Porcentagem 2 2 2" xfId="1100" xr:uid="{00000000-0005-0000-0000-0000D2990000}"/>
    <cellStyle name="Porcentagem 2 2 2 2" xfId="39730" xr:uid="{00000000-0005-0000-0000-0000D3990000}"/>
    <cellStyle name="Porcentagem 2 2 3" xfId="1821" xr:uid="{00000000-0005-0000-0000-0000D4990000}"/>
    <cellStyle name="Porcentagem 2 20" xfId="39731" xr:uid="{00000000-0005-0000-0000-0000D5990000}"/>
    <cellStyle name="Porcentagem 2 21" xfId="39732" xr:uid="{00000000-0005-0000-0000-0000D6990000}"/>
    <cellStyle name="Porcentagem 2 22" xfId="39733" xr:uid="{00000000-0005-0000-0000-0000D7990000}"/>
    <cellStyle name="Porcentagem 2 23" xfId="39734" xr:uid="{00000000-0005-0000-0000-0000D8990000}"/>
    <cellStyle name="Porcentagem 2 24" xfId="39735" xr:uid="{00000000-0005-0000-0000-0000D9990000}"/>
    <cellStyle name="Porcentagem 2 25" xfId="39736" xr:uid="{00000000-0005-0000-0000-0000DA990000}"/>
    <cellStyle name="Porcentagem 2 26" xfId="39737" xr:uid="{00000000-0005-0000-0000-0000DB990000}"/>
    <cellStyle name="Porcentagem 2 27" xfId="39738" xr:uid="{00000000-0005-0000-0000-0000DC990000}"/>
    <cellStyle name="Porcentagem 2 28" xfId="39739" xr:uid="{00000000-0005-0000-0000-0000DD990000}"/>
    <cellStyle name="Porcentagem 2 29" xfId="39740" xr:uid="{00000000-0005-0000-0000-0000DE990000}"/>
    <cellStyle name="Porcentagem 2 3" xfId="1101" xr:uid="{00000000-0005-0000-0000-0000DF990000}"/>
    <cellStyle name="Porcentagem 2 3 2" xfId="39741" xr:uid="{00000000-0005-0000-0000-0000E0990000}"/>
    <cellStyle name="Porcentagem 2 3 3" xfId="39742" xr:uid="{00000000-0005-0000-0000-0000E1990000}"/>
    <cellStyle name="Porcentagem 2 30" xfId="39743" xr:uid="{00000000-0005-0000-0000-0000E2990000}"/>
    <cellStyle name="Porcentagem 2 31" xfId="39744" xr:uid="{00000000-0005-0000-0000-0000E3990000}"/>
    <cellStyle name="Porcentagem 2 32" xfId="39745" xr:uid="{00000000-0005-0000-0000-0000E4990000}"/>
    <cellStyle name="Porcentagem 2 33" xfId="39746" xr:uid="{00000000-0005-0000-0000-0000E5990000}"/>
    <cellStyle name="Porcentagem 2 34" xfId="39747" xr:uid="{00000000-0005-0000-0000-0000E6990000}"/>
    <cellStyle name="Porcentagem 2 35" xfId="39748" xr:uid="{00000000-0005-0000-0000-0000E7990000}"/>
    <cellStyle name="Porcentagem 2 36" xfId="39749" xr:uid="{00000000-0005-0000-0000-0000E8990000}"/>
    <cellStyle name="Porcentagem 2 37" xfId="39750" xr:uid="{00000000-0005-0000-0000-0000E9990000}"/>
    <cellStyle name="Porcentagem 2 38" xfId="39751" xr:uid="{00000000-0005-0000-0000-0000EA990000}"/>
    <cellStyle name="Porcentagem 2 39" xfId="39752" xr:uid="{00000000-0005-0000-0000-0000EB990000}"/>
    <cellStyle name="Porcentagem 2 4" xfId="1102" xr:uid="{00000000-0005-0000-0000-0000EC990000}"/>
    <cellStyle name="Porcentagem 2 40" xfId="39753" xr:uid="{00000000-0005-0000-0000-0000ED990000}"/>
    <cellStyle name="Porcentagem 2 41" xfId="39754" xr:uid="{00000000-0005-0000-0000-0000EE990000}"/>
    <cellStyle name="Porcentagem 2 42" xfId="39755" xr:uid="{00000000-0005-0000-0000-0000EF990000}"/>
    <cellStyle name="Porcentagem 2 43" xfId="39756" xr:uid="{00000000-0005-0000-0000-0000F0990000}"/>
    <cellStyle name="Porcentagem 2 44" xfId="39757" xr:uid="{00000000-0005-0000-0000-0000F1990000}"/>
    <cellStyle name="Porcentagem 2 45" xfId="39758" xr:uid="{00000000-0005-0000-0000-0000F2990000}"/>
    <cellStyle name="Porcentagem 2 46" xfId="39759" xr:uid="{00000000-0005-0000-0000-0000F3990000}"/>
    <cellStyle name="Porcentagem 2 5" xfId="1103" xr:uid="{00000000-0005-0000-0000-0000F4990000}"/>
    <cellStyle name="Porcentagem 2 6" xfId="1887" xr:uid="{00000000-0005-0000-0000-0000F5990000}"/>
    <cellStyle name="Porcentagem 2 7" xfId="39760" xr:uid="{00000000-0005-0000-0000-0000F6990000}"/>
    <cellStyle name="Porcentagem 2 8" xfId="39761" xr:uid="{00000000-0005-0000-0000-0000F7990000}"/>
    <cellStyle name="Porcentagem 2 9" xfId="39762" xr:uid="{00000000-0005-0000-0000-0000F8990000}"/>
    <cellStyle name="Porcentagem 20" xfId="43424" xr:uid="{00000000-0005-0000-0000-0000F9990000}"/>
    <cellStyle name="Porcentagem 21" xfId="43428" xr:uid="{EE12B06B-4286-42CD-8316-A1FB033399E0}"/>
    <cellStyle name="Porcentagem 3" xfId="906" xr:uid="{00000000-0005-0000-0000-0000FA990000}"/>
    <cellStyle name="Porcentagem 3 2" xfId="1104" xr:uid="{00000000-0005-0000-0000-0000FB990000}"/>
    <cellStyle name="Porcentagem 3 2 2" xfId="39763" xr:uid="{00000000-0005-0000-0000-0000FC990000}"/>
    <cellStyle name="Porcentagem 3 2 2 2" xfId="39764" xr:uid="{00000000-0005-0000-0000-0000FD990000}"/>
    <cellStyle name="Porcentagem 3 2 2 3" xfId="39765" xr:uid="{00000000-0005-0000-0000-0000FE990000}"/>
    <cellStyle name="Porcentagem 3 2 3" xfId="39766" xr:uid="{00000000-0005-0000-0000-0000FF990000}"/>
    <cellStyle name="Porcentagem 3 3" xfId="1105" xr:uid="{00000000-0005-0000-0000-0000009A0000}"/>
    <cellStyle name="Porcentagem 3 4" xfId="1106" xr:uid="{00000000-0005-0000-0000-0000019A0000}"/>
    <cellStyle name="Porcentagem 3 5" xfId="2578" xr:uid="{00000000-0005-0000-0000-0000029A0000}"/>
    <cellStyle name="Porcentagem 4" xfId="1107" xr:uid="{00000000-0005-0000-0000-0000039A0000}"/>
    <cellStyle name="Porcentagem 4 10" xfId="39767" xr:uid="{00000000-0005-0000-0000-0000049A0000}"/>
    <cellStyle name="Porcentagem 4 10 2" xfId="39768" xr:uid="{00000000-0005-0000-0000-0000059A0000}"/>
    <cellStyle name="Porcentagem 4 10 2 2" xfId="39769" xr:uid="{00000000-0005-0000-0000-0000069A0000}"/>
    <cellStyle name="Porcentagem 4 10 2 3" xfId="39770" xr:uid="{00000000-0005-0000-0000-0000079A0000}"/>
    <cellStyle name="Porcentagem 4 10 2 4" xfId="39771" xr:uid="{00000000-0005-0000-0000-0000089A0000}"/>
    <cellStyle name="Porcentagem 4 10 3" xfId="39772" xr:uid="{00000000-0005-0000-0000-0000099A0000}"/>
    <cellStyle name="Porcentagem 4 10 3 2" xfId="39773" xr:uid="{00000000-0005-0000-0000-00000A9A0000}"/>
    <cellStyle name="Porcentagem 4 10 3 3" xfId="39774" xr:uid="{00000000-0005-0000-0000-00000B9A0000}"/>
    <cellStyle name="Porcentagem 4 10 3 4" xfId="39775" xr:uid="{00000000-0005-0000-0000-00000C9A0000}"/>
    <cellStyle name="Porcentagem 4 10 4" xfId="39776" xr:uid="{00000000-0005-0000-0000-00000D9A0000}"/>
    <cellStyle name="Porcentagem 4 10 5" xfId="39777" xr:uid="{00000000-0005-0000-0000-00000E9A0000}"/>
    <cellStyle name="Porcentagem 4 10 6" xfId="39778" xr:uid="{00000000-0005-0000-0000-00000F9A0000}"/>
    <cellStyle name="Porcentagem 4 11" xfId="39779" xr:uid="{00000000-0005-0000-0000-0000109A0000}"/>
    <cellStyle name="Porcentagem 4 11 2" xfId="39780" xr:uid="{00000000-0005-0000-0000-0000119A0000}"/>
    <cellStyle name="Porcentagem 4 11 2 2" xfId="39781" xr:uid="{00000000-0005-0000-0000-0000129A0000}"/>
    <cellStyle name="Porcentagem 4 11 2 3" xfId="39782" xr:uid="{00000000-0005-0000-0000-0000139A0000}"/>
    <cellStyle name="Porcentagem 4 11 2 4" xfId="39783" xr:uid="{00000000-0005-0000-0000-0000149A0000}"/>
    <cellStyle name="Porcentagem 4 11 3" xfId="39784" xr:uid="{00000000-0005-0000-0000-0000159A0000}"/>
    <cellStyle name="Porcentagem 4 11 3 2" xfId="39785" xr:uid="{00000000-0005-0000-0000-0000169A0000}"/>
    <cellStyle name="Porcentagem 4 11 3 3" xfId="39786" xr:uid="{00000000-0005-0000-0000-0000179A0000}"/>
    <cellStyle name="Porcentagem 4 11 3 4" xfId="39787" xr:uid="{00000000-0005-0000-0000-0000189A0000}"/>
    <cellStyle name="Porcentagem 4 11 4" xfId="39788" xr:uid="{00000000-0005-0000-0000-0000199A0000}"/>
    <cellStyle name="Porcentagem 4 11 5" xfId="39789" xr:uid="{00000000-0005-0000-0000-00001A9A0000}"/>
    <cellStyle name="Porcentagem 4 11 6" xfId="39790" xr:uid="{00000000-0005-0000-0000-00001B9A0000}"/>
    <cellStyle name="Porcentagem 4 12" xfId="39791" xr:uid="{00000000-0005-0000-0000-00001C9A0000}"/>
    <cellStyle name="Porcentagem 4 12 2" xfId="39792" xr:uid="{00000000-0005-0000-0000-00001D9A0000}"/>
    <cellStyle name="Porcentagem 4 12 2 2" xfId="39793" xr:uid="{00000000-0005-0000-0000-00001E9A0000}"/>
    <cellStyle name="Porcentagem 4 12 2 3" xfId="39794" xr:uid="{00000000-0005-0000-0000-00001F9A0000}"/>
    <cellStyle name="Porcentagem 4 12 2 4" xfId="39795" xr:uid="{00000000-0005-0000-0000-0000209A0000}"/>
    <cellStyle name="Porcentagem 4 12 3" xfId="39796" xr:uid="{00000000-0005-0000-0000-0000219A0000}"/>
    <cellStyle name="Porcentagem 4 12 3 2" xfId="39797" xr:uid="{00000000-0005-0000-0000-0000229A0000}"/>
    <cellStyle name="Porcentagem 4 12 3 3" xfId="39798" xr:uid="{00000000-0005-0000-0000-0000239A0000}"/>
    <cellStyle name="Porcentagem 4 12 3 4" xfId="39799" xr:uid="{00000000-0005-0000-0000-0000249A0000}"/>
    <cellStyle name="Porcentagem 4 12 4" xfId="39800" xr:uid="{00000000-0005-0000-0000-0000259A0000}"/>
    <cellStyle name="Porcentagem 4 12 5" xfId="39801" xr:uid="{00000000-0005-0000-0000-0000269A0000}"/>
    <cellStyle name="Porcentagem 4 12 6" xfId="39802" xr:uid="{00000000-0005-0000-0000-0000279A0000}"/>
    <cellStyle name="Porcentagem 4 13" xfId="39803" xr:uid="{00000000-0005-0000-0000-0000289A0000}"/>
    <cellStyle name="Porcentagem 4 13 2" xfId="39804" xr:uid="{00000000-0005-0000-0000-0000299A0000}"/>
    <cellStyle name="Porcentagem 4 13 2 2" xfId="39805" xr:uid="{00000000-0005-0000-0000-00002A9A0000}"/>
    <cellStyle name="Porcentagem 4 13 2 3" xfId="39806" xr:uid="{00000000-0005-0000-0000-00002B9A0000}"/>
    <cellStyle name="Porcentagem 4 13 2 4" xfId="39807" xr:uid="{00000000-0005-0000-0000-00002C9A0000}"/>
    <cellStyle name="Porcentagem 4 13 3" xfId="39808" xr:uid="{00000000-0005-0000-0000-00002D9A0000}"/>
    <cellStyle name="Porcentagem 4 13 3 2" xfId="39809" xr:uid="{00000000-0005-0000-0000-00002E9A0000}"/>
    <cellStyle name="Porcentagem 4 13 3 3" xfId="39810" xr:uid="{00000000-0005-0000-0000-00002F9A0000}"/>
    <cellStyle name="Porcentagem 4 13 3 4" xfId="39811" xr:uid="{00000000-0005-0000-0000-0000309A0000}"/>
    <cellStyle name="Porcentagem 4 13 4" xfId="39812" xr:uid="{00000000-0005-0000-0000-0000319A0000}"/>
    <cellStyle name="Porcentagem 4 13 5" xfId="39813" xr:uid="{00000000-0005-0000-0000-0000329A0000}"/>
    <cellStyle name="Porcentagem 4 13 6" xfId="39814" xr:uid="{00000000-0005-0000-0000-0000339A0000}"/>
    <cellStyle name="Porcentagem 4 14" xfId="39815" xr:uid="{00000000-0005-0000-0000-0000349A0000}"/>
    <cellStyle name="Porcentagem 4 14 2" xfId="39816" xr:uid="{00000000-0005-0000-0000-0000359A0000}"/>
    <cellStyle name="Porcentagem 4 14 2 2" xfId="39817" xr:uid="{00000000-0005-0000-0000-0000369A0000}"/>
    <cellStyle name="Porcentagem 4 14 2 3" xfId="39818" xr:uid="{00000000-0005-0000-0000-0000379A0000}"/>
    <cellStyle name="Porcentagem 4 14 2 4" xfId="39819" xr:uid="{00000000-0005-0000-0000-0000389A0000}"/>
    <cellStyle name="Porcentagem 4 14 3" xfId="39820" xr:uid="{00000000-0005-0000-0000-0000399A0000}"/>
    <cellStyle name="Porcentagem 4 14 3 2" xfId="39821" xr:uid="{00000000-0005-0000-0000-00003A9A0000}"/>
    <cellStyle name="Porcentagem 4 14 3 3" xfId="39822" xr:uid="{00000000-0005-0000-0000-00003B9A0000}"/>
    <cellStyle name="Porcentagem 4 14 3 4" xfId="39823" xr:uid="{00000000-0005-0000-0000-00003C9A0000}"/>
    <cellStyle name="Porcentagem 4 14 4" xfId="39824" xr:uid="{00000000-0005-0000-0000-00003D9A0000}"/>
    <cellStyle name="Porcentagem 4 14 5" xfId="39825" xr:uid="{00000000-0005-0000-0000-00003E9A0000}"/>
    <cellStyle name="Porcentagem 4 14 6" xfId="39826" xr:uid="{00000000-0005-0000-0000-00003F9A0000}"/>
    <cellStyle name="Porcentagem 4 15" xfId="39827" xr:uid="{00000000-0005-0000-0000-0000409A0000}"/>
    <cellStyle name="Porcentagem 4 15 2" xfId="39828" xr:uid="{00000000-0005-0000-0000-0000419A0000}"/>
    <cellStyle name="Porcentagem 4 15 2 2" xfId="39829" xr:uid="{00000000-0005-0000-0000-0000429A0000}"/>
    <cellStyle name="Porcentagem 4 15 2 3" xfId="39830" xr:uid="{00000000-0005-0000-0000-0000439A0000}"/>
    <cellStyle name="Porcentagem 4 15 2 4" xfId="39831" xr:uid="{00000000-0005-0000-0000-0000449A0000}"/>
    <cellStyle name="Porcentagem 4 15 3" xfId="39832" xr:uid="{00000000-0005-0000-0000-0000459A0000}"/>
    <cellStyle name="Porcentagem 4 15 3 2" xfId="39833" xr:uid="{00000000-0005-0000-0000-0000469A0000}"/>
    <cellStyle name="Porcentagem 4 15 3 3" xfId="39834" xr:uid="{00000000-0005-0000-0000-0000479A0000}"/>
    <cellStyle name="Porcentagem 4 15 3 4" xfId="39835" xr:uid="{00000000-0005-0000-0000-0000489A0000}"/>
    <cellStyle name="Porcentagem 4 15 4" xfId="39836" xr:uid="{00000000-0005-0000-0000-0000499A0000}"/>
    <cellStyle name="Porcentagem 4 15 5" xfId="39837" xr:uid="{00000000-0005-0000-0000-00004A9A0000}"/>
    <cellStyle name="Porcentagem 4 15 6" xfId="39838" xr:uid="{00000000-0005-0000-0000-00004B9A0000}"/>
    <cellStyle name="Porcentagem 4 16" xfId="39839" xr:uid="{00000000-0005-0000-0000-00004C9A0000}"/>
    <cellStyle name="Porcentagem 4 16 2" xfId="39840" xr:uid="{00000000-0005-0000-0000-00004D9A0000}"/>
    <cellStyle name="Porcentagem 4 16 2 2" xfId="39841" xr:uid="{00000000-0005-0000-0000-00004E9A0000}"/>
    <cellStyle name="Porcentagem 4 16 2 3" xfId="39842" xr:uid="{00000000-0005-0000-0000-00004F9A0000}"/>
    <cellStyle name="Porcentagem 4 16 2 4" xfId="39843" xr:uid="{00000000-0005-0000-0000-0000509A0000}"/>
    <cellStyle name="Porcentagem 4 16 3" xfId="39844" xr:uid="{00000000-0005-0000-0000-0000519A0000}"/>
    <cellStyle name="Porcentagem 4 16 3 2" xfId="39845" xr:uid="{00000000-0005-0000-0000-0000529A0000}"/>
    <cellStyle name="Porcentagem 4 16 3 3" xfId="39846" xr:uid="{00000000-0005-0000-0000-0000539A0000}"/>
    <cellStyle name="Porcentagem 4 16 3 4" xfId="39847" xr:uid="{00000000-0005-0000-0000-0000549A0000}"/>
    <cellStyle name="Porcentagem 4 16 4" xfId="39848" xr:uid="{00000000-0005-0000-0000-0000559A0000}"/>
    <cellStyle name="Porcentagem 4 16 5" xfId="39849" xr:uid="{00000000-0005-0000-0000-0000569A0000}"/>
    <cellStyle name="Porcentagem 4 16 6" xfId="39850" xr:uid="{00000000-0005-0000-0000-0000579A0000}"/>
    <cellStyle name="Porcentagem 4 17" xfId="39851" xr:uid="{00000000-0005-0000-0000-0000589A0000}"/>
    <cellStyle name="Porcentagem 4 17 2" xfId="39852" xr:uid="{00000000-0005-0000-0000-0000599A0000}"/>
    <cellStyle name="Porcentagem 4 17 2 2" xfId="39853" xr:uid="{00000000-0005-0000-0000-00005A9A0000}"/>
    <cellStyle name="Porcentagem 4 17 2 3" xfId="39854" xr:uid="{00000000-0005-0000-0000-00005B9A0000}"/>
    <cellStyle name="Porcentagem 4 17 2 4" xfId="39855" xr:uid="{00000000-0005-0000-0000-00005C9A0000}"/>
    <cellStyle name="Porcentagem 4 17 3" xfId="39856" xr:uid="{00000000-0005-0000-0000-00005D9A0000}"/>
    <cellStyle name="Porcentagem 4 17 3 2" xfId="39857" xr:uid="{00000000-0005-0000-0000-00005E9A0000}"/>
    <cellStyle name="Porcentagem 4 17 3 3" xfId="39858" xr:uid="{00000000-0005-0000-0000-00005F9A0000}"/>
    <cellStyle name="Porcentagem 4 17 3 4" xfId="39859" xr:uid="{00000000-0005-0000-0000-0000609A0000}"/>
    <cellStyle name="Porcentagem 4 17 4" xfId="39860" xr:uid="{00000000-0005-0000-0000-0000619A0000}"/>
    <cellStyle name="Porcentagem 4 17 5" xfId="39861" xr:uid="{00000000-0005-0000-0000-0000629A0000}"/>
    <cellStyle name="Porcentagem 4 17 6" xfId="39862" xr:uid="{00000000-0005-0000-0000-0000639A0000}"/>
    <cellStyle name="Porcentagem 4 18" xfId="39863" xr:uid="{00000000-0005-0000-0000-0000649A0000}"/>
    <cellStyle name="Porcentagem 4 18 2" xfId="39864" xr:uid="{00000000-0005-0000-0000-0000659A0000}"/>
    <cellStyle name="Porcentagem 4 18 2 2" xfId="39865" xr:uid="{00000000-0005-0000-0000-0000669A0000}"/>
    <cellStyle name="Porcentagem 4 18 2 3" xfId="39866" xr:uid="{00000000-0005-0000-0000-0000679A0000}"/>
    <cellStyle name="Porcentagem 4 18 2 4" xfId="39867" xr:uid="{00000000-0005-0000-0000-0000689A0000}"/>
    <cellStyle name="Porcentagem 4 18 3" xfId="39868" xr:uid="{00000000-0005-0000-0000-0000699A0000}"/>
    <cellStyle name="Porcentagem 4 18 3 2" xfId="39869" xr:uid="{00000000-0005-0000-0000-00006A9A0000}"/>
    <cellStyle name="Porcentagem 4 18 3 3" xfId="39870" xr:uid="{00000000-0005-0000-0000-00006B9A0000}"/>
    <cellStyle name="Porcentagem 4 18 3 4" xfId="39871" xr:uid="{00000000-0005-0000-0000-00006C9A0000}"/>
    <cellStyle name="Porcentagem 4 18 4" xfId="39872" xr:uid="{00000000-0005-0000-0000-00006D9A0000}"/>
    <cellStyle name="Porcentagem 4 18 5" xfId="39873" xr:uid="{00000000-0005-0000-0000-00006E9A0000}"/>
    <cellStyle name="Porcentagem 4 18 6" xfId="39874" xr:uid="{00000000-0005-0000-0000-00006F9A0000}"/>
    <cellStyle name="Porcentagem 4 19" xfId="39875" xr:uid="{00000000-0005-0000-0000-0000709A0000}"/>
    <cellStyle name="Porcentagem 4 19 2" xfId="39876" xr:uid="{00000000-0005-0000-0000-0000719A0000}"/>
    <cellStyle name="Porcentagem 4 19 2 2" xfId="39877" xr:uid="{00000000-0005-0000-0000-0000729A0000}"/>
    <cellStyle name="Porcentagem 4 19 2 3" xfId="39878" xr:uid="{00000000-0005-0000-0000-0000739A0000}"/>
    <cellStyle name="Porcentagem 4 19 2 4" xfId="39879" xr:uid="{00000000-0005-0000-0000-0000749A0000}"/>
    <cellStyle name="Porcentagem 4 19 3" xfId="39880" xr:uid="{00000000-0005-0000-0000-0000759A0000}"/>
    <cellStyle name="Porcentagem 4 19 3 2" xfId="39881" xr:uid="{00000000-0005-0000-0000-0000769A0000}"/>
    <cellStyle name="Porcentagem 4 19 3 3" xfId="39882" xr:uid="{00000000-0005-0000-0000-0000779A0000}"/>
    <cellStyle name="Porcentagem 4 19 3 4" xfId="39883" xr:uid="{00000000-0005-0000-0000-0000789A0000}"/>
    <cellStyle name="Porcentagem 4 19 4" xfId="39884" xr:uid="{00000000-0005-0000-0000-0000799A0000}"/>
    <cellStyle name="Porcentagem 4 19 5" xfId="39885" xr:uid="{00000000-0005-0000-0000-00007A9A0000}"/>
    <cellStyle name="Porcentagem 4 19 6" xfId="39886" xr:uid="{00000000-0005-0000-0000-00007B9A0000}"/>
    <cellStyle name="Porcentagem 4 2" xfId="1108" xr:uid="{00000000-0005-0000-0000-00007C9A0000}"/>
    <cellStyle name="Porcentagem 4 2 10" xfId="39887" xr:uid="{00000000-0005-0000-0000-00007D9A0000}"/>
    <cellStyle name="Porcentagem 4 2 10 2" xfId="39888" xr:uid="{00000000-0005-0000-0000-00007E9A0000}"/>
    <cellStyle name="Porcentagem 4 2 10 2 2" xfId="39889" xr:uid="{00000000-0005-0000-0000-00007F9A0000}"/>
    <cellStyle name="Porcentagem 4 2 10 2 3" xfId="39890" xr:uid="{00000000-0005-0000-0000-0000809A0000}"/>
    <cellStyle name="Porcentagem 4 2 10 2 4" xfId="39891" xr:uid="{00000000-0005-0000-0000-0000819A0000}"/>
    <cellStyle name="Porcentagem 4 2 10 3" xfId="39892" xr:uid="{00000000-0005-0000-0000-0000829A0000}"/>
    <cellStyle name="Porcentagem 4 2 10 3 2" xfId="39893" xr:uid="{00000000-0005-0000-0000-0000839A0000}"/>
    <cellStyle name="Porcentagem 4 2 10 3 3" xfId="39894" xr:uid="{00000000-0005-0000-0000-0000849A0000}"/>
    <cellStyle name="Porcentagem 4 2 10 3 4" xfId="39895" xr:uid="{00000000-0005-0000-0000-0000859A0000}"/>
    <cellStyle name="Porcentagem 4 2 10 4" xfId="39896" xr:uid="{00000000-0005-0000-0000-0000869A0000}"/>
    <cellStyle name="Porcentagem 4 2 10 5" xfId="39897" xr:uid="{00000000-0005-0000-0000-0000879A0000}"/>
    <cellStyle name="Porcentagem 4 2 10 6" xfId="39898" xr:uid="{00000000-0005-0000-0000-0000889A0000}"/>
    <cellStyle name="Porcentagem 4 2 11" xfId="39899" xr:uid="{00000000-0005-0000-0000-0000899A0000}"/>
    <cellStyle name="Porcentagem 4 2 11 2" xfId="39900" xr:uid="{00000000-0005-0000-0000-00008A9A0000}"/>
    <cellStyle name="Porcentagem 4 2 11 2 2" xfId="39901" xr:uid="{00000000-0005-0000-0000-00008B9A0000}"/>
    <cellStyle name="Porcentagem 4 2 11 2 3" xfId="39902" xr:uid="{00000000-0005-0000-0000-00008C9A0000}"/>
    <cellStyle name="Porcentagem 4 2 11 2 4" xfId="39903" xr:uid="{00000000-0005-0000-0000-00008D9A0000}"/>
    <cellStyle name="Porcentagem 4 2 11 3" xfId="39904" xr:uid="{00000000-0005-0000-0000-00008E9A0000}"/>
    <cellStyle name="Porcentagem 4 2 11 3 2" xfId="39905" xr:uid="{00000000-0005-0000-0000-00008F9A0000}"/>
    <cellStyle name="Porcentagem 4 2 11 3 3" xfId="39906" xr:uid="{00000000-0005-0000-0000-0000909A0000}"/>
    <cellStyle name="Porcentagem 4 2 11 3 4" xfId="39907" xr:uid="{00000000-0005-0000-0000-0000919A0000}"/>
    <cellStyle name="Porcentagem 4 2 11 4" xfId="39908" xr:uid="{00000000-0005-0000-0000-0000929A0000}"/>
    <cellStyle name="Porcentagem 4 2 11 5" xfId="39909" xr:uid="{00000000-0005-0000-0000-0000939A0000}"/>
    <cellStyle name="Porcentagem 4 2 11 6" xfId="39910" xr:uid="{00000000-0005-0000-0000-0000949A0000}"/>
    <cellStyle name="Porcentagem 4 2 12" xfId="39911" xr:uid="{00000000-0005-0000-0000-0000959A0000}"/>
    <cellStyle name="Porcentagem 4 2 12 2" xfId="39912" xr:uid="{00000000-0005-0000-0000-0000969A0000}"/>
    <cellStyle name="Porcentagem 4 2 12 2 2" xfId="39913" xr:uid="{00000000-0005-0000-0000-0000979A0000}"/>
    <cellStyle name="Porcentagem 4 2 12 2 3" xfId="39914" xr:uid="{00000000-0005-0000-0000-0000989A0000}"/>
    <cellStyle name="Porcentagem 4 2 12 2 4" xfId="39915" xr:uid="{00000000-0005-0000-0000-0000999A0000}"/>
    <cellStyle name="Porcentagem 4 2 12 3" xfId="39916" xr:uid="{00000000-0005-0000-0000-00009A9A0000}"/>
    <cellStyle name="Porcentagem 4 2 12 3 2" xfId="39917" xr:uid="{00000000-0005-0000-0000-00009B9A0000}"/>
    <cellStyle name="Porcentagem 4 2 12 3 3" xfId="39918" xr:uid="{00000000-0005-0000-0000-00009C9A0000}"/>
    <cellStyle name="Porcentagem 4 2 12 3 4" xfId="39919" xr:uid="{00000000-0005-0000-0000-00009D9A0000}"/>
    <cellStyle name="Porcentagem 4 2 12 4" xfId="39920" xr:uid="{00000000-0005-0000-0000-00009E9A0000}"/>
    <cellStyle name="Porcentagem 4 2 12 5" xfId="39921" xr:uid="{00000000-0005-0000-0000-00009F9A0000}"/>
    <cellStyle name="Porcentagem 4 2 12 6" xfId="39922" xr:uid="{00000000-0005-0000-0000-0000A09A0000}"/>
    <cellStyle name="Porcentagem 4 2 13" xfId="39923" xr:uid="{00000000-0005-0000-0000-0000A19A0000}"/>
    <cellStyle name="Porcentagem 4 2 13 2" xfId="39924" xr:uid="{00000000-0005-0000-0000-0000A29A0000}"/>
    <cellStyle name="Porcentagem 4 2 13 2 2" xfId="39925" xr:uid="{00000000-0005-0000-0000-0000A39A0000}"/>
    <cellStyle name="Porcentagem 4 2 13 2 3" xfId="39926" xr:uid="{00000000-0005-0000-0000-0000A49A0000}"/>
    <cellStyle name="Porcentagem 4 2 13 2 4" xfId="39927" xr:uid="{00000000-0005-0000-0000-0000A59A0000}"/>
    <cellStyle name="Porcentagem 4 2 13 3" xfId="39928" xr:uid="{00000000-0005-0000-0000-0000A69A0000}"/>
    <cellStyle name="Porcentagem 4 2 13 3 2" xfId="39929" xr:uid="{00000000-0005-0000-0000-0000A79A0000}"/>
    <cellStyle name="Porcentagem 4 2 13 3 3" xfId="39930" xr:uid="{00000000-0005-0000-0000-0000A89A0000}"/>
    <cellStyle name="Porcentagem 4 2 13 3 4" xfId="39931" xr:uid="{00000000-0005-0000-0000-0000A99A0000}"/>
    <cellStyle name="Porcentagem 4 2 13 4" xfId="39932" xr:uid="{00000000-0005-0000-0000-0000AA9A0000}"/>
    <cellStyle name="Porcentagem 4 2 13 5" xfId="39933" xr:uid="{00000000-0005-0000-0000-0000AB9A0000}"/>
    <cellStyle name="Porcentagem 4 2 13 6" xfId="39934" xr:uid="{00000000-0005-0000-0000-0000AC9A0000}"/>
    <cellStyle name="Porcentagem 4 2 14" xfId="39935" xr:uid="{00000000-0005-0000-0000-0000AD9A0000}"/>
    <cellStyle name="Porcentagem 4 2 14 2" xfId="39936" xr:uid="{00000000-0005-0000-0000-0000AE9A0000}"/>
    <cellStyle name="Porcentagem 4 2 14 2 2" xfId="39937" xr:uid="{00000000-0005-0000-0000-0000AF9A0000}"/>
    <cellStyle name="Porcentagem 4 2 14 2 3" xfId="39938" xr:uid="{00000000-0005-0000-0000-0000B09A0000}"/>
    <cellStyle name="Porcentagem 4 2 14 2 4" xfId="39939" xr:uid="{00000000-0005-0000-0000-0000B19A0000}"/>
    <cellStyle name="Porcentagem 4 2 14 3" xfId="39940" xr:uid="{00000000-0005-0000-0000-0000B29A0000}"/>
    <cellStyle name="Porcentagem 4 2 14 3 2" xfId="39941" xr:uid="{00000000-0005-0000-0000-0000B39A0000}"/>
    <cellStyle name="Porcentagem 4 2 14 3 3" xfId="39942" xr:uid="{00000000-0005-0000-0000-0000B49A0000}"/>
    <cellStyle name="Porcentagem 4 2 14 3 4" xfId="39943" xr:uid="{00000000-0005-0000-0000-0000B59A0000}"/>
    <cellStyle name="Porcentagem 4 2 14 4" xfId="39944" xr:uid="{00000000-0005-0000-0000-0000B69A0000}"/>
    <cellStyle name="Porcentagem 4 2 14 5" xfId="39945" xr:uid="{00000000-0005-0000-0000-0000B79A0000}"/>
    <cellStyle name="Porcentagem 4 2 14 6" xfId="39946" xr:uid="{00000000-0005-0000-0000-0000B89A0000}"/>
    <cellStyle name="Porcentagem 4 2 15" xfId="39947" xr:uid="{00000000-0005-0000-0000-0000B99A0000}"/>
    <cellStyle name="Porcentagem 4 2 15 2" xfId="39948" xr:uid="{00000000-0005-0000-0000-0000BA9A0000}"/>
    <cellStyle name="Porcentagem 4 2 15 2 2" xfId="39949" xr:uid="{00000000-0005-0000-0000-0000BB9A0000}"/>
    <cellStyle name="Porcentagem 4 2 15 2 3" xfId="39950" xr:uid="{00000000-0005-0000-0000-0000BC9A0000}"/>
    <cellStyle name="Porcentagem 4 2 15 2 4" xfId="39951" xr:uid="{00000000-0005-0000-0000-0000BD9A0000}"/>
    <cellStyle name="Porcentagem 4 2 15 3" xfId="39952" xr:uid="{00000000-0005-0000-0000-0000BE9A0000}"/>
    <cellStyle name="Porcentagem 4 2 15 3 2" xfId="39953" xr:uid="{00000000-0005-0000-0000-0000BF9A0000}"/>
    <cellStyle name="Porcentagem 4 2 15 3 3" xfId="39954" xr:uid="{00000000-0005-0000-0000-0000C09A0000}"/>
    <cellStyle name="Porcentagem 4 2 15 3 4" xfId="39955" xr:uid="{00000000-0005-0000-0000-0000C19A0000}"/>
    <cellStyle name="Porcentagem 4 2 15 4" xfId="39956" xr:uid="{00000000-0005-0000-0000-0000C29A0000}"/>
    <cellStyle name="Porcentagem 4 2 15 5" xfId="39957" xr:uid="{00000000-0005-0000-0000-0000C39A0000}"/>
    <cellStyle name="Porcentagem 4 2 15 6" xfId="39958" xr:uid="{00000000-0005-0000-0000-0000C49A0000}"/>
    <cellStyle name="Porcentagem 4 2 16" xfId="39959" xr:uid="{00000000-0005-0000-0000-0000C59A0000}"/>
    <cellStyle name="Porcentagem 4 2 16 2" xfId="39960" xr:uid="{00000000-0005-0000-0000-0000C69A0000}"/>
    <cellStyle name="Porcentagem 4 2 16 2 2" xfId="39961" xr:uid="{00000000-0005-0000-0000-0000C79A0000}"/>
    <cellStyle name="Porcentagem 4 2 16 2 3" xfId="39962" xr:uid="{00000000-0005-0000-0000-0000C89A0000}"/>
    <cellStyle name="Porcentagem 4 2 16 2 4" xfId="39963" xr:uid="{00000000-0005-0000-0000-0000C99A0000}"/>
    <cellStyle name="Porcentagem 4 2 16 3" xfId="39964" xr:uid="{00000000-0005-0000-0000-0000CA9A0000}"/>
    <cellStyle name="Porcentagem 4 2 16 3 2" xfId="39965" xr:uid="{00000000-0005-0000-0000-0000CB9A0000}"/>
    <cellStyle name="Porcentagem 4 2 16 3 3" xfId="39966" xr:uid="{00000000-0005-0000-0000-0000CC9A0000}"/>
    <cellStyle name="Porcentagem 4 2 16 3 4" xfId="39967" xr:uid="{00000000-0005-0000-0000-0000CD9A0000}"/>
    <cellStyle name="Porcentagem 4 2 16 4" xfId="39968" xr:uid="{00000000-0005-0000-0000-0000CE9A0000}"/>
    <cellStyle name="Porcentagem 4 2 16 5" xfId="39969" xr:uid="{00000000-0005-0000-0000-0000CF9A0000}"/>
    <cellStyle name="Porcentagem 4 2 16 6" xfId="39970" xr:uid="{00000000-0005-0000-0000-0000D09A0000}"/>
    <cellStyle name="Porcentagem 4 2 17" xfId="39971" xr:uid="{00000000-0005-0000-0000-0000D19A0000}"/>
    <cellStyle name="Porcentagem 4 2 17 2" xfId="39972" xr:uid="{00000000-0005-0000-0000-0000D29A0000}"/>
    <cellStyle name="Porcentagem 4 2 17 2 2" xfId="39973" xr:uid="{00000000-0005-0000-0000-0000D39A0000}"/>
    <cellStyle name="Porcentagem 4 2 17 2 3" xfId="39974" xr:uid="{00000000-0005-0000-0000-0000D49A0000}"/>
    <cellStyle name="Porcentagem 4 2 17 2 4" xfId="39975" xr:uid="{00000000-0005-0000-0000-0000D59A0000}"/>
    <cellStyle name="Porcentagem 4 2 17 3" xfId="39976" xr:uid="{00000000-0005-0000-0000-0000D69A0000}"/>
    <cellStyle name="Porcentagem 4 2 17 3 2" xfId="39977" xr:uid="{00000000-0005-0000-0000-0000D79A0000}"/>
    <cellStyle name="Porcentagem 4 2 17 3 3" xfId="39978" xr:uid="{00000000-0005-0000-0000-0000D89A0000}"/>
    <cellStyle name="Porcentagem 4 2 17 3 4" xfId="39979" xr:uid="{00000000-0005-0000-0000-0000D99A0000}"/>
    <cellStyle name="Porcentagem 4 2 17 4" xfId="39980" xr:uid="{00000000-0005-0000-0000-0000DA9A0000}"/>
    <cellStyle name="Porcentagem 4 2 17 5" xfId="39981" xr:uid="{00000000-0005-0000-0000-0000DB9A0000}"/>
    <cellStyle name="Porcentagem 4 2 17 6" xfId="39982" xr:uid="{00000000-0005-0000-0000-0000DC9A0000}"/>
    <cellStyle name="Porcentagem 4 2 18" xfId="39983" xr:uid="{00000000-0005-0000-0000-0000DD9A0000}"/>
    <cellStyle name="Porcentagem 4 2 18 2" xfId="39984" xr:uid="{00000000-0005-0000-0000-0000DE9A0000}"/>
    <cellStyle name="Porcentagem 4 2 18 3" xfId="39985" xr:uid="{00000000-0005-0000-0000-0000DF9A0000}"/>
    <cellStyle name="Porcentagem 4 2 18 4" xfId="39986" xr:uid="{00000000-0005-0000-0000-0000E09A0000}"/>
    <cellStyle name="Porcentagem 4 2 19" xfId="39987" xr:uid="{00000000-0005-0000-0000-0000E19A0000}"/>
    <cellStyle name="Porcentagem 4 2 19 2" xfId="39988" xr:uid="{00000000-0005-0000-0000-0000E29A0000}"/>
    <cellStyle name="Porcentagem 4 2 19 3" xfId="39989" xr:uid="{00000000-0005-0000-0000-0000E39A0000}"/>
    <cellStyle name="Porcentagem 4 2 19 4" xfId="39990" xr:uid="{00000000-0005-0000-0000-0000E49A0000}"/>
    <cellStyle name="Porcentagem 4 2 2" xfId="39991" xr:uid="{00000000-0005-0000-0000-0000E59A0000}"/>
    <cellStyle name="Porcentagem 4 2 2 2" xfId="39992" xr:uid="{00000000-0005-0000-0000-0000E69A0000}"/>
    <cellStyle name="Porcentagem 4 2 2 2 2" xfId="39993" xr:uid="{00000000-0005-0000-0000-0000E79A0000}"/>
    <cellStyle name="Porcentagem 4 2 2 2 3" xfId="39994" xr:uid="{00000000-0005-0000-0000-0000E89A0000}"/>
    <cellStyle name="Porcentagem 4 2 2 2 4" xfId="39995" xr:uid="{00000000-0005-0000-0000-0000E99A0000}"/>
    <cellStyle name="Porcentagem 4 2 2 3" xfId="39996" xr:uid="{00000000-0005-0000-0000-0000EA9A0000}"/>
    <cellStyle name="Porcentagem 4 2 2 3 2" xfId="39997" xr:uid="{00000000-0005-0000-0000-0000EB9A0000}"/>
    <cellStyle name="Porcentagem 4 2 2 3 3" xfId="39998" xr:uid="{00000000-0005-0000-0000-0000EC9A0000}"/>
    <cellStyle name="Porcentagem 4 2 2 3 4" xfId="39999" xr:uid="{00000000-0005-0000-0000-0000ED9A0000}"/>
    <cellStyle name="Porcentagem 4 2 2 4" xfId="40000" xr:uid="{00000000-0005-0000-0000-0000EE9A0000}"/>
    <cellStyle name="Porcentagem 4 2 2 5" xfId="40001" xr:uid="{00000000-0005-0000-0000-0000EF9A0000}"/>
    <cellStyle name="Porcentagem 4 2 2 6" xfId="40002" xr:uid="{00000000-0005-0000-0000-0000F09A0000}"/>
    <cellStyle name="Porcentagem 4 2 20" xfId="40003" xr:uid="{00000000-0005-0000-0000-0000F19A0000}"/>
    <cellStyle name="Porcentagem 4 2 20 2" xfId="40004" xr:uid="{00000000-0005-0000-0000-0000F29A0000}"/>
    <cellStyle name="Porcentagem 4 2 20 3" xfId="40005" xr:uid="{00000000-0005-0000-0000-0000F39A0000}"/>
    <cellStyle name="Porcentagem 4 2 20 4" xfId="40006" xr:uid="{00000000-0005-0000-0000-0000F49A0000}"/>
    <cellStyle name="Porcentagem 4 2 21" xfId="40007" xr:uid="{00000000-0005-0000-0000-0000F59A0000}"/>
    <cellStyle name="Porcentagem 4 2 22" xfId="40008" xr:uid="{00000000-0005-0000-0000-0000F69A0000}"/>
    <cellStyle name="Porcentagem 4 2 23" xfId="40009" xr:uid="{00000000-0005-0000-0000-0000F79A0000}"/>
    <cellStyle name="Porcentagem 4 2 3" xfId="40010" xr:uid="{00000000-0005-0000-0000-0000F89A0000}"/>
    <cellStyle name="Porcentagem 4 2 3 2" xfId="40011" xr:uid="{00000000-0005-0000-0000-0000F99A0000}"/>
    <cellStyle name="Porcentagem 4 2 3 2 2" xfId="40012" xr:uid="{00000000-0005-0000-0000-0000FA9A0000}"/>
    <cellStyle name="Porcentagem 4 2 3 2 3" xfId="40013" xr:uid="{00000000-0005-0000-0000-0000FB9A0000}"/>
    <cellStyle name="Porcentagem 4 2 3 2 4" xfId="40014" xr:uid="{00000000-0005-0000-0000-0000FC9A0000}"/>
    <cellStyle name="Porcentagem 4 2 3 3" xfId="40015" xr:uid="{00000000-0005-0000-0000-0000FD9A0000}"/>
    <cellStyle name="Porcentagem 4 2 3 3 2" xfId="40016" xr:uid="{00000000-0005-0000-0000-0000FE9A0000}"/>
    <cellStyle name="Porcentagem 4 2 3 3 3" xfId="40017" xr:uid="{00000000-0005-0000-0000-0000FF9A0000}"/>
    <cellStyle name="Porcentagem 4 2 3 3 4" xfId="40018" xr:uid="{00000000-0005-0000-0000-0000009B0000}"/>
    <cellStyle name="Porcentagem 4 2 3 4" xfId="40019" xr:uid="{00000000-0005-0000-0000-0000019B0000}"/>
    <cellStyle name="Porcentagem 4 2 3 5" xfId="40020" xr:uid="{00000000-0005-0000-0000-0000029B0000}"/>
    <cellStyle name="Porcentagem 4 2 3 6" xfId="40021" xr:uid="{00000000-0005-0000-0000-0000039B0000}"/>
    <cellStyle name="Porcentagem 4 2 4" xfId="40022" xr:uid="{00000000-0005-0000-0000-0000049B0000}"/>
    <cellStyle name="Porcentagem 4 2 4 2" xfId="40023" xr:uid="{00000000-0005-0000-0000-0000059B0000}"/>
    <cellStyle name="Porcentagem 4 2 4 2 2" xfId="40024" xr:uid="{00000000-0005-0000-0000-0000069B0000}"/>
    <cellStyle name="Porcentagem 4 2 4 2 3" xfId="40025" xr:uid="{00000000-0005-0000-0000-0000079B0000}"/>
    <cellStyle name="Porcentagem 4 2 4 2 4" xfId="40026" xr:uid="{00000000-0005-0000-0000-0000089B0000}"/>
    <cellStyle name="Porcentagem 4 2 4 3" xfId="40027" xr:uid="{00000000-0005-0000-0000-0000099B0000}"/>
    <cellStyle name="Porcentagem 4 2 4 3 2" xfId="40028" xr:uid="{00000000-0005-0000-0000-00000A9B0000}"/>
    <cellStyle name="Porcentagem 4 2 4 3 3" xfId="40029" xr:uid="{00000000-0005-0000-0000-00000B9B0000}"/>
    <cellStyle name="Porcentagem 4 2 4 3 4" xfId="40030" xr:uid="{00000000-0005-0000-0000-00000C9B0000}"/>
    <cellStyle name="Porcentagem 4 2 4 4" xfId="40031" xr:uid="{00000000-0005-0000-0000-00000D9B0000}"/>
    <cellStyle name="Porcentagem 4 2 4 5" xfId="40032" xr:uid="{00000000-0005-0000-0000-00000E9B0000}"/>
    <cellStyle name="Porcentagem 4 2 4 6" xfId="40033" xr:uid="{00000000-0005-0000-0000-00000F9B0000}"/>
    <cellStyle name="Porcentagem 4 2 5" xfId="40034" xr:uid="{00000000-0005-0000-0000-0000109B0000}"/>
    <cellStyle name="Porcentagem 4 2 5 2" xfId="40035" xr:uid="{00000000-0005-0000-0000-0000119B0000}"/>
    <cellStyle name="Porcentagem 4 2 5 2 2" xfId="40036" xr:uid="{00000000-0005-0000-0000-0000129B0000}"/>
    <cellStyle name="Porcentagem 4 2 5 2 3" xfId="40037" xr:uid="{00000000-0005-0000-0000-0000139B0000}"/>
    <cellStyle name="Porcentagem 4 2 5 2 4" xfId="40038" xr:uid="{00000000-0005-0000-0000-0000149B0000}"/>
    <cellStyle name="Porcentagem 4 2 5 3" xfId="40039" xr:uid="{00000000-0005-0000-0000-0000159B0000}"/>
    <cellStyle name="Porcentagem 4 2 5 3 2" xfId="40040" xr:uid="{00000000-0005-0000-0000-0000169B0000}"/>
    <cellStyle name="Porcentagem 4 2 5 3 3" xfId="40041" xr:uid="{00000000-0005-0000-0000-0000179B0000}"/>
    <cellStyle name="Porcentagem 4 2 5 3 4" xfId="40042" xr:uid="{00000000-0005-0000-0000-0000189B0000}"/>
    <cellStyle name="Porcentagem 4 2 5 4" xfId="40043" xr:uid="{00000000-0005-0000-0000-0000199B0000}"/>
    <cellStyle name="Porcentagem 4 2 5 5" xfId="40044" xr:uid="{00000000-0005-0000-0000-00001A9B0000}"/>
    <cellStyle name="Porcentagem 4 2 5 6" xfId="40045" xr:uid="{00000000-0005-0000-0000-00001B9B0000}"/>
    <cellStyle name="Porcentagem 4 2 6" xfId="40046" xr:uid="{00000000-0005-0000-0000-00001C9B0000}"/>
    <cellStyle name="Porcentagem 4 2 6 2" xfId="40047" xr:uid="{00000000-0005-0000-0000-00001D9B0000}"/>
    <cellStyle name="Porcentagem 4 2 6 2 2" xfId="40048" xr:uid="{00000000-0005-0000-0000-00001E9B0000}"/>
    <cellStyle name="Porcentagem 4 2 6 2 3" xfId="40049" xr:uid="{00000000-0005-0000-0000-00001F9B0000}"/>
    <cellStyle name="Porcentagem 4 2 6 2 4" xfId="40050" xr:uid="{00000000-0005-0000-0000-0000209B0000}"/>
    <cellStyle name="Porcentagem 4 2 6 3" xfId="40051" xr:uid="{00000000-0005-0000-0000-0000219B0000}"/>
    <cellStyle name="Porcentagem 4 2 6 3 2" xfId="40052" xr:uid="{00000000-0005-0000-0000-0000229B0000}"/>
    <cellStyle name="Porcentagem 4 2 6 3 3" xfId="40053" xr:uid="{00000000-0005-0000-0000-0000239B0000}"/>
    <cellStyle name="Porcentagem 4 2 6 3 4" xfId="40054" xr:uid="{00000000-0005-0000-0000-0000249B0000}"/>
    <cellStyle name="Porcentagem 4 2 6 4" xfId="40055" xr:uid="{00000000-0005-0000-0000-0000259B0000}"/>
    <cellStyle name="Porcentagem 4 2 6 5" xfId="40056" xr:uid="{00000000-0005-0000-0000-0000269B0000}"/>
    <cellStyle name="Porcentagem 4 2 6 6" xfId="40057" xr:uid="{00000000-0005-0000-0000-0000279B0000}"/>
    <cellStyle name="Porcentagem 4 2 7" xfId="40058" xr:uid="{00000000-0005-0000-0000-0000289B0000}"/>
    <cellStyle name="Porcentagem 4 2 7 2" xfId="40059" xr:uid="{00000000-0005-0000-0000-0000299B0000}"/>
    <cellStyle name="Porcentagem 4 2 7 2 2" xfId="40060" xr:uid="{00000000-0005-0000-0000-00002A9B0000}"/>
    <cellStyle name="Porcentagem 4 2 7 2 3" xfId="40061" xr:uid="{00000000-0005-0000-0000-00002B9B0000}"/>
    <cellStyle name="Porcentagem 4 2 7 2 4" xfId="40062" xr:uid="{00000000-0005-0000-0000-00002C9B0000}"/>
    <cellStyle name="Porcentagem 4 2 7 3" xfId="40063" xr:uid="{00000000-0005-0000-0000-00002D9B0000}"/>
    <cellStyle name="Porcentagem 4 2 7 3 2" xfId="40064" xr:uid="{00000000-0005-0000-0000-00002E9B0000}"/>
    <cellStyle name="Porcentagem 4 2 7 3 3" xfId="40065" xr:uid="{00000000-0005-0000-0000-00002F9B0000}"/>
    <cellStyle name="Porcentagem 4 2 7 3 4" xfId="40066" xr:uid="{00000000-0005-0000-0000-0000309B0000}"/>
    <cellStyle name="Porcentagem 4 2 7 4" xfId="40067" xr:uid="{00000000-0005-0000-0000-0000319B0000}"/>
    <cellStyle name="Porcentagem 4 2 7 5" xfId="40068" xr:uid="{00000000-0005-0000-0000-0000329B0000}"/>
    <cellStyle name="Porcentagem 4 2 7 6" xfId="40069" xr:uid="{00000000-0005-0000-0000-0000339B0000}"/>
    <cellStyle name="Porcentagem 4 2 8" xfId="40070" xr:uid="{00000000-0005-0000-0000-0000349B0000}"/>
    <cellStyle name="Porcentagem 4 2 8 2" xfId="40071" xr:uid="{00000000-0005-0000-0000-0000359B0000}"/>
    <cellStyle name="Porcentagem 4 2 8 2 2" xfId="40072" xr:uid="{00000000-0005-0000-0000-0000369B0000}"/>
    <cellStyle name="Porcentagem 4 2 8 2 3" xfId="40073" xr:uid="{00000000-0005-0000-0000-0000379B0000}"/>
    <cellStyle name="Porcentagem 4 2 8 2 4" xfId="40074" xr:uid="{00000000-0005-0000-0000-0000389B0000}"/>
    <cellStyle name="Porcentagem 4 2 8 3" xfId="40075" xr:uid="{00000000-0005-0000-0000-0000399B0000}"/>
    <cellStyle name="Porcentagem 4 2 8 3 2" xfId="40076" xr:uid="{00000000-0005-0000-0000-00003A9B0000}"/>
    <cellStyle name="Porcentagem 4 2 8 3 3" xfId="40077" xr:uid="{00000000-0005-0000-0000-00003B9B0000}"/>
    <cellStyle name="Porcentagem 4 2 8 3 4" xfId="40078" xr:uid="{00000000-0005-0000-0000-00003C9B0000}"/>
    <cellStyle name="Porcentagem 4 2 8 4" xfId="40079" xr:uid="{00000000-0005-0000-0000-00003D9B0000}"/>
    <cellStyle name="Porcentagem 4 2 8 5" xfId="40080" xr:uid="{00000000-0005-0000-0000-00003E9B0000}"/>
    <cellStyle name="Porcentagem 4 2 8 6" xfId="40081" xr:uid="{00000000-0005-0000-0000-00003F9B0000}"/>
    <cellStyle name="Porcentagem 4 2 9" xfId="40082" xr:uid="{00000000-0005-0000-0000-0000409B0000}"/>
    <cellStyle name="Porcentagem 4 2 9 2" xfId="40083" xr:uid="{00000000-0005-0000-0000-0000419B0000}"/>
    <cellStyle name="Porcentagem 4 2 9 2 2" xfId="40084" xr:uid="{00000000-0005-0000-0000-0000429B0000}"/>
    <cellStyle name="Porcentagem 4 2 9 2 3" xfId="40085" xr:uid="{00000000-0005-0000-0000-0000439B0000}"/>
    <cellStyle name="Porcentagem 4 2 9 2 4" xfId="40086" xr:uid="{00000000-0005-0000-0000-0000449B0000}"/>
    <cellStyle name="Porcentagem 4 2 9 3" xfId="40087" xr:uid="{00000000-0005-0000-0000-0000459B0000}"/>
    <cellStyle name="Porcentagem 4 2 9 3 2" xfId="40088" xr:uid="{00000000-0005-0000-0000-0000469B0000}"/>
    <cellStyle name="Porcentagem 4 2 9 3 3" xfId="40089" xr:uid="{00000000-0005-0000-0000-0000479B0000}"/>
    <cellStyle name="Porcentagem 4 2 9 3 4" xfId="40090" xr:uid="{00000000-0005-0000-0000-0000489B0000}"/>
    <cellStyle name="Porcentagem 4 2 9 4" xfId="40091" xr:uid="{00000000-0005-0000-0000-0000499B0000}"/>
    <cellStyle name="Porcentagem 4 2 9 5" xfId="40092" xr:uid="{00000000-0005-0000-0000-00004A9B0000}"/>
    <cellStyle name="Porcentagem 4 2 9 6" xfId="40093" xr:uid="{00000000-0005-0000-0000-00004B9B0000}"/>
    <cellStyle name="Porcentagem 4 20" xfId="40094" xr:uid="{00000000-0005-0000-0000-00004C9B0000}"/>
    <cellStyle name="Porcentagem 4 20 2" xfId="40095" xr:uid="{00000000-0005-0000-0000-00004D9B0000}"/>
    <cellStyle name="Porcentagem 4 20 3" xfId="40096" xr:uid="{00000000-0005-0000-0000-00004E9B0000}"/>
    <cellStyle name="Porcentagem 4 20 4" xfId="40097" xr:uid="{00000000-0005-0000-0000-00004F9B0000}"/>
    <cellStyle name="Porcentagem 4 21" xfId="40098" xr:uid="{00000000-0005-0000-0000-0000509B0000}"/>
    <cellStyle name="Porcentagem 4 21 2" xfId="40099" xr:uid="{00000000-0005-0000-0000-0000519B0000}"/>
    <cellStyle name="Porcentagem 4 21 3" xfId="40100" xr:uid="{00000000-0005-0000-0000-0000529B0000}"/>
    <cellStyle name="Porcentagem 4 21 4" xfId="40101" xr:uid="{00000000-0005-0000-0000-0000539B0000}"/>
    <cellStyle name="Porcentagem 4 22" xfId="40102" xr:uid="{00000000-0005-0000-0000-0000549B0000}"/>
    <cellStyle name="Porcentagem 4 22 2" xfId="40103" xr:uid="{00000000-0005-0000-0000-0000559B0000}"/>
    <cellStyle name="Porcentagem 4 22 3" xfId="40104" xr:uid="{00000000-0005-0000-0000-0000569B0000}"/>
    <cellStyle name="Porcentagem 4 22 4" xfId="40105" xr:uid="{00000000-0005-0000-0000-0000579B0000}"/>
    <cellStyle name="Porcentagem 4 23" xfId="40106" xr:uid="{00000000-0005-0000-0000-0000589B0000}"/>
    <cellStyle name="Porcentagem 4 24" xfId="40107" xr:uid="{00000000-0005-0000-0000-0000599B0000}"/>
    <cellStyle name="Porcentagem 4 25" xfId="40108" xr:uid="{00000000-0005-0000-0000-00005A9B0000}"/>
    <cellStyle name="Porcentagem 4 3" xfId="1717" xr:uid="{00000000-0005-0000-0000-00005B9B0000}"/>
    <cellStyle name="Porcentagem 4 3 10" xfId="40109" xr:uid="{00000000-0005-0000-0000-00005C9B0000}"/>
    <cellStyle name="Porcentagem 4 3 10 2" xfId="40110" xr:uid="{00000000-0005-0000-0000-00005D9B0000}"/>
    <cellStyle name="Porcentagem 4 3 10 2 2" xfId="40111" xr:uid="{00000000-0005-0000-0000-00005E9B0000}"/>
    <cellStyle name="Porcentagem 4 3 10 2 3" xfId="40112" xr:uid="{00000000-0005-0000-0000-00005F9B0000}"/>
    <cellStyle name="Porcentagem 4 3 10 2 4" xfId="40113" xr:uid="{00000000-0005-0000-0000-0000609B0000}"/>
    <cellStyle name="Porcentagem 4 3 10 3" xfId="40114" xr:uid="{00000000-0005-0000-0000-0000619B0000}"/>
    <cellStyle name="Porcentagem 4 3 10 3 2" xfId="40115" xr:uid="{00000000-0005-0000-0000-0000629B0000}"/>
    <cellStyle name="Porcentagem 4 3 10 3 3" xfId="40116" xr:uid="{00000000-0005-0000-0000-0000639B0000}"/>
    <cellStyle name="Porcentagem 4 3 10 3 4" xfId="40117" xr:uid="{00000000-0005-0000-0000-0000649B0000}"/>
    <cellStyle name="Porcentagem 4 3 10 4" xfId="40118" xr:uid="{00000000-0005-0000-0000-0000659B0000}"/>
    <cellStyle name="Porcentagem 4 3 10 5" xfId="40119" xr:uid="{00000000-0005-0000-0000-0000669B0000}"/>
    <cellStyle name="Porcentagem 4 3 10 6" xfId="40120" xr:uid="{00000000-0005-0000-0000-0000679B0000}"/>
    <cellStyle name="Porcentagem 4 3 11" xfId="40121" xr:uid="{00000000-0005-0000-0000-0000689B0000}"/>
    <cellStyle name="Porcentagem 4 3 11 2" xfId="40122" xr:uid="{00000000-0005-0000-0000-0000699B0000}"/>
    <cellStyle name="Porcentagem 4 3 11 2 2" xfId="40123" xr:uid="{00000000-0005-0000-0000-00006A9B0000}"/>
    <cellStyle name="Porcentagem 4 3 11 2 3" xfId="40124" xr:uid="{00000000-0005-0000-0000-00006B9B0000}"/>
    <cellStyle name="Porcentagem 4 3 11 2 4" xfId="40125" xr:uid="{00000000-0005-0000-0000-00006C9B0000}"/>
    <cellStyle name="Porcentagem 4 3 11 3" xfId="40126" xr:uid="{00000000-0005-0000-0000-00006D9B0000}"/>
    <cellStyle name="Porcentagem 4 3 11 3 2" xfId="40127" xr:uid="{00000000-0005-0000-0000-00006E9B0000}"/>
    <cellStyle name="Porcentagem 4 3 11 3 3" xfId="40128" xr:uid="{00000000-0005-0000-0000-00006F9B0000}"/>
    <cellStyle name="Porcentagem 4 3 11 3 4" xfId="40129" xr:uid="{00000000-0005-0000-0000-0000709B0000}"/>
    <cellStyle name="Porcentagem 4 3 11 4" xfId="40130" xr:uid="{00000000-0005-0000-0000-0000719B0000}"/>
    <cellStyle name="Porcentagem 4 3 11 5" xfId="40131" xr:uid="{00000000-0005-0000-0000-0000729B0000}"/>
    <cellStyle name="Porcentagem 4 3 11 6" xfId="40132" xr:uid="{00000000-0005-0000-0000-0000739B0000}"/>
    <cellStyle name="Porcentagem 4 3 12" xfId="40133" xr:uid="{00000000-0005-0000-0000-0000749B0000}"/>
    <cellStyle name="Porcentagem 4 3 12 2" xfId="40134" xr:uid="{00000000-0005-0000-0000-0000759B0000}"/>
    <cellStyle name="Porcentagem 4 3 12 2 2" xfId="40135" xr:uid="{00000000-0005-0000-0000-0000769B0000}"/>
    <cellStyle name="Porcentagem 4 3 12 2 3" xfId="40136" xr:uid="{00000000-0005-0000-0000-0000779B0000}"/>
    <cellStyle name="Porcentagem 4 3 12 2 4" xfId="40137" xr:uid="{00000000-0005-0000-0000-0000789B0000}"/>
    <cellStyle name="Porcentagem 4 3 12 3" xfId="40138" xr:uid="{00000000-0005-0000-0000-0000799B0000}"/>
    <cellStyle name="Porcentagem 4 3 12 3 2" xfId="40139" xr:uid="{00000000-0005-0000-0000-00007A9B0000}"/>
    <cellStyle name="Porcentagem 4 3 12 3 3" xfId="40140" xr:uid="{00000000-0005-0000-0000-00007B9B0000}"/>
    <cellStyle name="Porcentagem 4 3 12 3 4" xfId="40141" xr:uid="{00000000-0005-0000-0000-00007C9B0000}"/>
    <cellStyle name="Porcentagem 4 3 12 4" xfId="40142" xr:uid="{00000000-0005-0000-0000-00007D9B0000}"/>
    <cellStyle name="Porcentagem 4 3 12 5" xfId="40143" xr:uid="{00000000-0005-0000-0000-00007E9B0000}"/>
    <cellStyle name="Porcentagem 4 3 12 6" xfId="40144" xr:uid="{00000000-0005-0000-0000-00007F9B0000}"/>
    <cellStyle name="Porcentagem 4 3 13" xfId="40145" xr:uid="{00000000-0005-0000-0000-0000809B0000}"/>
    <cellStyle name="Porcentagem 4 3 13 2" xfId="40146" xr:uid="{00000000-0005-0000-0000-0000819B0000}"/>
    <cellStyle name="Porcentagem 4 3 13 2 2" xfId="40147" xr:uid="{00000000-0005-0000-0000-0000829B0000}"/>
    <cellStyle name="Porcentagem 4 3 13 2 3" xfId="40148" xr:uid="{00000000-0005-0000-0000-0000839B0000}"/>
    <cellStyle name="Porcentagem 4 3 13 2 4" xfId="40149" xr:uid="{00000000-0005-0000-0000-0000849B0000}"/>
    <cellStyle name="Porcentagem 4 3 13 3" xfId="40150" xr:uid="{00000000-0005-0000-0000-0000859B0000}"/>
    <cellStyle name="Porcentagem 4 3 13 3 2" xfId="40151" xr:uid="{00000000-0005-0000-0000-0000869B0000}"/>
    <cellStyle name="Porcentagem 4 3 13 3 3" xfId="40152" xr:uid="{00000000-0005-0000-0000-0000879B0000}"/>
    <cellStyle name="Porcentagem 4 3 13 3 4" xfId="40153" xr:uid="{00000000-0005-0000-0000-0000889B0000}"/>
    <cellStyle name="Porcentagem 4 3 13 4" xfId="40154" xr:uid="{00000000-0005-0000-0000-0000899B0000}"/>
    <cellStyle name="Porcentagem 4 3 13 5" xfId="40155" xr:uid="{00000000-0005-0000-0000-00008A9B0000}"/>
    <cellStyle name="Porcentagem 4 3 13 6" xfId="40156" xr:uid="{00000000-0005-0000-0000-00008B9B0000}"/>
    <cellStyle name="Porcentagem 4 3 14" xfId="40157" xr:uid="{00000000-0005-0000-0000-00008C9B0000}"/>
    <cellStyle name="Porcentagem 4 3 14 2" xfId="40158" xr:uid="{00000000-0005-0000-0000-00008D9B0000}"/>
    <cellStyle name="Porcentagem 4 3 14 2 2" xfId="40159" xr:uid="{00000000-0005-0000-0000-00008E9B0000}"/>
    <cellStyle name="Porcentagem 4 3 14 2 3" xfId="40160" xr:uid="{00000000-0005-0000-0000-00008F9B0000}"/>
    <cellStyle name="Porcentagem 4 3 14 2 4" xfId="40161" xr:uid="{00000000-0005-0000-0000-0000909B0000}"/>
    <cellStyle name="Porcentagem 4 3 14 3" xfId="40162" xr:uid="{00000000-0005-0000-0000-0000919B0000}"/>
    <cellStyle name="Porcentagem 4 3 14 3 2" xfId="40163" xr:uid="{00000000-0005-0000-0000-0000929B0000}"/>
    <cellStyle name="Porcentagem 4 3 14 3 3" xfId="40164" xr:uid="{00000000-0005-0000-0000-0000939B0000}"/>
    <cellStyle name="Porcentagem 4 3 14 3 4" xfId="40165" xr:uid="{00000000-0005-0000-0000-0000949B0000}"/>
    <cellStyle name="Porcentagem 4 3 14 4" xfId="40166" xr:uid="{00000000-0005-0000-0000-0000959B0000}"/>
    <cellStyle name="Porcentagem 4 3 14 5" xfId="40167" xr:uid="{00000000-0005-0000-0000-0000969B0000}"/>
    <cellStyle name="Porcentagem 4 3 14 6" xfId="40168" xr:uid="{00000000-0005-0000-0000-0000979B0000}"/>
    <cellStyle name="Porcentagem 4 3 15" xfId="40169" xr:uid="{00000000-0005-0000-0000-0000989B0000}"/>
    <cellStyle name="Porcentagem 4 3 15 2" xfId="40170" xr:uid="{00000000-0005-0000-0000-0000999B0000}"/>
    <cellStyle name="Porcentagem 4 3 15 2 2" xfId="40171" xr:uid="{00000000-0005-0000-0000-00009A9B0000}"/>
    <cellStyle name="Porcentagem 4 3 15 2 3" xfId="40172" xr:uid="{00000000-0005-0000-0000-00009B9B0000}"/>
    <cellStyle name="Porcentagem 4 3 15 2 4" xfId="40173" xr:uid="{00000000-0005-0000-0000-00009C9B0000}"/>
    <cellStyle name="Porcentagem 4 3 15 3" xfId="40174" xr:uid="{00000000-0005-0000-0000-00009D9B0000}"/>
    <cellStyle name="Porcentagem 4 3 15 3 2" xfId="40175" xr:uid="{00000000-0005-0000-0000-00009E9B0000}"/>
    <cellStyle name="Porcentagem 4 3 15 3 3" xfId="40176" xr:uid="{00000000-0005-0000-0000-00009F9B0000}"/>
    <cellStyle name="Porcentagem 4 3 15 3 4" xfId="40177" xr:uid="{00000000-0005-0000-0000-0000A09B0000}"/>
    <cellStyle name="Porcentagem 4 3 15 4" xfId="40178" xr:uid="{00000000-0005-0000-0000-0000A19B0000}"/>
    <cellStyle name="Porcentagem 4 3 15 5" xfId="40179" xr:uid="{00000000-0005-0000-0000-0000A29B0000}"/>
    <cellStyle name="Porcentagem 4 3 15 6" xfId="40180" xr:uid="{00000000-0005-0000-0000-0000A39B0000}"/>
    <cellStyle name="Porcentagem 4 3 16" xfId="40181" xr:uid="{00000000-0005-0000-0000-0000A49B0000}"/>
    <cellStyle name="Porcentagem 4 3 16 2" xfId="40182" xr:uid="{00000000-0005-0000-0000-0000A59B0000}"/>
    <cellStyle name="Porcentagem 4 3 16 2 2" xfId="40183" xr:uid="{00000000-0005-0000-0000-0000A69B0000}"/>
    <cellStyle name="Porcentagem 4 3 16 2 3" xfId="40184" xr:uid="{00000000-0005-0000-0000-0000A79B0000}"/>
    <cellStyle name="Porcentagem 4 3 16 2 4" xfId="40185" xr:uid="{00000000-0005-0000-0000-0000A89B0000}"/>
    <cellStyle name="Porcentagem 4 3 16 3" xfId="40186" xr:uid="{00000000-0005-0000-0000-0000A99B0000}"/>
    <cellStyle name="Porcentagem 4 3 16 3 2" xfId="40187" xr:uid="{00000000-0005-0000-0000-0000AA9B0000}"/>
    <cellStyle name="Porcentagem 4 3 16 3 3" xfId="40188" xr:uid="{00000000-0005-0000-0000-0000AB9B0000}"/>
    <cellStyle name="Porcentagem 4 3 16 3 4" xfId="40189" xr:uid="{00000000-0005-0000-0000-0000AC9B0000}"/>
    <cellStyle name="Porcentagem 4 3 16 4" xfId="40190" xr:uid="{00000000-0005-0000-0000-0000AD9B0000}"/>
    <cellStyle name="Porcentagem 4 3 16 5" xfId="40191" xr:uid="{00000000-0005-0000-0000-0000AE9B0000}"/>
    <cellStyle name="Porcentagem 4 3 16 6" xfId="40192" xr:uid="{00000000-0005-0000-0000-0000AF9B0000}"/>
    <cellStyle name="Porcentagem 4 3 17" xfId="40193" xr:uid="{00000000-0005-0000-0000-0000B09B0000}"/>
    <cellStyle name="Porcentagem 4 3 17 2" xfId="40194" xr:uid="{00000000-0005-0000-0000-0000B19B0000}"/>
    <cellStyle name="Porcentagem 4 3 17 2 2" xfId="40195" xr:uid="{00000000-0005-0000-0000-0000B29B0000}"/>
    <cellStyle name="Porcentagem 4 3 17 2 3" xfId="40196" xr:uid="{00000000-0005-0000-0000-0000B39B0000}"/>
    <cellStyle name="Porcentagem 4 3 17 2 4" xfId="40197" xr:uid="{00000000-0005-0000-0000-0000B49B0000}"/>
    <cellStyle name="Porcentagem 4 3 17 3" xfId="40198" xr:uid="{00000000-0005-0000-0000-0000B59B0000}"/>
    <cellStyle name="Porcentagem 4 3 17 3 2" xfId="40199" xr:uid="{00000000-0005-0000-0000-0000B69B0000}"/>
    <cellStyle name="Porcentagem 4 3 17 3 3" xfId="40200" xr:uid="{00000000-0005-0000-0000-0000B79B0000}"/>
    <cellStyle name="Porcentagem 4 3 17 3 4" xfId="40201" xr:uid="{00000000-0005-0000-0000-0000B89B0000}"/>
    <cellStyle name="Porcentagem 4 3 17 4" xfId="40202" xr:uid="{00000000-0005-0000-0000-0000B99B0000}"/>
    <cellStyle name="Porcentagem 4 3 17 5" xfId="40203" xr:uid="{00000000-0005-0000-0000-0000BA9B0000}"/>
    <cellStyle name="Porcentagem 4 3 17 6" xfId="40204" xr:uid="{00000000-0005-0000-0000-0000BB9B0000}"/>
    <cellStyle name="Porcentagem 4 3 18" xfId="40205" xr:uid="{00000000-0005-0000-0000-0000BC9B0000}"/>
    <cellStyle name="Porcentagem 4 3 18 2" xfId="40206" xr:uid="{00000000-0005-0000-0000-0000BD9B0000}"/>
    <cellStyle name="Porcentagem 4 3 18 3" xfId="40207" xr:uid="{00000000-0005-0000-0000-0000BE9B0000}"/>
    <cellStyle name="Porcentagem 4 3 18 4" xfId="40208" xr:uid="{00000000-0005-0000-0000-0000BF9B0000}"/>
    <cellStyle name="Porcentagem 4 3 19" xfId="40209" xr:uid="{00000000-0005-0000-0000-0000C09B0000}"/>
    <cellStyle name="Porcentagem 4 3 19 2" xfId="40210" xr:uid="{00000000-0005-0000-0000-0000C19B0000}"/>
    <cellStyle name="Porcentagem 4 3 19 3" xfId="40211" xr:uid="{00000000-0005-0000-0000-0000C29B0000}"/>
    <cellStyle name="Porcentagem 4 3 19 4" xfId="40212" xr:uid="{00000000-0005-0000-0000-0000C39B0000}"/>
    <cellStyle name="Porcentagem 4 3 2" xfId="40213" xr:uid="{00000000-0005-0000-0000-0000C49B0000}"/>
    <cellStyle name="Porcentagem 4 3 2 2" xfId="40214" xr:uid="{00000000-0005-0000-0000-0000C59B0000}"/>
    <cellStyle name="Porcentagem 4 3 2 2 2" xfId="40215" xr:uid="{00000000-0005-0000-0000-0000C69B0000}"/>
    <cellStyle name="Porcentagem 4 3 2 2 3" xfId="40216" xr:uid="{00000000-0005-0000-0000-0000C79B0000}"/>
    <cellStyle name="Porcentagem 4 3 2 2 4" xfId="40217" xr:uid="{00000000-0005-0000-0000-0000C89B0000}"/>
    <cellStyle name="Porcentagem 4 3 2 3" xfId="40218" xr:uid="{00000000-0005-0000-0000-0000C99B0000}"/>
    <cellStyle name="Porcentagem 4 3 2 3 2" xfId="40219" xr:uid="{00000000-0005-0000-0000-0000CA9B0000}"/>
    <cellStyle name="Porcentagem 4 3 2 3 3" xfId="40220" xr:uid="{00000000-0005-0000-0000-0000CB9B0000}"/>
    <cellStyle name="Porcentagem 4 3 2 3 4" xfId="40221" xr:uid="{00000000-0005-0000-0000-0000CC9B0000}"/>
    <cellStyle name="Porcentagem 4 3 2 4" xfId="40222" xr:uid="{00000000-0005-0000-0000-0000CD9B0000}"/>
    <cellStyle name="Porcentagem 4 3 2 5" xfId="40223" xr:uid="{00000000-0005-0000-0000-0000CE9B0000}"/>
    <cellStyle name="Porcentagem 4 3 2 6" xfId="40224" xr:uid="{00000000-0005-0000-0000-0000CF9B0000}"/>
    <cellStyle name="Porcentagem 4 3 20" xfId="40225" xr:uid="{00000000-0005-0000-0000-0000D09B0000}"/>
    <cellStyle name="Porcentagem 4 3 20 2" xfId="40226" xr:uid="{00000000-0005-0000-0000-0000D19B0000}"/>
    <cellStyle name="Porcentagem 4 3 20 3" xfId="40227" xr:uid="{00000000-0005-0000-0000-0000D29B0000}"/>
    <cellStyle name="Porcentagem 4 3 20 4" xfId="40228" xr:uid="{00000000-0005-0000-0000-0000D39B0000}"/>
    <cellStyle name="Porcentagem 4 3 21" xfId="40229" xr:uid="{00000000-0005-0000-0000-0000D49B0000}"/>
    <cellStyle name="Porcentagem 4 3 22" xfId="40230" xr:uid="{00000000-0005-0000-0000-0000D59B0000}"/>
    <cellStyle name="Porcentagem 4 3 23" xfId="40231" xr:uid="{00000000-0005-0000-0000-0000D69B0000}"/>
    <cellStyle name="Porcentagem 4 3 3" xfId="40232" xr:uid="{00000000-0005-0000-0000-0000D79B0000}"/>
    <cellStyle name="Porcentagem 4 3 3 2" xfId="40233" xr:uid="{00000000-0005-0000-0000-0000D89B0000}"/>
    <cellStyle name="Porcentagem 4 3 3 2 2" xfId="40234" xr:uid="{00000000-0005-0000-0000-0000D99B0000}"/>
    <cellStyle name="Porcentagem 4 3 3 2 3" xfId="40235" xr:uid="{00000000-0005-0000-0000-0000DA9B0000}"/>
    <cellStyle name="Porcentagem 4 3 3 2 4" xfId="40236" xr:uid="{00000000-0005-0000-0000-0000DB9B0000}"/>
    <cellStyle name="Porcentagem 4 3 3 3" xfId="40237" xr:uid="{00000000-0005-0000-0000-0000DC9B0000}"/>
    <cellStyle name="Porcentagem 4 3 3 3 2" xfId="40238" xr:uid="{00000000-0005-0000-0000-0000DD9B0000}"/>
    <cellStyle name="Porcentagem 4 3 3 3 3" xfId="40239" xr:uid="{00000000-0005-0000-0000-0000DE9B0000}"/>
    <cellStyle name="Porcentagem 4 3 3 3 4" xfId="40240" xr:uid="{00000000-0005-0000-0000-0000DF9B0000}"/>
    <cellStyle name="Porcentagem 4 3 3 4" xfId="40241" xr:uid="{00000000-0005-0000-0000-0000E09B0000}"/>
    <cellStyle name="Porcentagem 4 3 3 5" xfId="40242" xr:uid="{00000000-0005-0000-0000-0000E19B0000}"/>
    <cellStyle name="Porcentagem 4 3 3 6" xfId="40243" xr:uid="{00000000-0005-0000-0000-0000E29B0000}"/>
    <cellStyle name="Porcentagem 4 3 4" xfId="40244" xr:uid="{00000000-0005-0000-0000-0000E39B0000}"/>
    <cellStyle name="Porcentagem 4 3 4 2" xfId="40245" xr:uid="{00000000-0005-0000-0000-0000E49B0000}"/>
    <cellStyle name="Porcentagem 4 3 4 2 2" xfId="40246" xr:uid="{00000000-0005-0000-0000-0000E59B0000}"/>
    <cellStyle name="Porcentagem 4 3 4 2 3" xfId="40247" xr:uid="{00000000-0005-0000-0000-0000E69B0000}"/>
    <cellStyle name="Porcentagem 4 3 4 2 4" xfId="40248" xr:uid="{00000000-0005-0000-0000-0000E79B0000}"/>
    <cellStyle name="Porcentagem 4 3 4 3" xfId="40249" xr:uid="{00000000-0005-0000-0000-0000E89B0000}"/>
    <cellStyle name="Porcentagem 4 3 4 3 2" xfId="40250" xr:uid="{00000000-0005-0000-0000-0000E99B0000}"/>
    <cellStyle name="Porcentagem 4 3 4 3 3" xfId="40251" xr:uid="{00000000-0005-0000-0000-0000EA9B0000}"/>
    <cellStyle name="Porcentagem 4 3 4 3 4" xfId="40252" xr:uid="{00000000-0005-0000-0000-0000EB9B0000}"/>
    <cellStyle name="Porcentagem 4 3 4 4" xfId="40253" xr:uid="{00000000-0005-0000-0000-0000EC9B0000}"/>
    <cellStyle name="Porcentagem 4 3 4 5" xfId="40254" xr:uid="{00000000-0005-0000-0000-0000ED9B0000}"/>
    <cellStyle name="Porcentagem 4 3 4 6" xfId="40255" xr:uid="{00000000-0005-0000-0000-0000EE9B0000}"/>
    <cellStyle name="Porcentagem 4 3 5" xfId="40256" xr:uid="{00000000-0005-0000-0000-0000EF9B0000}"/>
    <cellStyle name="Porcentagem 4 3 5 2" xfId="40257" xr:uid="{00000000-0005-0000-0000-0000F09B0000}"/>
    <cellStyle name="Porcentagem 4 3 5 2 2" xfId="40258" xr:uid="{00000000-0005-0000-0000-0000F19B0000}"/>
    <cellStyle name="Porcentagem 4 3 5 2 3" xfId="40259" xr:uid="{00000000-0005-0000-0000-0000F29B0000}"/>
    <cellStyle name="Porcentagem 4 3 5 2 4" xfId="40260" xr:uid="{00000000-0005-0000-0000-0000F39B0000}"/>
    <cellStyle name="Porcentagem 4 3 5 3" xfId="40261" xr:uid="{00000000-0005-0000-0000-0000F49B0000}"/>
    <cellStyle name="Porcentagem 4 3 5 3 2" xfId="40262" xr:uid="{00000000-0005-0000-0000-0000F59B0000}"/>
    <cellStyle name="Porcentagem 4 3 5 3 3" xfId="40263" xr:uid="{00000000-0005-0000-0000-0000F69B0000}"/>
    <cellStyle name="Porcentagem 4 3 5 3 4" xfId="40264" xr:uid="{00000000-0005-0000-0000-0000F79B0000}"/>
    <cellStyle name="Porcentagem 4 3 5 4" xfId="40265" xr:uid="{00000000-0005-0000-0000-0000F89B0000}"/>
    <cellStyle name="Porcentagem 4 3 5 5" xfId="40266" xr:uid="{00000000-0005-0000-0000-0000F99B0000}"/>
    <cellStyle name="Porcentagem 4 3 5 6" xfId="40267" xr:uid="{00000000-0005-0000-0000-0000FA9B0000}"/>
    <cellStyle name="Porcentagem 4 3 6" xfId="40268" xr:uid="{00000000-0005-0000-0000-0000FB9B0000}"/>
    <cellStyle name="Porcentagem 4 3 6 2" xfId="40269" xr:uid="{00000000-0005-0000-0000-0000FC9B0000}"/>
    <cellStyle name="Porcentagem 4 3 6 2 2" xfId="40270" xr:uid="{00000000-0005-0000-0000-0000FD9B0000}"/>
    <cellStyle name="Porcentagem 4 3 6 2 3" xfId="40271" xr:uid="{00000000-0005-0000-0000-0000FE9B0000}"/>
    <cellStyle name="Porcentagem 4 3 6 2 4" xfId="40272" xr:uid="{00000000-0005-0000-0000-0000FF9B0000}"/>
    <cellStyle name="Porcentagem 4 3 6 3" xfId="40273" xr:uid="{00000000-0005-0000-0000-0000009C0000}"/>
    <cellStyle name="Porcentagem 4 3 6 3 2" xfId="40274" xr:uid="{00000000-0005-0000-0000-0000019C0000}"/>
    <cellStyle name="Porcentagem 4 3 6 3 3" xfId="40275" xr:uid="{00000000-0005-0000-0000-0000029C0000}"/>
    <cellStyle name="Porcentagem 4 3 6 3 4" xfId="40276" xr:uid="{00000000-0005-0000-0000-0000039C0000}"/>
    <cellStyle name="Porcentagem 4 3 6 4" xfId="40277" xr:uid="{00000000-0005-0000-0000-0000049C0000}"/>
    <cellStyle name="Porcentagem 4 3 6 5" xfId="40278" xr:uid="{00000000-0005-0000-0000-0000059C0000}"/>
    <cellStyle name="Porcentagem 4 3 6 6" xfId="40279" xr:uid="{00000000-0005-0000-0000-0000069C0000}"/>
    <cellStyle name="Porcentagem 4 3 7" xfId="40280" xr:uid="{00000000-0005-0000-0000-0000079C0000}"/>
    <cellStyle name="Porcentagem 4 3 7 2" xfId="40281" xr:uid="{00000000-0005-0000-0000-0000089C0000}"/>
    <cellStyle name="Porcentagem 4 3 7 2 2" xfId="40282" xr:uid="{00000000-0005-0000-0000-0000099C0000}"/>
    <cellStyle name="Porcentagem 4 3 7 2 3" xfId="40283" xr:uid="{00000000-0005-0000-0000-00000A9C0000}"/>
    <cellStyle name="Porcentagem 4 3 7 2 4" xfId="40284" xr:uid="{00000000-0005-0000-0000-00000B9C0000}"/>
    <cellStyle name="Porcentagem 4 3 7 3" xfId="40285" xr:uid="{00000000-0005-0000-0000-00000C9C0000}"/>
    <cellStyle name="Porcentagem 4 3 7 3 2" xfId="40286" xr:uid="{00000000-0005-0000-0000-00000D9C0000}"/>
    <cellStyle name="Porcentagem 4 3 7 3 3" xfId="40287" xr:uid="{00000000-0005-0000-0000-00000E9C0000}"/>
    <cellStyle name="Porcentagem 4 3 7 3 4" xfId="40288" xr:uid="{00000000-0005-0000-0000-00000F9C0000}"/>
    <cellStyle name="Porcentagem 4 3 7 4" xfId="40289" xr:uid="{00000000-0005-0000-0000-0000109C0000}"/>
    <cellStyle name="Porcentagem 4 3 7 5" xfId="40290" xr:uid="{00000000-0005-0000-0000-0000119C0000}"/>
    <cellStyle name="Porcentagem 4 3 7 6" xfId="40291" xr:uid="{00000000-0005-0000-0000-0000129C0000}"/>
    <cellStyle name="Porcentagem 4 3 8" xfId="40292" xr:uid="{00000000-0005-0000-0000-0000139C0000}"/>
    <cellStyle name="Porcentagem 4 3 8 2" xfId="40293" xr:uid="{00000000-0005-0000-0000-0000149C0000}"/>
    <cellStyle name="Porcentagem 4 3 8 2 2" xfId="40294" xr:uid="{00000000-0005-0000-0000-0000159C0000}"/>
    <cellStyle name="Porcentagem 4 3 8 2 3" xfId="40295" xr:uid="{00000000-0005-0000-0000-0000169C0000}"/>
    <cellStyle name="Porcentagem 4 3 8 2 4" xfId="40296" xr:uid="{00000000-0005-0000-0000-0000179C0000}"/>
    <cellStyle name="Porcentagem 4 3 8 3" xfId="40297" xr:uid="{00000000-0005-0000-0000-0000189C0000}"/>
    <cellStyle name="Porcentagem 4 3 8 3 2" xfId="40298" xr:uid="{00000000-0005-0000-0000-0000199C0000}"/>
    <cellStyle name="Porcentagem 4 3 8 3 3" xfId="40299" xr:uid="{00000000-0005-0000-0000-00001A9C0000}"/>
    <cellStyle name="Porcentagem 4 3 8 3 4" xfId="40300" xr:uid="{00000000-0005-0000-0000-00001B9C0000}"/>
    <cellStyle name="Porcentagem 4 3 8 4" xfId="40301" xr:uid="{00000000-0005-0000-0000-00001C9C0000}"/>
    <cellStyle name="Porcentagem 4 3 8 5" xfId="40302" xr:uid="{00000000-0005-0000-0000-00001D9C0000}"/>
    <cellStyle name="Porcentagem 4 3 8 6" xfId="40303" xr:uid="{00000000-0005-0000-0000-00001E9C0000}"/>
    <cellStyle name="Porcentagem 4 3 9" xfId="40304" xr:uid="{00000000-0005-0000-0000-00001F9C0000}"/>
    <cellStyle name="Porcentagem 4 3 9 2" xfId="40305" xr:uid="{00000000-0005-0000-0000-0000209C0000}"/>
    <cellStyle name="Porcentagem 4 3 9 2 2" xfId="40306" xr:uid="{00000000-0005-0000-0000-0000219C0000}"/>
    <cellStyle name="Porcentagem 4 3 9 2 3" xfId="40307" xr:uid="{00000000-0005-0000-0000-0000229C0000}"/>
    <cellStyle name="Porcentagem 4 3 9 2 4" xfId="40308" xr:uid="{00000000-0005-0000-0000-0000239C0000}"/>
    <cellStyle name="Porcentagem 4 3 9 3" xfId="40309" xr:uid="{00000000-0005-0000-0000-0000249C0000}"/>
    <cellStyle name="Porcentagem 4 3 9 3 2" xfId="40310" xr:uid="{00000000-0005-0000-0000-0000259C0000}"/>
    <cellStyle name="Porcentagem 4 3 9 3 3" xfId="40311" xr:uid="{00000000-0005-0000-0000-0000269C0000}"/>
    <cellStyle name="Porcentagem 4 3 9 3 4" xfId="40312" xr:uid="{00000000-0005-0000-0000-0000279C0000}"/>
    <cellStyle name="Porcentagem 4 3 9 4" xfId="40313" xr:uid="{00000000-0005-0000-0000-0000289C0000}"/>
    <cellStyle name="Porcentagem 4 3 9 5" xfId="40314" xr:uid="{00000000-0005-0000-0000-0000299C0000}"/>
    <cellStyle name="Porcentagem 4 3 9 6" xfId="40315" xr:uid="{00000000-0005-0000-0000-00002A9C0000}"/>
    <cellStyle name="Porcentagem 4 4" xfId="40316" xr:uid="{00000000-0005-0000-0000-00002B9C0000}"/>
    <cellStyle name="Porcentagem 4 4 2" xfId="40317" xr:uid="{00000000-0005-0000-0000-00002C9C0000}"/>
    <cellStyle name="Porcentagem 4 4 2 2" xfId="40318" xr:uid="{00000000-0005-0000-0000-00002D9C0000}"/>
    <cellStyle name="Porcentagem 4 4 2 3" xfId="40319" xr:uid="{00000000-0005-0000-0000-00002E9C0000}"/>
    <cellStyle name="Porcentagem 4 4 2 4" xfId="40320" xr:uid="{00000000-0005-0000-0000-00002F9C0000}"/>
    <cellStyle name="Porcentagem 4 4 3" xfId="40321" xr:uid="{00000000-0005-0000-0000-0000309C0000}"/>
    <cellStyle name="Porcentagem 4 4 3 2" xfId="40322" xr:uid="{00000000-0005-0000-0000-0000319C0000}"/>
    <cellStyle name="Porcentagem 4 4 3 3" xfId="40323" xr:uid="{00000000-0005-0000-0000-0000329C0000}"/>
    <cellStyle name="Porcentagem 4 4 3 4" xfId="40324" xr:uid="{00000000-0005-0000-0000-0000339C0000}"/>
    <cellStyle name="Porcentagem 4 4 4" xfId="40325" xr:uid="{00000000-0005-0000-0000-0000349C0000}"/>
    <cellStyle name="Porcentagem 4 4 5" xfId="40326" xr:uid="{00000000-0005-0000-0000-0000359C0000}"/>
    <cellStyle name="Porcentagem 4 4 6" xfId="40327" xr:uid="{00000000-0005-0000-0000-0000369C0000}"/>
    <cellStyle name="Porcentagem 4 5" xfId="40328" xr:uid="{00000000-0005-0000-0000-0000379C0000}"/>
    <cellStyle name="Porcentagem 4 5 2" xfId="40329" xr:uid="{00000000-0005-0000-0000-0000389C0000}"/>
    <cellStyle name="Porcentagem 4 5 2 2" xfId="40330" xr:uid="{00000000-0005-0000-0000-0000399C0000}"/>
    <cellStyle name="Porcentagem 4 5 2 3" xfId="40331" xr:uid="{00000000-0005-0000-0000-00003A9C0000}"/>
    <cellStyle name="Porcentagem 4 5 2 4" xfId="40332" xr:uid="{00000000-0005-0000-0000-00003B9C0000}"/>
    <cellStyle name="Porcentagem 4 5 3" xfId="40333" xr:uid="{00000000-0005-0000-0000-00003C9C0000}"/>
    <cellStyle name="Porcentagem 4 5 3 2" xfId="40334" xr:uid="{00000000-0005-0000-0000-00003D9C0000}"/>
    <cellStyle name="Porcentagem 4 5 3 3" xfId="40335" xr:uid="{00000000-0005-0000-0000-00003E9C0000}"/>
    <cellStyle name="Porcentagem 4 5 3 4" xfId="40336" xr:uid="{00000000-0005-0000-0000-00003F9C0000}"/>
    <cellStyle name="Porcentagem 4 5 4" xfId="40337" xr:uid="{00000000-0005-0000-0000-0000409C0000}"/>
    <cellStyle name="Porcentagem 4 5 5" xfId="40338" xr:uid="{00000000-0005-0000-0000-0000419C0000}"/>
    <cellStyle name="Porcentagem 4 5 6" xfId="40339" xr:uid="{00000000-0005-0000-0000-0000429C0000}"/>
    <cellStyle name="Porcentagem 4 6" xfId="40340" xr:uid="{00000000-0005-0000-0000-0000439C0000}"/>
    <cellStyle name="Porcentagem 4 6 2" xfId="40341" xr:uid="{00000000-0005-0000-0000-0000449C0000}"/>
    <cellStyle name="Porcentagem 4 6 2 2" xfId="40342" xr:uid="{00000000-0005-0000-0000-0000459C0000}"/>
    <cellStyle name="Porcentagem 4 6 2 3" xfId="40343" xr:uid="{00000000-0005-0000-0000-0000469C0000}"/>
    <cellStyle name="Porcentagem 4 6 2 4" xfId="40344" xr:uid="{00000000-0005-0000-0000-0000479C0000}"/>
    <cellStyle name="Porcentagem 4 6 3" xfId="40345" xr:uid="{00000000-0005-0000-0000-0000489C0000}"/>
    <cellStyle name="Porcentagem 4 6 3 2" xfId="40346" xr:uid="{00000000-0005-0000-0000-0000499C0000}"/>
    <cellStyle name="Porcentagem 4 6 3 3" xfId="40347" xr:uid="{00000000-0005-0000-0000-00004A9C0000}"/>
    <cellStyle name="Porcentagem 4 6 3 4" xfId="40348" xr:uid="{00000000-0005-0000-0000-00004B9C0000}"/>
    <cellStyle name="Porcentagem 4 6 4" xfId="40349" xr:uid="{00000000-0005-0000-0000-00004C9C0000}"/>
    <cellStyle name="Porcentagem 4 6 5" xfId="40350" xr:uid="{00000000-0005-0000-0000-00004D9C0000}"/>
    <cellStyle name="Porcentagem 4 6 6" xfId="40351" xr:uid="{00000000-0005-0000-0000-00004E9C0000}"/>
    <cellStyle name="Porcentagem 4 7" xfId="40352" xr:uid="{00000000-0005-0000-0000-00004F9C0000}"/>
    <cellStyle name="Porcentagem 4 7 2" xfId="40353" xr:uid="{00000000-0005-0000-0000-0000509C0000}"/>
    <cellStyle name="Porcentagem 4 7 2 2" xfId="40354" xr:uid="{00000000-0005-0000-0000-0000519C0000}"/>
    <cellStyle name="Porcentagem 4 7 2 3" xfId="40355" xr:uid="{00000000-0005-0000-0000-0000529C0000}"/>
    <cellStyle name="Porcentagem 4 7 2 4" xfId="40356" xr:uid="{00000000-0005-0000-0000-0000539C0000}"/>
    <cellStyle name="Porcentagem 4 7 3" xfId="40357" xr:uid="{00000000-0005-0000-0000-0000549C0000}"/>
    <cellStyle name="Porcentagem 4 7 3 2" xfId="40358" xr:uid="{00000000-0005-0000-0000-0000559C0000}"/>
    <cellStyle name="Porcentagem 4 7 3 3" xfId="40359" xr:uid="{00000000-0005-0000-0000-0000569C0000}"/>
    <cellStyle name="Porcentagem 4 7 3 4" xfId="40360" xr:uid="{00000000-0005-0000-0000-0000579C0000}"/>
    <cellStyle name="Porcentagem 4 7 4" xfId="40361" xr:uid="{00000000-0005-0000-0000-0000589C0000}"/>
    <cellStyle name="Porcentagem 4 7 5" xfId="40362" xr:uid="{00000000-0005-0000-0000-0000599C0000}"/>
    <cellStyle name="Porcentagem 4 7 6" xfId="40363" xr:uid="{00000000-0005-0000-0000-00005A9C0000}"/>
    <cellStyle name="Porcentagem 4 8" xfId="40364" xr:uid="{00000000-0005-0000-0000-00005B9C0000}"/>
    <cellStyle name="Porcentagem 4 8 2" xfId="40365" xr:uid="{00000000-0005-0000-0000-00005C9C0000}"/>
    <cellStyle name="Porcentagem 4 8 2 2" xfId="40366" xr:uid="{00000000-0005-0000-0000-00005D9C0000}"/>
    <cellStyle name="Porcentagem 4 8 2 3" xfId="40367" xr:uid="{00000000-0005-0000-0000-00005E9C0000}"/>
    <cellStyle name="Porcentagem 4 8 2 4" xfId="40368" xr:uid="{00000000-0005-0000-0000-00005F9C0000}"/>
    <cellStyle name="Porcentagem 4 8 3" xfId="40369" xr:uid="{00000000-0005-0000-0000-0000609C0000}"/>
    <cellStyle name="Porcentagem 4 8 3 2" xfId="40370" xr:uid="{00000000-0005-0000-0000-0000619C0000}"/>
    <cellStyle name="Porcentagem 4 8 3 3" xfId="40371" xr:uid="{00000000-0005-0000-0000-0000629C0000}"/>
    <cellStyle name="Porcentagem 4 8 3 4" xfId="40372" xr:uid="{00000000-0005-0000-0000-0000639C0000}"/>
    <cellStyle name="Porcentagem 4 8 4" xfId="40373" xr:uid="{00000000-0005-0000-0000-0000649C0000}"/>
    <cellStyle name="Porcentagem 4 8 5" xfId="40374" xr:uid="{00000000-0005-0000-0000-0000659C0000}"/>
    <cellStyle name="Porcentagem 4 8 6" xfId="40375" xr:uid="{00000000-0005-0000-0000-0000669C0000}"/>
    <cellStyle name="Porcentagem 4 9" xfId="40376" xr:uid="{00000000-0005-0000-0000-0000679C0000}"/>
    <cellStyle name="Porcentagem 4 9 2" xfId="40377" xr:uid="{00000000-0005-0000-0000-0000689C0000}"/>
    <cellStyle name="Porcentagem 4 9 2 2" xfId="40378" xr:uid="{00000000-0005-0000-0000-0000699C0000}"/>
    <cellStyle name="Porcentagem 4 9 2 3" xfId="40379" xr:uid="{00000000-0005-0000-0000-00006A9C0000}"/>
    <cellStyle name="Porcentagem 4 9 2 4" xfId="40380" xr:uid="{00000000-0005-0000-0000-00006B9C0000}"/>
    <cellStyle name="Porcentagem 4 9 3" xfId="40381" xr:uid="{00000000-0005-0000-0000-00006C9C0000}"/>
    <cellStyle name="Porcentagem 4 9 3 2" xfId="40382" xr:uid="{00000000-0005-0000-0000-00006D9C0000}"/>
    <cellStyle name="Porcentagem 4 9 3 3" xfId="40383" xr:uid="{00000000-0005-0000-0000-00006E9C0000}"/>
    <cellStyle name="Porcentagem 4 9 3 4" xfId="40384" xr:uid="{00000000-0005-0000-0000-00006F9C0000}"/>
    <cellStyle name="Porcentagem 4 9 4" xfId="40385" xr:uid="{00000000-0005-0000-0000-0000709C0000}"/>
    <cellStyle name="Porcentagem 4 9 5" xfId="40386" xr:uid="{00000000-0005-0000-0000-0000719C0000}"/>
    <cellStyle name="Porcentagem 4 9 6" xfId="40387" xr:uid="{00000000-0005-0000-0000-0000729C0000}"/>
    <cellStyle name="Porcentagem 5" xfId="1109" xr:uid="{00000000-0005-0000-0000-0000739C0000}"/>
    <cellStyle name="Porcentagem 5 2" xfId="1110" xr:uid="{00000000-0005-0000-0000-0000749C0000}"/>
    <cellStyle name="Porcentagem 5 2 2" xfId="40388" xr:uid="{00000000-0005-0000-0000-0000759C0000}"/>
    <cellStyle name="Porcentagem 5 3" xfId="1794" xr:uid="{00000000-0005-0000-0000-0000769C0000}"/>
    <cellStyle name="Porcentagem 5 3 2" xfId="40389" xr:uid="{00000000-0005-0000-0000-0000779C0000}"/>
    <cellStyle name="Porcentagem 5 4" xfId="1850" xr:uid="{00000000-0005-0000-0000-0000789C0000}"/>
    <cellStyle name="Porcentagem 5 4 2" xfId="2046" xr:uid="{00000000-0005-0000-0000-0000799C0000}"/>
    <cellStyle name="Porcentagem 5 4 2 2" xfId="2579" xr:uid="{00000000-0005-0000-0000-00007A9C0000}"/>
    <cellStyle name="Porcentagem 5 4 2 3" xfId="43372" xr:uid="{00000000-0005-0000-0000-00007B9C0000}"/>
    <cellStyle name="Porcentagem 5 4 3" xfId="2580" xr:uid="{00000000-0005-0000-0000-00007C9C0000}"/>
    <cellStyle name="Porcentagem 5 4 3 2" xfId="43373" xr:uid="{00000000-0005-0000-0000-00007D9C0000}"/>
    <cellStyle name="Porcentagem 5 4 4" xfId="2456" xr:uid="{00000000-0005-0000-0000-00007E9C0000}"/>
    <cellStyle name="Porcentagem 5 4 5" xfId="2383" xr:uid="{00000000-0005-0000-0000-00007F9C0000}"/>
    <cellStyle name="Porcentagem 5 4 6" xfId="43261" xr:uid="{00000000-0005-0000-0000-0000809C0000}"/>
    <cellStyle name="Porcentagem 5 5" xfId="1946" xr:uid="{00000000-0005-0000-0000-0000819C0000}"/>
    <cellStyle name="Porcentagem 5 5 2" xfId="2581" xr:uid="{00000000-0005-0000-0000-0000829C0000}"/>
    <cellStyle name="Porcentagem 5 5 3" xfId="43374" xr:uid="{00000000-0005-0000-0000-0000839C0000}"/>
    <cellStyle name="Porcentagem 5 6" xfId="2582" xr:uid="{00000000-0005-0000-0000-0000849C0000}"/>
    <cellStyle name="Porcentagem 5 6 2" xfId="43375" xr:uid="{00000000-0005-0000-0000-0000859C0000}"/>
    <cellStyle name="Porcentagem 5 7" xfId="2455" xr:uid="{00000000-0005-0000-0000-0000869C0000}"/>
    <cellStyle name="Porcentagem 5 8" xfId="2254" xr:uid="{00000000-0005-0000-0000-0000879C0000}"/>
    <cellStyle name="Porcentagem 5 9" xfId="43260" xr:uid="{00000000-0005-0000-0000-0000889C0000}"/>
    <cellStyle name="Porcentagem 6" xfId="1111" xr:uid="{00000000-0005-0000-0000-0000899C0000}"/>
    <cellStyle name="Porcentagem 6 2" xfId="1667" xr:uid="{00000000-0005-0000-0000-00008A9C0000}"/>
    <cellStyle name="Porcentagem 6 3" xfId="40390" xr:uid="{00000000-0005-0000-0000-00008B9C0000}"/>
    <cellStyle name="Porcentagem 6 4" xfId="40391" xr:uid="{00000000-0005-0000-0000-00008C9C0000}"/>
    <cellStyle name="Porcentagem 7" xfId="1112" xr:uid="{00000000-0005-0000-0000-00008D9C0000}"/>
    <cellStyle name="Porcentagem 7 2" xfId="1472" xr:uid="{00000000-0005-0000-0000-00008E9C0000}"/>
    <cellStyle name="Porcentagem 7 3" xfId="2583" xr:uid="{00000000-0005-0000-0000-00008F9C0000}"/>
    <cellStyle name="Porcentagem 7 3 2" xfId="43376" xr:uid="{00000000-0005-0000-0000-0000909C0000}"/>
    <cellStyle name="Porcentagem 7 4" xfId="43609" xr:uid="{3649D3FC-0384-43A7-8D60-A8F4376C44E4}"/>
    <cellStyle name="Porcentagem 8" xfId="1113" xr:uid="{00000000-0005-0000-0000-0000919C0000}"/>
    <cellStyle name="Porcentagem 8 2" xfId="40392" xr:uid="{00000000-0005-0000-0000-0000929C0000}"/>
    <cellStyle name="Porcentagem 9" xfId="1114" xr:uid="{00000000-0005-0000-0000-0000939C0000}"/>
    <cellStyle name="Porcentaje" xfId="40393" xr:uid="{00000000-0005-0000-0000-0000949C0000}"/>
    <cellStyle name="Porcentual 2" xfId="1115" xr:uid="{00000000-0005-0000-0000-0000959C0000}"/>
    <cellStyle name="Porcentual 2 10" xfId="40394" xr:uid="{00000000-0005-0000-0000-0000969C0000}"/>
    <cellStyle name="Porcentual 2 11" xfId="40395" xr:uid="{00000000-0005-0000-0000-0000979C0000}"/>
    <cellStyle name="Porcentual 2 12" xfId="40396" xr:uid="{00000000-0005-0000-0000-0000989C0000}"/>
    <cellStyle name="Porcentual 2 13" xfId="40397" xr:uid="{00000000-0005-0000-0000-0000999C0000}"/>
    <cellStyle name="Porcentual 2 14" xfId="40398" xr:uid="{00000000-0005-0000-0000-00009A9C0000}"/>
    <cellStyle name="Porcentual 2 15" xfId="40399" xr:uid="{00000000-0005-0000-0000-00009B9C0000}"/>
    <cellStyle name="Porcentual 2 16" xfId="40400" xr:uid="{00000000-0005-0000-0000-00009C9C0000}"/>
    <cellStyle name="Porcentual 2 17" xfId="40401" xr:uid="{00000000-0005-0000-0000-00009D9C0000}"/>
    <cellStyle name="Porcentual 2 18" xfId="40402" xr:uid="{00000000-0005-0000-0000-00009E9C0000}"/>
    <cellStyle name="Porcentual 2 19" xfId="40403" xr:uid="{00000000-0005-0000-0000-00009F9C0000}"/>
    <cellStyle name="Porcentual 2 2" xfId="40404" xr:uid="{00000000-0005-0000-0000-0000A09C0000}"/>
    <cellStyle name="Porcentual 2 20" xfId="40405" xr:uid="{00000000-0005-0000-0000-0000A19C0000}"/>
    <cellStyle name="Porcentual 2 21" xfId="40406" xr:uid="{00000000-0005-0000-0000-0000A29C0000}"/>
    <cellStyle name="Porcentual 2 22" xfId="40407" xr:uid="{00000000-0005-0000-0000-0000A39C0000}"/>
    <cellStyle name="Porcentual 2 23" xfId="40408" xr:uid="{00000000-0005-0000-0000-0000A49C0000}"/>
    <cellStyle name="Porcentual 2 24" xfId="40409" xr:uid="{00000000-0005-0000-0000-0000A59C0000}"/>
    <cellStyle name="Porcentual 2 25" xfId="40410" xr:uid="{00000000-0005-0000-0000-0000A69C0000}"/>
    <cellStyle name="Porcentual 2 3" xfId="40411" xr:uid="{00000000-0005-0000-0000-0000A79C0000}"/>
    <cellStyle name="Porcentual 2 4" xfId="40412" xr:uid="{00000000-0005-0000-0000-0000A89C0000}"/>
    <cellStyle name="Porcentual 2 5" xfId="40413" xr:uid="{00000000-0005-0000-0000-0000A99C0000}"/>
    <cellStyle name="Porcentual 2 6" xfId="40414" xr:uid="{00000000-0005-0000-0000-0000AA9C0000}"/>
    <cellStyle name="Porcentual 2 7" xfId="40415" xr:uid="{00000000-0005-0000-0000-0000AB9C0000}"/>
    <cellStyle name="Porcentual 2 8" xfId="40416" xr:uid="{00000000-0005-0000-0000-0000AC9C0000}"/>
    <cellStyle name="Porcentual 2 9" xfId="40417" xr:uid="{00000000-0005-0000-0000-0000AD9C0000}"/>
    <cellStyle name="Porcentual 3" xfId="1116" xr:uid="{00000000-0005-0000-0000-0000AE9C0000}"/>
    <cellStyle name="Porcentual 3 10" xfId="40418" xr:uid="{00000000-0005-0000-0000-0000AF9C0000}"/>
    <cellStyle name="Porcentual 3 11" xfId="40419" xr:uid="{00000000-0005-0000-0000-0000B09C0000}"/>
    <cellStyle name="Porcentual 3 12" xfId="40420" xr:uid="{00000000-0005-0000-0000-0000B19C0000}"/>
    <cellStyle name="Porcentual 3 13" xfId="40421" xr:uid="{00000000-0005-0000-0000-0000B29C0000}"/>
    <cellStyle name="Porcentual 3 14" xfId="40422" xr:uid="{00000000-0005-0000-0000-0000B39C0000}"/>
    <cellStyle name="Porcentual 3 15" xfId="40423" xr:uid="{00000000-0005-0000-0000-0000B49C0000}"/>
    <cellStyle name="Porcentual 3 16" xfId="40424" xr:uid="{00000000-0005-0000-0000-0000B59C0000}"/>
    <cellStyle name="Porcentual 3 17" xfId="40425" xr:uid="{00000000-0005-0000-0000-0000B69C0000}"/>
    <cellStyle name="Porcentual 3 18" xfId="40426" xr:uid="{00000000-0005-0000-0000-0000B79C0000}"/>
    <cellStyle name="Porcentual 3 19" xfId="40427" xr:uid="{00000000-0005-0000-0000-0000B89C0000}"/>
    <cellStyle name="Porcentual 3 2" xfId="40428" xr:uid="{00000000-0005-0000-0000-0000B99C0000}"/>
    <cellStyle name="Porcentual 3 20" xfId="40429" xr:uid="{00000000-0005-0000-0000-0000BA9C0000}"/>
    <cellStyle name="Porcentual 3 21" xfId="40430" xr:uid="{00000000-0005-0000-0000-0000BB9C0000}"/>
    <cellStyle name="Porcentual 3 22" xfId="40431" xr:uid="{00000000-0005-0000-0000-0000BC9C0000}"/>
    <cellStyle name="Porcentual 3 23" xfId="40432" xr:uid="{00000000-0005-0000-0000-0000BD9C0000}"/>
    <cellStyle name="Porcentual 3 24" xfId="40433" xr:uid="{00000000-0005-0000-0000-0000BE9C0000}"/>
    <cellStyle name="Porcentual 3 25" xfId="40434" xr:uid="{00000000-0005-0000-0000-0000BF9C0000}"/>
    <cellStyle name="Porcentual 3 3" xfId="40435" xr:uid="{00000000-0005-0000-0000-0000C09C0000}"/>
    <cellStyle name="Porcentual 3 4" xfId="40436" xr:uid="{00000000-0005-0000-0000-0000C19C0000}"/>
    <cellStyle name="Porcentual 3 5" xfId="40437" xr:uid="{00000000-0005-0000-0000-0000C29C0000}"/>
    <cellStyle name="Porcentual 3 6" xfId="40438" xr:uid="{00000000-0005-0000-0000-0000C39C0000}"/>
    <cellStyle name="Porcentual 3 7" xfId="40439" xr:uid="{00000000-0005-0000-0000-0000C49C0000}"/>
    <cellStyle name="Porcentual 3 8" xfId="40440" xr:uid="{00000000-0005-0000-0000-0000C59C0000}"/>
    <cellStyle name="Porcentual 3 9" xfId="40441" xr:uid="{00000000-0005-0000-0000-0000C69C0000}"/>
    <cellStyle name="Porcentual_Cálculo del FC" xfId="1668" xr:uid="{00000000-0005-0000-0000-0000C79C0000}"/>
    <cellStyle name="Pourcentage_TEMPTRAN" xfId="40442" xr:uid="{00000000-0005-0000-0000-0000C89C0000}"/>
    <cellStyle name="Premissas" xfId="850" xr:uid="{00000000-0005-0000-0000-0000C99C0000}"/>
    <cellStyle name="Premissas 10" xfId="43262" xr:uid="{00000000-0005-0000-0000-0000CA9C0000}"/>
    <cellStyle name="Premissas 2" xfId="1117" xr:uid="{00000000-0005-0000-0000-0000CB9C0000}"/>
    <cellStyle name="Premissas 2 2" xfId="1851" xr:uid="{00000000-0005-0000-0000-0000CC9C0000}"/>
    <cellStyle name="Premissas 2 2 2" xfId="2047" xr:uid="{00000000-0005-0000-0000-0000CD9C0000}"/>
    <cellStyle name="Premissas 2 2 2 2" xfId="43377" xr:uid="{00000000-0005-0000-0000-0000CE9C0000}"/>
    <cellStyle name="Premissas 2 2 3" xfId="2457" xr:uid="{00000000-0005-0000-0000-0000CF9C0000}"/>
    <cellStyle name="Premissas 2 2 4" xfId="43264" xr:uid="{00000000-0005-0000-0000-0000D09C0000}"/>
    <cellStyle name="Premissas 2 3" xfId="2584" xr:uid="{00000000-0005-0000-0000-0000D19C0000}"/>
    <cellStyle name="Premissas 2 3 2" xfId="43378" xr:uid="{00000000-0005-0000-0000-0000D29C0000}"/>
    <cellStyle name="Premissas 2 4" xfId="43263" xr:uid="{00000000-0005-0000-0000-0000D39C0000}"/>
    <cellStyle name="Premissas 3" xfId="1822" xr:uid="{00000000-0005-0000-0000-0000D49C0000}"/>
    <cellStyle name="Premissas 3 2" xfId="2028" xr:uid="{00000000-0005-0000-0000-0000D59C0000}"/>
    <cellStyle name="Premissas 3 2 2" xfId="43379" xr:uid="{00000000-0005-0000-0000-0000D69C0000}"/>
    <cellStyle name="Premissas 3 3" xfId="2458" xr:uid="{00000000-0005-0000-0000-0000D79C0000}"/>
    <cellStyle name="Premissas 3 4" xfId="43265" xr:uid="{00000000-0005-0000-0000-0000D89C0000}"/>
    <cellStyle name="Premissas 4" xfId="40443" xr:uid="{00000000-0005-0000-0000-0000D99C0000}"/>
    <cellStyle name="Premissas 5" xfId="40444" xr:uid="{00000000-0005-0000-0000-0000DA9C0000}"/>
    <cellStyle name="Premissas 6" xfId="40445" xr:uid="{00000000-0005-0000-0000-0000DB9C0000}"/>
    <cellStyle name="Premissas 7" xfId="40446" xr:uid="{00000000-0005-0000-0000-0000DC9C0000}"/>
    <cellStyle name="Premissas 8" xfId="40447" xr:uid="{00000000-0005-0000-0000-0000DD9C0000}"/>
    <cellStyle name="Premissas 9" xfId="40448" xr:uid="{00000000-0005-0000-0000-0000DE9C0000}"/>
    <cellStyle name="PrePop Currency (0)" xfId="851" xr:uid="{00000000-0005-0000-0000-0000DF9C0000}"/>
    <cellStyle name="PrePop Currency (0) 2" xfId="1118" xr:uid="{00000000-0005-0000-0000-0000E09C0000}"/>
    <cellStyle name="PrePop Currency (0) 3" xfId="40449" xr:uid="{00000000-0005-0000-0000-0000E19C0000}"/>
    <cellStyle name="PrePop Currency (0)_IRT_Planilha Básica_ v2010_CERRP" xfId="1773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19" xr:uid="{00000000-0005-0000-0000-0000E59C0000}"/>
    <cellStyle name="PrePop Units (0) 3" xfId="40450" xr:uid="{00000000-0005-0000-0000-0000E69C0000}"/>
    <cellStyle name="PrePop Units (0)_IRT_Planilha Básica_ v2010_CERRP" xfId="1774" xr:uid="{00000000-0005-0000-0000-0000E79C0000}"/>
    <cellStyle name="PrePop Units (1)" xfId="854" xr:uid="{00000000-0005-0000-0000-0000E89C0000}"/>
    <cellStyle name="PrePop Units (1) 2" xfId="1120" xr:uid="{00000000-0005-0000-0000-0000E99C0000}"/>
    <cellStyle name="PrePop Units (1) 3" xfId="40451" xr:uid="{00000000-0005-0000-0000-0000EA9C0000}"/>
    <cellStyle name="PrePop Units (1)_IRT_Planilha Básica_ v2010_CERRP" xfId="1775" xr:uid="{00000000-0005-0000-0000-0000EB9C0000}"/>
    <cellStyle name="PrePop Units (2)" xfId="855" xr:uid="{00000000-0005-0000-0000-0000EC9C0000}"/>
    <cellStyle name="Price_Body" xfId="40452" xr:uid="{00000000-0005-0000-0000-0000ED9C0000}"/>
    <cellStyle name="Projeções" xfId="856" xr:uid="{00000000-0005-0000-0000-0000EE9C0000}"/>
    <cellStyle name="Protected" xfId="40453" xr:uid="{00000000-0005-0000-0000-0000EF9C0000}"/>
    <cellStyle name="PSChar" xfId="40454" xr:uid="{00000000-0005-0000-0000-0000F09C0000}"/>
    <cellStyle name="PSDate" xfId="40455" xr:uid="{00000000-0005-0000-0000-0000F19C0000}"/>
    <cellStyle name="PSDec" xfId="40456" xr:uid="{00000000-0005-0000-0000-0000F29C0000}"/>
    <cellStyle name="PSHeading" xfId="40457" xr:uid="{00000000-0005-0000-0000-0000F39C0000}"/>
    <cellStyle name="PSInt" xfId="40458" xr:uid="{00000000-0005-0000-0000-0000F49C0000}"/>
    <cellStyle name="PSSpacer" xfId="40459" xr:uid="{00000000-0005-0000-0000-0000F59C0000}"/>
    <cellStyle name="Punto0" xfId="40460" xr:uid="{00000000-0005-0000-0000-0000F69C0000}"/>
    <cellStyle name="Punto0 2" xfId="40461" xr:uid="{00000000-0005-0000-0000-0000F79C0000}"/>
    <cellStyle name="Punto0 3" xfId="40462" xr:uid="{00000000-0005-0000-0000-0000F89C0000}"/>
    <cellStyle name="Qté calculées" xfId="40463" xr:uid="{00000000-0005-0000-0000-0000F99C0000}"/>
    <cellStyle name="QTé entrées" xfId="40464" xr:uid="{00000000-0005-0000-0000-0000FA9C0000}"/>
    <cellStyle name="RAMEY" xfId="857" xr:uid="{00000000-0005-0000-0000-0000FB9C0000}"/>
    <cellStyle name="Ramey $k" xfId="858" xr:uid="{00000000-0005-0000-0000-0000FC9C0000}"/>
    <cellStyle name="Ramey $k 2" xfId="40465" xr:uid="{00000000-0005-0000-0000-0000FD9C0000}"/>
    <cellStyle name="Ramey $k 3" xfId="40466" xr:uid="{00000000-0005-0000-0000-0000FE9C0000}"/>
    <cellStyle name="RAMEY_P&amp;O BKUP" xfId="859" xr:uid="{00000000-0005-0000-0000-0000FF9C0000}"/>
    <cellStyle name="Red Text" xfId="40467" xr:uid="{00000000-0005-0000-0000-0000009D0000}"/>
    <cellStyle name="RM" xfId="40468" xr:uid="{00000000-0005-0000-0000-0000019D0000}"/>
    <cellStyle name="RowLevel_1_OUTPUT2" xfId="1121" xr:uid="{00000000-0005-0000-0000-0000029D0000}"/>
    <cellStyle name="Saída" xfId="860" xr:uid="{00000000-0005-0000-0000-0000039D0000}"/>
    <cellStyle name="Saída 10" xfId="40469" xr:uid="{00000000-0005-0000-0000-0000049D0000}"/>
    <cellStyle name="Saída 2" xfId="1122" xr:uid="{00000000-0005-0000-0000-0000059D0000}"/>
    <cellStyle name="Saída 2 2" xfId="1852" xr:uid="{00000000-0005-0000-0000-0000069D0000}"/>
    <cellStyle name="Saída 2 2 2" xfId="2048" xr:uid="{00000000-0005-0000-0000-0000079D0000}"/>
    <cellStyle name="Saída 2 2 3" xfId="2107" xr:uid="{00000000-0005-0000-0000-0000089D0000}"/>
    <cellStyle name="Saída 2 2 4" xfId="2609" xr:uid="{00000000-0005-0000-0000-0000099D0000}"/>
    <cellStyle name="Saída 2 2 5" xfId="2224" xr:uid="{00000000-0005-0000-0000-00000A9D0000}"/>
    <cellStyle name="Saída 2 3" xfId="1947" xr:uid="{00000000-0005-0000-0000-00000B9D0000}"/>
    <cellStyle name="Saída 2 4" xfId="2348" xr:uid="{00000000-0005-0000-0000-00000C9D0000}"/>
    <cellStyle name="Saída 3" xfId="1776" xr:uid="{00000000-0005-0000-0000-00000D9D0000}"/>
    <cellStyle name="Saída 3 2" xfId="2009" xr:uid="{00000000-0005-0000-0000-00000E9D0000}"/>
    <cellStyle name="Saída 3 3" xfId="2078" xr:uid="{00000000-0005-0000-0000-00000F9D0000}"/>
    <cellStyle name="Saída 3 4" xfId="2134" xr:uid="{00000000-0005-0000-0000-0000109D0000}"/>
    <cellStyle name="Saída 3 5" xfId="2176" xr:uid="{00000000-0005-0000-0000-0000119D0000}"/>
    <cellStyle name="Saída 4" xfId="1914" xr:uid="{00000000-0005-0000-0000-0000129D0000}"/>
    <cellStyle name="Saída 4 2" xfId="40470" xr:uid="{00000000-0005-0000-0000-0000139D0000}"/>
    <cellStyle name="Saída 5" xfId="2155" xr:uid="{00000000-0005-0000-0000-0000149D0000}"/>
    <cellStyle name="Saída 6" xfId="40471" xr:uid="{00000000-0005-0000-0000-0000159D0000}"/>
    <cellStyle name="Saída 7" xfId="40472" xr:uid="{00000000-0005-0000-0000-0000169D0000}"/>
    <cellStyle name="Saída 8" xfId="40473" xr:uid="{00000000-0005-0000-0000-0000179D0000}"/>
    <cellStyle name="Saída 9" xfId="40474" xr:uid="{00000000-0005-0000-0000-0000189D0000}"/>
    <cellStyle name="Salida" xfId="1123" xr:uid="{00000000-0005-0000-0000-0000199D0000}"/>
    <cellStyle name="Salida 2" xfId="1853" xr:uid="{00000000-0005-0000-0000-00001A9D0000}"/>
    <cellStyle name="Salida 2 2" xfId="2049" xr:uid="{00000000-0005-0000-0000-00001B9D0000}"/>
    <cellStyle name="Salida 2 3" xfId="2108" xr:uid="{00000000-0005-0000-0000-00001C9D0000}"/>
    <cellStyle name="Salida 2 4" xfId="2610" xr:uid="{00000000-0005-0000-0000-00001D9D0000}"/>
    <cellStyle name="Salida 2 5" xfId="2299" xr:uid="{00000000-0005-0000-0000-00001E9D0000}"/>
    <cellStyle name="Salida 3" xfId="1948" xr:uid="{00000000-0005-0000-0000-00001F9D0000}"/>
    <cellStyle name="Salida 4" xfId="2207" xr:uid="{00000000-0005-0000-0000-0000209D0000}"/>
    <cellStyle name="SAN" xfId="1669" xr:uid="{00000000-0005-0000-0000-0000219D0000}"/>
    <cellStyle name="SAPBEXaggData" xfId="1670" xr:uid="{00000000-0005-0000-0000-0000229D0000}"/>
    <cellStyle name="SAPBEXaggData 2" xfId="1972" xr:uid="{00000000-0005-0000-0000-0000239D0000}"/>
    <cellStyle name="SAPBEXaggData 2 2" xfId="40475" xr:uid="{00000000-0005-0000-0000-0000249D0000}"/>
    <cellStyle name="SAPBEXaggData 3" xfId="1903" xr:uid="{00000000-0005-0000-0000-0000259D0000}"/>
    <cellStyle name="SAPBEXaggData 4" xfId="2154" xr:uid="{00000000-0005-0000-0000-0000269D0000}"/>
    <cellStyle name="SAPBEXaggData 5" xfId="2585" xr:uid="{00000000-0005-0000-0000-0000279D0000}"/>
    <cellStyle name="SAPBEXaggDataEmph" xfId="1671" xr:uid="{00000000-0005-0000-0000-0000289D0000}"/>
    <cellStyle name="SAPBEXaggDataEmph 2" xfId="1973" xr:uid="{00000000-0005-0000-0000-0000299D0000}"/>
    <cellStyle name="SAPBEXaggDataEmph 2 2" xfId="40476" xr:uid="{00000000-0005-0000-0000-00002A9D0000}"/>
    <cellStyle name="SAPBEXaggDataEmph 3" xfId="1959" xr:uid="{00000000-0005-0000-0000-00002B9D0000}"/>
    <cellStyle name="SAPBEXaggDataEmph 4" xfId="2153" xr:uid="{00000000-0005-0000-0000-00002C9D0000}"/>
    <cellStyle name="SAPBEXaggDataEmph 5" xfId="2330" xr:uid="{00000000-0005-0000-0000-00002D9D0000}"/>
    <cellStyle name="SAPBEXaggItem" xfId="1672" xr:uid="{00000000-0005-0000-0000-00002E9D0000}"/>
    <cellStyle name="SAPBEXaggItem 2" xfId="1974" xr:uid="{00000000-0005-0000-0000-00002F9D0000}"/>
    <cellStyle name="SAPBEXaggItem 2 2" xfId="40477" xr:uid="{00000000-0005-0000-0000-0000309D0000}"/>
    <cellStyle name="SAPBEXaggItem 3" xfId="1902" xr:uid="{00000000-0005-0000-0000-0000319D0000}"/>
    <cellStyle name="SAPBEXaggItem 4" xfId="2152" xr:uid="{00000000-0005-0000-0000-0000329D0000}"/>
    <cellStyle name="SAPBEXaggItem 5" xfId="2210" xr:uid="{00000000-0005-0000-0000-0000339D0000}"/>
    <cellStyle name="SAPBEXaggItemX" xfId="1673" xr:uid="{00000000-0005-0000-0000-0000349D0000}"/>
    <cellStyle name="SAPBEXaggItemX 2" xfId="1975" xr:uid="{00000000-0005-0000-0000-0000359D0000}"/>
    <cellStyle name="SAPBEXaggItemX 2 2" xfId="40478" xr:uid="{00000000-0005-0000-0000-0000369D0000}"/>
    <cellStyle name="SAPBEXaggItemX 3" xfId="1901" xr:uid="{00000000-0005-0000-0000-0000379D0000}"/>
    <cellStyle name="SAPBEXaggItemX 4" xfId="2287" xr:uid="{00000000-0005-0000-0000-0000389D0000}"/>
    <cellStyle name="SAPBEXaggItemX 5" xfId="2255" xr:uid="{00000000-0005-0000-0000-0000399D0000}"/>
    <cellStyle name="SAPBEXchaText" xfId="1674" xr:uid="{00000000-0005-0000-0000-00003A9D0000}"/>
    <cellStyle name="SAPBEXchaText 2" xfId="40479" xr:uid="{00000000-0005-0000-0000-00003B9D0000}"/>
    <cellStyle name="SAPBEXchaText 2 2" xfId="40480" xr:uid="{00000000-0005-0000-0000-00003C9D0000}"/>
    <cellStyle name="SAPBEXchaText 3" xfId="40481" xr:uid="{00000000-0005-0000-0000-00003D9D0000}"/>
    <cellStyle name="SAPBEXexcBad7" xfId="1675" xr:uid="{00000000-0005-0000-0000-00003E9D0000}"/>
    <cellStyle name="SAPBEXexcBad7 2" xfId="1976" xr:uid="{00000000-0005-0000-0000-00003F9D0000}"/>
    <cellStyle name="SAPBEXexcBad7 2 2" xfId="40482" xr:uid="{00000000-0005-0000-0000-0000409D0000}"/>
    <cellStyle name="SAPBEXexcBad7 3" xfId="1968" xr:uid="{00000000-0005-0000-0000-0000419D0000}"/>
    <cellStyle name="SAPBEXexcBad7 4" xfId="2151" xr:uid="{00000000-0005-0000-0000-0000429D0000}"/>
    <cellStyle name="SAPBEXexcBad7 5" xfId="2351" xr:uid="{00000000-0005-0000-0000-0000439D0000}"/>
    <cellStyle name="SAPBEXexcBad8" xfId="1676" xr:uid="{00000000-0005-0000-0000-0000449D0000}"/>
    <cellStyle name="SAPBEXexcBad8 2" xfId="1977" xr:uid="{00000000-0005-0000-0000-0000459D0000}"/>
    <cellStyle name="SAPBEXexcBad8 2 2" xfId="40483" xr:uid="{00000000-0005-0000-0000-0000469D0000}"/>
    <cellStyle name="SAPBEXexcBad8 3" xfId="1967" xr:uid="{00000000-0005-0000-0000-0000479D0000}"/>
    <cellStyle name="SAPBEXexcBad8 4" xfId="2150" xr:uid="{00000000-0005-0000-0000-0000489D0000}"/>
    <cellStyle name="SAPBEXexcBad8 5" xfId="2293" xr:uid="{00000000-0005-0000-0000-0000499D0000}"/>
    <cellStyle name="SAPBEXexcBad9" xfId="1677" xr:uid="{00000000-0005-0000-0000-00004A9D0000}"/>
    <cellStyle name="SAPBEXexcBad9 2" xfId="1978" xr:uid="{00000000-0005-0000-0000-00004B9D0000}"/>
    <cellStyle name="SAPBEXexcBad9 2 2" xfId="40484" xr:uid="{00000000-0005-0000-0000-00004C9D0000}"/>
    <cellStyle name="SAPBEXexcBad9 3" xfId="1966" xr:uid="{00000000-0005-0000-0000-00004D9D0000}"/>
    <cellStyle name="SAPBEXexcBad9 4" xfId="2286" xr:uid="{00000000-0005-0000-0000-00004E9D0000}"/>
    <cellStyle name="SAPBEXexcBad9 5" xfId="2211" xr:uid="{00000000-0005-0000-0000-00004F9D0000}"/>
    <cellStyle name="SAPBEXexcCritical4" xfId="1678" xr:uid="{00000000-0005-0000-0000-0000509D0000}"/>
    <cellStyle name="SAPBEXexcCritical4 2" xfId="1979" xr:uid="{00000000-0005-0000-0000-0000519D0000}"/>
    <cellStyle name="SAPBEXexcCritical4 2 2" xfId="40485" xr:uid="{00000000-0005-0000-0000-0000529D0000}"/>
    <cellStyle name="SAPBEXexcCritical4 3" xfId="1900" xr:uid="{00000000-0005-0000-0000-0000539D0000}"/>
    <cellStyle name="SAPBEXexcCritical4 4" xfId="2149" xr:uid="{00000000-0005-0000-0000-0000549D0000}"/>
    <cellStyle name="SAPBEXexcCritical4 5" xfId="2156" xr:uid="{00000000-0005-0000-0000-0000559D0000}"/>
    <cellStyle name="SAPBEXexcCritical5" xfId="1679" xr:uid="{00000000-0005-0000-0000-0000569D0000}"/>
    <cellStyle name="SAPBEXexcCritical5 2" xfId="1980" xr:uid="{00000000-0005-0000-0000-0000579D0000}"/>
    <cellStyle name="SAPBEXexcCritical5 2 2" xfId="40486" xr:uid="{00000000-0005-0000-0000-0000589D0000}"/>
    <cellStyle name="SAPBEXexcCritical5 3" xfId="1899" xr:uid="{00000000-0005-0000-0000-0000599D0000}"/>
    <cellStyle name="SAPBEXexcCritical5 4" xfId="2148" xr:uid="{00000000-0005-0000-0000-00005A9D0000}"/>
    <cellStyle name="SAPBEXexcCritical5 5" xfId="2212" xr:uid="{00000000-0005-0000-0000-00005B9D0000}"/>
    <cellStyle name="SAPBEXexcCritical6" xfId="1680" xr:uid="{00000000-0005-0000-0000-00005C9D0000}"/>
    <cellStyle name="SAPBEXexcCritical6 2" xfId="1981" xr:uid="{00000000-0005-0000-0000-00005D9D0000}"/>
    <cellStyle name="SAPBEXexcCritical6 2 2" xfId="40487" xr:uid="{00000000-0005-0000-0000-00005E9D0000}"/>
    <cellStyle name="SAPBEXexcCritical6 3" xfId="1958" xr:uid="{00000000-0005-0000-0000-00005F9D0000}"/>
    <cellStyle name="SAPBEXexcCritical6 4" xfId="2147" xr:uid="{00000000-0005-0000-0000-0000609D0000}"/>
    <cellStyle name="SAPBEXexcCritical6 5" xfId="2256" xr:uid="{00000000-0005-0000-0000-0000619D0000}"/>
    <cellStyle name="SAPBEXexcGood1" xfId="1681" xr:uid="{00000000-0005-0000-0000-0000629D0000}"/>
    <cellStyle name="SAPBEXexcGood1 2" xfId="1982" xr:uid="{00000000-0005-0000-0000-0000639D0000}"/>
    <cellStyle name="SAPBEXexcGood1 2 2" xfId="40488" xr:uid="{00000000-0005-0000-0000-0000649D0000}"/>
    <cellStyle name="SAPBEXexcGood1 3" xfId="1898" xr:uid="{00000000-0005-0000-0000-0000659D0000}"/>
    <cellStyle name="SAPBEXexcGood1 4" xfId="2285" xr:uid="{00000000-0005-0000-0000-0000669D0000}"/>
    <cellStyle name="SAPBEXexcGood1 5" xfId="2331" xr:uid="{00000000-0005-0000-0000-0000679D0000}"/>
    <cellStyle name="SAPBEXexcGood2" xfId="1682" xr:uid="{00000000-0005-0000-0000-0000689D0000}"/>
    <cellStyle name="SAPBEXexcGood2 2" xfId="1983" xr:uid="{00000000-0005-0000-0000-0000699D0000}"/>
    <cellStyle name="SAPBEXexcGood2 2 2" xfId="40489" xr:uid="{00000000-0005-0000-0000-00006A9D0000}"/>
    <cellStyle name="SAPBEXexcGood2 3" xfId="1965" xr:uid="{00000000-0005-0000-0000-00006B9D0000}"/>
    <cellStyle name="SAPBEXexcGood2 4" xfId="2146" xr:uid="{00000000-0005-0000-0000-00006C9D0000}"/>
    <cellStyle name="SAPBEXexcGood2 5" xfId="2352" xr:uid="{00000000-0005-0000-0000-00006D9D0000}"/>
    <cellStyle name="SAPBEXexcGood3" xfId="1683" xr:uid="{00000000-0005-0000-0000-00006E9D0000}"/>
    <cellStyle name="SAPBEXexcGood3 2" xfId="1984" xr:uid="{00000000-0005-0000-0000-00006F9D0000}"/>
    <cellStyle name="SAPBEXexcGood3 2 2" xfId="40490" xr:uid="{00000000-0005-0000-0000-0000709D0000}"/>
    <cellStyle name="SAPBEXexcGood3 3" xfId="1897" xr:uid="{00000000-0005-0000-0000-0000719D0000}"/>
    <cellStyle name="SAPBEXexcGood3 4" xfId="2145" xr:uid="{00000000-0005-0000-0000-0000729D0000}"/>
    <cellStyle name="SAPBEXexcGood3 5" xfId="2213" xr:uid="{00000000-0005-0000-0000-0000739D0000}"/>
    <cellStyle name="SAPBEXfilterDrill" xfId="1684" xr:uid="{00000000-0005-0000-0000-0000749D0000}"/>
    <cellStyle name="SAPBEXfilterDrill 2" xfId="40491" xr:uid="{00000000-0005-0000-0000-0000759D0000}"/>
    <cellStyle name="SAPBEXfilterDrill 2 2" xfId="40492" xr:uid="{00000000-0005-0000-0000-0000769D0000}"/>
    <cellStyle name="SAPBEXfilterItem" xfId="1685" xr:uid="{00000000-0005-0000-0000-0000779D0000}"/>
    <cellStyle name="SAPBEXfilterItem 2" xfId="40493" xr:uid="{00000000-0005-0000-0000-0000789D0000}"/>
    <cellStyle name="SAPBEXfilterItem 2 2" xfId="40494" xr:uid="{00000000-0005-0000-0000-0000799D0000}"/>
    <cellStyle name="SAPBEXfilterText" xfId="1686" xr:uid="{00000000-0005-0000-0000-00007A9D0000}"/>
    <cellStyle name="SAPBEXfilterText 2" xfId="40495" xr:uid="{00000000-0005-0000-0000-00007B9D0000}"/>
    <cellStyle name="SAPBEXformats" xfId="1687" xr:uid="{00000000-0005-0000-0000-00007C9D0000}"/>
    <cellStyle name="SAPBEXformats 2" xfId="1985" xr:uid="{00000000-0005-0000-0000-00007D9D0000}"/>
    <cellStyle name="SAPBEXformats 2 2" xfId="40496" xr:uid="{00000000-0005-0000-0000-00007E9D0000}"/>
    <cellStyle name="SAPBEXformats 3" xfId="1957" xr:uid="{00000000-0005-0000-0000-00007F9D0000}"/>
    <cellStyle name="SAPBEXformats 4" xfId="2144" xr:uid="{00000000-0005-0000-0000-0000809D0000}"/>
    <cellStyle name="SAPBEXformats 5" xfId="2353" xr:uid="{00000000-0005-0000-0000-0000819D0000}"/>
    <cellStyle name="SAPBEXheaderItem" xfId="1688" xr:uid="{00000000-0005-0000-0000-0000829D0000}"/>
    <cellStyle name="SAPBEXheaderItem 2" xfId="40497" xr:uid="{00000000-0005-0000-0000-0000839D0000}"/>
    <cellStyle name="SAPBEXheaderItem 2 2" xfId="40498" xr:uid="{00000000-0005-0000-0000-0000849D0000}"/>
    <cellStyle name="SAPBEXheaderText" xfId="1689" xr:uid="{00000000-0005-0000-0000-0000859D0000}"/>
    <cellStyle name="SAPBEXheaderText 2" xfId="40499" xr:uid="{00000000-0005-0000-0000-0000869D0000}"/>
    <cellStyle name="SAPBEXheaderText 2 2" xfId="40500" xr:uid="{00000000-0005-0000-0000-0000879D0000}"/>
    <cellStyle name="SAPBEXHLevel0" xfId="1690" xr:uid="{00000000-0005-0000-0000-0000889D0000}"/>
    <cellStyle name="SAPBEXHLevel0 2" xfId="1864" xr:uid="{00000000-0005-0000-0000-0000899D0000}"/>
    <cellStyle name="SAPBEXHLevel0 2 2" xfId="2112" xr:uid="{00000000-0005-0000-0000-00008A9D0000}"/>
    <cellStyle name="SAPBEXHLevel0 2 2 2" xfId="2654" xr:uid="{00000000-0005-0000-0000-00008B9D0000}"/>
    <cellStyle name="SAPBEXHLevel0 2 2 3" xfId="2193" xr:uid="{00000000-0005-0000-0000-00008C9D0000}"/>
    <cellStyle name="SAPBEXHLevel0 2 3" xfId="2614" xr:uid="{00000000-0005-0000-0000-00008D9D0000}"/>
    <cellStyle name="SAPBEXHLevel0 2 4" xfId="2359" xr:uid="{00000000-0005-0000-0000-00008E9D0000}"/>
    <cellStyle name="SAPBEXHLevel0 2 5" xfId="43267" xr:uid="{00000000-0005-0000-0000-00008F9D0000}"/>
    <cellStyle name="SAPBEXHLevel0 3" xfId="1986" xr:uid="{00000000-0005-0000-0000-0000909D0000}"/>
    <cellStyle name="SAPBEXHLevel0 3 2" xfId="2459" xr:uid="{00000000-0005-0000-0000-0000919D0000}"/>
    <cellStyle name="SAPBEXHLevel0 3 3" xfId="2653" xr:uid="{00000000-0005-0000-0000-0000929D0000}"/>
    <cellStyle name="SAPBEXHLevel0 3 4" xfId="2233" xr:uid="{00000000-0005-0000-0000-0000939D0000}"/>
    <cellStyle name="SAPBEXHLevel0 4" xfId="2214" xr:uid="{00000000-0005-0000-0000-0000949D0000}"/>
    <cellStyle name="SAPBEXHLevel0 5" xfId="43266" xr:uid="{00000000-0005-0000-0000-0000959D0000}"/>
    <cellStyle name="SAPBEXHLevel0X" xfId="1691" xr:uid="{00000000-0005-0000-0000-0000969D0000}"/>
    <cellStyle name="SAPBEXHLevel0X 2" xfId="1987" xr:uid="{00000000-0005-0000-0000-0000979D0000}"/>
    <cellStyle name="SAPBEXHLevel0X 2 2" xfId="40501" xr:uid="{00000000-0005-0000-0000-0000989D0000}"/>
    <cellStyle name="SAPBEXHLevel0X 3" xfId="1896" xr:uid="{00000000-0005-0000-0000-0000999D0000}"/>
    <cellStyle name="SAPBEXHLevel0X 4" xfId="2143" xr:uid="{00000000-0005-0000-0000-00009A9D0000}"/>
    <cellStyle name="SAPBEXHLevel0X 5" xfId="2215" xr:uid="{00000000-0005-0000-0000-00009B9D0000}"/>
    <cellStyle name="SAPBEXHLevel1" xfId="1692" xr:uid="{00000000-0005-0000-0000-00009C9D0000}"/>
    <cellStyle name="SAPBEXHLevel1 2" xfId="1865" xr:uid="{00000000-0005-0000-0000-00009D9D0000}"/>
    <cellStyle name="SAPBEXHLevel1 2 2" xfId="2113" xr:uid="{00000000-0005-0000-0000-00009E9D0000}"/>
    <cellStyle name="SAPBEXHLevel1 2 2 2" xfId="2656" xr:uid="{00000000-0005-0000-0000-00009F9D0000}"/>
    <cellStyle name="SAPBEXHLevel1 2 2 3" xfId="2325" xr:uid="{00000000-0005-0000-0000-0000A09D0000}"/>
    <cellStyle name="SAPBEXHLevel1 2 3" xfId="2615" xr:uid="{00000000-0005-0000-0000-0000A19D0000}"/>
    <cellStyle name="SAPBEXHLevel1 2 4" xfId="2160" xr:uid="{00000000-0005-0000-0000-0000A29D0000}"/>
    <cellStyle name="SAPBEXHLevel1 2 5" xfId="43269" xr:uid="{00000000-0005-0000-0000-0000A39D0000}"/>
    <cellStyle name="SAPBEXHLevel1 3" xfId="1988" xr:uid="{00000000-0005-0000-0000-0000A49D0000}"/>
    <cellStyle name="SAPBEXHLevel1 3 2" xfId="2460" xr:uid="{00000000-0005-0000-0000-0000A59D0000}"/>
    <cellStyle name="SAPBEXHLevel1 3 3" xfId="2655" xr:uid="{00000000-0005-0000-0000-0000A69D0000}"/>
    <cellStyle name="SAPBEXHLevel1 3 4" xfId="2234" xr:uid="{00000000-0005-0000-0000-0000A79D0000}"/>
    <cellStyle name="SAPBEXHLevel1 4" xfId="2171" xr:uid="{00000000-0005-0000-0000-0000A89D0000}"/>
    <cellStyle name="SAPBEXHLevel1 5" xfId="43268" xr:uid="{00000000-0005-0000-0000-0000A99D0000}"/>
    <cellStyle name="SAPBEXHLevel1X" xfId="1693" xr:uid="{00000000-0005-0000-0000-0000AA9D0000}"/>
    <cellStyle name="SAPBEXHLevel1X 2" xfId="1989" xr:uid="{00000000-0005-0000-0000-0000AB9D0000}"/>
    <cellStyle name="SAPBEXHLevel1X 2 2" xfId="40502" xr:uid="{00000000-0005-0000-0000-0000AC9D0000}"/>
    <cellStyle name="SAPBEXHLevel1X 3" xfId="1964" xr:uid="{00000000-0005-0000-0000-0000AD9D0000}"/>
    <cellStyle name="SAPBEXHLevel1X 4" xfId="2142" xr:uid="{00000000-0005-0000-0000-0000AE9D0000}"/>
    <cellStyle name="SAPBEXHLevel1X 5" xfId="2216" xr:uid="{00000000-0005-0000-0000-0000AF9D0000}"/>
    <cellStyle name="SAPBEXHLevel2" xfId="1694" xr:uid="{00000000-0005-0000-0000-0000B09D0000}"/>
    <cellStyle name="SAPBEXHLevel2 2" xfId="1866" xr:uid="{00000000-0005-0000-0000-0000B19D0000}"/>
    <cellStyle name="SAPBEXHLevel2 2 2" xfId="2114" xr:uid="{00000000-0005-0000-0000-0000B29D0000}"/>
    <cellStyle name="SAPBEXHLevel2 2 2 2" xfId="2658" xr:uid="{00000000-0005-0000-0000-0000B39D0000}"/>
    <cellStyle name="SAPBEXHLevel2 2 2 3" xfId="2219" xr:uid="{00000000-0005-0000-0000-0000B49D0000}"/>
    <cellStyle name="SAPBEXHLevel2 2 3" xfId="2616" xr:uid="{00000000-0005-0000-0000-0000B59D0000}"/>
    <cellStyle name="SAPBEXHLevel2 2 4" xfId="2289" xr:uid="{00000000-0005-0000-0000-0000B69D0000}"/>
    <cellStyle name="SAPBEXHLevel2 2 5" xfId="43271" xr:uid="{00000000-0005-0000-0000-0000B79D0000}"/>
    <cellStyle name="SAPBEXHLevel2 3" xfId="1990" xr:uid="{00000000-0005-0000-0000-0000B89D0000}"/>
    <cellStyle name="SAPBEXHLevel2 3 2" xfId="2461" xr:uid="{00000000-0005-0000-0000-0000B99D0000}"/>
    <cellStyle name="SAPBEXHLevel2 3 3" xfId="2657" xr:uid="{00000000-0005-0000-0000-0000BA9D0000}"/>
    <cellStyle name="SAPBEXHLevel2 3 4" xfId="2235" xr:uid="{00000000-0005-0000-0000-0000BB9D0000}"/>
    <cellStyle name="SAPBEXHLevel2 4" xfId="2217" xr:uid="{00000000-0005-0000-0000-0000BC9D0000}"/>
    <cellStyle name="SAPBEXHLevel2 5" xfId="43270" xr:uid="{00000000-0005-0000-0000-0000BD9D0000}"/>
    <cellStyle name="SAPBEXHLevel2X" xfId="1695" xr:uid="{00000000-0005-0000-0000-0000BE9D0000}"/>
    <cellStyle name="SAPBEXHLevel2X 2" xfId="1991" xr:uid="{00000000-0005-0000-0000-0000BF9D0000}"/>
    <cellStyle name="SAPBEXHLevel2X 2 2" xfId="40503" xr:uid="{00000000-0005-0000-0000-0000C09D0000}"/>
    <cellStyle name="SAPBEXHLevel2X 3" xfId="1963" xr:uid="{00000000-0005-0000-0000-0000C19D0000}"/>
    <cellStyle name="SAPBEXHLevel2X 4" xfId="2284" xr:uid="{00000000-0005-0000-0000-0000C29D0000}"/>
    <cellStyle name="SAPBEXHLevel2X 5" xfId="2294" xr:uid="{00000000-0005-0000-0000-0000C39D0000}"/>
    <cellStyle name="SAPBEXHLevel3" xfId="1696" xr:uid="{00000000-0005-0000-0000-0000C49D0000}"/>
    <cellStyle name="SAPBEXHLevel3 2" xfId="1992" xr:uid="{00000000-0005-0000-0000-0000C59D0000}"/>
    <cellStyle name="SAPBEXHLevel3 2 2" xfId="40504" xr:uid="{00000000-0005-0000-0000-0000C69D0000}"/>
    <cellStyle name="SAPBEXHLevel3 3" xfId="1962" xr:uid="{00000000-0005-0000-0000-0000C79D0000}"/>
    <cellStyle name="SAPBEXHLevel3 4" xfId="2141" xr:uid="{00000000-0005-0000-0000-0000C89D0000}"/>
    <cellStyle name="SAPBEXHLevel3 5" xfId="2257" xr:uid="{00000000-0005-0000-0000-0000C99D0000}"/>
    <cellStyle name="SAPBEXHLevel3X" xfId="1697" xr:uid="{00000000-0005-0000-0000-0000CA9D0000}"/>
    <cellStyle name="SAPBEXHLevel3X 2" xfId="1993" xr:uid="{00000000-0005-0000-0000-0000CB9D0000}"/>
    <cellStyle name="SAPBEXHLevel3X 2 2" xfId="40505" xr:uid="{00000000-0005-0000-0000-0000CC9D0000}"/>
    <cellStyle name="SAPBEXHLevel3X 3" xfId="1895" xr:uid="{00000000-0005-0000-0000-0000CD9D0000}"/>
    <cellStyle name="SAPBEXHLevel3X 4" xfId="2283" xr:uid="{00000000-0005-0000-0000-0000CE9D0000}"/>
    <cellStyle name="SAPBEXHLevel3X 5" xfId="2172" xr:uid="{00000000-0005-0000-0000-0000CF9D0000}"/>
    <cellStyle name="SAPBEXinputData" xfId="40506" xr:uid="{00000000-0005-0000-0000-0000D09D0000}"/>
    <cellStyle name="SAPBEXresData" xfId="1698" xr:uid="{00000000-0005-0000-0000-0000D19D0000}"/>
    <cellStyle name="SAPBEXresData 2" xfId="1994" xr:uid="{00000000-0005-0000-0000-0000D29D0000}"/>
    <cellStyle name="SAPBEXresData 2 2" xfId="40507" xr:uid="{00000000-0005-0000-0000-0000D39D0000}"/>
    <cellStyle name="SAPBEXresData 3" xfId="1894" xr:uid="{00000000-0005-0000-0000-0000D49D0000}"/>
    <cellStyle name="SAPBEXresData 4" xfId="2140" xr:uid="{00000000-0005-0000-0000-0000D59D0000}"/>
    <cellStyle name="SAPBEXresData 5" xfId="2218" xr:uid="{00000000-0005-0000-0000-0000D69D0000}"/>
    <cellStyle name="SAPBEXresDataEmph" xfId="1699" xr:uid="{00000000-0005-0000-0000-0000D79D0000}"/>
    <cellStyle name="SAPBEXresDataEmph 2" xfId="1995" xr:uid="{00000000-0005-0000-0000-0000D89D0000}"/>
    <cellStyle name="SAPBEXresDataEmph 2 2" xfId="40508" xr:uid="{00000000-0005-0000-0000-0000D99D0000}"/>
    <cellStyle name="SAPBEXresDataEmph 3" xfId="1956" xr:uid="{00000000-0005-0000-0000-0000DA9D0000}"/>
    <cellStyle name="SAPBEXresDataEmph 4" xfId="2139" xr:uid="{00000000-0005-0000-0000-0000DB9D0000}"/>
    <cellStyle name="SAPBEXresDataEmph 5" xfId="2258" xr:uid="{00000000-0005-0000-0000-0000DC9D0000}"/>
    <cellStyle name="SAPBEXresItem" xfId="1700" xr:uid="{00000000-0005-0000-0000-0000DD9D0000}"/>
    <cellStyle name="SAPBEXresItem 2" xfId="1996" xr:uid="{00000000-0005-0000-0000-0000DE9D0000}"/>
    <cellStyle name="SAPBEXresItem 2 2" xfId="40509" xr:uid="{00000000-0005-0000-0000-0000DF9D0000}"/>
    <cellStyle name="SAPBEXresItem 3" xfId="1893" xr:uid="{00000000-0005-0000-0000-0000E09D0000}"/>
    <cellStyle name="SAPBEXresItem 4" xfId="2138" xr:uid="{00000000-0005-0000-0000-0000E19D0000}"/>
    <cellStyle name="SAPBEXresItem 5" xfId="2384" xr:uid="{00000000-0005-0000-0000-0000E29D0000}"/>
    <cellStyle name="SAPBEXresItemX" xfId="1701" xr:uid="{00000000-0005-0000-0000-0000E39D0000}"/>
    <cellStyle name="SAPBEXresItemX 2" xfId="1997" xr:uid="{00000000-0005-0000-0000-0000E49D0000}"/>
    <cellStyle name="SAPBEXresItemX 2 2" xfId="40510" xr:uid="{00000000-0005-0000-0000-0000E59D0000}"/>
    <cellStyle name="SAPBEXresItemX 3" xfId="1961" xr:uid="{00000000-0005-0000-0000-0000E69D0000}"/>
    <cellStyle name="SAPBEXresItemX 4" xfId="2282" xr:uid="{00000000-0005-0000-0000-0000E79D0000}"/>
    <cellStyle name="SAPBEXresItemX 5" xfId="2173" xr:uid="{00000000-0005-0000-0000-0000E89D0000}"/>
    <cellStyle name="SAPBEXstdData" xfId="1702" xr:uid="{00000000-0005-0000-0000-0000E99D0000}"/>
    <cellStyle name="SAPBEXstdData 2" xfId="1867" xr:uid="{00000000-0005-0000-0000-0000EA9D0000}"/>
    <cellStyle name="SAPBEXstdData 2 2" xfId="2115" xr:uid="{00000000-0005-0000-0000-0000EB9D0000}"/>
    <cellStyle name="SAPBEXstdData 2 2 2" xfId="2660" xr:uid="{00000000-0005-0000-0000-0000EC9D0000}"/>
    <cellStyle name="SAPBEXstdData 2 2 3" xfId="2340" xr:uid="{00000000-0005-0000-0000-0000ED9D0000}"/>
    <cellStyle name="SAPBEXstdData 2 3" xfId="2617" xr:uid="{00000000-0005-0000-0000-0000EE9D0000}"/>
    <cellStyle name="SAPBEXstdData 2 4" xfId="2161" xr:uid="{00000000-0005-0000-0000-0000EF9D0000}"/>
    <cellStyle name="SAPBEXstdData 2 5" xfId="43273" xr:uid="{00000000-0005-0000-0000-0000F09D0000}"/>
    <cellStyle name="SAPBEXstdData 3" xfId="1998" xr:uid="{00000000-0005-0000-0000-0000F19D0000}"/>
    <cellStyle name="SAPBEXstdData 3 2" xfId="2462" xr:uid="{00000000-0005-0000-0000-0000F29D0000}"/>
    <cellStyle name="SAPBEXstdData 3 3" xfId="2659" xr:uid="{00000000-0005-0000-0000-0000F39D0000}"/>
    <cellStyle name="SAPBEXstdData 3 4" xfId="2194" xr:uid="{00000000-0005-0000-0000-0000F49D0000}"/>
    <cellStyle name="SAPBEXstdData 4" xfId="2354" xr:uid="{00000000-0005-0000-0000-0000F59D0000}"/>
    <cellStyle name="SAPBEXstdData 5" xfId="43272" xr:uid="{00000000-0005-0000-0000-0000F69D0000}"/>
    <cellStyle name="SAPBEXstdDataEmph" xfId="1703" xr:uid="{00000000-0005-0000-0000-0000F79D0000}"/>
    <cellStyle name="SAPBEXstdDataEmph 2" xfId="1999" xr:uid="{00000000-0005-0000-0000-0000F89D0000}"/>
    <cellStyle name="SAPBEXstdDataEmph 2 2" xfId="40511" xr:uid="{00000000-0005-0000-0000-0000F99D0000}"/>
    <cellStyle name="SAPBEXstdDataEmph 3" xfId="1892" xr:uid="{00000000-0005-0000-0000-0000FA9D0000}"/>
    <cellStyle name="SAPBEXstdDataEmph 4" xfId="2323" xr:uid="{00000000-0005-0000-0000-0000FB9D0000}"/>
    <cellStyle name="SAPBEXstdDataEmph 5" xfId="2259" xr:uid="{00000000-0005-0000-0000-0000FC9D0000}"/>
    <cellStyle name="SAPBEXstdItem" xfId="1704" xr:uid="{00000000-0005-0000-0000-0000FD9D0000}"/>
    <cellStyle name="SAPBEXstdItem 2" xfId="1868" xr:uid="{00000000-0005-0000-0000-0000FE9D0000}"/>
    <cellStyle name="SAPBEXstdItem 2 2" xfId="2059" xr:uid="{00000000-0005-0000-0000-0000FF9D0000}"/>
    <cellStyle name="SAPBEXstdItem 2 3" xfId="2116" xr:uid="{00000000-0005-0000-0000-0000009E0000}"/>
    <cellStyle name="SAPBEXstdItem 2 4" xfId="2618" xr:uid="{00000000-0005-0000-0000-0000019E0000}"/>
    <cellStyle name="SAPBEXstdItem 2 5" xfId="2269" xr:uid="{00000000-0005-0000-0000-0000029E0000}"/>
    <cellStyle name="SAPBEXstdItem 3" xfId="2000" xr:uid="{00000000-0005-0000-0000-0000039E0000}"/>
    <cellStyle name="SAPBEXstdItem 4" xfId="1955" xr:uid="{00000000-0005-0000-0000-0000049E0000}"/>
    <cellStyle name="SAPBEXstdItem 5" xfId="2322" xr:uid="{00000000-0005-0000-0000-0000059E0000}"/>
    <cellStyle name="SAPBEXstdItem 6" xfId="2385" xr:uid="{00000000-0005-0000-0000-0000069E0000}"/>
    <cellStyle name="SAPBEXstdItemX" xfId="1705" xr:uid="{00000000-0005-0000-0000-0000079E0000}"/>
    <cellStyle name="SAPBEXstdItemX 2" xfId="1869" xr:uid="{00000000-0005-0000-0000-0000089E0000}"/>
    <cellStyle name="SAPBEXstdItemX 2 2" xfId="2117" xr:uid="{00000000-0005-0000-0000-0000099E0000}"/>
    <cellStyle name="SAPBEXstdItemX 2 2 2" xfId="2662" xr:uid="{00000000-0005-0000-0000-00000A9E0000}"/>
    <cellStyle name="SAPBEXstdItemX 2 2 3" xfId="2341" xr:uid="{00000000-0005-0000-0000-00000B9E0000}"/>
    <cellStyle name="SAPBEXstdItemX 2 3" xfId="2619" xr:uid="{00000000-0005-0000-0000-00000C9E0000}"/>
    <cellStyle name="SAPBEXstdItemX 2 4" xfId="2162" xr:uid="{00000000-0005-0000-0000-00000D9E0000}"/>
    <cellStyle name="SAPBEXstdItemX 2 5" xfId="43275" xr:uid="{00000000-0005-0000-0000-00000E9E0000}"/>
    <cellStyle name="SAPBEXstdItemX 3" xfId="2001" xr:uid="{00000000-0005-0000-0000-00000F9E0000}"/>
    <cellStyle name="SAPBEXstdItemX 3 2" xfId="2463" xr:uid="{00000000-0005-0000-0000-0000109E0000}"/>
    <cellStyle name="SAPBEXstdItemX 3 3" xfId="2661" xr:uid="{00000000-0005-0000-0000-0000119E0000}"/>
    <cellStyle name="SAPBEXstdItemX 3 4" xfId="2131" xr:uid="{00000000-0005-0000-0000-0000129E0000}"/>
    <cellStyle name="SAPBEXstdItemX 4" xfId="2174" xr:uid="{00000000-0005-0000-0000-0000139E0000}"/>
    <cellStyle name="SAPBEXstdItemX 5" xfId="43274" xr:uid="{00000000-0005-0000-0000-0000149E0000}"/>
    <cellStyle name="SAPBEXtitle" xfId="1706" xr:uid="{00000000-0005-0000-0000-0000159E0000}"/>
    <cellStyle name="SAPBEXtitle 2" xfId="40512" xr:uid="{00000000-0005-0000-0000-0000169E0000}"/>
    <cellStyle name="SAPBEXtitle 2 2" xfId="40513" xr:uid="{00000000-0005-0000-0000-0000179E0000}"/>
    <cellStyle name="SAPBEXundefined" xfId="1707" xr:uid="{00000000-0005-0000-0000-0000189E0000}"/>
    <cellStyle name="SAPBEXundefined 2" xfId="2002" xr:uid="{00000000-0005-0000-0000-0000199E0000}"/>
    <cellStyle name="SAPBEXundefined 2 2" xfId="40514" xr:uid="{00000000-0005-0000-0000-00001A9E0000}"/>
    <cellStyle name="SAPBEXundefined 2 2 2" xfId="40515" xr:uid="{00000000-0005-0000-0000-00001B9E0000}"/>
    <cellStyle name="SAPBEXundefined 2 2 3" xfId="40516" xr:uid="{00000000-0005-0000-0000-00001C9E0000}"/>
    <cellStyle name="SAPBEXundefined 2 3" xfId="40517" xr:uid="{00000000-0005-0000-0000-00001D9E0000}"/>
    <cellStyle name="SAPBEXundefined 3" xfId="1891" xr:uid="{00000000-0005-0000-0000-00001E9E0000}"/>
    <cellStyle name="SAPBEXundefined 4" xfId="2281" xr:uid="{00000000-0005-0000-0000-00001F9E0000}"/>
    <cellStyle name="SAPBEXundefined 5" xfId="2336" xr:uid="{00000000-0005-0000-0000-0000209E0000}"/>
    <cellStyle name="SAPOutput" xfId="40518" xr:uid="{00000000-0005-0000-0000-0000219E0000}"/>
    <cellStyle name="SAPOutput 2" xfId="40519" xr:uid="{00000000-0005-0000-0000-0000229E0000}"/>
    <cellStyle name="SAPOutput 3" xfId="40520" xr:uid="{00000000-0005-0000-0000-0000239E0000}"/>
    <cellStyle name="Sep. milhar [0]" xfId="861" xr:uid="{00000000-0005-0000-0000-0000249E0000}"/>
    <cellStyle name="Sep. milhar [0] 2" xfId="40521" xr:uid="{00000000-0005-0000-0000-0000259E0000}"/>
    <cellStyle name="Separador de m" xfId="862" xr:uid="{00000000-0005-0000-0000-0000269E0000}"/>
    <cellStyle name="Separador de m 2" xfId="40522" xr:uid="{00000000-0005-0000-0000-0000279E0000}"/>
    <cellStyle name="Separador de m 3" xfId="40523" xr:uid="{00000000-0005-0000-0000-0000289E0000}"/>
    <cellStyle name="Separador de milhares 10" xfId="903" xr:uid="{00000000-0005-0000-0000-0000299E0000}"/>
    <cellStyle name="Separador de milhares 10 2" xfId="40524" xr:uid="{00000000-0005-0000-0000-00002A9E0000}"/>
    <cellStyle name="Separador de milhares 10 2 2" xfId="40525" xr:uid="{00000000-0005-0000-0000-00002B9E0000}"/>
    <cellStyle name="Separador de milhares 10 3" xfId="43183" xr:uid="{00000000-0005-0000-0000-00002C9E0000}"/>
    <cellStyle name="Separador de milhares 11" xfId="1124" xr:uid="{00000000-0005-0000-0000-00002D9E0000}"/>
    <cellStyle name="Separador de milhares 11 2" xfId="40526" xr:uid="{00000000-0005-0000-0000-00002E9E0000}"/>
    <cellStyle name="Separador de milhares 11 3" xfId="43276" xr:uid="{00000000-0005-0000-0000-00002F9E0000}"/>
    <cellStyle name="Separador de milhares 12" xfId="1125" xr:uid="{00000000-0005-0000-0000-0000309E0000}"/>
    <cellStyle name="Separador de milhares 12 2" xfId="43277" xr:uid="{00000000-0005-0000-0000-0000319E0000}"/>
    <cellStyle name="Separador de milhares 13" xfId="1126" xr:uid="{00000000-0005-0000-0000-0000329E0000}"/>
    <cellStyle name="Separador de milhares 13 2" xfId="40527" xr:uid="{00000000-0005-0000-0000-0000339E0000}"/>
    <cellStyle name="Separador de milhares 13 3" xfId="43278" xr:uid="{00000000-0005-0000-0000-0000349E0000}"/>
    <cellStyle name="Separador de milhares 14" xfId="1708" xr:uid="{00000000-0005-0000-0000-0000359E0000}"/>
    <cellStyle name="Separador de milhares 14 2" xfId="40528" xr:uid="{00000000-0005-0000-0000-0000369E0000}"/>
    <cellStyle name="Separador de milhares 14 3" xfId="43279" xr:uid="{00000000-0005-0000-0000-0000379E0000}"/>
    <cellStyle name="Separador de milhares 147" xfId="40529" xr:uid="{00000000-0005-0000-0000-0000389E0000}"/>
    <cellStyle name="Separador de milhares 15" xfId="1792" xr:uid="{00000000-0005-0000-0000-0000399E0000}"/>
    <cellStyle name="Separador de milhares 15 2" xfId="1875" xr:uid="{00000000-0005-0000-0000-00003A9E0000}"/>
    <cellStyle name="Separador de milhares 15 2 2" xfId="2064" xr:uid="{00000000-0005-0000-0000-00003B9E0000}"/>
    <cellStyle name="Separador de milhares 15 2 2 2" xfId="2586" xr:uid="{00000000-0005-0000-0000-00003C9E0000}"/>
    <cellStyle name="Separador de milhares 15 2 2 3" xfId="43380" xr:uid="{00000000-0005-0000-0000-00003D9E0000}"/>
    <cellStyle name="Separador de milhares 15 2 3" xfId="2587" xr:uid="{00000000-0005-0000-0000-00003E9E0000}"/>
    <cellStyle name="Separador de milhares 15 2 3 2" xfId="43381" xr:uid="{00000000-0005-0000-0000-00003F9E0000}"/>
    <cellStyle name="Separador de milhares 15 2 4" xfId="2465" xr:uid="{00000000-0005-0000-0000-0000409E0000}"/>
    <cellStyle name="Separador de milhares 15 2 5" xfId="2400" xr:uid="{00000000-0005-0000-0000-0000419E0000}"/>
    <cellStyle name="Separador de milhares 15 2 6" xfId="43281" xr:uid="{00000000-0005-0000-0000-0000429E0000}"/>
    <cellStyle name="Separador de milhares 15 3" xfId="2013" xr:uid="{00000000-0005-0000-0000-0000439E0000}"/>
    <cellStyle name="Separador de milhares 15 3 2" xfId="2588" xr:uid="{00000000-0005-0000-0000-0000449E0000}"/>
    <cellStyle name="Separador de milhares 15 3 3" xfId="43382" xr:uid="{00000000-0005-0000-0000-0000459E0000}"/>
    <cellStyle name="Separador de milhares 15 4" xfId="2589" xr:uid="{00000000-0005-0000-0000-0000469E0000}"/>
    <cellStyle name="Separador de milhares 15 4 2" xfId="43383" xr:uid="{00000000-0005-0000-0000-0000479E0000}"/>
    <cellStyle name="Separador de milhares 15 5" xfId="2464" xr:uid="{00000000-0005-0000-0000-0000489E0000}"/>
    <cellStyle name="Separador de milhares 15 6" xfId="2368" xr:uid="{00000000-0005-0000-0000-0000499E0000}"/>
    <cellStyle name="Separador de milhares 15 7" xfId="43280" xr:uid="{00000000-0005-0000-0000-00004A9E0000}"/>
    <cellStyle name="Separador de milhares 16" xfId="40530" xr:uid="{00000000-0005-0000-0000-00004B9E0000}"/>
    <cellStyle name="Separador de milhares 16 2" xfId="40531" xr:uid="{00000000-0005-0000-0000-00004C9E0000}"/>
    <cellStyle name="Separador de milhares 17" xfId="40532" xr:uid="{00000000-0005-0000-0000-00004D9E0000}"/>
    <cellStyle name="Separador de milhares 17 2" xfId="43199" xr:uid="{00000000-0005-0000-0000-00004E9E0000}"/>
    <cellStyle name="Separador de milhares 18" xfId="40533" xr:uid="{00000000-0005-0000-0000-00004F9E0000}"/>
    <cellStyle name="Separador de milhares 2" xfId="864" xr:uid="{00000000-0005-0000-0000-0000509E0000}"/>
    <cellStyle name="Separador de milhares 2 10" xfId="40534" xr:uid="{00000000-0005-0000-0000-0000519E0000}"/>
    <cellStyle name="Separador de milhares 2 10 10" xfId="40535" xr:uid="{00000000-0005-0000-0000-0000529E0000}"/>
    <cellStyle name="Separador de milhares 2 10 11" xfId="40536" xr:uid="{00000000-0005-0000-0000-0000539E0000}"/>
    <cellStyle name="Separador de milhares 2 10 12" xfId="40537" xr:uid="{00000000-0005-0000-0000-0000549E0000}"/>
    <cellStyle name="Separador de milhares 2 10 13" xfId="40538" xr:uid="{00000000-0005-0000-0000-0000559E0000}"/>
    <cellStyle name="Separador de milhares 2 10 14" xfId="40539" xr:uid="{00000000-0005-0000-0000-0000569E0000}"/>
    <cellStyle name="Separador de milhares 2 10 2" xfId="40540" xr:uid="{00000000-0005-0000-0000-0000579E0000}"/>
    <cellStyle name="Separador de milhares 2 10 2 2" xfId="40541" xr:uid="{00000000-0005-0000-0000-0000589E0000}"/>
    <cellStyle name="Separador de milhares 2 10 2 3" xfId="40542" xr:uid="{00000000-0005-0000-0000-0000599E0000}"/>
    <cellStyle name="Separador de milhares 2 10 2 4" xfId="40543" xr:uid="{00000000-0005-0000-0000-00005A9E0000}"/>
    <cellStyle name="Separador de milhares 2 10 2 5" xfId="40544" xr:uid="{00000000-0005-0000-0000-00005B9E0000}"/>
    <cellStyle name="Separador de milhares 2 10 2 6" xfId="40545" xr:uid="{00000000-0005-0000-0000-00005C9E0000}"/>
    <cellStyle name="Separador de milhares 2 10 3" xfId="40546" xr:uid="{00000000-0005-0000-0000-00005D9E0000}"/>
    <cellStyle name="Separador de milhares 2 10 3 2" xfId="40547" xr:uid="{00000000-0005-0000-0000-00005E9E0000}"/>
    <cellStyle name="Separador de milhares 2 10 3 3" xfId="40548" xr:uid="{00000000-0005-0000-0000-00005F9E0000}"/>
    <cellStyle name="Separador de milhares 2 10 3 4" xfId="40549" xr:uid="{00000000-0005-0000-0000-0000609E0000}"/>
    <cellStyle name="Separador de milhares 2 10 3 5" xfId="40550" xr:uid="{00000000-0005-0000-0000-0000619E0000}"/>
    <cellStyle name="Separador de milhares 2 10 3 6" xfId="40551" xr:uid="{00000000-0005-0000-0000-0000629E0000}"/>
    <cellStyle name="Separador de milhares 2 10 4" xfId="40552" xr:uid="{00000000-0005-0000-0000-0000639E0000}"/>
    <cellStyle name="Separador de milhares 2 10 4 2" xfId="40553" xr:uid="{00000000-0005-0000-0000-0000649E0000}"/>
    <cellStyle name="Separador de milhares 2 10 4 3" xfId="40554" xr:uid="{00000000-0005-0000-0000-0000659E0000}"/>
    <cellStyle name="Separador de milhares 2 10 4 4" xfId="40555" xr:uid="{00000000-0005-0000-0000-0000669E0000}"/>
    <cellStyle name="Separador de milhares 2 10 4 5" xfId="40556" xr:uid="{00000000-0005-0000-0000-0000679E0000}"/>
    <cellStyle name="Separador de milhares 2 10 4 6" xfId="40557" xr:uid="{00000000-0005-0000-0000-0000689E0000}"/>
    <cellStyle name="Separador de milhares 2 10 5" xfId="40558" xr:uid="{00000000-0005-0000-0000-0000699E0000}"/>
    <cellStyle name="Separador de milhares 2 10 5 2" xfId="40559" xr:uid="{00000000-0005-0000-0000-00006A9E0000}"/>
    <cellStyle name="Separador de milhares 2 10 5 3" xfId="40560" xr:uid="{00000000-0005-0000-0000-00006B9E0000}"/>
    <cellStyle name="Separador de milhares 2 10 5 4" xfId="40561" xr:uid="{00000000-0005-0000-0000-00006C9E0000}"/>
    <cellStyle name="Separador de milhares 2 10 5 5" xfId="40562" xr:uid="{00000000-0005-0000-0000-00006D9E0000}"/>
    <cellStyle name="Separador de milhares 2 10 5 6" xfId="40563" xr:uid="{00000000-0005-0000-0000-00006E9E0000}"/>
    <cellStyle name="Separador de milhares 2 10 6" xfId="40564" xr:uid="{00000000-0005-0000-0000-00006F9E0000}"/>
    <cellStyle name="Separador de milhares 2 10 6 2" xfId="40565" xr:uid="{00000000-0005-0000-0000-0000709E0000}"/>
    <cellStyle name="Separador de milhares 2 10 6 3" xfId="40566" xr:uid="{00000000-0005-0000-0000-0000719E0000}"/>
    <cellStyle name="Separador de milhares 2 10 6 4" xfId="40567" xr:uid="{00000000-0005-0000-0000-0000729E0000}"/>
    <cellStyle name="Separador de milhares 2 10 6 5" xfId="40568" xr:uid="{00000000-0005-0000-0000-0000739E0000}"/>
    <cellStyle name="Separador de milhares 2 10 6 6" xfId="40569" xr:uid="{00000000-0005-0000-0000-0000749E0000}"/>
    <cellStyle name="Separador de milhares 2 10 7" xfId="40570" xr:uid="{00000000-0005-0000-0000-0000759E0000}"/>
    <cellStyle name="Separador de milhares 2 10 7 2" xfId="40571" xr:uid="{00000000-0005-0000-0000-0000769E0000}"/>
    <cellStyle name="Separador de milhares 2 10 7 3" xfId="40572" xr:uid="{00000000-0005-0000-0000-0000779E0000}"/>
    <cellStyle name="Separador de milhares 2 10 7 4" xfId="40573" xr:uid="{00000000-0005-0000-0000-0000789E0000}"/>
    <cellStyle name="Separador de milhares 2 10 7 5" xfId="40574" xr:uid="{00000000-0005-0000-0000-0000799E0000}"/>
    <cellStyle name="Separador de milhares 2 10 7 6" xfId="40575" xr:uid="{00000000-0005-0000-0000-00007A9E0000}"/>
    <cellStyle name="Separador de milhares 2 10 8" xfId="40576" xr:uid="{00000000-0005-0000-0000-00007B9E0000}"/>
    <cellStyle name="Separador de milhares 2 10 8 2" xfId="40577" xr:uid="{00000000-0005-0000-0000-00007C9E0000}"/>
    <cellStyle name="Separador de milhares 2 10 8 3" xfId="40578" xr:uid="{00000000-0005-0000-0000-00007D9E0000}"/>
    <cellStyle name="Separador de milhares 2 10 8 4" xfId="40579" xr:uid="{00000000-0005-0000-0000-00007E9E0000}"/>
    <cellStyle name="Separador de milhares 2 10 8 5" xfId="40580" xr:uid="{00000000-0005-0000-0000-00007F9E0000}"/>
    <cellStyle name="Separador de milhares 2 10 8 6" xfId="40581" xr:uid="{00000000-0005-0000-0000-0000809E0000}"/>
    <cellStyle name="Separador de milhares 2 10 9" xfId="40582" xr:uid="{00000000-0005-0000-0000-0000819E0000}"/>
    <cellStyle name="Separador de milhares 2 11" xfId="40583" xr:uid="{00000000-0005-0000-0000-0000829E0000}"/>
    <cellStyle name="Separador de milhares 2 11 10" xfId="40584" xr:uid="{00000000-0005-0000-0000-0000839E0000}"/>
    <cellStyle name="Separador de milhares 2 11 11" xfId="40585" xr:uid="{00000000-0005-0000-0000-0000849E0000}"/>
    <cellStyle name="Separador de milhares 2 11 12" xfId="40586" xr:uid="{00000000-0005-0000-0000-0000859E0000}"/>
    <cellStyle name="Separador de milhares 2 11 13" xfId="40587" xr:uid="{00000000-0005-0000-0000-0000869E0000}"/>
    <cellStyle name="Separador de milhares 2 11 14" xfId="40588" xr:uid="{00000000-0005-0000-0000-0000879E0000}"/>
    <cellStyle name="Separador de milhares 2 11 2" xfId="40589" xr:uid="{00000000-0005-0000-0000-0000889E0000}"/>
    <cellStyle name="Separador de milhares 2 11 2 2" xfId="40590" xr:uid="{00000000-0005-0000-0000-0000899E0000}"/>
    <cellStyle name="Separador de milhares 2 11 2 3" xfId="40591" xr:uid="{00000000-0005-0000-0000-00008A9E0000}"/>
    <cellStyle name="Separador de milhares 2 11 2 4" xfId="40592" xr:uid="{00000000-0005-0000-0000-00008B9E0000}"/>
    <cellStyle name="Separador de milhares 2 11 2 5" xfId="40593" xr:uid="{00000000-0005-0000-0000-00008C9E0000}"/>
    <cellStyle name="Separador de milhares 2 11 2 6" xfId="40594" xr:uid="{00000000-0005-0000-0000-00008D9E0000}"/>
    <cellStyle name="Separador de milhares 2 11 3" xfId="40595" xr:uid="{00000000-0005-0000-0000-00008E9E0000}"/>
    <cellStyle name="Separador de milhares 2 11 3 2" xfId="40596" xr:uid="{00000000-0005-0000-0000-00008F9E0000}"/>
    <cellStyle name="Separador de milhares 2 11 3 3" xfId="40597" xr:uid="{00000000-0005-0000-0000-0000909E0000}"/>
    <cellStyle name="Separador de milhares 2 11 3 4" xfId="40598" xr:uid="{00000000-0005-0000-0000-0000919E0000}"/>
    <cellStyle name="Separador de milhares 2 11 3 5" xfId="40599" xr:uid="{00000000-0005-0000-0000-0000929E0000}"/>
    <cellStyle name="Separador de milhares 2 11 3 6" xfId="40600" xr:uid="{00000000-0005-0000-0000-0000939E0000}"/>
    <cellStyle name="Separador de milhares 2 11 4" xfId="40601" xr:uid="{00000000-0005-0000-0000-0000949E0000}"/>
    <cellStyle name="Separador de milhares 2 11 4 2" xfId="40602" xr:uid="{00000000-0005-0000-0000-0000959E0000}"/>
    <cellStyle name="Separador de milhares 2 11 4 3" xfId="40603" xr:uid="{00000000-0005-0000-0000-0000969E0000}"/>
    <cellStyle name="Separador de milhares 2 11 4 4" xfId="40604" xr:uid="{00000000-0005-0000-0000-0000979E0000}"/>
    <cellStyle name="Separador de milhares 2 11 4 5" xfId="40605" xr:uid="{00000000-0005-0000-0000-0000989E0000}"/>
    <cellStyle name="Separador de milhares 2 11 4 6" xfId="40606" xr:uid="{00000000-0005-0000-0000-0000999E0000}"/>
    <cellStyle name="Separador de milhares 2 11 5" xfId="40607" xr:uid="{00000000-0005-0000-0000-00009A9E0000}"/>
    <cellStyle name="Separador de milhares 2 11 5 2" xfId="40608" xr:uid="{00000000-0005-0000-0000-00009B9E0000}"/>
    <cellStyle name="Separador de milhares 2 11 5 3" xfId="40609" xr:uid="{00000000-0005-0000-0000-00009C9E0000}"/>
    <cellStyle name="Separador de milhares 2 11 5 4" xfId="40610" xr:uid="{00000000-0005-0000-0000-00009D9E0000}"/>
    <cellStyle name="Separador de milhares 2 11 5 5" xfId="40611" xr:uid="{00000000-0005-0000-0000-00009E9E0000}"/>
    <cellStyle name="Separador de milhares 2 11 5 6" xfId="40612" xr:uid="{00000000-0005-0000-0000-00009F9E0000}"/>
    <cellStyle name="Separador de milhares 2 11 6" xfId="40613" xr:uid="{00000000-0005-0000-0000-0000A09E0000}"/>
    <cellStyle name="Separador de milhares 2 11 6 2" xfId="40614" xr:uid="{00000000-0005-0000-0000-0000A19E0000}"/>
    <cellStyle name="Separador de milhares 2 11 6 3" xfId="40615" xr:uid="{00000000-0005-0000-0000-0000A29E0000}"/>
    <cellStyle name="Separador de milhares 2 11 6 4" xfId="40616" xr:uid="{00000000-0005-0000-0000-0000A39E0000}"/>
    <cellStyle name="Separador de milhares 2 11 6 5" xfId="40617" xr:uid="{00000000-0005-0000-0000-0000A49E0000}"/>
    <cellStyle name="Separador de milhares 2 11 6 6" xfId="40618" xr:uid="{00000000-0005-0000-0000-0000A59E0000}"/>
    <cellStyle name="Separador de milhares 2 11 7" xfId="40619" xr:uid="{00000000-0005-0000-0000-0000A69E0000}"/>
    <cellStyle name="Separador de milhares 2 11 7 2" xfId="40620" xr:uid="{00000000-0005-0000-0000-0000A79E0000}"/>
    <cellStyle name="Separador de milhares 2 11 7 3" xfId="40621" xr:uid="{00000000-0005-0000-0000-0000A89E0000}"/>
    <cellStyle name="Separador de milhares 2 11 7 4" xfId="40622" xr:uid="{00000000-0005-0000-0000-0000A99E0000}"/>
    <cellStyle name="Separador de milhares 2 11 7 5" xfId="40623" xr:uid="{00000000-0005-0000-0000-0000AA9E0000}"/>
    <cellStyle name="Separador de milhares 2 11 7 6" xfId="40624" xr:uid="{00000000-0005-0000-0000-0000AB9E0000}"/>
    <cellStyle name="Separador de milhares 2 11 8" xfId="40625" xr:uid="{00000000-0005-0000-0000-0000AC9E0000}"/>
    <cellStyle name="Separador de milhares 2 11 8 2" xfId="40626" xr:uid="{00000000-0005-0000-0000-0000AD9E0000}"/>
    <cellStyle name="Separador de milhares 2 11 8 3" xfId="40627" xr:uid="{00000000-0005-0000-0000-0000AE9E0000}"/>
    <cellStyle name="Separador de milhares 2 11 8 4" xfId="40628" xr:uid="{00000000-0005-0000-0000-0000AF9E0000}"/>
    <cellStyle name="Separador de milhares 2 11 8 5" xfId="40629" xr:uid="{00000000-0005-0000-0000-0000B09E0000}"/>
    <cellStyle name="Separador de milhares 2 11 8 6" xfId="40630" xr:uid="{00000000-0005-0000-0000-0000B19E0000}"/>
    <cellStyle name="Separador de milhares 2 11 9" xfId="40631" xr:uid="{00000000-0005-0000-0000-0000B29E0000}"/>
    <cellStyle name="Separador de milhares 2 12" xfId="40632" xr:uid="{00000000-0005-0000-0000-0000B39E0000}"/>
    <cellStyle name="Separador de milhares 2 12 10" xfId="40633" xr:uid="{00000000-0005-0000-0000-0000B49E0000}"/>
    <cellStyle name="Separador de milhares 2 12 11" xfId="40634" xr:uid="{00000000-0005-0000-0000-0000B59E0000}"/>
    <cellStyle name="Separador de milhares 2 12 12" xfId="40635" xr:uid="{00000000-0005-0000-0000-0000B69E0000}"/>
    <cellStyle name="Separador de milhares 2 12 13" xfId="40636" xr:uid="{00000000-0005-0000-0000-0000B79E0000}"/>
    <cellStyle name="Separador de milhares 2 12 2" xfId="40637" xr:uid="{00000000-0005-0000-0000-0000B89E0000}"/>
    <cellStyle name="Separador de milhares 2 12 2 2" xfId="40638" xr:uid="{00000000-0005-0000-0000-0000B99E0000}"/>
    <cellStyle name="Separador de milhares 2 12 2 3" xfId="40639" xr:uid="{00000000-0005-0000-0000-0000BA9E0000}"/>
    <cellStyle name="Separador de milhares 2 12 2 4" xfId="40640" xr:uid="{00000000-0005-0000-0000-0000BB9E0000}"/>
    <cellStyle name="Separador de milhares 2 12 2 5" xfId="40641" xr:uid="{00000000-0005-0000-0000-0000BC9E0000}"/>
    <cellStyle name="Separador de milhares 2 12 2 6" xfId="40642" xr:uid="{00000000-0005-0000-0000-0000BD9E0000}"/>
    <cellStyle name="Separador de milhares 2 12 3" xfId="40643" xr:uid="{00000000-0005-0000-0000-0000BE9E0000}"/>
    <cellStyle name="Separador de milhares 2 12 3 2" xfId="40644" xr:uid="{00000000-0005-0000-0000-0000BF9E0000}"/>
    <cellStyle name="Separador de milhares 2 12 3 3" xfId="40645" xr:uid="{00000000-0005-0000-0000-0000C09E0000}"/>
    <cellStyle name="Separador de milhares 2 12 3 4" xfId="40646" xr:uid="{00000000-0005-0000-0000-0000C19E0000}"/>
    <cellStyle name="Separador de milhares 2 12 3 5" xfId="40647" xr:uid="{00000000-0005-0000-0000-0000C29E0000}"/>
    <cellStyle name="Separador de milhares 2 12 3 6" xfId="40648" xr:uid="{00000000-0005-0000-0000-0000C39E0000}"/>
    <cellStyle name="Separador de milhares 2 12 4" xfId="40649" xr:uid="{00000000-0005-0000-0000-0000C49E0000}"/>
    <cellStyle name="Separador de milhares 2 12 4 2" xfId="40650" xr:uid="{00000000-0005-0000-0000-0000C59E0000}"/>
    <cellStyle name="Separador de milhares 2 12 4 3" xfId="40651" xr:uid="{00000000-0005-0000-0000-0000C69E0000}"/>
    <cellStyle name="Separador de milhares 2 12 4 4" xfId="40652" xr:uid="{00000000-0005-0000-0000-0000C79E0000}"/>
    <cellStyle name="Separador de milhares 2 12 4 5" xfId="40653" xr:uid="{00000000-0005-0000-0000-0000C89E0000}"/>
    <cellStyle name="Separador de milhares 2 12 4 6" xfId="40654" xr:uid="{00000000-0005-0000-0000-0000C99E0000}"/>
    <cellStyle name="Separador de milhares 2 12 5" xfId="40655" xr:uid="{00000000-0005-0000-0000-0000CA9E0000}"/>
    <cellStyle name="Separador de milhares 2 12 5 2" xfId="40656" xr:uid="{00000000-0005-0000-0000-0000CB9E0000}"/>
    <cellStyle name="Separador de milhares 2 12 5 3" xfId="40657" xr:uid="{00000000-0005-0000-0000-0000CC9E0000}"/>
    <cellStyle name="Separador de milhares 2 12 5 4" xfId="40658" xr:uid="{00000000-0005-0000-0000-0000CD9E0000}"/>
    <cellStyle name="Separador de milhares 2 12 5 5" xfId="40659" xr:uid="{00000000-0005-0000-0000-0000CE9E0000}"/>
    <cellStyle name="Separador de milhares 2 12 5 6" xfId="40660" xr:uid="{00000000-0005-0000-0000-0000CF9E0000}"/>
    <cellStyle name="Separador de milhares 2 12 6" xfId="40661" xr:uid="{00000000-0005-0000-0000-0000D09E0000}"/>
    <cellStyle name="Separador de milhares 2 12 6 2" xfId="40662" xr:uid="{00000000-0005-0000-0000-0000D19E0000}"/>
    <cellStyle name="Separador de milhares 2 12 6 3" xfId="40663" xr:uid="{00000000-0005-0000-0000-0000D29E0000}"/>
    <cellStyle name="Separador de milhares 2 12 6 4" xfId="40664" xr:uid="{00000000-0005-0000-0000-0000D39E0000}"/>
    <cellStyle name="Separador de milhares 2 12 6 5" xfId="40665" xr:uid="{00000000-0005-0000-0000-0000D49E0000}"/>
    <cellStyle name="Separador de milhares 2 12 6 6" xfId="40666" xr:uid="{00000000-0005-0000-0000-0000D59E0000}"/>
    <cellStyle name="Separador de milhares 2 12 7" xfId="40667" xr:uid="{00000000-0005-0000-0000-0000D69E0000}"/>
    <cellStyle name="Separador de milhares 2 12 7 2" xfId="40668" xr:uid="{00000000-0005-0000-0000-0000D79E0000}"/>
    <cellStyle name="Separador de milhares 2 12 7 3" xfId="40669" xr:uid="{00000000-0005-0000-0000-0000D89E0000}"/>
    <cellStyle name="Separador de milhares 2 12 7 4" xfId="40670" xr:uid="{00000000-0005-0000-0000-0000D99E0000}"/>
    <cellStyle name="Separador de milhares 2 12 7 5" xfId="40671" xr:uid="{00000000-0005-0000-0000-0000DA9E0000}"/>
    <cellStyle name="Separador de milhares 2 12 7 6" xfId="40672" xr:uid="{00000000-0005-0000-0000-0000DB9E0000}"/>
    <cellStyle name="Separador de milhares 2 12 8" xfId="40673" xr:uid="{00000000-0005-0000-0000-0000DC9E0000}"/>
    <cellStyle name="Separador de milhares 2 12 8 2" xfId="40674" xr:uid="{00000000-0005-0000-0000-0000DD9E0000}"/>
    <cellStyle name="Separador de milhares 2 12 8 3" xfId="40675" xr:uid="{00000000-0005-0000-0000-0000DE9E0000}"/>
    <cellStyle name="Separador de milhares 2 12 8 4" xfId="40676" xr:uid="{00000000-0005-0000-0000-0000DF9E0000}"/>
    <cellStyle name="Separador de milhares 2 12 8 5" xfId="40677" xr:uid="{00000000-0005-0000-0000-0000E09E0000}"/>
    <cellStyle name="Separador de milhares 2 12 8 6" xfId="40678" xr:uid="{00000000-0005-0000-0000-0000E19E0000}"/>
    <cellStyle name="Separador de milhares 2 12 9" xfId="40679" xr:uid="{00000000-0005-0000-0000-0000E29E0000}"/>
    <cellStyle name="Separador de milhares 2 13" xfId="40680" xr:uid="{00000000-0005-0000-0000-0000E39E0000}"/>
    <cellStyle name="Separador de milhares 2 13 10" xfId="40681" xr:uid="{00000000-0005-0000-0000-0000E49E0000}"/>
    <cellStyle name="Separador de milhares 2 13 11" xfId="40682" xr:uid="{00000000-0005-0000-0000-0000E59E0000}"/>
    <cellStyle name="Separador de milhares 2 13 12" xfId="40683" xr:uid="{00000000-0005-0000-0000-0000E69E0000}"/>
    <cellStyle name="Separador de milhares 2 13 13" xfId="40684" xr:uid="{00000000-0005-0000-0000-0000E79E0000}"/>
    <cellStyle name="Separador de milhares 2 13 2" xfId="40685" xr:uid="{00000000-0005-0000-0000-0000E89E0000}"/>
    <cellStyle name="Separador de milhares 2 13 2 2" xfId="40686" xr:uid="{00000000-0005-0000-0000-0000E99E0000}"/>
    <cellStyle name="Separador de milhares 2 13 2 3" xfId="40687" xr:uid="{00000000-0005-0000-0000-0000EA9E0000}"/>
    <cellStyle name="Separador de milhares 2 13 2 4" xfId="40688" xr:uid="{00000000-0005-0000-0000-0000EB9E0000}"/>
    <cellStyle name="Separador de milhares 2 13 2 5" xfId="40689" xr:uid="{00000000-0005-0000-0000-0000EC9E0000}"/>
    <cellStyle name="Separador de milhares 2 13 2 6" xfId="40690" xr:uid="{00000000-0005-0000-0000-0000ED9E0000}"/>
    <cellStyle name="Separador de milhares 2 13 3" xfId="40691" xr:uid="{00000000-0005-0000-0000-0000EE9E0000}"/>
    <cellStyle name="Separador de milhares 2 13 3 2" xfId="40692" xr:uid="{00000000-0005-0000-0000-0000EF9E0000}"/>
    <cellStyle name="Separador de milhares 2 13 3 3" xfId="40693" xr:uid="{00000000-0005-0000-0000-0000F09E0000}"/>
    <cellStyle name="Separador de milhares 2 13 3 4" xfId="40694" xr:uid="{00000000-0005-0000-0000-0000F19E0000}"/>
    <cellStyle name="Separador de milhares 2 13 3 5" xfId="40695" xr:uid="{00000000-0005-0000-0000-0000F29E0000}"/>
    <cellStyle name="Separador de milhares 2 13 3 6" xfId="40696" xr:uid="{00000000-0005-0000-0000-0000F39E0000}"/>
    <cellStyle name="Separador de milhares 2 13 4" xfId="40697" xr:uid="{00000000-0005-0000-0000-0000F49E0000}"/>
    <cellStyle name="Separador de milhares 2 13 4 2" xfId="40698" xr:uid="{00000000-0005-0000-0000-0000F59E0000}"/>
    <cellStyle name="Separador de milhares 2 13 4 3" xfId="40699" xr:uid="{00000000-0005-0000-0000-0000F69E0000}"/>
    <cellStyle name="Separador de milhares 2 13 4 4" xfId="40700" xr:uid="{00000000-0005-0000-0000-0000F79E0000}"/>
    <cellStyle name="Separador de milhares 2 13 4 5" xfId="40701" xr:uid="{00000000-0005-0000-0000-0000F89E0000}"/>
    <cellStyle name="Separador de milhares 2 13 4 6" xfId="40702" xr:uid="{00000000-0005-0000-0000-0000F99E0000}"/>
    <cellStyle name="Separador de milhares 2 13 5" xfId="40703" xr:uid="{00000000-0005-0000-0000-0000FA9E0000}"/>
    <cellStyle name="Separador de milhares 2 13 5 2" xfId="40704" xr:uid="{00000000-0005-0000-0000-0000FB9E0000}"/>
    <cellStyle name="Separador de milhares 2 13 5 3" xfId="40705" xr:uid="{00000000-0005-0000-0000-0000FC9E0000}"/>
    <cellStyle name="Separador de milhares 2 13 5 4" xfId="40706" xr:uid="{00000000-0005-0000-0000-0000FD9E0000}"/>
    <cellStyle name="Separador de milhares 2 13 5 5" xfId="40707" xr:uid="{00000000-0005-0000-0000-0000FE9E0000}"/>
    <cellStyle name="Separador de milhares 2 13 5 6" xfId="40708" xr:uid="{00000000-0005-0000-0000-0000FF9E0000}"/>
    <cellStyle name="Separador de milhares 2 13 6" xfId="40709" xr:uid="{00000000-0005-0000-0000-0000009F0000}"/>
    <cellStyle name="Separador de milhares 2 13 6 2" xfId="40710" xr:uid="{00000000-0005-0000-0000-0000019F0000}"/>
    <cellStyle name="Separador de milhares 2 13 6 3" xfId="40711" xr:uid="{00000000-0005-0000-0000-0000029F0000}"/>
    <cellStyle name="Separador de milhares 2 13 6 4" xfId="40712" xr:uid="{00000000-0005-0000-0000-0000039F0000}"/>
    <cellStyle name="Separador de milhares 2 13 6 5" xfId="40713" xr:uid="{00000000-0005-0000-0000-0000049F0000}"/>
    <cellStyle name="Separador de milhares 2 13 6 6" xfId="40714" xr:uid="{00000000-0005-0000-0000-0000059F0000}"/>
    <cellStyle name="Separador de milhares 2 13 7" xfId="40715" xr:uid="{00000000-0005-0000-0000-0000069F0000}"/>
    <cellStyle name="Separador de milhares 2 13 7 2" xfId="40716" xr:uid="{00000000-0005-0000-0000-0000079F0000}"/>
    <cellStyle name="Separador de milhares 2 13 7 3" xfId="40717" xr:uid="{00000000-0005-0000-0000-0000089F0000}"/>
    <cellStyle name="Separador de milhares 2 13 7 4" xfId="40718" xr:uid="{00000000-0005-0000-0000-0000099F0000}"/>
    <cellStyle name="Separador de milhares 2 13 7 5" xfId="40719" xr:uid="{00000000-0005-0000-0000-00000A9F0000}"/>
    <cellStyle name="Separador de milhares 2 13 7 6" xfId="40720" xr:uid="{00000000-0005-0000-0000-00000B9F0000}"/>
    <cellStyle name="Separador de milhares 2 13 8" xfId="40721" xr:uid="{00000000-0005-0000-0000-00000C9F0000}"/>
    <cellStyle name="Separador de milhares 2 13 8 2" xfId="40722" xr:uid="{00000000-0005-0000-0000-00000D9F0000}"/>
    <cellStyle name="Separador de milhares 2 13 8 3" xfId="40723" xr:uid="{00000000-0005-0000-0000-00000E9F0000}"/>
    <cellStyle name="Separador de milhares 2 13 8 4" xfId="40724" xr:uid="{00000000-0005-0000-0000-00000F9F0000}"/>
    <cellStyle name="Separador de milhares 2 13 8 5" xfId="40725" xr:uid="{00000000-0005-0000-0000-0000109F0000}"/>
    <cellStyle name="Separador de milhares 2 13 8 6" xfId="40726" xr:uid="{00000000-0005-0000-0000-0000119F0000}"/>
    <cellStyle name="Separador de milhares 2 13 9" xfId="40727" xr:uid="{00000000-0005-0000-0000-0000129F0000}"/>
    <cellStyle name="Separador de milhares 2 14" xfId="40728" xr:uid="{00000000-0005-0000-0000-0000139F0000}"/>
    <cellStyle name="Separador de milhares 2 14 10" xfId="40729" xr:uid="{00000000-0005-0000-0000-0000149F0000}"/>
    <cellStyle name="Separador de milhares 2 14 11" xfId="40730" xr:uid="{00000000-0005-0000-0000-0000159F0000}"/>
    <cellStyle name="Separador de milhares 2 14 12" xfId="40731" xr:uid="{00000000-0005-0000-0000-0000169F0000}"/>
    <cellStyle name="Separador de milhares 2 14 13" xfId="40732" xr:uid="{00000000-0005-0000-0000-0000179F0000}"/>
    <cellStyle name="Separador de milhares 2 14 2" xfId="40733" xr:uid="{00000000-0005-0000-0000-0000189F0000}"/>
    <cellStyle name="Separador de milhares 2 14 2 2" xfId="40734" xr:uid="{00000000-0005-0000-0000-0000199F0000}"/>
    <cellStyle name="Separador de milhares 2 14 2 3" xfId="40735" xr:uid="{00000000-0005-0000-0000-00001A9F0000}"/>
    <cellStyle name="Separador de milhares 2 14 2 4" xfId="40736" xr:uid="{00000000-0005-0000-0000-00001B9F0000}"/>
    <cellStyle name="Separador de milhares 2 14 2 5" xfId="40737" xr:uid="{00000000-0005-0000-0000-00001C9F0000}"/>
    <cellStyle name="Separador de milhares 2 14 2 6" xfId="40738" xr:uid="{00000000-0005-0000-0000-00001D9F0000}"/>
    <cellStyle name="Separador de milhares 2 14 3" xfId="40739" xr:uid="{00000000-0005-0000-0000-00001E9F0000}"/>
    <cellStyle name="Separador de milhares 2 14 3 2" xfId="40740" xr:uid="{00000000-0005-0000-0000-00001F9F0000}"/>
    <cellStyle name="Separador de milhares 2 14 3 3" xfId="40741" xr:uid="{00000000-0005-0000-0000-0000209F0000}"/>
    <cellStyle name="Separador de milhares 2 14 3 4" xfId="40742" xr:uid="{00000000-0005-0000-0000-0000219F0000}"/>
    <cellStyle name="Separador de milhares 2 14 3 5" xfId="40743" xr:uid="{00000000-0005-0000-0000-0000229F0000}"/>
    <cellStyle name="Separador de milhares 2 14 3 6" xfId="40744" xr:uid="{00000000-0005-0000-0000-0000239F0000}"/>
    <cellStyle name="Separador de milhares 2 14 4" xfId="40745" xr:uid="{00000000-0005-0000-0000-0000249F0000}"/>
    <cellStyle name="Separador de milhares 2 14 4 2" xfId="40746" xr:uid="{00000000-0005-0000-0000-0000259F0000}"/>
    <cellStyle name="Separador de milhares 2 14 4 3" xfId="40747" xr:uid="{00000000-0005-0000-0000-0000269F0000}"/>
    <cellStyle name="Separador de milhares 2 14 4 4" xfId="40748" xr:uid="{00000000-0005-0000-0000-0000279F0000}"/>
    <cellStyle name="Separador de milhares 2 14 4 5" xfId="40749" xr:uid="{00000000-0005-0000-0000-0000289F0000}"/>
    <cellStyle name="Separador de milhares 2 14 4 6" xfId="40750" xr:uid="{00000000-0005-0000-0000-0000299F0000}"/>
    <cellStyle name="Separador de milhares 2 14 5" xfId="40751" xr:uid="{00000000-0005-0000-0000-00002A9F0000}"/>
    <cellStyle name="Separador de milhares 2 14 5 2" xfId="40752" xr:uid="{00000000-0005-0000-0000-00002B9F0000}"/>
    <cellStyle name="Separador de milhares 2 14 5 3" xfId="40753" xr:uid="{00000000-0005-0000-0000-00002C9F0000}"/>
    <cellStyle name="Separador de milhares 2 14 5 4" xfId="40754" xr:uid="{00000000-0005-0000-0000-00002D9F0000}"/>
    <cellStyle name="Separador de milhares 2 14 5 5" xfId="40755" xr:uid="{00000000-0005-0000-0000-00002E9F0000}"/>
    <cellStyle name="Separador de milhares 2 14 5 6" xfId="40756" xr:uid="{00000000-0005-0000-0000-00002F9F0000}"/>
    <cellStyle name="Separador de milhares 2 14 6" xfId="40757" xr:uid="{00000000-0005-0000-0000-0000309F0000}"/>
    <cellStyle name="Separador de milhares 2 14 6 2" xfId="40758" xr:uid="{00000000-0005-0000-0000-0000319F0000}"/>
    <cellStyle name="Separador de milhares 2 14 6 3" xfId="40759" xr:uid="{00000000-0005-0000-0000-0000329F0000}"/>
    <cellStyle name="Separador de milhares 2 14 6 4" xfId="40760" xr:uid="{00000000-0005-0000-0000-0000339F0000}"/>
    <cellStyle name="Separador de milhares 2 14 6 5" xfId="40761" xr:uid="{00000000-0005-0000-0000-0000349F0000}"/>
    <cellStyle name="Separador de milhares 2 14 6 6" xfId="40762" xr:uid="{00000000-0005-0000-0000-0000359F0000}"/>
    <cellStyle name="Separador de milhares 2 14 7" xfId="40763" xr:uid="{00000000-0005-0000-0000-0000369F0000}"/>
    <cellStyle name="Separador de milhares 2 14 7 2" xfId="40764" xr:uid="{00000000-0005-0000-0000-0000379F0000}"/>
    <cellStyle name="Separador de milhares 2 14 7 3" xfId="40765" xr:uid="{00000000-0005-0000-0000-0000389F0000}"/>
    <cellStyle name="Separador de milhares 2 14 7 4" xfId="40766" xr:uid="{00000000-0005-0000-0000-0000399F0000}"/>
    <cellStyle name="Separador de milhares 2 14 7 5" xfId="40767" xr:uid="{00000000-0005-0000-0000-00003A9F0000}"/>
    <cellStyle name="Separador de milhares 2 14 7 6" xfId="40768" xr:uid="{00000000-0005-0000-0000-00003B9F0000}"/>
    <cellStyle name="Separador de milhares 2 14 8" xfId="40769" xr:uid="{00000000-0005-0000-0000-00003C9F0000}"/>
    <cellStyle name="Separador de milhares 2 14 8 2" xfId="40770" xr:uid="{00000000-0005-0000-0000-00003D9F0000}"/>
    <cellStyle name="Separador de milhares 2 14 8 3" xfId="40771" xr:uid="{00000000-0005-0000-0000-00003E9F0000}"/>
    <cellStyle name="Separador de milhares 2 14 8 4" xfId="40772" xr:uid="{00000000-0005-0000-0000-00003F9F0000}"/>
    <cellStyle name="Separador de milhares 2 14 8 5" xfId="40773" xr:uid="{00000000-0005-0000-0000-0000409F0000}"/>
    <cellStyle name="Separador de milhares 2 14 8 6" xfId="40774" xr:uid="{00000000-0005-0000-0000-0000419F0000}"/>
    <cellStyle name="Separador de milhares 2 14 9" xfId="40775" xr:uid="{00000000-0005-0000-0000-0000429F0000}"/>
    <cellStyle name="Separador de milhares 2 15" xfId="40776" xr:uid="{00000000-0005-0000-0000-0000439F0000}"/>
    <cellStyle name="Separador de milhares 2 15 10" xfId="40777" xr:uid="{00000000-0005-0000-0000-0000449F0000}"/>
    <cellStyle name="Separador de milhares 2 15 11" xfId="40778" xr:uid="{00000000-0005-0000-0000-0000459F0000}"/>
    <cellStyle name="Separador de milhares 2 15 12" xfId="40779" xr:uid="{00000000-0005-0000-0000-0000469F0000}"/>
    <cellStyle name="Separador de milhares 2 15 13" xfId="40780" xr:uid="{00000000-0005-0000-0000-0000479F0000}"/>
    <cellStyle name="Separador de milhares 2 15 2" xfId="40781" xr:uid="{00000000-0005-0000-0000-0000489F0000}"/>
    <cellStyle name="Separador de milhares 2 15 2 2" xfId="40782" xr:uid="{00000000-0005-0000-0000-0000499F0000}"/>
    <cellStyle name="Separador de milhares 2 15 2 3" xfId="40783" xr:uid="{00000000-0005-0000-0000-00004A9F0000}"/>
    <cellStyle name="Separador de milhares 2 15 2 4" xfId="40784" xr:uid="{00000000-0005-0000-0000-00004B9F0000}"/>
    <cellStyle name="Separador de milhares 2 15 2 5" xfId="40785" xr:uid="{00000000-0005-0000-0000-00004C9F0000}"/>
    <cellStyle name="Separador de milhares 2 15 2 6" xfId="40786" xr:uid="{00000000-0005-0000-0000-00004D9F0000}"/>
    <cellStyle name="Separador de milhares 2 15 3" xfId="40787" xr:uid="{00000000-0005-0000-0000-00004E9F0000}"/>
    <cellStyle name="Separador de milhares 2 15 3 2" xfId="40788" xr:uid="{00000000-0005-0000-0000-00004F9F0000}"/>
    <cellStyle name="Separador de milhares 2 15 3 3" xfId="40789" xr:uid="{00000000-0005-0000-0000-0000509F0000}"/>
    <cellStyle name="Separador de milhares 2 15 3 4" xfId="40790" xr:uid="{00000000-0005-0000-0000-0000519F0000}"/>
    <cellStyle name="Separador de milhares 2 15 3 5" xfId="40791" xr:uid="{00000000-0005-0000-0000-0000529F0000}"/>
    <cellStyle name="Separador de milhares 2 15 3 6" xfId="40792" xr:uid="{00000000-0005-0000-0000-0000539F0000}"/>
    <cellStyle name="Separador de milhares 2 15 4" xfId="40793" xr:uid="{00000000-0005-0000-0000-0000549F0000}"/>
    <cellStyle name="Separador de milhares 2 15 4 2" xfId="40794" xr:uid="{00000000-0005-0000-0000-0000559F0000}"/>
    <cellStyle name="Separador de milhares 2 15 4 3" xfId="40795" xr:uid="{00000000-0005-0000-0000-0000569F0000}"/>
    <cellStyle name="Separador de milhares 2 15 4 4" xfId="40796" xr:uid="{00000000-0005-0000-0000-0000579F0000}"/>
    <cellStyle name="Separador de milhares 2 15 4 5" xfId="40797" xr:uid="{00000000-0005-0000-0000-0000589F0000}"/>
    <cellStyle name="Separador de milhares 2 15 4 6" xfId="40798" xr:uid="{00000000-0005-0000-0000-0000599F0000}"/>
    <cellStyle name="Separador de milhares 2 15 5" xfId="40799" xr:uid="{00000000-0005-0000-0000-00005A9F0000}"/>
    <cellStyle name="Separador de milhares 2 15 5 2" xfId="40800" xr:uid="{00000000-0005-0000-0000-00005B9F0000}"/>
    <cellStyle name="Separador de milhares 2 15 5 3" xfId="40801" xr:uid="{00000000-0005-0000-0000-00005C9F0000}"/>
    <cellStyle name="Separador de milhares 2 15 5 4" xfId="40802" xr:uid="{00000000-0005-0000-0000-00005D9F0000}"/>
    <cellStyle name="Separador de milhares 2 15 5 5" xfId="40803" xr:uid="{00000000-0005-0000-0000-00005E9F0000}"/>
    <cellStyle name="Separador de milhares 2 15 5 6" xfId="40804" xr:uid="{00000000-0005-0000-0000-00005F9F0000}"/>
    <cellStyle name="Separador de milhares 2 15 6" xfId="40805" xr:uid="{00000000-0005-0000-0000-0000609F0000}"/>
    <cellStyle name="Separador de milhares 2 15 6 2" xfId="40806" xr:uid="{00000000-0005-0000-0000-0000619F0000}"/>
    <cellStyle name="Separador de milhares 2 15 6 3" xfId="40807" xr:uid="{00000000-0005-0000-0000-0000629F0000}"/>
    <cellStyle name="Separador de milhares 2 15 6 4" xfId="40808" xr:uid="{00000000-0005-0000-0000-0000639F0000}"/>
    <cellStyle name="Separador de milhares 2 15 6 5" xfId="40809" xr:uid="{00000000-0005-0000-0000-0000649F0000}"/>
    <cellStyle name="Separador de milhares 2 15 6 6" xfId="40810" xr:uid="{00000000-0005-0000-0000-0000659F0000}"/>
    <cellStyle name="Separador de milhares 2 15 7" xfId="40811" xr:uid="{00000000-0005-0000-0000-0000669F0000}"/>
    <cellStyle name="Separador de milhares 2 15 7 2" xfId="40812" xr:uid="{00000000-0005-0000-0000-0000679F0000}"/>
    <cellStyle name="Separador de milhares 2 15 7 3" xfId="40813" xr:uid="{00000000-0005-0000-0000-0000689F0000}"/>
    <cellStyle name="Separador de milhares 2 15 7 4" xfId="40814" xr:uid="{00000000-0005-0000-0000-0000699F0000}"/>
    <cellStyle name="Separador de milhares 2 15 7 5" xfId="40815" xr:uid="{00000000-0005-0000-0000-00006A9F0000}"/>
    <cellStyle name="Separador de milhares 2 15 7 6" xfId="40816" xr:uid="{00000000-0005-0000-0000-00006B9F0000}"/>
    <cellStyle name="Separador de milhares 2 15 8" xfId="40817" xr:uid="{00000000-0005-0000-0000-00006C9F0000}"/>
    <cellStyle name="Separador de milhares 2 15 8 2" xfId="40818" xr:uid="{00000000-0005-0000-0000-00006D9F0000}"/>
    <cellStyle name="Separador de milhares 2 15 8 3" xfId="40819" xr:uid="{00000000-0005-0000-0000-00006E9F0000}"/>
    <cellStyle name="Separador de milhares 2 15 8 4" xfId="40820" xr:uid="{00000000-0005-0000-0000-00006F9F0000}"/>
    <cellStyle name="Separador de milhares 2 15 8 5" xfId="40821" xr:uid="{00000000-0005-0000-0000-0000709F0000}"/>
    <cellStyle name="Separador de milhares 2 15 8 6" xfId="40822" xr:uid="{00000000-0005-0000-0000-0000719F0000}"/>
    <cellStyle name="Separador de milhares 2 15 9" xfId="40823" xr:uid="{00000000-0005-0000-0000-0000729F0000}"/>
    <cellStyle name="Separador de milhares 2 16" xfId="40824" xr:uid="{00000000-0005-0000-0000-0000739F0000}"/>
    <cellStyle name="Separador de milhares 2 16 10" xfId="40825" xr:uid="{00000000-0005-0000-0000-0000749F0000}"/>
    <cellStyle name="Separador de milhares 2 16 11" xfId="40826" xr:uid="{00000000-0005-0000-0000-0000759F0000}"/>
    <cellStyle name="Separador de milhares 2 16 12" xfId="40827" xr:uid="{00000000-0005-0000-0000-0000769F0000}"/>
    <cellStyle name="Separador de milhares 2 16 13" xfId="40828" xr:uid="{00000000-0005-0000-0000-0000779F0000}"/>
    <cellStyle name="Separador de milhares 2 16 2" xfId="40829" xr:uid="{00000000-0005-0000-0000-0000789F0000}"/>
    <cellStyle name="Separador de milhares 2 16 2 2" xfId="40830" xr:uid="{00000000-0005-0000-0000-0000799F0000}"/>
    <cellStyle name="Separador de milhares 2 16 2 3" xfId="40831" xr:uid="{00000000-0005-0000-0000-00007A9F0000}"/>
    <cellStyle name="Separador de milhares 2 16 2 4" xfId="40832" xr:uid="{00000000-0005-0000-0000-00007B9F0000}"/>
    <cellStyle name="Separador de milhares 2 16 2 5" xfId="40833" xr:uid="{00000000-0005-0000-0000-00007C9F0000}"/>
    <cellStyle name="Separador de milhares 2 16 2 6" xfId="40834" xr:uid="{00000000-0005-0000-0000-00007D9F0000}"/>
    <cellStyle name="Separador de milhares 2 16 3" xfId="40835" xr:uid="{00000000-0005-0000-0000-00007E9F0000}"/>
    <cellStyle name="Separador de milhares 2 16 3 2" xfId="40836" xr:uid="{00000000-0005-0000-0000-00007F9F0000}"/>
    <cellStyle name="Separador de milhares 2 16 3 3" xfId="40837" xr:uid="{00000000-0005-0000-0000-0000809F0000}"/>
    <cellStyle name="Separador de milhares 2 16 3 4" xfId="40838" xr:uid="{00000000-0005-0000-0000-0000819F0000}"/>
    <cellStyle name="Separador de milhares 2 16 3 5" xfId="40839" xr:uid="{00000000-0005-0000-0000-0000829F0000}"/>
    <cellStyle name="Separador de milhares 2 16 3 6" xfId="40840" xr:uid="{00000000-0005-0000-0000-0000839F0000}"/>
    <cellStyle name="Separador de milhares 2 16 4" xfId="40841" xr:uid="{00000000-0005-0000-0000-0000849F0000}"/>
    <cellStyle name="Separador de milhares 2 16 4 2" xfId="40842" xr:uid="{00000000-0005-0000-0000-0000859F0000}"/>
    <cellStyle name="Separador de milhares 2 16 4 3" xfId="40843" xr:uid="{00000000-0005-0000-0000-0000869F0000}"/>
    <cellStyle name="Separador de milhares 2 16 4 4" xfId="40844" xr:uid="{00000000-0005-0000-0000-0000879F0000}"/>
    <cellStyle name="Separador de milhares 2 16 4 5" xfId="40845" xr:uid="{00000000-0005-0000-0000-0000889F0000}"/>
    <cellStyle name="Separador de milhares 2 16 4 6" xfId="40846" xr:uid="{00000000-0005-0000-0000-0000899F0000}"/>
    <cellStyle name="Separador de milhares 2 16 5" xfId="40847" xr:uid="{00000000-0005-0000-0000-00008A9F0000}"/>
    <cellStyle name="Separador de milhares 2 16 5 2" xfId="40848" xr:uid="{00000000-0005-0000-0000-00008B9F0000}"/>
    <cellStyle name="Separador de milhares 2 16 5 3" xfId="40849" xr:uid="{00000000-0005-0000-0000-00008C9F0000}"/>
    <cellStyle name="Separador de milhares 2 16 5 4" xfId="40850" xr:uid="{00000000-0005-0000-0000-00008D9F0000}"/>
    <cellStyle name="Separador de milhares 2 16 5 5" xfId="40851" xr:uid="{00000000-0005-0000-0000-00008E9F0000}"/>
    <cellStyle name="Separador de milhares 2 16 5 6" xfId="40852" xr:uid="{00000000-0005-0000-0000-00008F9F0000}"/>
    <cellStyle name="Separador de milhares 2 16 6" xfId="40853" xr:uid="{00000000-0005-0000-0000-0000909F0000}"/>
    <cellStyle name="Separador de milhares 2 16 6 2" xfId="40854" xr:uid="{00000000-0005-0000-0000-0000919F0000}"/>
    <cellStyle name="Separador de milhares 2 16 6 3" xfId="40855" xr:uid="{00000000-0005-0000-0000-0000929F0000}"/>
    <cellStyle name="Separador de milhares 2 16 6 4" xfId="40856" xr:uid="{00000000-0005-0000-0000-0000939F0000}"/>
    <cellStyle name="Separador de milhares 2 16 6 5" xfId="40857" xr:uid="{00000000-0005-0000-0000-0000949F0000}"/>
    <cellStyle name="Separador de milhares 2 16 6 6" xfId="40858" xr:uid="{00000000-0005-0000-0000-0000959F0000}"/>
    <cellStyle name="Separador de milhares 2 16 7" xfId="40859" xr:uid="{00000000-0005-0000-0000-0000969F0000}"/>
    <cellStyle name="Separador de milhares 2 16 7 2" xfId="40860" xr:uid="{00000000-0005-0000-0000-0000979F0000}"/>
    <cellStyle name="Separador de milhares 2 16 7 3" xfId="40861" xr:uid="{00000000-0005-0000-0000-0000989F0000}"/>
    <cellStyle name="Separador de milhares 2 16 7 4" xfId="40862" xr:uid="{00000000-0005-0000-0000-0000999F0000}"/>
    <cellStyle name="Separador de milhares 2 16 7 5" xfId="40863" xr:uid="{00000000-0005-0000-0000-00009A9F0000}"/>
    <cellStyle name="Separador de milhares 2 16 7 6" xfId="40864" xr:uid="{00000000-0005-0000-0000-00009B9F0000}"/>
    <cellStyle name="Separador de milhares 2 16 8" xfId="40865" xr:uid="{00000000-0005-0000-0000-00009C9F0000}"/>
    <cellStyle name="Separador de milhares 2 16 8 2" xfId="40866" xr:uid="{00000000-0005-0000-0000-00009D9F0000}"/>
    <cellStyle name="Separador de milhares 2 16 8 3" xfId="40867" xr:uid="{00000000-0005-0000-0000-00009E9F0000}"/>
    <cellStyle name="Separador de milhares 2 16 8 4" xfId="40868" xr:uid="{00000000-0005-0000-0000-00009F9F0000}"/>
    <cellStyle name="Separador de milhares 2 16 8 5" xfId="40869" xr:uid="{00000000-0005-0000-0000-0000A09F0000}"/>
    <cellStyle name="Separador de milhares 2 16 8 6" xfId="40870" xr:uid="{00000000-0005-0000-0000-0000A19F0000}"/>
    <cellStyle name="Separador de milhares 2 16 9" xfId="40871" xr:uid="{00000000-0005-0000-0000-0000A29F0000}"/>
    <cellStyle name="Separador de milhares 2 17" xfId="40872" xr:uid="{00000000-0005-0000-0000-0000A39F0000}"/>
    <cellStyle name="Separador de milhares 2 17 10" xfId="40873" xr:uid="{00000000-0005-0000-0000-0000A49F0000}"/>
    <cellStyle name="Separador de milhares 2 17 11" xfId="40874" xr:uid="{00000000-0005-0000-0000-0000A59F0000}"/>
    <cellStyle name="Separador de milhares 2 17 12" xfId="40875" xr:uid="{00000000-0005-0000-0000-0000A69F0000}"/>
    <cellStyle name="Separador de milhares 2 17 13" xfId="40876" xr:uid="{00000000-0005-0000-0000-0000A79F0000}"/>
    <cellStyle name="Separador de milhares 2 17 2" xfId="40877" xr:uid="{00000000-0005-0000-0000-0000A89F0000}"/>
    <cellStyle name="Separador de milhares 2 17 2 2" xfId="40878" xr:uid="{00000000-0005-0000-0000-0000A99F0000}"/>
    <cellStyle name="Separador de milhares 2 17 2 3" xfId="40879" xr:uid="{00000000-0005-0000-0000-0000AA9F0000}"/>
    <cellStyle name="Separador de milhares 2 17 2 4" xfId="40880" xr:uid="{00000000-0005-0000-0000-0000AB9F0000}"/>
    <cellStyle name="Separador de milhares 2 17 2 5" xfId="40881" xr:uid="{00000000-0005-0000-0000-0000AC9F0000}"/>
    <cellStyle name="Separador de milhares 2 17 2 6" xfId="40882" xr:uid="{00000000-0005-0000-0000-0000AD9F0000}"/>
    <cellStyle name="Separador de milhares 2 17 3" xfId="40883" xr:uid="{00000000-0005-0000-0000-0000AE9F0000}"/>
    <cellStyle name="Separador de milhares 2 17 3 2" xfId="40884" xr:uid="{00000000-0005-0000-0000-0000AF9F0000}"/>
    <cellStyle name="Separador de milhares 2 17 3 3" xfId="40885" xr:uid="{00000000-0005-0000-0000-0000B09F0000}"/>
    <cellStyle name="Separador de milhares 2 17 3 4" xfId="40886" xr:uid="{00000000-0005-0000-0000-0000B19F0000}"/>
    <cellStyle name="Separador de milhares 2 17 3 5" xfId="40887" xr:uid="{00000000-0005-0000-0000-0000B29F0000}"/>
    <cellStyle name="Separador de milhares 2 17 3 6" xfId="40888" xr:uid="{00000000-0005-0000-0000-0000B39F0000}"/>
    <cellStyle name="Separador de milhares 2 17 4" xfId="40889" xr:uid="{00000000-0005-0000-0000-0000B49F0000}"/>
    <cellStyle name="Separador de milhares 2 17 4 2" xfId="40890" xr:uid="{00000000-0005-0000-0000-0000B59F0000}"/>
    <cellStyle name="Separador de milhares 2 17 4 3" xfId="40891" xr:uid="{00000000-0005-0000-0000-0000B69F0000}"/>
    <cellStyle name="Separador de milhares 2 17 4 4" xfId="40892" xr:uid="{00000000-0005-0000-0000-0000B79F0000}"/>
    <cellStyle name="Separador de milhares 2 17 4 5" xfId="40893" xr:uid="{00000000-0005-0000-0000-0000B89F0000}"/>
    <cellStyle name="Separador de milhares 2 17 4 6" xfId="40894" xr:uid="{00000000-0005-0000-0000-0000B99F0000}"/>
    <cellStyle name="Separador de milhares 2 17 5" xfId="40895" xr:uid="{00000000-0005-0000-0000-0000BA9F0000}"/>
    <cellStyle name="Separador de milhares 2 17 5 2" xfId="40896" xr:uid="{00000000-0005-0000-0000-0000BB9F0000}"/>
    <cellStyle name="Separador de milhares 2 17 5 3" xfId="40897" xr:uid="{00000000-0005-0000-0000-0000BC9F0000}"/>
    <cellStyle name="Separador de milhares 2 17 5 4" xfId="40898" xr:uid="{00000000-0005-0000-0000-0000BD9F0000}"/>
    <cellStyle name="Separador de milhares 2 17 5 5" xfId="40899" xr:uid="{00000000-0005-0000-0000-0000BE9F0000}"/>
    <cellStyle name="Separador de milhares 2 17 5 6" xfId="40900" xr:uid="{00000000-0005-0000-0000-0000BF9F0000}"/>
    <cellStyle name="Separador de milhares 2 17 6" xfId="40901" xr:uid="{00000000-0005-0000-0000-0000C09F0000}"/>
    <cellStyle name="Separador de milhares 2 17 6 2" xfId="40902" xr:uid="{00000000-0005-0000-0000-0000C19F0000}"/>
    <cellStyle name="Separador de milhares 2 17 6 3" xfId="40903" xr:uid="{00000000-0005-0000-0000-0000C29F0000}"/>
    <cellStyle name="Separador de milhares 2 17 6 4" xfId="40904" xr:uid="{00000000-0005-0000-0000-0000C39F0000}"/>
    <cellStyle name="Separador de milhares 2 17 6 5" xfId="40905" xr:uid="{00000000-0005-0000-0000-0000C49F0000}"/>
    <cellStyle name="Separador de milhares 2 17 6 6" xfId="40906" xr:uid="{00000000-0005-0000-0000-0000C59F0000}"/>
    <cellStyle name="Separador de milhares 2 17 7" xfId="40907" xr:uid="{00000000-0005-0000-0000-0000C69F0000}"/>
    <cellStyle name="Separador de milhares 2 17 7 2" xfId="40908" xr:uid="{00000000-0005-0000-0000-0000C79F0000}"/>
    <cellStyle name="Separador de milhares 2 17 7 3" xfId="40909" xr:uid="{00000000-0005-0000-0000-0000C89F0000}"/>
    <cellStyle name="Separador de milhares 2 17 7 4" xfId="40910" xr:uid="{00000000-0005-0000-0000-0000C99F0000}"/>
    <cellStyle name="Separador de milhares 2 17 7 5" xfId="40911" xr:uid="{00000000-0005-0000-0000-0000CA9F0000}"/>
    <cellStyle name="Separador de milhares 2 17 7 6" xfId="40912" xr:uid="{00000000-0005-0000-0000-0000CB9F0000}"/>
    <cellStyle name="Separador de milhares 2 17 8" xfId="40913" xr:uid="{00000000-0005-0000-0000-0000CC9F0000}"/>
    <cellStyle name="Separador de milhares 2 17 8 2" xfId="40914" xr:uid="{00000000-0005-0000-0000-0000CD9F0000}"/>
    <cellStyle name="Separador de milhares 2 17 8 3" xfId="40915" xr:uid="{00000000-0005-0000-0000-0000CE9F0000}"/>
    <cellStyle name="Separador de milhares 2 17 8 4" xfId="40916" xr:uid="{00000000-0005-0000-0000-0000CF9F0000}"/>
    <cellStyle name="Separador de milhares 2 17 8 5" xfId="40917" xr:uid="{00000000-0005-0000-0000-0000D09F0000}"/>
    <cellStyle name="Separador de milhares 2 17 8 6" xfId="40918" xr:uid="{00000000-0005-0000-0000-0000D19F0000}"/>
    <cellStyle name="Separador de milhares 2 17 9" xfId="40919" xr:uid="{00000000-0005-0000-0000-0000D29F0000}"/>
    <cellStyle name="Separador de milhares 2 18" xfId="40920" xr:uid="{00000000-0005-0000-0000-0000D39F0000}"/>
    <cellStyle name="Separador de milhares 2 18 10" xfId="40921" xr:uid="{00000000-0005-0000-0000-0000D49F0000}"/>
    <cellStyle name="Separador de milhares 2 18 11" xfId="40922" xr:uid="{00000000-0005-0000-0000-0000D59F0000}"/>
    <cellStyle name="Separador de milhares 2 18 12" xfId="40923" xr:uid="{00000000-0005-0000-0000-0000D69F0000}"/>
    <cellStyle name="Separador de milhares 2 18 13" xfId="40924" xr:uid="{00000000-0005-0000-0000-0000D79F0000}"/>
    <cellStyle name="Separador de milhares 2 18 2" xfId="40925" xr:uid="{00000000-0005-0000-0000-0000D89F0000}"/>
    <cellStyle name="Separador de milhares 2 18 2 2" xfId="40926" xr:uid="{00000000-0005-0000-0000-0000D99F0000}"/>
    <cellStyle name="Separador de milhares 2 18 2 3" xfId="40927" xr:uid="{00000000-0005-0000-0000-0000DA9F0000}"/>
    <cellStyle name="Separador de milhares 2 18 2 4" xfId="40928" xr:uid="{00000000-0005-0000-0000-0000DB9F0000}"/>
    <cellStyle name="Separador de milhares 2 18 2 5" xfId="40929" xr:uid="{00000000-0005-0000-0000-0000DC9F0000}"/>
    <cellStyle name="Separador de milhares 2 18 2 6" xfId="40930" xr:uid="{00000000-0005-0000-0000-0000DD9F0000}"/>
    <cellStyle name="Separador de milhares 2 18 3" xfId="40931" xr:uid="{00000000-0005-0000-0000-0000DE9F0000}"/>
    <cellStyle name="Separador de milhares 2 18 3 2" xfId="40932" xr:uid="{00000000-0005-0000-0000-0000DF9F0000}"/>
    <cellStyle name="Separador de milhares 2 18 3 3" xfId="40933" xr:uid="{00000000-0005-0000-0000-0000E09F0000}"/>
    <cellStyle name="Separador de milhares 2 18 3 4" xfId="40934" xr:uid="{00000000-0005-0000-0000-0000E19F0000}"/>
    <cellStyle name="Separador de milhares 2 18 3 5" xfId="40935" xr:uid="{00000000-0005-0000-0000-0000E29F0000}"/>
    <cellStyle name="Separador de milhares 2 18 3 6" xfId="40936" xr:uid="{00000000-0005-0000-0000-0000E39F0000}"/>
    <cellStyle name="Separador de milhares 2 18 4" xfId="40937" xr:uid="{00000000-0005-0000-0000-0000E49F0000}"/>
    <cellStyle name="Separador de milhares 2 18 4 2" xfId="40938" xr:uid="{00000000-0005-0000-0000-0000E59F0000}"/>
    <cellStyle name="Separador de milhares 2 18 4 3" xfId="40939" xr:uid="{00000000-0005-0000-0000-0000E69F0000}"/>
    <cellStyle name="Separador de milhares 2 18 4 4" xfId="40940" xr:uid="{00000000-0005-0000-0000-0000E79F0000}"/>
    <cellStyle name="Separador de milhares 2 18 4 5" xfId="40941" xr:uid="{00000000-0005-0000-0000-0000E89F0000}"/>
    <cellStyle name="Separador de milhares 2 18 4 6" xfId="40942" xr:uid="{00000000-0005-0000-0000-0000E99F0000}"/>
    <cellStyle name="Separador de milhares 2 18 5" xfId="40943" xr:uid="{00000000-0005-0000-0000-0000EA9F0000}"/>
    <cellStyle name="Separador de milhares 2 18 5 2" xfId="40944" xr:uid="{00000000-0005-0000-0000-0000EB9F0000}"/>
    <cellStyle name="Separador de milhares 2 18 5 3" xfId="40945" xr:uid="{00000000-0005-0000-0000-0000EC9F0000}"/>
    <cellStyle name="Separador de milhares 2 18 5 4" xfId="40946" xr:uid="{00000000-0005-0000-0000-0000ED9F0000}"/>
    <cellStyle name="Separador de milhares 2 18 5 5" xfId="40947" xr:uid="{00000000-0005-0000-0000-0000EE9F0000}"/>
    <cellStyle name="Separador de milhares 2 18 5 6" xfId="40948" xr:uid="{00000000-0005-0000-0000-0000EF9F0000}"/>
    <cellStyle name="Separador de milhares 2 18 6" xfId="40949" xr:uid="{00000000-0005-0000-0000-0000F09F0000}"/>
    <cellStyle name="Separador de milhares 2 18 6 2" xfId="40950" xr:uid="{00000000-0005-0000-0000-0000F19F0000}"/>
    <cellStyle name="Separador de milhares 2 18 6 3" xfId="40951" xr:uid="{00000000-0005-0000-0000-0000F29F0000}"/>
    <cellStyle name="Separador de milhares 2 18 6 4" xfId="40952" xr:uid="{00000000-0005-0000-0000-0000F39F0000}"/>
    <cellStyle name="Separador de milhares 2 18 6 5" xfId="40953" xr:uid="{00000000-0005-0000-0000-0000F49F0000}"/>
    <cellStyle name="Separador de milhares 2 18 6 6" xfId="40954" xr:uid="{00000000-0005-0000-0000-0000F59F0000}"/>
    <cellStyle name="Separador de milhares 2 18 7" xfId="40955" xr:uid="{00000000-0005-0000-0000-0000F69F0000}"/>
    <cellStyle name="Separador de milhares 2 18 7 2" xfId="40956" xr:uid="{00000000-0005-0000-0000-0000F79F0000}"/>
    <cellStyle name="Separador de milhares 2 18 7 3" xfId="40957" xr:uid="{00000000-0005-0000-0000-0000F89F0000}"/>
    <cellStyle name="Separador de milhares 2 18 7 4" xfId="40958" xr:uid="{00000000-0005-0000-0000-0000F99F0000}"/>
    <cellStyle name="Separador de milhares 2 18 7 5" xfId="40959" xr:uid="{00000000-0005-0000-0000-0000FA9F0000}"/>
    <cellStyle name="Separador de milhares 2 18 7 6" xfId="40960" xr:uid="{00000000-0005-0000-0000-0000FB9F0000}"/>
    <cellStyle name="Separador de milhares 2 18 8" xfId="40961" xr:uid="{00000000-0005-0000-0000-0000FC9F0000}"/>
    <cellStyle name="Separador de milhares 2 18 8 2" xfId="40962" xr:uid="{00000000-0005-0000-0000-0000FD9F0000}"/>
    <cellStyle name="Separador de milhares 2 18 8 3" xfId="40963" xr:uid="{00000000-0005-0000-0000-0000FE9F0000}"/>
    <cellStyle name="Separador de milhares 2 18 8 4" xfId="40964" xr:uid="{00000000-0005-0000-0000-0000FF9F0000}"/>
    <cellStyle name="Separador de milhares 2 18 8 5" xfId="40965" xr:uid="{00000000-0005-0000-0000-000000A00000}"/>
    <cellStyle name="Separador de milhares 2 18 8 6" xfId="40966" xr:uid="{00000000-0005-0000-0000-000001A00000}"/>
    <cellStyle name="Separador de milhares 2 18 9" xfId="40967" xr:uid="{00000000-0005-0000-0000-000002A00000}"/>
    <cellStyle name="Separador de milhares 2 19" xfId="40968" xr:uid="{00000000-0005-0000-0000-000003A00000}"/>
    <cellStyle name="Separador de milhares 2 19 10" xfId="40969" xr:uid="{00000000-0005-0000-0000-000004A00000}"/>
    <cellStyle name="Separador de milhares 2 19 11" xfId="40970" xr:uid="{00000000-0005-0000-0000-000005A00000}"/>
    <cellStyle name="Separador de milhares 2 19 12" xfId="40971" xr:uid="{00000000-0005-0000-0000-000006A00000}"/>
    <cellStyle name="Separador de milhares 2 19 13" xfId="40972" xr:uid="{00000000-0005-0000-0000-000007A00000}"/>
    <cellStyle name="Separador de milhares 2 19 2" xfId="40973" xr:uid="{00000000-0005-0000-0000-000008A00000}"/>
    <cellStyle name="Separador de milhares 2 19 2 2" xfId="40974" xr:uid="{00000000-0005-0000-0000-000009A00000}"/>
    <cellStyle name="Separador de milhares 2 19 2 3" xfId="40975" xr:uid="{00000000-0005-0000-0000-00000AA00000}"/>
    <cellStyle name="Separador de milhares 2 19 2 4" xfId="40976" xr:uid="{00000000-0005-0000-0000-00000BA00000}"/>
    <cellStyle name="Separador de milhares 2 19 2 5" xfId="40977" xr:uid="{00000000-0005-0000-0000-00000CA00000}"/>
    <cellStyle name="Separador de milhares 2 19 2 6" xfId="40978" xr:uid="{00000000-0005-0000-0000-00000DA00000}"/>
    <cellStyle name="Separador de milhares 2 19 3" xfId="40979" xr:uid="{00000000-0005-0000-0000-00000EA00000}"/>
    <cellStyle name="Separador de milhares 2 19 3 2" xfId="40980" xr:uid="{00000000-0005-0000-0000-00000FA00000}"/>
    <cellStyle name="Separador de milhares 2 19 3 3" xfId="40981" xr:uid="{00000000-0005-0000-0000-000010A00000}"/>
    <cellStyle name="Separador de milhares 2 19 3 4" xfId="40982" xr:uid="{00000000-0005-0000-0000-000011A00000}"/>
    <cellStyle name="Separador de milhares 2 19 3 5" xfId="40983" xr:uid="{00000000-0005-0000-0000-000012A00000}"/>
    <cellStyle name="Separador de milhares 2 19 3 6" xfId="40984" xr:uid="{00000000-0005-0000-0000-000013A00000}"/>
    <cellStyle name="Separador de milhares 2 19 4" xfId="40985" xr:uid="{00000000-0005-0000-0000-000014A00000}"/>
    <cellStyle name="Separador de milhares 2 19 4 2" xfId="40986" xr:uid="{00000000-0005-0000-0000-000015A00000}"/>
    <cellStyle name="Separador de milhares 2 19 4 3" xfId="40987" xr:uid="{00000000-0005-0000-0000-000016A00000}"/>
    <cellStyle name="Separador de milhares 2 19 4 4" xfId="40988" xr:uid="{00000000-0005-0000-0000-000017A00000}"/>
    <cellStyle name="Separador de milhares 2 19 4 5" xfId="40989" xr:uid="{00000000-0005-0000-0000-000018A00000}"/>
    <cellStyle name="Separador de milhares 2 19 4 6" xfId="40990" xr:uid="{00000000-0005-0000-0000-000019A00000}"/>
    <cellStyle name="Separador de milhares 2 19 5" xfId="40991" xr:uid="{00000000-0005-0000-0000-00001AA00000}"/>
    <cellStyle name="Separador de milhares 2 19 5 2" xfId="40992" xr:uid="{00000000-0005-0000-0000-00001BA00000}"/>
    <cellStyle name="Separador de milhares 2 19 5 3" xfId="40993" xr:uid="{00000000-0005-0000-0000-00001CA00000}"/>
    <cellStyle name="Separador de milhares 2 19 5 4" xfId="40994" xr:uid="{00000000-0005-0000-0000-00001DA00000}"/>
    <cellStyle name="Separador de milhares 2 19 5 5" xfId="40995" xr:uid="{00000000-0005-0000-0000-00001EA00000}"/>
    <cellStyle name="Separador de milhares 2 19 5 6" xfId="40996" xr:uid="{00000000-0005-0000-0000-00001FA00000}"/>
    <cellStyle name="Separador de milhares 2 19 6" xfId="40997" xr:uid="{00000000-0005-0000-0000-000020A00000}"/>
    <cellStyle name="Separador de milhares 2 19 6 2" xfId="40998" xr:uid="{00000000-0005-0000-0000-000021A00000}"/>
    <cellStyle name="Separador de milhares 2 19 6 3" xfId="40999" xr:uid="{00000000-0005-0000-0000-000022A00000}"/>
    <cellStyle name="Separador de milhares 2 19 6 4" xfId="41000" xr:uid="{00000000-0005-0000-0000-000023A00000}"/>
    <cellStyle name="Separador de milhares 2 19 6 5" xfId="41001" xr:uid="{00000000-0005-0000-0000-000024A00000}"/>
    <cellStyle name="Separador de milhares 2 19 6 6" xfId="41002" xr:uid="{00000000-0005-0000-0000-000025A00000}"/>
    <cellStyle name="Separador de milhares 2 19 7" xfId="41003" xr:uid="{00000000-0005-0000-0000-000026A00000}"/>
    <cellStyle name="Separador de milhares 2 19 7 2" xfId="41004" xr:uid="{00000000-0005-0000-0000-000027A00000}"/>
    <cellStyle name="Separador de milhares 2 19 7 3" xfId="41005" xr:uid="{00000000-0005-0000-0000-000028A00000}"/>
    <cellStyle name="Separador de milhares 2 19 7 4" xfId="41006" xr:uid="{00000000-0005-0000-0000-000029A00000}"/>
    <cellStyle name="Separador de milhares 2 19 7 5" xfId="41007" xr:uid="{00000000-0005-0000-0000-00002AA00000}"/>
    <cellStyle name="Separador de milhares 2 19 7 6" xfId="41008" xr:uid="{00000000-0005-0000-0000-00002BA00000}"/>
    <cellStyle name="Separador de milhares 2 19 8" xfId="41009" xr:uid="{00000000-0005-0000-0000-00002CA00000}"/>
    <cellStyle name="Separador de milhares 2 19 8 2" xfId="41010" xr:uid="{00000000-0005-0000-0000-00002DA00000}"/>
    <cellStyle name="Separador de milhares 2 19 8 3" xfId="41011" xr:uid="{00000000-0005-0000-0000-00002EA00000}"/>
    <cellStyle name="Separador de milhares 2 19 8 4" xfId="41012" xr:uid="{00000000-0005-0000-0000-00002FA00000}"/>
    <cellStyle name="Separador de milhares 2 19 8 5" xfId="41013" xr:uid="{00000000-0005-0000-0000-000030A00000}"/>
    <cellStyle name="Separador de milhares 2 19 8 6" xfId="41014" xr:uid="{00000000-0005-0000-0000-000031A00000}"/>
    <cellStyle name="Separador de milhares 2 19 9" xfId="41015" xr:uid="{00000000-0005-0000-0000-000032A00000}"/>
    <cellStyle name="Separador de milhares 2 2" xfId="1127" xr:uid="{00000000-0005-0000-0000-000033A00000}"/>
    <cellStyle name="Separador de milhares 2 2 10" xfId="41016" xr:uid="{00000000-0005-0000-0000-000034A00000}"/>
    <cellStyle name="Separador de milhares 2 2 10 2" xfId="41017" xr:uid="{00000000-0005-0000-0000-000035A00000}"/>
    <cellStyle name="Separador de milhares 2 2 11" xfId="41018" xr:uid="{00000000-0005-0000-0000-000036A00000}"/>
    <cellStyle name="Separador de milhares 2 2 12" xfId="41019" xr:uid="{00000000-0005-0000-0000-000037A00000}"/>
    <cellStyle name="Separador de milhares 2 2 13" xfId="41020" xr:uid="{00000000-0005-0000-0000-000038A00000}"/>
    <cellStyle name="Separador de milhares 2 2 14" xfId="41021" xr:uid="{00000000-0005-0000-0000-000039A00000}"/>
    <cellStyle name="Separador de milhares 2 2 15" xfId="41022" xr:uid="{00000000-0005-0000-0000-00003AA00000}"/>
    <cellStyle name="Separador de milhares 2 2 16" xfId="41023" xr:uid="{00000000-0005-0000-0000-00003BA00000}"/>
    <cellStyle name="Separador de milhares 2 2 17" xfId="41024" xr:uid="{00000000-0005-0000-0000-00003CA00000}"/>
    <cellStyle name="Separador de milhares 2 2 18" xfId="41025" xr:uid="{00000000-0005-0000-0000-00003DA00000}"/>
    <cellStyle name="Separador de milhares 2 2 19" xfId="41026" xr:uid="{00000000-0005-0000-0000-00003EA00000}"/>
    <cellStyle name="Separador de milhares 2 2 2" xfId="1128" xr:uid="{00000000-0005-0000-0000-00003FA00000}"/>
    <cellStyle name="Separador de milhares 2 2 2 10" xfId="41027" xr:uid="{00000000-0005-0000-0000-000040A00000}"/>
    <cellStyle name="Separador de milhares 2 2 2 11" xfId="41028" xr:uid="{00000000-0005-0000-0000-000041A00000}"/>
    <cellStyle name="Separador de milhares 2 2 2 12" xfId="41029" xr:uid="{00000000-0005-0000-0000-000042A00000}"/>
    <cellStyle name="Separador de milhares 2 2 2 13" xfId="41030" xr:uid="{00000000-0005-0000-0000-000043A00000}"/>
    <cellStyle name="Separador de milhares 2 2 2 14" xfId="41031" xr:uid="{00000000-0005-0000-0000-000044A00000}"/>
    <cellStyle name="Separador de milhares 2 2 2 15" xfId="41032" xr:uid="{00000000-0005-0000-0000-000045A00000}"/>
    <cellStyle name="Separador de milhares 2 2 2 16" xfId="41033" xr:uid="{00000000-0005-0000-0000-000046A00000}"/>
    <cellStyle name="Separador de milhares 2 2 2 17" xfId="41034" xr:uid="{00000000-0005-0000-0000-000047A00000}"/>
    <cellStyle name="Separador de milhares 2 2 2 18" xfId="41035" xr:uid="{00000000-0005-0000-0000-000048A00000}"/>
    <cellStyle name="Separador de milhares 2 2 2 19" xfId="41036" xr:uid="{00000000-0005-0000-0000-000049A00000}"/>
    <cellStyle name="Separador de milhares 2 2 2 2" xfId="41037" xr:uid="{00000000-0005-0000-0000-00004AA00000}"/>
    <cellStyle name="Separador de milhares 2 2 2 2 10" xfId="41038" xr:uid="{00000000-0005-0000-0000-00004BA00000}"/>
    <cellStyle name="Separador de milhares 2 2 2 2 11" xfId="41039" xr:uid="{00000000-0005-0000-0000-00004CA00000}"/>
    <cellStyle name="Separador de milhares 2 2 2 2 12" xfId="41040" xr:uid="{00000000-0005-0000-0000-00004DA00000}"/>
    <cellStyle name="Separador de milhares 2 2 2 2 13" xfId="41041" xr:uid="{00000000-0005-0000-0000-00004EA00000}"/>
    <cellStyle name="Separador de milhares 2 2 2 2 14" xfId="41042" xr:uid="{00000000-0005-0000-0000-00004FA00000}"/>
    <cellStyle name="Separador de milhares 2 2 2 2 15" xfId="41043" xr:uid="{00000000-0005-0000-0000-000050A00000}"/>
    <cellStyle name="Separador de milhares 2 2 2 2 16" xfId="41044" xr:uid="{00000000-0005-0000-0000-000051A00000}"/>
    <cellStyle name="Separador de milhares 2 2 2 2 17" xfId="41045" xr:uid="{00000000-0005-0000-0000-000052A00000}"/>
    <cellStyle name="Separador de milhares 2 2 2 2 18" xfId="41046" xr:uid="{00000000-0005-0000-0000-000053A00000}"/>
    <cellStyle name="Separador de milhares 2 2 2 2 18 2" xfId="41047" xr:uid="{00000000-0005-0000-0000-000054A00000}"/>
    <cellStyle name="Separador de milhares 2 2 2 2 18 2 2" xfId="41048" xr:uid="{00000000-0005-0000-0000-000055A00000}"/>
    <cellStyle name="Separador de milhares 2 2 2 2 18 2 2 2" xfId="41049" xr:uid="{00000000-0005-0000-0000-000056A00000}"/>
    <cellStyle name="Separador de milhares 2 2 2 2 18 2 3" xfId="41050" xr:uid="{00000000-0005-0000-0000-000057A00000}"/>
    <cellStyle name="Separador de milhares 2 2 2 2 18 3" xfId="41051" xr:uid="{00000000-0005-0000-0000-000058A00000}"/>
    <cellStyle name="Separador de milhares 2 2 2 2 18 3 2" xfId="41052" xr:uid="{00000000-0005-0000-0000-000059A00000}"/>
    <cellStyle name="Separador de milhares 2 2 2 2 19" xfId="41053" xr:uid="{00000000-0005-0000-0000-00005AA00000}"/>
    <cellStyle name="Separador de milhares 2 2 2 2 19 2" xfId="41054" xr:uid="{00000000-0005-0000-0000-00005BA00000}"/>
    <cellStyle name="Separador de milhares 2 2 2 2 2" xfId="41055" xr:uid="{00000000-0005-0000-0000-00005CA00000}"/>
    <cellStyle name="Separador de milhares 2 2 2 2 2 10" xfId="41056" xr:uid="{00000000-0005-0000-0000-00005DA00000}"/>
    <cellStyle name="Separador de milhares 2 2 2 2 2 11" xfId="41057" xr:uid="{00000000-0005-0000-0000-00005EA00000}"/>
    <cellStyle name="Separador de milhares 2 2 2 2 2 12" xfId="41058" xr:uid="{00000000-0005-0000-0000-00005FA00000}"/>
    <cellStyle name="Separador de milhares 2 2 2 2 2 13" xfId="41059" xr:uid="{00000000-0005-0000-0000-000060A00000}"/>
    <cellStyle name="Separador de milhares 2 2 2 2 2 14" xfId="41060" xr:uid="{00000000-0005-0000-0000-000061A00000}"/>
    <cellStyle name="Separador de milhares 2 2 2 2 2 15" xfId="41061" xr:uid="{00000000-0005-0000-0000-000062A00000}"/>
    <cellStyle name="Separador de milhares 2 2 2 2 2 16" xfId="41062" xr:uid="{00000000-0005-0000-0000-000063A00000}"/>
    <cellStyle name="Separador de milhares 2 2 2 2 2 17" xfId="41063" xr:uid="{00000000-0005-0000-0000-000064A00000}"/>
    <cellStyle name="Separador de milhares 2 2 2 2 2 18" xfId="41064" xr:uid="{00000000-0005-0000-0000-000065A00000}"/>
    <cellStyle name="Separador de milhares 2 2 2 2 2 18 2" xfId="41065" xr:uid="{00000000-0005-0000-0000-000066A00000}"/>
    <cellStyle name="Separador de milhares 2 2 2 2 2 18 2 2" xfId="41066" xr:uid="{00000000-0005-0000-0000-000067A00000}"/>
    <cellStyle name="Separador de milhares 2 2 2 2 2 18 2 2 2" xfId="41067" xr:uid="{00000000-0005-0000-0000-000068A00000}"/>
    <cellStyle name="Separador de milhares 2 2 2 2 2 18 2 3" xfId="41068" xr:uid="{00000000-0005-0000-0000-000069A00000}"/>
    <cellStyle name="Separador de milhares 2 2 2 2 2 18 3" xfId="41069" xr:uid="{00000000-0005-0000-0000-00006AA00000}"/>
    <cellStyle name="Separador de milhares 2 2 2 2 2 18 3 2" xfId="41070" xr:uid="{00000000-0005-0000-0000-00006BA00000}"/>
    <cellStyle name="Separador de milhares 2 2 2 2 2 19" xfId="41071" xr:uid="{00000000-0005-0000-0000-00006CA00000}"/>
    <cellStyle name="Separador de milhares 2 2 2 2 2 19 2" xfId="41072" xr:uid="{00000000-0005-0000-0000-00006DA00000}"/>
    <cellStyle name="Separador de milhares 2 2 2 2 2 2" xfId="41073" xr:uid="{00000000-0005-0000-0000-00006EA00000}"/>
    <cellStyle name="Separador de milhares 2 2 2 2 2 2 2" xfId="41074" xr:uid="{00000000-0005-0000-0000-00006FA00000}"/>
    <cellStyle name="Separador de milhares 2 2 2 2 2 2 2 2" xfId="41075" xr:uid="{00000000-0005-0000-0000-000070A00000}"/>
    <cellStyle name="Separador de milhares 2 2 2 2 2 2 2 2 2" xfId="41076" xr:uid="{00000000-0005-0000-0000-000071A00000}"/>
    <cellStyle name="Separador de milhares 2 2 2 2 2 2 2 2 2 2" xfId="41077" xr:uid="{00000000-0005-0000-0000-000072A00000}"/>
    <cellStyle name="Separador de milhares 2 2 2 2 2 2 2 2 2 2 2" xfId="41078" xr:uid="{00000000-0005-0000-0000-000073A00000}"/>
    <cellStyle name="Separador de milhares 2 2 2 2 2 2 2 2 2 2 2 2" xfId="41079" xr:uid="{00000000-0005-0000-0000-000074A00000}"/>
    <cellStyle name="Separador de milhares 2 2 2 2 2 2 2 2 2 2 2 3" xfId="41080" xr:uid="{00000000-0005-0000-0000-000075A00000}"/>
    <cellStyle name="Separador de milhares 2 2 2 2 2 2 2 2 2 2 2 4" xfId="41081" xr:uid="{00000000-0005-0000-0000-000076A00000}"/>
    <cellStyle name="Separador de milhares 2 2 2 2 2 2 2 2 2 2 3" xfId="41082" xr:uid="{00000000-0005-0000-0000-000077A00000}"/>
    <cellStyle name="Separador de milhares 2 2 2 2 2 2 2 2 2 2 4" xfId="41083" xr:uid="{00000000-0005-0000-0000-000078A00000}"/>
    <cellStyle name="Separador de milhares 2 2 2 2 2 2 2 2 2 2 5" xfId="41084" xr:uid="{00000000-0005-0000-0000-000079A00000}"/>
    <cellStyle name="Separador de milhares 2 2 2 2 2 2 2 2 2 3" xfId="41085" xr:uid="{00000000-0005-0000-0000-00007AA00000}"/>
    <cellStyle name="Separador de milhares 2 2 2 2 2 2 2 2 2 3 2" xfId="41086" xr:uid="{00000000-0005-0000-0000-00007BA00000}"/>
    <cellStyle name="Separador de milhares 2 2 2 2 2 2 2 2 2 3 3" xfId="41087" xr:uid="{00000000-0005-0000-0000-00007CA00000}"/>
    <cellStyle name="Separador de milhares 2 2 2 2 2 2 2 2 2 3 4" xfId="41088" xr:uid="{00000000-0005-0000-0000-00007DA00000}"/>
    <cellStyle name="Separador de milhares 2 2 2 2 2 2 2 2 2 4" xfId="41089" xr:uid="{00000000-0005-0000-0000-00007EA00000}"/>
    <cellStyle name="Separador de milhares 2 2 2 2 2 2 2 2 2 5" xfId="41090" xr:uid="{00000000-0005-0000-0000-00007FA00000}"/>
    <cellStyle name="Separador de milhares 2 2 2 2 2 2 2 2 3" xfId="41091" xr:uid="{00000000-0005-0000-0000-000080A00000}"/>
    <cellStyle name="Separador de milhares 2 2 2 2 2 2 2 2 4" xfId="41092" xr:uid="{00000000-0005-0000-0000-000081A00000}"/>
    <cellStyle name="Separador de milhares 2 2 2 2 2 2 2 2 4 2" xfId="41093" xr:uid="{00000000-0005-0000-0000-000082A00000}"/>
    <cellStyle name="Separador de milhares 2 2 2 2 2 2 2 2 4 3" xfId="41094" xr:uid="{00000000-0005-0000-0000-000083A00000}"/>
    <cellStyle name="Separador de milhares 2 2 2 2 2 2 2 2 4 4" xfId="41095" xr:uid="{00000000-0005-0000-0000-000084A00000}"/>
    <cellStyle name="Separador de milhares 2 2 2 2 2 2 2 2 5" xfId="41096" xr:uid="{00000000-0005-0000-0000-000085A00000}"/>
    <cellStyle name="Separador de milhares 2 2 2 2 2 2 2 2 6" xfId="41097" xr:uid="{00000000-0005-0000-0000-000086A00000}"/>
    <cellStyle name="Separador de milhares 2 2 2 2 2 2 2 3" xfId="41098" xr:uid="{00000000-0005-0000-0000-000087A00000}"/>
    <cellStyle name="Separador de milhares 2 2 2 2 2 2 2 3 2" xfId="41099" xr:uid="{00000000-0005-0000-0000-000088A00000}"/>
    <cellStyle name="Separador de milhares 2 2 2 2 2 2 2 4" xfId="41100" xr:uid="{00000000-0005-0000-0000-000089A00000}"/>
    <cellStyle name="Separador de milhares 2 2 2 2 2 2 2 4 2" xfId="41101" xr:uid="{00000000-0005-0000-0000-00008AA00000}"/>
    <cellStyle name="Separador de milhares 2 2 2 2 2 2 2 4 3" xfId="41102" xr:uid="{00000000-0005-0000-0000-00008BA00000}"/>
    <cellStyle name="Separador de milhares 2 2 2 2 2 2 2 4 4" xfId="41103" xr:uid="{00000000-0005-0000-0000-00008CA00000}"/>
    <cellStyle name="Separador de milhares 2 2 2 2 2 2 2 5" xfId="41104" xr:uid="{00000000-0005-0000-0000-00008DA00000}"/>
    <cellStyle name="Separador de milhares 2 2 2 2 2 2 2 6" xfId="41105" xr:uid="{00000000-0005-0000-0000-00008EA00000}"/>
    <cellStyle name="Separador de milhares 2 2 2 2 2 2 3" xfId="41106" xr:uid="{00000000-0005-0000-0000-00008FA00000}"/>
    <cellStyle name="Separador de milhares 2 2 2 2 2 2 4" xfId="41107" xr:uid="{00000000-0005-0000-0000-000090A00000}"/>
    <cellStyle name="Separador de milhares 2 2 2 2 2 2 4 2" xfId="41108" xr:uid="{00000000-0005-0000-0000-000091A00000}"/>
    <cellStyle name="Separador de milhares 2 2 2 2 2 2 5" xfId="41109" xr:uid="{00000000-0005-0000-0000-000092A00000}"/>
    <cellStyle name="Separador de milhares 2 2 2 2 2 2 6" xfId="41110" xr:uid="{00000000-0005-0000-0000-000093A00000}"/>
    <cellStyle name="Separador de milhares 2 2 2 2 2 2 6 2" xfId="41111" xr:uid="{00000000-0005-0000-0000-000094A00000}"/>
    <cellStyle name="Separador de milhares 2 2 2 2 2 2 6 3" xfId="41112" xr:uid="{00000000-0005-0000-0000-000095A00000}"/>
    <cellStyle name="Separador de milhares 2 2 2 2 2 2 6 4" xfId="41113" xr:uid="{00000000-0005-0000-0000-000096A00000}"/>
    <cellStyle name="Separador de milhares 2 2 2 2 2 2 7" xfId="41114" xr:uid="{00000000-0005-0000-0000-000097A00000}"/>
    <cellStyle name="Separador de milhares 2 2 2 2 2 2 8" xfId="41115" xr:uid="{00000000-0005-0000-0000-000098A00000}"/>
    <cellStyle name="Separador de milhares 2 2 2 2 2 20" xfId="41116" xr:uid="{00000000-0005-0000-0000-000099A00000}"/>
    <cellStyle name="Separador de milhares 2 2 2 2 2 21" xfId="41117" xr:uid="{00000000-0005-0000-0000-00009AA00000}"/>
    <cellStyle name="Separador de milhares 2 2 2 2 2 22" xfId="41118" xr:uid="{00000000-0005-0000-0000-00009BA00000}"/>
    <cellStyle name="Separador de milhares 2 2 2 2 2 22 2" xfId="41119" xr:uid="{00000000-0005-0000-0000-00009CA00000}"/>
    <cellStyle name="Separador de milhares 2 2 2 2 2 22 3" xfId="41120" xr:uid="{00000000-0005-0000-0000-00009DA00000}"/>
    <cellStyle name="Separador de milhares 2 2 2 2 2 22 4" xfId="41121" xr:uid="{00000000-0005-0000-0000-00009EA00000}"/>
    <cellStyle name="Separador de milhares 2 2 2 2 2 23" xfId="41122" xr:uid="{00000000-0005-0000-0000-00009FA00000}"/>
    <cellStyle name="Separador de milhares 2 2 2 2 2 24" xfId="41123" xr:uid="{00000000-0005-0000-0000-0000A0A00000}"/>
    <cellStyle name="Separador de milhares 2 2 2 2 2 3" xfId="41124" xr:uid="{00000000-0005-0000-0000-0000A1A00000}"/>
    <cellStyle name="Separador de milhares 2 2 2 2 2 3 2" xfId="41125" xr:uid="{00000000-0005-0000-0000-0000A2A00000}"/>
    <cellStyle name="Separador de milhares 2 2 2 2 2 4" xfId="41126" xr:uid="{00000000-0005-0000-0000-0000A3A00000}"/>
    <cellStyle name="Separador de milhares 2 2 2 2 2 5" xfId="41127" xr:uid="{00000000-0005-0000-0000-0000A4A00000}"/>
    <cellStyle name="Separador de milhares 2 2 2 2 2 6" xfId="41128" xr:uid="{00000000-0005-0000-0000-0000A5A00000}"/>
    <cellStyle name="Separador de milhares 2 2 2 2 2 7" xfId="41129" xr:uid="{00000000-0005-0000-0000-0000A6A00000}"/>
    <cellStyle name="Separador de milhares 2 2 2 2 2 8" xfId="41130" xr:uid="{00000000-0005-0000-0000-0000A7A00000}"/>
    <cellStyle name="Separador de milhares 2 2 2 2 2 9" xfId="41131" xr:uid="{00000000-0005-0000-0000-0000A8A00000}"/>
    <cellStyle name="Separador de milhares 2 2 2 2 20" xfId="41132" xr:uid="{00000000-0005-0000-0000-0000A9A00000}"/>
    <cellStyle name="Separador de milhares 2 2 2 2 21" xfId="41133" xr:uid="{00000000-0005-0000-0000-0000AAA00000}"/>
    <cellStyle name="Separador de milhares 2 2 2 2 22" xfId="41134" xr:uid="{00000000-0005-0000-0000-0000ABA00000}"/>
    <cellStyle name="Separador de milhares 2 2 2 2 22 2" xfId="41135" xr:uid="{00000000-0005-0000-0000-0000ACA00000}"/>
    <cellStyle name="Separador de milhares 2 2 2 2 22 3" xfId="41136" xr:uid="{00000000-0005-0000-0000-0000ADA00000}"/>
    <cellStyle name="Separador de milhares 2 2 2 2 22 4" xfId="41137" xr:uid="{00000000-0005-0000-0000-0000AEA00000}"/>
    <cellStyle name="Separador de milhares 2 2 2 2 23" xfId="41138" xr:uid="{00000000-0005-0000-0000-0000AFA00000}"/>
    <cellStyle name="Separador de milhares 2 2 2 2 24" xfId="41139" xr:uid="{00000000-0005-0000-0000-0000B0A00000}"/>
    <cellStyle name="Separador de milhares 2 2 2 2 25" xfId="43725" xr:uid="{2CFC4593-6DE6-4D76-ADF9-5D6C34127788}"/>
    <cellStyle name="Separador de milhares 2 2 2 2 3" xfId="41140" xr:uid="{00000000-0005-0000-0000-0000B1A00000}"/>
    <cellStyle name="Separador de milhares 2 2 2 2 3 2" xfId="41141" xr:uid="{00000000-0005-0000-0000-0000B2A00000}"/>
    <cellStyle name="Separador de milhares 2 2 2 2 3 2 2" xfId="41142" xr:uid="{00000000-0005-0000-0000-0000B3A00000}"/>
    <cellStyle name="Separador de milhares 2 2 2 2 3 2 2 2" xfId="41143" xr:uid="{00000000-0005-0000-0000-0000B4A00000}"/>
    <cellStyle name="Separador de milhares 2 2 2 2 3 2 2 2 2" xfId="41144" xr:uid="{00000000-0005-0000-0000-0000B5A00000}"/>
    <cellStyle name="Separador de milhares 2 2 2 2 3 2 2 3" xfId="41145" xr:uid="{00000000-0005-0000-0000-0000B6A00000}"/>
    <cellStyle name="Separador de milhares 2 2 2 2 3 2 3" xfId="41146" xr:uid="{00000000-0005-0000-0000-0000B7A00000}"/>
    <cellStyle name="Separador de milhares 2 2 2 2 3 2 3 2" xfId="41147" xr:uid="{00000000-0005-0000-0000-0000B8A00000}"/>
    <cellStyle name="Separador de milhares 2 2 2 2 3 3" xfId="41148" xr:uid="{00000000-0005-0000-0000-0000B9A00000}"/>
    <cellStyle name="Separador de milhares 2 2 2 2 3 4" xfId="41149" xr:uid="{00000000-0005-0000-0000-0000BAA00000}"/>
    <cellStyle name="Separador de milhares 2 2 2 2 3 4 2" xfId="41150" xr:uid="{00000000-0005-0000-0000-0000BBA00000}"/>
    <cellStyle name="Separador de milhares 2 2 2 2 3 5" xfId="41151" xr:uid="{00000000-0005-0000-0000-0000BCA00000}"/>
    <cellStyle name="Separador de milhares 2 2 2 2 3 6" xfId="41152" xr:uid="{00000000-0005-0000-0000-0000BDA00000}"/>
    <cellStyle name="Separador de milhares 2 2 2 2 4" xfId="41153" xr:uid="{00000000-0005-0000-0000-0000BEA00000}"/>
    <cellStyle name="Separador de milhares 2 2 2 2 5" xfId="41154" xr:uid="{00000000-0005-0000-0000-0000BFA00000}"/>
    <cellStyle name="Separador de milhares 2 2 2 2 6" xfId="41155" xr:uid="{00000000-0005-0000-0000-0000C0A00000}"/>
    <cellStyle name="Separador de milhares 2 2 2 2 6 2" xfId="41156" xr:uid="{00000000-0005-0000-0000-0000C1A00000}"/>
    <cellStyle name="Separador de milhares 2 2 2 2 7" xfId="41157" xr:uid="{00000000-0005-0000-0000-0000C2A00000}"/>
    <cellStyle name="Separador de milhares 2 2 2 2 8" xfId="41158" xr:uid="{00000000-0005-0000-0000-0000C3A00000}"/>
    <cellStyle name="Separador de milhares 2 2 2 2 9" xfId="41159" xr:uid="{00000000-0005-0000-0000-0000C4A00000}"/>
    <cellStyle name="Separador de milhares 2 2 2 20" xfId="41160" xr:uid="{00000000-0005-0000-0000-0000C5A00000}"/>
    <cellStyle name="Separador de milhares 2 2 2 20 2" xfId="41161" xr:uid="{00000000-0005-0000-0000-0000C6A00000}"/>
    <cellStyle name="Separador de milhares 2 2 2 20 2 2" xfId="41162" xr:uid="{00000000-0005-0000-0000-0000C7A00000}"/>
    <cellStyle name="Separador de milhares 2 2 2 20 2 2 2" xfId="41163" xr:uid="{00000000-0005-0000-0000-0000C8A00000}"/>
    <cellStyle name="Separador de milhares 2 2 2 20 2 3" xfId="41164" xr:uid="{00000000-0005-0000-0000-0000C9A00000}"/>
    <cellStyle name="Separador de milhares 2 2 2 20 3" xfId="41165" xr:uid="{00000000-0005-0000-0000-0000CAA00000}"/>
    <cellStyle name="Separador de milhares 2 2 2 20 3 2" xfId="41166" xr:uid="{00000000-0005-0000-0000-0000CBA00000}"/>
    <cellStyle name="Separador de milhares 2 2 2 21" xfId="41167" xr:uid="{00000000-0005-0000-0000-0000CCA00000}"/>
    <cellStyle name="Separador de milhares 2 2 2 21 2" xfId="41168" xr:uid="{00000000-0005-0000-0000-0000CDA00000}"/>
    <cellStyle name="Separador de milhares 2 2 2 22" xfId="41169" xr:uid="{00000000-0005-0000-0000-0000CEA00000}"/>
    <cellStyle name="Separador de milhares 2 2 2 23" xfId="41170" xr:uid="{00000000-0005-0000-0000-0000CFA00000}"/>
    <cellStyle name="Separador de milhares 2 2 2 24" xfId="41171" xr:uid="{00000000-0005-0000-0000-0000D0A00000}"/>
    <cellStyle name="Separador de milhares 2 2 2 24 2" xfId="41172" xr:uid="{00000000-0005-0000-0000-0000D1A00000}"/>
    <cellStyle name="Separador de milhares 2 2 2 24 3" xfId="41173" xr:uid="{00000000-0005-0000-0000-0000D2A00000}"/>
    <cellStyle name="Separador de milhares 2 2 2 24 4" xfId="41174" xr:uid="{00000000-0005-0000-0000-0000D3A00000}"/>
    <cellStyle name="Separador de milhares 2 2 2 25" xfId="41175" xr:uid="{00000000-0005-0000-0000-0000D4A00000}"/>
    <cellStyle name="Separador de milhares 2 2 2 26" xfId="41176" xr:uid="{00000000-0005-0000-0000-0000D5A00000}"/>
    <cellStyle name="Separador de milhares 2 2 2 27" xfId="43542" xr:uid="{E862DE5C-CAF8-4139-AF18-C9D63B028666}"/>
    <cellStyle name="Separador de milhares 2 2 2 3" xfId="41177" xr:uid="{00000000-0005-0000-0000-0000D6A00000}"/>
    <cellStyle name="Separador de milhares 2 2 2 3 2" xfId="43908" xr:uid="{7C178BB3-5163-43C4-82EE-81D2E362009D}"/>
    <cellStyle name="Separador de milhares 2 2 2 4" xfId="41178" xr:uid="{00000000-0005-0000-0000-0000D7A00000}"/>
    <cellStyle name="Separador de milhares 2 2 2 4 2" xfId="41179" xr:uid="{00000000-0005-0000-0000-0000D8A00000}"/>
    <cellStyle name="Separador de milhares 2 2 2 4 2 2" xfId="41180" xr:uid="{00000000-0005-0000-0000-0000D9A00000}"/>
    <cellStyle name="Separador de milhares 2 2 2 4 2 2 2" xfId="41181" xr:uid="{00000000-0005-0000-0000-0000DAA00000}"/>
    <cellStyle name="Separador de milhares 2 2 2 4 2 2 2 2" xfId="41182" xr:uid="{00000000-0005-0000-0000-0000DBA00000}"/>
    <cellStyle name="Separador de milhares 2 2 2 4 2 2 3" xfId="41183" xr:uid="{00000000-0005-0000-0000-0000DCA00000}"/>
    <cellStyle name="Separador de milhares 2 2 2 4 2 3" xfId="41184" xr:uid="{00000000-0005-0000-0000-0000DDA00000}"/>
    <cellStyle name="Separador de milhares 2 2 2 4 2 3 2" xfId="41185" xr:uid="{00000000-0005-0000-0000-0000DEA00000}"/>
    <cellStyle name="Separador de milhares 2 2 2 4 2 4" xfId="41186" xr:uid="{00000000-0005-0000-0000-0000DFA00000}"/>
    <cellStyle name="Separador de milhares 2 2 2 4 2 5" xfId="41187" xr:uid="{00000000-0005-0000-0000-0000E0A00000}"/>
    <cellStyle name="Separador de milhares 2 2 2 4 3" xfId="41188" xr:uid="{00000000-0005-0000-0000-0000E1A00000}"/>
    <cellStyle name="Separador de milhares 2 2 2 4 3 2" xfId="41189" xr:uid="{00000000-0005-0000-0000-0000E2A00000}"/>
    <cellStyle name="Separador de milhares 2 2 2 4 4" xfId="41190" xr:uid="{00000000-0005-0000-0000-0000E3A00000}"/>
    <cellStyle name="Separador de milhares 2 2 2 4 4 2" xfId="41191" xr:uid="{00000000-0005-0000-0000-0000E4A00000}"/>
    <cellStyle name="Separador de milhares 2 2 2 4 5" xfId="41192" xr:uid="{00000000-0005-0000-0000-0000E5A00000}"/>
    <cellStyle name="Separador de milhares 2 2 2 4 6" xfId="41193" xr:uid="{00000000-0005-0000-0000-0000E6A00000}"/>
    <cellStyle name="Separador de milhares 2 2 2 5" xfId="41194" xr:uid="{00000000-0005-0000-0000-0000E7A00000}"/>
    <cellStyle name="Separador de milhares 2 2 2 6" xfId="41195" xr:uid="{00000000-0005-0000-0000-0000E8A00000}"/>
    <cellStyle name="Separador de milhares 2 2 2 7" xfId="41196" xr:uid="{00000000-0005-0000-0000-0000E9A00000}"/>
    <cellStyle name="Separador de milhares 2 2 2 7 2" xfId="41197" xr:uid="{00000000-0005-0000-0000-0000EAA00000}"/>
    <cellStyle name="Separador de milhares 2 2 2 8" xfId="41198" xr:uid="{00000000-0005-0000-0000-0000EBA00000}"/>
    <cellStyle name="Separador de milhares 2 2 2 9" xfId="41199" xr:uid="{00000000-0005-0000-0000-0000ECA00000}"/>
    <cellStyle name="Separador de milhares 2 2 20" xfId="41200" xr:uid="{00000000-0005-0000-0000-0000EDA00000}"/>
    <cellStyle name="Separador de milhares 2 2 21" xfId="41201" xr:uid="{00000000-0005-0000-0000-0000EEA00000}"/>
    <cellStyle name="Separador de milhares 2 2 22" xfId="41202" xr:uid="{00000000-0005-0000-0000-0000EFA00000}"/>
    <cellStyle name="Separador de milhares 2 2 22 2" xfId="41203" xr:uid="{00000000-0005-0000-0000-0000F0A00000}"/>
    <cellStyle name="Separador de milhares 2 2 22 2 2" xfId="41204" xr:uid="{00000000-0005-0000-0000-0000F1A00000}"/>
    <cellStyle name="Separador de milhares 2 2 22 2 2 2" xfId="41205" xr:uid="{00000000-0005-0000-0000-0000F2A00000}"/>
    <cellStyle name="Separador de milhares 2 2 22 2 3" xfId="41206" xr:uid="{00000000-0005-0000-0000-0000F3A00000}"/>
    <cellStyle name="Separador de milhares 2 2 22 3" xfId="41207" xr:uid="{00000000-0005-0000-0000-0000F4A00000}"/>
    <cellStyle name="Separador de milhares 2 2 22 3 2" xfId="41208" xr:uid="{00000000-0005-0000-0000-0000F5A00000}"/>
    <cellStyle name="Separador de milhares 2 2 23" xfId="41209" xr:uid="{00000000-0005-0000-0000-0000F6A00000}"/>
    <cellStyle name="Separador de milhares 2 2 23 2" xfId="41210" xr:uid="{00000000-0005-0000-0000-0000F7A00000}"/>
    <cellStyle name="Separador de milhares 2 2 24" xfId="41211" xr:uid="{00000000-0005-0000-0000-0000F8A00000}"/>
    <cellStyle name="Separador de milhares 2 2 25" xfId="41212" xr:uid="{00000000-0005-0000-0000-0000F9A00000}"/>
    <cellStyle name="Separador de milhares 2 2 26" xfId="41213" xr:uid="{00000000-0005-0000-0000-0000FAA00000}"/>
    <cellStyle name="Separador de milhares 2 2 26 2" xfId="41214" xr:uid="{00000000-0005-0000-0000-0000FBA00000}"/>
    <cellStyle name="Separador de milhares 2 2 26 3" xfId="41215" xr:uid="{00000000-0005-0000-0000-0000FCA00000}"/>
    <cellStyle name="Separador de milhares 2 2 26 4" xfId="41216" xr:uid="{00000000-0005-0000-0000-0000FDA00000}"/>
    <cellStyle name="Separador de milhares 2 2 27" xfId="41217" xr:uid="{00000000-0005-0000-0000-0000FEA00000}"/>
    <cellStyle name="Separador de milhares 2 2 28" xfId="41218" xr:uid="{00000000-0005-0000-0000-0000FFA00000}"/>
    <cellStyle name="Separador de milhares 2 2 29" xfId="43282" xr:uid="{00000000-0005-0000-0000-000000A10000}"/>
    <cellStyle name="Separador de milhares 2 2 3" xfId="1129" xr:uid="{00000000-0005-0000-0000-000001A10000}"/>
    <cellStyle name="Separador de milhares 2 2 3 2" xfId="41219" xr:uid="{00000000-0005-0000-0000-000002A10000}"/>
    <cellStyle name="Separador de milhares 2 2 3 3" xfId="41220" xr:uid="{00000000-0005-0000-0000-000003A10000}"/>
    <cellStyle name="Separador de milhares 2 2 3 4" xfId="41221" xr:uid="{00000000-0005-0000-0000-000004A10000}"/>
    <cellStyle name="Separador de milhares 2 2 3 5" xfId="41222" xr:uid="{00000000-0005-0000-0000-000005A10000}"/>
    <cellStyle name="Separador de milhares 2 2 3 6" xfId="41223" xr:uid="{00000000-0005-0000-0000-000006A10000}"/>
    <cellStyle name="Separador de milhares 2 2 3 7" xfId="41224" xr:uid="{00000000-0005-0000-0000-000007A10000}"/>
    <cellStyle name="Separador de milhares 2 2 30" xfId="43475" xr:uid="{B6D3D77A-CE62-4352-A344-A61B4CC2E81B}"/>
    <cellStyle name="Separador de milhares 2 2 4" xfId="1130" xr:uid="{00000000-0005-0000-0000-000008A10000}"/>
    <cellStyle name="Separador de milhares 2 2 4 2" xfId="41225" xr:uid="{00000000-0005-0000-0000-000009A10000}"/>
    <cellStyle name="Separador de milhares 2 2 4 3" xfId="41226" xr:uid="{00000000-0005-0000-0000-00000AA10000}"/>
    <cellStyle name="Separador de milhares 2 2 4 4" xfId="41227" xr:uid="{00000000-0005-0000-0000-00000BA10000}"/>
    <cellStyle name="Separador de milhares 2 2 4 5" xfId="41228" xr:uid="{00000000-0005-0000-0000-00000CA10000}"/>
    <cellStyle name="Separador de milhares 2 2 4 6" xfId="41229" xr:uid="{00000000-0005-0000-0000-00000DA10000}"/>
    <cellStyle name="Separador de milhares 2 2 4 7" xfId="41230" xr:uid="{00000000-0005-0000-0000-00000EA10000}"/>
    <cellStyle name="Separador de milhares 2 2 5" xfId="41231" xr:uid="{00000000-0005-0000-0000-00000FA10000}"/>
    <cellStyle name="Separador de milhares 2 2 5 2" xfId="41232" xr:uid="{00000000-0005-0000-0000-000010A10000}"/>
    <cellStyle name="Separador de milhares 2 2 5 2 2" xfId="41233" xr:uid="{00000000-0005-0000-0000-000011A10000}"/>
    <cellStyle name="Separador de milhares 2 2 5 2 2 2" xfId="41234" xr:uid="{00000000-0005-0000-0000-000012A10000}"/>
    <cellStyle name="Separador de milhares 2 2 5 2 2 2 2" xfId="41235" xr:uid="{00000000-0005-0000-0000-000013A10000}"/>
    <cellStyle name="Separador de milhares 2 2 5 2 2 3" xfId="41236" xr:uid="{00000000-0005-0000-0000-000014A10000}"/>
    <cellStyle name="Separador de milhares 2 2 5 2 3" xfId="41237" xr:uid="{00000000-0005-0000-0000-000015A10000}"/>
    <cellStyle name="Separador de milhares 2 2 5 2 3 2" xfId="41238" xr:uid="{00000000-0005-0000-0000-000016A10000}"/>
    <cellStyle name="Separador de milhares 2 2 5 2 4" xfId="41239" xr:uid="{00000000-0005-0000-0000-000017A10000}"/>
    <cellStyle name="Separador de milhares 2 2 5 2 5" xfId="41240" xr:uid="{00000000-0005-0000-0000-000018A10000}"/>
    <cellStyle name="Separador de milhares 2 2 5 2 6" xfId="43198" xr:uid="{00000000-0005-0000-0000-000019A10000}"/>
    <cellStyle name="Separador de milhares 2 2 5 3" xfId="41241" xr:uid="{00000000-0005-0000-0000-00001AA10000}"/>
    <cellStyle name="Separador de milhares 2 2 5 3 2" xfId="41242" xr:uid="{00000000-0005-0000-0000-00001BA10000}"/>
    <cellStyle name="Separador de milhares 2 2 5 4" xfId="41243" xr:uid="{00000000-0005-0000-0000-00001CA10000}"/>
    <cellStyle name="Separador de milhares 2 2 5 4 2" xfId="41244" xr:uid="{00000000-0005-0000-0000-00001DA10000}"/>
    <cellStyle name="Separador de milhares 2 2 5 5" xfId="41245" xr:uid="{00000000-0005-0000-0000-00001EA10000}"/>
    <cellStyle name="Separador de milhares 2 2 5 6" xfId="41246" xr:uid="{00000000-0005-0000-0000-00001FA10000}"/>
    <cellStyle name="Separador de milhares 2 2 5 7" xfId="41247" xr:uid="{00000000-0005-0000-0000-000020A10000}"/>
    <cellStyle name="Separador de milhares 2 2 6" xfId="41248" xr:uid="{00000000-0005-0000-0000-000021A10000}"/>
    <cellStyle name="Separador de milhares 2 2 6 2" xfId="41249" xr:uid="{00000000-0005-0000-0000-000022A10000}"/>
    <cellStyle name="Separador de milhares 2 2 6 2 2" xfId="41250" xr:uid="{00000000-0005-0000-0000-000023A10000}"/>
    <cellStyle name="Separador de milhares 2 2 6 2 2 2" xfId="41251" xr:uid="{00000000-0005-0000-0000-000024A10000}"/>
    <cellStyle name="Separador de milhares 2 2 6 2 2 2 2" xfId="41252" xr:uid="{00000000-0005-0000-0000-000025A10000}"/>
    <cellStyle name="Separador de milhares 2 2 6 2 2 3" xfId="41253" xr:uid="{00000000-0005-0000-0000-000026A10000}"/>
    <cellStyle name="Separador de milhares 2 2 6 2 3" xfId="41254" xr:uid="{00000000-0005-0000-0000-000027A10000}"/>
    <cellStyle name="Separador de milhares 2 2 6 2 3 2" xfId="41255" xr:uid="{00000000-0005-0000-0000-000028A10000}"/>
    <cellStyle name="Separador de milhares 2 2 6 3" xfId="41256" xr:uid="{00000000-0005-0000-0000-000029A10000}"/>
    <cellStyle name="Separador de milhares 2 2 6 4" xfId="41257" xr:uid="{00000000-0005-0000-0000-00002AA10000}"/>
    <cellStyle name="Separador de milhares 2 2 6 4 2" xfId="41258" xr:uid="{00000000-0005-0000-0000-00002BA10000}"/>
    <cellStyle name="Separador de milhares 2 2 6 5" xfId="41259" xr:uid="{00000000-0005-0000-0000-00002CA10000}"/>
    <cellStyle name="Separador de milhares 2 2 6 6" xfId="41260" xr:uid="{00000000-0005-0000-0000-00002DA10000}"/>
    <cellStyle name="Separador de milhares 2 2 6 7" xfId="41261" xr:uid="{00000000-0005-0000-0000-00002EA10000}"/>
    <cellStyle name="Separador de milhares 2 2 7" xfId="41262" xr:uid="{00000000-0005-0000-0000-00002FA10000}"/>
    <cellStyle name="Separador de milhares 2 2 7 2" xfId="41263" xr:uid="{00000000-0005-0000-0000-000030A10000}"/>
    <cellStyle name="Separador de milhares 2 2 7 3" xfId="41264" xr:uid="{00000000-0005-0000-0000-000031A10000}"/>
    <cellStyle name="Separador de milhares 2 2 7 4" xfId="41265" xr:uid="{00000000-0005-0000-0000-000032A10000}"/>
    <cellStyle name="Separador de milhares 2 2 7 5" xfId="41266" xr:uid="{00000000-0005-0000-0000-000033A10000}"/>
    <cellStyle name="Separador de milhares 2 2 7 6" xfId="41267" xr:uid="{00000000-0005-0000-0000-000034A10000}"/>
    <cellStyle name="Separador de milhares 2 2 7 7" xfId="41268" xr:uid="{00000000-0005-0000-0000-000035A10000}"/>
    <cellStyle name="Separador de milhares 2 2 8" xfId="41269" xr:uid="{00000000-0005-0000-0000-000036A10000}"/>
    <cellStyle name="Separador de milhares 2 2 8 2" xfId="41270" xr:uid="{00000000-0005-0000-0000-000037A10000}"/>
    <cellStyle name="Separador de milhares 2 2 8 3" xfId="41271" xr:uid="{00000000-0005-0000-0000-000038A10000}"/>
    <cellStyle name="Separador de milhares 2 2 8 4" xfId="41272" xr:uid="{00000000-0005-0000-0000-000039A10000}"/>
    <cellStyle name="Separador de milhares 2 2 8 5" xfId="41273" xr:uid="{00000000-0005-0000-0000-00003AA10000}"/>
    <cellStyle name="Separador de milhares 2 2 8 6" xfId="41274" xr:uid="{00000000-0005-0000-0000-00003BA10000}"/>
    <cellStyle name="Separador de milhares 2 2 8 7" xfId="41275" xr:uid="{00000000-0005-0000-0000-00003CA10000}"/>
    <cellStyle name="Separador de milhares 2 2 9" xfId="41276" xr:uid="{00000000-0005-0000-0000-00003DA10000}"/>
    <cellStyle name="Separador de milhares 2 2 9 2" xfId="41277" xr:uid="{00000000-0005-0000-0000-00003EA10000}"/>
    <cellStyle name="Separador de milhares 2 20" xfId="41278" xr:uid="{00000000-0005-0000-0000-00003FA10000}"/>
    <cellStyle name="Separador de milhares 2 20 10" xfId="41279" xr:uid="{00000000-0005-0000-0000-000040A10000}"/>
    <cellStyle name="Separador de milhares 2 20 11" xfId="41280" xr:uid="{00000000-0005-0000-0000-000041A10000}"/>
    <cellStyle name="Separador de milhares 2 20 12" xfId="41281" xr:uid="{00000000-0005-0000-0000-000042A10000}"/>
    <cellStyle name="Separador de milhares 2 20 13" xfId="41282" xr:uid="{00000000-0005-0000-0000-000043A10000}"/>
    <cellStyle name="Separador de milhares 2 20 2" xfId="41283" xr:uid="{00000000-0005-0000-0000-000044A10000}"/>
    <cellStyle name="Separador de milhares 2 20 2 2" xfId="41284" xr:uid="{00000000-0005-0000-0000-000045A10000}"/>
    <cellStyle name="Separador de milhares 2 20 2 3" xfId="41285" xr:uid="{00000000-0005-0000-0000-000046A10000}"/>
    <cellStyle name="Separador de milhares 2 20 2 4" xfId="41286" xr:uid="{00000000-0005-0000-0000-000047A10000}"/>
    <cellStyle name="Separador de milhares 2 20 2 5" xfId="41287" xr:uid="{00000000-0005-0000-0000-000048A10000}"/>
    <cellStyle name="Separador de milhares 2 20 2 6" xfId="41288" xr:uid="{00000000-0005-0000-0000-000049A10000}"/>
    <cellStyle name="Separador de milhares 2 20 3" xfId="41289" xr:uid="{00000000-0005-0000-0000-00004AA10000}"/>
    <cellStyle name="Separador de milhares 2 20 3 2" xfId="41290" xr:uid="{00000000-0005-0000-0000-00004BA10000}"/>
    <cellStyle name="Separador de milhares 2 20 3 3" xfId="41291" xr:uid="{00000000-0005-0000-0000-00004CA10000}"/>
    <cellStyle name="Separador de milhares 2 20 3 4" xfId="41292" xr:uid="{00000000-0005-0000-0000-00004DA10000}"/>
    <cellStyle name="Separador de milhares 2 20 3 5" xfId="41293" xr:uid="{00000000-0005-0000-0000-00004EA10000}"/>
    <cellStyle name="Separador de milhares 2 20 3 6" xfId="41294" xr:uid="{00000000-0005-0000-0000-00004FA10000}"/>
    <cellStyle name="Separador de milhares 2 20 4" xfId="41295" xr:uid="{00000000-0005-0000-0000-000050A10000}"/>
    <cellStyle name="Separador de milhares 2 20 4 2" xfId="41296" xr:uid="{00000000-0005-0000-0000-000051A10000}"/>
    <cellStyle name="Separador de milhares 2 20 4 3" xfId="41297" xr:uid="{00000000-0005-0000-0000-000052A10000}"/>
    <cellStyle name="Separador de milhares 2 20 4 4" xfId="41298" xr:uid="{00000000-0005-0000-0000-000053A10000}"/>
    <cellStyle name="Separador de milhares 2 20 4 5" xfId="41299" xr:uid="{00000000-0005-0000-0000-000054A10000}"/>
    <cellStyle name="Separador de milhares 2 20 4 6" xfId="41300" xr:uid="{00000000-0005-0000-0000-000055A10000}"/>
    <cellStyle name="Separador de milhares 2 20 5" xfId="41301" xr:uid="{00000000-0005-0000-0000-000056A10000}"/>
    <cellStyle name="Separador de milhares 2 20 5 2" xfId="41302" xr:uid="{00000000-0005-0000-0000-000057A10000}"/>
    <cellStyle name="Separador de milhares 2 20 5 3" xfId="41303" xr:uid="{00000000-0005-0000-0000-000058A10000}"/>
    <cellStyle name="Separador de milhares 2 20 5 4" xfId="41304" xr:uid="{00000000-0005-0000-0000-000059A10000}"/>
    <cellStyle name="Separador de milhares 2 20 5 5" xfId="41305" xr:uid="{00000000-0005-0000-0000-00005AA10000}"/>
    <cellStyle name="Separador de milhares 2 20 5 6" xfId="41306" xr:uid="{00000000-0005-0000-0000-00005BA10000}"/>
    <cellStyle name="Separador de milhares 2 20 6" xfId="41307" xr:uid="{00000000-0005-0000-0000-00005CA10000}"/>
    <cellStyle name="Separador de milhares 2 20 6 2" xfId="41308" xr:uid="{00000000-0005-0000-0000-00005DA10000}"/>
    <cellStyle name="Separador de milhares 2 20 6 3" xfId="41309" xr:uid="{00000000-0005-0000-0000-00005EA10000}"/>
    <cellStyle name="Separador de milhares 2 20 6 4" xfId="41310" xr:uid="{00000000-0005-0000-0000-00005FA10000}"/>
    <cellStyle name="Separador de milhares 2 20 6 5" xfId="41311" xr:uid="{00000000-0005-0000-0000-000060A10000}"/>
    <cellStyle name="Separador de milhares 2 20 6 6" xfId="41312" xr:uid="{00000000-0005-0000-0000-000061A10000}"/>
    <cellStyle name="Separador de milhares 2 20 7" xfId="41313" xr:uid="{00000000-0005-0000-0000-000062A10000}"/>
    <cellStyle name="Separador de milhares 2 20 7 2" xfId="41314" xr:uid="{00000000-0005-0000-0000-000063A10000}"/>
    <cellStyle name="Separador de milhares 2 20 7 3" xfId="41315" xr:uid="{00000000-0005-0000-0000-000064A10000}"/>
    <cellStyle name="Separador de milhares 2 20 7 4" xfId="41316" xr:uid="{00000000-0005-0000-0000-000065A10000}"/>
    <cellStyle name="Separador de milhares 2 20 7 5" xfId="41317" xr:uid="{00000000-0005-0000-0000-000066A10000}"/>
    <cellStyle name="Separador de milhares 2 20 7 6" xfId="41318" xr:uid="{00000000-0005-0000-0000-000067A10000}"/>
    <cellStyle name="Separador de milhares 2 20 8" xfId="41319" xr:uid="{00000000-0005-0000-0000-000068A10000}"/>
    <cellStyle name="Separador de milhares 2 20 8 2" xfId="41320" xr:uid="{00000000-0005-0000-0000-000069A10000}"/>
    <cellStyle name="Separador de milhares 2 20 8 3" xfId="41321" xr:uid="{00000000-0005-0000-0000-00006AA10000}"/>
    <cellStyle name="Separador de milhares 2 20 8 4" xfId="41322" xr:uid="{00000000-0005-0000-0000-00006BA10000}"/>
    <cellStyle name="Separador de milhares 2 20 8 5" xfId="41323" xr:uid="{00000000-0005-0000-0000-00006CA10000}"/>
    <cellStyle name="Separador de milhares 2 20 8 6" xfId="41324" xr:uid="{00000000-0005-0000-0000-00006DA10000}"/>
    <cellStyle name="Separador de milhares 2 20 9" xfId="41325" xr:uid="{00000000-0005-0000-0000-00006EA10000}"/>
    <cellStyle name="Separador de milhares 2 21" xfId="41326" xr:uid="{00000000-0005-0000-0000-00006FA10000}"/>
    <cellStyle name="Separador de milhares 2 21 10" xfId="41327" xr:uid="{00000000-0005-0000-0000-000070A10000}"/>
    <cellStyle name="Separador de milhares 2 21 11" xfId="41328" xr:uid="{00000000-0005-0000-0000-000071A10000}"/>
    <cellStyle name="Separador de milhares 2 21 12" xfId="41329" xr:uid="{00000000-0005-0000-0000-000072A10000}"/>
    <cellStyle name="Separador de milhares 2 21 13" xfId="41330" xr:uid="{00000000-0005-0000-0000-000073A10000}"/>
    <cellStyle name="Separador de milhares 2 21 2" xfId="41331" xr:uid="{00000000-0005-0000-0000-000074A10000}"/>
    <cellStyle name="Separador de milhares 2 21 2 2" xfId="41332" xr:uid="{00000000-0005-0000-0000-000075A10000}"/>
    <cellStyle name="Separador de milhares 2 21 2 3" xfId="41333" xr:uid="{00000000-0005-0000-0000-000076A10000}"/>
    <cellStyle name="Separador de milhares 2 21 2 4" xfId="41334" xr:uid="{00000000-0005-0000-0000-000077A10000}"/>
    <cellStyle name="Separador de milhares 2 21 2 5" xfId="41335" xr:uid="{00000000-0005-0000-0000-000078A10000}"/>
    <cellStyle name="Separador de milhares 2 21 2 6" xfId="41336" xr:uid="{00000000-0005-0000-0000-000079A10000}"/>
    <cellStyle name="Separador de milhares 2 21 3" xfId="41337" xr:uid="{00000000-0005-0000-0000-00007AA10000}"/>
    <cellStyle name="Separador de milhares 2 21 3 2" xfId="41338" xr:uid="{00000000-0005-0000-0000-00007BA10000}"/>
    <cellStyle name="Separador de milhares 2 21 3 3" xfId="41339" xr:uid="{00000000-0005-0000-0000-00007CA10000}"/>
    <cellStyle name="Separador de milhares 2 21 3 4" xfId="41340" xr:uid="{00000000-0005-0000-0000-00007DA10000}"/>
    <cellStyle name="Separador de milhares 2 21 3 5" xfId="41341" xr:uid="{00000000-0005-0000-0000-00007EA10000}"/>
    <cellStyle name="Separador de milhares 2 21 3 6" xfId="41342" xr:uid="{00000000-0005-0000-0000-00007FA10000}"/>
    <cellStyle name="Separador de milhares 2 21 4" xfId="41343" xr:uid="{00000000-0005-0000-0000-000080A10000}"/>
    <cellStyle name="Separador de milhares 2 21 4 2" xfId="41344" xr:uid="{00000000-0005-0000-0000-000081A10000}"/>
    <cellStyle name="Separador de milhares 2 21 4 3" xfId="41345" xr:uid="{00000000-0005-0000-0000-000082A10000}"/>
    <cellStyle name="Separador de milhares 2 21 4 4" xfId="41346" xr:uid="{00000000-0005-0000-0000-000083A10000}"/>
    <cellStyle name="Separador de milhares 2 21 4 5" xfId="41347" xr:uid="{00000000-0005-0000-0000-000084A10000}"/>
    <cellStyle name="Separador de milhares 2 21 4 6" xfId="41348" xr:uid="{00000000-0005-0000-0000-000085A10000}"/>
    <cellStyle name="Separador de milhares 2 21 5" xfId="41349" xr:uid="{00000000-0005-0000-0000-000086A10000}"/>
    <cellStyle name="Separador de milhares 2 21 5 2" xfId="41350" xr:uid="{00000000-0005-0000-0000-000087A10000}"/>
    <cellStyle name="Separador de milhares 2 21 5 3" xfId="41351" xr:uid="{00000000-0005-0000-0000-000088A10000}"/>
    <cellStyle name="Separador de milhares 2 21 5 4" xfId="41352" xr:uid="{00000000-0005-0000-0000-000089A10000}"/>
    <cellStyle name="Separador de milhares 2 21 5 5" xfId="41353" xr:uid="{00000000-0005-0000-0000-00008AA10000}"/>
    <cellStyle name="Separador de milhares 2 21 5 6" xfId="41354" xr:uid="{00000000-0005-0000-0000-00008BA10000}"/>
    <cellStyle name="Separador de milhares 2 21 6" xfId="41355" xr:uid="{00000000-0005-0000-0000-00008CA10000}"/>
    <cellStyle name="Separador de milhares 2 21 6 2" xfId="41356" xr:uid="{00000000-0005-0000-0000-00008DA10000}"/>
    <cellStyle name="Separador de milhares 2 21 6 3" xfId="41357" xr:uid="{00000000-0005-0000-0000-00008EA10000}"/>
    <cellStyle name="Separador de milhares 2 21 6 4" xfId="41358" xr:uid="{00000000-0005-0000-0000-00008FA10000}"/>
    <cellStyle name="Separador de milhares 2 21 6 5" xfId="41359" xr:uid="{00000000-0005-0000-0000-000090A10000}"/>
    <cellStyle name="Separador de milhares 2 21 6 6" xfId="41360" xr:uid="{00000000-0005-0000-0000-000091A10000}"/>
    <cellStyle name="Separador de milhares 2 21 7" xfId="41361" xr:uid="{00000000-0005-0000-0000-000092A10000}"/>
    <cellStyle name="Separador de milhares 2 21 7 2" xfId="41362" xr:uid="{00000000-0005-0000-0000-000093A10000}"/>
    <cellStyle name="Separador de milhares 2 21 7 3" xfId="41363" xr:uid="{00000000-0005-0000-0000-000094A10000}"/>
    <cellStyle name="Separador de milhares 2 21 7 4" xfId="41364" xr:uid="{00000000-0005-0000-0000-000095A10000}"/>
    <cellStyle name="Separador de milhares 2 21 7 5" xfId="41365" xr:uid="{00000000-0005-0000-0000-000096A10000}"/>
    <cellStyle name="Separador de milhares 2 21 7 6" xfId="41366" xr:uid="{00000000-0005-0000-0000-000097A10000}"/>
    <cellStyle name="Separador de milhares 2 21 8" xfId="41367" xr:uid="{00000000-0005-0000-0000-000098A10000}"/>
    <cellStyle name="Separador de milhares 2 21 8 2" xfId="41368" xr:uid="{00000000-0005-0000-0000-000099A10000}"/>
    <cellStyle name="Separador de milhares 2 21 8 3" xfId="41369" xr:uid="{00000000-0005-0000-0000-00009AA10000}"/>
    <cellStyle name="Separador de milhares 2 21 8 4" xfId="41370" xr:uid="{00000000-0005-0000-0000-00009BA10000}"/>
    <cellStyle name="Separador de milhares 2 21 8 5" xfId="41371" xr:uid="{00000000-0005-0000-0000-00009CA10000}"/>
    <cellStyle name="Separador de milhares 2 21 8 6" xfId="41372" xr:uid="{00000000-0005-0000-0000-00009DA10000}"/>
    <cellStyle name="Separador de milhares 2 21 9" xfId="41373" xr:uid="{00000000-0005-0000-0000-00009EA10000}"/>
    <cellStyle name="Separador de milhares 2 22" xfId="41374" xr:uid="{00000000-0005-0000-0000-00009FA10000}"/>
    <cellStyle name="Separador de milhares 2 22 10" xfId="41375" xr:uid="{00000000-0005-0000-0000-0000A0A10000}"/>
    <cellStyle name="Separador de milhares 2 22 11" xfId="41376" xr:uid="{00000000-0005-0000-0000-0000A1A10000}"/>
    <cellStyle name="Separador de milhares 2 22 12" xfId="41377" xr:uid="{00000000-0005-0000-0000-0000A2A10000}"/>
    <cellStyle name="Separador de milhares 2 22 13" xfId="41378" xr:uid="{00000000-0005-0000-0000-0000A3A10000}"/>
    <cellStyle name="Separador de milhares 2 22 2" xfId="41379" xr:uid="{00000000-0005-0000-0000-0000A4A10000}"/>
    <cellStyle name="Separador de milhares 2 22 2 2" xfId="41380" xr:uid="{00000000-0005-0000-0000-0000A5A10000}"/>
    <cellStyle name="Separador de milhares 2 22 2 3" xfId="41381" xr:uid="{00000000-0005-0000-0000-0000A6A10000}"/>
    <cellStyle name="Separador de milhares 2 22 2 4" xfId="41382" xr:uid="{00000000-0005-0000-0000-0000A7A10000}"/>
    <cellStyle name="Separador de milhares 2 22 2 5" xfId="41383" xr:uid="{00000000-0005-0000-0000-0000A8A10000}"/>
    <cellStyle name="Separador de milhares 2 22 2 6" xfId="41384" xr:uid="{00000000-0005-0000-0000-0000A9A10000}"/>
    <cellStyle name="Separador de milhares 2 22 3" xfId="41385" xr:uid="{00000000-0005-0000-0000-0000AAA10000}"/>
    <cellStyle name="Separador de milhares 2 22 3 2" xfId="41386" xr:uid="{00000000-0005-0000-0000-0000ABA10000}"/>
    <cellStyle name="Separador de milhares 2 22 3 3" xfId="41387" xr:uid="{00000000-0005-0000-0000-0000ACA10000}"/>
    <cellStyle name="Separador de milhares 2 22 3 4" xfId="41388" xr:uid="{00000000-0005-0000-0000-0000ADA10000}"/>
    <cellStyle name="Separador de milhares 2 22 3 5" xfId="41389" xr:uid="{00000000-0005-0000-0000-0000AEA10000}"/>
    <cellStyle name="Separador de milhares 2 22 3 6" xfId="41390" xr:uid="{00000000-0005-0000-0000-0000AFA10000}"/>
    <cellStyle name="Separador de milhares 2 22 4" xfId="41391" xr:uid="{00000000-0005-0000-0000-0000B0A10000}"/>
    <cellStyle name="Separador de milhares 2 22 4 2" xfId="41392" xr:uid="{00000000-0005-0000-0000-0000B1A10000}"/>
    <cellStyle name="Separador de milhares 2 22 4 3" xfId="41393" xr:uid="{00000000-0005-0000-0000-0000B2A10000}"/>
    <cellStyle name="Separador de milhares 2 22 4 4" xfId="41394" xr:uid="{00000000-0005-0000-0000-0000B3A10000}"/>
    <cellStyle name="Separador de milhares 2 22 4 5" xfId="41395" xr:uid="{00000000-0005-0000-0000-0000B4A10000}"/>
    <cellStyle name="Separador de milhares 2 22 4 6" xfId="41396" xr:uid="{00000000-0005-0000-0000-0000B5A10000}"/>
    <cellStyle name="Separador de milhares 2 22 5" xfId="41397" xr:uid="{00000000-0005-0000-0000-0000B6A10000}"/>
    <cellStyle name="Separador de milhares 2 22 5 2" xfId="41398" xr:uid="{00000000-0005-0000-0000-0000B7A10000}"/>
    <cellStyle name="Separador de milhares 2 22 5 3" xfId="41399" xr:uid="{00000000-0005-0000-0000-0000B8A10000}"/>
    <cellStyle name="Separador de milhares 2 22 5 4" xfId="41400" xr:uid="{00000000-0005-0000-0000-0000B9A10000}"/>
    <cellStyle name="Separador de milhares 2 22 5 5" xfId="41401" xr:uid="{00000000-0005-0000-0000-0000BAA10000}"/>
    <cellStyle name="Separador de milhares 2 22 5 6" xfId="41402" xr:uid="{00000000-0005-0000-0000-0000BBA10000}"/>
    <cellStyle name="Separador de milhares 2 22 6" xfId="41403" xr:uid="{00000000-0005-0000-0000-0000BCA10000}"/>
    <cellStyle name="Separador de milhares 2 22 6 2" xfId="41404" xr:uid="{00000000-0005-0000-0000-0000BDA10000}"/>
    <cellStyle name="Separador de milhares 2 22 6 3" xfId="41405" xr:uid="{00000000-0005-0000-0000-0000BEA10000}"/>
    <cellStyle name="Separador de milhares 2 22 6 4" xfId="41406" xr:uid="{00000000-0005-0000-0000-0000BFA10000}"/>
    <cellStyle name="Separador de milhares 2 22 6 5" xfId="41407" xr:uid="{00000000-0005-0000-0000-0000C0A10000}"/>
    <cellStyle name="Separador de milhares 2 22 6 6" xfId="41408" xr:uid="{00000000-0005-0000-0000-0000C1A10000}"/>
    <cellStyle name="Separador de milhares 2 22 7" xfId="41409" xr:uid="{00000000-0005-0000-0000-0000C2A10000}"/>
    <cellStyle name="Separador de milhares 2 22 7 2" xfId="41410" xr:uid="{00000000-0005-0000-0000-0000C3A10000}"/>
    <cellStyle name="Separador de milhares 2 22 7 3" xfId="41411" xr:uid="{00000000-0005-0000-0000-0000C4A10000}"/>
    <cellStyle name="Separador de milhares 2 22 7 4" xfId="41412" xr:uid="{00000000-0005-0000-0000-0000C5A10000}"/>
    <cellStyle name="Separador de milhares 2 22 7 5" xfId="41413" xr:uid="{00000000-0005-0000-0000-0000C6A10000}"/>
    <cellStyle name="Separador de milhares 2 22 7 6" xfId="41414" xr:uid="{00000000-0005-0000-0000-0000C7A10000}"/>
    <cellStyle name="Separador de milhares 2 22 8" xfId="41415" xr:uid="{00000000-0005-0000-0000-0000C8A10000}"/>
    <cellStyle name="Separador de milhares 2 22 8 2" xfId="41416" xr:uid="{00000000-0005-0000-0000-0000C9A10000}"/>
    <cellStyle name="Separador de milhares 2 22 8 3" xfId="41417" xr:uid="{00000000-0005-0000-0000-0000CAA10000}"/>
    <cellStyle name="Separador de milhares 2 22 8 4" xfId="41418" xr:uid="{00000000-0005-0000-0000-0000CBA10000}"/>
    <cellStyle name="Separador de milhares 2 22 8 5" xfId="41419" xr:uid="{00000000-0005-0000-0000-0000CCA10000}"/>
    <cellStyle name="Separador de milhares 2 22 8 6" xfId="41420" xr:uid="{00000000-0005-0000-0000-0000CDA10000}"/>
    <cellStyle name="Separador de milhares 2 22 9" xfId="41421" xr:uid="{00000000-0005-0000-0000-0000CEA10000}"/>
    <cellStyle name="Separador de milhares 2 23" xfId="41422" xr:uid="{00000000-0005-0000-0000-0000CFA10000}"/>
    <cellStyle name="Separador de milhares 2 23 10" xfId="41423" xr:uid="{00000000-0005-0000-0000-0000D0A10000}"/>
    <cellStyle name="Separador de milhares 2 23 11" xfId="41424" xr:uid="{00000000-0005-0000-0000-0000D1A10000}"/>
    <cellStyle name="Separador de milhares 2 23 12" xfId="41425" xr:uid="{00000000-0005-0000-0000-0000D2A10000}"/>
    <cellStyle name="Separador de milhares 2 23 13" xfId="41426" xr:uid="{00000000-0005-0000-0000-0000D3A10000}"/>
    <cellStyle name="Separador de milhares 2 23 2" xfId="41427" xr:uid="{00000000-0005-0000-0000-0000D4A10000}"/>
    <cellStyle name="Separador de milhares 2 23 2 2" xfId="41428" xr:uid="{00000000-0005-0000-0000-0000D5A10000}"/>
    <cellStyle name="Separador de milhares 2 23 2 3" xfId="41429" xr:uid="{00000000-0005-0000-0000-0000D6A10000}"/>
    <cellStyle name="Separador de milhares 2 23 2 4" xfId="41430" xr:uid="{00000000-0005-0000-0000-0000D7A10000}"/>
    <cellStyle name="Separador de milhares 2 23 2 5" xfId="41431" xr:uid="{00000000-0005-0000-0000-0000D8A10000}"/>
    <cellStyle name="Separador de milhares 2 23 2 6" xfId="41432" xr:uid="{00000000-0005-0000-0000-0000D9A10000}"/>
    <cellStyle name="Separador de milhares 2 23 3" xfId="41433" xr:uid="{00000000-0005-0000-0000-0000DAA10000}"/>
    <cellStyle name="Separador de milhares 2 23 3 2" xfId="41434" xr:uid="{00000000-0005-0000-0000-0000DBA10000}"/>
    <cellStyle name="Separador de milhares 2 23 3 3" xfId="41435" xr:uid="{00000000-0005-0000-0000-0000DCA10000}"/>
    <cellStyle name="Separador de milhares 2 23 3 4" xfId="41436" xr:uid="{00000000-0005-0000-0000-0000DDA10000}"/>
    <cellStyle name="Separador de milhares 2 23 3 5" xfId="41437" xr:uid="{00000000-0005-0000-0000-0000DEA10000}"/>
    <cellStyle name="Separador de milhares 2 23 3 6" xfId="41438" xr:uid="{00000000-0005-0000-0000-0000DFA10000}"/>
    <cellStyle name="Separador de milhares 2 23 4" xfId="41439" xr:uid="{00000000-0005-0000-0000-0000E0A10000}"/>
    <cellStyle name="Separador de milhares 2 23 4 2" xfId="41440" xr:uid="{00000000-0005-0000-0000-0000E1A10000}"/>
    <cellStyle name="Separador de milhares 2 23 4 3" xfId="41441" xr:uid="{00000000-0005-0000-0000-0000E2A10000}"/>
    <cellStyle name="Separador de milhares 2 23 4 4" xfId="41442" xr:uid="{00000000-0005-0000-0000-0000E3A10000}"/>
    <cellStyle name="Separador de milhares 2 23 4 5" xfId="41443" xr:uid="{00000000-0005-0000-0000-0000E4A10000}"/>
    <cellStyle name="Separador de milhares 2 23 4 6" xfId="41444" xr:uid="{00000000-0005-0000-0000-0000E5A10000}"/>
    <cellStyle name="Separador de milhares 2 23 5" xfId="41445" xr:uid="{00000000-0005-0000-0000-0000E6A10000}"/>
    <cellStyle name="Separador de milhares 2 23 5 2" xfId="41446" xr:uid="{00000000-0005-0000-0000-0000E7A10000}"/>
    <cellStyle name="Separador de milhares 2 23 5 3" xfId="41447" xr:uid="{00000000-0005-0000-0000-0000E8A10000}"/>
    <cellStyle name="Separador de milhares 2 23 5 4" xfId="41448" xr:uid="{00000000-0005-0000-0000-0000E9A10000}"/>
    <cellStyle name="Separador de milhares 2 23 5 5" xfId="41449" xr:uid="{00000000-0005-0000-0000-0000EAA10000}"/>
    <cellStyle name="Separador de milhares 2 23 5 6" xfId="41450" xr:uid="{00000000-0005-0000-0000-0000EBA10000}"/>
    <cellStyle name="Separador de milhares 2 23 6" xfId="41451" xr:uid="{00000000-0005-0000-0000-0000ECA10000}"/>
    <cellStyle name="Separador de milhares 2 23 6 2" xfId="41452" xr:uid="{00000000-0005-0000-0000-0000EDA10000}"/>
    <cellStyle name="Separador de milhares 2 23 6 3" xfId="41453" xr:uid="{00000000-0005-0000-0000-0000EEA10000}"/>
    <cellStyle name="Separador de milhares 2 23 6 4" xfId="41454" xr:uid="{00000000-0005-0000-0000-0000EFA10000}"/>
    <cellStyle name="Separador de milhares 2 23 6 5" xfId="41455" xr:uid="{00000000-0005-0000-0000-0000F0A10000}"/>
    <cellStyle name="Separador de milhares 2 23 6 6" xfId="41456" xr:uid="{00000000-0005-0000-0000-0000F1A10000}"/>
    <cellStyle name="Separador de milhares 2 23 7" xfId="41457" xr:uid="{00000000-0005-0000-0000-0000F2A10000}"/>
    <cellStyle name="Separador de milhares 2 23 7 2" xfId="41458" xr:uid="{00000000-0005-0000-0000-0000F3A10000}"/>
    <cellStyle name="Separador de milhares 2 23 7 3" xfId="41459" xr:uid="{00000000-0005-0000-0000-0000F4A10000}"/>
    <cellStyle name="Separador de milhares 2 23 7 4" xfId="41460" xr:uid="{00000000-0005-0000-0000-0000F5A10000}"/>
    <cellStyle name="Separador de milhares 2 23 7 5" xfId="41461" xr:uid="{00000000-0005-0000-0000-0000F6A10000}"/>
    <cellStyle name="Separador de milhares 2 23 7 6" xfId="41462" xr:uid="{00000000-0005-0000-0000-0000F7A10000}"/>
    <cellStyle name="Separador de milhares 2 23 8" xfId="41463" xr:uid="{00000000-0005-0000-0000-0000F8A10000}"/>
    <cellStyle name="Separador de milhares 2 23 8 2" xfId="41464" xr:uid="{00000000-0005-0000-0000-0000F9A10000}"/>
    <cellStyle name="Separador de milhares 2 23 8 3" xfId="41465" xr:uid="{00000000-0005-0000-0000-0000FAA10000}"/>
    <cellStyle name="Separador de milhares 2 23 8 4" xfId="41466" xr:uid="{00000000-0005-0000-0000-0000FBA10000}"/>
    <cellStyle name="Separador de milhares 2 23 8 5" xfId="41467" xr:uid="{00000000-0005-0000-0000-0000FCA10000}"/>
    <cellStyle name="Separador de milhares 2 23 8 6" xfId="41468" xr:uid="{00000000-0005-0000-0000-0000FDA10000}"/>
    <cellStyle name="Separador de milhares 2 23 9" xfId="41469" xr:uid="{00000000-0005-0000-0000-0000FEA10000}"/>
    <cellStyle name="Separador de milhares 2 24" xfId="41470" xr:uid="{00000000-0005-0000-0000-0000FFA10000}"/>
    <cellStyle name="Separador de milhares 2 24 10" xfId="41471" xr:uid="{00000000-0005-0000-0000-000000A20000}"/>
    <cellStyle name="Separador de milhares 2 24 11" xfId="41472" xr:uid="{00000000-0005-0000-0000-000001A20000}"/>
    <cellStyle name="Separador de milhares 2 24 12" xfId="41473" xr:uid="{00000000-0005-0000-0000-000002A20000}"/>
    <cellStyle name="Separador de milhares 2 24 13" xfId="41474" xr:uid="{00000000-0005-0000-0000-000003A20000}"/>
    <cellStyle name="Separador de milhares 2 24 2" xfId="41475" xr:uid="{00000000-0005-0000-0000-000004A20000}"/>
    <cellStyle name="Separador de milhares 2 24 2 2" xfId="41476" xr:uid="{00000000-0005-0000-0000-000005A20000}"/>
    <cellStyle name="Separador de milhares 2 24 2 3" xfId="41477" xr:uid="{00000000-0005-0000-0000-000006A20000}"/>
    <cellStyle name="Separador de milhares 2 24 2 4" xfId="41478" xr:uid="{00000000-0005-0000-0000-000007A20000}"/>
    <cellStyle name="Separador de milhares 2 24 2 5" xfId="41479" xr:uid="{00000000-0005-0000-0000-000008A20000}"/>
    <cellStyle name="Separador de milhares 2 24 2 6" xfId="41480" xr:uid="{00000000-0005-0000-0000-000009A20000}"/>
    <cellStyle name="Separador de milhares 2 24 3" xfId="41481" xr:uid="{00000000-0005-0000-0000-00000AA20000}"/>
    <cellStyle name="Separador de milhares 2 24 3 2" xfId="41482" xr:uid="{00000000-0005-0000-0000-00000BA20000}"/>
    <cellStyle name="Separador de milhares 2 24 3 3" xfId="41483" xr:uid="{00000000-0005-0000-0000-00000CA20000}"/>
    <cellStyle name="Separador de milhares 2 24 3 4" xfId="41484" xr:uid="{00000000-0005-0000-0000-00000DA20000}"/>
    <cellStyle name="Separador de milhares 2 24 3 5" xfId="41485" xr:uid="{00000000-0005-0000-0000-00000EA20000}"/>
    <cellStyle name="Separador de milhares 2 24 3 6" xfId="41486" xr:uid="{00000000-0005-0000-0000-00000FA20000}"/>
    <cellStyle name="Separador de milhares 2 24 4" xfId="41487" xr:uid="{00000000-0005-0000-0000-000010A20000}"/>
    <cellStyle name="Separador de milhares 2 24 4 2" xfId="41488" xr:uid="{00000000-0005-0000-0000-000011A20000}"/>
    <cellStyle name="Separador de milhares 2 24 4 3" xfId="41489" xr:uid="{00000000-0005-0000-0000-000012A20000}"/>
    <cellStyle name="Separador de milhares 2 24 4 4" xfId="41490" xr:uid="{00000000-0005-0000-0000-000013A20000}"/>
    <cellStyle name="Separador de milhares 2 24 4 5" xfId="41491" xr:uid="{00000000-0005-0000-0000-000014A20000}"/>
    <cellStyle name="Separador de milhares 2 24 4 6" xfId="41492" xr:uid="{00000000-0005-0000-0000-000015A20000}"/>
    <cellStyle name="Separador de milhares 2 24 5" xfId="41493" xr:uid="{00000000-0005-0000-0000-000016A20000}"/>
    <cellStyle name="Separador de milhares 2 24 5 2" xfId="41494" xr:uid="{00000000-0005-0000-0000-000017A20000}"/>
    <cellStyle name="Separador de milhares 2 24 5 3" xfId="41495" xr:uid="{00000000-0005-0000-0000-000018A20000}"/>
    <cellStyle name="Separador de milhares 2 24 5 4" xfId="41496" xr:uid="{00000000-0005-0000-0000-000019A20000}"/>
    <cellStyle name="Separador de milhares 2 24 5 5" xfId="41497" xr:uid="{00000000-0005-0000-0000-00001AA20000}"/>
    <cellStyle name="Separador de milhares 2 24 5 6" xfId="41498" xr:uid="{00000000-0005-0000-0000-00001BA20000}"/>
    <cellStyle name="Separador de milhares 2 24 6" xfId="41499" xr:uid="{00000000-0005-0000-0000-00001CA20000}"/>
    <cellStyle name="Separador de milhares 2 24 6 2" xfId="41500" xr:uid="{00000000-0005-0000-0000-00001DA20000}"/>
    <cellStyle name="Separador de milhares 2 24 6 3" xfId="41501" xr:uid="{00000000-0005-0000-0000-00001EA20000}"/>
    <cellStyle name="Separador de milhares 2 24 6 4" xfId="41502" xr:uid="{00000000-0005-0000-0000-00001FA20000}"/>
    <cellStyle name="Separador de milhares 2 24 6 5" xfId="41503" xr:uid="{00000000-0005-0000-0000-000020A20000}"/>
    <cellStyle name="Separador de milhares 2 24 6 6" xfId="41504" xr:uid="{00000000-0005-0000-0000-000021A20000}"/>
    <cellStyle name="Separador de milhares 2 24 7" xfId="41505" xr:uid="{00000000-0005-0000-0000-000022A20000}"/>
    <cellStyle name="Separador de milhares 2 24 7 2" xfId="41506" xr:uid="{00000000-0005-0000-0000-000023A20000}"/>
    <cellStyle name="Separador de milhares 2 24 7 3" xfId="41507" xr:uid="{00000000-0005-0000-0000-000024A20000}"/>
    <cellStyle name="Separador de milhares 2 24 7 4" xfId="41508" xr:uid="{00000000-0005-0000-0000-000025A20000}"/>
    <cellStyle name="Separador de milhares 2 24 7 5" xfId="41509" xr:uid="{00000000-0005-0000-0000-000026A20000}"/>
    <cellStyle name="Separador de milhares 2 24 7 6" xfId="41510" xr:uid="{00000000-0005-0000-0000-000027A20000}"/>
    <cellStyle name="Separador de milhares 2 24 8" xfId="41511" xr:uid="{00000000-0005-0000-0000-000028A20000}"/>
    <cellStyle name="Separador de milhares 2 24 8 2" xfId="41512" xr:uid="{00000000-0005-0000-0000-000029A20000}"/>
    <cellStyle name="Separador de milhares 2 24 8 3" xfId="41513" xr:uid="{00000000-0005-0000-0000-00002AA20000}"/>
    <cellStyle name="Separador de milhares 2 24 8 4" xfId="41514" xr:uid="{00000000-0005-0000-0000-00002BA20000}"/>
    <cellStyle name="Separador de milhares 2 24 8 5" xfId="41515" xr:uid="{00000000-0005-0000-0000-00002CA20000}"/>
    <cellStyle name="Separador de milhares 2 24 8 6" xfId="41516" xr:uid="{00000000-0005-0000-0000-00002DA20000}"/>
    <cellStyle name="Separador de milhares 2 24 9" xfId="41517" xr:uid="{00000000-0005-0000-0000-00002EA20000}"/>
    <cellStyle name="Separador de milhares 2 25" xfId="41518" xr:uid="{00000000-0005-0000-0000-00002FA20000}"/>
    <cellStyle name="Separador de milhares 2 25 10" xfId="41519" xr:uid="{00000000-0005-0000-0000-000030A20000}"/>
    <cellStyle name="Separador de milhares 2 25 11" xfId="41520" xr:uid="{00000000-0005-0000-0000-000031A20000}"/>
    <cellStyle name="Separador de milhares 2 25 12" xfId="41521" xr:uid="{00000000-0005-0000-0000-000032A20000}"/>
    <cellStyle name="Separador de milhares 2 25 13" xfId="41522" xr:uid="{00000000-0005-0000-0000-000033A20000}"/>
    <cellStyle name="Separador de milhares 2 25 2" xfId="41523" xr:uid="{00000000-0005-0000-0000-000034A20000}"/>
    <cellStyle name="Separador de milhares 2 25 2 2" xfId="41524" xr:uid="{00000000-0005-0000-0000-000035A20000}"/>
    <cellStyle name="Separador de milhares 2 25 2 3" xfId="41525" xr:uid="{00000000-0005-0000-0000-000036A20000}"/>
    <cellStyle name="Separador de milhares 2 25 2 4" xfId="41526" xr:uid="{00000000-0005-0000-0000-000037A20000}"/>
    <cellStyle name="Separador de milhares 2 25 2 5" xfId="41527" xr:uid="{00000000-0005-0000-0000-000038A20000}"/>
    <cellStyle name="Separador de milhares 2 25 2 6" xfId="41528" xr:uid="{00000000-0005-0000-0000-000039A20000}"/>
    <cellStyle name="Separador de milhares 2 25 3" xfId="41529" xr:uid="{00000000-0005-0000-0000-00003AA20000}"/>
    <cellStyle name="Separador de milhares 2 25 3 2" xfId="41530" xr:uid="{00000000-0005-0000-0000-00003BA20000}"/>
    <cellStyle name="Separador de milhares 2 25 3 3" xfId="41531" xr:uid="{00000000-0005-0000-0000-00003CA20000}"/>
    <cellStyle name="Separador de milhares 2 25 3 4" xfId="41532" xr:uid="{00000000-0005-0000-0000-00003DA20000}"/>
    <cellStyle name="Separador de milhares 2 25 3 5" xfId="41533" xr:uid="{00000000-0005-0000-0000-00003EA20000}"/>
    <cellStyle name="Separador de milhares 2 25 3 6" xfId="41534" xr:uid="{00000000-0005-0000-0000-00003FA20000}"/>
    <cellStyle name="Separador de milhares 2 25 4" xfId="41535" xr:uid="{00000000-0005-0000-0000-000040A20000}"/>
    <cellStyle name="Separador de milhares 2 25 4 2" xfId="41536" xr:uid="{00000000-0005-0000-0000-000041A20000}"/>
    <cellStyle name="Separador de milhares 2 25 4 3" xfId="41537" xr:uid="{00000000-0005-0000-0000-000042A20000}"/>
    <cellStyle name="Separador de milhares 2 25 4 4" xfId="41538" xr:uid="{00000000-0005-0000-0000-000043A20000}"/>
    <cellStyle name="Separador de milhares 2 25 4 5" xfId="41539" xr:uid="{00000000-0005-0000-0000-000044A20000}"/>
    <cellStyle name="Separador de milhares 2 25 4 6" xfId="41540" xr:uid="{00000000-0005-0000-0000-000045A20000}"/>
    <cellStyle name="Separador de milhares 2 25 5" xfId="41541" xr:uid="{00000000-0005-0000-0000-000046A20000}"/>
    <cellStyle name="Separador de milhares 2 25 5 2" xfId="41542" xr:uid="{00000000-0005-0000-0000-000047A20000}"/>
    <cellStyle name="Separador de milhares 2 25 5 3" xfId="41543" xr:uid="{00000000-0005-0000-0000-000048A20000}"/>
    <cellStyle name="Separador de milhares 2 25 5 4" xfId="41544" xr:uid="{00000000-0005-0000-0000-000049A20000}"/>
    <cellStyle name="Separador de milhares 2 25 5 5" xfId="41545" xr:uid="{00000000-0005-0000-0000-00004AA20000}"/>
    <cellStyle name="Separador de milhares 2 25 5 6" xfId="41546" xr:uid="{00000000-0005-0000-0000-00004BA20000}"/>
    <cellStyle name="Separador de milhares 2 25 6" xfId="41547" xr:uid="{00000000-0005-0000-0000-00004CA20000}"/>
    <cellStyle name="Separador de milhares 2 25 6 2" xfId="41548" xr:uid="{00000000-0005-0000-0000-00004DA20000}"/>
    <cellStyle name="Separador de milhares 2 25 6 3" xfId="41549" xr:uid="{00000000-0005-0000-0000-00004EA20000}"/>
    <cellStyle name="Separador de milhares 2 25 6 4" xfId="41550" xr:uid="{00000000-0005-0000-0000-00004FA20000}"/>
    <cellStyle name="Separador de milhares 2 25 6 5" xfId="41551" xr:uid="{00000000-0005-0000-0000-000050A20000}"/>
    <cellStyle name="Separador de milhares 2 25 6 6" xfId="41552" xr:uid="{00000000-0005-0000-0000-000051A20000}"/>
    <cellStyle name="Separador de milhares 2 25 7" xfId="41553" xr:uid="{00000000-0005-0000-0000-000052A20000}"/>
    <cellStyle name="Separador de milhares 2 25 7 2" xfId="41554" xr:uid="{00000000-0005-0000-0000-000053A20000}"/>
    <cellStyle name="Separador de milhares 2 25 7 3" xfId="41555" xr:uid="{00000000-0005-0000-0000-000054A20000}"/>
    <cellStyle name="Separador de milhares 2 25 7 4" xfId="41556" xr:uid="{00000000-0005-0000-0000-000055A20000}"/>
    <cellStyle name="Separador de milhares 2 25 7 5" xfId="41557" xr:uid="{00000000-0005-0000-0000-000056A20000}"/>
    <cellStyle name="Separador de milhares 2 25 7 6" xfId="41558" xr:uid="{00000000-0005-0000-0000-000057A20000}"/>
    <cellStyle name="Separador de milhares 2 25 8" xfId="41559" xr:uid="{00000000-0005-0000-0000-000058A20000}"/>
    <cellStyle name="Separador de milhares 2 25 8 2" xfId="41560" xr:uid="{00000000-0005-0000-0000-000059A20000}"/>
    <cellStyle name="Separador de milhares 2 25 8 3" xfId="41561" xr:uid="{00000000-0005-0000-0000-00005AA20000}"/>
    <cellStyle name="Separador de milhares 2 25 8 4" xfId="41562" xr:uid="{00000000-0005-0000-0000-00005BA20000}"/>
    <cellStyle name="Separador de milhares 2 25 8 5" xfId="41563" xr:uid="{00000000-0005-0000-0000-00005CA20000}"/>
    <cellStyle name="Separador de milhares 2 25 8 6" xfId="41564" xr:uid="{00000000-0005-0000-0000-00005DA20000}"/>
    <cellStyle name="Separador de milhares 2 25 9" xfId="41565" xr:uid="{00000000-0005-0000-0000-00005EA20000}"/>
    <cellStyle name="Separador de milhares 2 26" xfId="41566" xr:uid="{00000000-0005-0000-0000-00005FA20000}"/>
    <cellStyle name="Separador de milhares 2 26 10" xfId="41567" xr:uid="{00000000-0005-0000-0000-000060A20000}"/>
    <cellStyle name="Separador de milhares 2 26 11" xfId="41568" xr:uid="{00000000-0005-0000-0000-000061A20000}"/>
    <cellStyle name="Separador de milhares 2 26 12" xfId="41569" xr:uid="{00000000-0005-0000-0000-000062A20000}"/>
    <cellStyle name="Separador de milhares 2 26 13" xfId="41570" xr:uid="{00000000-0005-0000-0000-000063A20000}"/>
    <cellStyle name="Separador de milhares 2 26 2" xfId="41571" xr:uid="{00000000-0005-0000-0000-000064A20000}"/>
    <cellStyle name="Separador de milhares 2 26 2 2" xfId="41572" xr:uid="{00000000-0005-0000-0000-000065A20000}"/>
    <cellStyle name="Separador de milhares 2 26 2 3" xfId="41573" xr:uid="{00000000-0005-0000-0000-000066A20000}"/>
    <cellStyle name="Separador de milhares 2 26 2 4" xfId="41574" xr:uid="{00000000-0005-0000-0000-000067A20000}"/>
    <cellStyle name="Separador de milhares 2 26 2 5" xfId="41575" xr:uid="{00000000-0005-0000-0000-000068A20000}"/>
    <cellStyle name="Separador de milhares 2 26 2 6" xfId="41576" xr:uid="{00000000-0005-0000-0000-000069A20000}"/>
    <cellStyle name="Separador de milhares 2 26 3" xfId="41577" xr:uid="{00000000-0005-0000-0000-00006AA20000}"/>
    <cellStyle name="Separador de milhares 2 26 3 2" xfId="41578" xr:uid="{00000000-0005-0000-0000-00006BA20000}"/>
    <cellStyle name="Separador de milhares 2 26 3 3" xfId="41579" xr:uid="{00000000-0005-0000-0000-00006CA20000}"/>
    <cellStyle name="Separador de milhares 2 26 3 4" xfId="41580" xr:uid="{00000000-0005-0000-0000-00006DA20000}"/>
    <cellStyle name="Separador de milhares 2 26 3 5" xfId="41581" xr:uid="{00000000-0005-0000-0000-00006EA20000}"/>
    <cellStyle name="Separador de milhares 2 26 3 6" xfId="41582" xr:uid="{00000000-0005-0000-0000-00006FA20000}"/>
    <cellStyle name="Separador de milhares 2 26 4" xfId="41583" xr:uid="{00000000-0005-0000-0000-000070A20000}"/>
    <cellStyle name="Separador de milhares 2 26 4 2" xfId="41584" xr:uid="{00000000-0005-0000-0000-000071A20000}"/>
    <cellStyle name="Separador de milhares 2 26 4 3" xfId="41585" xr:uid="{00000000-0005-0000-0000-000072A20000}"/>
    <cellStyle name="Separador de milhares 2 26 4 4" xfId="41586" xr:uid="{00000000-0005-0000-0000-000073A20000}"/>
    <cellStyle name="Separador de milhares 2 26 4 5" xfId="41587" xr:uid="{00000000-0005-0000-0000-000074A20000}"/>
    <cellStyle name="Separador de milhares 2 26 4 6" xfId="41588" xr:uid="{00000000-0005-0000-0000-000075A20000}"/>
    <cellStyle name="Separador de milhares 2 26 5" xfId="41589" xr:uid="{00000000-0005-0000-0000-000076A20000}"/>
    <cellStyle name="Separador de milhares 2 26 5 2" xfId="41590" xr:uid="{00000000-0005-0000-0000-000077A20000}"/>
    <cellStyle name="Separador de milhares 2 26 5 3" xfId="41591" xr:uid="{00000000-0005-0000-0000-000078A20000}"/>
    <cellStyle name="Separador de milhares 2 26 5 4" xfId="41592" xr:uid="{00000000-0005-0000-0000-000079A20000}"/>
    <cellStyle name="Separador de milhares 2 26 5 5" xfId="41593" xr:uid="{00000000-0005-0000-0000-00007AA20000}"/>
    <cellStyle name="Separador de milhares 2 26 5 6" xfId="41594" xr:uid="{00000000-0005-0000-0000-00007BA20000}"/>
    <cellStyle name="Separador de milhares 2 26 6" xfId="41595" xr:uid="{00000000-0005-0000-0000-00007CA20000}"/>
    <cellStyle name="Separador de milhares 2 26 6 2" xfId="41596" xr:uid="{00000000-0005-0000-0000-00007DA20000}"/>
    <cellStyle name="Separador de milhares 2 26 6 3" xfId="41597" xr:uid="{00000000-0005-0000-0000-00007EA20000}"/>
    <cellStyle name="Separador de milhares 2 26 6 4" xfId="41598" xr:uid="{00000000-0005-0000-0000-00007FA20000}"/>
    <cellStyle name="Separador de milhares 2 26 6 5" xfId="41599" xr:uid="{00000000-0005-0000-0000-000080A20000}"/>
    <cellStyle name="Separador de milhares 2 26 6 6" xfId="41600" xr:uid="{00000000-0005-0000-0000-000081A20000}"/>
    <cellStyle name="Separador de milhares 2 26 7" xfId="41601" xr:uid="{00000000-0005-0000-0000-000082A20000}"/>
    <cellStyle name="Separador de milhares 2 26 7 2" xfId="41602" xr:uid="{00000000-0005-0000-0000-000083A20000}"/>
    <cellStyle name="Separador de milhares 2 26 7 3" xfId="41603" xr:uid="{00000000-0005-0000-0000-000084A20000}"/>
    <cellStyle name="Separador de milhares 2 26 7 4" xfId="41604" xr:uid="{00000000-0005-0000-0000-000085A20000}"/>
    <cellStyle name="Separador de milhares 2 26 7 5" xfId="41605" xr:uid="{00000000-0005-0000-0000-000086A20000}"/>
    <cellStyle name="Separador de milhares 2 26 7 6" xfId="41606" xr:uid="{00000000-0005-0000-0000-000087A20000}"/>
    <cellStyle name="Separador de milhares 2 26 8" xfId="41607" xr:uid="{00000000-0005-0000-0000-000088A20000}"/>
    <cellStyle name="Separador de milhares 2 26 8 2" xfId="41608" xr:uid="{00000000-0005-0000-0000-000089A20000}"/>
    <cellStyle name="Separador de milhares 2 26 8 3" xfId="41609" xr:uid="{00000000-0005-0000-0000-00008AA20000}"/>
    <cellStyle name="Separador de milhares 2 26 8 4" xfId="41610" xr:uid="{00000000-0005-0000-0000-00008BA20000}"/>
    <cellStyle name="Separador de milhares 2 26 8 5" xfId="41611" xr:uid="{00000000-0005-0000-0000-00008CA20000}"/>
    <cellStyle name="Separador de milhares 2 26 8 6" xfId="41612" xr:uid="{00000000-0005-0000-0000-00008DA20000}"/>
    <cellStyle name="Separador de milhares 2 26 9" xfId="41613" xr:uid="{00000000-0005-0000-0000-00008EA20000}"/>
    <cellStyle name="Separador de milhares 2 27" xfId="41614" xr:uid="{00000000-0005-0000-0000-00008FA20000}"/>
    <cellStyle name="Separador de milhares 2 27 10" xfId="41615" xr:uid="{00000000-0005-0000-0000-000090A20000}"/>
    <cellStyle name="Separador de milhares 2 27 11" xfId="41616" xr:uid="{00000000-0005-0000-0000-000091A20000}"/>
    <cellStyle name="Separador de milhares 2 27 12" xfId="41617" xr:uid="{00000000-0005-0000-0000-000092A20000}"/>
    <cellStyle name="Separador de milhares 2 27 13" xfId="41618" xr:uid="{00000000-0005-0000-0000-000093A20000}"/>
    <cellStyle name="Separador de milhares 2 27 2" xfId="41619" xr:uid="{00000000-0005-0000-0000-000094A20000}"/>
    <cellStyle name="Separador de milhares 2 27 2 2" xfId="41620" xr:uid="{00000000-0005-0000-0000-000095A20000}"/>
    <cellStyle name="Separador de milhares 2 27 2 3" xfId="41621" xr:uid="{00000000-0005-0000-0000-000096A20000}"/>
    <cellStyle name="Separador de milhares 2 27 2 4" xfId="41622" xr:uid="{00000000-0005-0000-0000-000097A20000}"/>
    <cellStyle name="Separador de milhares 2 27 2 5" xfId="41623" xr:uid="{00000000-0005-0000-0000-000098A20000}"/>
    <cellStyle name="Separador de milhares 2 27 2 6" xfId="41624" xr:uid="{00000000-0005-0000-0000-000099A20000}"/>
    <cellStyle name="Separador de milhares 2 27 3" xfId="41625" xr:uid="{00000000-0005-0000-0000-00009AA20000}"/>
    <cellStyle name="Separador de milhares 2 27 3 2" xfId="41626" xr:uid="{00000000-0005-0000-0000-00009BA20000}"/>
    <cellStyle name="Separador de milhares 2 27 3 3" xfId="41627" xr:uid="{00000000-0005-0000-0000-00009CA20000}"/>
    <cellStyle name="Separador de milhares 2 27 3 4" xfId="41628" xr:uid="{00000000-0005-0000-0000-00009DA20000}"/>
    <cellStyle name="Separador de milhares 2 27 3 5" xfId="41629" xr:uid="{00000000-0005-0000-0000-00009EA20000}"/>
    <cellStyle name="Separador de milhares 2 27 3 6" xfId="41630" xr:uid="{00000000-0005-0000-0000-00009FA20000}"/>
    <cellStyle name="Separador de milhares 2 27 4" xfId="41631" xr:uid="{00000000-0005-0000-0000-0000A0A20000}"/>
    <cellStyle name="Separador de milhares 2 27 4 2" xfId="41632" xr:uid="{00000000-0005-0000-0000-0000A1A20000}"/>
    <cellStyle name="Separador de milhares 2 27 4 3" xfId="41633" xr:uid="{00000000-0005-0000-0000-0000A2A20000}"/>
    <cellStyle name="Separador de milhares 2 27 4 4" xfId="41634" xr:uid="{00000000-0005-0000-0000-0000A3A20000}"/>
    <cellStyle name="Separador de milhares 2 27 4 5" xfId="41635" xr:uid="{00000000-0005-0000-0000-0000A4A20000}"/>
    <cellStyle name="Separador de milhares 2 27 4 6" xfId="41636" xr:uid="{00000000-0005-0000-0000-0000A5A20000}"/>
    <cellStyle name="Separador de milhares 2 27 5" xfId="41637" xr:uid="{00000000-0005-0000-0000-0000A6A20000}"/>
    <cellStyle name="Separador de milhares 2 27 5 2" xfId="41638" xr:uid="{00000000-0005-0000-0000-0000A7A20000}"/>
    <cellStyle name="Separador de milhares 2 27 5 3" xfId="41639" xr:uid="{00000000-0005-0000-0000-0000A8A20000}"/>
    <cellStyle name="Separador de milhares 2 27 5 4" xfId="41640" xr:uid="{00000000-0005-0000-0000-0000A9A20000}"/>
    <cellStyle name="Separador de milhares 2 27 5 5" xfId="41641" xr:uid="{00000000-0005-0000-0000-0000AAA20000}"/>
    <cellStyle name="Separador de milhares 2 27 5 6" xfId="41642" xr:uid="{00000000-0005-0000-0000-0000ABA20000}"/>
    <cellStyle name="Separador de milhares 2 27 6" xfId="41643" xr:uid="{00000000-0005-0000-0000-0000ACA20000}"/>
    <cellStyle name="Separador de milhares 2 27 6 2" xfId="41644" xr:uid="{00000000-0005-0000-0000-0000ADA20000}"/>
    <cellStyle name="Separador de milhares 2 27 6 3" xfId="41645" xr:uid="{00000000-0005-0000-0000-0000AEA20000}"/>
    <cellStyle name="Separador de milhares 2 27 6 4" xfId="41646" xr:uid="{00000000-0005-0000-0000-0000AFA20000}"/>
    <cellStyle name="Separador de milhares 2 27 6 5" xfId="41647" xr:uid="{00000000-0005-0000-0000-0000B0A20000}"/>
    <cellStyle name="Separador de milhares 2 27 6 6" xfId="41648" xr:uid="{00000000-0005-0000-0000-0000B1A20000}"/>
    <cellStyle name="Separador de milhares 2 27 7" xfId="41649" xr:uid="{00000000-0005-0000-0000-0000B2A20000}"/>
    <cellStyle name="Separador de milhares 2 27 7 2" xfId="41650" xr:uid="{00000000-0005-0000-0000-0000B3A20000}"/>
    <cellStyle name="Separador de milhares 2 27 7 3" xfId="41651" xr:uid="{00000000-0005-0000-0000-0000B4A20000}"/>
    <cellStyle name="Separador de milhares 2 27 7 4" xfId="41652" xr:uid="{00000000-0005-0000-0000-0000B5A20000}"/>
    <cellStyle name="Separador de milhares 2 27 7 5" xfId="41653" xr:uid="{00000000-0005-0000-0000-0000B6A20000}"/>
    <cellStyle name="Separador de milhares 2 27 7 6" xfId="41654" xr:uid="{00000000-0005-0000-0000-0000B7A20000}"/>
    <cellStyle name="Separador de milhares 2 27 8" xfId="41655" xr:uid="{00000000-0005-0000-0000-0000B8A20000}"/>
    <cellStyle name="Separador de milhares 2 27 8 2" xfId="41656" xr:uid="{00000000-0005-0000-0000-0000B9A20000}"/>
    <cellStyle name="Separador de milhares 2 27 8 3" xfId="41657" xr:uid="{00000000-0005-0000-0000-0000BAA20000}"/>
    <cellStyle name="Separador de milhares 2 27 8 4" xfId="41658" xr:uid="{00000000-0005-0000-0000-0000BBA20000}"/>
    <cellStyle name="Separador de milhares 2 27 8 5" xfId="41659" xr:uid="{00000000-0005-0000-0000-0000BCA20000}"/>
    <cellStyle name="Separador de milhares 2 27 8 6" xfId="41660" xr:uid="{00000000-0005-0000-0000-0000BDA20000}"/>
    <cellStyle name="Separador de milhares 2 27 9" xfId="41661" xr:uid="{00000000-0005-0000-0000-0000BEA20000}"/>
    <cellStyle name="Separador de milhares 2 28" xfId="41662" xr:uid="{00000000-0005-0000-0000-0000BFA20000}"/>
    <cellStyle name="Separador de milhares 2 28 10" xfId="41663" xr:uid="{00000000-0005-0000-0000-0000C0A20000}"/>
    <cellStyle name="Separador de milhares 2 28 11" xfId="41664" xr:uid="{00000000-0005-0000-0000-0000C1A20000}"/>
    <cellStyle name="Separador de milhares 2 28 12" xfId="41665" xr:uid="{00000000-0005-0000-0000-0000C2A20000}"/>
    <cellStyle name="Separador de milhares 2 28 13" xfId="41666" xr:uid="{00000000-0005-0000-0000-0000C3A20000}"/>
    <cellStyle name="Separador de milhares 2 28 2" xfId="41667" xr:uid="{00000000-0005-0000-0000-0000C4A20000}"/>
    <cellStyle name="Separador de milhares 2 28 2 2" xfId="41668" xr:uid="{00000000-0005-0000-0000-0000C5A20000}"/>
    <cellStyle name="Separador de milhares 2 28 2 3" xfId="41669" xr:uid="{00000000-0005-0000-0000-0000C6A20000}"/>
    <cellStyle name="Separador de milhares 2 28 2 4" xfId="41670" xr:uid="{00000000-0005-0000-0000-0000C7A20000}"/>
    <cellStyle name="Separador de milhares 2 28 2 5" xfId="41671" xr:uid="{00000000-0005-0000-0000-0000C8A20000}"/>
    <cellStyle name="Separador de milhares 2 28 2 6" xfId="41672" xr:uid="{00000000-0005-0000-0000-0000C9A20000}"/>
    <cellStyle name="Separador de milhares 2 28 3" xfId="41673" xr:uid="{00000000-0005-0000-0000-0000CAA20000}"/>
    <cellStyle name="Separador de milhares 2 28 3 2" xfId="41674" xr:uid="{00000000-0005-0000-0000-0000CBA20000}"/>
    <cellStyle name="Separador de milhares 2 28 3 3" xfId="41675" xr:uid="{00000000-0005-0000-0000-0000CCA20000}"/>
    <cellStyle name="Separador de milhares 2 28 3 4" xfId="41676" xr:uid="{00000000-0005-0000-0000-0000CDA20000}"/>
    <cellStyle name="Separador de milhares 2 28 3 5" xfId="41677" xr:uid="{00000000-0005-0000-0000-0000CEA20000}"/>
    <cellStyle name="Separador de milhares 2 28 3 6" xfId="41678" xr:uid="{00000000-0005-0000-0000-0000CFA20000}"/>
    <cellStyle name="Separador de milhares 2 28 4" xfId="41679" xr:uid="{00000000-0005-0000-0000-0000D0A20000}"/>
    <cellStyle name="Separador de milhares 2 28 4 2" xfId="41680" xr:uid="{00000000-0005-0000-0000-0000D1A20000}"/>
    <cellStyle name="Separador de milhares 2 28 4 3" xfId="41681" xr:uid="{00000000-0005-0000-0000-0000D2A20000}"/>
    <cellStyle name="Separador de milhares 2 28 4 4" xfId="41682" xr:uid="{00000000-0005-0000-0000-0000D3A20000}"/>
    <cellStyle name="Separador de milhares 2 28 4 5" xfId="41683" xr:uid="{00000000-0005-0000-0000-0000D4A20000}"/>
    <cellStyle name="Separador de milhares 2 28 4 6" xfId="41684" xr:uid="{00000000-0005-0000-0000-0000D5A20000}"/>
    <cellStyle name="Separador de milhares 2 28 5" xfId="41685" xr:uid="{00000000-0005-0000-0000-0000D6A20000}"/>
    <cellStyle name="Separador de milhares 2 28 5 2" xfId="41686" xr:uid="{00000000-0005-0000-0000-0000D7A20000}"/>
    <cellStyle name="Separador de milhares 2 28 5 3" xfId="41687" xr:uid="{00000000-0005-0000-0000-0000D8A20000}"/>
    <cellStyle name="Separador de milhares 2 28 5 4" xfId="41688" xr:uid="{00000000-0005-0000-0000-0000D9A20000}"/>
    <cellStyle name="Separador de milhares 2 28 5 5" xfId="41689" xr:uid="{00000000-0005-0000-0000-0000DAA20000}"/>
    <cellStyle name="Separador de milhares 2 28 5 6" xfId="41690" xr:uid="{00000000-0005-0000-0000-0000DBA20000}"/>
    <cellStyle name="Separador de milhares 2 28 6" xfId="41691" xr:uid="{00000000-0005-0000-0000-0000DCA20000}"/>
    <cellStyle name="Separador de milhares 2 28 6 2" xfId="41692" xr:uid="{00000000-0005-0000-0000-0000DDA20000}"/>
    <cellStyle name="Separador de milhares 2 28 6 3" xfId="41693" xr:uid="{00000000-0005-0000-0000-0000DEA20000}"/>
    <cellStyle name="Separador de milhares 2 28 6 4" xfId="41694" xr:uid="{00000000-0005-0000-0000-0000DFA20000}"/>
    <cellStyle name="Separador de milhares 2 28 6 5" xfId="41695" xr:uid="{00000000-0005-0000-0000-0000E0A20000}"/>
    <cellStyle name="Separador de milhares 2 28 6 6" xfId="41696" xr:uid="{00000000-0005-0000-0000-0000E1A20000}"/>
    <cellStyle name="Separador de milhares 2 28 7" xfId="41697" xr:uid="{00000000-0005-0000-0000-0000E2A20000}"/>
    <cellStyle name="Separador de milhares 2 28 7 2" xfId="41698" xr:uid="{00000000-0005-0000-0000-0000E3A20000}"/>
    <cellStyle name="Separador de milhares 2 28 7 3" xfId="41699" xr:uid="{00000000-0005-0000-0000-0000E4A20000}"/>
    <cellStyle name="Separador de milhares 2 28 7 4" xfId="41700" xr:uid="{00000000-0005-0000-0000-0000E5A20000}"/>
    <cellStyle name="Separador de milhares 2 28 7 5" xfId="41701" xr:uid="{00000000-0005-0000-0000-0000E6A20000}"/>
    <cellStyle name="Separador de milhares 2 28 7 6" xfId="41702" xr:uid="{00000000-0005-0000-0000-0000E7A20000}"/>
    <cellStyle name="Separador de milhares 2 28 8" xfId="41703" xr:uid="{00000000-0005-0000-0000-0000E8A20000}"/>
    <cellStyle name="Separador de milhares 2 28 8 2" xfId="41704" xr:uid="{00000000-0005-0000-0000-0000E9A20000}"/>
    <cellStyle name="Separador de milhares 2 28 8 3" xfId="41705" xr:uid="{00000000-0005-0000-0000-0000EAA20000}"/>
    <cellStyle name="Separador de milhares 2 28 8 4" xfId="41706" xr:uid="{00000000-0005-0000-0000-0000EBA20000}"/>
    <cellStyle name="Separador de milhares 2 28 8 5" xfId="41707" xr:uid="{00000000-0005-0000-0000-0000ECA20000}"/>
    <cellStyle name="Separador de milhares 2 28 8 6" xfId="41708" xr:uid="{00000000-0005-0000-0000-0000EDA20000}"/>
    <cellStyle name="Separador de milhares 2 28 9" xfId="41709" xr:uid="{00000000-0005-0000-0000-0000EEA20000}"/>
    <cellStyle name="Separador de milhares 2 29" xfId="41710" xr:uid="{00000000-0005-0000-0000-0000EFA20000}"/>
    <cellStyle name="Separador de milhares 2 29 10" xfId="41711" xr:uid="{00000000-0005-0000-0000-0000F0A20000}"/>
    <cellStyle name="Separador de milhares 2 29 11" xfId="41712" xr:uid="{00000000-0005-0000-0000-0000F1A20000}"/>
    <cellStyle name="Separador de milhares 2 29 12" xfId="41713" xr:uid="{00000000-0005-0000-0000-0000F2A20000}"/>
    <cellStyle name="Separador de milhares 2 29 13" xfId="41714" xr:uid="{00000000-0005-0000-0000-0000F3A20000}"/>
    <cellStyle name="Separador de milhares 2 29 2" xfId="41715" xr:uid="{00000000-0005-0000-0000-0000F4A20000}"/>
    <cellStyle name="Separador de milhares 2 29 2 2" xfId="41716" xr:uid="{00000000-0005-0000-0000-0000F5A20000}"/>
    <cellStyle name="Separador de milhares 2 29 2 3" xfId="41717" xr:uid="{00000000-0005-0000-0000-0000F6A20000}"/>
    <cellStyle name="Separador de milhares 2 29 2 4" xfId="41718" xr:uid="{00000000-0005-0000-0000-0000F7A20000}"/>
    <cellStyle name="Separador de milhares 2 29 2 5" xfId="41719" xr:uid="{00000000-0005-0000-0000-0000F8A20000}"/>
    <cellStyle name="Separador de milhares 2 29 2 6" xfId="41720" xr:uid="{00000000-0005-0000-0000-0000F9A20000}"/>
    <cellStyle name="Separador de milhares 2 29 3" xfId="41721" xr:uid="{00000000-0005-0000-0000-0000FAA20000}"/>
    <cellStyle name="Separador de milhares 2 29 3 2" xfId="41722" xr:uid="{00000000-0005-0000-0000-0000FBA20000}"/>
    <cellStyle name="Separador de milhares 2 29 3 3" xfId="41723" xr:uid="{00000000-0005-0000-0000-0000FCA20000}"/>
    <cellStyle name="Separador de milhares 2 29 3 4" xfId="41724" xr:uid="{00000000-0005-0000-0000-0000FDA20000}"/>
    <cellStyle name="Separador de milhares 2 29 3 5" xfId="41725" xr:uid="{00000000-0005-0000-0000-0000FEA20000}"/>
    <cellStyle name="Separador de milhares 2 29 3 6" xfId="41726" xr:uid="{00000000-0005-0000-0000-0000FFA20000}"/>
    <cellStyle name="Separador de milhares 2 29 4" xfId="41727" xr:uid="{00000000-0005-0000-0000-000000A30000}"/>
    <cellStyle name="Separador de milhares 2 29 4 2" xfId="41728" xr:uid="{00000000-0005-0000-0000-000001A30000}"/>
    <cellStyle name="Separador de milhares 2 29 4 3" xfId="41729" xr:uid="{00000000-0005-0000-0000-000002A30000}"/>
    <cellStyle name="Separador de milhares 2 29 4 4" xfId="41730" xr:uid="{00000000-0005-0000-0000-000003A30000}"/>
    <cellStyle name="Separador de milhares 2 29 4 5" xfId="41731" xr:uid="{00000000-0005-0000-0000-000004A30000}"/>
    <cellStyle name="Separador de milhares 2 29 4 6" xfId="41732" xr:uid="{00000000-0005-0000-0000-000005A30000}"/>
    <cellStyle name="Separador de milhares 2 29 5" xfId="41733" xr:uid="{00000000-0005-0000-0000-000006A30000}"/>
    <cellStyle name="Separador de milhares 2 29 5 2" xfId="41734" xr:uid="{00000000-0005-0000-0000-000007A30000}"/>
    <cellStyle name="Separador de milhares 2 29 5 3" xfId="41735" xr:uid="{00000000-0005-0000-0000-000008A30000}"/>
    <cellStyle name="Separador de milhares 2 29 5 4" xfId="41736" xr:uid="{00000000-0005-0000-0000-000009A30000}"/>
    <cellStyle name="Separador de milhares 2 29 5 5" xfId="41737" xr:uid="{00000000-0005-0000-0000-00000AA30000}"/>
    <cellStyle name="Separador de milhares 2 29 5 6" xfId="41738" xr:uid="{00000000-0005-0000-0000-00000BA30000}"/>
    <cellStyle name="Separador de milhares 2 29 6" xfId="41739" xr:uid="{00000000-0005-0000-0000-00000CA30000}"/>
    <cellStyle name="Separador de milhares 2 29 6 2" xfId="41740" xr:uid="{00000000-0005-0000-0000-00000DA30000}"/>
    <cellStyle name="Separador de milhares 2 29 6 3" xfId="41741" xr:uid="{00000000-0005-0000-0000-00000EA30000}"/>
    <cellStyle name="Separador de milhares 2 29 6 4" xfId="41742" xr:uid="{00000000-0005-0000-0000-00000FA30000}"/>
    <cellStyle name="Separador de milhares 2 29 6 5" xfId="41743" xr:uid="{00000000-0005-0000-0000-000010A30000}"/>
    <cellStyle name="Separador de milhares 2 29 6 6" xfId="41744" xr:uid="{00000000-0005-0000-0000-000011A30000}"/>
    <cellStyle name="Separador de milhares 2 29 7" xfId="41745" xr:uid="{00000000-0005-0000-0000-000012A30000}"/>
    <cellStyle name="Separador de milhares 2 29 7 2" xfId="41746" xr:uid="{00000000-0005-0000-0000-000013A30000}"/>
    <cellStyle name="Separador de milhares 2 29 7 3" xfId="41747" xr:uid="{00000000-0005-0000-0000-000014A30000}"/>
    <cellStyle name="Separador de milhares 2 29 7 4" xfId="41748" xr:uid="{00000000-0005-0000-0000-000015A30000}"/>
    <cellStyle name="Separador de milhares 2 29 7 5" xfId="41749" xr:uid="{00000000-0005-0000-0000-000016A30000}"/>
    <cellStyle name="Separador de milhares 2 29 7 6" xfId="41750" xr:uid="{00000000-0005-0000-0000-000017A30000}"/>
    <cellStyle name="Separador de milhares 2 29 8" xfId="41751" xr:uid="{00000000-0005-0000-0000-000018A30000}"/>
    <cellStyle name="Separador de milhares 2 29 8 2" xfId="41752" xr:uid="{00000000-0005-0000-0000-000019A30000}"/>
    <cellStyle name="Separador de milhares 2 29 8 3" xfId="41753" xr:uid="{00000000-0005-0000-0000-00001AA30000}"/>
    <cellStyle name="Separador de milhares 2 29 8 4" xfId="41754" xr:uid="{00000000-0005-0000-0000-00001BA30000}"/>
    <cellStyle name="Separador de milhares 2 29 8 5" xfId="41755" xr:uid="{00000000-0005-0000-0000-00001CA30000}"/>
    <cellStyle name="Separador de milhares 2 29 8 6" xfId="41756" xr:uid="{00000000-0005-0000-0000-00001DA30000}"/>
    <cellStyle name="Separador de milhares 2 29 9" xfId="41757" xr:uid="{00000000-0005-0000-0000-00001EA30000}"/>
    <cellStyle name="Separador de milhares 2 3" xfId="1131" xr:uid="{00000000-0005-0000-0000-00001FA30000}"/>
    <cellStyle name="Separador de milhares 2 3 10" xfId="41758" xr:uid="{00000000-0005-0000-0000-000020A30000}"/>
    <cellStyle name="Separador de milhares 2 3 11" xfId="41759" xr:uid="{00000000-0005-0000-0000-000021A30000}"/>
    <cellStyle name="Separador de milhares 2 3 12" xfId="41760" xr:uid="{00000000-0005-0000-0000-000022A30000}"/>
    <cellStyle name="Separador de milhares 2 3 13" xfId="41761" xr:uid="{00000000-0005-0000-0000-000023A30000}"/>
    <cellStyle name="Separador de milhares 2 3 14" xfId="41762" xr:uid="{00000000-0005-0000-0000-000024A30000}"/>
    <cellStyle name="Separador de milhares 2 3 15" xfId="43524" xr:uid="{53A7E458-ED3C-4DEB-A3B2-69598AB791F8}"/>
    <cellStyle name="Separador de milhares 2 3 2" xfId="41763" xr:uid="{00000000-0005-0000-0000-000025A30000}"/>
    <cellStyle name="Separador de milhares 2 3 2 2" xfId="41764" xr:uid="{00000000-0005-0000-0000-000026A30000}"/>
    <cellStyle name="Separador de milhares 2 3 2 3" xfId="41765" xr:uid="{00000000-0005-0000-0000-000027A30000}"/>
    <cellStyle name="Separador de milhares 2 3 2 4" xfId="41766" xr:uid="{00000000-0005-0000-0000-000028A30000}"/>
    <cellStyle name="Separador de milhares 2 3 2 5" xfId="41767" xr:uid="{00000000-0005-0000-0000-000029A30000}"/>
    <cellStyle name="Separador de milhares 2 3 2 6" xfId="41768" xr:uid="{00000000-0005-0000-0000-00002AA30000}"/>
    <cellStyle name="Separador de milhares 2 3 2 7" xfId="43707" xr:uid="{BBA42B6E-07D9-4A14-BA7A-F3A032633C94}"/>
    <cellStyle name="Separador de milhares 2 3 3" xfId="41769" xr:uid="{00000000-0005-0000-0000-00002BA30000}"/>
    <cellStyle name="Separador de milhares 2 3 3 2" xfId="41770" xr:uid="{00000000-0005-0000-0000-00002CA30000}"/>
    <cellStyle name="Separador de milhares 2 3 3 3" xfId="41771" xr:uid="{00000000-0005-0000-0000-00002DA30000}"/>
    <cellStyle name="Separador de milhares 2 3 3 4" xfId="41772" xr:uid="{00000000-0005-0000-0000-00002EA30000}"/>
    <cellStyle name="Separador de milhares 2 3 3 5" xfId="41773" xr:uid="{00000000-0005-0000-0000-00002FA30000}"/>
    <cellStyle name="Separador de milhares 2 3 3 6" xfId="41774" xr:uid="{00000000-0005-0000-0000-000030A30000}"/>
    <cellStyle name="Separador de milhares 2 3 3 7" xfId="43890" xr:uid="{871731B9-C9E1-44F3-9187-DDC28E79EA81}"/>
    <cellStyle name="Separador de milhares 2 3 4" xfId="41775" xr:uid="{00000000-0005-0000-0000-000031A30000}"/>
    <cellStyle name="Separador de milhares 2 3 4 2" xfId="41776" xr:uid="{00000000-0005-0000-0000-000032A30000}"/>
    <cellStyle name="Separador de milhares 2 3 4 3" xfId="41777" xr:uid="{00000000-0005-0000-0000-000033A30000}"/>
    <cellStyle name="Separador de milhares 2 3 4 4" xfId="41778" xr:uid="{00000000-0005-0000-0000-000034A30000}"/>
    <cellStyle name="Separador de milhares 2 3 4 5" xfId="41779" xr:uid="{00000000-0005-0000-0000-000035A30000}"/>
    <cellStyle name="Separador de milhares 2 3 4 6" xfId="41780" xr:uid="{00000000-0005-0000-0000-000036A30000}"/>
    <cellStyle name="Separador de milhares 2 3 5" xfId="41781" xr:uid="{00000000-0005-0000-0000-000037A30000}"/>
    <cellStyle name="Separador de milhares 2 3 5 2" xfId="41782" xr:uid="{00000000-0005-0000-0000-000038A30000}"/>
    <cellStyle name="Separador de milhares 2 3 5 3" xfId="41783" xr:uid="{00000000-0005-0000-0000-000039A30000}"/>
    <cellStyle name="Separador de milhares 2 3 5 4" xfId="41784" xr:uid="{00000000-0005-0000-0000-00003AA30000}"/>
    <cellStyle name="Separador de milhares 2 3 5 5" xfId="41785" xr:uid="{00000000-0005-0000-0000-00003BA30000}"/>
    <cellStyle name="Separador de milhares 2 3 5 6" xfId="41786" xr:uid="{00000000-0005-0000-0000-00003CA30000}"/>
    <cellStyle name="Separador de milhares 2 3 6" xfId="41787" xr:uid="{00000000-0005-0000-0000-00003DA30000}"/>
    <cellStyle name="Separador de milhares 2 3 6 2" xfId="41788" xr:uid="{00000000-0005-0000-0000-00003EA30000}"/>
    <cellStyle name="Separador de milhares 2 3 6 3" xfId="41789" xr:uid="{00000000-0005-0000-0000-00003FA30000}"/>
    <cellStyle name="Separador de milhares 2 3 6 4" xfId="41790" xr:uid="{00000000-0005-0000-0000-000040A30000}"/>
    <cellStyle name="Separador de milhares 2 3 6 5" xfId="41791" xr:uid="{00000000-0005-0000-0000-000041A30000}"/>
    <cellStyle name="Separador de milhares 2 3 6 6" xfId="41792" xr:uid="{00000000-0005-0000-0000-000042A30000}"/>
    <cellStyle name="Separador de milhares 2 3 7" xfId="41793" xr:uid="{00000000-0005-0000-0000-000043A30000}"/>
    <cellStyle name="Separador de milhares 2 3 7 2" xfId="41794" xr:uid="{00000000-0005-0000-0000-000044A30000}"/>
    <cellStyle name="Separador de milhares 2 3 7 3" xfId="41795" xr:uid="{00000000-0005-0000-0000-000045A30000}"/>
    <cellStyle name="Separador de milhares 2 3 7 4" xfId="41796" xr:uid="{00000000-0005-0000-0000-000046A30000}"/>
    <cellStyle name="Separador de milhares 2 3 7 5" xfId="41797" xr:uid="{00000000-0005-0000-0000-000047A30000}"/>
    <cellStyle name="Separador de milhares 2 3 7 6" xfId="41798" xr:uid="{00000000-0005-0000-0000-000048A30000}"/>
    <cellStyle name="Separador de milhares 2 3 8" xfId="41799" xr:uid="{00000000-0005-0000-0000-000049A30000}"/>
    <cellStyle name="Separador de milhares 2 3 8 2" xfId="41800" xr:uid="{00000000-0005-0000-0000-00004AA30000}"/>
    <cellStyle name="Separador de milhares 2 3 8 3" xfId="41801" xr:uid="{00000000-0005-0000-0000-00004BA30000}"/>
    <cellStyle name="Separador de milhares 2 3 8 4" xfId="41802" xr:uid="{00000000-0005-0000-0000-00004CA30000}"/>
    <cellStyle name="Separador de milhares 2 3 8 5" xfId="41803" xr:uid="{00000000-0005-0000-0000-00004DA30000}"/>
    <cellStyle name="Separador de milhares 2 3 8 6" xfId="41804" xr:uid="{00000000-0005-0000-0000-00004EA30000}"/>
    <cellStyle name="Separador de milhares 2 3 9" xfId="41805" xr:uid="{00000000-0005-0000-0000-00004FA30000}"/>
    <cellStyle name="Separador de milhares 2 30" xfId="41806" xr:uid="{00000000-0005-0000-0000-000050A30000}"/>
    <cellStyle name="Separador de milhares 2 30 10" xfId="41807" xr:uid="{00000000-0005-0000-0000-000051A30000}"/>
    <cellStyle name="Separador de milhares 2 30 11" xfId="41808" xr:uid="{00000000-0005-0000-0000-000052A30000}"/>
    <cellStyle name="Separador de milhares 2 30 12" xfId="41809" xr:uid="{00000000-0005-0000-0000-000053A30000}"/>
    <cellStyle name="Separador de milhares 2 30 13" xfId="41810" xr:uid="{00000000-0005-0000-0000-000054A30000}"/>
    <cellStyle name="Separador de milhares 2 30 2" xfId="41811" xr:uid="{00000000-0005-0000-0000-000055A30000}"/>
    <cellStyle name="Separador de milhares 2 30 2 2" xfId="41812" xr:uid="{00000000-0005-0000-0000-000056A30000}"/>
    <cellStyle name="Separador de milhares 2 30 2 3" xfId="41813" xr:uid="{00000000-0005-0000-0000-000057A30000}"/>
    <cellStyle name="Separador de milhares 2 30 2 4" xfId="41814" xr:uid="{00000000-0005-0000-0000-000058A30000}"/>
    <cellStyle name="Separador de milhares 2 30 2 5" xfId="41815" xr:uid="{00000000-0005-0000-0000-000059A30000}"/>
    <cellStyle name="Separador de milhares 2 30 2 6" xfId="41816" xr:uid="{00000000-0005-0000-0000-00005AA30000}"/>
    <cellStyle name="Separador de milhares 2 30 3" xfId="41817" xr:uid="{00000000-0005-0000-0000-00005BA30000}"/>
    <cellStyle name="Separador de milhares 2 30 3 2" xfId="41818" xr:uid="{00000000-0005-0000-0000-00005CA30000}"/>
    <cellStyle name="Separador de milhares 2 30 3 3" xfId="41819" xr:uid="{00000000-0005-0000-0000-00005DA30000}"/>
    <cellStyle name="Separador de milhares 2 30 3 4" xfId="41820" xr:uid="{00000000-0005-0000-0000-00005EA30000}"/>
    <cellStyle name="Separador de milhares 2 30 3 5" xfId="41821" xr:uid="{00000000-0005-0000-0000-00005FA30000}"/>
    <cellStyle name="Separador de milhares 2 30 3 6" xfId="41822" xr:uid="{00000000-0005-0000-0000-000060A30000}"/>
    <cellStyle name="Separador de milhares 2 30 4" xfId="41823" xr:uid="{00000000-0005-0000-0000-000061A30000}"/>
    <cellStyle name="Separador de milhares 2 30 4 2" xfId="41824" xr:uid="{00000000-0005-0000-0000-000062A30000}"/>
    <cellStyle name="Separador de milhares 2 30 4 3" xfId="41825" xr:uid="{00000000-0005-0000-0000-000063A30000}"/>
    <cellStyle name="Separador de milhares 2 30 4 4" xfId="41826" xr:uid="{00000000-0005-0000-0000-000064A30000}"/>
    <cellStyle name="Separador de milhares 2 30 4 5" xfId="41827" xr:uid="{00000000-0005-0000-0000-000065A30000}"/>
    <cellStyle name="Separador de milhares 2 30 4 6" xfId="41828" xr:uid="{00000000-0005-0000-0000-000066A30000}"/>
    <cellStyle name="Separador de milhares 2 30 5" xfId="41829" xr:uid="{00000000-0005-0000-0000-000067A30000}"/>
    <cellStyle name="Separador de milhares 2 30 5 2" xfId="41830" xr:uid="{00000000-0005-0000-0000-000068A30000}"/>
    <cellStyle name="Separador de milhares 2 30 5 3" xfId="41831" xr:uid="{00000000-0005-0000-0000-000069A30000}"/>
    <cellStyle name="Separador de milhares 2 30 5 4" xfId="41832" xr:uid="{00000000-0005-0000-0000-00006AA30000}"/>
    <cellStyle name="Separador de milhares 2 30 5 5" xfId="41833" xr:uid="{00000000-0005-0000-0000-00006BA30000}"/>
    <cellStyle name="Separador de milhares 2 30 5 6" xfId="41834" xr:uid="{00000000-0005-0000-0000-00006CA30000}"/>
    <cellStyle name="Separador de milhares 2 30 6" xfId="41835" xr:uid="{00000000-0005-0000-0000-00006DA30000}"/>
    <cellStyle name="Separador de milhares 2 30 6 2" xfId="41836" xr:uid="{00000000-0005-0000-0000-00006EA30000}"/>
    <cellStyle name="Separador de milhares 2 30 6 3" xfId="41837" xr:uid="{00000000-0005-0000-0000-00006FA30000}"/>
    <cellStyle name="Separador de milhares 2 30 6 4" xfId="41838" xr:uid="{00000000-0005-0000-0000-000070A30000}"/>
    <cellStyle name="Separador de milhares 2 30 6 5" xfId="41839" xr:uid="{00000000-0005-0000-0000-000071A30000}"/>
    <cellStyle name="Separador de milhares 2 30 6 6" xfId="41840" xr:uid="{00000000-0005-0000-0000-000072A30000}"/>
    <cellStyle name="Separador de milhares 2 30 7" xfId="41841" xr:uid="{00000000-0005-0000-0000-000073A30000}"/>
    <cellStyle name="Separador de milhares 2 30 7 2" xfId="41842" xr:uid="{00000000-0005-0000-0000-000074A30000}"/>
    <cellStyle name="Separador de milhares 2 30 7 3" xfId="41843" xr:uid="{00000000-0005-0000-0000-000075A30000}"/>
    <cellStyle name="Separador de milhares 2 30 7 4" xfId="41844" xr:uid="{00000000-0005-0000-0000-000076A30000}"/>
    <cellStyle name="Separador de milhares 2 30 7 5" xfId="41845" xr:uid="{00000000-0005-0000-0000-000077A30000}"/>
    <cellStyle name="Separador de milhares 2 30 7 6" xfId="41846" xr:uid="{00000000-0005-0000-0000-000078A30000}"/>
    <cellStyle name="Separador de milhares 2 30 8" xfId="41847" xr:uid="{00000000-0005-0000-0000-000079A30000}"/>
    <cellStyle name="Separador de milhares 2 30 8 2" xfId="41848" xr:uid="{00000000-0005-0000-0000-00007AA30000}"/>
    <cellStyle name="Separador de milhares 2 30 8 3" xfId="41849" xr:uid="{00000000-0005-0000-0000-00007BA30000}"/>
    <cellStyle name="Separador de milhares 2 30 8 4" xfId="41850" xr:uid="{00000000-0005-0000-0000-00007CA30000}"/>
    <cellStyle name="Separador de milhares 2 30 8 5" xfId="41851" xr:uid="{00000000-0005-0000-0000-00007DA30000}"/>
    <cellStyle name="Separador de milhares 2 30 8 6" xfId="41852" xr:uid="{00000000-0005-0000-0000-00007EA30000}"/>
    <cellStyle name="Separador de milhares 2 30 9" xfId="41853" xr:uid="{00000000-0005-0000-0000-00007FA30000}"/>
    <cellStyle name="Separador de milhares 2 31" xfId="41854" xr:uid="{00000000-0005-0000-0000-000080A30000}"/>
    <cellStyle name="Separador de milhares 2 31 10" xfId="41855" xr:uid="{00000000-0005-0000-0000-000081A30000}"/>
    <cellStyle name="Separador de milhares 2 31 11" xfId="41856" xr:uid="{00000000-0005-0000-0000-000082A30000}"/>
    <cellStyle name="Separador de milhares 2 31 12" xfId="41857" xr:uid="{00000000-0005-0000-0000-000083A30000}"/>
    <cellStyle name="Separador de milhares 2 31 13" xfId="41858" xr:uid="{00000000-0005-0000-0000-000084A30000}"/>
    <cellStyle name="Separador de milhares 2 31 2" xfId="41859" xr:uid="{00000000-0005-0000-0000-000085A30000}"/>
    <cellStyle name="Separador de milhares 2 31 2 2" xfId="41860" xr:uid="{00000000-0005-0000-0000-000086A30000}"/>
    <cellStyle name="Separador de milhares 2 31 2 3" xfId="41861" xr:uid="{00000000-0005-0000-0000-000087A30000}"/>
    <cellStyle name="Separador de milhares 2 31 2 4" xfId="41862" xr:uid="{00000000-0005-0000-0000-000088A30000}"/>
    <cellStyle name="Separador de milhares 2 31 2 5" xfId="41863" xr:uid="{00000000-0005-0000-0000-000089A30000}"/>
    <cellStyle name="Separador de milhares 2 31 2 6" xfId="41864" xr:uid="{00000000-0005-0000-0000-00008AA30000}"/>
    <cellStyle name="Separador de milhares 2 31 3" xfId="41865" xr:uid="{00000000-0005-0000-0000-00008BA30000}"/>
    <cellStyle name="Separador de milhares 2 31 3 2" xfId="41866" xr:uid="{00000000-0005-0000-0000-00008CA30000}"/>
    <cellStyle name="Separador de milhares 2 31 3 3" xfId="41867" xr:uid="{00000000-0005-0000-0000-00008DA30000}"/>
    <cellStyle name="Separador de milhares 2 31 3 4" xfId="41868" xr:uid="{00000000-0005-0000-0000-00008EA30000}"/>
    <cellStyle name="Separador de milhares 2 31 3 5" xfId="41869" xr:uid="{00000000-0005-0000-0000-00008FA30000}"/>
    <cellStyle name="Separador de milhares 2 31 3 6" xfId="41870" xr:uid="{00000000-0005-0000-0000-000090A30000}"/>
    <cellStyle name="Separador de milhares 2 31 4" xfId="41871" xr:uid="{00000000-0005-0000-0000-000091A30000}"/>
    <cellStyle name="Separador de milhares 2 31 4 2" xfId="41872" xr:uid="{00000000-0005-0000-0000-000092A30000}"/>
    <cellStyle name="Separador de milhares 2 31 4 3" xfId="41873" xr:uid="{00000000-0005-0000-0000-000093A30000}"/>
    <cellStyle name="Separador de milhares 2 31 4 4" xfId="41874" xr:uid="{00000000-0005-0000-0000-000094A30000}"/>
    <cellStyle name="Separador de milhares 2 31 4 5" xfId="41875" xr:uid="{00000000-0005-0000-0000-000095A30000}"/>
    <cellStyle name="Separador de milhares 2 31 4 6" xfId="41876" xr:uid="{00000000-0005-0000-0000-000096A30000}"/>
    <cellStyle name="Separador de milhares 2 31 5" xfId="41877" xr:uid="{00000000-0005-0000-0000-000097A30000}"/>
    <cellStyle name="Separador de milhares 2 31 5 2" xfId="41878" xr:uid="{00000000-0005-0000-0000-000098A30000}"/>
    <cellStyle name="Separador de milhares 2 31 5 3" xfId="41879" xr:uid="{00000000-0005-0000-0000-000099A30000}"/>
    <cellStyle name="Separador de milhares 2 31 5 4" xfId="41880" xr:uid="{00000000-0005-0000-0000-00009AA30000}"/>
    <cellStyle name="Separador de milhares 2 31 5 5" xfId="41881" xr:uid="{00000000-0005-0000-0000-00009BA30000}"/>
    <cellStyle name="Separador de milhares 2 31 5 6" xfId="41882" xr:uid="{00000000-0005-0000-0000-00009CA30000}"/>
    <cellStyle name="Separador de milhares 2 31 6" xfId="41883" xr:uid="{00000000-0005-0000-0000-00009DA30000}"/>
    <cellStyle name="Separador de milhares 2 31 6 2" xfId="41884" xr:uid="{00000000-0005-0000-0000-00009EA30000}"/>
    <cellStyle name="Separador de milhares 2 31 6 3" xfId="41885" xr:uid="{00000000-0005-0000-0000-00009FA30000}"/>
    <cellStyle name="Separador de milhares 2 31 6 4" xfId="41886" xr:uid="{00000000-0005-0000-0000-0000A0A30000}"/>
    <cellStyle name="Separador de milhares 2 31 6 5" xfId="41887" xr:uid="{00000000-0005-0000-0000-0000A1A30000}"/>
    <cellStyle name="Separador de milhares 2 31 6 6" xfId="41888" xr:uid="{00000000-0005-0000-0000-0000A2A30000}"/>
    <cellStyle name="Separador de milhares 2 31 7" xfId="41889" xr:uid="{00000000-0005-0000-0000-0000A3A30000}"/>
    <cellStyle name="Separador de milhares 2 31 7 2" xfId="41890" xr:uid="{00000000-0005-0000-0000-0000A4A30000}"/>
    <cellStyle name="Separador de milhares 2 31 7 3" xfId="41891" xr:uid="{00000000-0005-0000-0000-0000A5A30000}"/>
    <cellStyle name="Separador de milhares 2 31 7 4" xfId="41892" xr:uid="{00000000-0005-0000-0000-0000A6A30000}"/>
    <cellStyle name="Separador de milhares 2 31 7 5" xfId="41893" xr:uid="{00000000-0005-0000-0000-0000A7A30000}"/>
    <cellStyle name="Separador de milhares 2 31 7 6" xfId="41894" xr:uid="{00000000-0005-0000-0000-0000A8A30000}"/>
    <cellStyle name="Separador de milhares 2 31 8" xfId="41895" xr:uid="{00000000-0005-0000-0000-0000A9A30000}"/>
    <cellStyle name="Separador de milhares 2 31 8 2" xfId="41896" xr:uid="{00000000-0005-0000-0000-0000AAA30000}"/>
    <cellStyle name="Separador de milhares 2 31 8 3" xfId="41897" xr:uid="{00000000-0005-0000-0000-0000ABA30000}"/>
    <cellStyle name="Separador de milhares 2 31 8 4" xfId="41898" xr:uid="{00000000-0005-0000-0000-0000ACA30000}"/>
    <cellStyle name="Separador de milhares 2 31 8 5" xfId="41899" xr:uid="{00000000-0005-0000-0000-0000ADA30000}"/>
    <cellStyle name="Separador de milhares 2 31 8 6" xfId="41900" xr:uid="{00000000-0005-0000-0000-0000AEA30000}"/>
    <cellStyle name="Separador de milhares 2 31 9" xfId="41901" xr:uid="{00000000-0005-0000-0000-0000AFA30000}"/>
    <cellStyle name="Separador de milhares 2 32" xfId="41902" xr:uid="{00000000-0005-0000-0000-0000B0A30000}"/>
    <cellStyle name="Separador de milhares 2 32 10" xfId="41903" xr:uid="{00000000-0005-0000-0000-0000B1A30000}"/>
    <cellStyle name="Separador de milhares 2 32 11" xfId="41904" xr:uid="{00000000-0005-0000-0000-0000B2A30000}"/>
    <cellStyle name="Separador de milhares 2 32 12" xfId="41905" xr:uid="{00000000-0005-0000-0000-0000B3A30000}"/>
    <cellStyle name="Separador de milhares 2 32 13" xfId="41906" xr:uid="{00000000-0005-0000-0000-0000B4A30000}"/>
    <cellStyle name="Separador de milhares 2 32 2" xfId="41907" xr:uid="{00000000-0005-0000-0000-0000B5A30000}"/>
    <cellStyle name="Separador de milhares 2 32 2 2" xfId="41908" xr:uid="{00000000-0005-0000-0000-0000B6A30000}"/>
    <cellStyle name="Separador de milhares 2 32 2 3" xfId="41909" xr:uid="{00000000-0005-0000-0000-0000B7A30000}"/>
    <cellStyle name="Separador de milhares 2 32 2 4" xfId="41910" xr:uid="{00000000-0005-0000-0000-0000B8A30000}"/>
    <cellStyle name="Separador de milhares 2 32 2 5" xfId="41911" xr:uid="{00000000-0005-0000-0000-0000B9A30000}"/>
    <cellStyle name="Separador de milhares 2 32 2 6" xfId="41912" xr:uid="{00000000-0005-0000-0000-0000BAA30000}"/>
    <cellStyle name="Separador de milhares 2 32 3" xfId="41913" xr:uid="{00000000-0005-0000-0000-0000BBA30000}"/>
    <cellStyle name="Separador de milhares 2 32 3 2" xfId="41914" xr:uid="{00000000-0005-0000-0000-0000BCA30000}"/>
    <cellStyle name="Separador de milhares 2 32 3 3" xfId="41915" xr:uid="{00000000-0005-0000-0000-0000BDA30000}"/>
    <cellStyle name="Separador de milhares 2 32 3 4" xfId="41916" xr:uid="{00000000-0005-0000-0000-0000BEA30000}"/>
    <cellStyle name="Separador de milhares 2 32 3 5" xfId="41917" xr:uid="{00000000-0005-0000-0000-0000BFA30000}"/>
    <cellStyle name="Separador de milhares 2 32 3 6" xfId="41918" xr:uid="{00000000-0005-0000-0000-0000C0A30000}"/>
    <cellStyle name="Separador de milhares 2 32 4" xfId="41919" xr:uid="{00000000-0005-0000-0000-0000C1A30000}"/>
    <cellStyle name="Separador de milhares 2 32 4 2" xfId="41920" xr:uid="{00000000-0005-0000-0000-0000C2A30000}"/>
    <cellStyle name="Separador de milhares 2 32 4 3" xfId="41921" xr:uid="{00000000-0005-0000-0000-0000C3A30000}"/>
    <cellStyle name="Separador de milhares 2 32 4 4" xfId="41922" xr:uid="{00000000-0005-0000-0000-0000C4A30000}"/>
    <cellStyle name="Separador de milhares 2 32 4 5" xfId="41923" xr:uid="{00000000-0005-0000-0000-0000C5A30000}"/>
    <cellStyle name="Separador de milhares 2 32 4 6" xfId="41924" xr:uid="{00000000-0005-0000-0000-0000C6A30000}"/>
    <cellStyle name="Separador de milhares 2 32 5" xfId="41925" xr:uid="{00000000-0005-0000-0000-0000C7A30000}"/>
    <cellStyle name="Separador de milhares 2 32 5 2" xfId="41926" xr:uid="{00000000-0005-0000-0000-0000C8A30000}"/>
    <cellStyle name="Separador de milhares 2 32 5 3" xfId="41927" xr:uid="{00000000-0005-0000-0000-0000C9A30000}"/>
    <cellStyle name="Separador de milhares 2 32 5 4" xfId="41928" xr:uid="{00000000-0005-0000-0000-0000CAA30000}"/>
    <cellStyle name="Separador de milhares 2 32 5 5" xfId="41929" xr:uid="{00000000-0005-0000-0000-0000CBA30000}"/>
    <cellStyle name="Separador de milhares 2 32 5 6" xfId="41930" xr:uid="{00000000-0005-0000-0000-0000CCA30000}"/>
    <cellStyle name="Separador de milhares 2 32 6" xfId="41931" xr:uid="{00000000-0005-0000-0000-0000CDA30000}"/>
    <cellStyle name="Separador de milhares 2 32 6 2" xfId="41932" xr:uid="{00000000-0005-0000-0000-0000CEA30000}"/>
    <cellStyle name="Separador de milhares 2 32 6 3" xfId="41933" xr:uid="{00000000-0005-0000-0000-0000CFA30000}"/>
    <cellStyle name="Separador de milhares 2 32 6 4" xfId="41934" xr:uid="{00000000-0005-0000-0000-0000D0A30000}"/>
    <cellStyle name="Separador de milhares 2 32 6 5" xfId="41935" xr:uid="{00000000-0005-0000-0000-0000D1A30000}"/>
    <cellStyle name="Separador de milhares 2 32 6 6" xfId="41936" xr:uid="{00000000-0005-0000-0000-0000D2A30000}"/>
    <cellStyle name="Separador de milhares 2 32 7" xfId="41937" xr:uid="{00000000-0005-0000-0000-0000D3A30000}"/>
    <cellStyle name="Separador de milhares 2 32 7 2" xfId="41938" xr:uid="{00000000-0005-0000-0000-0000D4A30000}"/>
    <cellStyle name="Separador de milhares 2 32 7 3" xfId="41939" xr:uid="{00000000-0005-0000-0000-0000D5A30000}"/>
    <cellStyle name="Separador de milhares 2 32 7 4" xfId="41940" xr:uid="{00000000-0005-0000-0000-0000D6A30000}"/>
    <cellStyle name="Separador de milhares 2 32 7 5" xfId="41941" xr:uid="{00000000-0005-0000-0000-0000D7A30000}"/>
    <cellStyle name="Separador de milhares 2 32 7 6" xfId="41942" xr:uid="{00000000-0005-0000-0000-0000D8A30000}"/>
    <cellStyle name="Separador de milhares 2 32 8" xfId="41943" xr:uid="{00000000-0005-0000-0000-0000D9A30000}"/>
    <cellStyle name="Separador de milhares 2 32 8 2" xfId="41944" xr:uid="{00000000-0005-0000-0000-0000DAA30000}"/>
    <cellStyle name="Separador de milhares 2 32 8 3" xfId="41945" xr:uid="{00000000-0005-0000-0000-0000DBA30000}"/>
    <cellStyle name="Separador de milhares 2 32 8 4" xfId="41946" xr:uid="{00000000-0005-0000-0000-0000DCA30000}"/>
    <cellStyle name="Separador de milhares 2 32 8 5" xfId="41947" xr:uid="{00000000-0005-0000-0000-0000DDA30000}"/>
    <cellStyle name="Separador de milhares 2 32 8 6" xfId="41948" xr:uid="{00000000-0005-0000-0000-0000DEA30000}"/>
    <cellStyle name="Separador de milhares 2 32 9" xfId="41949" xr:uid="{00000000-0005-0000-0000-0000DFA30000}"/>
    <cellStyle name="Separador de milhares 2 33" xfId="41950" xr:uid="{00000000-0005-0000-0000-0000E0A30000}"/>
    <cellStyle name="Separador de milhares 2 33 10" xfId="41951" xr:uid="{00000000-0005-0000-0000-0000E1A30000}"/>
    <cellStyle name="Separador de milhares 2 33 11" xfId="41952" xr:uid="{00000000-0005-0000-0000-0000E2A30000}"/>
    <cellStyle name="Separador de milhares 2 33 12" xfId="41953" xr:uid="{00000000-0005-0000-0000-0000E3A30000}"/>
    <cellStyle name="Separador de milhares 2 33 13" xfId="41954" xr:uid="{00000000-0005-0000-0000-0000E4A30000}"/>
    <cellStyle name="Separador de milhares 2 33 2" xfId="41955" xr:uid="{00000000-0005-0000-0000-0000E5A30000}"/>
    <cellStyle name="Separador de milhares 2 33 2 2" xfId="41956" xr:uid="{00000000-0005-0000-0000-0000E6A30000}"/>
    <cellStyle name="Separador de milhares 2 33 2 3" xfId="41957" xr:uid="{00000000-0005-0000-0000-0000E7A30000}"/>
    <cellStyle name="Separador de milhares 2 33 2 4" xfId="41958" xr:uid="{00000000-0005-0000-0000-0000E8A30000}"/>
    <cellStyle name="Separador de milhares 2 33 2 5" xfId="41959" xr:uid="{00000000-0005-0000-0000-0000E9A30000}"/>
    <cellStyle name="Separador de milhares 2 33 2 6" xfId="41960" xr:uid="{00000000-0005-0000-0000-0000EAA30000}"/>
    <cellStyle name="Separador de milhares 2 33 3" xfId="41961" xr:uid="{00000000-0005-0000-0000-0000EBA30000}"/>
    <cellStyle name="Separador de milhares 2 33 3 2" xfId="41962" xr:uid="{00000000-0005-0000-0000-0000ECA30000}"/>
    <cellStyle name="Separador de milhares 2 33 3 3" xfId="41963" xr:uid="{00000000-0005-0000-0000-0000EDA30000}"/>
    <cellStyle name="Separador de milhares 2 33 3 4" xfId="41964" xr:uid="{00000000-0005-0000-0000-0000EEA30000}"/>
    <cellStyle name="Separador de milhares 2 33 3 5" xfId="41965" xr:uid="{00000000-0005-0000-0000-0000EFA30000}"/>
    <cellStyle name="Separador de milhares 2 33 3 6" xfId="41966" xr:uid="{00000000-0005-0000-0000-0000F0A30000}"/>
    <cellStyle name="Separador de milhares 2 33 4" xfId="41967" xr:uid="{00000000-0005-0000-0000-0000F1A30000}"/>
    <cellStyle name="Separador de milhares 2 33 4 2" xfId="41968" xr:uid="{00000000-0005-0000-0000-0000F2A30000}"/>
    <cellStyle name="Separador de milhares 2 33 4 3" xfId="41969" xr:uid="{00000000-0005-0000-0000-0000F3A30000}"/>
    <cellStyle name="Separador de milhares 2 33 4 4" xfId="41970" xr:uid="{00000000-0005-0000-0000-0000F4A30000}"/>
    <cellStyle name="Separador de milhares 2 33 4 5" xfId="41971" xr:uid="{00000000-0005-0000-0000-0000F5A30000}"/>
    <cellStyle name="Separador de milhares 2 33 4 6" xfId="41972" xr:uid="{00000000-0005-0000-0000-0000F6A30000}"/>
    <cellStyle name="Separador de milhares 2 33 5" xfId="41973" xr:uid="{00000000-0005-0000-0000-0000F7A30000}"/>
    <cellStyle name="Separador de milhares 2 33 5 2" xfId="41974" xr:uid="{00000000-0005-0000-0000-0000F8A30000}"/>
    <cellStyle name="Separador de milhares 2 33 5 3" xfId="41975" xr:uid="{00000000-0005-0000-0000-0000F9A30000}"/>
    <cellStyle name="Separador de milhares 2 33 5 4" xfId="41976" xr:uid="{00000000-0005-0000-0000-0000FAA30000}"/>
    <cellStyle name="Separador de milhares 2 33 5 5" xfId="41977" xr:uid="{00000000-0005-0000-0000-0000FBA30000}"/>
    <cellStyle name="Separador de milhares 2 33 5 6" xfId="41978" xr:uid="{00000000-0005-0000-0000-0000FCA30000}"/>
    <cellStyle name="Separador de milhares 2 33 6" xfId="41979" xr:uid="{00000000-0005-0000-0000-0000FDA30000}"/>
    <cellStyle name="Separador de milhares 2 33 6 2" xfId="41980" xr:uid="{00000000-0005-0000-0000-0000FEA30000}"/>
    <cellStyle name="Separador de milhares 2 33 6 3" xfId="41981" xr:uid="{00000000-0005-0000-0000-0000FFA30000}"/>
    <cellStyle name="Separador de milhares 2 33 6 4" xfId="41982" xr:uid="{00000000-0005-0000-0000-000000A40000}"/>
    <cellStyle name="Separador de milhares 2 33 6 5" xfId="41983" xr:uid="{00000000-0005-0000-0000-000001A40000}"/>
    <cellStyle name="Separador de milhares 2 33 6 6" xfId="41984" xr:uid="{00000000-0005-0000-0000-000002A40000}"/>
    <cellStyle name="Separador de milhares 2 33 7" xfId="41985" xr:uid="{00000000-0005-0000-0000-000003A40000}"/>
    <cellStyle name="Separador de milhares 2 33 7 2" xfId="41986" xr:uid="{00000000-0005-0000-0000-000004A40000}"/>
    <cellStyle name="Separador de milhares 2 33 7 3" xfId="41987" xr:uid="{00000000-0005-0000-0000-000005A40000}"/>
    <cellStyle name="Separador de milhares 2 33 7 4" xfId="41988" xr:uid="{00000000-0005-0000-0000-000006A40000}"/>
    <cellStyle name="Separador de milhares 2 33 7 5" xfId="41989" xr:uid="{00000000-0005-0000-0000-000007A40000}"/>
    <cellStyle name="Separador de milhares 2 33 7 6" xfId="41990" xr:uid="{00000000-0005-0000-0000-000008A40000}"/>
    <cellStyle name="Separador de milhares 2 33 8" xfId="41991" xr:uid="{00000000-0005-0000-0000-000009A40000}"/>
    <cellStyle name="Separador de milhares 2 33 8 2" xfId="41992" xr:uid="{00000000-0005-0000-0000-00000AA40000}"/>
    <cellStyle name="Separador de milhares 2 33 8 3" xfId="41993" xr:uid="{00000000-0005-0000-0000-00000BA40000}"/>
    <cellStyle name="Separador de milhares 2 33 8 4" xfId="41994" xr:uid="{00000000-0005-0000-0000-00000CA40000}"/>
    <cellStyle name="Separador de milhares 2 33 8 5" xfId="41995" xr:uid="{00000000-0005-0000-0000-00000DA40000}"/>
    <cellStyle name="Separador de milhares 2 33 8 6" xfId="41996" xr:uid="{00000000-0005-0000-0000-00000EA40000}"/>
    <cellStyle name="Separador de milhares 2 33 9" xfId="41997" xr:uid="{00000000-0005-0000-0000-00000FA40000}"/>
    <cellStyle name="Separador de milhares 2 34" xfId="41998" xr:uid="{00000000-0005-0000-0000-000010A40000}"/>
    <cellStyle name="Separador de milhares 2 34 2" xfId="41999" xr:uid="{00000000-0005-0000-0000-000011A40000}"/>
    <cellStyle name="Separador de milhares 2 34 3" xfId="42000" xr:uid="{00000000-0005-0000-0000-000012A40000}"/>
    <cellStyle name="Separador de milhares 2 34 4" xfId="42001" xr:uid="{00000000-0005-0000-0000-000013A40000}"/>
    <cellStyle name="Separador de milhares 2 34 5" xfId="42002" xr:uid="{00000000-0005-0000-0000-000014A40000}"/>
    <cellStyle name="Separador de milhares 2 34 6" xfId="42003" xr:uid="{00000000-0005-0000-0000-000015A40000}"/>
    <cellStyle name="Separador de milhares 2 35" xfId="42004" xr:uid="{00000000-0005-0000-0000-000016A40000}"/>
    <cellStyle name="Separador de milhares 2 35 2" xfId="42005" xr:uid="{00000000-0005-0000-0000-000017A40000}"/>
    <cellStyle name="Separador de milhares 2 35 3" xfId="42006" xr:uid="{00000000-0005-0000-0000-000018A40000}"/>
    <cellStyle name="Separador de milhares 2 35 4" xfId="42007" xr:uid="{00000000-0005-0000-0000-000019A40000}"/>
    <cellStyle name="Separador de milhares 2 35 5" xfId="42008" xr:uid="{00000000-0005-0000-0000-00001AA40000}"/>
    <cellStyle name="Separador de milhares 2 35 6" xfId="42009" xr:uid="{00000000-0005-0000-0000-00001BA40000}"/>
    <cellStyle name="Separador de milhares 2 36" xfId="42010" xr:uid="{00000000-0005-0000-0000-00001CA40000}"/>
    <cellStyle name="Separador de milhares 2 36 2" xfId="42011" xr:uid="{00000000-0005-0000-0000-00001DA40000}"/>
    <cellStyle name="Separador de milhares 2 36 3" xfId="42012" xr:uid="{00000000-0005-0000-0000-00001EA40000}"/>
    <cellStyle name="Separador de milhares 2 36 4" xfId="42013" xr:uid="{00000000-0005-0000-0000-00001FA40000}"/>
    <cellStyle name="Separador de milhares 2 36 5" xfId="42014" xr:uid="{00000000-0005-0000-0000-000020A40000}"/>
    <cellStyle name="Separador de milhares 2 36 6" xfId="42015" xr:uid="{00000000-0005-0000-0000-000021A40000}"/>
    <cellStyle name="Separador de milhares 2 37" xfId="42016" xr:uid="{00000000-0005-0000-0000-000022A40000}"/>
    <cellStyle name="Separador de milhares 2 37 2" xfId="42017" xr:uid="{00000000-0005-0000-0000-000023A40000}"/>
    <cellStyle name="Separador de milhares 2 37 3" xfId="42018" xr:uid="{00000000-0005-0000-0000-000024A40000}"/>
    <cellStyle name="Separador de milhares 2 37 4" xfId="42019" xr:uid="{00000000-0005-0000-0000-000025A40000}"/>
    <cellStyle name="Separador de milhares 2 37 5" xfId="42020" xr:uid="{00000000-0005-0000-0000-000026A40000}"/>
    <cellStyle name="Separador de milhares 2 37 6" xfId="42021" xr:uid="{00000000-0005-0000-0000-000027A40000}"/>
    <cellStyle name="Separador de milhares 2 38" xfId="42022" xr:uid="{00000000-0005-0000-0000-000028A40000}"/>
    <cellStyle name="Separador de milhares 2 38 2" xfId="42023" xr:uid="{00000000-0005-0000-0000-000029A40000}"/>
    <cellStyle name="Separador de milhares 2 38 3" xfId="42024" xr:uid="{00000000-0005-0000-0000-00002AA40000}"/>
    <cellStyle name="Separador de milhares 2 38 4" xfId="42025" xr:uid="{00000000-0005-0000-0000-00002BA40000}"/>
    <cellStyle name="Separador de milhares 2 38 5" xfId="42026" xr:uid="{00000000-0005-0000-0000-00002CA40000}"/>
    <cellStyle name="Separador de milhares 2 38 6" xfId="42027" xr:uid="{00000000-0005-0000-0000-00002DA40000}"/>
    <cellStyle name="Separador de milhares 2 39" xfId="42028" xr:uid="{00000000-0005-0000-0000-00002EA40000}"/>
    <cellStyle name="Separador de milhares 2 39 2" xfId="42029" xr:uid="{00000000-0005-0000-0000-00002FA40000}"/>
    <cellStyle name="Separador de milhares 2 39 3" xfId="42030" xr:uid="{00000000-0005-0000-0000-000030A40000}"/>
    <cellStyle name="Separador de milhares 2 39 4" xfId="42031" xr:uid="{00000000-0005-0000-0000-000031A40000}"/>
    <cellStyle name="Separador de milhares 2 39 5" xfId="42032" xr:uid="{00000000-0005-0000-0000-000032A40000}"/>
    <cellStyle name="Separador de milhares 2 39 6" xfId="42033" xr:uid="{00000000-0005-0000-0000-000033A40000}"/>
    <cellStyle name="Separador de milhares 2 4" xfId="1888" xr:uid="{00000000-0005-0000-0000-000034A40000}"/>
    <cellStyle name="Separador de milhares 2 4 10" xfId="42034" xr:uid="{00000000-0005-0000-0000-000035A40000}"/>
    <cellStyle name="Separador de milhares 2 4 11" xfId="42035" xr:uid="{00000000-0005-0000-0000-000036A40000}"/>
    <cellStyle name="Separador de milhares 2 4 12" xfId="42036" xr:uid="{00000000-0005-0000-0000-000037A40000}"/>
    <cellStyle name="Separador de milhares 2 4 13" xfId="42037" xr:uid="{00000000-0005-0000-0000-000038A40000}"/>
    <cellStyle name="Separador de milhares 2 4 14" xfId="42038" xr:uid="{00000000-0005-0000-0000-000039A40000}"/>
    <cellStyle name="Separador de milhares 2 4 2" xfId="42039" xr:uid="{00000000-0005-0000-0000-00003AA40000}"/>
    <cellStyle name="Separador de milhares 2 4 2 2" xfId="42040" xr:uid="{00000000-0005-0000-0000-00003BA40000}"/>
    <cellStyle name="Separador de milhares 2 4 2 3" xfId="42041" xr:uid="{00000000-0005-0000-0000-00003CA40000}"/>
    <cellStyle name="Separador de milhares 2 4 2 4" xfId="42042" xr:uid="{00000000-0005-0000-0000-00003DA40000}"/>
    <cellStyle name="Separador de milhares 2 4 2 5" xfId="42043" xr:uid="{00000000-0005-0000-0000-00003EA40000}"/>
    <cellStyle name="Separador de milhares 2 4 2 6" xfId="42044" xr:uid="{00000000-0005-0000-0000-00003FA40000}"/>
    <cellStyle name="Separador de milhares 2 4 3" xfId="42045" xr:uid="{00000000-0005-0000-0000-000040A40000}"/>
    <cellStyle name="Separador de milhares 2 4 3 2" xfId="42046" xr:uid="{00000000-0005-0000-0000-000041A40000}"/>
    <cellStyle name="Separador de milhares 2 4 3 3" xfId="42047" xr:uid="{00000000-0005-0000-0000-000042A40000}"/>
    <cellStyle name="Separador de milhares 2 4 3 4" xfId="42048" xr:uid="{00000000-0005-0000-0000-000043A40000}"/>
    <cellStyle name="Separador de milhares 2 4 3 5" xfId="42049" xr:uid="{00000000-0005-0000-0000-000044A40000}"/>
    <cellStyle name="Separador de milhares 2 4 3 6" xfId="42050" xr:uid="{00000000-0005-0000-0000-000045A40000}"/>
    <cellStyle name="Separador de milhares 2 4 4" xfId="42051" xr:uid="{00000000-0005-0000-0000-000046A40000}"/>
    <cellStyle name="Separador de milhares 2 4 4 2" xfId="42052" xr:uid="{00000000-0005-0000-0000-000047A40000}"/>
    <cellStyle name="Separador de milhares 2 4 4 3" xfId="42053" xr:uid="{00000000-0005-0000-0000-000048A40000}"/>
    <cellStyle name="Separador de milhares 2 4 4 4" xfId="42054" xr:uid="{00000000-0005-0000-0000-000049A40000}"/>
    <cellStyle name="Separador de milhares 2 4 4 5" xfId="42055" xr:uid="{00000000-0005-0000-0000-00004AA40000}"/>
    <cellStyle name="Separador de milhares 2 4 4 6" xfId="42056" xr:uid="{00000000-0005-0000-0000-00004BA40000}"/>
    <cellStyle name="Separador de milhares 2 4 5" xfId="42057" xr:uid="{00000000-0005-0000-0000-00004CA40000}"/>
    <cellStyle name="Separador de milhares 2 4 5 2" xfId="42058" xr:uid="{00000000-0005-0000-0000-00004DA40000}"/>
    <cellStyle name="Separador de milhares 2 4 5 3" xfId="42059" xr:uid="{00000000-0005-0000-0000-00004EA40000}"/>
    <cellStyle name="Separador de milhares 2 4 5 4" xfId="42060" xr:uid="{00000000-0005-0000-0000-00004FA40000}"/>
    <cellStyle name="Separador de milhares 2 4 5 5" xfId="42061" xr:uid="{00000000-0005-0000-0000-000050A40000}"/>
    <cellStyle name="Separador de milhares 2 4 5 6" xfId="42062" xr:uid="{00000000-0005-0000-0000-000051A40000}"/>
    <cellStyle name="Separador de milhares 2 4 6" xfId="42063" xr:uid="{00000000-0005-0000-0000-000052A40000}"/>
    <cellStyle name="Separador de milhares 2 4 6 2" xfId="42064" xr:uid="{00000000-0005-0000-0000-000053A40000}"/>
    <cellStyle name="Separador de milhares 2 4 6 3" xfId="42065" xr:uid="{00000000-0005-0000-0000-000054A40000}"/>
    <cellStyle name="Separador de milhares 2 4 6 4" xfId="42066" xr:uid="{00000000-0005-0000-0000-000055A40000}"/>
    <cellStyle name="Separador de milhares 2 4 6 5" xfId="42067" xr:uid="{00000000-0005-0000-0000-000056A40000}"/>
    <cellStyle name="Separador de milhares 2 4 6 6" xfId="42068" xr:uid="{00000000-0005-0000-0000-000057A40000}"/>
    <cellStyle name="Separador de milhares 2 4 7" xfId="42069" xr:uid="{00000000-0005-0000-0000-000058A40000}"/>
    <cellStyle name="Separador de milhares 2 4 7 2" xfId="42070" xr:uid="{00000000-0005-0000-0000-000059A40000}"/>
    <cellStyle name="Separador de milhares 2 4 7 3" xfId="42071" xr:uid="{00000000-0005-0000-0000-00005AA40000}"/>
    <cellStyle name="Separador de milhares 2 4 7 4" xfId="42072" xr:uid="{00000000-0005-0000-0000-00005BA40000}"/>
    <cellStyle name="Separador de milhares 2 4 7 5" xfId="42073" xr:uid="{00000000-0005-0000-0000-00005CA40000}"/>
    <cellStyle name="Separador de milhares 2 4 7 6" xfId="42074" xr:uid="{00000000-0005-0000-0000-00005DA40000}"/>
    <cellStyle name="Separador de milhares 2 4 8" xfId="42075" xr:uid="{00000000-0005-0000-0000-00005EA40000}"/>
    <cellStyle name="Separador de milhares 2 4 8 2" xfId="42076" xr:uid="{00000000-0005-0000-0000-00005FA40000}"/>
    <cellStyle name="Separador de milhares 2 4 8 3" xfId="42077" xr:uid="{00000000-0005-0000-0000-000060A40000}"/>
    <cellStyle name="Separador de milhares 2 4 8 4" xfId="42078" xr:uid="{00000000-0005-0000-0000-000061A40000}"/>
    <cellStyle name="Separador de milhares 2 4 8 5" xfId="42079" xr:uid="{00000000-0005-0000-0000-000062A40000}"/>
    <cellStyle name="Separador de milhares 2 4 8 6" xfId="42080" xr:uid="{00000000-0005-0000-0000-000063A40000}"/>
    <cellStyle name="Separador de milhares 2 4 9" xfId="42081" xr:uid="{00000000-0005-0000-0000-000064A40000}"/>
    <cellStyle name="Separador de milhares 2 40" xfId="42082" xr:uid="{00000000-0005-0000-0000-000065A40000}"/>
    <cellStyle name="Separador de milhares 2 40 2" xfId="42083" xr:uid="{00000000-0005-0000-0000-000066A40000}"/>
    <cellStyle name="Separador de milhares 2 40 3" xfId="42084" xr:uid="{00000000-0005-0000-0000-000067A40000}"/>
    <cellStyle name="Separador de milhares 2 40 4" xfId="42085" xr:uid="{00000000-0005-0000-0000-000068A40000}"/>
    <cellStyle name="Separador de milhares 2 40 5" xfId="42086" xr:uid="{00000000-0005-0000-0000-000069A40000}"/>
    <cellStyle name="Separador de milhares 2 40 6" xfId="42087" xr:uid="{00000000-0005-0000-0000-00006AA40000}"/>
    <cellStyle name="Separador de milhares 2 41" xfId="42088" xr:uid="{00000000-0005-0000-0000-00006BA40000}"/>
    <cellStyle name="Separador de milhares 2 42" xfId="42089" xr:uid="{00000000-0005-0000-0000-00006CA40000}"/>
    <cellStyle name="Separador de milhares 2 43" xfId="42090" xr:uid="{00000000-0005-0000-0000-00006DA40000}"/>
    <cellStyle name="Separador de milhares 2 44" xfId="42091" xr:uid="{00000000-0005-0000-0000-00006EA40000}"/>
    <cellStyle name="Separador de milhares 2 45" xfId="42092" xr:uid="{00000000-0005-0000-0000-00006FA40000}"/>
    <cellStyle name="Separador de milhares 2 46" xfId="42093" xr:uid="{00000000-0005-0000-0000-000070A40000}"/>
    <cellStyle name="Separador de milhares 2 47" xfId="43456" xr:uid="{ABA8616B-7827-4188-A010-EE528F6B2506}"/>
    <cellStyle name="Separador de milhares 2 5" xfId="42094" xr:uid="{00000000-0005-0000-0000-000071A40000}"/>
    <cellStyle name="Separador de milhares 2 5 10" xfId="42095" xr:uid="{00000000-0005-0000-0000-000072A40000}"/>
    <cellStyle name="Separador de milhares 2 5 11" xfId="42096" xr:uid="{00000000-0005-0000-0000-000073A40000}"/>
    <cellStyle name="Separador de milhares 2 5 12" xfId="42097" xr:uid="{00000000-0005-0000-0000-000074A40000}"/>
    <cellStyle name="Separador de milhares 2 5 13" xfId="42098" xr:uid="{00000000-0005-0000-0000-000075A40000}"/>
    <cellStyle name="Separador de milhares 2 5 14" xfId="42099" xr:uid="{00000000-0005-0000-0000-000076A40000}"/>
    <cellStyle name="Separador de milhares 2 5 2" xfId="42100" xr:uid="{00000000-0005-0000-0000-000077A40000}"/>
    <cellStyle name="Separador de milhares 2 5 2 2" xfId="42101" xr:uid="{00000000-0005-0000-0000-000078A40000}"/>
    <cellStyle name="Separador de milhares 2 5 2 3" xfId="42102" xr:uid="{00000000-0005-0000-0000-000079A40000}"/>
    <cellStyle name="Separador de milhares 2 5 2 4" xfId="42103" xr:uid="{00000000-0005-0000-0000-00007AA40000}"/>
    <cellStyle name="Separador de milhares 2 5 2 5" xfId="42104" xr:uid="{00000000-0005-0000-0000-00007BA40000}"/>
    <cellStyle name="Separador de milhares 2 5 2 6" xfId="42105" xr:uid="{00000000-0005-0000-0000-00007CA40000}"/>
    <cellStyle name="Separador de milhares 2 5 3" xfId="42106" xr:uid="{00000000-0005-0000-0000-00007DA40000}"/>
    <cellStyle name="Separador de milhares 2 5 3 2" xfId="42107" xr:uid="{00000000-0005-0000-0000-00007EA40000}"/>
    <cellStyle name="Separador de milhares 2 5 3 3" xfId="42108" xr:uid="{00000000-0005-0000-0000-00007FA40000}"/>
    <cellStyle name="Separador de milhares 2 5 3 4" xfId="42109" xr:uid="{00000000-0005-0000-0000-000080A40000}"/>
    <cellStyle name="Separador de milhares 2 5 3 5" xfId="42110" xr:uid="{00000000-0005-0000-0000-000081A40000}"/>
    <cellStyle name="Separador de milhares 2 5 3 6" xfId="42111" xr:uid="{00000000-0005-0000-0000-000082A40000}"/>
    <cellStyle name="Separador de milhares 2 5 4" xfId="42112" xr:uid="{00000000-0005-0000-0000-000083A40000}"/>
    <cellStyle name="Separador de milhares 2 5 4 2" xfId="42113" xr:uid="{00000000-0005-0000-0000-000084A40000}"/>
    <cellStyle name="Separador de milhares 2 5 4 3" xfId="42114" xr:uid="{00000000-0005-0000-0000-000085A40000}"/>
    <cellStyle name="Separador de milhares 2 5 4 4" xfId="42115" xr:uid="{00000000-0005-0000-0000-000086A40000}"/>
    <cellStyle name="Separador de milhares 2 5 4 5" xfId="42116" xr:uid="{00000000-0005-0000-0000-000087A40000}"/>
    <cellStyle name="Separador de milhares 2 5 4 6" xfId="42117" xr:uid="{00000000-0005-0000-0000-000088A40000}"/>
    <cellStyle name="Separador de milhares 2 5 5" xfId="42118" xr:uid="{00000000-0005-0000-0000-000089A40000}"/>
    <cellStyle name="Separador de milhares 2 5 5 2" xfId="42119" xr:uid="{00000000-0005-0000-0000-00008AA40000}"/>
    <cellStyle name="Separador de milhares 2 5 5 3" xfId="42120" xr:uid="{00000000-0005-0000-0000-00008BA40000}"/>
    <cellStyle name="Separador de milhares 2 5 5 4" xfId="42121" xr:uid="{00000000-0005-0000-0000-00008CA40000}"/>
    <cellStyle name="Separador de milhares 2 5 5 5" xfId="42122" xr:uid="{00000000-0005-0000-0000-00008DA40000}"/>
    <cellStyle name="Separador de milhares 2 5 5 6" xfId="42123" xr:uid="{00000000-0005-0000-0000-00008EA40000}"/>
    <cellStyle name="Separador de milhares 2 5 6" xfId="42124" xr:uid="{00000000-0005-0000-0000-00008FA40000}"/>
    <cellStyle name="Separador de milhares 2 5 6 2" xfId="42125" xr:uid="{00000000-0005-0000-0000-000090A40000}"/>
    <cellStyle name="Separador de milhares 2 5 6 3" xfId="42126" xr:uid="{00000000-0005-0000-0000-000091A40000}"/>
    <cellStyle name="Separador de milhares 2 5 6 4" xfId="42127" xr:uid="{00000000-0005-0000-0000-000092A40000}"/>
    <cellStyle name="Separador de milhares 2 5 6 5" xfId="42128" xr:uid="{00000000-0005-0000-0000-000093A40000}"/>
    <cellStyle name="Separador de milhares 2 5 6 6" xfId="42129" xr:uid="{00000000-0005-0000-0000-000094A40000}"/>
    <cellStyle name="Separador de milhares 2 5 7" xfId="42130" xr:uid="{00000000-0005-0000-0000-000095A40000}"/>
    <cellStyle name="Separador de milhares 2 5 7 2" xfId="42131" xr:uid="{00000000-0005-0000-0000-000096A40000}"/>
    <cellStyle name="Separador de milhares 2 5 7 3" xfId="42132" xr:uid="{00000000-0005-0000-0000-000097A40000}"/>
    <cellStyle name="Separador de milhares 2 5 7 4" xfId="42133" xr:uid="{00000000-0005-0000-0000-000098A40000}"/>
    <cellStyle name="Separador de milhares 2 5 7 5" xfId="42134" xr:uid="{00000000-0005-0000-0000-000099A40000}"/>
    <cellStyle name="Separador de milhares 2 5 7 6" xfId="42135" xr:uid="{00000000-0005-0000-0000-00009AA40000}"/>
    <cellStyle name="Separador de milhares 2 5 8" xfId="42136" xr:uid="{00000000-0005-0000-0000-00009BA40000}"/>
    <cellStyle name="Separador de milhares 2 5 8 2" xfId="42137" xr:uid="{00000000-0005-0000-0000-00009CA40000}"/>
    <cellStyle name="Separador de milhares 2 5 8 3" xfId="42138" xr:uid="{00000000-0005-0000-0000-00009DA40000}"/>
    <cellStyle name="Separador de milhares 2 5 8 4" xfId="42139" xr:uid="{00000000-0005-0000-0000-00009EA40000}"/>
    <cellStyle name="Separador de milhares 2 5 8 5" xfId="42140" xr:uid="{00000000-0005-0000-0000-00009FA40000}"/>
    <cellStyle name="Separador de milhares 2 5 8 6" xfId="42141" xr:uid="{00000000-0005-0000-0000-0000A0A40000}"/>
    <cellStyle name="Separador de milhares 2 5 9" xfId="42142" xr:uid="{00000000-0005-0000-0000-0000A1A40000}"/>
    <cellStyle name="Separador de milhares 2 6" xfId="42143" xr:uid="{00000000-0005-0000-0000-0000A2A40000}"/>
    <cellStyle name="Separador de milhares 2 6 10" xfId="42144" xr:uid="{00000000-0005-0000-0000-0000A3A40000}"/>
    <cellStyle name="Separador de milhares 2 6 11" xfId="42145" xr:uid="{00000000-0005-0000-0000-0000A4A40000}"/>
    <cellStyle name="Separador de milhares 2 6 12" xfId="42146" xr:uid="{00000000-0005-0000-0000-0000A5A40000}"/>
    <cellStyle name="Separador de milhares 2 6 13" xfId="42147" xr:uid="{00000000-0005-0000-0000-0000A6A40000}"/>
    <cellStyle name="Separador de milhares 2 6 14" xfId="42148" xr:uid="{00000000-0005-0000-0000-0000A7A40000}"/>
    <cellStyle name="Separador de milhares 2 6 2" xfId="42149" xr:uid="{00000000-0005-0000-0000-0000A8A40000}"/>
    <cellStyle name="Separador de milhares 2 6 2 2" xfId="42150" xr:uid="{00000000-0005-0000-0000-0000A9A40000}"/>
    <cellStyle name="Separador de milhares 2 6 2 3" xfId="42151" xr:uid="{00000000-0005-0000-0000-0000AAA40000}"/>
    <cellStyle name="Separador de milhares 2 6 2 4" xfId="42152" xr:uid="{00000000-0005-0000-0000-0000ABA40000}"/>
    <cellStyle name="Separador de milhares 2 6 2 5" xfId="42153" xr:uid="{00000000-0005-0000-0000-0000ACA40000}"/>
    <cellStyle name="Separador de milhares 2 6 2 6" xfId="42154" xr:uid="{00000000-0005-0000-0000-0000ADA40000}"/>
    <cellStyle name="Separador de milhares 2 6 3" xfId="42155" xr:uid="{00000000-0005-0000-0000-0000AEA40000}"/>
    <cellStyle name="Separador de milhares 2 6 3 2" xfId="42156" xr:uid="{00000000-0005-0000-0000-0000AFA40000}"/>
    <cellStyle name="Separador de milhares 2 6 3 3" xfId="42157" xr:uid="{00000000-0005-0000-0000-0000B0A40000}"/>
    <cellStyle name="Separador de milhares 2 6 3 4" xfId="42158" xr:uid="{00000000-0005-0000-0000-0000B1A40000}"/>
    <cellStyle name="Separador de milhares 2 6 3 5" xfId="42159" xr:uid="{00000000-0005-0000-0000-0000B2A40000}"/>
    <cellStyle name="Separador de milhares 2 6 3 6" xfId="42160" xr:uid="{00000000-0005-0000-0000-0000B3A40000}"/>
    <cellStyle name="Separador de milhares 2 6 4" xfId="42161" xr:uid="{00000000-0005-0000-0000-0000B4A40000}"/>
    <cellStyle name="Separador de milhares 2 6 4 2" xfId="42162" xr:uid="{00000000-0005-0000-0000-0000B5A40000}"/>
    <cellStyle name="Separador de milhares 2 6 4 3" xfId="42163" xr:uid="{00000000-0005-0000-0000-0000B6A40000}"/>
    <cellStyle name="Separador de milhares 2 6 4 4" xfId="42164" xr:uid="{00000000-0005-0000-0000-0000B7A40000}"/>
    <cellStyle name="Separador de milhares 2 6 4 5" xfId="42165" xr:uid="{00000000-0005-0000-0000-0000B8A40000}"/>
    <cellStyle name="Separador de milhares 2 6 4 6" xfId="42166" xr:uid="{00000000-0005-0000-0000-0000B9A40000}"/>
    <cellStyle name="Separador de milhares 2 6 5" xfId="42167" xr:uid="{00000000-0005-0000-0000-0000BAA40000}"/>
    <cellStyle name="Separador de milhares 2 6 5 2" xfId="42168" xr:uid="{00000000-0005-0000-0000-0000BBA40000}"/>
    <cellStyle name="Separador de milhares 2 6 5 3" xfId="42169" xr:uid="{00000000-0005-0000-0000-0000BCA40000}"/>
    <cellStyle name="Separador de milhares 2 6 5 4" xfId="42170" xr:uid="{00000000-0005-0000-0000-0000BDA40000}"/>
    <cellStyle name="Separador de milhares 2 6 5 5" xfId="42171" xr:uid="{00000000-0005-0000-0000-0000BEA40000}"/>
    <cellStyle name="Separador de milhares 2 6 5 6" xfId="42172" xr:uid="{00000000-0005-0000-0000-0000BFA40000}"/>
    <cellStyle name="Separador de milhares 2 6 6" xfId="42173" xr:uid="{00000000-0005-0000-0000-0000C0A40000}"/>
    <cellStyle name="Separador de milhares 2 6 6 2" xfId="42174" xr:uid="{00000000-0005-0000-0000-0000C1A40000}"/>
    <cellStyle name="Separador de milhares 2 6 6 3" xfId="42175" xr:uid="{00000000-0005-0000-0000-0000C2A40000}"/>
    <cellStyle name="Separador de milhares 2 6 6 4" xfId="42176" xr:uid="{00000000-0005-0000-0000-0000C3A40000}"/>
    <cellStyle name="Separador de milhares 2 6 6 5" xfId="42177" xr:uid="{00000000-0005-0000-0000-0000C4A40000}"/>
    <cellStyle name="Separador de milhares 2 6 6 6" xfId="42178" xr:uid="{00000000-0005-0000-0000-0000C5A40000}"/>
    <cellStyle name="Separador de milhares 2 6 7" xfId="42179" xr:uid="{00000000-0005-0000-0000-0000C6A40000}"/>
    <cellStyle name="Separador de milhares 2 6 7 2" xfId="42180" xr:uid="{00000000-0005-0000-0000-0000C7A40000}"/>
    <cellStyle name="Separador de milhares 2 6 7 3" xfId="42181" xr:uid="{00000000-0005-0000-0000-0000C8A40000}"/>
    <cellStyle name="Separador de milhares 2 6 7 4" xfId="42182" xr:uid="{00000000-0005-0000-0000-0000C9A40000}"/>
    <cellStyle name="Separador de milhares 2 6 7 5" xfId="42183" xr:uid="{00000000-0005-0000-0000-0000CAA40000}"/>
    <cellStyle name="Separador de milhares 2 6 7 6" xfId="42184" xr:uid="{00000000-0005-0000-0000-0000CBA40000}"/>
    <cellStyle name="Separador de milhares 2 6 8" xfId="42185" xr:uid="{00000000-0005-0000-0000-0000CCA40000}"/>
    <cellStyle name="Separador de milhares 2 6 8 2" xfId="42186" xr:uid="{00000000-0005-0000-0000-0000CDA40000}"/>
    <cellStyle name="Separador de milhares 2 6 8 3" xfId="42187" xr:uid="{00000000-0005-0000-0000-0000CEA40000}"/>
    <cellStyle name="Separador de milhares 2 6 8 4" xfId="42188" xr:uid="{00000000-0005-0000-0000-0000CFA40000}"/>
    <cellStyle name="Separador de milhares 2 6 8 5" xfId="42189" xr:uid="{00000000-0005-0000-0000-0000D0A40000}"/>
    <cellStyle name="Separador de milhares 2 6 8 6" xfId="42190" xr:uid="{00000000-0005-0000-0000-0000D1A40000}"/>
    <cellStyle name="Separador de milhares 2 6 9" xfId="42191" xr:uid="{00000000-0005-0000-0000-0000D2A40000}"/>
    <cellStyle name="Separador de milhares 2 7" xfId="42192" xr:uid="{00000000-0005-0000-0000-0000D3A40000}"/>
    <cellStyle name="Separador de milhares 2 7 10" xfId="42193" xr:uid="{00000000-0005-0000-0000-0000D4A40000}"/>
    <cellStyle name="Separador de milhares 2 7 11" xfId="42194" xr:uid="{00000000-0005-0000-0000-0000D5A40000}"/>
    <cellStyle name="Separador de milhares 2 7 12" xfId="42195" xr:uid="{00000000-0005-0000-0000-0000D6A40000}"/>
    <cellStyle name="Separador de milhares 2 7 13" xfId="42196" xr:uid="{00000000-0005-0000-0000-0000D7A40000}"/>
    <cellStyle name="Separador de milhares 2 7 14" xfId="42197" xr:uid="{00000000-0005-0000-0000-0000D8A40000}"/>
    <cellStyle name="Separador de milhares 2 7 2" xfId="42198" xr:uid="{00000000-0005-0000-0000-0000D9A40000}"/>
    <cellStyle name="Separador de milhares 2 7 2 2" xfId="42199" xr:uid="{00000000-0005-0000-0000-0000DAA40000}"/>
    <cellStyle name="Separador de milhares 2 7 2 3" xfId="42200" xr:uid="{00000000-0005-0000-0000-0000DBA40000}"/>
    <cellStyle name="Separador de milhares 2 7 2 4" xfId="42201" xr:uid="{00000000-0005-0000-0000-0000DCA40000}"/>
    <cellStyle name="Separador de milhares 2 7 2 5" xfId="42202" xr:uid="{00000000-0005-0000-0000-0000DDA40000}"/>
    <cellStyle name="Separador de milhares 2 7 2 6" xfId="42203" xr:uid="{00000000-0005-0000-0000-0000DEA40000}"/>
    <cellStyle name="Separador de milhares 2 7 3" xfId="42204" xr:uid="{00000000-0005-0000-0000-0000DFA40000}"/>
    <cellStyle name="Separador de milhares 2 7 3 2" xfId="42205" xr:uid="{00000000-0005-0000-0000-0000E0A40000}"/>
    <cellStyle name="Separador de milhares 2 7 3 3" xfId="42206" xr:uid="{00000000-0005-0000-0000-0000E1A40000}"/>
    <cellStyle name="Separador de milhares 2 7 3 4" xfId="42207" xr:uid="{00000000-0005-0000-0000-0000E2A40000}"/>
    <cellStyle name="Separador de milhares 2 7 3 5" xfId="42208" xr:uid="{00000000-0005-0000-0000-0000E3A40000}"/>
    <cellStyle name="Separador de milhares 2 7 3 6" xfId="42209" xr:uid="{00000000-0005-0000-0000-0000E4A40000}"/>
    <cellStyle name="Separador de milhares 2 7 4" xfId="42210" xr:uid="{00000000-0005-0000-0000-0000E5A40000}"/>
    <cellStyle name="Separador de milhares 2 7 4 2" xfId="42211" xr:uid="{00000000-0005-0000-0000-0000E6A40000}"/>
    <cellStyle name="Separador de milhares 2 7 4 3" xfId="42212" xr:uid="{00000000-0005-0000-0000-0000E7A40000}"/>
    <cellStyle name="Separador de milhares 2 7 4 4" xfId="42213" xr:uid="{00000000-0005-0000-0000-0000E8A40000}"/>
    <cellStyle name="Separador de milhares 2 7 4 5" xfId="42214" xr:uid="{00000000-0005-0000-0000-0000E9A40000}"/>
    <cellStyle name="Separador de milhares 2 7 4 6" xfId="42215" xr:uid="{00000000-0005-0000-0000-0000EAA40000}"/>
    <cellStyle name="Separador de milhares 2 7 5" xfId="42216" xr:uid="{00000000-0005-0000-0000-0000EBA40000}"/>
    <cellStyle name="Separador de milhares 2 7 5 2" xfId="42217" xr:uid="{00000000-0005-0000-0000-0000ECA40000}"/>
    <cellStyle name="Separador de milhares 2 7 5 3" xfId="42218" xr:uid="{00000000-0005-0000-0000-0000EDA40000}"/>
    <cellStyle name="Separador de milhares 2 7 5 4" xfId="42219" xr:uid="{00000000-0005-0000-0000-0000EEA40000}"/>
    <cellStyle name="Separador de milhares 2 7 5 5" xfId="42220" xr:uid="{00000000-0005-0000-0000-0000EFA40000}"/>
    <cellStyle name="Separador de milhares 2 7 5 6" xfId="42221" xr:uid="{00000000-0005-0000-0000-0000F0A40000}"/>
    <cellStyle name="Separador de milhares 2 7 6" xfId="42222" xr:uid="{00000000-0005-0000-0000-0000F1A40000}"/>
    <cellStyle name="Separador de milhares 2 7 6 2" xfId="42223" xr:uid="{00000000-0005-0000-0000-0000F2A40000}"/>
    <cellStyle name="Separador de milhares 2 7 6 3" xfId="42224" xr:uid="{00000000-0005-0000-0000-0000F3A40000}"/>
    <cellStyle name="Separador de milhares 2 7 6 4" xfId="42225" xr:uid="{00000000-0005-0000-0000-0000F4A40000}"/>
    <cellStyle name="Separador de milhares 2 7 6 5" xfId="42226" xr:uid="{00000000-0005-0000-0000-0000F5A40000}"/>
    <cellStyle name="Separador de milhares 2 7 6 6" xfId="42227" xr:uid="{00000000-0005-0000-0000-0000F6A40000}"/>
    <cellStyle name="Separador de milhares 2 7 7" xfId="42228" xr:uid="{00000000-0005-0000-0000-0000F7A40000}"/>
    <cellStyle name="Separador de milhares 2 7 7 2" xfId="42229" xr:uid="{00000000-0005-0000-0000-0000F8A40000}"/>
    <cellStyle name="Separador de milhares 2 7 7 3" xfId="42230" xr:uid="{00000000-0005-0000-0000-0000F9A40000}"/>
    <cellStyle name="Separador de milhares 2 7 7 4" xfId="42231" xr:uid="{00000000-0005-0000-0000-0000FAA40000}"/>
    <cellStyle name="Separador de milhares 2 7 7 5" xfId="42232" xr:uid="{00000000-0005-0000-0000-0000FBA40000}"/>
    <cellStyle name="Separador de milhares 2 7 7 6" xfId="42233" xr:uid="{00000000-0005-0000-0000-0000FCA40000}"/>
    <cellStyle name="Separador de milhares 2 7 8" xfId="42234" xr:uid="{00000000-0005-0000-0000-0000FDA40000}"/>
    <cellStyle name="Separador de milhares 2 7 8 2" xfId="42235" xr:uid="{00000000-0005-0000-0000-0000FEA40000}"/>
    <cellStyle name="Separador de milhares 2 7 8 3" xfId="42236" xr:uid="{00000000-0005-0000-0000-0000FFA40000}"/>
    <cellStyle name="Separador de milhares 2 7 8 4" xfId="42237" xr:uid="{00000000-0005-0000-0000-000000A50000}"/>
    <cellStyle name="Separador de milhares 2 7 8 5" xfId="42238" xr:uid="{00000000-0005-0000-0000-000001A50000}"/>
    <cellStyle name="Separador de milhares 2 7 8 6" xfId="42239" xr:uid="{00000000-0005-0000-0000-000002A50000}"/>
    <cellStyle name="Separador de milhares 2 7 9" xfId="42240" xr:uid="{00000000-0005-0000-0000-000003A50000}"/>
    <cellStyle name="Separador de milhares 2 8" xfId="42241" xr:uid="{00000000-0005-0000-0000-000004A50000}"/>
    <cellStyle name="Separador de milhares 2 8 10" xfId="42242" xr:uid="{00000000-0005-0000-0000-000005A50000}"/>
    <cellStyle name="Separador de milhares 2 8 11" xfId="42243" xr:uid="{00000000-0005-0000-0000-000006A50000}"/>
    <cellStyle name="Separador de milhares 2 8 12" xfId="42244" xr:uid="{00000000-0005-0000-0000-000007A50000}"/>
    <cellStyle name="Separador de milhares 2 8 13" xfId="42245" xr:uid="{00000000-0005-0000-0000-000008A50000}"/>
    <cellStyle name="Separador de milhares 2 8 14" xfId="42246" xr:uid="{00000000-0005-0000-0000-000009A50000}"/>
    <cellStyle name="Separador de milhares 2 8 2" xfId="42247" xr:uid="{00000000-0005-0000-0000-00000AA50000}"/>
    <cellStyle name="Separador de milhares 2 8 2 2" xfId="42248" xr:uid="{00000000-0005-0000-0000-00000BA50000}"/>
    <cellStyle name="Separador de milhares 2 8 2 3" xfId="42249" xr:uid="{00000000-0005-0000-0000-00000CA50000}"/>
    <cellStyle name="Separador de milhares 2 8 2 4" xfId="42250" xr:uid="{00000000-0005-0000-0000-00000DA50000}"/>
    <cellStyle name="Separador de milhares 2 8 2 5" xfId="42251" xr:uid="{00000000-0005-0000-0000-00000EA50000}"/>
    <cellStyle name="Separador de milhares 2 8 2 6" xfId="42252" xr:uid="{00000000-0005-0000-0000-00000FA50000}"/>
    <cellStyle name="Separador de milhares 2 8 2 7" xfId="42253" xr:uid="{00000000-0005-0000-0000-000010A50000}"/>
    <cellStyle name="Separador de milhares 2 8 3" xfId="42254" xr:uid="{00000000-0005-0000-0000-000011A50000}"/>
    <cellStyle name="Separador de milhares 2 8 3 2" xfId="42255" xr:uid="{00000000-0005-0000-0000-000012A50000}"/>
    <cellStyle name="Separador de milhares 2 8 3 3" xfId="42256" xr:uid="{00000000-0005-0000-0000-000013A50000}"/>
    <cellStyle name="Separador de milhares 2 8 3 4" xfId="42257" xr:uid="{00000000-0005-0000-0000-000014A50000}"/>
    <cellStyle name="Separador de milhares 2 8 3 5" xfId="42258" xr:uid="{00000000-0005-0000-0000-000015A50000}"/>
    <cellStyle name="Separador de milhares 2 8 3 6" xfId="42259" xr:uid="{00000000-0005-0000-0000-000016A50000}"/>
    <cellStyle name="Separador de milhares 2 8 4" xfId="42260" xr:uid="{00000000-0005-0000-0000-000017A50000}"/>
    <cellStyle name="Separador de milhares 2 8 4 2" xfId="42261" xr:uid="{00000000-0005-0000-0000-000018A50000}"/>
    <cellStyle name="Separador de milhares 2 8 4 3" xfId="42262" xr:uid="{00000000-0005-0000-0000-000019A50000}"/>
    <cellStyle name="Separador de milhares 2 8 4 4" xfId="42263" xr:uid="{00000000-0005-0000-0000-00001AA50000}"/>
    <cellStyle name="Separador de milhares 2 8 4 5" xfId="42264" xr:uid="{00000000-0005-0000-0000-00001BA50000}"/>
    <cellStyle name="Separador de milhares 2 8 4 6" xfId="42265" xr:uid="{00000000-0005-0000-0000-00001CA50000}"/>
    <cellStyle name="Separador de milhares 2 8 5" xfId="42266" xr:uid="{00000000-0005-0000-0000-00001DA50000}"/>
    <cellStyle name="Separador de milhares 2 8 5 2" xfId="42267" xr:uid="{00000000-0005-0000-0000-00001EA50000}"/>
    <cellStyle name="Separador de milhares 2 8 5 3" xfId="42268" xr:uid="{00000000-0005-0000-0000-00001FA50000}"/>
    <cellStyle name="Separador de milhares 2 8 5 4" xfId="42269" xr:uid="{00000000-0005-0000-0000-000020A50000}"/>
    <cellStyle name="Separador de milhares 2 8 5 5" xfId="42270" xr:uid="{00000000-0005-0000-0000-000021A50000}"/>
    <cellStyle name="Separador de milhares 2 8 5 6" xfId="42271" xr:uid="{00000000-0005-0000-0000-000022A50000}"/>
    <cellStyle name="Separador de milhares 2 8 6" xfId="42272" xr:uid="{00000000-0005-0000-0000-000023A50000}"/>
    <cellStyle name="Separador de milhares 2 8 6 2" xfId="42273" xr:uid="{00000000-0005-0000-0000-000024A50000}"/>
    <cellStyle name="Separador de milhares 2 8 6 3" xfId="42274" xr:uid="{00000000-0005-0000-0000-000025A50000}"/>
    <cellStyle name="Separador de milhares 2 8 6 4" xfId="42275" xr:uid="{00000000-0005-0000-0000-000026A50000}"/>
    <cellStyle name="Separador de milhares 2 8 6 5" xfId="42276" xr:uid="{00000000-0005-0000-0000-000027A50000}"/>
    <cellStyle name="Separador de milhares 2 8 6 6" xfId="42277" xr:uid="{00000000-0005-0000-0000-000028A50000}"/>
    <cellStyle name="Separador de milhares 2 8 7" xfId="42278" xr:uid="{00000000-0005-0000-0000-000029A50000}"/>
    <cellStyle name="Separador de milhares 2 8 7 2" xfId="42279" xr:uid="{00000000-0005-0000-0000-00002AA50000}"/>
    <cellStyle name="Separador de milhares 2 8 7 3" xfId="42280" xr:uid="{00000000-0005-0000-0000-00002BA50000}"/>
    <cellStyle name="Separador de milhares 2 8 7 4" xfId="42281" xr:uid="{00000000-0005-0000-0000-00002CA50000}"/>
    <cellStyle name="Separador de milhares 2 8 7 5" xfId="42282" xr:uid="{00000000-0005-0000-0000-00002DA50000}"/>
    <cellStyle name="Separador de milhares 2 8 7 6" xfId="42283" xr:uid="{00000000-0005-0000-0000-00002EA50000}"/>
    <cellStyle name="Separador de milhares 2 8 8" xfId="42284" xr:uid="{00000000-0005-0000-0000-00002FA50000}"/>
    <cellStyle name="Separador de milhares 2 8 8 2" xfId="42285" xr:uid="{00000000-0005-0000-0000-000030A50000}"/>
    <cellStyle name="Separador de milhares 2 8 8 3" xfId="42286" xr:uid="{00000000-0005-0000-0000-000031A50000}"/>
    <cellStyle name="Separador de milhares 2 8 8 4" xfId="42287" xr:uid="{00000000-0005-0000-0000-000032A50000}"/>
    <cellStyle name="Separador de milhares 2 8 8 5" xfId="42288" xr:uid="{00000000-0005-0000-0000-000033A50000}"/>
    <cellStyle name="Separador de milhares 2 8 8 6" xfId="42289" xr:uid="{00000000-0005-0000-0000-000034A50000}"/>
    <cellStyle name="Separador de milhares 2 8 9" xfId="42290" xr:uid="{00000000-0005-0000-0000-000035A50000}"/>
    <cellStyle name="Separador de milhares 2 9" xfId="42291" xr:uid="{00000000-0005-0000-0000-000036A50000}"/>
    <cellStyle name="Separador de milhares 2 9 10" xfId="42292" xr:uid="{00000000-0005-0000-0000-000037A50000}"/>
    <cellStyle name="Separador de milhares 2 9 11" xfId="42293" xr:uid="{00000000-0005-0000-0000-000038A50000}"/>
    <cellStyle name="Separador de milhares 2 9 12" xfId="42294" xr:uid="{00000000-0005-0000-0000-000039A50000}"/>
    <cellStyle name="Separador de milhares 2 9 13" xfId="42295" xr:uid="{00000000-0005-0000-0000-00003AA50000}"/>
    <cellStyle name="Separador de milhares 2 9 14" xfId="42296" xr:uid="{00000000-0005-0000-0000-00003BA50000}"/>
    <cellStyle name="Separador de milhares 2 9 2" xfId="42297" xr:uid="{00000000-0005-0000-0000-00003CA50000}"/>
    <cellStyle name="Separador de milhares 2 9 2 2" xfId="42298" xr:uid="{00000000-0005-0000-0000-00003DA50000}"/>
    <cellStyle name="Separador de milhares 2 9 2 3" xfId="42299" xr:uid="{00000000-0005-0000-0000-00003EA50000}"/>
    <cellStyle name="Separador de milhares 2 9 2 4" xfId="42300" xr:uid="{00000000-0005-0000-0000-00003FA50000}"/>
    <cellStyle name="Separador de milhares 2 9 2 5" xfId="42301" xr:uid="{00000000-0005-0000-0000-000040A50000}"/>
    <cellStyle name="Separador de milhares 2 9 2 6" xfId="42302" xr:uid="{00000000-0005-0000-0000-000041A50000}"/>
    <cellStyle name="Separador de milhares 2 9 3" xfId="42303" xr:uid="{00000000-0005-0000-0000-000042A50000}"/>
    <cellStyle name="Separador de milhares 2 9 3 2" xfId="42304" xr:uid="{00000000-0005-0000-0000-000043A50000}"/>
    <cellStyle name="Separador de milhares 2 9 3 3" xfId="42305" xr:uid="{00000000-0005-0000-0000-000044A50000}"/>
    <cellStyle name="Separador de milhares 2 9 3 4" xfId="42306" xr:uid="{00000000-0005-0000-0000-000045A50000}"/>
    <cellStyle name="Separador de milhares 2 9 3 5" xfId="42307" xr:uid="{00000000-0005-0000-0000-000046A50000}"/>
    <cellStyle name="Separador de milhares 2 9 3 6" xfId="42308" xr:uid="{00000000-0005-0000-0000-000047A50000}"/>
    <cellStyle name="Separador de milhares 2 9 4" xfId="42309" xr:uid="{00000000-0005-0000-0000-000048A50000}"/>
    <cellStyle name="Separador de milhares 2 9 4 2" xfId="42310" xr:uid="{00000000-0005-0000-0000-000049A50000}"/>
    <cellStyle name="Separador de milhares 2 9 4 3" xfId="42311" xr:uid="{00000000-0005-0000-0000-00004AA50000}"/>
    <cellStyle name="Separador de milhares 2 9 4 4" xfId="42312" xr:uid="{00000000-0005-0000-0000-00004BA50000}"/>
    <cellStyle name="Separador de milhares 2 9 4 5" xfId="42313" xr:uid="{00000000-0005-0000-0000-00004CA50000}"/>
    <cellStyle name="Separador de milhares 2 9 4 6" xfId="42314" xr:uid="{00000000-0005-0000-0000-00004DA50000}"/>
    <cellStyle name="Separador de milhares 2 9 5" xfId="42315" xr:uid="{00000000-0005-0000-0000-00004EA50000}"/>
    <cellStyle name="Separador de milhares 2 9 5 2" xfId="42316" xr:uid="{00000000-0005-0000-0000-00004FA50000}"/>
    <cellStyle name="Separador de milhares 2 9 5 3" xfId="42317" xr:uid="{00000000-0005-0000-0000-000050A50000}"/>
    <cellStyle name="Separador de milhares 2 9 5 4" xfId="42318" xr:uid="{00000000-0005-0000-0000-000051A50000}"/>
    <cellStyle name="Separador de milhares 2 9 5 5" xfId="42319" xr:uid="{00000000-0005-0000-0000-000052A50000}"/>
    <cellStyle name="Separador de milhares 2 9 5 6" xfId="42320" xr:uid="{00000000-0005-0000-0000-000053A50000}"/>
    <cellStyle name="Separador de milhares 2 9 6" xfId="42321" xr:uid="{00000000-0005-0000-0000-000054A50000}"/>
    <cellStyle name="Separador de milhares 2 9 6 2" xfId="42322" xr:uid="{00000000-0005-0000-0000-000055A50000}"/>
    <cellStyle name="Separador de milhares 2 9 6 3" xfId="42323" xr:uid="{00000000-0005-0000-0000-000056A50000}"/>
    <cellStyle name="Separador de milhares 2 9 6 4" xfId="42324" xr:uid="{00000000-0005-0000-0000-000057A50000}"/>
    <cellStyle name="Separador de milhares 2 9 6 5" xfId="42325" xr:uid="{00000000-0005-0000-0000-000058A50000}"/>
    <cellStyle name="Separador de milhares 2 9 6 6" xfId="42326" xr:uid="{00000000-0005-0000-0000-000059A50000}"/>
    <cellStyle name="Separador de milhares 2 9 7" xfId="42327" xr:uid="{00000000-0005-0000-0000-00005AA50000}"/>
    <cellStyle name="Separador de milhares 2 9 7 2" xfId="42328" xr:uid="{00000000-0005-0000-0000-00005BA50000}"/>
    <cellStyle name="Separador de milhares 2 9 7 3" xfId="42329" xr:uid="{00000000-0005-0000-0000-00005CA50000}"/>
    <cellStyle name="Separador de milhares 2 9 7 4" xfId="42330" xr:uid="{00000000-0005-0000-0000-00005DA50000}"/>
    <cellStyle name="Separador de milhares 2 9 7 5" xfId="42331" xr:uid="{00000000-0005-0000-0000-00005EA50000}"/>
    <cellStyle name="Separador de milhares 2 9 7 6" xfId="42332" xr:uid="{00000000-0005-0000-0000-00005FA50000}"/>
    <cellStyle name="Separador de milhares 2 9 8" xfId="42333" xr:uid="{00000000-0005-0000-0000-000060A50000}"/>
    <cellStyle name="Separador de milhares 2 9 8 2" xfId="42334" xr:uid="{00000000-0005-0000-0000-000061A50000}"/>
    <cellStyle name="Separador de milhares 2 9 8 3" xfId="42335" xr:uid="{00000000-0005-0000-0000-000062A50000}"/>
    <cellStyle name="Separador de milhares 2 9 8 4" xfId="42336" xr:uid="{00000000-0005-0000-0000-000063A50000}"/>
    <cellStyle name="Separador de milhares 2 9 8 5" xfId="42337" xr:uid="{00000000-0005-0000-0000-000064A50000}"/>
    <cellStyle name="Separador de milhares 2 9 8 6" xfId="42338" xr:uid="{00000000-0005-0000-0000-000065A50000}"/>
    <cellStyle name="Separador de milhares 2 9 9" xfId="42339" xr:uid="{00000000-0005-0000-0000-000066A50000}"/>
    <cellStyle name="Separador de milhares 23" xfId="42340" xr:uid="{00000000-0005-0000-0000-000067A50000}"/>
    <cellStyle name="Separador de milhares 3" xfId="865" xr:uid="{00000000-0005-0000-0000-000068A50000}"/>
    <cellStyle name="Separador de milhares 3 10" xfId="42341" xr:uid="{00000000-0005-0000-0000-000069A50000}"/>
    <cellStyle name="Separador de milhares 3 11" xfId="42342" xr:uid="{00000000-0005-0000-0000-00006AA50000}"/>
    <cellStyle name="Separador de milhares 3 12" xfId="42343" xr:uid="{00000000-0005-0000-0000-00006BA50000}"/>
    <cellStyle name="Separador de milhares 3 13" xfId="42344" xr:uid="{00000000-0005-0000-0000-00006CA50000}"/>
    <cellStyle name="Separador de milhares 3 14" xfId="42345" xr:uid="{00000000-0005-0000-0000-00006DA50000}"/>
    <cellStyle name="Separador de milhares 3 15" xfId="42346" xr:uid="{00000000-0005-0000-0000-00006EA50000}"/>
    <cellStyle name="Separador de milhares 3 16" xfId="42347" xr:uid="{00000000-0005-0000-0000-00006FA50000}"/>
    <cellStyle name="Separador de milhares 3 17" xfId="42348" xr:uid="{00000000-0005-0000-0000-000070A50000}"/>
    <cellStyle name="Separador de milhares 3 18" xfId="42349" xr:uid="{00000000-0005-0000-0000-000071A50000}"/>
    <cellStyle name="Separador de milhares 3 19" xfId="42350" xr:uid="{00000000-0005-0000-0000-000072A50000}"/>
    <cellStyle name="Separador de milhares 3 2" xfId="1132" xr:uid="{00000000-0005-0000-0000-000073A50000}"/>
    <cellStyle name="Separador de milhares 3 2 2" xfId="42351" xr:uid="{00000000-0005-0000-0000-000074A50000}"/>
    <cellStyle name="Separador de milhares 3 2 2 2" xfId="42352" xr:uid="{00000000-0005-0000-0000-000075A50000}"/>
    <cellStyle name="Separador de milhares 3 2 2 3" xfId="42353" xr:uid="{00000000-0005-0000-0000-000076A50000}"/>
    <cellStyle name="Separador de milhares 3 2 3" xfId="42354" xr:uid="{00000000-0005-0000-0000-000077A50000}"/>
    <cellStyle name="Separador de milhares 3 2 4" xfId="42355" xr:uid="{00000000-0005-0000-0000-000078A50000}"/>
    <cellStyle name="Separador de milhares 3 2 5" xfId="43284" xr:uid="{00000000-0005-0000-0000-000079A50000}"/>
    <cellStyle name="Separador de milhares 3 20" xfId="42356" xr:uid="{00000000-0005-0000-0000-00007AA50000}"/>
    <cellStyle name="Separador de milhares 3 21" xfId="42357" xr:uid="{00000000-0005-0000-0000-00007BA50000}"/>
    <cellStyle name="Separador de milhares 3 22" xfId="42358" xr:uid="{00000000-0005-0000-0000-00007CA50000}"/>
    <cellStyle name="Separador de milhares 3 23" xfId="42359" xr:uid="{00000000-0005-0000-0000-00007DA50000}"/>
    <cellStyle name="Separador de milhares 3 24" xfId="42360" xr:uid="{00000000-0005-0000-0000-00007EA50000}"/>
    <cellStyle name="Separador de milhares 3 25" xfId="42361" xr:uid="{00000000-0005-0000-0000-00007FA50000}"/>
    <cellStyle name="Separador de milhares 3 26" xfId="42362" xr:uid="{00000000-0005-0000-0000-000080A50000}"/>
    <cellStyle name="Separador de milhares 3 27" xfId="42363" xr:uid="{00000000-0005-0000-0000-000081A50000}"/>
    <cellStyle name="Separador de milhares 3 28" xfId="42364" xr:uid="{00000000-0005-0000-0000-000082A50000}"/>
    <cellStyle name="Separador de milhares 3 29" xfId="42365" xr:uid="{00000000-0005-0000-0000-000083A50000}"/>
    <cellStyle name="Separador de milhares 3 3" xfId="1133" xr:uid="{00000000-0005-0000-0000-000084A50000}"/>
    <cellStyle name="Separador de milhares 3 3 2" xfId="43285" xr:uid="{00000000-0005-0000-0000-000085A50000}"/>
    <cellStyle name="Separador de milhares 3 30" xfId="42366" xr:uid="{00000000-0005-0000-0000-000086A50000}"/>
    <cellStyle name="Separador de milhares 3 31" xfId="42367" xr:uid="{00000000-0005-0000-0000-000087A50000}"/>
    <cellStyle name="Separador de milhares 3 32" xfId="42368" xr:uid="{00000000-0005-0000-0000-000088A50000}"/>
    <cellStyle name="Separador de milhares 3 33" xfId="42369" xr:uid="{00000000-0005-0000-0000-000089A50000}"/>
    <cellStyle name="Separador de milhares 3 34" xfId="42370" xr:uid="{00000000-0005-0000-0000-00008AA50000}"/>
    <cellStyle name="Separador de milhares 3 35" xfId="42371" xr:uid="{00000000-0005-0000-0000-00008BA50000}"/>
    <cellStyle name="Separador de milhares 3 36" xfId="42372" xr:uid="{00000000-0005-0000-0000-00008CA50000}"/>
    <cellStyle name="Separador de milhares 3 37" xfId="42373" xr:uid="{00000000-0005-0000-0000-00008DA50000}"/>
    <cellStyle name="Separador de milhares 3 38" xfId="42374" xr:uid="{00000000-0005-0000-0000-00008EA50000}"/>
    <cellStyle name="Separador de milhares 3 39" xfId="42375" xr:uid="{00000000-0005-0000-0000-00008FA50000}"/>
    <cellStyle name="Separador de milhares 3 4" xfId="1134" xr:uid="{00000000-0005-0000-0000-000090A50000}"/>
    <cellStyle name="Separador de milhares 3 4 2" xfId="43286" xr:uid="{00000000-0005-0000-0000-000091A50000}"/>
    <cellStyle name="Separador de milhares 3 40" xfId="42376" xr:uid="{00000000-0005-0000-0000-000092A50000}"/>
    <cellStyle name="Separador de milhares 3 41" xfId="42377" xr:uid="{00000000-0005-0000-0000-000093A50000}"/>
    <cellStyle name="Separador de milhares 3 42" xfId="42378" xr:uid="{00000000-0005-0000-0000-000094A50000}"/>
    <cellStyle name="Separador de milhares 3 43" xfId="42379" xr:uid="{00000000-0005-0000-0000-000095A50000}"/>
    <cellStyle name="Separador de milhares 3 44" xfId="42380" xr:uid="{00000000-0005-0000-0000-000096A50000}"/>
    <cellStyle name="Separador de milhares 3 45" xfId="42381" xr:uid="{00000000-0005-0000-0000-000097A50000}"/>
    <cellStyle name="Separador de milhares 3 46" xfId="42382" xr:uid="{00000000-0005-0000-0000-000098A50000}"/>
    <cellStyle name="Separador de milhares 3 47" xfId="42383" xr:uid="{00000000-0005-0000-0000-000099A50000}"/>
    <cellStyle name="Separador de milhares 3 48" xfId="42384" xr:uid="{00000000-0005-0000-0000-00009AA50000}"/>
    <cellStyle name="Separador de milhares 3 49" xfId="43283" xr:uid="{00000000-0005-0000-0000-00009BA50000}"/>
    <cellStyle name="Separador de milhares 3 5" xfId="1135" xr:uid="{00000000-0005-0000-0000-00009CA50000}"/>
    <cellStyle name="Separador de milhares 3 5 2" xfId="1854" xr:uid="{00000000-0005-0000-0000-00009DA50000}"/>
    <cellStyle name="Separador de milhares 3 5 2 2" xfId="2050" xr:uid="{00000000-0005-0000-0000-00009EA50000}"/>
    <cellStyle name="Separador de milhares 3 5 2 2 2" xfId="2590" xr:uid="{00000000-0005-0000-0000-00009FA50000}"/>
    <cellStyle name="Separador de milhares 3 5 2 2 3" xfId="43384" xr:uid="{00000000-0005-0000-0000-0000A0A50000}"/>
    <cellStyle name="Separador de milhares 3 5 2 3" xfId="2591" xr:uid="{00000000-0005-0000-0000-0000A1A50000}"/>
    <cellStyle name="Separador de milhares 3 5 2 3 2" xfId="43385" xr:uid="{00000000-0005-0000-0000-0000A2A50000}"/>
    <cellStyle name="Separador de milhares 3 5 2 4" xfId="2467" xr:uid="{00000000-0005-0000-0000-0000A3A50000}"/>
    <cellStyle name="Separador de milhares 3 5 2 5" xfId="2386" xr:uid="{00000000-0005-0000-0000-0000A4A50000}"/>
    <cellStyle name="Separador de milhares 3 5 2 6" xfId="43288" xr:uid="{00000000-0005-0000-0000-0000A5A50000}"/>
    <cellStyle name="Separador de milhares 3 5 3" xfId="1949" xr:uid="{00000000-0005-0000-0000-0000A6A50000}"/>
    <cellStyle name="Separador de milhares 3 5 3 2" xfId="2592" xr:uid="{00000000-0005-0000-0000-0000A7A50000}"/>
    <cellStyle name="Separador de milhares 3 5 3 3" xfId="43386" xr:uid="{00000000-0005-0000-0000-0000A8A50000}"/>
    <cellStyle name="Separador de milhares 3 5 4" xfId="2593" xr:uid="{00000000-0005-0000-0000-0000A9A50000}"/>
    <cellStyle name="Separador de milhares 3 5 4 2" xfId="43387" xr:uid="{00000000-0005-0000-0000-0000AAA50000}"/>
    <cellStyle name="Separador de milhares 3 5 5" xfId="2466" xr:uid="{00000000-0005-0000-0000-0000ABA50000}"/>
    <cellStyle name="Separador de milhares 3 5 6" xfId="2261" xr:uid="{00000000-0005-0000-0000-0000ACA50000}"/>
    <cellStyle name="Separador de milhares 3 5 7" xfId="43287" xr:uid="{00000000-0005-0000-0000-0000ADA50000}"/>
    <cellStyle name="Separador de milhares 3 6" xfId="42385" xr:uid="{00000000-0005-0000-0000-0000AEA50000}"/>
    <cellStyle name="Separador de milhares 3 7" xfId="42386" xr:uid="{00000000-0005-0000-0000-0000AFA50000}"/>
    <cellStyle name="Separador de milhares 3 8" xfId="42387" xr:uid="{00000000-0005-0000-0000-0000B0A50000}"/>
    <cellStyle name="Separador de milhares 3 9" xfId="42388" xr:uid="{00000000-0005-0000-0000-0000B1A50000}"/>
    <cellStyle name="Separador de milhares 4" xfId="1136" xr:uid="{00000000-0005-0000-0000-0000B2A50000}"/>
    <cellStyle name="Separador de milhares 4 10" xfId="42389" xr:uid="{00000000-0005-0000-0000-0000B3A50000}"/>
    <cellStyle name="Separador de milhares 4 10 2" xfId="42390" xr:uid="{00000000-0005-0000-0000-0000B4A50000}"/>
    <cellStyle name="Separador de milhares 4 10 2 2" xfId="42391" xr:uid="{00000000-0005-0000-0000-0000B5A50000}"/>
    <cellStyle name="Separador de milhares 4 10 2 3" xfId="42392" xr:uid="{00000000-0005-0000-0000-0000B6A50000}"/>
    <cellStyle name="Separador de milhares 4 10 2 4" xfId="42393" xr:uid="{00000000-0005-0000-0000-0000B7A50000}"/>
    <cellStyle name="Separador de milhares 4 10 3" xfId="42394" xr:uid="{00000000-0005-0000-0000-0000B8A50000}"/>
    <cellStyle name="Separador de milhares 4 10 3 2" xfId="42395" xr:uid="{00000000-0005-0000-0000-0000B9A50000}"/>
    <cellStyle name="Separador de milhares 4 10 3 3" xfId="42396" xr:uid="{00000000-0005-0000-0000-0000BAA50000}"/>
    <cellStyle name="Separador de milhares 4 10 3 4" xfId="42397" xr:uid="{00000000-0005-0000-0000-0000BBA50000}"/>
    <cellStyle name="Separador de milhares 4 10 4" xfId="42398" xr:uid="{00000000-0005-0000-0000-0000BCA50000}"/>
    <cellStyle name="Separador de milhares 4 10 5" xfId="42399" xr:uid="{00000000-0005-0000-0000-0000BDA50000}"/>
    <cellStyle name="Separador de milhares 4 10 6" xfId="42400" xr:uid="{00000000-0005-0000-0000-0000BEA50000}"/>
    <cellStyle name="Separador de milhares 4 11" xfId="42401" xr:uid="{00000000-0005-0000-0000-0000BFA50000}"/>
    <cellStyle name="Separador de milhares 4 11 2" xfId="42402" xr:uid="{00000000-0005-0000-0000-0000C0A50000}"/>
    <cellStyle name="Separador de milhares 4 11 2 2" xfId="42403" xr:uid="{00000000-0005-0000-0000-0000C1A50000}"/>
    <cellStyle name="Separador de milhares 4 11 2 3" xfId="42404" xr:uid="{00000000-0005-0000-0000-0000C2A50000}"/>
    <cellStyle name="Separador de milhares 4 11 2 4" xfId="42405" xr:uid="{00000000-0005-0000-0000-0000C3A50000}"/>
    <cellStyle name="Separador de milhares 4 11 3" xfId="42406" xr:uid="{00000000-0005-0000-0000-0000C4A50000}"/>
    <cellStyle name="Separador de milhares 4 11 3 2" xfId="42407" xr:uid="{00000000-0005-0000-0000-0000C5A50000}"/>
    <cellStyle name="Separador de milhares 4 11 3 3" xfId="42408" xr:uid="{00000000-0005-0000-0000-0000C6A50000}"/>
    <cellStyle name="Separador de milhares 4 11 3 4" xfId="42409" xr:uid="{00000000-0005-0000-0000-0000C7A50000}"/>
    <cellStyle name="Separador de milhares 4 11 4" xfId="42410" xr:uid="{00000000-0005-0000-0000-0000C8A50000}"/>
    <cellStyle name="Separador de milhares 4 11 5" xfId="42411" xr:uid="{00000000-0005-0000-0000-0000C9A50000}"/>
    <cellStyle name="Separador de milhares 4 11 6" xfId="42412" xr:uid="{00000000-0005-0000-0000-0000CAA50000}"/>
    <cellStyle name="Separador de milhares 4 12" xfId="42413" xr:uid="{00000000-0005-0000-0000-0000CBA50000}"/>
    <cellStyle name="Separador de milhares 4 12 2" xfId="42414" xr:uid="{00000000-0005-0000-0000-0000CCA50000}"/>
    <cellStyle name="Separador de milhares 4 12 2 2" xfId="42415" xr:uid="{00000000-0005-0000-0000-0000CDA50000}"/>
    <cellStyle name="Separador de milhares 4 12 2 3" xfId="42416" xr:uid="{00000000-0005-0000-0000-0000CEA50000}"/>
    <cellStyle name="Separador de milhares 4 12 2 4" xfId="42417" xr:uid="{00000000-0005-0000-0000-0000CFA50000}"/>
    <cellStyle name="Separador de milhares 4 12 3" xfId="42418" xr:uid="{00000000-0005-0000-0000-0000D0A50000}"/>
    <cellStyle name="Separador de milhares 4 12 3 2" xfId="42419" xr:uid="{00000000-0005-0000-0000-0000D1A50000}"/>
    <cellStyle name="Separador de milhares 4 12 3 3" xfId="42420" xr:uid="{00000000-0005-0000-0000-0000D2A50000}"/>
    <cellStyle name="Separador de milhares 4 12 3 4" xfId="42421" xr:uid="{00000000-0005-0000-0000-0000D3A50000}"/>
    <cellStyle name="Separador de milhares 4 12 4" xfId="42422" xr:uid="{00000000-0005-0000-0000-0000D4A50000}"/>
    <cellStyle name="Separador de milhares 4 12 5" xfId="42423" xr:uid="{00000000-0005-0000-0000-0000D5A50000}"/>
    <cellStyle name="Separador de milhares 4 12 6" xfId="42424" xr:uid="{00000000-0005-0000-0000-0000D6A50000}"/>
    <cellStyle name="Separador de milhares 4 13" xfId="42425" xr:uid="{00000000-0005-0000-0000-0000D7A50000}"/>
    <cellStyle name="Separador de milhares 4 13 2" xfId="42426" xr:uid="{00000000-0005-0000-0000-0000D8A50000}"/>
    <cellStyle name="Separador de milhares 4 13 2 2" xfId="42427" xr:uid="{00000000-0005-0000-0000-0000D9A50000}"/>
    <cellStyle name="Separador de milhares 4 13 2 3" xfId="42428" xr:uid="{00000000-0005-0000-0000-0000DAA50000}"/>
    <cellStyle name="Separador de milhares 4 13 2 4" xfId="42429" xr:uid="{00000000-0005-0000-0000-0000DBA50000}"/>
    <cellStyle name="Separador de milhares 4 13 3" xfId="42430" xr:uid="{00000000-0005-0000-0000-0000DCA50000}"/>
    <cellStyle name="Separador de milhares 4 13 3 2" xfId="42431" xr:uid="{00000000-0005-0000-0000-0000DDA50000}"/>
    <cellStyle name="Separador de milhares 4 13 3 3" xfId="42432" xr:uid="{00000000-0005-0000-0000-0000DEA50000}"/>
    <cellStyle name="Separador de milhares 4 13 3 4" xfId="42433" xr:uid="{00000000-0005-0000-0000-0000DFA50000}"/>
    <cellStyle name="Separador de milhares 4 13 4" xfId="42434" xr:uid="{00000000-0005-0000-0000-0000E0A50000}"/>
    <cellStyle name="Separador de milhares 4 13 5" xfId="42435" xr:uid="{00000000-0005-0000-0000-0000E1A50000}"/>
    <cellStyle name="Separador de milhares 4 13 6" xfId="42436" xr:uid="{00000000-0005-0000-0000-0000E2A50000}"/>
    <cellStyle name="Separador de milhares 4 14" xfId="42437" xr:uid="{00000000-0005-0000-0000-0000E3A50000}"/>
    <cellStyle name="Separador de milhares 4 14 2" xfId="42438" xr:uid="{00000000-0005-0000-0000-0000E4A50000}"/>
    <cellStyle name="Separador de milhares 4 14 2 2" xfId="42439" xr:uid="{00000000-0005-0000-0000-0000E5A50000}"/>
    <cellStyle name="Separador de milhares 4 14 2 3" xfId="42440" xr:uid="{00000000-0005-0000-0000-0000E6A50000}"/>
    <cellStyle name="Separador de milhares 4 14 2 4" xfId="42441" xr:uid="{00000000-0005-0000-0000-0000E7A50000}"/>
    <cellStyle name="Separador de milhares 4 14 3" xfId="42442" xr:uid="{00000000-0005-0000-0000-0000E8A50000}"/>
    <cellStyle name="Separador de milhares 4 14 3 2" xfId="42443" xr:uid="{00000000-0005-0000-0000-0000E9A50000}"/>
    <cellStyle name="Separador de milhares 4 14 3 3" xfId="42444" xr:uid="{00000000-0005-0000-0000-0000EAA50000}"/>
    <cellStyle name="Separador de milhares 4 14 3 4" xfId="42445" xr:uid="{00000000-0005-0000-0000-0000EBA50000}"/>
    <cellStyle name="Separador de milhares 4 14 4" xfId="42446" xr:uid="{00000000-0005-0000-0000-0000ECA50000}"/>
    <cellStyle name="Separador de milhares 4 14 5" xfId="42447" xr:uid="{00000000-0005-0000-0000-0000EDA50000}"/>
    <cellStyle name="Separador de milhares 4 14 6" xfId="42448" xr:uid="{00000000-0005-0000-0000-0000EEA50000}"/>
    <cellStyle name="Separador de milhares 4 15" xfId="42449" xr:uid="{00000000-0005-0000-0000-0000EFA50000}"/>
    <cellStyle name="Separador de milhares 4 15 2" xfId="42450" xr:uid="{00000000-0005-0000-0000-0000F0A50000}"/>
    <cellStyle name="Separador de milhares 4 15 2 2" xfId="42451" xr:uid="{00000000-0005-0000-0000-0000F1A50000}"/>
    <cellStyle name="Separador de milhares 4 15 2 3" xfId="42452" xr:uid="{00000000-0005-0000-0000-0000F2A50000}"/>
    <cellStyle name="Separador de milhares 4 15 2 4" xfId="42453" xr:uid="{00000000-0005-0000-0000-0000F3A50000}"/>
    <cellStyle name="Separador de milhares 4 15 3" xfId="42454" xr:uid="{00000000-0005-0000-0000-0000F4A50000}"/>
    <cellStyle name="Separador de milhares 4 15 3 2" xfId="42455" xr:uid="{00000000-0005-0000-0000-0000F5A50000}"/>
    <cellStyle name="Separador de milhares 4 15 3 3" xfId="42456" xr:uid="{00000000-0005-0000-0000-0000F6A50000}"/>
    <cellStyle name="Separador de milhares 4 15 3 4" xfId="42457" xr:uid="{00000000-0005-0000-0000-0000F7A50000}"/>
    <cellStyle name="Separador de milhares 4 15 4" xfId="42458" xr:uid="{00000000-0005-0000-0000-0000F8A50000}"/>
    <cellStyle name="Separador de milhares 4 15 5" xfId="42459" xr:uid="{00000000-0005-0000-0000-0000F9A50000}"/>
    <cellStyle name="Separador de milhares 4 15 6" xfId="42460" xr:uid="{00000000-0005-0000-0000-0000FAA50000}"/>
    <cellStyle name="Separador de milhares 4 16" xfId="42461" xr:uid="{00000000-0005-0000-0000-0000FBA50000}"/>
    <cellStyle name="Separador de milhares 4 16 2" xfId="42462" xr:uid="{00000000-0005-0000-0000-0000FCA50000}"/>
    <cellStyle name="Separador de milhares 4 16 2 2" xfId="42463" xr:uid="{00000000-0005-0000-0000-0000FDA50000}"/>
    <cellStyle name="Separador de milhares 4 16 2 3" xfId="42464" xr:uid="{00000000-0005-0000-0000-0000FEA50000}"/>
    <cellStyle name="Separador de milhares 4 16 2 4" xfId="42465" xr:uid="{00000000-0005-0000-0000-0000FFA50000}"/>
    <cellStyle name="Separador de milhares 4 16 3" xfId="42466" xr:uid="{00000000-0005-0000-0000-000000A60000}"/>
    <cellStyle name="Separador de milhares 4 16 3 2" xfId="42467" xr:uid="{00000000-0005-0000-0000-000001A60000}"/>
    <cellStyle name="Separador de milhares 4 16 3 3" xfId="42468" xr:uid="{00000000-0005-0000-0000-000002A60000}"/>
    <cellStyle name="Separador de milhares 4 16 3 4" xfId="42469" xr:uid="{00000000-0005-0000-0000-000003A60000}"/>
    <cellStyle name="Separador de milhares 4 16 4" xfId="42470" xr:uid="{00000000-0005-0000-0000-000004A60000}"/>
    <cellStyle name="Separador de milhares 4 16 5" xfId="42471" xr:uid="{00000000-0005-0000-0000-000005A60000}"/>
    <cellStyle name="Separador de milhares 4 16 6" xfId="42472" xr:uid="{00000000-0005-0000-0000-000006A60000}"/>
    <cellStyle name="Separador de milhares 4 17" xfId="42473" xr:uid="{00000000-0005-0000-0000-000007A60000}"/>
    <cellStyle name="Separador de milhares 4 17 2" xfId="42474" xr:uid="{00000000-0005-0000-0000-000008A60000}"/>
    <cellStyle name="Separador de milhares 4 17 2 2" xfId="42475" xr:uid="{00000000-0005-0000-0000-000009A60000}"/>
    <cellStyle name="Separador de milhares 4 17 2 3" xfId="42476" xr:uid="{00000000-0005-0000-0000-00000AA60000}"/>
    <cellStyle name="Separador de milhares 4 17 2 4" xfId="42477" xr:uid="{00000000-0005-0000-0000-00000BA60000}"/>
    <cellStyle name="Separador de milhares 4 17 3" xfId="42478" xr:uid="{00000000-0005-0000-0000-00000CA60000}"/>
    <cellStyle name="Separador de milhares 4 17 3 2" xfId="42479" xr:uid="{00000000-0005-0000-0000-00000DA60000}"/>
    <cellStyle name="Separador de milhares 4 17 3 3" xfId="42480" xr:uid="{00000000-0005-0000-0000-00000EA60000}"/>
    <cellStyle name="Separador de milhares 4 17 3 4" xfId="42481" xr:uid="{00000000-0005-0000-0000-00000FA60000}"/>
    <cellStyle name="Separador de milhares 4 17 4" xfId="42482" xr:uid="{00000000-0005-0000-0000-000010A60000}"/>
    <cellStyle name="Separador de milhares 4 17 5" xfId="42483" xr:uid="{00000000-0005-0000-0000-000011A60000}"/>
    <cellStyle name="Separador de milhares 4 17 6" xfId="42484" xr:uid="{00000000-0005-0000-0000-000012A60000}"/>
    <cellStyle name="Separador de milhares 4 18" xfId="42485" xr:uid="{00000000-0005-0000-0000-000013A60000}"/>
    <cellStyle name="Separador de milhares 4 18 2" xfId="42486" xr:uid="{00000000-0005-0000-0000-000014A60000}"/>
    <cellStyle name="Separador de milhares 4 18 2 2" xfId="42487" xr:uid="{00000000-0005-0000-0000-000015A60000}"/>
    <cellStyle name="Separador de milhares 4 18 2 3" xfId="42488" xr:uid="{00000000-0005-0000-0000-000016A60000}"/>
    <cellStyle name="Separador de milhares 4 18 2 4" xfId="42489" xr:uid="{00000000-0005-0000-0000-000017A60000}"/>
    <cellStyle name="Separador de milhares 4 18 3" xfId="42490" xr:uid="{00000000-0005-0000-0000-000018A60000}"/>
    <cellStyle name="Separador de milhares 4 18 3 2" xfId="42491" xr:uid="{00000000-0005-0000-0000-000019A60000}"/>
    <cellStyle name="Separador de milhares 4 18 3 3" xfId="42492" xr:uid="{00000000-0005-0000-0000-00001AA60000}"/>
    <cellStyle name="Separador de milhares 4 18 3 4" xfId="42493" xr:uid="{00000000-0005-0000-0000-00001BA60000}"/>
    <cellStyle name="Separador de milhares 4 18 4" xfId="42494" xr:uid="{00000000-0005-0000-0000-00001CA60000}"/>
    <cellStyle name="Separador de milhares 4 18 5" xfId="42495" xr:uid="{00000000-0005-0000-0000-00001DA60000}"/>
    <cellStyle name="Separador de milhares 4 18 6" xfId="42496" xr:uid="{00000000-0005-0000-0000-00001EA60000}"/>
    <cellStyle name="Separador de milhares 4 19" xfId="42497" xr:uid="{00000000-0005-0000-0000-00001FA60000}"/>
    <cellStyle name="Separador de milhares 4 19 2" xfId="42498" xr:uid="{00000000-0005-0000-0000-000020A60000}"/>
    <cellStyle name="Separador de milhares 4 19 2 2" xfId="42499" xr:uid="{00000000-0005-0000-0000-000021A60000}"/>
    <cellStyle name="Separador de milhares 4 19 2 3" xfId="42500" xr:uid="{00000000-0005-0000-0000-000022A60000}"/>
    <cellStyle name="Separador de milhares 4 19 2 4" xfId="42501" xr:uid="{00000000-0005-0000-0000-000023A60000}"/>
    <cellStyle name="Separador de milhares 4 19 3" xfId="42502" xr:uid="{00000000-0005-0000-0000-000024A60000}"/>
    <cellStyle name="Separador de milhares 4 19 3 2" xfId="42503" xr:uid="{00000000-0005-0000-0000-000025A60000}"/>
    <cellStyle name="Separador de milhares 4 19 3 3" xfId="42504" xr:uid="{00000000-0005-0000-0000-000026A60000}"/>
    <cellStyle name="Separador de milhares 4 19 3 4" xfId="42505" xr:uid="{00000000-0005-0000-0000-000027A60000}"/>
    <cellStyle name="Separador de milhares 4 19 4" xfId="42506" xr:uid="{00000000-0005-0000-0000-000028A60000}"/>
    <cellStyle name="Separador de milhares 4 19 5" xfId="42507" xr:uid="{00000000-0005-0000-0000-000029A60000}"/>
    <cellStyle name="Separador de milhares 4 19 6" xfId="42508" xr:uid="{00000000-0005-0000-0000-00002AA60000}"/>
    <cellStyle name="Separador de milhares 4 2" xfId="1137" xr:uid="{00000000-0005-0000-0000-00002BA60000}"/>
    <cellStyle name="Separador de milhares 4 2 10" xfId="42509" xr:uid="{00000000-0005-0000-0000-00002CA60000}"/>
    <cellStyle name="Separador de milhares 4 2 10 2" xfId="42510" xr:uid="{00000000-0005-0000-0000-00002DA60000}"/>
    <cellStyle name="Separador de milhares 4 2 10 2 2" xfId="42511" xr:uid="{00000000-0005-0000-0000-00002EA60000}"/>
    <cellStyle name="Separador de milhares 4 2 10 2 3" xfId="42512" xr:uid="{00000000-0005-0000-0000-00002FA60000}"/>
    <cellStyle name="Separador de milhares 4 2 10 2 4" xfId="42513" xr:uid="{00000000-0005-0000-0000-000030A60000}"/>
    <cellStyle name="Separador de milhares 4 2 10 3" xfId="42514" xr:uid="{00000000-0005-0000-0000-000031A60000}"/>
    <cellStyle name="Separador de milhares 4 2 10 3 2" xfId="42515" xr:uid="{00000000-0005-0000-0000-000032A60000}"/>
    <cellStyle name="Separador de milhares 4 2 10 3 3" xfId="42516" xr:uid="{00000000-0005-0000-0000-000033A60000}"/>
    <cellStyle name="Separador de milhares 4 2 10 3 4" xfId="42517" xr:uid="{00000000-0005-0000-0000-000034A60000}"/>
    <cellStyle name="Separador de milhares 4 2 10 4" xfId="42518" xr:uid="{00000000-0005-0000-0000-000035A60000}"/>
    <cellStyle name="Separador de milhares 4 2 10 5" xfId="42519" xr:uid="{00000000-0005-0000-0000-000036A60000}"/>
    <cellStyle name="Separador de milhares 4 2 10 6" xfId="42520" xr:uid="{00000000-0005-0000-0000-000037A60000}"/>
    <cellStyle name="Separador de milhares 4 2 11" xfId="42521" xr:uid="{00000000-0005-0000-0000-000038A60000}"/>
    <cellStyle name="Separador de milhares 4 2 11 2" xfId="42522" xr:uid="{00000000-0005-0000-0000-000039A60000}"/>
    <cellStyle name="Separador de milhares 4 2 11 2 2" xfId="42523" xr:uid="{00000000-0005-0000-0000-00003AA60000}"/>
    <cellStyle name="Separador de milhares 4 2 11 2 3" xfId="42524" xr:uid="{00000000-0005-0000-0000-00003BA60000}"/>
    <cellStyle name="Separador de milhares 4 2 11 2 4" xfId="42525" xr:uid="{00000000-0005-0000-0000-00003CA60000}"/>
    <cellStyle name="Separador de milhares 4 2 11 3" xfId="42526" xr:uid="{00000000-0005-0000-0000-00003DA60000}"/>
    <cellStyle name="Separador de milhares 4 2 11 3 2" xfId="42527" xr:uid="{00000000-0005-0000-0000-00003EA60000}"/>
    <cellStyle name="Separador de milhares 4 2 11 3 3" xfId="42528" xr:uid="{00000000-0005-0000-0000-00003FA60000}"/>
    <cellStyle name="Separador de milhares 4 2 11 3 4" xfId="42529" xr:uid="{00000000-0005-0000-0000-000040A60000}"/>
    <cellStyle name="Separador de milhares 4 2 11 4" xfId="42530" xr:uid="{00000000-0005-0000-0000-000041A60000}"/>
    <cellStyle name="Separador de milhares 4 2 11 5" xfId="42531" xr:uid="{00000000-0005-0000-0000-000042A60000}"/>
    <cellStyle name="Separador de milhares 4 2 11 6" xfId="42532" xr:uid="{00000000-0005-0000-0000-000043A60000}"/>
    <cellStyle name="Separador de milhares 4 2 12" xfId="42533" xr:uid="{00000000-0005-0000-0000-000044A60000}"/>
    <cellStyle name="Separador de milhares 4 2 12 2" xfId="42534" xr:uid="{00000000-0005-0000-0000-000045A60000}"/>
    <cellStyle name="Separador de milhares 4 2 12 2 2" xfId="42535" xr:uid="{00000000-0005-0000-0000-000046A60000}"/>
    <cellStyle name="Separador de milhares 4 2 12 2 3" xfId="42536" xr:uid="{00000000-0005-0000-0000-000047A60000}"/>
    <cellStyle name="Separador de milhares 4 2 12 2 4" xfId="42537" xr:uid="{00000000-0005-0000-0000-000048A60000}"/>
    <cellStyle name="Separador de milhares 4 2 12 3" xfId="42538" xr:uid="{00000000-0005-0000-0000-000049A60000}"/>
    <cellStyle name="Separador de milhares 4 2 12 3 2" xfId="42539" xr:uid="{00000000-0005-0000-0000-00004AA60000}"/>
    <cellStyle name="Separador de milhares 4 2 12 3 3" xfId="42540" xr:uid="{00000000-0005-0000-0000-00004BA60000}"/>
    <cellStyle name="Separador de milhares 4 2 12 3 4" xfId="42541" xr:uid="{00000000-0005-0000-0000-00004CA60000}"/>
    <cellStyle name="Separador de milhares 4 2 12 4" xfId="42542" xr:uid="{00000000-0005-0000-0000-00004DA60000}"/>
    <cellStyle name="Separador de milhares 4 2 12 5" xfId="42543" xr:uid="{00000000-0005-0000-0000-00004EA60000}"/>
    <cellStyle name="Separador de milhares 4 2 12 6" xfId="42544" xr:uid="{00000000-0005-0000-0000-00004FA60000}"/>
    <cellStyle name="Separador de milhares 4 2 13" xfId="42545" xr:uid="{00000000-0005-0000-0000-000050A60000}"/>
    <cellStyle name="Separador de milhares 4 2 13 2" xfId="42546" xr:uid="{00000000-0005-0000-0000-000051A60000}"/>
    <cellStyle name="Separador de milhares 4 2 13 2 2" xfId="42547" xr:uid="{00000000-0005-0000-0000-000052A60000}"/>
    <cellStyle name="Separador de milhares 4 2 13 2 3" xfId="42548" xr:uid="{00000000-0005-0000-0000-000053A60000}"/>
    <cellStyle name="Separador de milhares 4 2 13 2 4" xfId="42549" xr:uid="{00000000-0005-0000-0000-000054A60000}"/>
    <cellStyle name="Separador de milhares 4 2 13 3" xfId="42550" xr:uid="{00000000-0005-0000-0000-000055A60000}"/>
    <cellStyle name="Separador de milhares 4 2 13 3 2" xfId="42551" xr:uid="{00000000-0005-0000-0000-000056A60000}"/>
    <cellStyle name="Separador de milhares 4 2 13 3 3" xfId="42552" xr:uid="{00000000-0005-0000-0000-000057A60000}"/>
    <cellStyle name="Separador de milhares 4 2 13 3 4" xfId="42553" xr:uid="{00000000-0005-0000-0000-000058A60000}"/>
    <cellStyle name="Separador de milhares 4 2 13 4" xfId="42554" xr:uid="{00000000-0005-0000-0000-000059A60000}"/>
    <cellStyle name="Separador de milhares 4 2 13 5" xfId="42555" xr:uid="{00000000-0005-0000-0000-00005AA60000}"/>
    <cellStyle name="Separador de milhares 4 2 13 6" xfId="42556" xr:uid="{00000000-0005-0000-0000-00005BA60000}"/>
    <cellStyle name="Separador de milhares 4 2 14" xfId="42557" xr:uid="{00000000-0005-0000-0000-00005CA60000}"/>
    <cellStyle name="Separador de milhares 4 2 14 2" xfId="42558" xr:uid="{00000000-0005-0000-0000-00005DA60000}"/>
    <cellStyle name="Separador de milhares 4 2 14 2 2" xfId="42559" xr:uid="{00000000-0005-0000-0000-00005EA60000}"/>
    <cellStyle name="Separador de milhares 4 2 14 2 3" xfId="42560" xr:uid="{00000000-0005-0000-0000-00005FA60000}"/>
    <cellStyle name="Separador de milhares 4 2 14 2 4" xfId="42561" xr:uid="{00000000-0005-0000-0000-000060A60000}"/>
    <cellStyle name="Separador de milhares 4 2 14 3" xfId="42562" xr:uid="{00000000-0005-0000-0000-000061A60000}"/>
    <cellStyle name="Separador de milhares 4 2 14 3 2" xfId="42563" xr:uid="{00000000-0005-0000-0000-000062A60000}"/>
    <cellStyle name="Separador de milhares 4 2 14 3 3" xfId="42564" xr:uid="{00000000-0005-0000-0000-000063A60000}"/>
    <cellStyle name="Separador de milhares 4 2 14 3 4" xfId="42565" xr:uid="{00000000-0005-0000-0000-000064A60000}"/>
    <cellStyle name="Separador de milhares 4 2 14 4" xfId="42566" xr:uid="{00000000-0005-0000-0000-000065A60000}"/>
    <cellStyle name="Separador de milhares 4 2 14 5" xfId="42567" xr:uid="{00000000-0005-0000-0000-000066A60000}"/>
    <cellStyle name="Separador de milhares 4 2 14 6" xfId="42568" xr:uid="{00000000-0005-0000-0000-000067A60000}"/>
    <cellStyle name="Separador de milhares 4 2 15" xfId="42569" xr:uid="{00000000-0005-0000-0000-000068A60000}"/>
    <cellStyle name="Separador de milhares 4 2 15 2" xfId="42570" xr:uid="{00000000-0005-0000-0000-000069A60000}"/>
    <cellStyle name="Separador de milhares 4 2 15 2 2" xfId="42571" xr:uid="{00000000-0005-0000-0000-00006AA60000}"/>
    <cellStyle name="Separador de milhares 4 2 15 2 3" xfId="42572" xr:uid="{00000000-0005-0000-0000-00006BA60000}"/>
    <cellStyle name="Separador de milhares 4 2 15 2 4" xfId="42573" xr:uid="{00000000-0005-0000-0000-00006CA60000}"/>
    <cellStyle name="Separador de milhares 4 2 15 3" xfId="42574" xr:uid="{00000000-0005-0000-0000-00006DA60000}"/>
    <cellStyle name="Separador de milhares 4 2 15 3 2" xfId="42575" xr:uid="{00000000-0005-0000-0000-00006EA60000}"/>
    <cellStyle name="Separador de milhares 4 2 15 3 3" xfId="42576" xr:uid="{00000000-0005-0000-0000-00006FA60000}"/>
    <cellStyle name="Separador de milhares 4 2 15 3 4" xfId="42577" xr:uid="{00000000-0005-0000-0000-000070A60000}"/>
    <cellStyle name="Separador de milhares 4 2 15 4" xfId="42578" xr:uid="{00000000-0005-0000-0000-000071A60000}"/>
    <cellStyle name="Separador de milhares 4 2 15 5" xfId="42579" xr:uid="{00000000-0005-0000-0000-000072A60000}"/>
    <cellStyle name="Separador de milhares 4 2 15 6" xfId="42580" xr:uid="{00000000-0005-0000-0000-000073A60000}"/>
    <cellStyle name="Separador de milhares 4 2 16" xfId="42581" xr:uid="{00000000-0005-0000-0000-000074A60000}"/>
    <cellStyle name="Separador de milhares 4 2 16 2" xfId="42582" xr:uid="{00000000-0005-0000-0000-000075A60000}"/>
    <cellStyle name="Separador de milhares 4 2 16 2 2" xfId="42583" xr:uid="{00000000-0005-0000-0000-000076A60000}"/>
    <cellStyle name="Separador de milhares 4 2 16 2 3" xfId="42584" xr:uid="{00000000-0005-0000-0000-000077A60000}"/>
    <cellStyle name="Separador de milhares 4 2 16 2 4" xfId="42585" xr:uid="{00000000-0005-0000-0000-000078A60000}"/>
    <cellStyle name="Separador de milhares 4 2 16 3" xfId="42586" xr:uid="{00000000-0005-0000-0000-000079A60000}"/>
    <cellStyle name="Separador de milhares 4 2 16 3 2" xfId="42587" xr:uid="{00000000-0005-0000-0000-00007AA60000}"/>
    <cellStyle name="Separador de milhares 4 2 16 3 3" xfId="42588" xr:uid="{00000000-0005-0000-0000-00007BA60000}"/>
    <cellStyle name="Separador de milhares 4 2 16 3 4" xfId="42589" xr:uid="{00000000-0005-0000-0000-00007CA60000}"/>
    <cellStyle name="Separador de milhares 4 2 16 4" xfId="42590" xr:uid="{00000000-0005-0000-0000-00007DA60000}"/>
    <cellStyle name="Separador de milhares 4 2 16 5" xfId="42591" xr:uid="{00000000-0005-0000-0000-00007EA60000}"/>
    <cellStyle name="Separador de milhares 4 2 16 6" xfId="42592" xr:uid="{00000000-0005-0000-0000-00007FA60000}"/>
    <cellStyle name="Separador de milhares 4 2 17" xfId="42593" xr:uid="{00000000-0005-0000-0000-000080A60000}"/>
    <cellStyle name="Separador de milhares 4 2 17 2" xfId="42594" xr:uid="{00000000-0005-0000-0000-000081A60000}"/>
    <cellStyle name="Separador de milhares 4 2 17 2 2" xfId="42595" xr:uid="{00000000-0005-0000-0000-000082A60000}"/>
    <cellStyle name="Separador de milhares 4 2 17 2 3" xfId="42596" xr:uid="{00000000-0005-0000-0000-000083A60000}"/>
    <cellStyle name="Separador de milhares 4 2 17 2 4" xfId="42597" xr:uid="{00000000-0005-0000-0000-000084A60000}"/>
    <cellStyle name="Separador de milhares 4 2 17 3" xfId="42598" xr:uid="{00000000-0005-0000-0000-000085A60000}"/>
    <cellStyle name="Separador de milhares 4 2 17 3 2" xfId="42599" xr:uid="{00000000-0005-0000-0000-000086A60000}"/>
    <cellStyle name="Separador de milhares 4 2 17 3 3" xfId="42600" xr:uid="{00000000-0005-0000-0000-000087A60000}"/>
    <cellStyle name="Separador de milhares 4 2 17 3 4" xfId="42601" xr:uid="{00000000-0005-0000-0000-000088A60000}"/>
    <cellStyle name="Separador de milhares 4 2 17 4" xfId="42602" xr:uid="{00000000-0005-0000-0000-000089A60000}"/>
    <cellStyle name="Separador de milhares 4 2 17 5" xfId="42603" xr:uid="{00000000-0005-0000-0000-00008AA60000}"/>
    <cellStyle name="Separador de milhares 4 2 17 6" xfId="42604" xr:uid="{00000000-0005-0000-0000-00008BA60000}"/>
    <cellStyle name="Separador de milhares 4 2 18" xfId="42605" xr:uid="{00000000-0005-0000-0000-00008CA60000}"/>
    <cellStyle name="Separador de milhares 4 2 18 2" xfId="42606" xr:uid="{00000000-0005-0000-0000-00008DA60000}"/>
    <cellStyle name="Separador de milhares 4 2 18 3" xfId="42607" xr:uid="{00000000-0005-0000-0000-00008EA60000}"/>
    <cellStyle name="Separador de milhares 4 2 18 4" xfId="42608" xr:uid="{00000000-0005-0000-0000-00008FA60000}"/>
    <cellStyle name="Separador de milhares 4 2 19" xfId="42609" xr:uid="{00000000-0005-0000-0000-000090A60000}"/>
    <cellStyle name="Separador de milhares 4 2 19 2" xfId="42610" xr:uid="{00000000-0005-0000-0000-000091A60000}"/>
    <cellStyle name="Separador de milhares 4 2 19 3" xfId="42611" xr:uid="{00000000-0005-0000-0000-000092A60000}"/>
    <cellStyle name="Separador de milhares 4 2 19 4" xfId="42612" xr:uid="{00000000-0005-0000-0000-000093A60000}"/>
    <cellStyle name="Separador de milhares 4 2 2" xfId="1856" xr:uid="{00000000-0005-0000-0000-000094A60000}"/>
    <cellStyle name="Separador de milhares 4 2 2 2" xfId="2052" xr:uid="{00000000-0005-0000-0000-000095A60000}"/>
    <cellStyle name="Separador de milhares 4 2 2 2 2" xfId="2594" xr:uid="{00000000-0005-0000-0000-000096A60000}"/>
    <cellStyle name="Separador de milhares 4 2 2 2 3" xfId="42613" xr:uid="{00000000-0005-0000-0000-000097A60000}"/>
    <cellStyle name="Separador de milhares 4 2 2 2 4" xfId="42614" xr:uid="{00000000-0005-0000-0000-000098A60000}"/>
    <cellStyle name="Separador de milhares 4 2 2 2 5" xfId="43388" xr:uid="{00000000-0005-0000-0000-000099A60000}"/>
    <cellStyle name="Separador de milhares 4 2 2 3" xfId="2595" xr:uid="{00000000-0005-0000-0000-00009AA60000}"/>
    <cellStyle name="Separador de milhares 4 2 2 3 2" xfId="42615" xr:uid="{00000000-0005-0000-0000-00009BA60000}"/>
    <cellStyle name="Separador de milhares 4 2 2 3 3" xfId="42616" xr:uid="{00000000-0005-0000-0000-00009CA60000}"/>
    <cellStyle name="Separador de milhares 4 2 2 3 4" xfId="42617" xr:uid="{00000000-0005-0000-0000-00009DA60000}"/>
    <cellStyle name="Separador de milhares 4 2 2 3 5" xfId="43389" xr:uid="{00000000-0005-0000-0000-00009EA60000}"/>
    <cellStyle name="Separador de milhares 4 2 2 4" xfId="2470" xr:uid="{00000000-0005-0000-0000-00009FA60000}"/>
    <cellStyle name="Separador de milhares 4 2 2 5" xfId="2388" xr:uid="{00000000-0005-0000-0000-0000A0A60000}"/>
    <cellStyle name="Separador de milhares 4 2 2 6" xfId="42618" xr:uid="{00000000-0005-0000-0000-0000A1A60000}"/>
    <cellStyle name="Separador de milhares 4 2 2 7" xfId="43291" xr:uid="{00000000-0005-0000-0000-0000A2A60000}"/>
    <cellStyle name="Separador de milhares 4 2 20" xfId="42619" xr:uid="{00000000-0005-0000-0000-0000A3A60000}"/>
    <cellStyle name="Separador de milhares 4 2 20 2" xfId="42620" xr:uid="{00000000-0005-0000-0000-0000A4A60000}"/>
    <cellStyle name="Separador de milhares 4 2 20 3" xfId="42621" xr:uid="{00000000-0005-0000-0000-0000A5A60000}"/>
    <cellStyle name="Separador de milhares 4 2 20 4" xfId="42622" xr:uid="{00000000-0005-0000-0000-0000A6A60000}"/>
    <cellStyle name="Separador de milhares 4 2 21" xfId="42623" xr:uid="{00000000-0005-0000-0000-0000A7A60000}"/>
    <cellStyle name="Separador de milhares 4 2 22" xfId="42624" xr:uid="{00000000-0005-0000-0000-0000A8A60000}"/>
    <cellStyle name="Separador de milhares 4 2 23" xfId="42625" xr:uid="{00000000-0005-0000-0000-0000A9A60000}"/>
    <cellStyle name="Separador de milhares 4 2 24" xfId="43290" xr:uid="{00000000-0005-0000-0000-0000AAA60000}"/>
    <cellStyle name="Separador de milhares 4 2 3" xfId="1951" xr:uid="{00000000-0005-0000-0000-0000ABA60000}"/>
    <cellStyle name="Separador de milhares 4 2 3 2" xfId="2596" xr:uid="{00000000-0005-0000-0000-0000ACA60000}"/>
    <cellStyle name="Separador de milhares 4 2 3 2 2" xfId="42626" xr:uid="{00000000-0005-0000-0000-0000ADA60000}"/>
    <cellStyle name="Separador de milhares 4 2 3 2 3" xfId="42627" xr:uid="{00000000-0005-0000-0000-0000AEA60000}"/>
    <cellStyle name="Separador de milhares 4 2 3 2 4" xfId="42628" xr:uid="{00000000-0005-0000-0000-0000AFA60000}"/>
    <cellStyle name="Separador de milhares 4 2 3 3" xfId="42629" xr:uid="{00000000-0005-0000-0000-0000B0A60000}"/>
    <cellStyle name="Separador de milhares 4 2 3 3 2" xfId="42630" xr:uid="{00000000-0005-0000-0000-0000B1A60000}"/>
    <cellStyle name="Separador de milhares 4 2 3 3 3" xfId="42631" xr:uid="{00000000-0005-0000-0000-0000B2A60000}"/>
    <cellStyle name="Separador de milhares 4 2 3 3 4" xfId="42632" xr:uid="{00000000-0005-0000-0000-0000B3A60000}"/>
    <cellStyle name="Separador de milhares 4 2 3 4" xfId="42633" xr:uid="{00000000-0005-0000-0000-0000B4A60000}"/>
    <cellStyle name="Separador de milhares 4 2 3 5" xfId="42634" xr:uid="{00000000-0005-0000-0000-0000B5A60000}"/>
    <cellStyle name="Separador de milhares 4 2 3 6" xfId="42635" xr:uid="{00000000-0005-0000-0000-0000B6A60000}"/>
    <cellStyle name="Separador de milhares 4 2 3 7" xfId="43390" xr:uid="{00000000-0005-0000-0000-0000B7A60000}"/>
    <cellStyle name="Separador de milhares 4 2 4" xfId="2597" xr:uid="{00000000-0005-0000-0000-0000B8A60000}"/>
    <cellStyle name="Separador de milhares 4 2 4 2" xfId="42636" xr:uid="{00000000-0005-0000-0000-0000B9A60000}"/>
    <cellStyle name="Separador de milhares 4 2 4 2 2" xfId="42637" xr:uid="{00000000-0005-0000-0000-0000BAA60000}"/>
    <cellStyle name="Separador de milhares 4 2 4 2 3" xfId="42638" xr:uid="{00000000-0005-0000-0000-0000BBA60000}"/>
    <cellStyle name="Separador de milhares 4 2 4 2 4" xfId="42639" xr:uid="{00000000-0005-0000-0000-0000BCA60000}"/>
    <cellStyle name="Separador de milhares 4 2 4 3" xfId="42640" xr:uid="{00000000-0005-0000-0000-0000BDA60000}"/>
    <cellStyle name="Separador de milhares 4 2 4 3 2" xfId="42641" xr:uid="{00000000-0005-0000-0000-0000BEA60000}"/>
    <cellStyle name="Separador de milhares 4 2 4 3 3" xfId="42642" xr:uid="{00000000-0005-0000-0000-0000BFA60000}"/>
    <cellStyle name="Separador de milhares 4 2 4 3 4" xfId="42643" xr:uid="{00000000-0005-0000-0000-0000C0A60000}"/>
    <cellStyle name="Separador de milhares 4 2 4 4" xfId="42644" xr:uid="{00000000-0005-0000-0000-0000C1A60000}"/>
    <cellStyle name="Separador de milhares 4 2 4 5" xfId="42645" xr:uid="{00000000-0005-0000-0000-0000C2A60000}"/>
    <cellStyle name="Separador de milhares 4 2 4 6" xfId="42646" xr:uid="{00000000-0005-0000-0000-0000C3A60000}"/>
    <cellStyle name="Separador de milhares 4 2 4 7" xfId="43391" xr:uid="{00000000-0005-0000-0000-0000C4A60000}"/>
    <cellStyle name="Separador de milhares 4 2 5" xfId="2469" xr:uid="{00000000-0005-0000-0000-0000C5A60000}"/>
    <cellStyle name="Separador de milhares 4 2 5 2" xfId="42647" xr:uid="{00000000-0005-0000-0000-0000C6A60000}"/>
    <cellStyle name="Separador de milhares 4 2 5 2 2" xfId="42648" xr:uid="{00000000-0005-0000-0000-0000C7A60000}"/>
    <cellStyle name="Separador de milhares 4 2 5 2 3" xfId="42649" xr:uid="{00000000-0005-0000-0000-0000C8A60000}"/>
    <cellStyle name="Separador de milhares 4 2 5 2 4" xfId="42650" xr:uid="{00000000-0005-0000-0000-0000C9A60000}"/>
    <cellStyle name="Separador de milhares 4 2 5 3" xfId="42651" xr:uid="{00000000-0005-0000-0000-0000CAA60000}"/>
    <cellStyle name="Separador de milhares 4 2 5 3 2" xfId="42652" xr:uid="{00000000-0005-0000-0000-0000CBA60000}"/>
    <cellStyle name="Separador de milhares 4 2 5 3 3" xfId="42653" xr:uid="{00000000-0005-0000-0000-0000CCA60000}"/>
    <cellStyle name="Separador de milhares 4 2 5 3 4" xfId="42654" xr:uid="{00000000-0005-0000-0000-0000CDA60000}"/>
    <cellStyle name="Separador de milhares 4 2 5 4" xfId="42655" xr:uid="{00000000-0005-0000-0000-0000CEA60000}"/>
    <cellStyle name="Separador de milhares 4 2 5 5" xfId="42656" xr:uid="{00000000-0005-0000-0000-0000CFA60000}"/>
    <cellStyle name="Separador de milhares 4 2 5 6" xfId="42657" xr:uid="{00000000-0005-0000-0000-0000D0A60000}"/>
    <cellStyle name="Separador de milhares 4 2 6" xfId="2263" xr:uid="{00000000-0005-0000-0000-0000D1A60000}"/>
    <cellStyle name="Separador de milhares 4 2 6 2" xfId="42658" xr:uid="{00000000-0005-0000-0000-0000D2A60000}"/>
    <cellStyle name="Separador de milhares 4 2 6 2 2" xfId="42659" xr:uid="{00000000-0005-0000-0000-0000D3A60000}"/>
    <cellStyle name="Separador de milhares 4 2 6 2 3" xfId="42660" xr:uid="{00000000-0005-0000-0000-0000D4A60000}"/>
    <cellStyle name="Separador de milhares 4 2 6 2 4" xfId="42661" xr:uid="{00000000-0005-0000-0000-0000D5A60000}"/>
    <cellStyle name="Separador de milhares 4 2 6 3" xfId="42662" xr:uid="{00000000-0005-0000-0000-0000D6A60000}"/>
    <cellStyle name="Separador de milhares 4 2 6 3 2" xfId="42663" xr:uid="{00000000-0005-0000-0000-0000D7A60000}"/>
    <cellStyle name="Separador de milhares 4 2 6 3 3" xfId="42664" xr:uid="{00000000-0005-0000-0000-0000D8A60000}"/>
    <cellStyle name="Separador de milhares 4 2 6 3 4" xfId="42665" xr:uid="{00000000-0005-0000-0000-0000D9A60000}"/>
    <cellStyle name="Separador de milhares 4 2 6 4" xfId="42666" xr:uid="{00000000-0005-0000-0000-0000DAA60000}"/>
    <cellStyle name="Separador de milhares 4 2 6 5" xfId="42667" xr:uid="{00000000-0005-0000-0000-0000DBA60000}"/>
    <cellStyle name="Separador de milhares 4 2 6 6" xfId="42668" xr:uid="{00000000-0005-0000-0000-0000DCA60000}"/>
    <cellStyle name="Separador de milhares 4 2 7" xfId="42669" xr:uid="{00000000-0005-0000-0000-0000DDA60000}"/>
    <cellStyle name="Separador de milhares 4 2 7 2" xfId="42670" xr:uid="{00000000-0005-0000-0000-0000DEA60000}"/>
    <cellStyle name="Separador de milhares 4 2 7 2 2" xfId="42671" xr:uid="{00000000-0005-0000-0000-0000DFA60000}"/>
    <cellStyle name="Separador de milhares 4 2 7 2 3" xfId="42672" xr:uid="{00000000-0005-0000-0000-0000E0A60000}"/>
    <cellStyle name="Separador de milhares 4 2 7 2 4" xfId="42673" xr:uid="{00000000-0005-0000-0000-0000E1A60000}"/>
    <cellStyle name="Separador de milhares 4 2 7 3" xfId="42674" xr:uid="{00000000-0005-0000-0000-0000E2A60000}"/>
    <cellStyle name="Separador de milhares 4 2 7 3 2" xfId="42675" xr:uid="{00000000-0005-0000-0000-0000E3A60000}"/>
    <cellStyle name="Separador de milhares 4 2 7 3 3" xfId="42676" xr:uid="{00000000-0005-0000-0000-0000E4A60000}"/>
    <cellStyle name="Separador de milhares 4 2 7 3 4" xfId="42677" xr:uid="{00000000-0005-0000-0000-0000E5A60000}"/>
    <cellStyle name="Separador de milhares 4 2 7 4" xfId="42678" xr:uid="{00000000-0005-0000-0000-0000E6A60000}"/>
    <cellStyle name="Separador de milhares 4 2 7 5" xfId="42679" xr:uid="{00000000-0005-0000-0000-0000E7A60000}"/>
    <cellStyle name="Separador de milhares 4 2 7 6" xfId="42680" xr:uid="{00000000-0005-0000-0000-0000E8A60000}"/>
    <cellStyle name="Separador de milhares 4 2 8" xfId="42681" xr:uid="{00000000-0005-0000-0000-0000E9A60000}"/>
    <cellStyle name="Separador de milhares 4 2 8 2" xfId="42682" xr:uid="{00000000-0005-0000-0000-0000EAA60000}"/>
    <cellStyle name="Separador de milhares 4 2 8 2 2" xfId="42683" xr:uid="{00000000-0005-0000-0000-0000EBA60000}"/>
    <cellStyle name="Separador de milhares 4 2 8 2 3" xfId="42684" xr:uid="{00000000-0005-0000-0000-0000ECA60000}"/>
    <cellStyle name="Separador de milhares 4 2 8 2 4" xfId="42685" xr:uid="{00000000-0005-0000-0000-0000EDA60000}"/>
    <cellStyle name="Separador de milhares 4 2 8 3" xfId="42686" xr:uid="{00000000-0005-0000-0000-0000EEA60000}"/>
    <cellStyle name="Separador de milhares 4 2 8 3 2" xfId="42687" xr:uid="{00000000-0005-0000-0000-0000EFA60000}"/>
    <cellStyle name="Separador de milhares 4 2 8 3 3" xfId="42688" xr:uid="{00000000-0005-0000-0000-0000F0A60000}"/>
    <cellStyle name="Separador de milhares 4 2 8 3 4" xfId="42689" xr:uid="{00000000-0005-0000-0000-0000F1A60000}"/>
    <cellStyle name="Separador de milhares 4 2 8 4" xfId="42690" xr:uid="{00000000-0005-0000-0000-0000F2A60000}"/>
    <cellStyle name="Separador de milhares 4 2 8 5" xfId="42691" xr:uid="{00000000-0005-0000-0000-0000F3A60000}"/>
    <cellStyle name="Separador de milhares 4 2 8 6" xfId="42692" xr:uid="{00000000-0005-0000-0000-0000F4A60000}"/>
    <cellStyle name="Separador de milhares 4 2 9" xfId="42693" xr:uid="{00000000-0005-0000-0000-0000F5A60000}"/>
    <cellStyle name="Separador de milhares 4 2 9 2" xfId="42694" xr:uid="{00000000-0005-0000-0000-0000F6A60000}"/>
    <cellStyle name="Separador de milhares 4 2 9 2 2" xfId="42695" xr:uid="{00000000-0005-0000-0000-0000F7A60000}"/>
    <cellStyle name="Separador de milhares 4 2 9 2 3" xfId="42696" xr:uid="{00000000-0005-0000-0000-0000F8A60000}"/>
    <cellStyle name="Separador de milhares 4 2 9 2 4" xfId="42697" xr:uid="{00000000-0005-0000-0000-0000F9A60000}"/>
    <cellStyle name="Separador de milhares 4 2 9 3" xfId="42698" xr:uid="{00000000-0005-0000-0000-0000FAA60000}"/>
    <cellStyle name="Separador de milhares 4 2 9 3 2" xfId="42699" xr:uid="{00000000-0005-0000-0000-0000FBA60000}"/>
    <cellStyle name="Separador de milhares 4 2 9 3 3" xfId="42700" xr:uid="{00000000-0005-0000-0000-0000FCA60000}"/>
    <cellStyle name="Separador de milhares 4 2 9 3 4" xfId="42701" xr:uid="{00000000-0005-0000-0000-0000FDA60000}"/>
    <cellStyle name="Separador de milhares 4 2 9 4" xfId="42702" xr:uid="{00000000-0005-0000-0000-0000FEA60000}"/>
    <cellStyle name="Separador de milhares 4 2 9 5" xfId="42703" xr:uid="{00000000-0005-0000-0000-0000FFA60000}"/>
    <cellStyle name="Separador de milhares 4 2 9 6" xfId="42704" xr:uid="{00000000-0005-0000-0000-000000A70000}"/>
    <cellStyle name="Separador de milhares 4 20" xfId="42705" xr:uid="{00000000-0005-0000-0000-000001A70000}"/>
    <cellStyle name="Separador de milhares 4 20 2" xfId="42706" xr:uid="{00000000-0005-0000-0000-000002A70000}"/>
    <cellStyle name="Separador de milhares 4 20 3" xfId="42707" xr:uid="{00000000-0005-0000-0000-000003A70000}"/>
    <cellStyle name="Separador de milhares 4 20 4" xfId="42708" xr:uid="{00000000-0005-0000-0000-000004A70000}"/>
    <cellStyle name="Separador de milhares 4 21" xfId="42709" xr:uid="{00000000-0005-0000-0000-000005A70000}"/>
    <cellStyle name="Separador de milhares 4 21 2" xfId="42710" xr:uid="{00000000-0005-0000-0000-000006A70000}"/>
    <cellStyle name="Separador de milhares 4 21 3" xfId="42711" xr:uid="{00000000-0005-0000-0000-000007A70000}"/>
    <cellStyle name="Separador de milhares 4 21 4" xfId="42712" xr:uid="{00000000-0005-0000-0000-000008A70000}"/>
    <cellStyle name="Separador de milhares 4 22" xfId="42713" xr:uid="{00000000-0005-0000-0000-000009A70000}"/>
    <cellStyle name="Separador de milhares 4 22 2" xfId="42714" xr:uid="{00000000-0005-0000-0000-00000AA70000}"/>
    <cellStyle name="Separador de milhares 4 22 3" xfId="42715" xr:uid="{00000000-0005-0000-0000-00000BA70000}"/>
    <cellStyle name="Separador de milhares 4 22 4" xfId="42716" xr:uid="{00000000-0005-0000-0000-00000CA70000}"/>
    <cellStyle name="Separador de milhares 4 23" xfId="42717" xr:uid="{00000000-0005-0000-0000-00000DA70000}"/>
    <cellStyle name="Separador de milhares 4 24" xfId="42718" xr:uid="{00000000-0005-0000-0000-00000EA70000}"/>
    <cellStyle name="Separador de milhares 4 25" xfId="42719" xr:uid="{00000000-0005-0000-0000-00000FA70000}"/>
    <cellStyle name="Separador de milhares 4 26" xfId="43289" xr:uid="{00000000-0005-0000-0000-000010A70000}"/>
    <cellStyle name="Separador de milhares 4 3" xfId="1855" xr:uid="{00000000-0005-0000-0000-000011A70000}"/>
    <cellStyle name="Separador de milhares 4 3 10" xfId="42720" xr:uid="{00000000-0005-0000-0000-000012A70000}"/>
    <cellStyle name="Separador de milhares 4 3 10 2" xfId="42721" xr:uid="{00000000-0005-0000-0000-000013A70000}"/>
    <cellStyle name="Separador de milhares 4 3 10 2 2" xfId="42722" xr:uid="{00000000-0005-0000-0000-000014A70000}"/>
    <cellStyle name="Separador de milhares 4 3 10 2 3" xfId="42723" xr:uid="{00000000-0005-0000-0000-000015A70000}"/>
    <cellStyle name="Separador de milhares 4 3 10 2 4" xfId="42724" xr:uid="{00000000-0005-0000-0000-000016A70000}"/>
    <cellStyle name="Separador de milhares 4 3 10 3" xfId="42725" xr:uid="{00000000-0005-0000-0000-000017A70000}"/>
    <cellStyle name="Separador de milhares 4 3 10 3 2" xfId="42726" xr:uid="{00000000-0005-0000-0000-000018A70000}"/>
    <cellStyle name="Separador de milhares 4 3 10 3 3" xfId="42727" xr:uid="{00000000-0005-0000-0000-000019A70000}"/>
    <cellStyle name="Separador de milhares 4 3 10 3 4" xfId="42728" xr:uid="{00000000-0005-0000-0000-00001AA70000}"/>
    <cellStyle name="Separador de milhares 4 3 10 4" xfId="42729" xr:uid="{00000000-0005-0000-0000-00001BA70000}"/>
    <cellStyle name="Separador de milhares 4 3 10 5" xfId="42730" xr:uid="{00000000-0005-0000-0000-00001CA70000}"/>
    <cellStyle name="Separador de milhares 4 3 10 6" xfId="42731" xr:uid="{00000000-0005-0000-0000-00001DA70000}"/>
    <cellStyle name="Separador de milhares 4 3 11" xfId="42732" xr:uid="{00000000-0005-0000-0000-00001EA70000}"/>
    <cellStyle name="Separador de milhares 4 3 11 2" xfId="42733" xr:uid="{00000000-0005-0000-0000-00001FA70000}"/>
    <cellStyle name="Separador de milhares 4 3 11 2 2" xfId="42734" xr:uid="{00000000-0005-0000-0000-000020A70000}"/>
    <cellStyle name="Separador de milhares 4 3 11 2 3" xfId="42735" xr:uid="{00000000-0005-0000-0000-000021A70000}"/>
    <cellStyle name="Separador de milhares 4 3 11 2 4" xfId="42736" xr:uid="{00000000-0005-0000-0000-000022A70000}"/>
    <cellStyle name="Separador de milhares 4 3 11 3" xfId="42737" xr:uid="{00000000-0005-0000-0000-000023A70000}"/>
    <cellStyle name="Separador de milhares 4 3 11 3 2" xfId="42738" xr:uid="{00000000-0005-0000-0000-000024A70000}"/>
    <cellStyle name="Separador de milhares 4 3 11 3 3" xfId="42739" xr:uid="{00000000-0005-0000-0000-000025A70000}"/>
    <cellStyle name="Separador de milhares 4 3 11 3 4" xfId="42740" xr:uid="{00000000-0005-0000-0000-000026A70000}"/>
    <cellStyle name="Separador de milhares 4 3 11 4" xfId="42741" xr:uid="{00000000-0005-0000-0000-000027A70000}"/>
    <cellStyle name="Separador de milhares 4 3 11 5" xfId="42742" xr:uid="{00000000-0005-0000-0000-000028A70000}"/>
    <cellStyle name="Separador de milhares 4 3 11 6" xfId="42743" xr:uid="{00000000-0005-0000-0000-000029A70000}"/>
    <cellStyle name="Separador de milhares 4 3 12" xfId="42744" xr:uid="{00000000-0005-0000-0000-00002AA70000}"/>
    <cellStyle name="Separador de milhares 4 3 12 2" xfId="42745" xr:uid="{00000000-0005-0000-0000-00002BA70000}"/>
    <cellStyle name="Separador de milhares 4 3 12 2 2" xfId="42746" xr:uid="{00000000-0005-0000-0000-00002CA70000}"/>
    <cellStyle name="Separador de milhares 4 3 12 2 3" xfId="42747" xr:uid="{00000000-0005-0000-0000-00002DA70000}"/>
    <cellStyle name="Separador de milhares 4 3 12 2 4" xfId="42748" xr:uid="{00000000-0005-0000-0000-00002EA70000}"/>
    <cellStyle name="Separador de milhares 4 3 12 3" xfId="42749" xr:uid="{00000000-0005-0000-0000-00002FA70000}"/>
    <cellStyle name="Separador de milhares 4 3 12 3 2" xfId="42750" xr:uid="{00000000-0005-0000-0000-000030A70000}"/>
    <cellStyle name="Separador de milhares 4 3 12 3 3" xfId="42751" xr:uid="{00000000-0005-0000-0000-000031A70000}"/>
    <cellStyle name="Separador de milhares 4 3 12 3 4" xfId="42752" xr:uid="{00000000-0005-0000-0000-000032A70000}"/>
    <cellStyle name="Separador de milhares 4 3 12 4" xfId="42753" xr:uid="{00000000-0005-0000-0000-000033A70000}"/>
    <cellStyle name="Separador de milhares 4 3 12 5" xfId="42754" xr:uid="{00000000-0005-0000-0000-000034A70000}"/>
    <cellStyle name="Separador de milhares 4 3 12 6" xfId="42755" xr:uid="{00000000-0005-0000-0000-000035A70000}"/>
    <cellStyle name="Separador de milhares 4 3 13" xfId="42756" xr:uid="{00000000-0005-0000-0000-000036A70000}"/>
    <cellStyle name="Separador de milhares 4 3 13 2" xfId="42757" xr:uid="{00000000-0005-0000-0000-000037A70000}"/>
    <cellStyle name="Separador de milhares 4 3 13 2 2" xfId="42758" xr:uid="{00000000-0005-0000-0000-000038A70000}"/>
    <cellStyle name="Separador de milhares 4 3 13 2 3" xfId="42759" xr:uid="{00000000-0005-0000-0000-000039A70000}"/>
    <cellStyle name="Separador de milhares 4 3 13 2 4" xfId="42760" xr:uid="{00000000-0005-0000-0000-00003AA70000}"/>
    <cellStyle name="Separador de milhares 4 3 13 3" xfId="42761" xr:uid="{00000000-0005-0000-0000-00003BA70000}"/>
    <cellStyle name="Separador de milhares 4 3 13 3 2" xfId="42762" xr:uid="{00000000-0005-0000-0000-00003CA70000}"/>
    <cellStyle name="Separador de milhares 4 3 13 3 3" xfId="42763" xr:uid="{00000000-0005-0000-0000-00003DA70000}"/>
    <cellStyle name="Separador de milhares 4 3 13 3 4" xfId="42764" xr:uid="{00000000-0005-0000-0000-00003EA70000}"/>
    <cellStyle name="Separador de milhares 4 3 13 4" xfId="42765" xr:uid="{00000000-0005-0000-0000-00003FA70000}"/>
    <cellStyle name="Separador de milhares 4 3 13 5" xfId="42766" xr:uid="{00000000-0005-0000-0000-000040A70000}"/>
    <cellStyle name="Separador de milhares 4 3 13 6" xfId="42767" xr:uid="{00000000-0005-0000-0000-000041A70000}"/>
    <cellStyle name="Separador de milhares 4 3 14" xfId="42768" xr:uid="{00000000-0005-0000-0000-000042A70000}"/>
    <cellStyle name="Separador de milhares 4 3 14 2" xfId="42769" xr:uid="{00000000-0005-0000-0000-000043A70000}"/>
    <cellStyle name="Separador de milhares 4 3 14 2 2" xfId="42770" xr:uid="{00000000-0005-0000-0000-000044A70000}"/>
    <cellStyle name="Separador de milhares 4 3 14 2 3" xfId="42771" xr:uid="{00000000-0005-0000-0000-000045A70000}"/>
    <cellStyle name="Separador de milhares 4 3 14 2 4" xfId="42772" xr:uid="{00000000-0005-0000-0000-000046A70000}"/>
    <cellStyle name="Separador de milhares 4 3 14 3" xfId="42773" xr:uid="{00000000-0005-0000-0000-000047A70000}"/>
    <cellStyle name="Separador de milhares 4 3 14 3 2" xfId="42774" xr:uid="{00000000-0005-0000-0000-000048A70000}"/>
    <cellStyle name="Separador de milhares 4 3 14 3 3" xfId="42775" xr:uid="{00000000-0005-0000-0000-000049A70000}"/>
    <cellStyle name="Separador de milhares 4 3 14 3 4" xfId="42776" xr:uid="{00000000-0005-0000-0000-00004AA70000}"/>
    <cellStyle name="Separador de milhares 4 3 14 4" xfId="42777" xr:uid="{00000000-0005-0000-0000-00004BA70000}"/>
    <cellStyle name="Separador de milhares 4 3 14 5" xfId="42778" xr:uid="{00000000-0005-0000-0000-00004CA70000}"/>
    <cellStyle name="Separador de milhares 4 3 14 6" xfId="42779" xr:uid="{00000000-0005-0000-0000-00004DA70000}"/>
    <cellStyle name="Separador de milhares 4 3 15" xfId="42780" xr:uid="{00000000-0005-0000-0000-00004EA70000}"/>
    <cellStyle name="Separador de milhares 4 3 15 2" xfId="42781" xr:uid="{00000000-0005-0000-0000-00004FA70000}"/>
    <cellStyle name="Separador de milhares 4 3 15 2 2" xfId="42782" xr:uid="{00000000-0005-0000-0000-000050A70000}"/>
    <cellStyle name="Separador de milhares 4 3 15 2 3" xfId="42783" xr:uid="{00000000-0005-0000-0000-000051A70000}"/>
    <cellStyle name="Separador de milhares 4 3 15 2 4" xfId="42784" xr:uid="{00000000-0005-0000-0000-000052A70000}"/>
    <cellStyle name="Separador de milhares 4 3 15 3" xfId="42785" xr:uid="{00000000-0005-0000-0000-000053A70000}"/>
    <cellStyle name="Separador de milhares 4 3 15 3 2" xfId="42786" xr:uid="{00000000-0005-0000-0000-000054A70000}"/>
    <cellStyle name="Separador de milhares 4 3 15 3 3" xfId="42787" xr:uid="{00000000-0005-0000-0000-000055A70000}"/>
    <cellStyle name="Separador de milhares 4 3 15 3 4" xfId="42788" xr:uid="{00000000-0005-0000-0000-000056A70000}"/>
    <cellStyle name="Separador de milhares 4 3 15 4" xfId="42789" xr:uid="{00000000-0005-0000-0000-000057A70000}"/>
    <cellStyle name="Separador de milhares 4 3 15 5" xfId="42790" xr:uid="{00000000-0005-0000-0000-000058A70000}"/>
    <cellStyle name="Separador de milhares 4 3 15 6" xfId="42791" xr:uid="{00000000-0005-0000-0000-000059A70000}"/>
    <cellStyle name="Separador de milhares 4 3 16" xfId="42792" xr:uid="{00000000-0005-0000-0000-00005AA70000}"/>
    <cellStyle name="Separador de milhares 4 3 16 2" xfId="42793" xr:uid="{00000000-0005-0000-0000-00005BA70000}"/>
    <cellStyle name="Separador de milhares 4 3 16 2 2" xfId="42794" xr:uid="{00000000-0005-0000-0000-00005CA70000}"/>
    <cellStyle name="Separador de milhares 4 3 16 2 3" xfId="42795" xr:uid="{00000000-0005-0000-0000-00005DA70000}"/>
    <cellStyle name="Separador de milhares 4 3 16 2 4" xfId="42796" xr:uid="{00000000-0005-0000-0000-00005EA70000}"/>
    <cellStyle name="Separador de milhares 4 3 16 3" xfId="42797" xr:uid="{00000000-0005-0000-0000-00005FA70000}"/>
    <cellStyle name="Separador de milhares 4 3 16 3 2" xfId="42798" xr:uid="{00000000-0005-0000-0000-000060A70000}"/>
    <cellStyle name="Separador de milhares 4 3 16 3 3" xfId="42799" xr:uid="{00000000-0005-0000-0000-000061A70000}"/>
    <cellStyle name="Separador de milhares 4 3 16 3 4" xfId="42800" xr:uid="{00000000-0005-0000-0000-000062A70000}"/>
    <cellStyle name="Separador de milhares 4 3 16 4" xfId="42801" xr:uid="{00000000-0005-0000-0000-000063A70000}"/>
    <cellStyle name="Separador de milhares 4 3 16 5" xfId="42802" xr:uid="{00000000-0005-0000-0000-000064A70000}"/>
    <cellStyle name="Separador de milhares 4 3 16 6" xfId="42803" xr:uid="{00000000-0005-0000-0000-000065A70000}"/>
    <cellStyle name="Separador de milhares 4 3 17" xfId="42804" xr:uid="{00000000-0005-0000-0000-000066A70000}"/>
    <cellStyle name="Separador de milhares 4 3 17 2" xfId="42805" xr:uid="{00000000-0005-0000-0000-000067A70000}"/>
    <cellStyle name="Separador de milhares 4 3 17 2 2" xfId="42806" xr:uid="{00000000-0005-0000-0000-000068A70000}"/>
    <cellStyle name="Separador de milhares 4 3 17 2 3" xfId="42807" xr:uid="{00000000-0005-0000-0000-000069A70000}"/>
    <cellStyle name="Separador de milhares 4 3 17 2 4" xfId="42808" xr:uid="{00000000-0005-0000-0000-00006AA70000}"/>
    <cellStyle name="Separador de milhares 4 3 17 3" xfId="42809" xr:uid="{00000000-0005-0000-0000-00006BA70000}"/>
    <cellStyle name="Separador de milhares 4 3 17 3 2" xfId="42810" xr:uid="{00000000-0005-0000-0000-00006CA70000}"/>
    <cellStyle name="Separador de milhares 4 3 17 3 3" xfId="42811" xr:uid="{00000000-0005-0000-0000-00006DA70000}"/>
    <cellStyle name="Separador de milhares 4 3 17 3 4" xfId="42812" xr:uid="{00000000-0005-0000-0000-00006EA70000}"/>
    <cellStyle name="Separador de milhares 4 3 17 4" xfId="42813" xr:uid="{00000000-0005-0000-0000-00006FA70000}"/>
    <cellStyle name="Separador de milhares 4 3 17 5" xfId="42814" xr:uid="{00000000-0005-0000-0000-000070A70000}"/>
    <cellStyle name="Separador de milhares 4 3 17 6" xfId="42815" xr:uid="{00000000-0005-0000-0000-000071A70000}"/>
    <cellStyle name="Separador de milhares 4 3 18" xfId="42816" xr:uid="{00000000-0005-0000-0000-000072A70000}"/>
    <cellStyle name="Separador de milhares 4 3 18 2" xfId="42817" xr:uid="{00000000-0005-0000-0000-000073A70000}"/>
    <cellStyle name="Separador de milhares 4 3 18 3" xfId="42818" xr:uid="{00000000-0005-0000-0000-000074A70000}"/>
    <cellStyle name="Separador de milhares 4 3 18 4" xfId="42819" xr:uid="{00000000-0005-0000-0000-000075A70000}"/>
    <cellStyle name="Separador de milhares 4 3 19" xfId="42820" xr:uid="{00000000-0005-0000-0000-000076A70000}"/>
    <cellStyle name="Separador de milhares 4 3 19 2" xfId="42821" xr:uid="{00000000-0005-0000-0000-000077A70000}"/>
    <cellStyle name="Separador de milhares 4 3 19 3" xfId="42822" xr:uid="{00000000-0005-0000-0000-000078A70000}"/>
    <cellStyle name="Separador de milhares 4 3 19 4" xfId="42823" xr:uid="{00000000-0005-0000-0000-000079A70000}"/>
    <cellStyle name="Separador de milhares 4 3 2" xfId="2051" xr:uid="{00000000-0005-0000-0000-00007AA70000}"/>
    <cellStyle name="Separador de milhares 4 3 2 2" xfId="2598" xr:uid="{00000000-0005-0000-0000-00007BA70000}"/>
    <cellStyle name="Separador de milhares 4 3 2 2 2" xfId="42824" xr:uid="{00000000-0005-0000-0000-00007CA70000}"/>
    <cellStyle name="Separador de milhares 4 3 2 2 3" xfId="42825" xr:uid="{00000000-0005-0000-0000-00007DA70000}"/>
    <cellStyle name="Separador de milhares 4 3 2 2 4" xfId="42826" xr:uid="{00000000-0005-0000-0000-00007EA70000}"/>
    <cellStyle name="Separador de milhares 4 3 2 3" xfId="42827" xr:uid="{00000000-0005-0000-0000-00007FA70000}"/>
    <cellStyle name="Separador de milhares 4 3 2 3 2" xfId="42828" xr:uid="{00000000-0005-0000-0000-000080A70000}"/>
    <cellStyle name="Separador de milhares 4 3 2 3 3" xfId="42829" xr:uid="{00000000-0005-0000-0000-000081A70000}"/>
    <cellStyle name="Separador de milhares 4 3 2 3 4" xfId="42830" xr:uid="{00000000-0005-0000-0000-000082A70000}"/>
    <cellStyle name="Separador de milhares 4 3 2 4" xfId="42831" xr:uid="{00000000-0005-0000-0000-000083A70000}"/>
    <cellStyle name="Separador de milhares 4 3 2 5" xfId="42832" xr:uid="{00000000-0005-0000-0000-000084A70000}"/>
    <cellStyle name="Separador de milhares 4 3 2 6" xfId="42833" xr:uid="{00000000-0005-0000-0000-000085A70000}"/>
    <cellStyle name="Separador de milhares 4 3 2 7" xfId="43392" xr:uid="{00000000-0005-0000-0000-000086A70000}"/>
    <cellStyle name="Separador de milhares 4 3 20" xfId="42834" xr:uid="{00000000-0005-0000-0000-000087A70000}"/>
    <cellStyle name="Separador de milhares 4 3 20 2" xfId="42835" xr:uid="{00000000-0005-0000-0000-000088A70000}"/>
    <cellStyle name="Separador de milhares 4 3 20 3" xfId="42836" xr:uid="{00000000-0005-0000-0000-000089A70000}"/>
    <cellStyle name="Separador de milhares 4 3 20 4" xfId="42837" xr:uid="{00000000-0005-0000-0000-00008AA70000}"/>
    <cellStyle name="Separador de milhares 4 3 21" xfId="42838" xr:uid="{00000000-0005-0000-0000-00008BA70000}"/>
    <cellStyle name="Separador de milhares 4 3 22" xfId="42839" xr:uid="{00000000-0005-0000-0000-00008CA70000}"/>
    <cellStyle name="Separador de milhares 4 3 23" xfId="42840" xr:uid="{00000000-0005-0000-0000-00008DA70000}"/>
    <cellStyle name="Separador de milhares 4 3 24" xfId="43292" xr:uid="{00000000-0005-0000-0000-00008EA70000}"/>
    <cellStyle name="Separador de milhares 4 3 3" xfId="2599" xr:uid="{00000000-0005-0000-0000-00008FA70000}"/>
    <cellStyle name="Separador de milhares 4 3 3 2" xfId="42841" xr:uid="{00000000-0005-0000-0000-000090A70000}"/>
    <cellStyle name="Separador de milhares 4 3 3 2 2" xfId="42842" xr:uid="{00000000-0005-0000-0000-000091A70000}"/>
    <cellStyle name="Separador de milhares 4 3 3 2 3" xfId="42843" xr:uid="{00000000-0005-0000-0000-000092A70000}"/>
    <cellStyle name="Separador de milhares 4 3 3 2 4" xfId="42844" xr:uid="{00000000-0005-0000-0000-000093A70000}"/>
    <cellStyle name="Separador de milhares 4 3 3 3" xfId="42845" xr:uid="{00000000-0005-0000-0000-000094A70000}"/>
    <cellStyle name="Separador de milhares 4 3 3 3 2" xfId="42846" xr:uid="{00000000-0005-0000-0000-000095A70000}"/>
    <cellStyle name="Separador de milhares 4 3 3 3 3" xfId="42847" xr:uid="{00000000-0005-0000-0000-000096A70000}"/>
    <cellStyle name="Separador de milhares 4 3 3 3 4" xfId="42848" xr:uid="{00000000-0005-0000-0000-000097A70000}"/>
    <cellStyle name="Separador de milhares 4 3 3 4" xfId="42849" xr:uid="{00000000-0005-0000-0000-000098A70000}"/>
    <cellStyle name="Separador de milhares 4 3 3 5" xfId="42850" xr:uid="{00000000-0005-0000-0000-000099A70000}"/>
    <cellStyle name="Separador de milhares 4 3 3 6" xfId="42851" xr:uid="{00000000-0005-0000-0000-00009AA70000}"/>
    <cellStyle name="Separador de milhares 4 3 3 7" xfId="43393" xr:uid="{00000000-0005-0000-0000-00009BA70000}"/>
    <cellStyle name="Separador de milhares 4 3 4" xfId="2471" xr:uid="{00000000-0005-0000-0000-00009CA70000}"/>
    <cellStyle name="Separador de milhares 4 3 4 2" xfId="42852" xr:uid="{00000000-0005-0000-0000-00009DA70000}"/>
    <cellStyle name="Separador de milhares 4 3 4 2 2" xfId="42853" xr:uid="{00000000-0005-0000-0000-00009EA70000}"/>
    <cellStyle name="Separador de milhares 4 3 4 2 3" xfId="42854" xr:uid="{00000000-0005-0000-0000-00009FA70000}"/>
    <cellStyle name="Separador de milhares 4 3 4 2 4" xfId="42855" xr:uid="{00000000-0005-0000-0000-0000A0A70000}"/>
    <cellStyle name="Separador de milhares 4 3 4 3" xfId="42856" xr:uid="{00000000-0005-0000-0000-0000A1A70000}"/>
    <cellStyle name="Separador de milhares 4 3 4 3 2" xfId="42857" xr:uid="{00000000-0005-0000-0000-0000A2A70000}"/>
    <cellStyle name="Separador de milhares 4 3 4 3 3" xfId="42858" xr:uid="{00000000-0005-0000-0000-0000A3A70000}"/>
    <cellStyle name="Separador de milhares 4 3 4 3 4" xfId="42859" xr:uid="{00000000-0005-0000-0000-0000A4A70000}"/>
    <cellStyle name="Separador de milhares 4 3 4 4" xfId="42860" xr:uid="{00000000-0005-0000-0000-0000A5A70000}"/>
    <cellStyle name="Separador de milhares 4 3 4 5" xfId="42861" xr:uid="{00000000-0005-0000-0000-0000A6A70000}"/>
    <cellStyle name="Separador de milhares 4 3 4 6" xfId="42862" xr:uid="{00000000-0005-0000-0000-0000A7A70000}"/>
    <cellStyle name="Separador de milhares 4 3 5" xfId="2387" xr:uid="{00000000-0005-0000-0000-0000A8A70000}"/>
    <cellStyle name="Separador de milhares 4 3 5 2" xfId="42863" xr:uid="{00000000-0005-0000-0000-0000A9A70000}"/>
    <cellStyle name="Separador de milhares 4 3 5 2 2" xfId="42864" xr:uid="{00000000-0005-0000-0000-0000AAA70000}"/>
    <cellStyle name="Separador de milhares 4 3 5 2 3" xfId="42865" xr:uid="{00000000-0005-0000-0000-0000ABA70000}"/>
    <cellStyle name="Separador de milhares 4 3 5 2 4" xfId="42866" xr:uid="{00000000-0005-0000-0000-0000ACA70000}"/>
    <cellStyle name="Separador de milhares 4 3 5 3" xfId="42867" xr:uid="{00000000-0005-0000-0000-0000ADA70000}"/>
    <cellStyle name="Separador de milhares 4 3 5 3 2" xfId="42868" xr:uid="{00000000-0005-0000-0000-0000AEA70000}"/>
    <cellStyle name="Separador de milhares 4 3 5 3 3" xfId="42869" xr:uid="{00000000-0005-0000-0000-0000AFA70000}"/>
    <cellStyle name="Separador de milhares 4 3 5 3 4" xfId="42870" xr:uid="{00000000-0005-0000-0000-0000B0A70000}"/>
    <cellStyle name="Separador de milhares 4 3 5 4" xfId="42871" xr:uid="{00000000-0005-0000-0000-0000B1A70000}"/>
    <cellStyle name="Separador de milhares 4 3 5 5" xfId="42872" xr:uid="{00000000-0005-0000-0000-0000B2A70000}"/>
    <cellStyle name="Separador de milhares 4 3 5 6" xfId="42873" xr:uid="{00000000-0005-0000-0000-0000B3A70000}"/>
    <cellStyle name="Separador de milhares 4 3 6" xfId="42874" xr:uid="{00000000-0005-0000-0000-0000B4A70000}"/>
    <cellStyle name="Separador de milhares 4 3 6 2" xfId="42875" xr:uid="{00000000-0005-0000-0000-0000B5A70000}"/>
    <cellStyle name="Separador de milhares 4 3 6 2 2" xfId="42876" xr:uid="{00000000-0005-0000-0000-0000B6A70000}"/>
    <cellStyle name="Separador de milhares 4 3 6 2 3" xfId="42877" xr:uid="{00000000-0005-0000-0000-0000B7A70000}"/>
    <cellStyle name="Separador de milhares 4 3 6 2 4" xfId="42878" xr:uid="{00000000-0005-0000-0000-0000B8A70000}"/>
    <cellStyle name="Separador de milhares 4 3 6 3" xfId="42879" xr:uid="{00000000-0005-0000-0000-0000B9A70000}"/>
    <cellStyle name="Separador de milhares 4 3 6 3 2" xfId="42880" xr:uid="{00000000-0005-0000-0000-0000BAA70000}"/>
    <cellStyle name="Separador de milhares 4 3 6 3 3" xfId="42881" xr:uid="{00000000-0005-0000-0000-0000BBA70000}"/>
    <cellStyle name="Separador de milhares 4 3 6 3 4" xfId="42882" xr:uid="{00000000-0005-0000-0000-0000BCA70000}"/>
    <cellStyle name="Separador de milhares 4 3 6 4" xfId="42883" xr:uid="{00000000-0005-0000-0000-0000BDA70000}"/>
    <cellStyle name="Separador de milhares 4 3 6 5" xfId="42884" xr:uid="{00000000-0005-0000-0000-0000BEA70000}"/>
    <cellStyle name="Separador de milhares 4 3 6 6" xfId="42885" xr:uid="{00000000-0005-0000-0000-0000BFA70000}"/>
    <cellStyle name="Separador de milhares 4 3 7" xfId="42886" xr:uid="{00000000-0005-0000-0000-0000C0A70000}"/>
    <cellStyle name="Separador de milhares 4 3 7 2" xfId="42887" xr:uid="{00000000-0005-0000-0000-0000C1A70000}"/>
    <cellStyle name="Separador de milhares 4 3 7 2 2" xfId="42888" xr:uid="{00000000-0005-0000-0000-0000C2A70000}"/>
    <cellStyle name="Separador de milhares 4 3 7 2 3" xfId="42889" xr:uid="{00000000-0005-0000-0000-0000C3A70000}"/>
    <cellStyle name="Separador de milhares 4 3 7 2 4" xfId="42890" xr:uid="{00000000-0005-0000-0000-0000C4A70000}"/>
    <cellStyle name="Separador de milhares 4 3 7 3" xfId="42891" xr:uid="{00000000-0005-0000-0000-0000C5A70000}"/>
    <cellStyle name="Separador de milhares 4 3 7 3 2" xfId="42892" xr:uid="{00000000-0005-0000-0000-0000C6A70000}"/>
    <cellStyle name="Separador de milhares 4 3 7 3 3" xfId="42893" xr:uid="{00000000-0005-0000-0000-0000C7A70000}"/>
    <cellStyle name="Separador de milhares 4 3 7 3 4" xfId="42894" xr:uid="{00000000-0005-0000-0000-0000C8A70000}"/>
    <cellStyle name="Separador de milhares 4 3 7 4" xfId="42895" xr:uid="{00000000-0005-0000-0000-0000C9A70000}"/>
    <cellStyle name="Separador de milhares 4 3 7 5" xfId="42896" xr:uid="{00000000-0005-0000-0000-0000CAA70000}"/>
    <cellStyle name="Separador de milhares 4 3 7 6" xfId="42897" xr:uid="{00000000-0005-0000-0000-0000CBA70000}"/>
    <cellStyle name="Separador de milhares 4 3 8" xfId="42898" xr:uid="{00000000-0005-0000-0000-0000CCA70000}"/>
    <cellStyle name="Separador de milhares 4 3 8 2" xfId="42899" xr:uid="{00000000-0005-0000-0000-0000CDA70000}"/>
    <cellStyle name="Separador de milhares 4 3 8 2 2" xfId="42900" xr:uid="{00000000-0005-0000-0000-0000CEA70000}"/>
    <cellStyle name="Separador de milhares 4 3 8 2 3" xfId="42901" xr:uid="{00000000-0005-0000-0000-0000CFA70000}"/>
    <cellStyle name="Separador de milhares 4 3 8 2 4" xfId="42902" xr:uid="{00000000-0005-0000-0000-0000D0A70000}"/>
    <cellStyle name="Separador de milhares 4 3 8 3" xfId="42903" xr:uid="{00000000-0005-0000-0000-0000D1A70000}"/>
    <cellStyle name="Separador de milhares 4 3 8 3 2" xfId="42904" xr:uid="{00000000-0005-0000-0000-0000D2A70000}"/>
    <cellStyle name="Separador de milhares 4 3 8 3 3" xfId="42905" xr:uid="{00000000-0005-0000-0000-0000D3A70000}"/>
    <cellStyle name="Separador de milhares 4 3 8 3 4" xfId="42906" xr:uid="{00000000-0005-0000-0000-0000D4A70000}"/>
    <cellStyle name="Separador de milhares 4 3 8 4" xfId="42907" xr:uid="{00000000-0005-0000-0000-0000D5A70000}"/>
    <cellStyle name="Separador de milhares 4 3 8 5" xfId="42908" xr:uid="{00000000-0005-0000-0000-0000D6A70000}"/>
    <cellStyle name="Separador de milhares 4 3 8 6" xfId="42909" xr:uid="{00000000-0005-0000-0000-0000D7A70000}"/>
    <cellStyle name="Separador de milhares 4 3 9" xfId="42910" xr:uid="{00000000-0005-0000-0000-0000D8A70000}"/>
    <cellStyle name="Separador de milhares 4 3 9 2" xfId="42911" xr:uid="{00000000-0005-0000-0000-0000D9A70000}"/>
    <cellStyle name="Separador de milhares 4 3 9 2 2" xfId="42912" xr:uid="{00000000-0005-0000-0000-0000DAA70000}"/>
    <cellStyle name="Separador de milhares 4 3 9 2 3" xfId="42913" xr:uid="{00000000-0005-0000-0000-0000DBA70000}"/>
    <cellStyle name="Separador de milhares 4 3 9 2 4" xfId="42914" xr:uid="{00000000-0005-0000-0000-0000DCA70000}"/>
    <cellStyle name="Separador de milhares 4 3 9 3" xfId="42915" xr:uid="{00000000-0005-0000-0000-0000DDA70000}"/>
    <cellStyle name="Separador de milhares 4 3 9 3 2" xfId="42916" xr:uid="{00000000-0005-0000-0000-0000DEA70000}"/>
    <cellStyle name="Separador de milhares 4 3 9 3 3" xfId="42917" xr:uid="{00000000-0005-0000-0000-0000DFA70000}"/>
    <cellStyle name="Separador de milhares 4 3 9 3 4" xfId="42918" xr:uid="{00000000-0005-0000-0000-0000E0A70000}"/>
    <cellStyle name="Separador de milhares 4 3 9 4" xfId="42919" xr:uid="{00000000-0005-0000-0000-0000E1A70000}"/>
    <cellStyle name="Separador de milhares 4 3 9 5" xfId="42920" xr:uid="{00000000-0005-0000-0000-0000E2A70000}"/>
    <cellStyle name="Separador de milhares 4 3 9 6" xfId="42921" xr:uid="{00000000-0005-0000-0000-0000E3A70000}"/>
    <cellStyle name="Separador de milhares 4 4" xfId="1950" xr:uid="{00000000-0005-0000-0000-0000E4A70000}"/>
    <cellStyle name="Separador de milhares 4 4 2" xfId="2600" xr:uid="{00000000-0005-0000-0000-0000E5A70000}"/>
    <cellStyle name="Separador de milhares 4 4 2 2" xfId="42922" xr:uid="{00000000-0005-0000-0000-0000E6A70000}"/>
    <cellStyle name="Separador de milhares 4 4 2 3" xfId="42923" xr:uid="{00000000-0005-0000-0000-0000E7A70000}"/>
    <cellStyle name="Separador de milhares 4 4 2 4" xfId="42924" xr:uid="{00000000-0005-0000-0000-0000E8A70000}"/>
    <cellStyle name="Separador de milhares 4 4 3" xfId="42925" xr:uid="{00000000-0005-0000-0000-0000E9A70000}"/>
    <cellStyle name="Separador de milhares 4 4 3 2" xfId="42926" xr:uid="{00000000-0005-0000-0000-0000EAA70000}"/>
    <cellStyle name="Separador de milhares 4 4 3 3" xfId="42927" xr:uid="{00000000-0005-0000-0000-0000EBA70000}"/>
    <cellStyle name="Separador de milhares 4 4 3 4" xfId="42928" xr:uid="{00000000-0005-0000-0000-0000ECA70000}"/>
    <cellStyle name="Separador de milhares 4 4 4" xfId="42929" xr:uid="{00000000-0005-0000-0000-0000EDA70000}"/>
    <cellStyle name="Separador de milhares 4 4 5" xfId="42930" xr:uid="{00000000-0005-0000-0000-0000EEA70000}"/>
    <cellStyle name="Separador de milhares 4 4 6" xfId="42931" xr:uid="{00000000-0005-0000-0000-0000EFA70000}"/>
    <cellStyle name="Separador de milhares 4 4 7" xfId="43394" xr:uid="{00000000-0005-0000-0000-0000F0A70000}"/>
    <cellStyle name="Separador de milhares 4 5" xfId="2601" xr:uid="{00000000-0005-0000-0000-0000F1A70000}"/>
    <cellStyle name="Separador de milhares 4 5 2" xfId="42932" xr:uid="{00000000-0005-0000-0000-0000F2A70000}"/>
    <cellStyle name="Separador de milhares 4 5 2 2" xfId="42933" xr:uid="{00000000-0005-0000-0000-0000F3A70000}"/>
    <cellStyle name="Separador de milhares 4 5 2 3" xfId="42934" xr:uid="{00000000-0005-0000-0000-0000F4A70000}"/>
    <cellStyle name="Separador de milhares 4 5 2 4" xfId="42935" xr:uid="{00000000-0005-0000-0000-0000F5A70000}"/>
    <cellStyle name="Separador de milhares 4 5 3" xfId="42936" xr:uid="{00000000-0005-0000-0000-0000F6A70000}"/>
    <cellStyle name="Separador de milhares 4 5 3 2" xfId="42937" xr:uid="{00000000-0005-0000-0000-0000F7A70000}"/>
    <cellStyle name="Separador de milhares 4 5 3 3" xfId="42938" xr:uid="{00000000-0005-0000-0000-0000F8A70000}"/>
    <cellStyle name="Separador de milhares 4 5 3 4" xfId="42939" xr:uid="{00000000-0005-0000-0000-0000F9A70000}"/>
    <cellStyle name="Separador de milhares 4 5 4" xfId="42940" xr:uid="{00000000-0005-0000-0000-0000FAA70000}"/>
    <cellStyle name="Separador de milhares 4 5 5" xfId="42941" xr:uid="{00000000-0005-0000-0000-0000FBA70000}"/>
    <cellStyle name="Separador de milhares 4 5 6" xfId="42942" xr:uid="{00000000-0005-0000-0000-0000FCA70000}"/>
    <cellStyle name="Separador de milhares 4 5 7" xfId="43395" xr:uid="{00000000-0005-0000-0000-0000FDA70000}"/>
    <cellStyle name="Separador de milhares 4 6" xfId="2602" xr:uid="{00000000-0005-0000-0000-0000FEA70000}"/>
    <cellStyle name="Separador de milhares 4 6 2" xfId="42943" xr:uid="{00000000-0005-0000-0000-0000FFA70000}"/>
    <cellStyle name="Separador de milhares 4 6 2 2" xfId="42944" xr:uid="{00000000-0005-0000-0000-000000A80000}"/>
    <cellStyle name="Separador de milhares 4 6 2 3" xfId="42945" xr:uid="{00000000-0005-0000-0000-000001A80000}"/>
    <cellStyle name="Separador de milhares 4 6 2 4" xfId="42946" xr:uid="{00000000-0005-0000-0000-000002A80000}"/>
    <cellStyle name="Separador de milhares 4 6 3" xfId="42947" xr:uid="{00000000-0005-0000-0000-000003A80000}"/>
    <cellStyle name="Separador de milhares 4 6 3 2" xfId="42948" xr:uid="{00000000-0005-0000-0000-000004A80000}"/>
    <cellStyle name="Separador de milhares 4 6 3 3" xfId="42949" xr:uid="{00000000-0005-0000-0000-000005A80000}"/>
    <cellStyle name="Separador de milhares 4 6 3 4" xfId="42950" xr:uid="{00000000-0005-0000-0000-000006A80000}"/>
    <cellStyle name="Separador de milhares 4 6 4" xfId="42951" xr:uid="{00000000-0005-0000-0000-000007A80000}"/>
    <cellStyle name="Separador de milhares 4 6 5" xfId="42952" xr:uid="{00000000-0005-0000-0000-000008A80000}"/>
    <cellStyle name="Separador de milhares 4 6 6" xfId="42953" xr:uid="{00000000-0005-0000-0000-000009A80000}"/>
    <cellStyle name="Separador de milhares 4 6 7" xfId="43396" xr:uid="{00000000-0005-0000-0000-00000AA80000}"/>
    <cellStyle name="Separador de milhares 4 7" xfId="2468" xr:uid="{00000000-0005-0000-0000-00000BA80000}"/>
    <cellStyle name="Separador de milhares 4 7 2" xfId="42954" xr:uid="{00000000-0005-0000-0000-00000CA80000}"/>
    <cellStyle name="Separador de milhares 4 7 2 2" xfId="42955" xr:uid="{00000000-0005-0000-0000-00000DA80000}"/>
    <cellStyle name="Separador de milhares 4 7 2 3" xfId="42956" xr:uid="{00000000-0005-0000-0000-00000EA80000}"/>
    <cellStyle name="Separador de milhares 4 7 2 4" xfId="42957" xr:uid="{00000000-0005-0000-0000-00000FA80000}"/>
    <cellStyle name="Separador de milhares 4 7 3" xfId="42958" xr:uid="{00000000-0005-0000-0000-000010A80000}"/>
    <cellStyle name="Separador de milhares 4 7 3 2" xfId="42959" xr:uid="{00000000-0005-0000-0000-000011A80000}"/>
    <cellStyle name="Separador de milhares 4 7 3 3" xfId="42960" xr:uid="{00000000-0005-0000-0000-000012A80000}"/>
    <cellStyle name="Separador de milhares 4 7 3 4" xfId="42961" xr:uid="{00000000-0005-0000-0000-000013A80000}"/>
    <cellStyle name="Separador de milhares 4 7 4" xfId="42962" xr:uid="{00000000-0005-0000-0000-000014A80000}"/>
    <cellStyle name="Separador de milhares 4 7 5" xfId="42963" xr:uid="{00000000-0005-0000-0000-000015A80000}"/>
    <cellStyle name="Separador de milhares 4 7 6" xfId="42964" xr:uid="{00000000-0005-0000-0000-000016A80000}"/>
    <cellStyle name="Separador de milhares 4 8" xfId="2262" xr:uid="{00000000-0005-0000-0000-000017A80000}"/>
    <cellStyle name="Separador de milhares 4 8 2" xfId="42965" xr:uid="{00000000-0005-0000-0000-000018A80000}"/>
    <cellStyle name="Separador de milhares 4 8 2 2" xfId="42966" xr:uid="{00000000-0005-0000-0000-000019A80000}"/>
    <cellStyle name="Separador de milhares 4 8 2 3" xfId="42967" xr:uid="{00000000-0005-0000-0000-00001AA80000}"/>
    <cellStyle name="Separador de milhares 4 8 2 4" xfId="42968" xr:uid="{00000000-0005-0000-0000-00001BA80000}"/>
    <cellStyle name="Separador de milhares 4 8 3" xfId="42969" xr:uid="{00000000-0005-0000-0000-00001CA80000}"/>
    <cellStyle name="Separador de milhares 4 8 3 2" xfId="42970" xr:uid="{00000000-0005-0000-0000-00001DA80000}"/>
    <cellStyle name="Separador de milhares 4 8 3 3" xfId="42971" xr:uid="{00000000-0005-0000-0000-00001EA80000}"/>
    <cellStyle name="Separador de milhares 4 8 3 4" xfId="42972" xr:uid="{00000000-0005-0000-0000-00001FA80000}"/>
    <cellStyle name="Separador de milhares 4 8 4" xfId="42973" xr:uid="{00000000-0005-0000-0000-000020A80000}"/>
    <cellStyle name="Separador de milhares 4 8 5" xfId="42974" xr:uid="{00000000-0005-0000-0000-000021A80000}"/>
    <cellStyle name="Separador de milhares 4 8 6" xfId="42975" xr:uid="{00000000-0005-0000-0000-000022A80000}"/>
    <cellStyle name="Separador de milhares 4 9" xfId="42976" xr:uid="{00000000-0005-0000-0000-000023A80000}"/>
    <cellStyle name="Separador de milhares 4 9 2" xfId="42977" xr:uid="{00000000-0005-0000-0000-000024A80000}"/>
    <cellStyle name="Separador de milhares 4 9 2 2" xfId="42978" xr:uid="{00000000-0005-0000-0000-000025A80000}"/>
    <cellStyle name="Separador de milhares 4 9 2 3" xfId="42979" xr:uid="{00000000-0005-0000-0000-000026A80000}"/>
    <cellStyle name="Separador de milhares 4 9 2 4" xfId="42980" xr:uid="{00000000-0005-0000-0000-000027A80000}"/>
    <cellStyle name="Separador de milhares 4 9 3" xfId="42981" xr:uid="{00000000-0005-0000-0000-000028A80000}"/>
    <cellStyle name="Separador de milhares 4 9 3 2" xfId="42982" xr:uid="{00000000-0005-0000-0000-000029A80000}"/>
    <cellStyle name="Separador de milhares 4 9 3 3" xfId="42983" xr:uid="{00000000-0005-0000-0000-00002AA80000}"/>
    <cellStyle name="Separador de milhares 4 9 3 4" xfId="42984" xr:uid="{00000000-0005-0000-0000-00002BA80000}"/>
    <cellStyle name="Separador de milhares 4 9 4" xfId="42985" xr:uid="{00000000-0005-0000-0000-00002CA80000}"/>
    <cellStyle name="Separador de milhares 4 9 5" xfId="42986" xr:uid="{00000000-0005-0000-0000-00002DA80000}"/>
    <cellStyle name="Separador de milhares 4 9 6" xfId="42987" xr:uid="{00000000-0005-0000-0000-00002EA80000}"/>
    <cellStyle name="Separador de milhares 5" xfId="1138" xr:uid="{00000000-0005-0000-0000-00002FA80000}"/>
    <cellStyle name="Separador de milhares 5 2" xfId="1719" xr:uid="{00000000-0005-0000-0000-000030A80000}"/>
    <cellStyle name="Separador de milhares 5 2 2" xfId="42988" xr:uid="{00000000-0005-0000-0000-000031A80000}"/>
    <cellStyle name="Separador de milhares 5 2 3" xfId="43294" xr:uid="{00000000-0005-0000-0000-000032A80000}"/>
    <cellStyle name="Separador de milhares 5 3" xfId="1857" xr:uid="{00000000-0005-0000-0000-000033A80000}"/>
    <cellStyle name="Separador de milhares 5 3 2" xfId="2053" xr:uid="{00000000-0005-0000-0000-000034A80000}"/>
    <cellStyle name="Separador de milhares 5 3 2 2" xfId="2603" xr:uid="{00000000-0005-0000-0000-000035A80000}"/>
    <cellStyle name="Separador de milhares 5 3 2 3" xfId="43397" xr:uid="{00000000-0005-0000-0000-000036A80000}"/>
    <cellStyle name="Separador de milhares 5 3 3" xfId="2604" xr:uid="{00000000-0005-0000-0000-000037A80000}"/>
    <cellStyle name="Separador de milhares 5 3 3 2" xfId="43398" xr:uid="{00000000-0005-0000-0000-000038A80000}"/>
    <cellStyle name="Separador de milhares 5 3 4" xfId="2473" xr:uid="{00000000-0005-0000-0000-000039A80000}"/>
    <cellStyle name="Separador de milhares 5 3 5" xfId="2389" xr:uid="{00000000-0005-0000-0000-00003AA80000}"/>
    <cellStyle name="Separador de milhares 5 3 6" xfId="43295" xr:uid="{00000000-0005-0000-0000-00003BA80000}"/>
    <cellStyle name="Separador de milhares 5 4" xfId="1952" xr:uid="{00000000-0005-0000-0000-00003CA80000}"/>
    <cellStyle name="Separador de milhares 5 4 2" xfId="2605" xr:uid="{00000000-0005-0000-0000-00003DA80000}"/>
    <cellStyle name="Separador de milhares 5 4 3" xfId="43399" xr:uid="{00000000-0005-0000-0000-00003EA80000}"/>
    <cellStyle name="Separador de milhares 5 5" xfId="2606" xr:uid="{00000000-0005-0000-0000-00003FA80000}"/>
    <cellStyle name="Separador de milhares 5 5 2" xfId="43400" xr:uid="{00000000-0005-0000-0000-000040A80000}"/>
    <cellStyle name="Separador de milhares 5 6" xfId="2472" xr:uid="{00000000-0005-0000-0000-000041A80000}"/>
    <cellStyle name="Separador de milhares 5 7" xfId="2264" xr:uid="{00000000-0005-0000-0000-000042A80000}"/>
    <cellStyle name="Separador de milhares 5 8" xfId="43293" xr:uid="{00000000-0005-0000-0000-000043A80000}"/>
    <cellStyle name="Separador de milhares 6" xfId="1139" xr:uid="{00000000-0005-0000-0000-000044A80000}"/>
    <cellStyle name="Separador de milhares 6 2" xfId="1470" xr:uid="{00000000-0005-0000-0000-000045A80000}"/>
    <cellStyle name="Separador de milhares 6 2 2" xfId="43297" xr:uid="{00000000-0005-0000-0000-000046A80000}"/>
    <cellStyle name="Separador de milhares 6 3" xfId="42989" xr:uid="{00000000-0005-0000-0000-000047A80000}"/>
    <cellStyle name="Separador de milhares 6 4" xfId="43296" xr:uid="{00000000-0005-0000-0000-000048A80000}"/>
    <cellStyle name="Separador de milhares 7" xfId="1140" xr:uid="{00000000-0005-0000-0000-000049A80000}"/>
    <cellStyle name="Separador de milhares 7 2" xfId="42990" xr:uid="{00000000-0005-0000-0000-00004AA80000}"/>
    <cellStyle name="Separador de milhares 7 3" xfId="42991" xr:uid="{00000000-0005-0000-0000-00004BA80000}"/>
    <cellStyle name="Separador de milhares 7 4" xfId="42992" xr:uid="{00000000-0005-0000-0000-00004CA80000}"/>
    <cellStyle name="Separador de milhares 7 5" xfId="42993" xr:uid="{00000000-0005-0000-0000-00004DA80000}"/>
    <cellStyle name="Separador de milhares 7 6" xfId="43298" xr:uid="{00000000-0005-0000-0000-00004EA80000}"/>
    <cellStyle name="Separador de milhares 8" xfId="1141" xr:uid="{00000000-0005-0000-0000-00004FA80000}"/>
    <cellStyle name="Separador de milhares 8 2" xfId="2607" xr:uid="{00000000-0005-0000-0000-000050A80000}"/>
    <cellStyle name="Separador de milhares 8 2 2" xfId="43401" xr:uid="{00000000-0005-0000-0000-000051A80000}"/>
    <cellStyle name="Separador de milhares 8 3" xfId="42994" xr:uid="{00000000-0005-0000-0000-000052A80000}"/>
    <cellStyle name="Separador de milhares 8 4" xfId="43299" xr:uid="{00000000-0005-0000-0000-000053A80000}"/>
    <cellStyle name="Separador de milhares 9" xfId="1142" xr:uid="{00000000-0005-0000-0000-000054A80000}"/>
    <cellStyle name="Separador de milhares 9 2" xfId="1709" xr:uid="{00000000-0005-0000-0000-000055A80000}"/>
    <cellStyle name="Separador de milhares 9 2 2" xfId="43301" xr:uid="{00000000-0005-0000-0000-000056A80000}"/>
    <cellStyle name="Separador de milhares 9 3" xfId="42995" xr:uid="{00000000-0005-0000-0000-000057A80000}"/>
    <cellStyle name="Separador de milhares 9 4" xfId="42996" xr:uid="{00000000-0005-0000-0000-000058A80000}"/>
    <cellStyle name="Separador de milhares 9 5" xfId="42997" xr:uid="{00000000-0005-0000-0000-000059A80000}"/>
    <cellStyle name="Separador de milhares 9 6" xfId="43300" xr:uid="{00000000-0005-0000-0000-00005AA80000}"/>
    <cellStyle name="Shaded" xfId="866" xr:uid="{00000000-0005-0000-0000-00005BA80000}"/>
    <cellStyle name="Shaded 2" xfId="42998" xr:uid="{00000000-0005-0000-0000-00005CA80000}"/>
    <cellStyle name="Sheet Title" xfId="42999" xr:uid="{00000000-0005-0000-0000-00005DA80000}"/>
    <cellStyle name="ssubtitulo" xfId="867" xr:uid="{00000000-0005-0000-0000-00005EA80000}"/>
    <cellStyle name="Standard format" xfId="1143" xr:uid="{00000000-0005-0000-0000-00005FA80000}"/>
    <cellStyle name="Standard format 2" xfId="1858" xr:uid="{00000000-0005-0000-0000-000060A80000}"/>
    <cellStyle name="Standard format 2 2" xfId="2054" xr:uid="{00000000-0005-0000-0000-000061A80000}"/>
    <cellStyle name="Standard format 2 2 2" xfId="2475" xr:uid="{00000000-0005-0000-0000-000062A80000}"/>
    <cellStyle name="Standard format 2 2 3" xfId="2664" xr:uid="{00000000-0005-0000-0000-000063A80000}"/>
    <cellStyle name="Standard format 2 2 4" xfId="2236" xr:uid="{00000000-0005-0000-0000-000064A80000}"/>
    <cellStyle name="Standard format 2 3" xfId="2109" xr:uid="{00000000-0005-0000-0000-000065A80000}"/>
    <cellStyle name="Standard format 2 4" xfId="2611" xr:uid="{00000000-0005-0000-0000-000066A80000}"/>
    <cellStyle name="Standard format 2 5" xfId="2159" xr:uid="{00000000-0005-0000-0000-000067A80000}"/>
    <cellStyle name="Standard format 2 6" xfId="43303" xr:uid="{00000000-0005-0000-0000-000068A80000}"/>
    <cellStyle name="Standard format 3" xfId="1953" xr:uid="{00000000-0005-0000-0000-000069A80000}"/>
    <cellStyle name="Standard format 3 2" xfId="2474" xr:uid="{00000000-0005-0000-0000-00006AA80000}"/>
    <cellStyle name="Standard format 3 3" xfId="2663" xr:uid="{00000000-0005-0000-0000-00006BA80000}"/>
    <cellStyle name="Standard format 3 4" xfId="2164" xr:uid="{00000000-0005-0000-0000-00006CA80000}"/>
    <cellStyle name="Standard format 4" xfId="2349" xr:uid="{00000000-0005-0000-0000-00006DA80000}"/>
    <cellStyle name="Standard format 5" xfId="43302" xr:uid="{00000000-0005-0000-0000-00006EA80000}"/>
    <cellStyle name="STA-TI - Style4" xfId="43000" xr:uid="{00000000-0005-0000-0000-00006FA80000}"/>
    <cellStyle name="Strange" xfId="1710" xr:uid="{00000000-0005-0000-0000-000070A80000}"/>
    <cellStyle name="Style 1" xfId="868" xr:uid="{00000000-0005-0000-0000-000071A80000}"/>
    <cellStyle name="Style 1 2" xfId="908" xr:uid="{00000000-0005-0000-0000-000072A80000}"/>
    <cellStyle name="Style 1 3" xfId="43001" xr:uid="{00000000-0005-0000-0000-000073A80000}"/>
    <cellStyle name="Style 1_IF - Autoprodutores" xfId="43002" xr:uid="{00000000-0005-0000-0000-000074A80000}"/>
    <cellStyle name="Style 21" xfId="43003" xr:uid="{00000000-0005-0000-0000-000075A80000}"/>
    <cellStyle name="Style 22" xfId="43004" xr:uid="{00000000-0005-0000-0000-000076A80000}"/>
    <cellStyle name="Style 23" xfId="43005" xr:uid="{00000000-0005-0000-0000-000077A80000}"/>
    <cellStyle name="Style 24" xfId="43006" xr:uid="{00000000-0005-0000-0000-000078A80000}"/>
    <cellStyle name="Style 25" xfId="43007" xr:uid="{00000000-0005-0000-0000-000079A80000}"/>
    <cellStyle name="STYLE1 - Style1" xfId="869" xr:uid="{00000000-0005-0000-0000-00007AA80000}"/>
    <cellStyle name="STYLE1 - Style1 10" xfId="43008" xr:uid="{00000000-0005-0000-0000-00007BA80000}"/>
    <cellStyle name="STYLE1 - Style1 2" xfId="1144" xr:uid="{00000000-0005-0000-0000-00007CA80000}"/>
    <cellStyle name="STYLE1 - Style1 3" xfId="43009" xr:uid="{00000000-0005-0000-0000-00007DA80000}"/>
    <cellStyle name="STYLE1 - Style1 4" xfId="43010" xr:uid="{00000000-0005-0000-0000-00007EA80000}"/>
    <cellStyle name="STYLE1 - Style1 5" xfId="43011" xr:uid="{00000000-0005-0000-0000-00007FA80000}"/>
    <cellStyle name="STYLE1 - Style1 6" xfId="43012" xr:uid="{00000000-0005-0000-0000-000080A80000}"/>
    <cellStyle name="STYLE1 - Style1 7" xfId="43013" xr:uid="{00000000-0005-0000-0000-000081A80000}"/>
    <cellStyle name="STYLE1 - Style1 8" xfId="43014" xr:uid="{00000000-0005-0000-0000-000082A80000}"/>
    <cellStyle name="STYLE1 - Style1 9" xfId="43015" xr:uid="{00000000-0005-0000-0000-000083A80000}"/>
    <cellStyle name="STYLE1 - Style1_COELCE CVA SRE (4)" xfId="43016" xr:uid="{00000000-0005-0000-0000-000084A80000}"/>
    <cellStyle name="STYLE2 - Style2" xfId="870" xr:uid="{00000000-0005-0000-0000-000085A80000}"/>
    <cellStyle name="STYLE2 - Style2 10" xfId="43017" xr:uid="{00000000-0005-0000-0000-000086A80000}"/>
    <cellStyle name="STYLE2 - Style2 2" xfId="1145" xr:uid="{00000000-0005-0000-0000-000087A80000}"/>
    <cellStyle name="STYLE2 - Style2 3" xfId="43018" xr:uid="{00000000-0005-0000-0000-000088A80000}"/>
    <cellStyle name="STYLE2 - Style2 4" xfId="43019" xr:uid="{00000000-0005-0000-0000-000089A80000}"/>
    <cellStyle name="STYLE2 - Style2 5" xfId="43020" xr:uid="{00000000-0005-0000-0000-00008AA80000}"/>
    <cellStyle name="STYLE2 - Style2 6" xfId="43021" xr:uid="{00000000-0005-0000-0000-00008BA80000}"/>
    <cellStyle name="STYLE2 - Style2 7" xfId="43022" xr:uid="{00000000-0005-0000-0000-00008CA80000}"/>
    <cellStyle name="STYLE2 - Style2 8" xfId="43023" xr:uid="{00000000-0005-0000-0000-00008DA80000}"/>
    <cellStyle name="STYLE2 - Style2 9" xfId="43024" xr:uid="{00000000-0005-0000-0000-00008EA80000}"/>
    <cellStyle name="STYLE2 - Style2_COELCE CVA SRE (4)" xfId="43025" xr:uid="{00000000-0005-0000-0000-00008FA80000}"/>
    <cellStyle name="STYLE3 - Style3" xfId="871" xr:uid="{00000000-0005-0000-0000-000090A80000}"/>
    <cellStyle name="STYLE3 - Style3 10" xfId="43026" xr:uid="{00000000-0005-0000-0000-000091A80000}"/>
    <cellStyle name="STYLE3 - Style3 2" xfId="1146" xr:uid="{00000000-0005-0000-0000-000092A80000}"/>
    <cellStyle name="STYLE3 - Style3 3" xfId="43027" xr:uid="{00000000-0005-0000-0000-000093A80000}"/>
    <cellStyle name="STYLE3 - Style3 4" xfId="43028" xr:uid="{00000000-0005-0000-0000-000094A80000}"/>
    <cellStyle name="STYLE3 - Style3 5" xfId="43029" xr:uid="{00000000-0005-0000-0000-000095A80000}"/>
    <cellStyle name="STYLE3 - Style3 6" xfId="43030" xr:uid="{00000000-0005-0000-0000-000096A80000}"/>
    <cellStyle name="STYLE3 - Style3 7" xfId="43031" xr:uid="{00000000-0005-0000-0000-000097A80000}"/>
    <cellStyle name="STYLE3 - Style3 8" xfId="43032" xr:uid="{00000000-0005-0000-0000-000098A80000}"/>
    <cellStyle name="STYLE3 - Style3 9" xfId="43033" xr:uid="{00000000-0005-0000-0000-000099A80000}"/>
    <cellStyle name="STYLE3 - Style3_COELCE CVA SRE (4)" xfId="43034" xr:uid="{00000000-0005-0000-0000-00009AA80000}"/>
    <cellStyle name="STYLE4 - Style4" xfId="872" xr:uid="{00000000-0005-0000-0000-00009BA80000}"/>
    <cellStyle name="STYLE4 - Style4 10" xfId="43035" xr:uid="{00000000-0005-0000-0000-00009CA80000}"/>
    <cellStyle name="STYLE4 - Style4 2" xfId="1147" xr:uid="{00000000-0005-0000-0000-00009DA80000}"/>
    <cellStyle name="STYLE4 - Style4 3" xfId="43036" xr:uid="{00000000-0005-0000-0000-00009EA80000}"/>
    <cellStyle name="STYLE4 - Style4 4" xfId="43037" xr:uid="{00000000-0005-0000-0000-00009FA80000}"/>
    <cellStyle name="STYLE4 - Style4 5" xfId="43038" xr:uid="{00000000-0005-0000-0000-0000A0A80000}"/>
    <cellStyle name="STYLE4 - Style4 6" xfId="43039" xr:uid="{00000000-0005-0000-0000-0000A1A80000}"/>
    <cellStyle name="STYLE4 - Style4 7" xfId="43040" xr:uid="{00000000-0005-0000-0000-0000A2A80000}"/>
    <cellStyle name="STYLE4 - Style4 8" xfId="43041" xr:uid="{00000000-0005-0000-0000-0000A3A80000}"/>
    <cellStyle name="STYLE4 - Style4 9" xfId="43042" xr:uid="{00000000-0005-0000-0000-0000A4A80000}"/>
    <cellStyle name="STYLE4 - Style4_COELCE CVA SRE (4)" xfId="43043" xr:uid="{00000000-0005-0000-0000-0000A5A80000}"/>
    <cellStyle name="sub-to - Style3" xfId="43044" xr:uid="{00000000-0005-0000-0000-0000A6A80000}"/>
    <cellStyle name="Sum" xfId="873" xr:uid="{00000000-0005-0000-0000-0000A7A80000}"/>
    <cellStyle name="Sum %of HV" xfId="874" xr:uid="{00000000-0005-0000-0000-0000A8A80000}"/>
    <cellStyle name="Sum %of HV 2" xfId="43045" xr:uid="{00000000-0005-0000-0000-0000A9A80000}"/>
    <cellStyle name="Sum %of HV 3" xfId="43046" xr:uid="{00000000-0005-0000-0000-0000AAA80000}"/>
    <cellStyle name="Sum %of HV 3 2" xfId="43047" xr:uid="{00000000-0005-0000-0000-0000ABA80000}"/>
    <cellStyle name="Sum %of HV_IF - Autoprodutores 2" xfId="43048" xr:uid="{00000000-0005-0000-0000-0000ACA80000}"/>
    <cellStyle name="t" xfId="43049" xr:uid="{00000000-0005-0000-0000-0000ADA80000}"/>
    <cellStyle name="T¡tu-1 - Style2" xfId="43050" xr:uid="{00000000-0005-0000-0000-0000AEA80000}"/>
    <cellStyle name="T0" xfId="1711" xr:uid="{00000000-0005-0000-0000-0000AFA80000}"/>
    <cellStyle name="T1" xfId="1712" xr:uid="{00000000-0005-0000-0000-0000B0A80000}"/>
    <cellStyle name="Table Head" xfId="43051" xr:uid="{00000000-0005-0000-0000-0000B1A80000}"/>
    <cellStyle name="Table Head Aligned" xfId="43052" xr:uid="{00000000-0005-0000-0000-0000B2A80000}"/>
    <cellStyle name="Table Head Blue" xfId="43053" xr:uid="{00000000-0005-0000-0000-0000B3A80000}"/>
    <cellStyle name="Table Head Green" xfId="43054" xr:uid="{00000000-0005-0000-0000-0000B4A80000}"/>
    <cellStyle name="Table Title" xfId="43055" xr:uid="{00000000-0005-0000-0000-0000B5A80000}"/>
    <cellStyle name="Table Units" xfId="43056" xr:uid="{00000000-0005-0000-0000-0000B6A80000}"/>
    <cellStyle name="taples Plaza" xfId="43057" xr:uid="{00000000-0005-0000-0000-0000B7A80000}"/>
    <cellStyle name="TESTE" xfId="43058" xr:uid="{00000000-0005-0000-0000-0000B8A80000}"/>
    <cellStyle name="Text" xfId="43059" xr:uid="{00000000-0005-0000-0000-0000B9A80000}"/>
    <cellStyle name="Text Indent A" xfId="875" xr:uid="{00000000-0005-0000-0000-0000BAA80000}"/>
    <cellStyle name="Text Indent A 2" xfId="1148" xr:uid="{00000000-0005-0000-0000-0000BBA80000}"/>
    <cellStyle name="Text Indent A 3" xfId="43060" xr:uid="{00000000-0005-0000-0000-0000BCA80000}"/>
    <cellStyle name="Text Indent A_IRT_Planilha Básica_ v2010_CERRP" xfId="1777" xr:uid="{00000000-0005-0000-0000-0000BDA80000}"/>
    <cellStyle name="Text Indent B" xfId="876" xr:uid="{00000000-0005-0000-0000-0000BEA80000}"/>
    <cellStyle name="Text Indent B 2" xfId="1149" xr:uid="{00000000-0005-0000-0000-0000BFA80000}"/>
    <cellStyle name="Text Indent B 3" xfId="43061" xr:uid="{00000000-0005-0000-0000-0000C0A80000}"/>
    <cellStyle name="Text Indent B_IRT_Planilha Básica_ v2010_CERRP" xfId="1778" xr:uid="{00000000-0005-0000-0000-0000C1A80000}"/>
    <cellStyle name="Text Indent C" xfId="877" xr:uid="{00000000-0005-0000-0000-0000C2A80000}"/>
    <cellStyle name="Text Indent C 2" xfId="1150" xr:uid="{00000000-0005-0000-0000-0000C3A80000}"/>
    <cellStyle name="Text Indent C 3" xfId="43062" xr:uid="{00000000-0005-0000-0000-0000C4A80000}"/>
    <cellStyle name="Text Indent C_IRT_Planilha Básica_ v2010_CERRP" xfId="1779" xr:uid="{00000000-0005-0000-0000-0000C5A80000}"/>
    <cellStyle name="Texto de advertencia" xfId="1151" xr:uid="{00000000-0005-0000-0000-0000C6A80000}"/>
    <cellStyle name="Texto de Aviso" xfId="878" xr:uid="{00000000-0005-0000-0000-0000C7A80000}"/>
    <cellStyle name="Texto de Aviso 2" xfId="1152" xr:uid="{00000000-0005-0000-0000-0000C8A80000}"/>
    <cellStyle name="Texto de Aviso 2 2" xfId="43063" xr:uid="{00000000-0005-0000-0000-0000C9A80000}"/>
    <cellStyle name="Texto de Aviso 3" xfId="1780" xr:uid="{00000000-0005-0000-0000-0000CAA80000}"/>
    <cellStyle name="Texto de Aviso 4" xfId="43064" xr:uid="{00000000-0005-0000-0000-0000CBA80000}"/>
    <cellStyle name="Texto Explicativo" xfId="879" xr:uid="{00000000-0005-0000-0000-0000CCA80000}"/>
    <cellStyle name="Texto explicativo 10" xfId="43065" xr:uid="{00000000-0005-0000-0000-0000CDA80000}"/>
    <cellStyle name="Texto Explicativo 2" xfId="1153" xr:uid="{00000000-0005-0000-0000-0000CEA80000}"/>
    <cellStyle name="Texto explicativo 2 2" xfId="43066" xr:uid="{00000000-0005-0000-0000-0000CFA80000}"/>
    <cellStyle name="Texto Explicativo 3" xfId="1781" xr:uid="{00000000-0005-0000-0000-0000D0A80000}"/>
    <cellStyle name="Texto explicativo 3 2" xfId="43067" xr:uid="{00000000-0005-0000-0000-0000D1A80000}"/>
    <cellStyle name="Texto explicativo 4" xfId="43068" xr:uid="{00000000-0005-0000-0000-0000D2A80000}"/>
    <cellStyle name="Texto explicativo 4 2" xfId="43069" xr:uid="{00000000-0005-0000-0000-0000D3A80000}"/>
    <cellStyle name="Texto explicativo 5" xfId="43070" xr:uid="{00000000-0005-0000-0000-0000D4A80000}"/>
    <cellStyle name="Texto explicativo 6" xfId="43071" xr:uid="{00000000-0005-0000-0000-0000D5A80000}"/>
    <cellStyle name="Texto explicativo 7" xfId="43072" xr:uid="{00000000-0005-0000-0000-0000D6A80000}"/>
    <cellStyle name="Texto explicativo 8" xfId="43073" xr:uid="{00000000-0005-0000-0000-0000D7A80000}"/>
    <cellStyle name="Texto explicativo 9" xfId="43074" xr:uid="{00000000-0005-0000-0000-0000D8A80000}"/>
    <cellStyle name="Thousands (0)" xfId="880" xr:uid="{00000000-0005-0000-0000-0000D9A80000}"/>
    <cellStyle name="Thousands (0) 2" xfId="43075" xr:uid="{00000000-0005-0000-0000-0000DAA80000}"/>
    <cellStyle name="Thousands (0) 3" xfId="43076" xr:uid="{00000000-0005-0000-0000-0000DBA80000}"/>
    <cellStyle name="Thousands (0) 3 2" xfId="43077" xr:uid="{00000000-0005-0000-0000-0000DCA80000}"/>
    <cellStyle name="Thousands (1)" xfId="881" xr:uid="{00000000-0005-0000-0000-0000DDA80000}"/>
    <cellStyle name="Thousands (1) 2" xfId="43078" xr:uid="{00000000-0005-0000-0000-0000DEA80000}"/>
    <cellStyle name="Thousands (1) 3" xfId="43079" xr:uid="{00000000-0005-0000-0000-0000DFA80000}"/>
    <cellStyle name="Thousands (1) 3 2" xfId="43080" xr:uid="{00000000-0005-0000-0000-0000E0A80000}"/>
    <cellStyle name="time" xfId="882" xr:uid="{00000000-0005-0000-0000-0000E1A80000}"/>
    <cellStyle name="Times New Roman" xfId="43081" xr:uid="{00000000-0005-0000-0000-0000E2A80000}"/>
    <cellStyle name="Title" xfId="883" xr:uid="{00000000-0005-0000-0000-0000E3A80000}"/>
    <cellStyle name="Title 2" xfId="43082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3" xr:uid="{00000000-0005-0000-0000-0000E8A80000}"/>
    <cellStyle name="Título 1 2" xfId="1154" xr:uid="{00000000-0005-0000-0000-0000E9A80000}"/>
    <cellStyle name="Título 1 2 2" xfId="43084" xr:uid="{00000000-0005-0000-0000-0000EAA80000}"/>
    <cellStyle name="Título 1 2 3" xfId="43085" xr:uid="{00000000-0005-0000-0000-0000EBA80000}"/>
    <cellStyle name="Título 1 3" xfId="1782" xr:uid="{00000000-0005-0000-0000-0000ECA80000}"/>
    <cellStyle name="Título 1 3 2" xfId="43086" xr:uid="{00000000-0005-0000-0000-0000EDA80000}"/>
    <cellStyle name="Título 1 4" xfId="1783" xr:uid="{00000000-0005-0000-0000-0000EEA80000}"/>
    <cellStyle name="Título 1 4 2" xfId="43087" xr:uid="{00000000-0005-0000-0000-0000EFA80000}"/>
    <cellStyle name="Título 1 5" xfId="43088" xr:uid="{00000000-0005-0000-0000-0000F0A80000}"/>
    <cellStyle name="Título 1 6" xfId="43089" xr:uid="{00000000-0005-0000-0000-0000F1A80000}"/>
    <cellStyle name="Título 1 7" xfId="43090" xr:uid="{00000000-0005-0000-0000-0000F2A80000}"/>
    <cellStyle name="Título 1 8" xfId="43091" xr:uid="{00000000-0005-0000-0000-0000F3A80000}"/>
    <cellStyle name="Título 1 9" xfId="43092" xr:uid="{00000000-0005-0000-0000-0000F4A80000}"/>
    <cellStyle name="Título 10" xfId="43093" xr:uid="{00000000-0005-0000-0000-0000F5A80000}"/>
    <cellStyle name="Título 11" xfId="43094" xr:uid="{00000000-0005-0000-0000-0000F6A80000}"/>
    <cellStyle name="Título 12" xfId="43095" xr:uid="{00000000-0005-0000-0000-0000F7A80000}"/>
    <cellStyle name="Título 13" xfId="43096" xr:uid="{00000000-0005-0000-0000-0000F8A80000}"/>
    <cellStyle name="Título 14" xfId="43427" xr:uid="{C4DCEBA4-FC3D-4171-97D7-F4B7E4D93C99}"/>
    <cellStyle name="Título 2" xfId="887" xr:uid="{00000000-0005-0000-0000-0000F9A80000}"/>
    <cellStyle name="Título 2 10" xfId="43097" xr:uid="{00000000-0005-0000-0000-0000FAA80000}"/>
    <cellStyle name="Título 2 2" xfId="1155" xr:uid="{00000000-0005-0000-0000-0000FBA80000}"/>
    <cellStyle name="Título 2 2 2" xfId="43098" xr:uid="{00000000-0005-0000-0000-0000FCA80000}"/>
    <cellStyle name="Título 2 2 3" xfId="43099" xr:uid="{00000000-0005-0000-0000-0000FDA80000}"/>
    <cellStyle name="Título 2 3" xfId="1784" xr:uid="{00000000-0005-0000-0000-0000FEA80000}"/>
    <cellStyle name="Título 2 3 2" xfId="43100" xr:uid="{00000000-0005-0000-0000-0000FFA80000}"/>
    <cellStyle name="Título 2 4" xfId="1785" xr:uid="{00000000-0005-0000-0000-000000A90000}"/>
    <cellStyle name="Título 2 4 2" xfId="43101" xr:uid="{00000000-0005-0000-0000-000001A90000}"/>
    <cellStyle name="Título 2 5" xfId="43102" xr:uid="{00000000-0005-0000-0000-000002A90000}"/>
    <cellStyle name="Título 2 6" xfId="43103" xr:uid="{00000000-0005-0000-0000-000003A90000}"/>
    <cellStyle name="Título 2 7" xfId="43104" xr:uid="{00000000-0005-0000-0000-000004A90000}"/>
    <cellStyle name="Título 2 8" xfId="43105" xr:uid="{00000000-0005-0000-0000-000005A90000}"/>
    <cellStyle name="Título 2 9" xfId="43106" xr:uid="{00000000-0005-0000-0000-000006A90000}"/>
    <cellStyle name="Título 3" xfId="888" xr:uid="{00000000-0005-0000-0000-000007A90000}"/>
    <cellStyle name="Título 3 10" xfId="43107" xr:uid="{00000000-0005-0000-0000-000008A90000}"/>
    <cellStyle name="Título 3 2" xfId="1156" xr:uid="{00000000-0005-0000-0000-000009A90000}"/>
    <cellStyle name="Título 3 2 2" xfId="43108" xr:uid="{00000000-0005-0000-0000-00000AA90000}"/>
    <cellStyle name="Título 3 3" xfId="1786" xr:uid="{00000000-0005-0000-0000-00000BA90000}"/>
    <cellStyle name="Título 3 3 2" xfId="43109" xr:uid="{00000000-0005-0000-0000-00000CA90000}"/>
    <cellStyle name="Título 3 4" xfId="43110" xr:uid="{00000000-0005-0000-0000-00000DA90000}"/>
    <cellStyle name="Título 3 4 2" xfId="43111" xr:uid="{00000000-0005-0000-0000-00000EA90000}"/>
    <cellStyle name="Título 3 5" xfId="43112" xr:uid="{00000000-0005-0000-0000-00000FA90000}"/>
    <cellStyle name="Título 3 6" xfId="43113" xr:uid="{00000000-0005-0000-0000-000010A90000}"/>
    <cellStyle name="Título 3 7" xfId="43114" xr:uid="{00000000-0005-0000-0000-000011A90000}"/>
    <cellStyle name="Título 3 8" xfId="43115" xr:uid="{00000000-0005-0000-0000-000012A90000}"/>
    <cellStyle name="Título 3 9" xfId="43116" xr:uid="{00000000-0005-0000-0000-000013A90000}"/>
    <cellStyle name="Título 4" xfId="889" xr:uid="{00000000-0005-0000-0000-000014A90000}"/>
    <cellStyle name="Título 4 2" xfId="1157" xr:uid="{00000000-0005-0000-0000-000015A90000}"/>
    <cellStyle name="Título 4 2 2" xfId="43117" xr:uid="{00000000-0005-0000-0000-000016A90000}"/>
    <cellStyle name="Título 4 3" xfId="1787" xr:uid="{00000000-0005-0000-0000-000017A90000}"/>
    <cellStyle name="Título 4 4" xfId="43118" xr:uid="{00000000-0005-0000-0000-000018A90000}"/>
    <cellStyle name="Título 5" xfId="1158" xr:uid="{00000000-0005-0000-0000-000019A90000}"/>
    <cellStyle name="Título 5 2" xfId="43119" xr:uid="{00000000-0005-0000-0000-00001AA90000}"/>
    <cellStyle name="Título 6" xfId="1788" xr:uid="{00000000-0005-0000-0000-00001BA90000}"/>
    <cellStyle name="Título 6 2" xfId="43120" xr:uid="{00000000-0005-0000-0000-00001CA90000}"/>
    <cellStyle name="Título 7" xfId="43121" xr:uid="{00000000-0005-0000-0000-00001DA90000}"/>
    <cellStyle name="Título 7 2" xfId="43122" xr:uid="{00000000-0005-0000-0000-00001EA90000}"/>
    <cellStyle name="Título 8" xfId="43123" xr:uid="{00000000-0005-0000-0000-00001FA90000}"/>
    <cellStyle name="Título 9" xfId="43124" xr:uid="{00000000-0005-0000-0000-000020A90000}"/>
    <cellStyle name="Título_Energia e Demanda no SINCOOR 2003" xfId="890" xr:uid="{00000000-0005-0000-0000-000021A90000}"/>
    <cellStyle name="Titulo1" xfId="43125" xr:uid="{00000000-0005-0000-0000-000022A90000}"/>
    <cellStyle name="Titulo2" xfId="43126" xr:uid="{00000000-0005-0000-0000-000023A90000}"/>
    <cellStyle name="Todos" xfId="891" xr:uid="{00000000-0005-0000-0000-000024A90000}"/>
    <cellStyle name="Tope - Style1" xfId="43127" xr:uid="{00000000-0005-0000-0000-000025A90000}"/>
    <cellStyle name="TopGrey" xfId="43128" xr:uid="{00000000-0005-0000-0000-000026A90000}"/>
    <cellStyle name="Total" xfId="892" builtinId="25" customBuiltin="1"/>
    <cellStyle name="Total 2" xfId="1159" xr:uid="{00000000-0005-0000-0000-000028A90000}"/>
    <cellStyle name="Total 2 2" xfId="1859" xr:uid="{00000000-0005-0000-0000-000029A90000}"/>
    <cellStyle name="Total 2 2 2" xfId="2055" xr:uid="{00000000-0005-0000-0000-00002AA90000}"/>
    <cellStyle name="Total 2 2 3" xfId="2110" xr:uid="{00000000-0005-0000-0000-00002BA90000}"/>
    <cellStyle name="Total 2 2 4" xfId="2612" xr:uid="{00000000-0005-0000-0000-00002CA90000}"/>
    <cellStyle name="Total 2 2 5" xfId="2302" xr:uid="{00000000-0005-0000-0000-00002DA90000}"/>
    <cellStyle name="Total 2 3" xfId="1954" xr:uid="{00000000-0005-0000-0000-00002EA90000}"/>
    <cellStyle name="Total 2 3 2" xfId="2608" xr:uid="{00000000-0005-0000-0000-00002FA90000}"/>
    <cellStyle name="Total 2 3 3" xfId="2680" xr:uid="{00000000-0005-0000-0000-000030A90000}"/>
    <cellStyle name="Total 2 3 4" xfId="2694" xr:uid="{00000000-0005-0000-0000-000031A90000}"/>
    <cellStyle name="Total 2 4" xfId="2170" xr:uid="{00000000-0005-0000-0000-000032A90000}"/>
    <cellStyle name="Total 3" xfId="1789" xr:uid="{00000000-0005-0000-0000-000033A90000}"/>
    <cellStyle name="Total 3 2" xfId="2010" xr:uid="{00000000-0005-0000-0000-000034A90000}"/>
    <cellStyle name="Total 3 3" xfId="2079" xr:uid="{00000000-0005-0000-0000-000035A90000}"/>
    <cellStyle name="Total 3 4" xfId="2133" xr:uid="{00000000-0005-0000-0000-000036A90000}"/>
    <cellStyle name="Total 3 5" xfId="2260" xr:uid="{00000000-0005-0000-0000-000037A90000}"/>
    <cellStyle name="Total 4" xfId="1790" xr:uid="{00000000-0005-0000-0000-000038A90000}"/>
    <cellStyle name="Total 4 2" xfId="2011" xr:uid="{00000000-0005-0000-0000-000039A90000}"/>
    <cellStyle name="Total 4 3" xfId="2080" xr:uid="{00000000-0005-0000-0000-00003AA90000}"/>
    <cellStyle name="Total 4 4" xfId="2132" xr:uid="{00000000-0005-0000-0000-00003BA90000}"/>
    <cellStyle name="Total 4 5" xfId="2177" xr:uid="{00000000-0005-0000-0000-00003CA90000}"/>
    <cellStyle name="Total 5" xfId="1823" xr:uid="{00000000-0005-0000-0000-00003DA90000}"/>
    <cellStyle name="Total 5 2" xfId="2086" xr:uid="{00000000-0005-0000-0000-00003EA90000}"/>
    <cellStyle name="Total 5 3" xfId="2277" xr:uid="{00000000-0005-0000-0000-00003FA90000}"/>
    <cellStyle name="Total 5 4" xfId="2182" xr:uid="{00000000-0005-0000-0000-000040A90000}"/>
    <cellStyle name="Total 6" xfId="2239" xr:uid="{00000000-0005-0000-0000-000041A90000}"/>
    <cellStyle name="totalbalan" xfId="893" xr:uid="{00000000-0005-0000-0000-000042A90000}"/>
    <cellStyle name="ubordinated Debt" xfId="43129" xr:uid="{00000000-0005-0000-0000-000043A90000}"/>
    <cellStyle name="Underline 2" xfId="894" xr:uid="{00000000-0005-0000-0000-000044A90000}"/>
    <cellStyle name="UNIDAGSCode" xfId="43130" xr:uid="{00000000-0005-0000-0000-000045A90000}"/>
    <cellStyle name="UNIDAGSCode 2" xfId="43131" xr:uid="{00000000-0005-0000-0000-000046A90000}"/>
    <cellStyle name="UNIDAGSCode 3" xfId="43132" xr:uid="{00000000-0005-0000-0000-000047A90000}"/>
    <cellStyle name="UNIDAGSCode2" xfId="43133" xr:uid="{00000000-0005-0000-0000-000048A90000}"/>
    <cellStyle name="UNIDAGSCurrency" xfId="43134" xr:uid="{00000000-0005-0000-0000-000049A90000}"/>
    <cellStyle name="UNIDAGSCurrency 2" xfId="43135" xr:uid="{00000000-0005-0000-0000-00004AA90000}"/>
    <cellStyle name="UNIDAGSCurrency 3" xfId="43136" xr:uid="{00000000-0005-0000-0000-00004BA90000}"/>
    <cellStyle name="UNIDAGSDate" xfId="43137" xr:uid="{00000000-0005-0000-0000-00004CA90000}"/>
    <cellStyle name="UNIDAGSDate 2" xfId="43138" xr:uid="{00000000-0005-0000-0000-00004DA90000}"/>
    <cellStyle name="UNIDAGSDate 3" xfId="43139" xr:uid="{00000000-0005-0000-0000-00004EA90000}"/>
    <cellStyle name="UNIDAGSPercent" xfId="43140" xr:uid="{00000000-0005-0000-0000-00004FA90000}"/>
    <cellStyle name="UNIDAGSPercent 2" xfId="43141" xr:uid="{00000000-0005-0000-0000-000050A90000}"/>
    <cellStyle name="UNIDAGSPercent 3" xfId="43142" xr:uid="{00000000-0005-0000-0000-000051A90000}"/>
    <cellStyle name="UNIDAGSPercent2" xfId="43143" xr:uid="{00000000-0005-0000-0000-000052A90000}"/>
    <cellStyle name="UNIDAGSPercent2 2" xfId="43144" xr:uid="{00000000-0005-0000-0000-000053A90000}"/>
    <cellStyle name="UNIDAGSPercent2 3" xfId="43145" xr:uid="{00000000-0005-0000-0000-000054A90000}"/>
    <cellStyle name="Unprot" xfId="895" xr:uid="{00000000-0005-0000-0000-000055A90000}"/>
    <cellStyle name="Unprot 2" xfId="1160" xr:uid="{00000000-0005-0000-0000-000056A90000}"/>
    <cellStyle name="Unprot 3" xfId="1161" xr:uid="{00000000-0005-0000-0000-000057A90000}"/>
    <cellStyle name="Unprot 4" xfId="1162" xr:uid="{00000000-0005-0000-0000-000058A90000}"/>
    <cellStyle name="Unprot 5" xfId="1163" xr:uid="{00000000-0005-0000-0000-000059A90000}"/>
    <cellStyle name="Unprot 6" xfId="43146" xr:uid="{00000000-0005-0000-0000-00005AA90000}"/>
    <cellStyle name="Unprot 7" xfId="43147" xr:uid="{00000000-0005-0000-0000-00005BA90000}"/>
    <cellStyle name="Unprot 8" xfId="43148" xr:uid="{00000000-0005-0000-0000-00005CA90000}"/>
    <cellStyle name="Unprot 9" xfId="43149" xr:uid="{00000000-0005-0000-0000-00005DA90000}"/>
    <cellStyle name="Unprot$" xfId="896" xr:uid="{00000000-0005-0000-0000-00005EA90000}"/>
    <cellStyle name="Unprot$ 2" xfId="43150" xr:uid="{00000000-0005-0000-0000-00005FA90000}"/>
    <cellStyle name="Unprot$ 3" xfId="43151" xr:uid="{00000000-0005-0000-0000-000060A90000}"/>
    <cellStyle name="Unprot$_IF - Autoprodutores 2" xfId="43152" xr:uid="{00000000-0005-0000-0000-000061A90000}"/>
    <cellStyle name="Unprot_Abertura Tarifária CEB RTP 2008" xfId="43153" xr:uid="{00000000-0005-0000-0000-000062A90000}"/>
    <cellStyle name="Unprotect" xfId="897" xr:uid="{00000000-0005-0000-0000-000063A90000}"/>
    <cellStyle name="Update" xfId="43154" xr:uid="{00000000-0005-0000-0000-000064A90000}"/>
    <cellStyle name="User Entered" xfId="43155" xr:uid="{00000000-0005-0000-0000-000065A90000}"/>
    <cellStyle name="V¡rgula" xfId="898" xr:uid="{00000000-0005-0000-0000-000066A90000}"/>
    <cellStyle name="V¡rgula 2" xfId="43156" xr:uid="{00000000-0005-0000-0000-000067A90000}"/>
    <cellStyle name="V¡rgula 3" xfId="43157" xr:uid="{00000000-0005-0000-0000-000068A90000}"/>
    <cellStyle name="V¡rgula0" xfId="899" xr:uid="{00000000-0005-0000-0000-000069A90000}"/>
    <cellStyle name="V¡rgula0 2" xfId="43158" xr:uid="{00000000-0005-0000-0000-00006AA90000}"/>
    <cellStyle name="V¡rgula0 3" xfId="43159" xr:uid="{00000000-0005-0000-0000-00006BA90000}"/>
    <cellStyle name="Valuta (0)_ cellular Costs" xfId="43160" xr:uid="{00000000-0005-0000-0000-00006CA90000}"/>
    <cellStyle name="Valuta_ cellular Costs" xfId="43161" xr:uid="{00000000-0005-0000-0000-00006DA90000}"/>
    <cellStyle name="Vírgula" xfId="863" builtinId="3"/>
    <cellStyle name="Vírgula 10" xfId="43190" xr:uid="{00000000-0005-0000-0000-00006FA90000}"/>
    <cellStyle name="Vírgula 10 2" xfId="43708" xr:uid="{645E0F3A-B6CE-440E-B10A-EF5D1D4CAC2F}"/>
    <cellStyle name="Vírgula 10 3" xfId="43891" xr:uid="{DC18C9FF-688A-4F21-A8AD-94D5A8E10E02}"/>
    <cellStyle name="Vírgula 10 4" xfId="43525" xr:uid="{1849F4E2-DA17-483D-A876-13AED0E3E8D2}"/>
    <cellStyle name="Vírgula 11" xfId="43196" xr:uid="{00000000-0005-0000-0000-000070A90000}"/>
    <cellStyle name="Vírgula 11 2" xfId="43774" xr:uid="{D0025DDB-696F-40B4-919C-FFBF4C843E85}"/>
    <cellStyle name="Vírgula 11 3" xfId="43957" xr:uid="{4AF2B4B7-C8A1-444C-BBA9-FFDD7FC22C0A}"/>
    <cellStyle name="Vírgula 11 4" xfId="43591" xr:uid="{46F90ED4-FF77-4EE9-96FE-065EE50E0130}"/>
    <cellStyle name="Vírgula 12" xfId="43415" xr:uid="{00000000-0005-0000-0000-000071A90000}"/>
    <cellStyle name="Vírgula 12 2" xfId="43419" xr:uid="{00000000-0005-0000-0000-000072A90000}"/>
    <cellStyle name="Vírgula 12 2 2" xfId="43789" xr:uid="{8C2AEF89-7DC1-4000-8168-C3DC798C9A92}"/>
    <cellStyle name="Vírgula 12 3" xfId="43423" xr:uid="{00000000-0005-0000-0000-000073A90000}"/>
    <cellStyle name="Vírgula 12 3 2" xfId="43974" xr:uid="{FCDB53F5-D2EA-468B-BA89-0ACE4F93B667}"/>
    <cellStyle name="Vírgula 12 4" xfId="43607" xr:uid="{8AC22B90-6BD2-4043-BEB8-6484BAB0E440}"/>
    <cellStyle name="Vírgula 13" xfId="43406" xr:uid="{00000000-0005-0000-0000-000074A90000}"/>
    <cellStyle name="Vírgula 13 2" xfId="43650" xr:uid="{9E7FB36B-4B17-4B5C-B5A5-B152D9EE61EF}"/>
    <cellStyle name="Vírgula 14" xfId="43417" xr:uid="{00000000-0005-0000-0000-000075A90000}"/>
    <cellStyle name="Vírgula 14 2" xfId="43821" xr:uid="{7B72D85B-8B6E-43A3-A0C6-AD724C1CC565}"/>
    <cellStyle name="Vírgula 15" xfId="43429" xr:uid="{4A2A7872-58A6-4253-AC3F-F9D86C185B12}"/>
    <cellStyle name="Vírgula 15 2" xfId="43439" xr:uid="{AE8F615D-2D1D-4702-89AB-D23C7151E141}"/>
    <cellStyle name="Vírgula 15 3" xfId="43822" xr:uid="{8FB08277-AF17-491A-967D-5071E9993BC1}"/>
    <cellStyle name="Vírgula 16" xfId="43434" xr:uid="{91F49858-0158-46F8-891E-12456A7835AA}"/>
    <cellStyle name="Vírgula 16 2" xfId="43833" xr:uid="{7BAF1448-B30E-4782-9702-08955DEFE2CB}"/>
    <cellStyle name="Vírgula 17" xfId="43457" xr:uid="{6E74B679-B8CA-4B65-9322-34A13AEB4ABC}"/>
    <cellStyle name="Vírgula 18" xfId="44003" xr:uid="{089718A4-8160-4CF3-97D4-06DD23A16A7D}"/>
    <cellStyle name="Vírgula 19" xfId="43441" xr:uid="{DE99DBC2-53AC-45DE-84DC-054A0083551E}"/>
    <cellStyle name="Vírgula 2" xfId="1713" xr:uid="{00000000-0005-0000-0000-000076A90000}"/>
    <cellStyle name="Vírgula 2 10" xfId="43458" xr:uid="{373DD7ED-10E2-4D97-A216-FF38163DA307}"/>
    <cellStyle name="Vírgula 2 11" xfId="43442" xr:uid="{568D9D3D-504F-4408-99F8-12DF32984AB9}"/>
    <cellStyle name="Vírgula 2 2" xfId="43304" xr:uid="{00000000-0005-0000-0000-000077A90000}"/>
    <cellStyle name="Vírgula 2 2 2" xfId="43504" xr:uid="{E236F464-D4A2-41AC-B584-79807F7D4DEF}"/>
    <cellStyle name="Vírgula 2 2 2 2" xfId="43571" xr:uid="{2865C1CF-5FC5-4F8E-A086-559472AA02D6}"/>
    <cellStyle name="Vírgula 2 2 2 2 2" xfId="43754" xr:uid="{54538959-292F-456E-B221-8A30424A31F2}"/>
    <cellStyle name="Vírgula 2 2 2 2 3" xfId="43937" xr:uid="{A3DEC3D2-EFA4-458E-94CD-40A41D608FCD}"/>
    <cellStyle name="Vírgula 2 2 2 3" xfId="43633" xr:uid="{EDEFBC00-6923-48B3-8BFE-7CEE2E2302D8}"/>
    <cellStyle name="Vírgula 2 2 2 3 2" xfId="43813" xr:uid="{C1F33E50-CBFE-4E4D-8536-9475B947ED1A}"/>
    <cellStyle name="Vírgula 2 2 2 3 3" xfId="43991" xr:uid="{C86E7B37-D581-4050-8CBE-D95C96239FB4}"/>
    <cellStyle name="Vírgula 2 2 2 4" xfId="43687" xr:uid="{17D57F23-6965-477D-A4F1-76421A864836}"/>
    <cellStyle name="Vírgula 2 2 2 5" xfId="43870" xr:uid="{B0F8463C-E0B4-40CA-86B0-A40E808ABFD3}"/>
    <cellStyle name="Vírgula 2 2 3" xfId="43544" xr:uid="{1490B305-5E9B-4D0C-BF57-99135764A136}"/>
    <cellStyle name="Vírgula 2 2 3 2" xfId="43634" xr:uid="{6886FBC4-688A-494C-ACAF-0E0C4C8B1D90}"/>
    <cellStyle name="Vírgula 2 2 3 2 2" xfId="43814" xr:uid="{8238C46F-BCAB-452B-ADF6-AA83D918FFC7}"/>
    <cellStyle name="Vírgula 2 2 3 2 3" xfId="44001" xr:uid="{90DC45DB-ED62-4EDD-81D7-AC7571087180}"/>
    <cellStyle name="Vírgula 2 2 3 3" xfId="43727" xr:uid="{189EB1FF-2E06-49F2-9F8D-71AE14EF92CE}"/>
    <cellStyle name="Vírgula 2 2 3 4" xfId="43910" xr:uid="{7C2079DD-655E-4099-BC40-1243BE49596C}"/>
    <cellStyle name="Vírgula 2 2 4" xfId="43605" xr:uid="{96F23528-A277-434E-AE34-618B886B61A2}"/>
    <cellStyle name="Vírgula 2 2 4 2" xfId="43788" xr:uid="{4C26E65D-CF42-4A0A-8932-D00CB7A357DA}"/>
    <cellStyle name="Vírgula 2 2 4 3" xfId="43971" xr:uid="{C1607EA4-1D7A-4211-8FC1-14B64EE1EFF4}"/>
    <cellStyle name="Vírgula 2 2 5" xfId="43635" xr:uid="{A5B0C1DC-8063-4FBC-8233-664832940BB4}"/>
    <cellStyle name="Vírgula 2 2 5 2" xfId="43815" xr:uid="{58D98D65-DBB4-453F-9A21-B7504C86EFDA}"/>
    <cellStyle name="Vírgula 2 2 5 3" xfId="43981" xr:uid="{A8953007-854C-4C43-B260-99B7BA4374FC}"/>
    <cellStyle name="Vírgula 2 2 6" xfId="43664" xr:uid="{50AFF35E-81C3-44B1-997A-25759DE0407A}"/>
    <cellStyle name="Vírgula 2 2 7" xfId="43847" xr:uid="{E6C6A587-8F1D-4D30-AD8F-9C0B04CA3468}"/>
    <cellStyle name="Vírgula 2 2 8" xfId="43477" xr:uid="{B830A529-178B-4F5A-9C45-2FDD59F09E90}"/>
    <cellStyle name="Vírgula 2 3" xfId="43162" xr:uid="{00000000-0005-0000-0000-000078A90000}"/>
    <cellStyle name="Vírgula 2 3 2" xfId="43560" xr:uid="{F54139B0-37A0-4476-A240-21967130F7CB}"/>
    <cellStyle name="Vírgula 2 3 2 2" xfId="43743" xr:uid="{1C401B6E-1FF6-452E-BFAD-A3855CBAB5C0}"/>
    <cellStyle name="Vírgula 2 3 2 3" xfId="43926" xr:uid="{C3700436-3219-4720-8B41-A10CF6B31745}"/>
    <cellStyle name="Vírgula 2 3 3" xfId="43636" xr:uid="{48C88AC0-3FFC-4B64-A162-862186EEEB89}"/>
    <cellStyle name="Vírgula 2 3 3 2" xfId="43816" xr:uid="{96D4053D-DEDE-48DC-BD96-36DC3E8DC5CE}"/>
    <cellStyle name="Vírgula 2 3 3 3" xfId="43986" xr:uid="{D7B55C3A-7E57-4BEB-A12B-7E65135C116E}"/>
    <cellStyle name="Vírgula 2 3 4" xfId="43676" xr:uid="{2A4D76D4-605F-4FC3-9BCD-866F498A937C}"/>
    <cellStyle name="Vírgula 2 3 5" xfId="43859" xr:uid="{1240D6AE-C09A-4BAA-B838-F9887BC45F23}"/>
    <cellStyle name="Vírgula 2 3 6" xfId="43493" xr:uid="{A4CF161B-EC7F-4D10-92BD-C1C3233FEB36}"/>
    <cellStyle name="Vírgula 2 4" xfId="43514" xr:uid="{249F0030-9146-474F-8B45-ACFBC6272B6A}"/>
    <cellStyle name="Vírgula 2 4 2" xfId="43581" xr:uid="{4A8AB2D2-7E5D-42E6-AF5E-28A121FCDD2D}"/>
    <cellStyle name="Vírgula 2 4 2 2" xfId="43764" xr:uid="{7B06DD57-EB97-4AEE-B886-6F4AEAECACC1}"/>
    <cellStyle name="Vírgula 2 4 2 3" xfId="43947" xr:uid="{A225C72A-C04B-4A0E-BA3A-1ED88087161A}"/>
    <cellStyle name="Vírgula 2 4 3" xfId="43637" xr:uid="{4D2C0519-F1F9-4D9F-A3A6-3F753EA9D4B9}"/>
    <cellStyle name="Vírgula 2 4 3 2" xfId="43817" xr:uid="{DFBD0494-DEF1-4BDA-9A7A-8834EA9D24AB}"/>
    <cellStyle name="Vírgula 2 4 3 3" xfId="43996" xr:uid="{11C57ADF-4BD3-4C8F-8926-B91838EE0AE5}"/>
    <cellStyle name="Vírgula 2 4 4" xfId="43697" xr:uid="{6D3DB5E2-7E8A-4A4F-B209-F6DC6052860F}"/>
    <cellStyle name="Vírgula 2 4 5" xfId="43880" xr:uid="{FBD30A78-9C21-454A-8317-FD74BF5F2A16}"/>
    <cellStyle name="Vírgula 2 5" xfId="43526" xr:uid="{A7728444-DA64-4AAE-A872-CBEA1C2A3641}"/>
    <cellStyle name="Vírgula 2 5 2" xfId="43709" xr:uid="{112D3C8D-6BC1-4916-9334-904ECB473272}"/>
    <cellStyle name="Vírgula 2 5 3" xfId="43892" xr:uid="{C47A000E-1184-4CD1-9213-9C96515E19E5}"/>
    <cellStyle name="Vírgula 2 6" xfId="43592" xr:uid="{487F331F-71A2-473B-B397-1D4EB23CA4C4}"/>
    <cellStyle name="Vírgula 2 6 2" xfId="43775" xr:uid="{9A4FDF12-7420-49E3-8BDA-9E4B0324A1DF}"/>
    <cellStyle name="Vírgula 2 6 3" xfId="43958" xr:uid="{FA72336E-CE2E-42E9-9B5C-567DA23441A5}"/>
    <cellStyle name="Vírgula 2 7" xfId="43638" xr:uid="{A2DF31DF-8FE5-4E42-BFD6-AF9E975CD6F5}"/>
    <cellStyle name="Vírgula 2 7 2" xfId="43818" xr:uid="{9B9EF72B-DB7A-4E9F-A704-3836A2672ADF}"/>
    <cellStyle name="Vírgula 2 7 3" xfId="43976" xr:uid="{FE346662-92F5-4636-9CF1-61A2F5110561}"/>
    <cellStyle name="Vírgula 2 8" xfId="43651" xr:uid="{CB48B41C-4207-4B2E-B1E7-5E1BDC754348}"/>
    <cellStyle name="Vírgula 2 9" xfId="43834" xr:uid="{45BE0DDB-7782-4131-B3A0-8A4403FFA69E}"/>
    <cellStyle name="Vírgula 3" xfId="1714" xr:uid="{00000000-0005-0000-0000-000079A90000}"/>
    <cellStyle name="Vírgula 3 2" xfId="43163" xr:uid="{00000000-0005-0000-0000-00007AA90000}"/>
    <cellStyle name="Vírgula 3 2 2" xfId="43545" xr:uid="{DDC4AF4F-4D97-489C-B518-7B77FC2B46AD}"/>
    <cellStyle name="Vírgula 3 2 2 2" xfId="43728" xr:uid="{193CCFAB-3E38-4079-A54F-456F2CCFE03E}"/>
    <cellStyle name="Vírgula 3 2 2 3" xfId="43911" xr:uid="{39587C4F-9BB7-4E28-8066-8D8240C4B4D0}"/>
    <cellStyle name="Vírgula 3 2 3" xfId="43478" xr:uid="{52BEEB61-ADBC-4759-B7F1-542D2027FA70}"/>
    <cellStyle name="Vírgula 3 3" xfId="43305" xr:uid="{00000000-0005-0000-0000-00007BA90000}"/>
    <cellStyle name="Vírgula 3 3 2" xfId="43710" xr:uid="{FBE365C1-2374-4E6D-91B6-2AB5452B5ECC}"/>
    <cellStyle name="Vírgula 3 3 3" xfId="43893" xr:uid="{32857B13-5758-47CD-B0BE-9BF8D226E556}"/>
    <cellStyle name="Vírgula 3 3 4" xfId="43527" xr:uid="{5DC4CEB3-64F2-4C32-B0E9-DEF1F25CFAE0}"/>
    <cellStyle name="Vírgula 3 4" xfId="43639" xr:uid="{24E8DD67-8B2E-4E97-837A-182138DEEBD4}"/>
    <cellStyle name="Vírgula 3 4 2" xfId="43819" xr:uid="{C60265CC-3F56-435B-A124-6571CC0065E9}"/>
    <cellStyle name="Vírgula 3 4 3" xfId="43984" xr:uid="{33762320-4384-4F03-BEB5-C527567C53C3}"/>
    <cellStyle name="Vírgula 3 5" xfId="43459" xr:uid="{85D2E32C-9EC3-4385-B4DA-8A93FE025B89}"/>
    <cellStyle name="Vírgula 4" xfId="43164" xr:uid="{00000000-0005-0000-0000-00007CA90000}"/>
    <cellStyle name="Vírgula 4 2" xfId="43479" xr:uid="{1BEBEB42-23F8-4E4A-A2F1-CEA226667371}"/>
    <cellStyle name="Vírgula 4 2 2" xfId="43546" xr:uid="{EC972365-E0C5-48BC-991A-825A2A225489}"/>
    <cellStyle name="Vírgula 4 2 2 2" xfId="43729" xr:uid="{3FDCF4D1-3BC1-43CF-843C-F4E22BCC91F2}"/>
    <cellStyle name="Vírgula 4 2 2 3" xfId="43912" xr:uid="{70D28F8E-A36C-4843-925C-3576C91BA899}"/>
    <cellStyle name="Vírgula 4 3" xfId="43528" xr:uid="{5410AB6D-1EFD-4180-94BF-ADC5CE4EA21C}"/>
    <cellStyle name="Vírgula 4 3 2" xfId="43711" xr:uid="{58E224AB-5D3B-460F-A063-B0DD44561DAF}"/>
    <cellStyle name="Vírgula 4 3 3" xfId="43894" xr:uid="{C94D1050-EBEB-4B6A-9C36-8A8B087CA1FB}"/>
    <cellStyle name="Vírgula 4 4" xfId="43640" xr:uid="{08C998AD-857C-4752-B792-D7129EAA62A4}"/>
    <cellStyle name="Vírgula 4 4 2" xfId="43820" xr:uid="{7C9E4A44-8AF3-4BA3-B6C2-1F708F540CCE}"/>
    <cellStyle name="Vírgula 4 4 3" xfId="43994" xr:uid="{0D84FC6E-0420-4566-A7C8-49F3C8DCEBD0}"/>
    <cellStyle name="Vírgula 4 5" xfId="43460" xr:uid="{833303D3-F50F-41FD-8696-8793AF8D1416}"/>
    <cellStyle name="Vírgula 5" xfId="43165" xr:uid="{00000000-0005-0000-0000-00007DA90000}"/>
    <cellStyle name="Vírgula 5 2" xfId="43480" xr:uid="{D3B8364E-BE52-4F7F-B9FC-E0B959BDFF64}"/>
    <cellStyle name="Vírgula 5 2 2" xfId="43547" xr:uid="{7BA4CBCF-5747-4FCA-825F-F7343D0B1617}"/>
    <cellStyle name="Vírgula 5 2 2 2" xfId="43730" xr:uid="{93F47B81-5CE0-458D-8648-576A89A6CA8A}"/>
    <cellStyle name="Vírgula 5 2 2 3" xfId="43913" xr:uid="{767FA3DF-4D1D-4F45-BA11-F2B0B2ED5473}"/>
    <cellStyle name="Vírgula 5 3" xfId="43529" xr:uid="{A4E8CA26-9D1D-4388-90AB-E72D418C10A9}"/>
    <cellStyle name="Vírgula 5 3 2" xfId="43712" xr:uid="{0552FACF-14B3-4011-8D86-1923DE5770F2}"/>
    <cellStyle name="Vírgula 5 3 3" xfId="43895" xr:uid="{A84DD585-F190-4667-92B6-4EFE8BDB4EAB}"/>
    <cellStyle name="Vírgula 5 4" xfId="43461" xr:uid="{50EFF4D9-C247-458A-8C79-58D542E5075A}"/>
    <cellStyle name="Vírgula 6" xfId="43166" xr:uid="{00000000-0005-0000-0000-00007EA90000}"/>
    <cellStyle name="Vírgula 6 2" xfId="43481" xr:uid="{514A949F-04E1-4776-9962-270289895A39}"/>
    <cellStyle name="Vírgula 6 2 2" xfId="43548" xr:uid="{58904A11-E5C5-44C8-816F-B41196A45650}"/>
    <cellStyle name="Vírgula 6 2 2 2" xfId="43731" xr:uid="{98C1E009-5D4B-460B-BE25-9D88ED52DA09}"/>
    <cellStyle name="Vírgula 6 2 2 3" xfId="43914" xr:uid="{2E439062-519F-4568-A21D-83C75928D2A5}"/>
    <cellStyle name="Vírgula 6 3" xfId="43530" xr:uid="{FD36B0FD-06A1-4DC5-B0D5-EA3BF73A0334}"/>
    <cellStyle name="Vírgula 6 3 2" xfId="43713" xr:uid="{3654D1A9-C057-4FA7-AD17-6274A50AD078}"/>
    <cellStyle name="Vírgula 6 3 3" xfId="43896" xr:uid="{BB28AA60-49FC-4B3B-9913-32EB81EC0F0B}"/>
    <cellStyle name="Vírgula 6 4" xfId="43462" xr:uid="{AAD5CFDD-B84C-45BC-94C1-315A3C63C175}"/>
    <cellStyle name="Vírgula 7" xfId="43181" xr:uid="{00000000-0005-0000-0000-00007FA90000}"/>
    <cellStyle name="Vírgula 7 2" xfId="43197" xr:uid="{00000000-0005-0000-0000-000080A90000}"/>
    <cellStyle name="Vírgula 7 2 2" xfId="43532" xr:uid="{0261B55F-C923-4F0E-BE11-26CCED123646}"/>
    <cellStyle name="Vírgula 7 2 2 2" xfId="43715" xr:uid="{90A11320-4A93-4050-8818-E57545794C74}"/>
    <cellStyle name="Vírgula 7 2 2 3" xfId="43898" xr:uid="{B7C88699-8970-4DE9-AE6E-CC1CC90126BD}"/>
    <cellStyle name="Vírgula 7 2 3" xfId="43594" xr:uid="{E428AB0F-72C2-4AD4-AE46-029FB7923A3F}"/>
    <cellStyle name="Vírgula 7 2 3 2" xfId="43777" xr:uid="{BE7A51DC-D5D0-449B-8280-0467E1C6ACC7}"/>
    <cellStyle name="Vírgula 7 2 3 3" xfId="43960" xr:uid="{BC378835-34B5-400D-B45E-ED19FB1AE9DA}"/>
    <cellStyle name="Vírgula 7 2 4" xfId="43653" xr:uid="{C02DB429-1A0C-40A9-A1E1-2812B984C9B9}"/>
    <cellStyle name="Vírgula 7 2 5" xfId="43836" xr:uid="{A605C7B2-E7B5-4689-A959-AC71D370BB82}"/>
    <cellStyle name="Vírgula 7 2 6" xfId="43464" xr:uid="{8F01DCC2-7EDE-481F-BF65-6E7DFF17AEEA}"/>
    <cellStyle name="Vírgula 7 3" xfId="43404" xr:uid="{00000000-0005-0000-0000-000081A90000}"/>
    <cellStyle name="Vírgula 7 3 2" xfId="43714" xr:uid="{482B2AFB-E83E-4EFD-9A52-2AF8C355D5D3}"/>
    <cellStyle name="Vírgula 7 3 3" xfId="43897" xr:uid="{B4C5B617-304D-4D35-A34F-B41F997114DD}"/>
    <cellStyle name="Vírgula 7 3 4" xfId="43531" xr:uid="{492D120F-87D3-497E-9DBD-518E07EA31B7}"/>
    <cellStyle name="Vírgula 7 4" xfId="43593" xr:uid="{81C54BCC-AFCE-423D-AFE0-A25B0CFEA6B4}"/>
    <cellStyle name="Vírgula 7 4 2" xfId="43776" xr:uid="{594903EE-EC41-468A-9B49-D69BE9260773}"/>
    <cellStyle name="Vírgula 7 4 3" xfId="43959" xr:uid="{788B9DF0-8FB2-4224-8ED1-D3ABB75E9A67}"/>
    <cellStyle name="Vírgula 7 5" xfId="43652" xr:uid="{CD631364-2F19-43AE-9AC1-BD3A6E93E905}"/>
    <cellStyle name="Vírgula 7 6" xfId="43835" xr:uid="{1DF772D8-521C-41D7-B432-A565E681E184}"/>
    <cellStyle name="Vírgula 7 7" xfId="43463" xr:uid="{BD33E6FC-4237-4D69-9877-4F3EA90E77F7}"/>
    <cellStyle name="Vírgula 8" xfId="43184" xr:uid="{00000000-0005-0000-0000-000082A90000}"/>
    <cellStyle name="Vírgula 8 2" xfId="43503" xr:uid="{ED1AE68D-BFC4-48CC-B02A-DEFFC659FD8C}"/>
    <cellStyle name="Vírgula 8 2 2" xfId="43570" xr:uid="{A0000C61-2CEE-4289-8D81-374737B7E572}"/>
    <cellStyle name="Vírgula 8 2 2 2" xfId="43753" xr:uid="{1A2B8F86-CAC7-4600-83C0-29CE6458685A}"/>
    <cellStyle name="Vírgula 8 2 2 3" xfId="43936" xr:uid="{0BE2EBBE-C204-47E1-A6BB-34664F3B4A70}"/>
    <cellStyle name="Vírgula 8 2 3" xfId="43686" xr:uid="{68DD6C20-3200-4E6E-88CC-9841916B42E5}"/>
    <cellStyle name="Vírgula 8 2 4" xfId="43869" xr:uid="{0768BA49-45F3-45AF-B2BA-B70C64CFBF58}"/>
    <cellStyle name="Vírgula 8 3" xfId="43543" xr:uid="{3FEAFE25-4BBB-47C4-9D56-CD0C4B416290}"/>
    <cellStyle name="Vírgula 8 3 2" xfId="43726" xr:uid="{95CE71E7-152A-4F2D-857C-A6847B3CBEAD}"/>
    <cellStyle name="Vírgula 8 3 3" xfId="43909" xr:uid="{8D3585B9-DE35-4B2C-98C4-346DDF2E79BC}"/>
    <cellStyle name="Vírgula 8 4" xfId="43604" xr:uid="{9F5952A2-6B03-40AB-9F73-9EE7567849C8}"/>
    <cellStyle name="Vírgula 8 4 2" xfId="43787" xr:uid="{4A1640AE-0148-4865-945E-C2DC6335D929}"/>
    <cellStyle name="Vírgula 8 4 3" xfId="43970" xr:uid="{151EA5D9-4119-4C1E-B8F9-4B03BE26BF5F}"/>
    <cellStyle name="Vírgula 8 5" xfId="43663" xr:uid="{15BA7B67-0D0D-413D-852D-34771F645567}"/>
    <cellStyle name="Vírgula 8 6" xfId="43846" xr:uid="{88A778D5-0938-478E-BB6E-C9376C2C1AD7}"/>
    <cellStyle name="Vírgula 8 7" xfId="43476" xr:uid="{ADF790EE-F268-4291-A9E8-AAD7A8259107}"/>
    <cellStyle name="Vírgula 9" xfId="43187" xr:uid="{00000000-0005-0000-0000-000083A90000}"/>
    <cellStyle name="Vírgula 9 2" xfId="43559" xr:uid="{B9182616-BD71-41E8-B822-ADCD5BD86939}"/>
    <cellStyle name="Vírgula 9 2 2" xfId="43742" xr:uid="{7E37ACCD-4481-434D-A0A8-9A928AC096ED}"/>
    <cellStyle name="Vírgula 9 2 3" xfId="43925" xr:uid="{FFACA665-9553-4183-AF2E-95A80B5E92C7}"/>
    <cellStyle name="Vírgula 9 3" xfId="43675" xr:uid="{D54F4658-AE03-4127-BD4E-E1A726FA2CBD}"/>
    <cellStyle name="Vírgula 9 4" xfId="43858" xr:uid="{A9ED60EA-F058-4B6A-BDE7-2C3693C7AB6E}"/>
    <cellStyle name="Vírgula 9 5" xfId="43492" xr:uid="{1A14D01E-C55A-4C0F-9491-FC2BD22548DE}"/>
    <cellStyle name="Vírgula0" xfId="43167" xr:uid="{00000000-0005-0000-0000-000084A90000}"/>
    <cellStyle name="Virgule fixe" xfId="43168" xr:uid="{00000000-0005-0000-0000-000085A90000}"/>
    <cellStyle name="vittorio's model" xfId="43169" xr:uid="{00000000-0005-0000-0000-000086A90000}"/>
    <cellStyle name="Warning Text" xfId="900" xr:uid="{00000000-0005-0000-0000-000087A90000}"/>
    <cellStyle name="Warning Text 2" xfId="43170" xr:uid="{00000000-0005-0000-0000-000088A90000}"/>
    <cellStyle name="Year" xfId="901" xr:uid="{00000000-0005-0000-0000-000089A90000}"/>
    <cellStyle name="Year 2" xfId="1824" xr:uid="{00000000-0005-0000-0000-00008AA90000}"/>
    <cellStyle name="Year 2 2" xfId="2029" xr:uid="{00000000-0005-0000-0000-00008BA90000}"/>
    <cellStyle name="Year 2 2 2" xfId="2477" xr:uid="{00000000-0005-0000-0000-00008CA90000}"/>
    <cellStyle name="Year 2 2 3" xfId="2666" xr:uid="{00000000-0005-0000-0000-00008DA90000}"/>
    <cellStyle name="Year 2 2 4" xfId="2165" xr:uid="{00000000-0005-0000-0000-00008EA90000}"/>
    <cellStyle name="Year 2 3" xfId="2087" xr:uid="{00000000-0005-0000-0000-00008FA90000}"/>
    <cellStyle name="Year 2 4" xfId="2128" xr:uid="{00000000-0005-0000-0000-000090A90000}"/>
    <cellStyle name="Year 2 5" xfId="2355" xr:uid="{00000000-0005-0000-0000-000091A90000}"/>
    <cellStyle name="Year 2 6" xfId="43308" xr:uid="{00000000-0005-0000-0000-000092A90000}"/>
    <cellStyle name="Year 3" xfId="1916" xr:uid="{00000000-0005-0000-0000-000093A90000}"/>
    <cellStyle name="Year 3 2" xfId="2476" xr:uid="{00000000-0005-0000-0000-000094A90000}"/>
    <cellStyle name="Year 3 3" xfId="2665" xr:uid="{00000000-0005-0000-0000-000095A90000}"/>
    <cellStyle name="Year 3 4" xfId="2290" xr:uid="{00000000-0005-0000-0000-000096A90000}"/>
    <cellStyle name="Year 4" xfId="2326" xr:uid="{00000000-0005-0000-0000-000097A90000}"/>
    <cellStyle name="Year 5" xfId="43307" xr:uid="{00000000-0005-0000-0000-000098A90000}"/>
    <cellStyle name="Денежный [0]_18.04" xfId="43171" xr:uid="{00000000-0005-0000-0000-000099A90000}"/>
    <cellStyle name="Денежный_18.04" xfId="43172" xr:uid="{00000000-0005-0000-0000-00009AA90000}"/>
    <cellStyle name="Обычный_3Com" xfId="43173" xr:uid="{00000000-0005-0000-0000-00009BA90000}"/>
    <cellStyle name="Тысячи [0]_3Com" xfId="43174" xr:uid="{00000000-0005-0000-0000-00009CA90000}"/>
    <cellStyle name="Тысячи_3Com" xfId="43175" xr:uid="{00000000-0005-0000-0000-00009DA90000}"/>
    <cellStyle name="Финансовый [0]_18.04" xfId="43176" xr:uid="{00000000-0005-0000-0000-00009EA90000}"/>
    <cellStyle name="Финансовый_18.04" xfId="43177" xr:uid="{00000000-0005-0000-0000-00009FA90000}"/>
    <cellStyle name="桁区切り [0.00]_Balanzas" xfId="43178" xr:uid="{00000000-0005-0000-0000-0000A0A90000}"/>
    <cellStyle name="桁区切り_details expenses" xfId="43179" xr:uid="{00000000-0005-0000-0000-0000A1A90000}"/>
    <cellStyle name="標準_assumption" xfId="43180" xr:uid="{00000000-0005-0000-0000-0000A2A90000}"/>
  </cellStyles>
  <dxfs count="58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79"/>
    </tableStyle>
    <tableStyle name="Padrão" pivot="0" count="1" xr9:uid="{3101F1C1-6DA4-4166-994B-3EC22CFD8317}">
      <tableStyleElement type="headerRow" dxfId="578"/>
    </tableStyle>
    <tableStyle name="Padrão 2" pivot="0" count="2" xr9:uid="{85D0CDF3-BF56-48CA-93DE-51D2DBCCC9A6}">
      <tableStyleElement type="wholeTable" dxfId="577"/>
      <tableStyleElement type="headerRow" dxfId="57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8.xml"/><Relationship Id="rId47" Type="http://schemas.openxmlformats.org/officeDocument/2006/relationships/externalLink" Target="externalLinks/externalLink13.xml"/><Relationship Id="rId50" Type="http://schemas.openxmlformats.org/officeDocument/2006/relationships/externalLink" Target="externalLinks/externalLink16.xml"/><Relationship Id="rId55" Type="http://schemas.openxmlformats.org/officeDocument/2006/relationships/theme" Target="theme/theme1.xml"/><Relationship Id="rId63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externalLink" Target="externalLinks/externalLink11.xml"/><Relationship Id="rId53" Type="http://schemas.openxmlformats.org/officeDocument/2006/relationships/pivotCacheDefinition" Target="pivotCache/pivotCacheDefinition1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externalLink" Target="externalLinks/externalLink9.xml"/><Relationship Id="rId48" Type="http://schemas.openxmlformats.org/officeDocument/2006/relationships/externalLink" Target="externalLinks/externalLink14.xml"/><Relationship Id="rId56" Type="http://schemas.openxmlformats.org/officeDocument/2006/relationships/connections" Target="connections.xml"/><Relationship Id="rId64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openxmlformats.org/officeDocument/2006/relationships/externalLink" Target="externalLinks/externalLink12.xml"/><Relationship Id="rId59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54" Type="http://schemas.openxmlformats.org/officeDocument/2006/relationships/pivotCacheDefinition" Target="pivotCache/pivotCacheDefinition2.xml"/><Relationship Id="rId6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externalLink" Target="externalLinks/externalLink15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0.xml"/><Relationship Id="rId52" Type="http://schemas.openxmlformats.org/officeDocument/2006/relationships/externalLink" Target="externalLinks/externalLink18.xml"/><Relationship Id="rId60" Type="http://schemas.microsoft.com/office/2017/10/relationships/person" Target="persons/person.xml"/><Relationship Id="rId65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5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5.9150641855747983E-2</c:v>
                </c:pt>
                <c:pt idx="1">
                  <c:v>1.1792166971017481E-2</c:v>
                </c:pt>
                <c:pt idx="2">
                  <c:v>-6.1806216468714537E-2</c:v>
                </c:pt>
                <c:pt idx="3">
                  <c:v>2.119525470838177E-2</c:v>
                </c:pt>
                <c:pt idx="4">
                  <c:v>-0.33889999999999998</c:v>
                </c:pt>
                <c:pt idx="5">
                  <c:v>0.40579999999999999</c:v>
                </c:pt>
                <c:pt idx="6">
                  <c:v>2.8792243386260408E-2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0.54407574238375733</c:v>
                </c:pt>
                <c:pt idx="1">
                  <c:v>0.24491164202822879</c:v>
                </c:pt>
                <c:pt idx="2">
                  <c:v>6.0253834697100841E-2</c:v>
                </c:pt>
                <c:pt idx="3">
                  <c:v>0</c:v>
                </c:pt>
                <c:pt idx="4">
                  <c:v>0</c:v>
                </c:pt>
                <c:pt idx="5">
                  <c:v>1.7917083638372071E-2</c:v>
                </c:pt>
                <c:pt idx="6">
                  <c:v>0.11123880869923215</c:v>
                </c:pt>
                <c:pt idx="7">
                  <c:v>2.3478375008763098E-3</c:v>
                </c:pt>
                <c:pt idx="8">
                  <c:v>3.9204494939836972E-2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30308997.408245143</c:v>
                </c:pt>
                <c:pt idx="1">
                  <c:v>31500000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17652501.85341147</c:v>
                </c:pt>
                <c:pt idx="1">
                  <c:v>14179490.322595056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2825852.3453226169</c:v>
                </c:pt>
                <c:pt idx="1">
                  <c:v>3488477.1459263992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5404593.6251707515</c:v>
                </c:pt>
                <c:pt idx="1">
                  <c:v>8728383.2527754605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0.44736926564250862</c:v>
                </c:pt>
                <c:pt idx="1">
                  <c:v>0.20137994199379075</c:v>
                </c:pt>
                <c:pt idx="2">
                  <c:v>4.9544046316945006E-2</c:v>
                </c:pt>
                <c:pt idx="3">
                  <c:v>0.12396223511239773</c:v>
                </c:pt>
                <c:pt idx="4">
                  <c:v>0.15557983304160264</c:v>
                </c:pt>
                <c:pt idx="5" formatCode="0.00%">
                  <c:v>2.2164677892755068E-2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Cooperluz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452.06</c:v>
                </c:pt>
                <c:pt idx="1">
                  <c:v>503.84</c:v>
                </c:pt>
                <c:pt idx="2">
                  <c:v>506.04</c:v>
                </c:pt>
                <c:pt idx="3">
                  <c:v>514.01</c:v>
                </c:pt>
                <c:pt idx="4">
                  <c:v>504.65000000000003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486.31735914172612</c:v>
                </c:pt>
                <c:pt idx="1">
                  <c:v>517.97733212189542</c:v>
                </c:pt>
                <c:pt idx="2">
                  <c:v>555.8621156711705</c:v>
                </c:pt>
                <c:pt idx="3">
                  <c:v>754.59028036239863</c:v>
                </c:pt>
                <c:pt idx="4">
                  <c:v>835.36340547192856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468.18375121100559</c:v>
                </c:pt>
                <c:pt idx="1">
                  <c:v>483.94406704127113</c:v>
                </c:pt>
                <c:pt idx="2">
                  <c:v>494.26377446231351</c:v>
                </c:pt>
                <c:pt idx="3">
                  <c:v>535.5203293935283</c:v>
                </c:pt>
                <c:pt idx="4">
                  <c:v>599.176932764968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Cooperluz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344.88</c:v>
                </c:pt>
                <c:pt idx="1">
                  <c:v>366.2</c:v>
                </c:pt>
                <c:pt idx="2">
                  <c:v>450.46000000000004</c:v>
                </c:pt>
                <c:pt idx="3" formatCode="_(* #,##0.00_);_(* \(#,##0.00\);_(* &quot;-&quot;??_);_(@_)">
                  <c:v>424.82695202870184</c:v>
                </c:pt>
                <c:pt idx="4" formatCode="_(* #,##0.00_);_(* \(#,##0.00\);_(* &quot;-&quot;??_);_(@_)">
                  <c:v>507.06</c:v>
                </c:pt>
                <c:pt idx="5" formatCode="_(* #,##0.00_);_(* \(#,##0.00\);_(* &quot;-&quot;??_);_(@_)">
                  <c:v>452.06</c:v>
                </c:pt>
                <c:pt idx="6" formatCode="_(* #,##0.00_);_(* \(#,##0.00\);_(* &quot;-&quot;??_);_(@_)">
                  <c:v>503.84</c:v>
                </c:pt>
                <c:pt idx="7" formatCode="_(* #,##0.00_);_(* \(#,##0.00\);_(* &quot;-&quot;??_);_(@_)">
                  <c:v>506.04</c:v>
                </c:pt>
                <c:pt idx="8" formatCode="_(* #,##0.00_);_(* \(#,##0.00\);_(* &quot;-&quot;??_);_(@_)">
                  <c:v>514.01</c:v>
                </c:pt>
                <c:pt idx="9" formatCode="_(* #,##0.00_);_(* \(#,##0.00\);_(* &quot;-&quot;??_);_(@_)">
                  <c:v>504.65000000000003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344.88</c:v>
                </c:pt>
                <c:pt idx="1">
                  <c:v>386.8964580383817</c:v>
                </c:pt>
                <c:pt idx="2">
                  <c:v>408.53458420755095</c:v>
                </c:pt>
                <c:pt idx="3">
                  <c:v>458.40531977331381</c:v>
                </c:pt>
                <c:pt idx="4">
                  <c:v>454.83696149462986</c:v>
                </c:pt>
                <c:pt idx="5">
                  <c:v>486.31735914172612</c:v>
                </c:pt>
                <c:pt idx="6">
                  <c:v>517.97733212189542</c:v>
                </c:pt>
                <c:pt idx="7">
                  <c:v>555.8621156711705</c:v>
                </c:pt>
                <c:pt idx="8">
                  <c:v>754.59028036239863</c:v>
                </c:pt>
                <c:pt idx="9">
                  <c:v>835.36340547192856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344.88</c:v>
                </c:pt>
                <c:pt idx="1">
                  <c:v>367.37750048440228</c:v>
                </c:pt>
                <c:pt idx="2">
                  <c:v>400.05363495446619</c:v>
                </c:pt>
                <c:pt idx="3">
                  <c:v>435.43336756442545</c:v>
                </c:pt>
                <c:pt idx="4">
                  <c:v>448.49008525479559</c:v>
                </c:pt>
                <c:pt idx="5">
                  <c:v>468.18375121100559</c:v>
                </c:pt>
                <c:pt idx="6">
                  <c:v>483.94406704127113</c:v>
                </c:pt>
                <c:pt idx="7">
                  <c:v>494.26377446231351</c:v>
                </c:pt>
                <c:pt idx="8">
                  <c:v>535.5203293935283</c:v>
                </c:pt>
                <c:pt idx="9">
                  <c:v>599.176932764968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[Persas_RTA_Cooperluz_2022.xlsx]Calc_Mercado!Tabela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4870.4589999999989</c:v>
                </c:pt>
                <c:pt idx="1">
                  <c:v>5457.0909999999994</c:v>
                </c:pt>
                <c:pt idx="2">
                  <c:v>5715.5809999999992</c:v>
                </c:pt>
                <c:pt idx="3">
                  <c:v>5685.1690000000008</c:v>
                </c:pt>
                <c:pt idx="4">
                  <c:v>6161.6689999999999</c:v>
                </c:pt>
                <c:pt idx="5">
                  <c:v>6744.2200000000012</c:v>
                </c:pt>
                <c:pt idx="6">
                  <c:v>8303.4230000000007</c:v>
                </c:pt>
                <c:pt idx="7">
                  <c:v>8074.0929999999998</c:v>
                </c:pt>
                <c:pt idx="8">
                  <c:v>6837.8140000000012</c:v>
                </c:pt>
                <c:pt idx="9">
                  <c:v>5538.3219999999992</c:v>
                </c:pt>
                <c:pt idx="10">
                  <c:v>5101.9049999999997</c:v>
                </c:pt>
                <c:pt idx="11">
                  <c:v>5245.2719999999999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4715.5729999999985</c:v>
                </c:pt>
                <c:pt idx="1">
                  <c:v>5264.4929999999995</c:v>
                </c:pt>
                <c:pt idx="2">
                  <c:v>5503.7729999999992</c:v>
                </c:pt>
                <c:pt idx="3">
                  <c:v>5465.6420000000007</c:v>
                </c:pt>
                <c:pt idx="4">
                  <c:v>5934.7449999999999</c:v>
                </c:pt>
                <c:pt idx="5">
                  <c:v>6525.7360000000008</c:v>
                </c:pt>
                <c:pt idx="6">
                  <c:v>8089.3430000000008</c:v>
                </c:pt>
                <c:pt idx="7">
                  <c:v>7875.1790000000001</c:v>
                </c:pt>
                <c:pt idx="8">
                  <c:v>6633.1770000000015</c:v>
                </c:pt>
                <c:pt idx="9">
                  <c:v>5373.7179999999998</c:v>
                </c:pt>
                <c:pt idx="10">
                  <c:v>4945.3249999999998</c:v>
                </c:pt>
                <c:pt idx="11">
                  <c:v>5087.2040000000006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C-4BD5-889E-3F471CA15EC2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905595</xdr:colOff>
      <xdr:row>30</xdr:row>
      <xdr:rowOff>99217</xdr:rowOff>
    </xdr:from>
    <xdr:to>
      <xdr:col>15</xdr:col>
      <xdr:colOff>392569</xdr:colOff>
      <xdr:row>57</xdr:row>
      <xdr:rowOff>153950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VIS&#195;O\Concession&#225;rias%20de%20Distribui&#231;&#227;o\2022\07%20-%20D47%20-%20Eletrocar\Vers&#227;o%20Final\RB%20e%20Conex&#227;o\Encargo%20RB%20e%20CO_v63_%20Eletrocar%202022%202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VIS&#195;O\Concession&#225;rias%20de%20Distribui&#231;&#227;o\2022\07%20-%20D47%20-%20Eletrocar\Vers&#227;o%20AP\Arquivos%20para%20CP\SPARTA%20Eletrocar%20-%20Revis&#227;o%20Tarif&#225;ria%202022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VIS&#195;O\Concession&#225;rias%20de%20Distribui&#231;&#227;o\2022\07%20-%20D47%20-%20Eletrocar\Vers&#227;o%20Final\SPARTA%20Eletrocar%20-%20Revis&#227;o%20Tarif&#225;ria%202022%20pos%20AP%2008jul2022%2019h30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Gest&#227;o%20da%20Informa&#231;&#227;o\Sistemas\SPARTA\Matrix\dev\modelo2021\SPARTAmatrixNC-SEM%20AJUSTE%20CVA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RB"/>
      <sheetName val="Encargo Uso RB"/>
      <sheetName val="Encargo Conexão"/>
      <sheetName val="Consumidores A1"/>
      <sheetName val="Análise de RAP"/>
      <sheetName val="Análise de PA"/>
      <sheetName val="SACT"/>
      <sheetName val="bd101MDL"/>
      <sheetName val="Banco_Dist"/>
      <sheetName val="Banco_A1"/>
      <sheetName val="BD101ConsA1"/>
      <sheetName val="bd101RB"/>
      <sheetName val="bd101FR"/>
      <sheetName val="BD101CNX"/>
      <sheetName val="BD101Controle"/>
    </sheetNames>
    <sheetDataSet>
      <sheetData sheetId="0" refreshError="1"/>
      <sheetData sheetId="1">
        <row r="2">
          <cell r="N2">
            <v>42347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NT Revisao"/>
      <sheetName val="Votos e NTs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Mitigação Efeito 2022"/>
      <sheetName val="CVA"/>
      <sheetName val="Neutralidade"/>
      <sheetName val="COVID"/>
      <sheetName val="CDE Covid - TUSD_TE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9">
          <cell r="F39">
            <v>0.10162694467731614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NT Revisao"/>
      <sheetName val="Votos e NTs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Mitigação Efeito 2022"/>
      <sheetName val="CVA"/>
      <sheetName val="Neutralidade"/>
      <sheetName val="COVID"/>
      <sheetName val="CDE Covid - TUSD_TE"/>
      <sheetName val="PIS_COFINS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</sheetNames>
    <sheetDataSet>
      <sheetData sheetId="0"/>
      <sheetData sheetId="1"/>
      <sheetData sheetId="2">
        <row r="7">
          <cell r="L7">
            <v>2020</v>
          </cell>
          <cell r="M7">
            <v>2021</v>
          </cell>
        </row>
        <row r="8">
          <cell r="Q8">
            <v>27817.439999999999</v>
          </cell>
          <cell r="R8">
            <v>34114.230000000003</v>
          </cell>
          <cell r="S8">
            <v>27817.439999999999</v>
          </cell>
          <cell r="T8">
            <v>42291.02</v>
          </cell>
          <cell r="U8">
            <v>14780.5</v>
          </cell>
          <cell r="V8">
            <v>29462.63</v>
          </cell>
          <cell r="W8">
            <v>44961.22</v>
          </cell>
          <cell r="X8">
            <v>37575.86</v>
          </cell>
          <cell r="Y8">
            <v>41179.360000000001</v>
          </cell>
          <cell r="Z8">
            <v>47201.63</v>
          </cell>
          <cell r="AA8">
            <v>27949.42</v>
          </cell>
          <cell r="AB8">
            <v>41908.85</v>
          </cell>
        </row>
        <row r="9">
          <cell r="L9">
            <v>6020761.4100000001</v>
          </cell>
          <cell r="M9">
            <v>6374950.75</v>
          </cell>
          <cell r="Q9">
            <v>4217.3</v>
          </cell>
          <cell r="R9">
            <v>4217.3</v>
          </cell>
          <cell r="S9">
            <v>4217.3</v>
          </cell>
          <cell r="T9">
            <v>4773.72</v>
          </cell>
          <cell r="U9">
            <v>4074.13</v>
          </cell>
          <cell r="V9">
            <v>4144.5600000000004</v>
          </cell>
          <cell r="W9">
            <v>4191.91</v>
          </cell>
          <cell r="X9">
            <v>4012.26</v>
          </cell>
          <cell r="Y9">
            <v>3910.92</v>
          </cell>
          <cell r="Z9">
            <v>4164.96</v>
          </cell>
          <cell r="AA9">
            <v>4297.8500000000004</v>
          </cell>
          <cell r="AB9">
            <v>4031.03</v>
          </cell>
        </row>
        <row r="10">
          <cell r="L10">
            <v>2396083.5499999998</v>
          </cell>
          <cell r="M10">
            <v>2557069.98</v>
          </cell>
        </row>
        <row r="11">
          <cell r="L11">
            <v>0</v>
          </cell>
          <cell r="M11">
            <v>0</v>
          </cell>
        </row>
        <row r="12">
          <cell r="L12">
            <v>2260363.5499999998</v>
          </cell>
          <cell r="M12">
            <v>2442433.2799999998</v>
          </cell>
        </row>
        <row r="13">
          <cell r="L13">
            <v>68031.66</v>
          </cell>
          <cell r="M13">
            <v>105970.66</v>
          </cell>
          <cell r="Q13">
            <v>141971.20000000001</v>
          </cell>
          <cell r="R13">
            <v>141971.20000000001</v>
          </cell>
          <cell r="S13">
            <v>134744</v>
          </cell>
          <cell r="T13">
            <v>132698.74</v>
          </cell>
          <cell r="U13">
            <v>132698.74</v>
          </cell>
          <cell r="V13">
            <v>132698.74</v>
          </cell>
          <cell r="W13">
            <v>131688.5</v>
          </cell>
          <cell r="X13">
            <v>138449.54</v>
          </cell>
          <cell r="Y13">
            <v>131465.42000000001</v>
          </cell>
          <cell r="Z13">
            <v>119644.72</v>
          </cell>
          <cell r="AA13">
            <v>119644.72</v>
          </cell>
          <cell r="AB13">
            <v>122016.04</v>
          </cell>
        </row>
        <row r="14">
          <cell r="L14">
            <v>0</v>
          </cell>
          <cell r="M14">
            <v>0</v>
          </cell>
        </row>
        <row r="15">
          <cell r="L15">
            <v>160494.58000000002</v>
          </cell>
          <cell r="M15">
            <v>164821.12</v>
          </cell>
        </row>
        <row r="16">
          <cell r="L16">
            <v>0</v>
          </cell>
          <cell r="M16">
            <v>0</v>
          </cell>
        </row>
        <row r="17">
          <cell r="L17">
            <v>1054716.8700000001</v>
          </cell>
          <cell r="M17">
            <v>1105117.79</v>
          </cell>
        </row>
        <row r="20">
          <cell r="L20">
            <v>1011198.84</v>
          </cell>
          <cell r="M20">
            <v>1045788.75</v>
          </cell>
        </row>
        <row r="21">
          <cell r="L21">
            <v>0</v>
          </cell>
          <cell r="M21">
            <v>0</v>
          </cell>
        </row>
        <row r="22">
          <cell r="L22">
            <v>-45601.03</v>
          </cell>
          <cell r="M22">
            <v>-55479.55</v>
          </cell>
        </row>
        <row r="25">
          <cell r="L25">
            <v>222033.41</v>
          </cell>
          <cell r="M25">
            <v>450636.47</v>
          </cell>
        </row>
        <row r="26">
          <cell r="L26">
            <v>108980.5</v>
          </cell>
          <cell r="M26">
            <v>251331.31</v>
          </cell>
        </row>
        <row r="27">
          <cell r="G27">
            <v>20384.37</v>
          </cell>
          <cell r="L27">
            <v>14899.11</v>
          </cell>
          <cell r="M27">
            <v>1600</v>
          </cell>
        </row>
        <row r="28">
          <cell r="G28">
            <v>38186.689999999995</v>
          </cell>
          <cell r="L28">
            <v>831867.67999999993</v>
          </cell>
          <cell r="M28">
            <v>999093.59</v>
          </cell>
        </row>
        <row r="29">
          <cell r="G29">
            <v>18946.38</v>
          </cell>
          <cell r="L29">
            <v>0</v>
          </cell>
          <cell r="M29">
            <v>0</v>
          </cell>
        </row>
        <row r="30">
          <cell r="G30">
            <v>36829.5</v>
          </cell>
          <cell r="L30">
            <v>6256.51</v>
          </cell>
          <cell r="M30">
            <v>2997.84</v>
          </cell>
        </row>
        <row r="31">
          <cell r="L31">
            <v>0</v>
          </cell>
          <cell r="M31">
            <v>0</v>
          </cell>
        </row>
        <row r="32">
          <cell r="L32">
            <v>85964.96</v>
          </cell>
          <cell r="M32">
            <v>100074.08</v>
          </cell>
        </row>
        <row r="33">
          <cell r="G33">
            <v>1.7020202045199599E-2</v>
          </cell>
          <cell r="L33">
            <v>0</v>
          </cell>
          <cell r="M33">
            <v>0</v>
          </cell>
        </row>
        <row r="34">
          <cell r="G34">
            <v>5.2443323901933007E-2</v>
          </cell>
          <cell r="L34">
            <v>0</v>
          </cell>
          <cell r="M34">
            <v>0</v>
          </cell>
        </row>
        <row r="35">
          <cell r="L35">
            <v>1015178.19</v>
          </cell>
          <cell r="M35">
            <v>948762.37999999989</v>
          </cell>
        </row>
        <row r="36">
          <cell r="L36">
            <v>-36235.1</v>
          </cell>
          <cell r="M36">
            <v>-4390.7700000000004</v>
          </cell>
        </row>
        <row r="37">
          <cell r="G37">
            <v>43281</v>
          </cell>
          <cell r="L37">
            <v>0</v>
          </cell>
          <cell r="M37">
            <v>0</v>
          </cell>
        </row>
        <row r="38">
          <cell r="G38">
            <v>0</v>
          </cell>
        </row>
        <row r="39">
          <cell r="G39">
            <v>64013.640000000029</v>
          </cell>
        </row>
        <row r="40">
          <cell r="G40">
            <v>114053.99500000004</v>
          </cell>
          <cell r="L40">
            <v>55954.39</v>
          </cell>
          <cell r="M40">
            <v>66734.27</v>
          </cell>
        </row>
        <row r="41">
          <cell r="G41">
            <v>36654</v>
          </cell>
          <cell r="L41">
            <v>0</v>
          </cell>
          <cell r="M41">
            <v>0</v>
          </cell>
        </row>
        <row r="42">
          <cell r="L42">
            <v>0</v>
          </cell>
          <cell r="M42">
            <v>0</v>
          </cell>
        </row>
        <row r="45">
          <cell r="G45">
            <v>2301.65</v>
          </cell>
          <cell r="L45">
            <v>46115.130000000005</v>
          </cell>
          <cell r="M45">
            <v>196952.13999999998</v>
          </cell>
        </row>
        <row r="46">
          <cell r="G46">
            <v>127.72</v>
          </cell>
          <cell r="Q46">
            <v>30768.44</v>
          </cell>
          <cell r="R46">
            <v>30768.44</v>
          </cell>
          <cell r="S46">
            <v>30768.44</v>
          </cell>
          <cell r="T46">
            <v>30768.44</v>
          </cell>
          <cell r="U46">
            <v>30768.44</v>
          </cell>
          <cell r="V46">
            <v>62744.71</v>
          </cell>
          <cell r="W46">
            <v>28070.38</v>
          </cell>
          <cell r="X46">
            <v>51649.39</v>
          </cell>
          <cell r="Y46">
            <v>18790.55</v>
          </cell>
          <cell r="Z46">
            <v>10312.64</v>
          </cell>
          <cell r="AA46">
            <v>24802.23</v>
          </cell>
          <cell r="AB46">
            <v>19009.18</v>
          </cell>
        </row>
        <row r="47">
          <cell r="G47">
            <v>8.9776593198206498E-3</v>
          </cell>
          <cell r="Q47">
            <v>40133.60571428571</v>
          </cell>
          <cell r="R47">
            <v>40133.60571428571</v>
          </cell>
          <cell r="S47">
            <v>40133.60571428571</v>
          </cell>
          <cell r="T47">
            <v>40133.60571428571</v>
          </cell>
          <cell r="U47">
            <v>40133.60571428571</v>
          </cell>
          <cell r="V47">
            <v>52478.42</v>
          </cell>
          <cell r="W47">
            <v>44625.120000000003</v>
          </cell>
          <cell r="X47">
            <v>45680.56</v>
          </cell>
          <cell r="Y47">
            <v>38169.019999999997</v>
          </cell>
          <cell r="Z47">
            <v>34359.99</v>
          </cell>
          <cell r="AA47">
            <v>31756.95</v>
          </cell>
          <cell r="AB47">
            <v>33865.18</v>
          </cell>
        </row>
        <row r="48">
          <cell r="G48">
            <v>0</v>
          </cell>
          <cell r="L48">
            <v>908181.01</v>
          </cell>
          <cell r="M48">
            <v>697102.99</v>
          </cell>
        </row>
        <row r="49">
          <cell r="G49">
            <v>7.2758002111853654E-2</v>
          </cell>
          <cell r="L49">
            <v>173767.82</v>
          </cell>
          <cell r="M49">
            <v>209715.96</v>
          </cell>
        </row>
        <row r="50">
          <cell r="G50">
            <v>8.9600000000000009</v>
          </cell>
          <cell r="L50">
            <v>0</v>
          </cell>
          <cell r="M50">
            <v>0</v>
          </cell>
        </row>
        <row r="51">
          <cell r="G51">
            <v>6.91</v>
          </cell>
          <cell r="L51">
            <v>645174.80000000005</v>
          </cell>
          <cell r="M51">
            <v>714203.19</v>
          </cell>
        </row>
        <row r="52">
          <cell r="G52">
            <v>9.1</v>
          </cell>
          <cell r="L52">
            <v>19755.39</v>
          </cell>
          <cell r="M52">
            <v>19095.43</v>
          </cell>
        </row>
        <row r="53">
          <cell r="G53">
            <v>6.5583716162301055E-3</v>
          </cell>
          <cell r="L53">
            <v>-11502.12</v>
          </cell>
          <cell r="M53">
            <v>-13844.81</v>
          </cell>
          <cell r="Q53">
            <v>42767</v>
          </cell>
        </row>
        <row r="54">
          <cell r="G54">
            <v>7.16</v>
          </cell>
        </row>
        <row r="56">
          <cell r="L56">
            <v>305000.00000000006</v>
          </cell>
          <cell r="M56">
            <v>405000</v>
          </cell>
        </row>
        <row r="57">
          <cell r="M57">
            <v>0</v>
          </cell>
        </row>
        <row r="58">
          <cell r="G58">
            <v>16175666.389660062</v>
          </cell>
          <cell r="L58">
            <v>334162.84999999998</v>
          </cell>
          <cell r="M58">
            <v>471090.36</v>
          </cell>
          <cell r="Q58">
            <v>20670.240000000002</v>
          </cell>
        </row>
        <row r="59">
          <cell r="M59">
            <v>-182075.07</v>
          </cell>
          <cell r="Q59">
            <v>26819.08</v>
          </cell>
        </row>
        <row r="61">
          <cell r="G61">
            <v>6967993.4628625503</v>
          </cell>
        </row>
        <row r="62">
          <cell r="G62">
            <v>2283352.1455774591</v>
          </cell>
        </row>
        <row r="63">
          <cell r="G63">
            <v>2236079.6837893133</v>
          </cell>
        </row>
        <row r="65">
          <cell r="G65">
            <v>2.1118520395221232E-2</v>
          </cell>
        </row>
        <row r="66">
          <cell r="G66">
            <v>1161952.2599535862</v>
          </cell>
        </row>
        <row r="67">
          <cell r="G67">
            <v>2.3599999999999999E-2</v>
          </cell>
        </row>
        <row r="70">
          <cell r="G70">
            <v>44593</v>
          </cell>
        </row>
        <row r="71">
          <cell r="G71">
            <v>132625477.2</v>
          </cell>
        </row>
        <row r="73">
          <cell r="G73">
            <v>31155161.899999999</v>
          </cell>
        </row>
        <row r="74">
          <cell r="G74">
            <v>17942245.25</v>
          </cell>
        </row>
        <row r="76">
          <cell r="G76">
            <v>50611157.170000002</v>
          </cell>
        </row>
        <row r="80">
          <cell r="G80">
            <v>165107.81</v>
          </cell>
        </row>
        <row r="82">
          <cell r="G82">
            <v>22772385.219999999</v>
          </cell>
        </row>
        <row r="83">
          <cell r="G83">
            <v>6650340.6299999999</v>
          </cell>
        </row>
        <row r="87">
          <cell r="G87">
            <v>3.5099999999999999E-2</v>
          </cell>
        </row>
        <row r="92">
          <cell r="G92">
            <v>94248428.99186419</v>
          </cell>
        </row>
        <row r="93">
          <cell r="G93">
            <v>93498.16321220994</v>
          </cell>
        </row>
        <row r="94">
          <cell r="G94">
            <v>20530342.885428362</v>
          </cell>
        </row>
        <row r="95">
          <cell r="G95">
            <v>12078708.008521222</v>
          </cell>
        </row>
        <row r="96">
          <cell r="G96">
            <v>61545879.934702404</v>
          </cell>
        </row>
        <row r="97">
          <cell r="G97">
            <v>28930673.415485654</v>
          </cell>
        </row>
        <row r="98">
          <cell r="G98">
            <v>65317755.576378539</v>
          </cell>
        </row>
        <row r="99">
          <cell r="G99">
            <v>83500.916454166174</v>
          </cell>
        </row>
        <row r="100">
          <cell r="G100">
            <v>65234254.659924373</v>
          </cell>
        </row>
        <row r="101">
          <cell r="G101">
            <v>100783.44750000001</v>
          </cell>
        </row>
        <row r="102">
          <cell r="G102">
            <v>0</v>
          </cell>
        </row>
        <row r="103">
          <cell r="G103">
            <v>16736714.763363019</v>
          </cell>
        </row>
        <row r="104">
          <cell r="G104">
            <v>5181256.1545967702</v>
          </cell>
        </row>
        <row r="105">
          <cell r="G105">
            <v>53779579.498658121</v>
          </cell>
        </row>
        <row r="106">
          <cell r="G106">
            <v>0</v>
          </cell>
        </row>
        <row r="107">
          <cell r="G107">
            <v>0</v>
          </cell>
        </row>
        <row r="108">
          <cell r="G108">
            <v>0</v>
          </cell>
        </row>
        <row r="109">
          <cell r="G109">
            <v>3.7100000000000001E-2</v>
          </cell>
        </row>
        <row r="110">
          <cell r="G110">
            <v>2283352.1455774591</v>
          </cell>
        </row>
      </sheetData>
      <sheetData sheetId="3"/>
      <sheetData sheetId="4"/>
      <sheetData sheetId="5">
        <row r="29">
          <cell r="R29">
            <v>0.24814781807405023</v>
          </cell>
        </row>
        <row r="30">
          <cell r="R30">
            <v>4.0162798835339623E-2</v>
          </cell>
        </row>
        <row r="287">
          <cell r="BP287">
            <v>1.7568385969106291E-2</v>
          </cell>
        </row>
      </sheetData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36230814.926599994</v>
          </cell>
          <cell r="G30">
            <v>6.9999999999999999E-4</v>
          </cell>
          <cell r="H30">
            <v>41235.892000895794</v>
          </cell>
        </row>
        <row r="31">
          <cell r="B31" t="str">
            <v>Industrial</v>
          </cell>
          <cell r="C31">
            <v>20268245.843360003</v>
          </cell>
          <cell r="G31">
            <v>0</v>
          </cell>
          <cell r="H31">
            <v>0</v>
          </cell>
        </row>
        <row r="32">
          <cell r="B32" t="str">
            <v>Comercial</v>
          </cell>
          <cell r="C32">
            <v>17591796.362890005</v>
          </cell>
          <cell r="G32">
            <v>4.0000000000000002E-4</v>
          </cell>
          <cell r="H32">
            <v>11441.143463753537</v>
          </cell>
        </row>
        <row r="33">
          <cell r="B33" t="str">
            <v>Rural</v>
          </cell>
          <cell r="C33">
            <v>12382840.884999996</v>
          </cell>
          <cell r="G33">
            <v>0</v>
          </cell>
          <cell r="H33">
            <v>0</v>
          </cell>
        </row>
        <row r="34">
          <cell r="B34" t="str">
            <v>Iluminação Pública</v>
          </cell>
          <cell r="C34">
            <v>1690159.2630400001</v>
          </cell>
          <cell r="G34">
            <v>0</v>
          </cell>
          <cell r="H34">
            <v>0</v>
          </cell>
        </row>
        <row r="35">
          <cell r="B35" t="str">
            <v>Poder Público</v>
          </cell>
          <cell r="C35">
            <v>2270998.4717800003</v>
          </cell>
          <cell r="G35">
            <v>0</v>
          </cell>
          <cell r="H35">
            <v>0</v>
          </cell>
        </row>
        <row r="36">
          <cell r="B36" t="str">
            <v>Serviço Público</v>
          </cell>
          <cell r="C36">
            <v>2763615.0276800008</v>
          </cell>
          <cell r="G36">
            <v>0</v>
          </cell>
          <cell r="H36">
            <v>0</v>
          </cell>
        </row>
        <row r="37">
          <cell r="B37" t="str">
            <v>Demais</v>
          </cell>
          <cell r="C37">
            <v>605908.44682994485</v>
          </cell>
          <cell r="G37">
            <v>0</v>
          </cell>
          <cell r="H37">
            <v>0</v>
          </cell>
        </row>
        <row r="38">
          <cell r="B38" t="str">
            <v xml:space="preserve">TOTAL </v>
          </cell>
          <cell r="C38">
            <v>93804379.227179945</v>
          </cell>
          <cell r="H38">
            <v>52677.035464649329</v>
          </cell>
        </row>
        <row r="67">
          <cell r="K67">
            <v>1900050.1644926146</v>
          </cell>
        </row>
      </sheetData>
      <sheetData sheetId="9"/>
      <sheetData sheetId="10">
        <row r="39">
          <cell r="F39">
            <v>0.11886869625198027</v>
          </cell>
        </row>
        <row r="40">
          <cell r="F40">
            <v>6.1331836323485749E-3</v>
          </cell>
        </row>
        <row r="41">
          <cell r="F41">
            <v>0</v>
          </cell>
        </row>
        <row r="42">
          <cell r="F42">
            <v>1.2140133034330409E-2</v>
          </cell>
        </row>
        <row r="44">
          <cell r="F44">
            <v>0.10059537958530128</v>
          </cell>
        </row>
      </sheetData>
      <sheetData sheetId="11">
        <row r="33">
          <cell r="C33">
            <v>6.1331836323485749E-3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I9">
            <v>-296957.9409684909</v>
          </cell>
        </row>
        <row r="10">
          <cell r="C10">
            <v>2527675.7013706132</v>
          </cell>
          <cell r="D10">
            <v>2601539.0183601324</v>
          </cell>
          <cell r="E10">
            <v>2779834.7946622977</v>
          </cell>
        </row>
        <row r="11">
          <cell r="C11">
            <v>137114.49481394439</v>
          </cell>
          <cell r="D11">
            <v>149114.97863912801</v>
          </cell>
          <cell r="E11">
            <v>159334.53355916258</v>
          </cell>
        </row>
        <row r="12">
          <cell r="C12">
            <v>692384.78488164605</v>
          </cell>
          <cell r="D12">
            <v>735097.9057275143</v>
          </cell>
          <cell r="E12">
            <v>785477.64281191106</v>
          </cell>
        </row>
        <row r="13">
          <cell r="C13">
            <v>3550454.1384643032</v>
          </cell>
          <cell r="D13">
            <v>3844630.7956933929</v>
          </cell>
          <cell r="E13">
            <v>4108121.532321074</v>
          </cell>
        </row>
        <row r="14">
          <cell r="I14">
            <v>4656301.0962213427</v>
          </cell>
        </row>
        <row r="15">
          <cell r="C15">
            <v>210123.72915161296</v>
          </cell>
          <cell r="D15">
            <v>222201.94121900015</v>
          </cell>
          <cell r="E15">
            <v>237430.49144480558</v>
          </cell>
        </row>
        <row r="16">
          <cell r="C16">
            <v>578695.81198200956</v>
          </cell>
          <cell r="D16">
            <v>602232.76348233293</v>
          </cell>
          <cell r="E16">
            <v>643506.62380958057</v>
          </cell>
        </row>
        <row r="17">
          <cell r="C17">
            <v>1739745.8866436649</v>
          </cell>
          <cell r="D17">
            <v>1915356.7767199348</v>
          </cell>
          <cell r="E17">
            <v>2046625.2378080781</v>
          </cell>
        </row>
        <row r="25">
          <cell r="D25">
            <v>842108.3371</v>
          </cell>
        </row>
        <row r="26">
          <cell r="D26">
            <v>-107442.11169999999</v>
          </cell>
        </row>
        <row r="27">
          <cell r="D27">
            <v>613679.1459</v>
          </cell>
        </row>
        <row r="28">
          <cell r="D28">
            <v>5167537.7770999996</v>
          </cell>
        </row>
        <row r="29">
          <cell r="D29">
            <v>0</v>
          </cell>
        </row>
        <row r="30">
          <cell r="D30">
            <v>189851.23809999999</v>
          </cell>
        </row>
        <row r="31">
          <cell r="D31">
            <v>195454.72070000001</v>
          </cell>
        </row>
        <row r="32">
          <cell r="D32">
            <v>1544469.2914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0.508963541666" createdVersion="4" refreshedVersion="8" minRefreshableVersion="3" recordCount="656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659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50" maxValue="2767"/>
    </cacheField>
    <cacheField name="Daj" numFmtId="4">
      <sharedItems containsSemiMixedTypes="0" containsString="0" containsNumber="1" minValue="-48" maxValue="2656.32"/>
    </cacheField>
    <cacheField name="TUSD_E" numFmtId="4">
      <sharedItems containsSemiMixedTypes="0" containsString="0" containsNumber="1" minValue="-16.928000000000001" maxValue="5049.5609999999997"/>
    </cacheField>
    <cacheField name="TUSD_Eaj" numFmtId="4">
      <sharedItems containsSemiMixedTypes="0" containsString="0" containsNumber="1" minValue="-16.250879999999999" maxValue="5049.5609999999997"/>
    </cacheField>
    <cacheField name="TE_E" numFmtId="4">
      <sharedItems containsSemiMixedTypes="0" containsString="0" containsNumber="1" minValue="-16.928000000000001" maxValue="5049.5609999999997"/>
    </cacheField>
    <cacheField name="TE_Eaj" numFmtId="4">
      <sharedItems containsSemiMixedTypes="0" containsString="0" containsNumber="1" minValue="-16.250879999999999" maxValue="5049.5609999999997"/>
    </cacheField>
    <cacheField name="TUSD/KW" numFmtId="4">
      <sharedItems containsString="0" containsBlank="1" containsNumber="1" minValue="10.220000000000001" maxValue="32.17"/>
    </cacheField>
    <cacheField name="TUSD/MWh" numFmtId="4">
      <sharedItems containsString="0" containsBlank="1" containsNumber="1" minValue="80.27" maxValue="2592.54"/>
    </cacheField>
    <cacheField name="TE" numFmtId="4">
      <sharedItems containsString="0" containsBlank="1" containsNumber="1" minValue="119.22" maxValue="216.76"/>
    </cacheField>
    <cacheField name="ReceitaD" numFmtId="4">
      <sharedItems containsString="0" containsBlank="1" containsNumber="1" minValue="-1608.5" maxValue="89014.39"/>
    </cacheField>
    <cacheField name="ReceitaE" numFmtId="4">
      <sharedItems containsString="0" containsBlank="1" containsNumber="1" minValue="-8809.7857299999996" maxValue="3982235.2914299993"/>
    </cacheField>
    <cacheField name="Total" numFmtId="4">
      <sharedItems containsString="0" containsBlank="1" containsNumber="1" minValue="-8809.7857299999996" maxValue="3982235.2914299993"/>
    </cacheField>
    <cacheField name="Total com Tar de aplicação" numFmtId="4">
      <sharedItems containsString="0" containsBlank="1" containsNumber="1" minValue="-5742.0057099999995" maxValue="2595524.849609999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892.63437702970282" maxValue="306057.00801151613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9.9666279931284869" maxValue="4150.3033624019818"/>
    </cacheField>
    <cacheField name="DISTRIBUICAO" numFmtId="4">
      <sharedItems containsString="0" containsBlank="1" containsNumber="1" minValue="-4763.1319640178344" maxValue="2153050.3449429646"/>
    </cacheField>
    <cacheField name="EnergiaRevenda" numFmtId="4">
      <sharedItems containsString="0" containsBlank="1" containsNumber="1" minValue="-3615.8462059425106" maxValue="1078593.8081005001"/>
    </cacheField>
    <cacheField name="ESSERR" numFmtId="4">
      <sharedItems containsString="0" containsBlank="1" containsNumber="1" minValue="-53.448547378665552" maxValue="15943.507818405114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58.67687057226905" maxValue="47332.734950601218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3.245905342376545" maxValue="9687.4290504482542"/>
    </cacheField>
    <cacheField name="TUST_FR" numFmtId="4">
      <sharedItems containsString="0" containsBlank="1" containsNumber="1" minValue="-99.217445555227812" maxValue="44848.674567657479"/>
    </cacheField>
    <cacheField name="TUST_RB" numFmtId="4">
      <sharedItems containsString="0" containsBlank="1" containsNumber="1" minValue="-337.43667573572543" maxValue="140514.66473143586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minValue="-7.7411523674454958" maxValue="3004.8403549370132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96.10397073834184" maxValue="179048.533039609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39.590000000000003" maxValue="13619.59"/>
    </cacheField>
    <cacheField name="Cofins" numFmtId="4">
      <sharedItems containsSemiMixedTypes="0" containsString="0" containsNumber="1" minValue="-182.03" maxValue="62827.87"/>
    </cacheField>
    <cacheField name="ICMS" numFmtId="4">
      <sharedItems containsSemiMixedTypes="0" containsString="0" containsNumber="1" minValue="-4702.41" maxValue="257982.82"/>
    </cacheField>
    <cacheField name="UC" numFmtId="4">
      <sharedItems containsSemiMixedTypes="0" containsString="0" containsNumber="1" containsInteger="1" minValue="0" maxValue="10590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3432.915" maxValue="8690.5259649999989"/>
    </cacheField>
    <cacheField name="Subs_GerFI" numFmtId="4">
      <sharedItems containsString="0" containsBlank="1" containsNumber="1" minValue="1291.3150000000001" maxValue="1291.315000000000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61.16331999999983" maxValue="5162.4697152000008"/>
    </cacheField>
    <cacheField name="Subs_Rural" numFmtId="4">
      <sharedItems containsString="0" containsBlank="1" containsNumber="1" minValue="-689.02727999999979" maxValue="311456.92247999983"/>
    </cacheField>
    <cacheField name="Subs_Irrigante" numFmtId="4">
      <sharedItems containsString="0" containsBlank="1" containsNumber="1" minValue="-3054.9914159999998" maxValue="78275.447333999997"/>
    </cacheField>
    <cacheField name="Subs_BaixaRenda" numFmtId="4">
      <sharedItems containsString="0" containsBlank="1" containsNumber="1" minValue="-12.523700000000002" maxValue="2700.4675399999996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3900.1258210783431" maxValue="1260647.1814950462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5350.6374999999998" maxValue="2284067.4748"/>
    </cacheField>
    <cacheField name="FinAj" numFmtId="4">
      <sharedItems containsSemiMixedTypes="0" containsString="0" containsNumber="1" minValue="-1220327.8891999992" maxValue="8040.4288424000115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551477.6172499999" maxValue="3432.2897499999999"/>
    </cacheField>
    <cacheField name="FinPostTE" numFmtId="4">
      <sharedItems containsSemiMixedTypes="0" containsString="0" containsNumber="1" minValue="-552.36063999999999" maxValue="164767.17542999997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545.77579934185087" maxValue="195167.07704058313"/>
    </cacheField>
    <cacheField name="finCT_TUST_FR" numFmtId="4">
      <sharedItems containsString="0" containsBlank="1" containsNumber="1" minValue="-10.234430733819593" maxValue="4626.2091389040215"/>
    </cacheField>
    <cacheField name="finCT_TUST_RB" numFmtId="4">
      <sharedItems containsString="0" containsBlank="1" containsNumber="1" minValue="-34.807107414845802" maxValue="14494.301836054161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0.97448764432903623" maxValue="405.7961579047996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552.43162796384468" maxValue="164788.35088213254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minValue="-1.1826989205558469" maxValue="459.08170715923552"/>
    </cacheField>
    <cacheField name="FinCT_perdastec" numFmtId="4">
      <sharedItems containsString="0" containsBlank="1" containsNumber="1" minValue="-60.517054358757605" maxValue="27355.165833395615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4622.545539079874" maxValue="42.647567238106035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917.9512513684822" maxValue="6.429683448356343"/>
    </cacheField>
    <cacheField name="finCT_TFSEE" numFmtId="4">
      <sharedItems containsString="0" containsBlank="1" containsNumber="1" minValue="-421.33172451879182" maxValue="1.0110254573116997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1346.3367714246499" maxValue="74506.276930640131"/>
    </cacheField>
    <cacheField name="DIST_E" numFmtId="4">
      <sharedItems containsString="0" containsBlank="1" containsNumber="1" minValue="-4763.1319640178344" maxValue="2153050.3449429646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551477.6172499997" maxValue="3432.2897500000004"/>
    </cacheField>
    <cacheField name="Fin_TE" numFmtId="4">
      <sharedItems containsString="0" containsBlank="1" containsNumber="1" minValue="-552.36064000000033" maxValue="164767.17543000006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581867.2258433185" maxValue="3499.5198156623346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42" maxValue="242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650.58199999999999"/>
    <n v="650.58199999999999"/>
    <n v="650.58199999999999"/>
    <n v="650.58199999999999"/>
    <m/>
    <n v="571.87"/>
    <n v="216.76"/>
    <m/>
    <n v="513068.48265999998"/>
    <n v="513068.48265999998"/>
    <n v="334405.65382000001"/>
    <n v="0"/>
    <n v="39432.176457745176"/>
    <n v="0"/>
    <n v="0"/>
    <n v="0"/>
    <n v="534.72225845339949"/>
    <n v="277397.54000668257"/>
    <n v="138965.29160884276"/>
    <n v="2054.1506882506492"/>
    <n v="0"/>
    <n v="0"/>
    <n v="0"/>
    <n v="0"/>
    <n v="6098.3173328596376"/>
    <m/>
    <n v="1248.1217607825167"/>
    <n v="5778.2726850068229"/>
    <n v="18103.8136999052"/>
    <n v="0"/>
    <n v="0"/>
    <n v="0"/>
    <n v="0"/>
    <n v="0"/>
    <n v="0"/>
    <n v="0"/>
    <n v="0"/>
    <n v="0"/>
    <n v="0"/>
    <m/>
    <n v="0"/>
    <n v="0"/>
    <n v="387.14158474283846"/>
    <n v="0"/>
    <n v="0"/>
    <n v="23068.4910474346"/>
    <n v="0"/>
    <n v="2546.63"/>
    <n v="11772.94"/>
    <n v="162624.64000000001"/>
    <n v="4399"/>
    <m/>
    <m/>
    <m/>
    <m/>
    <m/>
    <m/>
    <m/>
    <m/>
    <m/>
    <n v="162420.9242410202"/>
    <m/>
    <m/>
    <m/>
    <m/>
    <m/>
    <m/>
    <m/>
    <m/>
    <m/>
    <m/>
    <m/>
    <m/>
    <n v="334404.62580000004"/>
    <n v="-178663.88685999997"/>
    <m/>
    <m/>
    <m/>
    <m/>
    <n v="-199891.31950000001"/>
    <n v="21228.490659999996"/>
    <n v="31"/>
    <n v="25145.193278230843"/>
    <n v="596.03763456000524"/>
    <n v="1867.4359765341578"/>
    <n v="0"/>
    <n v="0"/>
    <n v="0"/>
    <n v="0"/>
    <n v="0"/>
    <n v="52.282500597976764"/>
    <n v="0"/>
    <n v="0"/>
    <n v="21231.218890830205"/>
    <n v="0"/>
    <n v="0"/>
    <n v="59.147774471299499"/>
    <n v="3524.4209344579031"/>
    <n v="0"/>
    <n v="-1883.9588078856032"/>
    <m/>
    <n v="0"/>
    <n v="0"/>
    <n v="0"/>
    <n v="0"/>
    <n v="-247.10753291579476"/>
    <n v="-54.284092419298076"/>
    <n v="0"/>
    <n v="0"/>
    <m/>
    <m/>
    <m/>
    <n v="277397.54000668257"/>
    <n v="0"/>
    <n v="0"/>
    <n v="-199891.31950000001"/>
    <n v="21228.490659999981"/>
    <n v="0"/>
    <n v="0"/>
    <n v="-203806.69597289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38100000000000001"/>
    <n v="-0.38100000000000001"/>
    <n v="-0.38100000000000001"/>
    <n v="-0.38100000000000001"/>
    <m/>
    <n v="571.87"/>
    <n v="216.76"/>
    <m/>
    <n v="-300.46803"/>
    <n v="-300.46803"/>
    <n v="-195.83780999999999"/>
    <n v="0"/>
    <n v="-23.092645093778973"/>
    <n v="0"/>
    <n v="0"/>
    <n v="0"/>
    <n v="-0.31314911951259827"/>
    <n v="-162.45217780778756"/>
    <n v="-81.382171813805314"/>
    <n v="-1.2029712045883492"/>
    <n v="0"/>
    <n v="0"/>
    <n v="0"/>
    <n v="0"/>
    <n v="-3.5713544239150821"/>
    <m/>
    <n v="-0.73093690089510455"/>
    <n v="-3.3839268424081816"/>
    <n v="-10.602127048802274"/>
    <n v="0"/>
    <n v="0"/>
    <n v="0"/>
    <n v="0"/>
    <n v="0"/>
    <n v="0"/>
    <n v="0"/>
    <n v="0"/>
    <n v="0"/>
    <n v="0"/>
    <m/>
    <n v="0"/>
    <n v="0"/>
    <n v="-0.22672152593680961"/>
    <n v="0"/>
    <n v="0"/>
    <n v="-13.5095884747389"/>
    <n v="0"/>
    <n v="-1.21"/>
    <n v="-5.54"/>
    <n v="-115.26"/>
    <n v="0"/>
    <m/>
    <m/>
    <m/>
    <m/>
    <m/>
    <m/>
    <m/>
    <m/>
    <m/>
    <n v="-95.118481814481029"/>
    <m/>
    <m/>
    <m/>
    <m/>
    <m/>
    <m/>
    <m/>
    <m/>
    <m/>
    <m/>
    <m/>
    <m/>
    <n v="-195.32380000000001"/>
    <n v="105.11423000000002"/>
    <m/>
    <m/>
    <m/>
    <m/>
    <n v="117.06225000000001"/>
    <n v="-12.432029999999999"/>
    <n v="31"/>
    <n v="-14.725766527518374"/>
    <n v="-0.34905721149272795"/>
    <n v="-1.0936255645860395"/>
    <n v="0"/>
    <n v="0"/>
    <n v="0"/>
    <n v="0"/>
    <n v="0"/>
    <n v="-3.0618173770299739E-2"/>
    <n v="0"/>
    <n v="0"/>
    <n v="-12.433627732409306"/>
    <n v="0"/>
    <n v="0"/>
    <n v="-3.463868055612529E-2"/>
    <n v="-2.0640048080464286"/>
    <n v="0"/>
    <n v="1.1033018217602333"/>
    <m/>
    <n v="0"/>
    <n v="0"/>
    <n v="0"/>
    <n v="0"/>
    <n v="0.14471345662947588"/>
    <n v="3.1790364952846262E-2"/>
    <n v="0"/>
    <n v="0"/>
    <m/>
    <m/>
    <m/>
    <n v="-162.45217780778756"/>
    <n v="0"/>
    <n v="0"/>
    <n v="117.06225000000001"/>
    <n v="-12.432029999999997"/>
    <n v="0"/>
    <n v="0"/>
    <n v="119.3552098977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2.275"/>
    <n v="12.275"/>
    <n v="12.275"/>
    <n v="12.275"/>
    <m/>
    <n v="571.87"/>
    <n v="216.76"/>
    <m/>
    <n v="9680.43325"/>
    <n v="9680.43325"/>
    <n v="6309.4727499999999"/>
    <n v="0"/>
    <n v="743.9953242155824"/>
    <n v="0"/>
    <n v="0"/>
    <n v="0"/>
    <n v="10.08899066146232"/>
    <n v="5233.8595343585102"/>
    <n v="2621.9584226101319"/>
    <n v="38.757143139952724"/>
    <n v="0"/>
    <n v="0"/>
    <n v="0"/>
    <n v="0"/>
    <n v="115.06135315894392"/>
    <m/>
    <n v="23.549213801804221"/>
    <n v="109.02283987023735"/>
    <n v="341.57771528621504"/>
    <n v="0"/>
    <n v="0"/>
    <n v="0"/>
    <n v="0"/>
    <n v="0"/>
    <n v="0"/>
    <n v="0"/>
    <n v="0"/>
    <n v="0"/>
    <n v="0"/>
    <m/>
    <n v="0"/>
    <n v="0"/>
    <n v="7.3044796085940629"/>
    <n v="0"/>
    <n v="0"/>
    <n v="435.24986490136479"/>
    <n v="0"/>
    <n v="49.36"/>
    <n v="228.04"/>
    <n v="5563.11"/>
    <n v="115"/>
    <m/>
    <m/>
    <m/>
    <m/>
    <m/>
    <m/>
    <m/>
    <m/>
    <m/>
    <n v="3064.5127671200908"/>
    <m/>
    <m/>
    <m/>
    <m/>
    <m/>
    <m/>
    <m/>
    <m/>
    <m/>
    <m/>
    <m/>
    <m/>
    <n v="6312.0427999999993"/>
    <n v="-3368.4204500000014"/>
    <m/>
    <m/>
    <m/>
    <m/>
    <n v="-3771.4937500000001"/>
    <n v="400.53324999999995"/>
    <n v="31"/>
    <n v="474.43250426584746"/>
    <n v="11.245872102554429"/>
    <n v="35.234261956151215"/>
    <n v="0"/>
    <n v="0"/>
    <n v="0"/>
    <n v="0"/>
    <n v="0"/>
    <n v="0.9864516614971901"/>
    <n v="0"/>
    <n v="0"/>
    <n v="400.58472549953876"/>
    <n v="0"/>
    <n v="0"/>
    <n v="1.1159837370772649"/>
    <n v="66.497792700183538"/>
    <n v="0"/>
    <n v="-35.546010136763357"/>
    <m/>
    <n v="0"/>
    <n v="0"/>
    <n v="0"/>
    <n v="0"/>
    <n v="-4.6623561158184117"/>
    <n v="-1.0242171385726699"/>
    <n v="0"/>
    <n v="0"/>
    <m/>
    <m/>
    <m/>
    <n v="5233.8595343585102"/>
    <n v="0"/>
    <n v="0"/>
    <n v="-3771.4937500000005"/>
    <n v="400.53324999999995"/>
    <n v="0"/>
    <n v="0"/>
    <n v="-3845.367982924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3.33"/>
    <n v="3.33"/>
    <n v="3.33"/>
    <n v="3.33"/>
    <m/>
    <n v="501.89"/>
    <n v="216.76"/>
    <m/>
    <n v="2393.1044999999999"/>
    <n v="2393.1044999999999"/>
    <n v="1489.509"/>
    <n v="0"/>
    <n v="0"/>
    <n v="0"/>
    <n v="0"/>
    <n v="0"/>
    <n v="2.7369726193620796"/>
    <n v="1419.8576170601905"/>
    <n v="711.29299774270794"/>
    <n v="10.51415777238636"/>
    <n v="0"/>
    <n v="0"/>
    <n v="0"/>
    <n v="0"/>
    <n v="0"/>
    <m/>
    <n v="6.3885036219965832"/>
    <n v="29.576053504512455"/>
    <n v="92.664260032838783"/>
    <n v="0"/>
    <n v="0"/>
    <n v="0"/>
    <n v="0"/>
    <n v="0"/>
    <n v="0"/>
    <n v="0"/>
    <n v="0"/>
    <n v="0"/>
    <n v="0"/>
    <m/>
    <n v="0"/>
    <n v="0"/>
    <n v="1.9815818408650288"/>
    <n v="0"/>
    <n v="0"/>
    <n v="118.07593076346598"/>
    <n v="0"/>
    <n v="3.22"/>
    <n v="15.38"/>
    <n v="212"/>
    <n v="6"/>
    <m/>
    <m/>
    <m/>
    <m/>
    <m/>
    <m/>
    <m/>
    <n v="968.16419999999994"/>
    <m/>
    <n v="831.35051034703895"/>
    <m/>
    <m/>
    <m/>
    <m/>
    <m/>
    <m/>
    <m/>
    <m/>
    <m/>
    <m/>
    <m/>
    <m/>
    <n v="521.34479999999996"/>
    <n v="-316.28010000000006"/>
    <m/>
    <m/>
    <m/>
    <m/>
    <n v="-1012.2534000000001"/>
    <n v="108.65789999999998"/>
    <n v="31"/>
    <n v="139.61336853982652"/>
    <n v="3.0508149980860502"/>
    <n v="9.5584596589803255"/>
    <n v="0"/>
    <n v="0"/>
    <n v="0"/>
    <n v="0"/>
    <n v="0"/>
    <n v="0.26760766051206852"/>
    <n v="0"/>
    <n v="0"/>
    <n v="108.67186443286869"/>
    <n v="0"/>
    <n v="0"/>
    <n v="0.30274752297085894"/>
    <n v="18.039727062453039"/>
    <n v="0"/>
    <n v="0"/>
    <m/>
    <n v="0"/>
    <n v="0"/>
    <n v="0"/>
    <n v="0"/>
    <n v="0"/>
    <n v="-0.27785279604456203"/>
    <n v="0"/>
    <n v="0"/>
    <m/>
    <m/>
    <m/>
    <n v="1419.8576170601905"/>
    <n v="0"/>
    <n v="0"/>
    <n v="-1012.2533999999999"/>
    <n v="108.65790000000004"/>
    <n v="0"/>
    <n v="0"/>
    <n v="-1043.1833306020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6.33"/>
    <n v="6.33"/>
    <n v="6.33"/>
    <n v="6.33"/>
    <m/>
    <n v="501.89"/>
    <n v="216.76"/>
    <m/>
    <n v="4549.0545000000002"/>
    <n v="4549.0545000000002"/>
    <n v="2831.4089999999997"/>
    <n v="0"/>
    <n v="0"/>
    <n v="0"/>
    <n v="0"/>
    <n v="0"/>
    <n v="5.2027137178864757"/>
    <n v="2699.0086234207224"/>
    <n v="1352.0975002136158"/>
    <n v="19.986371981743439"/>
    <n v="0"/>
    <n v="0"/>
    <n v="0"/>
    <n v="0"/>
    <n v="0"/>
    <m/>
    <n v="12.143912290461973"/>
    <n v="56.221146751820974"/>
    <n v="176.14557537773857"/>
    <n v="0"/>
    <n v="0"/>
    <n v="0"/>
    <n v="0"/>
    <n v="0"/>
    <n v="0"/>
    <n v="0"/>
    <n v="0"/>
    <n v="0"/>
    <n v="0"/>
    <m/>
    <n v="0"/>
    <n v="0"/>
    <n v="3.766790706509199"/>
    <n v="0"/>
    <n v="0"/>
    <n v="224.45064316298487"/>
    <n v="0"/>
    <n v="12.17"/>
    <n v="56.19"/>
    <n v="784.31"/>
    <n v="35"/>
    <m/>
    <m/>
    <m/>
    <m/>
    <m/>
    <m/>
    <m/>
    <n v="1132.5002999999999"/>
    <m/>
    <n v="1580.3149340831101"/>
    <m/>
    <m/>
    <m/>
    <m/>
    <m/>
    <m/>
    <m/>
    <m/>
    <m/>
    <m/>
    <m/>
    <m/>
    <n v="1698.9087"/>
    <n v="-1030.5540000000001"/>
    <m/>
    <m/>
    <m/>
    <m/>
    <n v="-1924.1934000000001"/>
    <n v="206.54789999999997"/>
    <n v="31"/>
    <n v="265.39117803516547"/>
    <n v="5.7992969783437474"/>
    <n v="18.169684576980643"/>
    <n v="0"/>
    <n v="0"/>
    <n v="0"/>
    <n v="0"/>
    <n v="0"/>
    <n v="0.50869564295537284"/>
    <n v="0"/>
    <n v="0"/>
    <n v="206.57444500302086"/>
    <n v="0"/>
    <n v="0"/>
    <n v="0.57549303916082195"/>
    <n v="34.291733425023324"/>
    <n v="0"/>
    <n v="0"/>
    <m/>
    <n v="0"/>
    <n v="0"/>
    <n v="0"/>
    <n v="0"/>
    <n v="0"/>
    <n v="-0.52817063031894129"/>
    <n v="0"/>
    <n v="0"/>
    <m/>
    <m/>
    <m/>
    <n v="2699.0086234207224"/>
    <n v="0"/>
    <n v="0"/>
    <n v="-1924.1933999999999"/>
    <n v="206.54790000000003"/>
    <n v="0"/>
    <n v="0"/>
    <n v="-1982.9881329462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74"/>
    <n v="4.74"/>
    <n v="4.74"/>
    <n v="4.74"/>
    <m/>
    <n v="501.89"/>
    <n v="216.76"/>
    <m/>
    <n v="3406.4009999999998"/>
    <n v="3406.4009999999998"/>
    <n v="2120.2020000000002"/>
    <n v="0"/>
    <n v="0"/>
    <n v="0"/>
    <n v="0"/>
    <n v="0"/>
    <n v="3.8958709356685457"/>
    <n v="2021.0585900496405"/>
    <n v="1012.4711139040347"/>
    <n v="14.966098450784187"/>
    <n v="0"/>
    <n v="0"/>
    <n v="0"/>
    <n v="0"/>
    <n v="0"/>
    <m/>
    <n v="9.0935456961753172"/>
    <n v="42.09924733074746"/>
    <n v="131.9004782449417"/>
    <n v="0"/>
    <n v="0"/>
    <n v="0"/>
    <n v="0"/>
    <n v="0"/>
    <n v="0"/>
    <n v="0"/>
    <n v="0"/>
    <n v="0"/>
    <n v="0"/>
    <m/>
    <n v="0"/>
    <n v="0"/>
    <n v="2.8206300077177886"/>
    <n v="0"/>
    <n v="0"/>
    <n v="168.07204559123986"/>
    <n v="0"/>
    <n v="15.23"/>
    <n v="71.16"/>
    <n v="1011.71"/>
    <n v="50"/>
    <m/>
    <m/>
    <m/>
    <m/>
    <m/>
    <m/>
    <m/>
    <n v="212.02019999999996"/>
    <m/>
    <n v="1183.3637895029924"/>
    <m/>
    <m/>
    <m/>
    <m/>
    <m/>
    <m/>
    <m/>
    <m/>
    <m/>
    <m/>
    <m/>
    <m/>
    <n v="1908.1818000000001"/>
    <n v="-1157.5854000000006"/>
    <m/>
    <m/>
    <m/>
    <m/>
    <n v="-1440.8652000000002"/>
    <n v="154.66619999999998"/>
    <n v="31"/>
    <n v="198.7289390026358"/>
    <n v="4.3426015288071653"/>
    <n v="13.60573537044047"/>
    <n v="0"/>
    <n v="0"/>
    <n v="0"/>
    <n v="0"/>
    <n v="0"/>
    <n v="0.38091901226042157"/>
    <n v="0"/>
    <n v="0"/>
    <n v="154.68607730084011"/>
    <n v="0"/>
    <n v="0"/>
    <n v="0.43093791558014161"/>
    <n v="25.678170052861077"/>
    <n v="0"/>
    <n v="0"/>
    <m/>
    <n v="0"/>
    <n v="0"/>
    <n v="0"/>
    <n v="0"/>
    <n v="0"/>
    <n v="-0.39550217815352084"/>
    <n v="0"/>
    <n v="0"/>
    <m/>
    <m/>
    <m/>
    <n v="2021.0585900496405"/>
    <n v="0"/>
    <n v="0"/>
    <n v="-1440.8652"/>
    <n v="154.66620000000012"/>
    <n v="0"/>
    <n v="0"/>
    <n v="-1484.89158770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.585"/>
    <n v="1.585"/>
    <n v="1.585"/>
    <n v="1.585"/>
    <m/>
    <n v="501.89"/>
    <n v="216.76"/>
    <m/>
    <n v="1139.06025"/>
    <n v="1139.06025"/>
    <n v="708.9704999999999"/>
    <n v="0"/>
    <n v="0"/>
    <n v="0"/>
    <n v="0"/>
    <n v="0"/>
    <n v="1.3027332137203891"/>
    <n v="675.81811502714777"/>
    <n v="338.55837880546306"/>
    <n v="5.0044865072769902"/>
    <n v="0"/>
    <n v="0"/>
    <n v="0"/>
    <n v="0"/>
    <n v="0"/>
    <m/>
    <n v="3.0407742465058809"/>
    <n v="14.077490932328001"/>
    <n v="44.105961607222056"/>
    <n v="0"/>
    <n v="0"/>
    <n v="0"/>
    <n v="0"/>
    <n v="0"/>
    <n v="0"/>
    <n v="0"/>
    <n v="0"/>
    <n v="0"/>
    <n v="0"/>
    <m/>
    <n v="0"/>
    <n v="0"/>
    <n v="0.94318535068200315"/>
    <n v="0"/>
    <n v="0"/>
    <n v="56.201306384412483"/>
    <n v="0"/>
    <n v="7.44"/>
    <n v="34.61"/>
    <n v="490.62"/>
    <n v="20"/>
    <m/>
    <m/>
    <m/>
    <m/>
    <m/>
    <m/>
    <m/>
    <m/>
    <m/>
    <n v="395.70287054055757"/>
    <m/>
    <m/>
    <m/>
    <m/>
    <m/>
    <m/>
    <m/>
    <m/>
    <m/>
    <m/>
    <m/>
    <m/>
    <n v="711.20699999999999"/>
    <n v="-427.88324999999998"/>
    <m/>
    <m/>
    <m/>
    <m/>
    <n v="-481.80830000000003"/>
    <n v="51.718549999999993"/>
    <n v="31"/>
    <n v="66.452609350037505"/>
    <n v="1.4521146462361507"/>
    <n v="4.5495971650101623"/>
    <n v="0"/>
    <n v="0"/>
    <n v="0"/>
    <n v="0"/>
    <n v="0"/>
    <n v="0.12737481739087952"/>
    <n v="0"/>
    <n v="0"/>
    <n v="51.72519673456361"/>
    <n v="0"/>
    <n v="0"/>
    <n v="0.14410054772036385"/>
    <n v="8.58647669489131"/>
    <n v="0"/>
    <n v="0"/>
    <m/>
    <n v="0"/>
    <n v="0"/>
    <n v="0"/>
    <n v="0"/>
    <n v="0"/>
    <n v="-0.13225125577496399"/>
    <n v="0"/>
    <n v="0"/>
    <m/>
    <m/>
    <m/>
    <n v="675.81811502714777"/>
    <n v="0"/>
    <n v="0"/>
    <n v="-481.80829999999997"/>
    <n v="51.718549999999993"/>
    <n v="0"/>
    <n v="0"/>
    <n v="-496.5302039051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28.652999999999999"/>
    <n v="28.652999999999999"/>
    <n v="28.652999999999999"/>
    <n v="28.652999999999999"/>
    <m/>
    <n v="571.87"/>
    <n v="216.76"/>
    <m/>
    <n v="22596.615389999999"/>
    <n v="22596.615389999999"/>
    <n v="14727.928529999999"/>
    <n v="0"/>
    <n v="1736.6760101628581"/>
    <n v="0"/>
    <n v="0"/>
    <n v="0"/>
    <n v="23.550293232006503"/>
    <n v="12217.171261749441"/>
    <n v="6120.3238030996417"/>
    <n v="90.469117913569463"/>
    <n v="0"/>
    <n v="0"/>
    <n v="0"/>
    <n v="0"/>
    <n v="268.5827252189996"/>
    <m/>
    <n v="54.969908192512932"/>
    <n v="254.48728560504364"/>
    <n v="797.33004285913796"/>
    <n v="0"/>
    <n v="0"/>
    <n v="0"/>
    <n v="0"/>
    <n v="0"/>
    <n v="0"/>
    <n v="0"/>
    <n v="0"/>
    <n v="0"/>
    <n v="0"/>
    <m/>
    <n v="0"/>
    <n v="0"/>
    <n v="17.050529875767467"/>
    <n v="0"/>
    <n v="0"/>
    <n v="1015.9848781278049"/>
    <n v="0"/>
    <n v="96.22"/>
    <n v="441.65"/>
    <n v="3679.4"/>
    <n v="22"/>
    <m/>
    <m/>
    <m/>
    <m/>
    <m/>
    <m/>
    <m/>
    <m/>
    <m/>
    <n v="7153.359211103214"/>
    <m/>
    <m/>
    <m/>
    <m/>
    <m/>
    <m/>
    <m/>
    <m/>
    <m/>
    <m/>
    <m/>
    <m/>
    <n v="14726.386499999999"/>
    <n v="-7870.2588899999955"/>
    <m/>
    <m/>
    <m/>
    <m/>
    <n v="-8803.6342499999992"/>
    <n v="934.94738999999981"/>
    <n v="31"/>
    <n v="1107.4472134199041"/>
    <n v="26.250751393441277"/>
    <n v="82.245809191820854"/>
    <n v="0"/>
    <n v="0"/>
    <n v="0"/>
    <n v="0"/>
    <n v="0"/>
    <n v="2.3026313203160065"/>
    <n v="0"/>
    <n v="0"/>
    <n v="935.06754702552189"/>
    <n v="0"/>
    <n v="0"/>
    <n v="2.6049924251303374"/>
    <n v="155.22291276890905"/>
    <n v="0"/>
    <n v="-82.973509445921309"/>
    <m/>
    <n v="0"/>
    <n v="0"/>
    <n v="0"/>
    <n v="0"/>
    <n v="-10.883135624158456"/>
    <n v="-2.3907856351546002"/>
    <n v="0"/>
    <n v="0"/>
    <m/>
    <m/>
    <m/>
    <n v="12217.171261749441"/>
    <n v="0"/>
    <n v="0"/>
    <n v="-8803.6342499999992"/>
    <n v="934.94738999999936"/>
    <n v="0"/>
    <n v="0"/>
    <n v="-8976.0756671894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1.9019999999999999"/>
    <n v="1.9019999999999999"/>
    <n v="1.9019999999999999"/>
    <n v="1.9019999999999999"/>
    <m/>
    <n v="571.87"/>
    <n v="216.76"/>
    <m/>
    <n v="1499.97426"/>
    <n v="1499.97426"/>
    <n v="977.64701999999988"/>
    <n v="0"/>
    <n v="115.28139361776275"/>
    <n v="0"/>
    <n v="0"/>
    <n v="0"/>
    <n v="1.563279856464467"/>
    <n v="810.98173803257725"/>
    <n v="406.27005456655564"/>
    <n v="6.0053838087323888"/>
    <n v="0"/>
    <n v="0"/>
    <n v="0"/>
    <n v="0"/>
    <n v="17.828651218599699"/>
    <m/>
    <n v="3.6489290958070568"/>
    <n v="16.892989118793601"/>
    <n v="52.927153928666471"/>
    <n v="0"/>
    <n v="0"/>
    <n v="0"/>
    <n v="0"/>
    <n v="0"/>
    <n v="0"/>
    <n v="0"/>
    <n v="0"/>
    <n v="0"/>
    <n v="0"/>
    <m/>
    <n v="0"/>
    <n v="0"/>
    <n v="1.1318224208184038"/>
    <n v="0"/>
    <n v="0"/>
    <n v="67.441567661294968"/>
    <n v="0"/>
    <n v="5.9"/>
    <n v="27.13"/>
    <n v="734.08"/>
    <n v="4"/>
    <m/>
    <m/>
    <m/>
    <m/>
    <m/>
    <m/>
    <m/>
    <m/>
    <m/>
    <n v="474.84344464866905"/>
    <m/>
    <m/>
    <m/>
    <m/>
    <m/>
    <m/>
    <m/>
    <m/>
    <m/>
    <m/>
    <m/>
    <m/>
    <n v="976.61899999999991"/>
    <n v="-523.38526000000002"/>
    <m/>
    <m/>
    <m/>
    <m/>
    <n v="-584.3895"/>
    <n v="62.062259999999988"/>
    <n v="31"/>
    <n v="73.512881720052633"/>
    <n v="1.7425375754833823"/>
    <n v="5.4595165980121934"/>
    <n v="0"/>
    <n v="0"/>
    <n v="0"/>
    <n v="0"/>
    <n v="0"/>
    <n v="0.15284978086905521"/>
    <n v="0"/>
    <n v="0"/>
    <n v="62.070236081476367"/>
    <n v="0"/>
    <n v="0"/>
    <n v="0.17292065726443639"/>
    <n v="10.303772033869578"/>
    <n v="0"/>
    <n v="-5.5078216928817909"/>
    <m/>
    <n v="0"/>
    <n v="0"/>
    <n v="0"/>
    <n v="0"/>
    <n v="-0.72242780711092536"/>
    <n v="-0.15870150692995644"/>
    <n v="0"/>
    <n v="0"/>
    <m/>
    <m/>
    <m/>
    <n v="810.98173803257725"/>
    <n v="0"/>
    <n v="0"/>
    <n v="-584.38949999999988"/>
    <n v="62.062259999999981"/>
    <n v="0"/>
    <n v="0"/>
    <n v="-595.8362446862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"/>
    <s v="Regular"/>
    <s v="Verde"/>
    <s v="A4"/>
    <s v="Industrial"/>
    <s v="Não se aplica"/>
    <s v="Não se aplica"/>
    <s v="Não se aplica"/>
    <s v="Ponta"/>
    <s v="CATIVO"/>
    <x v="0"/>
    <n v="0"/>
    <n v="0"/>
    <n v="7.8550000000000004"/>
    <n v="7.8550000000000004"/>
    <n v="7.8550000000000004"/>
    <n v="7.8550000000000004"/>
    <m/>
    <n v="2592.54"/>
    <n v="216.76"/>
    <m/>
    <n v="22067.051500000001"/>
    <n v="22067.051500000001"/>
    <n v="9278.3260000000009"/>
    <n v="0"/>
    <n v="414.20386528640807"/>
    <n v="0"/>
    <n v="0"/>
    <n v="0"/>
    <n v="39.719869551509014"/>
    <n v="17994.952767170635"/>
    <n v="1677.839788969661"/>
    <n v="24.801414204833289"/>
    <n v="0"/>
    <n v="0"/>
    <n v="0"/>
    <n v="0"/>
    <n v="73.629892388065542"/>
    <m/>
    <n v="10.78666035351889"/>
    <n v="354.3773159532401"/>
    <n v="1344.7818812298951"/>
    <n v="0"/>
    <n v="0"/>
    <n v="0"/>
    <n v="0"/>
    <n v="0"/>
    <n v="0"/>
    <n v="0"/>
    <n v="0"/>
    <n v="0"/>
    <n v="0"/>
    <m/>
    <n v="0"/>
    <n v="0"/>
    <n v="3.5920812763636798"/>
    <n v="0"/>
    <n v="0"/>
    <n v="128.32051187651703"/>
    <n v="0"/>
    <n v="0"/>
    <n v="0"/>
    <n v="0"/>
    <n v="0"/>
    <m/>
    <m/>
    <m/>
    <m/>
    <m/>
    <m/>
    <m/>
    <m/>
    <m/>
    <n v="1809.7523821225416"/>
    <m/>
    <m/>
    <m/>
    <m/>
    <m/>
    <m/>
    <m/>
    <m/>
    <m/>
    <m/>
    <m/>
    <m/>
    <n v="9284.232"/>
    <n v="-12782.849499999997"/>
    <m/>
    <m/>
    <m/>
    <m/>
    <n v="-13045.034150000001"/>
    <n v="256.30865"/>
    <n v="31"/>
    <n v="432.40759883837291"/>
    <n v="36.554560273792617"/>
    <n v="138.71630073242727"/>
    <n v="0"/>
    <n v="0"/>
    <n v="0"/>
    <n v="0"/>
    <n v="0"/>
    <n v="3.8836126058876559"/>
    <n v="0"/>
    <n v="0"/>
    <n v="256.34159012618125"/>
    <n v="0"/>
    <n v="0"/>
    <n v="0.54880080464119629"/>
    <n v="19.604901657763435"/>
    <n v="0"/>
    <n v="-19.789499093532811"/>
    <m/>
    <n v="0"/>
    <n v="0"/>
    <n v="0"/>
    <n v="0"/>
    <n v="-2.9835280887783"/>
    <n v="-0.46914018000847157"/>
    <n v="0"/>
    <n v="0"/>
    <m/>
    <m/>
    <m/>
    <n v="17994.952767170635"/>
    <n v="0"/>
    <n v="0"/>
    <n v="-13045.034150000003"/>
    <n v="256.30865000000017"/>
    <n v="0"/>
    <n v="0"/>
    <n v="-13221.068462168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Fora ponta"/>
    <s v="CATIVO"/>
    <x v="0"/>
    <n v="0"/>
    <n v="0"/>
    <n v="125.55"/>
    <n v="125.55"/>
    <n v="125.55"/>
    <n v="125.55"/>
    <m/>
    <n v="80.27"/>
    <n v="216.76"/>
    <m/>
    <n v="37292.116499999996"/>
    <n v="37292.116499999996"/>
    <n v="41339.8485"/>
    <n v="0"/>
    <n v="6620.4067837948478"/>
    <n v="0"/>
    <n v="0"/>
    <n v="0"/>
    <n v="0"/>
    <n v="0"/>
    <n v="26817.668428407498"/>
    <n v="396.41216466159381"/>
    <n v="0"/>
    <n v="0"/>
    <n v="0"/>
    <n v="0"/>
    <n v="1176.8597058334344"/>
    <m/>
    <n v="172.40804677075704"/>
    <n v="0"/>
    <n v="0"/>
    <n v="0"/>
    <n v="0"/>
    <n v="0"/>
    <n v="0"/>
    <n v="0"/>
    <n v="0"/>
    <n v="0"/>
    <n v="0"/>
    <n v="0"/>
    <n v="0"/>
    <m/>
    <n v="0"/>
    <n v="0"/>
    <n v="57.413851591019728"/>
    <n v="0"/>
    <n v="0"/>
    <n v="2051.0044896367554"/>
    <n v="0"/>
    <n v="0"/>
    <n v="0"/>
    <n v="0"/>
    <n v="0"/>
    <m/>
    <m/>
    <m/>
    <m/>
    <m/>
    <m/>
    <m/>
    <m/>
    <m/>
    <n v="28926.086769635273"/>
    <m/>
    <m/>
    <m/>
    <m/>
    <m/>
    <m/>
    <m/>
    <m/>
    <m/>
    <m/>
    <m/>
    <m/>
    <n v="41339.8485"/>
    <n v="4047.7020000000048"/>
    <m/>
    <m/>
    <m/>
    <m/>
    <n v="-48.964500000000072"/>
    <n v="4096.6964999999991"/>
    <n v="31"/>
    <n v="4047.8586724580236"/>
    <n v="0"/>
    <n v="0"/>
    <n v="0"/>
    <n v="0"/>
    <n v="0"/>
    <n v="0"/>
    <n v="0"/>
    <n v="0"/>
    <n v="0"/>
    <n v="0"/>
    <n v="4097.2229968608626"/>
    <n v="0"/>
    <n v="0"/>
    <n v="8.7717302384089422"/>
    <n v="313.35396602574156"/>
    <n v="0"/>
    <n v="-316.30446991636472"/>
    <m/>
    <n v="0"/>
    <n v="0"/>
    <n v="0"/>
    <n v="0"/>
    <n v="-47.687072125539771"/>
    <n v="-7.4984786250876709"/>
    <n v="0"/>
    <n v="0"/>
    <m/>
    <m/>
    <m/>
    <n v="0"/>
    <n v="0"/>
    <n v="0"/>
    <n v="-48.964500000000044"/>
    <n v="4096.6965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Não se aplica"/>
    <s v="CATIVO"/>
    <x v="0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435.24"/>
    <n v="1996.13"/>
    <n v="16552.53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n v="31"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3"/>
    <s v="Regular"/>
    <s v="Convencional"/>
    <s v="B3"/>
    <s v="Comercial"/>
    <s v="Não se aplica"/>
    <s v="Não se aplica"/>
    <s v="Não se aplica"/>
    <s v="Não se aplica"/>
    <s v="CATIVO"/>
    <x v="0"/>
    <n v="0"/>
    <n v="0"/>
    <n v="196.85900000000001"/>
    <n v="196.85900000000001"/>
    <n v="196.85900000000001"/>
    <n v="196.85900000000001"/>
    <m/>
    <n v="571.87"/>
    <n v="216.76"/>
    <m/>
    <n v="155248.91317000001"/>
    <n v="155248.91317000001"/>
    <n v="101187.49459"/>
    <n v="0"/>
    <n v="11931.745460672533"/>
    <n v="0"/>
    <n v="0"/>
    <n v="0"/>
    <n v="161.80110897147136"/>
    <n v="83937.462653709328"/>
    <n v="42049.377850640165"/>
    <n v="621.5635390132752"/>
    <n v="0"/>
    <n v="0"/>
    <n v="0"/>
    <n v="0"/>
    <n v="1845.2841483923862"/>
    <m/>
    <n v="377.66799835514274"/>
    <n v="1748.442137190636"/>
    <n v="5478.0160858272102"/>
    <n v="0"/>
    <n v="0"/>
    <n v="0"/>
    <n v="0"/>
    <n v="0"/>
    <n v="0"/>
    <n v="0"/>
    <n v="0"/>
    <n v="0"/>
    <n v="0"/>
    <m/>
    <n v="0"/>
    <n v="0"/>
    <n v="117.14481069394856"/>
    <n v="0"/>
    <n v="0"/>
    <n v="6980.2731694189633"/>
    <n v="0"/>
    <n v="774.56"/>
    <n v="3566.92"/>
    <n v="51110.12"/>
    <n v="692"/>
    <m/>
    <m/>
    <m/>
    <m/>
    <m/>
    <m/>
    <m/>
    <m/>
    <m/>
    <n v="49146.795830753079"/>
    <m/>
    <m/>
    <m/>
    <m/>
    <m/>
    <m/>
    <m/>
    <m/>
    <m/>
    <m/>
    <m/>
    <m/>
    <n v="101188.0086"/>
    <n v="-54060.934570000012"/>
    <m/>
    <m/>
    <m/>
    <m/>
    <n v="-60484.927750000003"/>
    <n v="6423.5091699999994"/>
    <n v="31"/>
    <n v="7608.6605586371297"/>
    <n v="180.35447138385007"/>
    <n v="565.06570871087388"/>
    <n v="0"/>
    <n v="0"/>
    <n v="0"/>
    <n v="0"/>
    <n v="0"/>
    <n v="15.820113045268869"/>
    <n v="0"/>
    <n v="0"/>
    <n v="6424.3347028198477"/>
    <n v="0"/>
    <n v="0"/>
    <n v="17.897469857213309"/>
    <n v="1066.4512401764096"/>
    <n v="0"/>
    <n v="-570.06533682387817"/>
    <m/>
    <n v="0"/>
    <n v="0"/>
    <n v="0"/>
    <n v="0"/>
    <n v="-74.772037686671865"/>
    <n v="-16.425772845806705"/>
    <n v="0"/>
    <n v="0"/>
    <m/>
    <m/>
    <m/>
    <n v="83937.462653709328"/>
    <n v="0"/>
    <n v="0"/>
    <n v="-60484.927750000003"/>
    <n v="6423.5091699999975"/>
    <n v="0"/>
    <n v="0"/>
    <n v="-61669.677861558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0.154"/>
    <n v="-0.154"/>
    <n v="-0.154"/>
    <n v="-0.154"/>
    <m/>
    <n v="571.87"/>
    <n v="216.76"/>
    <m/>
    <n v="-121.44902"/>
    <n v="-121.44902"/>
    <n v="-79.157539999999997"/>
    <n v="0"/>
    <n v="-9.334035024782052"/>
    <n v="0"/>
    <n v="0"/>
    <n v="0"/>
    <n v="-0.12657470972425233"/>
    <n v="-65.663084993173982"/>
    <n v="-32.894631126839947"/>
    <n v="-0.48624032941366346"/>
    <n v="0"/>
    <n v="0"/>
    <n v="0"/>
    <n v="0"/>
    <n v="-1.4435395834197444"/>
    <m/>
    <n v="-0.29544431164788998"/>
    <n v="-1.3677814533618373"/>
    <n v="-4.2853741877048561"/>
    <n v="0"/>
    <n v="0"/>
    <n v="0"/>
    <n v="0"/>
    <n v="0"/>
    <n v="0"/>
    <n v="0"/>
    <n v="0"/>
    <n v="0"/>
    <n v="0"/>
    <m/>
    <n v="0"/>
    <n v="0"/>
    <n v="-9.1640721769734063E-2"/>
    <n v="0"/>
    <n v="0"/>
    <n v="-5.4605685698419695"/>
    <n v="0"/>
    <n v="-0.52"/>
    <n v="-2.34"/>
    <n v="-38.14"/>
    <n v="0"/>
    <m/>
    <m/>
    <m/>
    <m/>
    <m/>
    <m/>
    <m/>
    <m/>
    <m/>
    <n v="-38.44684041845165"/>
    <m/>
    <m/>
    <m/>
    <m/>
    <m/>
    <m/>
    <m/>
    <m/>
    <m/>
    <m/>
    <m/>
    <m/>
    <n v="-77.101499999999987"/>
    <n v="44.317520000000002"/>
    <m/>
    <m/>
    <m/>
    <m/>
    <n v="47.316499999999998"/>
    <n v="-5.0250199999999996"/>
    <n v="31"/>
    <n v="-5.9521471003617563"/>
    <n v="-0.14108874165322849"/>
    <n v="-0.44204287912401607"/>
    <n v="0"/>
    <n v="0"/>
    <n v="0"/>
    <n v="0"/>
    <n v="0"/>
    <n v="-1.2375849765422969E-2"/>
    <n v="0"/>
    <n v="0"/>
    <n v="-5.0256658026011323"/>
    <n v="0"/>
    <n v="0"/>
    <n v="-1.4000936497751429E-2"/>
    <n v="-0.83426965994527613"/>
    <n v="0"/>
    <n v="0.44595401719442407"/>
    <m/>
    <n v="0"/>
    <n v="0"/>
    <n v="0"/>
    <n v="0"/>
    <n v="5.8493103204565022E-2"/>
    <n v="1.2849648826084803E-2"/>
    <n v="0"/>
    <n v="0"/>
    <m/>
    <m/>
    <m/>
    <n v="-65.663084993173982"/>
    <n v="0"/>
    <n v="0"/>
    <n v="47.316500000000005"/>
    <n v="-5.0250199999999978"/>
    <n v="0"/>
    <n v="0"/>
    <n v="48.243313187002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7.1520000000000001"/>
    <n v="7.1520000000000001"/>
    <n v="7.1520000000000001"/>
    <n v="7.1520000000000001"/>
    <m/>
    <n v="571.87"/>
    <n v="216.76"/>
    <m/>
    <n v="5640.2817599999998"/>
    <n v="5640.2817599999998"/>
    <n v="3676.1995200000001"/>
    <n v="0"/>
    <n v="433.48713309896908"/>
    <n v="0"/>
    <n v="0"/>
    <n v="0"/>
    <n v="5.87832677888216"/>
    <n v="3049.4959991635083"/>
    <n v="1527.6779338906447"/>
    <n v="22.581758675107281"/>
    <n v="0"/>
    <n v="0"/>
    <n v="0"/>
    <n v="0"/>
    <n v="67.040227926090992"/>
    <m/>
    <n v="13.720894265621489"/>
    <n v="63.521902301583509"/>
    <n v="199.01945578224112"/>
    <n v="0"/>
    <n v="0"/>
    <n v="0"/>
    <n v="0"/>
    <n v="0"/>
    <n v="0"/>
    <n v="0"/>
    <n v="0"/>
    <n v="0"/>
    <n v="0"/>
    <m/>
    <n v="0"/>
    <n v="0"/>
    <n v="4.2559379356957017"/>
    <n v="0"/>
    <n v="0"/>
    <n v="253.59731436045305"/>
    <n v="0"/>
    <n v="28.47"/>
    <n v="130.80000000000001"/>
    <n v="2498.88"/>
    <n v="16"/>
    <m/>
    <m/>
    <m/>
    <m/>
    <m/>
    <m/>
    <m/>
    <m/>
    <m/>
    <n v="1785.5311861867935"/>
    <m/>
    <m/>
    <m/>
    <m/>
    <m/>
    <m/>
    <m/>
    <m/>
    <m/>
    <m/>
    <m/>
    <m/>
    <n v="3675.1715000000004"/>
    <n v="-1965.1402600000001"/>
    <m/>
    <m/>
    <m/>
    <m/>
    <n v="-2197.4520000000002"/>
    <n v="233.36975999999999"/>
    <n v="31"/>
    <n v="276.42698741420281"/>
    <n v="6.5523810409343639"/>
    <n v="20.529160204512721"/>
    <n v="0"/>
    <n v="0"/>
    <n v="0"/>
    <n v="0"/>
    <n v="0"/>
    <n v="0.57475375014483898"/>
    <n v="0"/>
    <n v="0"/>
    <n v="233.39975207924249"/>
    <n v="0"/>
    <n v="0"/>
    <n v="0.65022531059687161"/>
    <n v="38.744783168367604"/>
    <n v="0"/>
    <n v="-20.710799551782657"/>
    <m/>
    <n v="0"/>
    <n v="0"/>
    <n v="0"/>
    <n v="0"/>
    <n v="-2.7165108709029226"/>
    <n v="-0.59675771691012081"/>
    <n v="0"/>
    <n v="0"/>
    <m/>
    <m/>
    <m/>
    <n v="3049.4959991635083"/>
    <n v="0"/>
    <n v="0"/>
    <n v="-2197.4520000000002"/>
    <n v="233.36976000000004"/>
    <n v="0"/>
    <n v="0"/>
    <n v="-2240.4946487885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"/>
    <s v="Regular"/>
    <s v="Verde"/>
    <s v="A4"/>
    <s v="Comercial"/>
    <s v="Não se aplica"/>
    <s v="Não se aplica"/>
    <s v="Não se aplica"/>
    <s v="Ponta"/>
    <s v="CATIVO"/>
    <x v="0"/>
    <n v="0"/>
    <n v="0"/>
    <n v="6.0579999999999998"/>
    <n v="6.0579999999999998"/>
    <n v="6.0579999999999998"/>
    <n v="6.0579999999999998"/>
    <m/>
    <n v="2592.54"/>
    <n v="216.76"/>
    <m/>
    <n v="17018.739399999999"/>
    <n v="17018.739399999999"/>
    <n v="7155.7095999999992"/>
    <n v="0"/>
    <n v="319.44583270592744"/>
    <n v="0"/>
    <n v="0"/>
    <n v="0"/>
    <n v="30.633096084410131"/>
    <n v="13878.220733738981"/>
    <n v="1293.9978919895868"/>
    <n v="19.127557893428396"/>
    <n v="0"/>
    <n v="0"/>
    <n v="0"/>
    <n v="0"/>
    <n v="56.78547270361566"/>
    <m/>
    <n v="8.3189800664057838"/>
    <n v="273.3058917943639"/>
    <n v="1037.1341357722092"/>
    <n v="0"/>
    <n v="0"/>
    <n v="0"/>
    <n v="0"/>
    <n v="0"/>
    <n v="0"/>
    <n v="0"/>
    <n v="0"/>
    <n v="0"/>
    <n v="0"/>
    <m/>
    <n v="0"/>
    <n v="0"/>
    <n v="2.7703155152401235"/>
    <n v="0"/>
    <n v="0"/>
    <n v="98.96443805829918"/>
    <n v="0"/>
    <n v="0"/>
    <n v="0"/>
    <n v="0"/>
    <n v="0"/>
    <m/>
    <m/>
    <m/>
    <m/>
    <m/>
    <m/>
    <m/>
    <m/>
    <m/>
    <n v="1395.7326455631262"/>
    <m/>
    <m/>
    <m/>
    <m/>
    <m/>
    <m/>
    <m/>
    <m/>
    <m/>
    <m/>
    <m/>
    <m/>
    <n v="7158.0719999999992"/>
    <n v="-9860.6973999999973"/>
    <m/>
    <m/>
    <m/>
    <m/>
    <n v="-10060.70234"/>
    <n v="197.67253999999997"/>
    <n v="31"/>
    <n v="333.4850711346744"/>
    <n v="28.191919304727605"/>
    <n v="106.98196687931818"/>
    <n v="0"/>
    <n v="0"/>
    <n v="0"/>
    <n v="0"/>
    <n v="0"/>
    <n v="2.9951527901295272"/>
    <n v="0"/>
    <n v="0"/>
    <n v="197.69794436466032"/>
    <n v="0"/>
    <n v="0"/>
    <n v="0.42325083061952506"/>
    <n v="15.119859228864541"/>
    <n v="0"/>
    <n v="-15.262226035470633"/>
    <m/>
    <n v="0"/>
    <n v="0"/>
    <n v="0"/>
    <n v="0"/>
    <n v="-2.300981942943217"/>
    <n v="-0.36181428523123138"/>
    <n v="0"/>
    <n v="0"/>
    <m/>
    <m/>
    <m/>
    <n v="13878.220733738981"/>
    <n v="0"/>
    <n v="0"/>
    <n v="-10060.70234"/>
    <n v="197.67254000000003"/>
    <n v="0"/>
    <n v="0"/>
    <n v="-10196.46502149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"/>
    <s v="Regular"/>
    <s v="Verde"/>
    <s v="A4"/>
    <s v="Comercial"/>
    <s v="Não se aplica"/>
    <s v="Não se aplica"/>
    <s v="Não se aplica"/>
    <s v="Fora ponta"/>
    <s v="CATIVO"/>
    <x v="0"/>
    <n v="0"/>
    <n v="0"/>
    <n v="57.792999999999999"/>
    <n v="57.792999999999999"/>
    <n v="57.792999999999999"/>
    <n v="57.792999999999999"/>
    <m/>
    <n v="80.27"/>
    <n v="216.76"/>
    <m/>
    <n v="17166.254789999999"/>
    <n v="17166.254789999999"/>
    <n v="19029.501109999997"/>
    <n v="0"/>
    <n v="3047.4963700187627"/>
    <n v="0"/>
    <n v="0"/>
    <n v="0"/>
    <n v="0"/>
    <n v="0"/>
    <n v="12344.671537100396"/>
    <n v="182.47589193379125"/>
    <n v="0"/>
    <n v="0"/>
    <n v="0"/>
    <n v="0"/>
    <n v="541.73041002972263"/>
    <m/>
    <n v="79.3626304024083"/>
    <n v="0"/>
    <n v="0"/>
    <n v="0"/>
    <n v="0"/>
    <n v="0"/>
    <n v="0"/>
    <n v="0"/>
    <n v="0"/>
    <n v="0"/>
    <n v="0"/>
    <n v="0"/>
    <n v="0"/>
    <m/>
    <n v="0"/>
    <n v="0"/>
    <n v="26.428663679807272"/>
    <n v="0"/>
    <n v="0"/>
    <n v="944.11551150598962"/>
    <n v="0"/>
    <n v="0"/>
    <n v="0"/>
    <n v="0"/>
    <n v="0"/>
    <m/>
    <m/>
    <m/>
    <m/>
    <m/>
    <m/>
    <m/>
    <m/>
    <m/>
    <n v="13315.215712286194"/>
    <m/>
    <m/>
    <m/>
    <m/>
    <m/>
    <m/>
    <m/>
    <m/>
    <m/>
    <m/>
    <m/>
    <m/>
    <n v="19028.513299999999"/>
    <n v="1862.2285100000008"/>
    <m/>
    <m/>
    <m/>
    <m/>
    <n v="-22.539270000000034"/>
    <n v="1885.7855899999997"/>
    <n v="31"/>
    <n v="1863.3046296883003"/>
    <n v="0"/>
    <n v="0"/>
    <n v="0"/>
    <n v="0"/>
    <n v="0"/>
    <n v="0"/>
    <n v="0"/>
    <n v="0"/>
    <n v="0"/>
    <n v="0"/>
    <n v="1886.0279462969302"/>
    <n v="0"/>
    <n v="0"/>
    <n v="4.0377905668527916"/>
    <n v="144.24265837137136"/>
    <n v="0"/>
    <n v="-145.60083018619252"/>
    <m/>
    <n v="0"/>
    <n v="0"/>
    <n v="0"/>
    <n v="0"/>
    <n v="-21.951246191567748"/>
    <n v="-3.4516891690935267"/>
    <n v="0"/>
    <n v="0"/>
    <m/>
    <m/>
    <m/>
    <n v="0"/>
    <n v="0"/>
    <n v="0"/>
    <n v="-22.539270000000215"/>
    <n v="1885.7855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"/>
    <s v="Regular"/>
    <s v="Verde"/>
    <s v="A4"/>
    <s v="Comercial"/>
    <s v="Não se aplica"/>
    <s v="Não se aplica"/>
    <s v="Não se aplica"/>
    <s v="Não se aplica"/>
    <s v="CATIVO"/>
    <x v="0"/>
    <n v="883"/>
    <n v="883"/>
    <n v="0"/>
    <n v="0"/>
    <n v="0"/>
    <n v="0"/>
    <n v="32.17"/>
    <m/>
    <m/>
    <n v="28406.11"/>
    <m/>
    <n v="28406.11"/>
    <n v="11417.19"/>
    <n v="0"/>
    <n v="0"/>
    <n v="0"/>
    <n v="0"/>
    <n v="0"/>
    <n v="88.22602679091618"/>
    <n v="23776.307383359319"/>
    <m/>
    <m/>
    <m/>
    <n v="0"/>
    <n v="0"/>
    <n v="0"/>
    <n v="0"/>
    <m/>
    <n v="0"/>
    <n v="1557.9838369633237"/>
    <n v="2987.0699410885354"/>
    <n v="0"/>
    <n v="0"/>
    <m/>
    <m/>
    <n v="0"/>
    <n v="0"/>
    <n v="0"/>
    <m/>
    <m/>
    <n v="0"/>
    <m/>
    <n v="0"/>
    <n v="0"/>
    <n v="0"/>
    <n v="0"/>
    <m/>
    <n v="0"/>
    <n v="0"/>
    <n v="289.87"/>
    <n v="1329.51"/>
    <n v="18899.900000000001"/>
    <n v="8"/>
    <m/>
    <m/>
    <m/>
    <m/>
    <m/>
    <m/>
    <m/>
    <m/>
    <m/>
    <n v="0"/>
    <m/>
    <m/>
    <m/>
    <m/>
    <m/>
    <m/>
    <m/>
    <m/>
    <m/>
    <m/>
    <m/>
    <m/>
    <n v="11417.19"/>
    <n v="-16988.949999999997"/>
    <m/>
    <m/>
    <m/>
    <m/>
    <n v="-16988.920000000002"/>
    <n v="0"/>
    <n v="31"/>
    <n v="477.45552967819458"/>
    <n v="160.70840742353539"/>
    <n v="308.12081724204472"/>
    <n v="0"/>
    <n v="0"/>
    <m/>
    <m/>
    <m/>
    <n v="8.62630501261499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776.307383359319"/>
    <m/>
    <n v="0"/>
    <n v="0"/>
    <n v="-16988.919999999998"/>
    <m/>
    <n v="0"/>
    <m/>
    <n v="-17468.68645670657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9"/>
    <s v="Regular"/>
    <s v="Convencional"/>
    <s v="B2"/>
    <s v="Rural"/>
    <s v="Não se aplica"/>
    <s v="Não se aplica"/>
    <s v="Não se aplica"/>
    <s v="Não se aplica"/>
    <s v="CATIVO"/>
    <x v="0"/>
    <n v="0"/>
    <n v="0"/>
    <n v="3180.0059999999999"/>
    <n v="3180.0059999999999"/>
    <n v="3180.0059999999999"/>
    <n v="3180.0059999999999"/>
    <m/>
    <n v="571.87"/>
    <n v="216.76"/>
    <m/>
    <n v="2507848.1317799999"/>
    <n v="2507848.1317799999"/>
    <n v="1634554.8840599998"/>
    <n v="0"/>
    <n v="192742.12586374723"/>
    <n v="0"/>
    <n v="0"/>
    <n v="0"/>
    <n v="2613.6904959180565"/>
    <n v="1355902.6250441766"/>
    <n v="679254.0542281674"/>
    <n v="10040.566006346924"/>
    <n v="0"/>
    <n v="0"/>
    <n v="0"/>
    <n v="0"/>
    <n v="29808.211276053815"/>
    <m/>
    <n v="6100.7446993906497"/>
    <n v="28243.852132333523"/>
    <n v="88490.361228224472"/>
    <n v="0"/>
    <n v="0"/>
    <n v="0"/>
    <n v="0"/>
    <n v="0"/>
    <n v="0"/>
    <n v="0"/>
    <n v="0"/>
    <n v="0"/>
    <n v="0"/>
    <m/>
    <n v="0"/>
    <n v="0"/>
    <n v="1892.3249680005515"/>
    <n v="0"/>
    <n v="0"/>
    <n v="112757.40789291482"/>
    <n v="0"/>
    <n v="7791.9"/>
    <n v="35970.21"/>
    <n v="113483.66"/>
    <n v="10590"/>
    <m/>
    <m/>
    <m/>
    <m/>
    <m/>
    <n v="196142.77007999993"/>
    <m/>
    <m/>
    <m/>
    <n v="793903.78708908276"/>
    <m/>
    <m/>
    <m/>
    <m/>
    <m/>
    <m/>
    <m/>
    <m/>
    <m/>
    <m/>
    <m/>
    <m/>
    <n v="1438413.9233000001"/>
    <n v="-768510.27069999953"/>
    <m/>
    <m/>
    <m/>
    <m/>
    <n v="-977056.84349999996"/>
    <n v="103763.59577999997"/>
    <n v="31"/>
    <n v="122908.20449372078"/>
    <n v="2913.396396037122"/>
    <n v="9127.9156355301529"/>
    <n v="0"/>
    <n v="0"/>
    <n v="0"/>
    <n v="0"/>
    <n v="0"/>
    <n v="255.55374356586844"/>
    <n v="0"/>
    <n v="0"/>
    <n v="103776.9312095223"/>
    <n v="0"/>
    <n v="0"/>
    <n v="289.11079265239323"/>
    <n v="17227.159248337237"/>
    <n v="0"/>
    <n v="-9208.6782493660576"/>
    <m/>
    <n v="0"/>
    <n v="0"/>
    <n v="0"/>
    <n v="0"/>
    <n v="-1207.8468775917936"/>
    <n v="-265.3374049665108"/>
    <n v="0"/>
    <n v="0"/>
    <m/>
    <m/>
    <m/>
    <n v="1355902.6250441766"/>
    <n v="0"/>
    <n v="0"/>
    <n v="-977056.84350000008"/>
    <n v="103763.59577999997"/>
    <n v="0"/>
    <n v="0"/>
    <n v="-996194.97009445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2.7629999999999999"/>
    <n v="-2.7629999999999999"/>
    <n v="-2.7629999999999999"/>
    <n v="-2.7629999999999999"/>
    <m/>
    <n v="571.87"/>
    <n v="216.76"/>
    <m/>
    <n v="-2178.9846900000002"/>
    <n v="-2178.9846900000002"/>
    <n v="-1420.2096299999998"/>
    <n v="0"/>
    <n v="-167.46713489268058"/>
    <n v="0"/>
    <n v="0"/>
    <n v="0"/>
    <n v="-2.2709475517409685"/>
    <n v="-1178.09807685805"/>
    <n v="-590.18094677570627"/>
    <n v="-8.7239092868178698"/>
    <n v="0"/>
    <n v="0"/>
    <n v="0"/>
    <n v="0"/>
    <n v="-25.899349798628272"/>
    <m/>
    <n v="-5.3007313836566237"/>
    <n v="-24.540130880771144"/>
    <n v="-76.886291432652712"/>
    <n v="0"/>
    <n v="0"/>
    <n v="0"/>
    <n v="0"/>
    <n v="0"/>
    <n v="0"/>
    <n v="0"/>
    <n v="0"/>
    <n v="0"/>
    <n v="0"/>
    <m/>
    <n v="0"/>
    <n v="0"/>
    <n v="-1.6441773652582805"/>
    <n v="0"/>
    <n v="0"/>
    <n v="-97.97111011995689"/>
    <n v="0"/>
    <n v="-6.41"/>
    <n v="-28.73"/>
    <n v="-230.81"/>
    <n v="0"/>
    <m/>
    <m/>
    <m/>
    <m/>
    <m/>
    <n v="-170.42183999999992"/>
    <m/>
    <m/>
    <m/>
    <n v="-689.79623426092144"/>
    <m/>
    <m/>
    <m/>
    <m/>
    <m/>
    <m/>
    <m/>
    <m/>
    <m/>
    <m/>
    <m/>
    <m/>
    <n v="-1248.4307999999999"/>
    <n v="669.0612000000001"/>
    <m/>
    <m/>
    <m/>
    <m/>
    <n v="848.93174999999997"/>
    <n v="-90.156689999999983"/>
    <n v="31"/>
    <n v="-106.79079505389336"/>
    <n v="-2.5313519038173418"/>
    <n v="-7.9309381494782798"/>
    <n v="0"/>
    <n v="0"/>
    <n v="0"/>
    <n v="0"/>
    <n v="0"/>
    <n v="-0.22204203183028381"/>
    <n v="0"/>
    <n v="0"/>
    <n v="-90.168276705109975"/>
    <n v="0"/>
    <n v="0"/>
    <n v="-0.25119862041095598"/>
    <n v="-14.968097859927255"/>
    <n v="0"/>
    <n v="8.0011100617415138"/>
    <m/>
    <n v="0"/>
    <n v="0"/>
    <n v="0"/>
    <n v="0"/>
    <n v="1.049457429572815"/>
    <n v="0.23054272536670339"/>
    <n v="0"/>
    <n v="0"/>
    <m/>
    <m/>
    <m/>
    <n v="-1178.09807685805"/>
    <n v="0"/>
    <n v="0"/>
    <n v="848.93175000000008"/>
    <n v="-90.156689999999912"/>
    <n v="0"/>
    <n v="0"/>
    <n v="865.56022295900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38.567"/>
    <n v="38.567"/>
    <n v="38.567"/>
    <n v="38.567"/>
    <m/>
    <n v="571.87"/>
    <n v="216.76"/>
    <m/>
    <n v="30415.093209999999"/>
    <n v="30415.093209999999"/>
    <n v="19823.823669999998"/>
    <n v="0"/>
    <n v="2337.5696675374638"/>
    <n v="0"/>
    <n v="0"/>
    <n v="0"/>
    <n v="31.698745648930124"/>
    <n v="16444.338954102212"/>
    <n v="8237.9690822651701"/>
    <n v="121.77162847075817"/>
    <n v="0"/>
    <n v="0"/>
    <n v="0"/>
    <n v="0"/>
    <n v="361.51292931006031"/>
    <m/>
    <n v="73.989615372234894"/>
    <n v="342.54043708964923"/>
    <n v="1073.2079629689169"/>
    <n v="0"/>
    <n v="0"/>
    <n v="0"/>
    <n v="0"/>
    <n v="0"/>
    <n v="0"/>
    <n v="0"/>
    <n v="0"/>
    <n v="0"/>
    <n v="0"/>
    <m/>
    <n v="0"/>
    <n v="0"/>
    <n v="22.950050107099567"/>
    <n v="0"/>
    <n v="0"/>
    <n v="1367.5178443707484"/>
    <n v="0"/>
    <n v="90.16"/>
    <n v="415.56"/>
    <n v="765.44"/>
    <n v="94"/>
    <m/>
    <m/>
    <m/>
    <m/>
    <m/>
    <n v="2378.8125599999994"/>
    <m/>
    <m/>
    <m/>
    <n v="9628.436976743018"/>
    <m/>
    <m/>
    <m/>
    <m/>
    <m/>
    <m/>
    <m/>
    <m/>
    <m/>
    <m/>
    <m/>
    <m/>
    <n v="17446.3681"/>
    <n v="-9319.1598999999951"/>
    <m/>
    <m/>
    <m/>
    <m/>
    <n v="-11849.71075"/>
    <n v="1258.4412099999997"/>
    <n v="31"/>
    <n v="1490.6263455821536"/>
    <n v="35.333568177532868"/>
    <n v="110.70303713750582"/>
    <n v="0"/>
    <n v="0"/>
    <n v="0"/>
    <n v="0"/>
    <n v="0"/>
    <n v="3.0993467396303167"/>
    <n v="0"/>
    <n v="0"/>
    <n v="1258.602941616351"/>
    <n v="0"/>
    <n v="0"/>
    <n v="3.5063254409661013"/>
    <n v="208.93037646174957"/>
    <n v="0"/>
    <n v="-111.68252325413914"/>
    <m/>
    <n v="0"/>
    <n v="0"/>
    <n v="0"/>
    <n v="0"/>
    <n v="-14.648724099288756"/>
    <n v="-3.2180026381533366"/>
    <n v="0"/>
    <n v="0"/>
    <m/>
    <m/>
    <m/>
    <n v="16444.338954102212"/>
    <n v="0"/>
    <n v="0"/>
    <n v="-11849.71075"/>
    <n v="1258.441209999999"/>
    <n v="0"/>
    <n v="0"/>
    <n v="-12081.81727066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2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31.838000000000001"/>
    <n v="31.838000000000001"/>
    <n v="31.838000000000001"/>
    <n v="31.838000000000001"/>
    <m/>
    <n v="571.87"/>
    <n v="216.76"/>
    <m/>
    <n v="25108.401940000003"/>
    <n v="25108.401940000003"/>
    <n v="16365.050380000001"/>
    <n v="0"/>
    <n v="1929.7208254481234"/>
    <n v="0"/>
    <n v="0"/>
    <n v="0"/>
    <n v="26.168088364939905"/>
    <n v="13575.203246835539"/>
    <n v="6800.6445832229228"/>
    <n v="100.52545199917024"/>
    <n v="0"/>
    <n v="0"/>
    <n v="0"/>
    <n v="0"/>
    <n v="298.43774842154431"/>
    <m/>
    <n v="61.080233728867029"/>
    <n v="282.7754929359362"/>
    <n v="885.95937265030659"/>
    <n v="0"/>
    <n v="0"/>
    <n v="0"/>
    <n v="0"/>
    <n v="0"/>
    <n v="0"/>
    <n v="0"/>
    <n v="0"/>
    <n v="0"/>
    <n v="0"/>
    <m/>
    <n v="0"/>
    <n v="0"/>
    <n v="18.945826621459695"/>
    <n v="0"/>
    <n v="0"/>
    <n v="1128.9193644586276"/>
    <n v="0"/>
    <n v="122.74"/>
    <n v="565.48"/>
    <n v="7546.26"/>
    <n v="105"/>
    <m/>
    <m/>
    <m/>
    <m/>
    <m/>
    <m/>
    <m/>
    <m/>
    <m/>
    <n v="7948.5097743030101"/>
    <m/>
    <m/>
    <m/>
    <m/>
    <m/>
    <m/>
    <m/>
    <m/>
    <m/>
    <m/>
    <m/>
    <m/>
    <n v="16366.078399999999"/>
    <n v="-8742.3535400000001"/>
    <m/>
    <m/>
    <m/>
    <m/>
    <n v="-9782.2255000000005"/>
    <n v="1038.8739399999999"/>
    <n v="31"/>
    <n v="1230.5484375410197"/>
    <n v="29.168723095814926"/>
    <n v="91.388059646431202"/>
    <n v="0"/>
    <n v="0"/>
    <n v="0"/>
    <n v="0"/>
    <n v="0"/>
    <n v="2.5585863950099821"/>
    <n v="0"/>
    <n v="0"/>
    <n v="1039.0074533975003"/>
    <n v="0"/>
    <n v="0"/>
    <n v="2.8945572481520152"/>
    <n v="172.47712619050435"/>
    <n v="0"/>
    <n v="-92.19664934698767"/>
    <m/>
    <n v="0"/>
    <n v="0"/>
    <n v="0"/>
    <n v="0"/>
    <n v="-12.092879349525617"/>
    <n v="-2.6565397358759029"/>
    <n v="0"/>
    <n v="0"/>
    <m/>
    <m/>
    <m/>
    <n v="13575.203246835539"/>
    <n v="0"/>
    <n v="0"/>
    <n v="-9782.2255000000023"/>
    <n v="1038.8739399999995"/>
    <n v="0"/>
    <n v="0"/>
    <n v="-9973.8350990114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"/>
    <s v="Sistema de Compensação"/>
    <s v="Convencional"/>
    <s v="B3"/>
    <s v="Poder público"/>
    <s v="Não se aplica"/>
    <s v="Não se aplica"/>
    <s v="Não se aplica"/>
    <s v="Não se aplica"/>
    <s v="CATIVO"/>
    <x v="0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4"/>
    <n v="1.83"/>
    <n v="133.93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1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"/>
    <s v="Regular"/>
    <s v="Verde"/>
    <s v="A4"/>
    <s v="Poder público"/>
    <s v="Não se aplica"/>
    <s v="Não se aplica"/>
    <s v="Não se aplica"/>
    <s v="Ponta"/>
    <s v="CATIVO"/>
    <x v="0"/>
    <n v="0"/>
    <n v="0"/>
    <n v="1.246"/>
    <n v="1.246"/>
    <n v="1.246"/>
    <n v="1.246"/>
    <m/>
    <n v="2592.54"/>
    <n v="216.76"/>
    <m/>
    <n v="3500.3878"/>
    <n v="3500.3878"/>
    <n v="1471.7751999999998"/>
    <n v="0"/>
    <n v="65.703121088079499"/>
    <n v="0"/>
    <n v="0"/>
    <n v="0"/>
    <n v="6.3005674680051209"/>
    <n v="2854.4508144996321"/>
    <n v="266.14747002625046"/>
    <n v="3.9341263016196408"/>
    <n v="0"/>
    <n v="0"/>
    <n v="0"/>
    <n v="0"/>
    <n v="11.679547538577932"/>
    <m/>
    <n v="1.7110348568408067"/>
    <n v="56.213129939877426"/>
    <n v="213.31613291056004"/>
    <n v="0"/>
    <n v="0"/>
    <n v="0"/>
    <n v="0"/>
    <n v="0"/>
    <n v="0"/>
    <n v="0"/>
    <n v="0"/>
    <n v="0"/>
    <n v="0"/>
    <m/>
    <n v="0"/>
    <n v="0"/>
    <n v="0.56979417827487522"/>
    <n v="0"/>
    <n v="0"/>
    <n v="20.35485140651053"/>
    <n v="0"/>
    <n v="0"/>
    <n v="0"/>
    <n v="0"/>
    <n v="0"/>
    <m/>
    <m/>
    <m/>
    <m/>
    <m/>
    <m/>
    <m/>
    <m/>
    <m/>
    <n v="287.07211561103588"/>
    <m/>
    <m/>
    <m/>
    <m/>
    <m/>
    <m/>
    <m/>
    <m/>
    <m/>
    <m/>
    <m/>
    <m/>
    <n v="1476.4999999999998"/>
    <n v="-2023.9178000000009"/>
    <m/>
    <m/>
    <m/>
    <m/>
    <n v="-2069.2695800000001"/>
    <n v="40.656979999999997"/>
    <n v="31"/>
    <n v="68.5906897711792"/>
    <n v="5.7984700319726983"/>
    <n v="22.003884240942625"/>
    <n v="0"/>
    <n v="0"/>
    <n v="0"/>
    <n v="0"/>
    <n v="0"/>
    <n v="0.6160383586169349"/>
    <n v="0"/>
    <n v="0"/>
    <n v="40.662205130136442"/>
    <n v="0"/>
    <n v="0"/>
    <n v="8.7053571302728283E-2"/>
    <n v="3.1098290853689683"/>
    <n v="0"/>
    <n v="-3.139110868305778"/>
    <m/>
    <n v="0"/>
    <n v="0"/>
    <n v="0"/>
    <n v="0"/>
    <n v="-0.47326238047329916"/>
    <n v="-7.4417398381993127E-2"/>
    <n v="0"/>
    <n v="0"/>
    <m/>
    <m/>
    <m/>
    <n v="2854.4508144996321"/>
    <n v="0"/>
    <n v="0"/>
    <n v="-2069.2695800000001"/>
    <n v="40.656979999999976"/>
    <n v="0"/>
    <n v="0"/>
    <n v="-2097.1930367742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"/>
    <s v="Regular"/>
    <s v="Verde"/>
    <s v="A4"/>
    <s v="Poder público"/>
    <s v="Não se aplica"/>
    <s v="Não se aplica"/>
    <s v="Não se aplica"/>
    <s v="Fora ponta"/>
    <s v="CATIVO"/>
    <x v="0"/>
    <n v="0"/>
    <n v="0"/>
    <n v="10.206"/>
    <n v="10.206"/>
    <n v="10.206"/>
    <n v="10.206"/>
    <m/>
    <n v="80.27"/>
    <n v="216.76"/>
    <m/>
    <n v="3031.4881799999998"/>
    <n v="3031.4881799999998"/>
    <n v="3360.5296199999998"/>
    <n v="0"/>
    <n v="538.17500306977468"/>
    <n v="0"/>
    <n v="0"/>
    <n v="0"/>
    <n v="0"/>
    <n v="0"/>
    <n v="2180.0169174060288"/>
    <n v="32.224472740232784"/>
    <n v="0"/>
    <n v="0"/>
    <n v="0"/>
    <n v="0"/>
    <n v="95.667305119363064"/>
    <m/>
    <n v="14.015105737493798"/>
    <n v="0"/>
    <n v="0"/>
    <n v="0"/>
    <n v="0"/>
    <n v="0"/>
    <n v="0"/>
    <n v="0"/>
    <n v="0"/>
    <n v="0"/>
    <n v="0"/>
    <n v="0"/>
    <n v="0"/>
    <m/>
    <n v="0"/>
    <n v="0"/>
    <n v="4.6671905164312806"/>
    <n v="0"/>
    <n v="0"/>
    <n v="166.72681657692331"/>
    <n v="0"/>
    <n v="0"/>
    <n v="0"/>
    <n v="0"/>
    <n v="0"/>
    <m/>
    <m/>
    <m/>
    <m/>
    <m/>
    <m/>
    <m/>
    <m/>
    <m/>
    <n v="2351.4109244993833"/>
    <m/>
    <m/>
    <m/>
    <m/>
    <m/>
    <m/>
    <m/>
    <m/>
    <m/>
    <m/>
    <m/>
    <m/>
    <n v="3361.8467000000001"/>
    <n v="330.32852000000003"/>
    <m/>
    <m/>
    <m/>
    <m/>
    <n v="-3.9803400000000058"/>
    <n v="333.02177999999992"/>
    <n v="31"/>
    <n v="329.0517372449749"/>
    <n v="0"/>
    <n v="0"/>
    <n v="0"/>
    <n v="0"/>
    <n v="0"/>
    <n v="0"/>
    <n v="0"/>
    <n v="0"/>
    <n v="0"/>
    <n v="0"/>
    <n v="333.06457909965729"/>
    <n v="0"/>
    <n v="0"/>
    <n v="0.71305678067066314"/>
    <n v="25.472644980157071"/>
    <n v="0"/>
    <n v="-25.71249239320116"/>
    <m/>
    <n v="0"/>
    <n v="0"/>
    <n v="0"/>
    <n v="0"/>
    <n v="-3.876497476011636"/>
    <n v="-0.60955374629745052"/>
    <n v="0"/>
    <n v="0"/>
    <m/>
    <m/>
    <m/>
    <n v="0"/>
    <n v="0"/>
    <n v="0"/>
    <n v="-3.9803399999999556"/>
    <n v="333.021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"/>
    <s v="Regular"/>
    <s v="Verde"/>
    <s v="A4"/>
    <s v="Poder público"/>
    <s v="Não se aplica"/>
    <s v="Não se aplica"/>
    <s v="Não se aplica"/>
    <s v="Não se aplica"/>
    <s v="CATIVO"/>
    <x v="0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46.16"/>
    <n v="211.71"/>
    <n v="3009.58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n v="31"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7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74.524000000000001"/>
    <n v="74.524000000000001"/>
    <n v="74.524000000000001"/>
    <n v="74.524000000000001"/>
    <m/>
    <n v="314.52999999999997"/>
    <n v="119.22"/>
    <m/>
    <n v="32324.785"/>
    <n v="32324.785"/>
    <n v="21068.680039999999"/>
    <n v="0"/>
    <n v="2484.3200935244904"/>
    <n v="0"/>
    <n v="0"/>
    <n v="0"/>
    <n v="33.688763098179244"/>
    <n v="17476.699092968905"/>
    <n v="8755.1410360593709"/>
    <n v="129.41633681865676"/>
    <n v="0"/>
    <n v="0"/>
    <n v="0"/>
    <n v="0"/>
    <n v="384.20837112418917"/>
    <m/>
    <n v="78.6346138615976"/>
    <n v="364.04480367977692"/>
    <n v="1140.5829498732717"/>
    <n v="0"/>
    <n v="0"/>
    <n v="0"/>
    <n v="0"/>
    <n v="0"/>
    <n v="0"/>
    <n v="0"/>
    <n v="0"/>
    <n v="0"/>
    <n v="0"/>
    <m/>
    <n v="0"/>
    <n v="0"/>
    <n v="24.390832675598826"/>
    <n v="0"/>
    <n v="0"/>
    <n v="1453.3693289246562"/>
    <n v="0"/>
    <n v="165.25"/>
    <n v="758.12"/>
    <n v="7184.6"/>
    <n v="10"/>
    <m/>
    <m/>
    <m/>
    <m/>
    <m/>
    <m/>
    <m/>
    <m/>
    <m/>
    <n v="10232.901197659627"/>
    <m/>
    <m/>
    <m/>
    <m/>
    <m/>
    <m/>
    <m/>
    <m/>
    <m/>
    <m/>
    <m/>
    <m/>
    <n v="21067.549199999998"/>
    <n v="-11257.265799999997"/>
    <m/>
    <m/>
    <m/>
    <m/>
    <n v="-12593.810759999998"/>
    <n v="1337.7057999999993"/>
    <n v="31"/>
    <n v="1584.2064660977012"/>
    <n v="37.551776367733225"/>
    <n v="117.65286972799686"/>
    <n v="0"/>
    <n v="0"/>
    <n v="0"/>
    <n v="0"/>
    <n v="0"/>
    <n v="3.2939208139942053"/>
    <n v="0"/>
    <n v="0"/>
    <n v="1337.6168509751551"/>
    <n v="0"/>
    <n v="0"/>
    <n v="3.7264492555657718"/>
    <n v="222.04682906343055"/>
    <n v="0"/>
    <n v="-118.69384706213168"/>
    <m/>
    <n v="0"/>
    <n v="0"/>
    <n v="0"/>
    <n v="0"/>
    <n v="-15.568357225774719"/>
    <n v="-3.4200258182681722"/>
    <n v="0"/>
    <n v="0"/>
    <m/>
    <m/>
    <m/>
    <n v="17476.699092968905"/>
    <n v="0"/>
    <n v="0"/>
    <n v="-12593.81076"/>
    <n v="1337.7057999999979"/>
    <n v="0"/>
    <n v="0"/>
    <n v="-12840.30239981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25.253"/>
    <n v="117.73782"/>
    <n v="125.253"/>
    <n v="117.73782"/>
    <m/>
    <n v="571.87"/>
    <n v="216.76"/>
    <m/>
    <n v="98778.273390000002"/>
    <n v="98778.273390000002"/>
    <n v="64381.294529999999"/>
    <n v="0"/>
    <n v="7591.6616166170543"/>
    <n v="0"/>
    <n v="0"/>
    <n v="0"/>
    <n v="102.94715660449205"/>
    <n v="53405.833666558574"/>
    <n v="26754.228782662882"/>
    <n v="395.47441545486748"/>
    <n v="0"/>
    <n v="0"/>
    <n v="0"/>
    <n v="0"/>
    <n v="1174.0757366368393"/>
    <m/>
    <n v="240.2940673170985"/>
    <n v="1112.459288168378"/>
    <n v="3485.4283969649114"/>
    <n v="0"/>
    <n v="0"/>
    <n v="0"/>
    <n v="0"/>
    <n v="0"/>
    <n v="0"/>
    <n v="0"/>
    <n v="0"/>
    <n v="0"/>
    <n v="0"/>
    <m/>
    <n v="0"/>
    <n v="0"/>
    <n v="74.534255349509749"/>
    <n v="0"/>
    <n v="0"/>
    <n v="4441.250617392313"/>
    <n v="0"/>
    <n v="460.06"/>
    <n v="2111.8000000000002"/>
    <n v="32018.51"/>
    <n v="91"/>
    <m/>
    <m/>
    <m/>
    <m/>
    <n v="3862.8776718000004"/>
    <m/>
    <m/>
    <m/>
    <m/>
    <n v="31270.013655404706"/>
    <m/>
    <m/>
    <m/>
    <m/>
    <m/>
    <m/>
    <m/>
    <m/>
    <m/>
    <m/>
    <m/>
    <m/>
    <n v="60519.537399999994"/>
    <n v="-32332.069586599995"/>
    <m/>
    <m/>
    <m/>
    <m/>
    <n v="-38483.984250000001"/>
    <n v="4087.0053899999994"/>
    <n v="31"/>
    <n v="4841.0667581922826"/>
    <n v="114.75187115773929"/>
    <n v="359.52725155143071"/>
    <n v="0"/>
    <n v="0"/>
    <n v="0"/>
    <n v="0"/>
    <n v="0"/>
    <n v="10.065664354990432"/>
    <n v="0"/>
    <n v="0"/>
    <n v="4087.5306413844155"/>
    <n v="0"/>
    <n v="0"/>
    <n v="11.387398046447146"/>
    <n v="678.5375176436728"/>
    <n v="0"/>
    <n v="-362.70830204969661"/>
    <m/>
    <n v="0"/>
    <n v="0"/>
    <n v="0"/>
    <n v="0"/>
    <n v="-47.574263997931212"/>
    <n v="-10.451019898789639"/>
    <n v="0"/>
    <n v="0"/>
    <m/>
    <m/>
    <m/>
    <n v="53405.833666558574"/>
    <n v="0"/>
    <n v="0"/>
    <n v="-38483.984249999994"/>
    <n v="4087.0053899999984"/>
    <n v="0"/>
    <n v="0"/>
    <n v="-39237.790302672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3.74"/>
    <n v="3.5156000000000001"/>
    <n v="3.74"/>
    <n v="3.5156000000000001"/>
    <m/>
    <n v="2592.54"/>
    <n v="216.76"/>
    <m/>
    <n v="10506.781999999999"/>
    <n v="10506.781999999999"/>
    <n v="4417.6880000000001"/>
    <n v="0"/>
    <n v="197.21482573789513"/>
    <n v="0"/>
    <n v="0"/>
    <n v="0"/>
    <n v="18.911815674429498"/>
    <n v="8567.9342265077248"/>
    <n v="798.86961308039872"/>
    <n v="11.808693714331827"/>
    <n v="0"/>
    <n v="0"/>
    <n v="0"/>
    <n v="0"/>
    <n v="35.057389883050938"/>
    <m/>
    <n v="5.1358510149154233"/>
    <n v="168.72961956271394"/>
    <n v="640.29080022912888"/>
    <n v="0"/>
    <n v="0"/>
    <n v="0"/>
    <n v="0"/>
    <n v="0"/>
    <n v="0"/>
    <n v="0"/>
    <n v="0"/>
    <n v="0"/>
    <n v="0"/>
    <m/>
    <n v="0"/>
    <n v="0"/>
    <n v="1.7102971322215357"/>
    <n v="0"/>
    <n v="0"/>
    <n v="61.097226533185705"/>
    <n v="0"/>
    <n v="0"/>
    <n v="0"/>
    <n v="0"/>
    <n v="0"/>
    <m/>
    <m/>
    <m/>
    <m/>
    <n v="265.06128000000018"/>
    <m/>
    <m/>
    <m/>
    <m/>
    <n v="861.67713674580591"/>
    <m/>
    <m/>
    <m/>
    <m/>
    <m/>
    <m/>
    <m/>
    <m/>
    <m/>
    <m/>
    <m/>
    <m/>
    <n v="4157.8239999999996"/>
    <n v="-5718.5810800000027"/>
    <m/>
    <m/>
    <m/>
    <m/>
    <n v="-6211.1302000000005"/>
    <n v="122.03619999999999"/>
    <n v="31"/>
    <n v="205.88216672890076"/>
    <n v="17.404717431442947"/>
    <n v="66.046971959169696"/>
    <n v="0"/>
    <n v="0"/>
    <n v="0"/>
    <n v="0"/>
    <n v="0"/>
    <n v="1.8491039014665631"/>
    <n v="0"/>
    <n v="0"/>
    <n v="122.05188377745617"/>
    <n v="0"/>
    <n v="0"/>
    <n v="0.26130044676741893"/>
    <n v="9.3344789560834158"/>
    <n v="0"/>
    <n v="-9.4223713061505805"/>
    <m/>
    <n v="0"/>
    <n v="0"/>
    <n v="0"/>
    <n v="0"/>
    <n v="-1.4205467921108692"/>
    <n v="-0.22337164522363917"/>
    <n v="0"/>
    <n v="0"/>
    <m/>
    <m/>
    <m/>
    <n v="8567.9342265077248"/>
    <n v="0"/>
    <n v="0"/>
    <n v="-6211.1301999999996"/>
    <n v="122.03620000000001"/>
    <n v="0"/>
    <n v="0"/>
    <n v="-6294.945391280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86.897000000000006"/>
    <n v="81.683180000000007"/>
    <n v="86.897000000000006"/>
    <n v="81.683180000000007"/>
    <m/>
    <n v="80.27"/>
    <n v="216.76"/>
    <m/>
    <n v="25811.015910000002"/>
    <n v="25811.015910000002"/>
    <n v="28612.57519"/>
    <n v="0"/>
    <n v="4582.1862866700194"/>
    <n v="0"/>
    <n v="0"/>
    <n v="0"/>
    <n v="0"/>
    <n v="0"/>
    <n v="18561.3296170715"/>
    <n v="274.36899938350075"/>
    <n v="0"/>
    <n v="0"/>
    <n v="0"/>
    <n v="0"/>
    <n v="814.54064402873735"/>
    <m/>
    <n v="119.3288892093865"/>
    <n v="0"/>
    <n v="0"/>
    <n v="0"/>
    <n v="0"/>
    <n v="0"/>
    <n v="0"/>
    <n v="0"/>
    <n v="0"/>
    <n v="0"/>
    <n v="0"/>
    <n v="0"/>
    <n v="0"/>
    <m/>
    <n v="0"/>
    <n v="0"/>
    <n v="39.737884999640315"/>
    <n v="0"/>
    <n v="0"/>
    <n v="1419.5630198005983"/>
    <n v="0"/>
    <n v="0"/>
    <n v="0"/>
    <n v="0"/>
    <n v="0"/>
    <m/>
    <m/>
    <m/>
    <m/>
    <n v="1716.7545113999993"/>
    <m/>
    <m/>
    <m/>
    <m/>
    <n v="20020.630521871739"/>
    <m/>
    <m/>
    <m/>
    <m/>
    <m/>
    <m/>
    <m/>
    <m/>
    <m/>
    <m/>
    <m/>
    <m/>
    <n v="26894.7736"/>
    <n v="2632.3886446000033"/>
    <m/>
    <m/>
    <m/>
    <m/>
    <n v="-33.889830000000053"/>
    <n v="2835.4491099999996"/>
    <n v="31"/>
    <n v="2801.6469538875608"/>
    <n v="0"/>
    <n v="0"/>
    <n v="0"/>
    <n v="0"/>
    <n v="0"/>
    <n v="0"/>
    <n v="0"/>
    <n v="0"/>
    <n v="0"/>
    <n v="0"/>
    <n v="2835.8135146014974"/>
    <n v="0"/>
    <n v="0"/>
    <n v="6.0711831344247074"/>
    <n v="216.88187642962066"/>
    <n v="0"/>
    <n v="-218.92401053223693"/>
    <m/>
    <n v="0"/>
    <n v="0"/>
    <n v="0"/>
    <n v="0"/>
    <n v="-33.005683046539616"/>
    <n v="-5.1899266991974713"/>
    <n v="0"/>
    <n v="0"/>
    <m/>
    <m/>
    <m/>
    <n v="0"/>
    <n v="0"/>
    <n v="0"/>
    <n v="-33.889830000000075"/>
    <n v="2835.44910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"/>
    <s v="Regular"/>
    <s v="Verde"/>
    <s v="A4"/>
    <s v="Serviço público"/>
    <s v="Água, esgoto e saneamento"/>
    <s v="Não se aplica"/>
    <s v="Não se aplica"/>
    <s v="Não se aplica"/>
    <s v="CATIVO"/>
    <x v="0"/>
    <n v="574"/>
    <n v="539.55999999999995"/>
    <n v="0"/>
    <n v="0"/>
    <n v="0"/>
    <n v="0"/>
    <n v="32.17"/>
    <m/>
    <m/>
    <n v="18465.580000000002"/>
    <m/>
    <n v="18465.580000000002"/>
    <n v="7421.82"/>
    <n v="0"/>
    <n v="0"/>
    <n v="0"/>
    <n v="0"/>
    <n v="0"/>
    <n v="57.351913225352085"/>
    <n v="15455.946135954982"/>
    <m/>
    <m/>
    <m/>
    <n v="0"/>
    <n v="0"/>
    <n v="0"/>
    <n v="0"/>
    <m/>
    <n v="0"/>
    <n v="1012.777715081481"/>
    <n v="1941.7646049658204"/>
    <n v="0"/>
    <n v="0"/>
    <m/>
    <m/>
    <n v="0"/>
    <n v="0"/>
    <n v="0"/>
    <m/>
    <m/>
    <n v="0"/>
    <m/>
    <n v="0"/>
    <n v="0"/>
    <n v="0"/>
    <n v="0"/>
    <m/>
    <n v="0"/>
    <n v="0"/>
    <n v="327.63"/>
    <n v="1502.6"/>
    <n v="22498.5"/>
    <n v="2"/>
    <m/>
    <m/>
    <m/>
    <m/>
    <n v="445.30920000000071"/>
    <m/>
    <m/>
    <m/>
    <m/>
    <n v="0"/>
    <m/>
    <m/>
    <m/>
    <m/>
    <m/>
    <m/>
    <m/>
    <m/>
    <m/>
    <m/>
    <m/>
    <m/>
    <n v="6976.5107999999991"/>
    <n v="-10381.164399999994"/>
    <m/>
    <m/>
    <m/>
    <m/>
    <n v="-11043.760000000002"/>
    <n v="0"/>
    <n v="31"/>
    <n v="310.37313027778418"/>
    <n v="104.46956496161886"/>
    <n v="200.29597859222372"/>
    <n v="0"/>
    <n v="0"/>
    <m/>
    <m/>
    <m/>
    <n v="5.60758672394224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455.946135954982"/>
    <m/>
    <n v="0"/>
    <n v="0"/>
    <n v="-11043.760000000002"/>
    <m/>
    <n v="0"/>
    <m/>
    <n v="-11355.63536370280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0.20799999999999999"/>
    <n v="0.20799999999999999"/>
    <n v="0.20799999999999999"/>
    <n v="0.20799999999999999"/>
    <m/>
    <n v="571.87"/>
    <n v="216.76"/>
    <m/>
    <n v="164.03503999999998"/>
    <n v="164.03503999999998"/>
    <n v="106.91407999999998"/>
    <n v="0"/>
    <n v="12.607008345160175"/>
    <n v="0"/>
    <n v="0"/>
    <n v="0"/>
    <n v="0.17095804949769144"/>
    <n v="88.687803107663541"/>
    <n v="44.429112171316284"/>
    <n v="0.65674018518209087"/>
    <n v="0"/>
    <n v="0"/>
    <n v="0"/>
    <n v="0"/>
    <n v="1.949715800982512"/>
    <m/>
    <n v="0.399041667680267"/>
    <n v="1.8473931318133905"/>
    <n v="5.7880378639130523"/>
    <n v="0"/>
    <n v="0"/>
    <n v="0"/>
    <n v="0"/>
    <n v="0"/>
    <n v="0"/>
    <n v="0"/>
    <n v="0"/>
    <n v="0"/>
    <n v="0"/>
    <m/>
    <n v="0"/>
    <n v="0"/>
    <n v="0.12377448135132911"/>
    <n v="0"/>
    <n v="0"/>
    <n v="7.3753133930333092"/>
    <n v="0"/>
    <n v="0.82"/>
    <n v="3.81"/>
    <n v="54.08"/>
    <n v="2"/>
    <m/>
    <m/>
    <m/>
    <m/>
    <m/>
    <m/>
    <m/>
    <m/>
    <m/>
    <n v="51.928200045700919"/>
    <m/>
    <m/>
    <m/>
    <m/>
    <m/>
    <m/>
    <m/>
    <m/>
    <m/>
    <m/>
    <m/>
    <m/>
    <n v="107.9421"/>
    <n v="-56.122940000000014"/>
    <m/>
    <m/>
    <m/>
    <m/>
    <n v="-63.907999999999994"/>
    <n v="6.7870399999999984"/>
    <n v="31"/>
    <n v="8.0392636160730433"/>
    <n v="0.19056141729786735"/>
    <n v="0.59704492764802097"/>
    <n v="0"/>
    <n v="0"/>
    <n v="0"/>
    <n v="0"/>
    <n v="0"/>
    <n v="1.6715433449402489E-2"/>
    <n v="0"/>
    <n v="0"/>
    <n v="6.787912252863876"/>
    <n v="0"/>
    <n v="0"/>
    <n v="1.891035578917076E-2"/>
    <n v="1.1268057744715421"/>
    <n v="0"/>
    <n v="-0.60232750374312083"/>
    <m/>
    <n v="0"/>
    <n v="0"/>
    <n v="0"/>
    <n v="0"/>
    <n v="-7.9003671860711444E-2"/>
    <n v="-1.735536984302366E-2"/>
    <n v="0"/>
    <n v="0"/>
    <m/>
    <m/>
    <m/>
    <n v="88.687803107663541"/>
    <n v="0"/>
    <n v="0"/>
    <n v="-63.908000000000001"/>
    <n v="6.7870399999999975"/>
    <n v="0"/>
    <n v="0"/>
    <n v="-65.159799629197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6.09"/>
    <n v="306.04000000000002"/>
    <n v="854.54"/>
    <n v="12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4"/>
    <s v="Refaturamento - 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31"/>
    <n v="-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5"/>
    <s v="Regular"/>
    <s v="Convencional"/>
    <s v="B2"/>
    <s v="Rural"/>
    <s v="Agropecuária rural"/>
    <s v="IRRIG./AQUIC."/>
    <s v="Não se aplica"/>
    <s v="Não se aplica"/>
    <s v="CATIVO"/>
    <x v="0"/>
    <n v="0"/>
    <n v="0"/>
    <n v="23.038"/>
    <n v="23.038"/>
    <n v="23.038"/>
    <n v="23.038"/>
    <m/>
    <n v="571.87"/>
    <n v="216.76"/>
    <m/>
    <n v="18168.45794"/>
    <n v="18168.45794"/>
    <n v="11841.76238"/>
    <n v="0"/>
    <n v="1396.3473954605774"/>
    <n v="0"/>
    <n v="0"/>
    <n v="0"/>
    <n v="18.935247809268343"/>
    <n v="9823.026961511312"/>
    <n v="4920.9513759749261"/>
    <n v="72.740290318389469"/>
    <n v="0"/>
    <n v="0"/>
    <n v="0"/>
    <n v="0"/>
    <n v="215.94977222613034"/>
    <m/>
    <n v="44.197701634701886"/>
    <n v="204.61655274383122"/>
    <n v="641.08084763860052"/>
    <n v="0"/>
    <n v="0"/>
    <n v="0"/>
    <n v="0"/>
    <n v="0"/>
    <n v="0"/>
    <n v="0"/>
    <n v="0"/>
    <n v="0"/>
    <n v="0"/>
    <m/>
    <n v="0"/>
    <n v="0"/>
    <n v="13.709213948903463"/>
    <n v="0"/>
    <n v="0"/>
    <n v="816.88687475337213"/>
    <n v="0"/>
    <n v="0"/>
    <n v="0"/>
    <n v="0"/>
    <n v="0"/>
    <m/>
    <m/>
    <m/>
    <m/>
    <m/>
    <n v="1420.9838399999994"/>
    <m/>
    <m/>
    <m/>
    <n v="5751.5474646772018"/>
    <m/>
    <m/>
    <m/>
    <m/>
    <m/>
    <m/>
    <m/>
    <m/>
    <m/>
    <m/>
    <m/>
    <m/>
    <n v="10421.683199999999"/>
    <n v="-5566.7188000000006"/>
    <m/>
    <m/>
    <m/>
    <m/>
    <n v="-7078.4255000000003"/>
    <n v="751.72993999999994"/>
    <n v="31"/>
    <n v="890.42574609177791"/>
    <n v="21.106509287058969"/>
    <n v="66.128466553630346"/>
    <n v="0"/>
    <n v="0"/>
    <n v="0"/>
    <n v="0"/>
    <n v="0"/>
    <n v="1.8513949798429543"/>
    <n v="0"/>
    <n v="0"/>
    <n v="751.82655039172096"/>
    <n v="0"/>
    <n v="0"/>
    <n v="2.0945037339947898"/>
    <n v="124.80457419363154"/>
    <n v="0"/>
    <n v="-66.71356265016334"/>
    <m/>
    <n v="0"/>
    <n v="0"/>
    <n v="0"/>
    <n v="0"/>
    <n v="-8.7504163092647502"/>
    <n v="-1.9222740886710525"/>
    <n v="0"/>
    <n v="0"/>
    <m/>
    <m/>
    <m/>
    <n v="9823.026961511312"/>
    <n v="0"/>
    <n v="0"/>
    <n v="-7078.4255000000003"/>
    <n v="751.72994000000017"/>
    <n v="0"/>
    <n v="0"/>
    <n v="-7217.0743454685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"/>
    <s v="Refaturamento - Regular"/>
    <s v="Convencional"/>
    <s v="B2"/>
    <s v="Rural"/>
    <s v="Agropecuária rural"/>
    <s v="IRRIG./AQUIC."/>
    <s v="Não se aplica"/>
    <s v="Não se aplica"/>
    <s v="CATIVO"/>
    <x v="0"/>
    <n v="0"/>
    <n v="0"/>
    <n v="-0.312"/>
    <n v="-0.312"/>
    <n v="-0.312"/>
    <n v="-0.312"/>
    <m/>
    <n v="571.87"/>
    <n v="216.76"/>
    <m/>
    <n v="-246.05256"/>
    <n v="-246.05256"/>
    <n v="-160.37112000000002"/>
    <n v="0"/>
    <n v="-18.910512517740262"/>
    <n v="0"/>
    <n v="0"/>
    <n v="0"/>
    <n v="-0.25643707424653717"/>
    <n v="-133.03170466149533"/>
    <n v="-66.643668256974436"/>
    <n v="-0.98511027777313631"/>
    <n v="0"/>
    <n v="0"/>
    <n v="0"/>
    <n v="0"/>
    <n v="-2.9245737014737681"/>
    <m/>
    <n v="-0.59856250152040058"/>
    <n v="-2.7710896977200861"/>
    <n v="-8.6820567958695793"/>
    <n v="0"/>
    <n v="0"/>
    <n v="0"/>
    <n v="0"/>
    <n v="0"/>
    <n v="0"/>
    <n v="0"/>
    <n v="0"/>
    <n v="0"/>
    <n v="0"/>
    <m/>
    <n v="0"/>
    <n v="0"/>
    <n v="-0.18566172202699369"/>
    <n v="0"/>
    <n v="0"/>
    <n v="-11.062970089549964"/>
    <n v="0"/>
    <n v="0"/>
    <n v="0"/>
    <n v="0"/>
    <n v="0"/>
    <m/>
    <m/>
    <m/>
    <m/>
    <m/>
    <n v="-19.244159999999994"/>
    <m/>
    <m/>
    <m/>
    <n v="-77.892300068551393"/>
    <m/>
    <m/>
    <m/>
    <m/>
    <m/>
    <m/>
    <m/>
    <m/>
    <m/>
    <m/>
    <m/>
    <m/>
    <n v="-140.22230000000002"/>
    <n v="76.275700000000029"/>
    <m/>
    <m/>
    <m/>
    <m/>
    <n v="95.861999999999995"/>
    <n v="-10.180559999999998"/>
    <n v="31"/>
    <n v="-12.058895424109551"/>
    <n v="-0.2858421259468007"/>
    <n v="-0.89556739147203146"/>
    <n v="0"/>
    <n v="0"/>
    <n v="0"/>
    <n v="0"/>
    <n v="0"/>
    <n v="-2.507315017410372E-2"/>
    <n v="0"/>
    <n v="0"/>
    <n v="-10.181868379295807"/>
    <n v="0"/>
    <n v="0"/>
    <n v="-2.8365533683756161E-2"/>
    <n v="-1.6902086617073131"/>
    <n v="0"/>
    <n v="0.90349125561467858"/>
    <m/>
    <n v="0"/>
    <n v="0"/>
    <n v="0"/>
    <n v="0"/>
    <n v="0.11850550779106683"/>
    <n v="2.6033054764535546E-2"/>
    <n v="0"/>
    <n v="0"/>
    <m/>
    <m/>
    <m/>
    <n v="-133.03170466149533"/>
    <n v="0"/>
    <n v="0"/>
    <n v="95.861999999999995"/>
    <n v="-10.18056"/>
    <n v="0"/>
    <n v="0"/>
    <n v="97.739699443796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10.096"/>
    <n v="4.0384000000000002"/>
    <n v="10.096"/>
    <n v="4.0384000000000002"/>
    <m/>
    <n v="571.87"/>
    <n v="216.76"/>
    <m/>
    <n v="7962.0084799999995"/>
    <n v="7962.0084799999995"/>
    <n v="5189.4449599999998"/>
    <n v="0"/>
    <n v="611.92478967662078"/>
    <n v="0"/>
    <n v="0"/>
    <n v="0"/>
    <n v="8.2980407102341012"/>
    <n v="4304.7695200719772"/>
    <n v="2156.520752315429"/>
    <n v="31.877158219223027"/>
    <n v="0"/>
    <n v="0"/>
    <n v="0"/>
    <n v="0"/>
    <n v="94.63620541692039"/>
    <m/>
    <n v="19.368868638942192"/>
    <n v="89.669620474942263"/>
    <n v="280.94245324070278"/>
    <n v="0"/>
    <n v="0"/>
    <n v="0"/>
    <n v="0"/>
    <n v="0"/>
    <n v="0"/>
    <n v="0"/>
    <n v="0"/>
    <n v="0"/>
    <n v="0"/>
    <m/>
    <n v="0"/>
    <n v="0"/>
    <n v="6.0078229025145138"/>
    <n v="0"/>
    <n v="0"/>
    <n v="357.98636546184758"/>
    <n v="0"/>
    <n v="0"/>
    <n v="0"/>
    <n v="0"/>
    <n v="0"/>
    <m/>
    <m/>
    <m/>
    <m/>
    <m/>
    <m/>
    <n v="3362.7554879999998"/>
    <m/>
    <m/>
    <n v="2520.5149406797909"/>
    <m/>
    <m/>
    <m/>
    <m/>
    <m/>
    <m/>
    <m/>
    <m/>
    <m/>
    <m/>
    <m/>
    <m/>
    <n v="1827.4132"/>
    <n v="-975.26640000000043"/>
    <m/>
    <m/>
    <m/>
    <m/>
    <n v="-3101.9960000000001"/>
    <n v="329.43247999999994"/>
    <n v="31"/>
    <n v="390.21348782631367"/>
    <n v="9.2495580242272553"/>
    <n v="28.979642257377009"/>
    <n v="0"/>
    <n v="0"/>
    <n v="0"/>
    <n v="0"/>
    <n v="0"/>
    <n v="0.81134142358253492"/>
    <n v="0"/>
    <n v="0"/>
    <n v="329.47481781208489"/>
    <n v="0"/>
    <n v="0"/>
    <n v="0.91787957715128865"/>
    <n v="54.693418745503266"/>
    <n v="0"/>
    <n v="-29.236050373992953"/>
    <m/>
    <n v="0"/>
    <n v="0"/>
    <n v="0"/>
    <n v="0"/>
    <n v="-3.8347166880083705"/>
    <n v="-0.84240295161137979"/>
    <n v="0"/>
    <n v="0"/>
    <m/>
    <m/>
    <m/>
    <n v="4304.7695200719772"/>
    <n v="0"/>
    <n v="0"/>
    <n v="-3101.9959999999996"/>
    <n v="329.43247999999994"/>
    <n v="0"/>
    <n v="0"/>
    <n v="-3162.7564281556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"/>
    <s v="Refaturamento - Regular"/>
    <s v="Convencional"/>
    <s v="B2"/>
    <s v="Rural"/>
    <s v="Agropecuária rural"/>
    <s v="IRRIG./AQUIC. PR"/>
    <s v="Não se aplica"/>
    <s v="Não se aplica"/>
    <s v="CATIVO"/>
    <x v="0"/>
    <n v="0"/>
    <n v="0"/>
    <n v="-0.92800000000000005"/>
    <n v="-0.37119999999999997"/>
    <n v="-0.92800000000000005"/>
    <n v="-0.37119999999999997"/>
    <m/>
    <n v="571.87"/>
    <n v="216.76"/>
    <m/>
    <n v="-731.84864000000005"/>
    <n v="-731.84864000000005"/>
    <n v="-477.00128000000001"/>
    <n v="0"/>
    <n v="-56.246652616868474"/>
    <n v="0"/>
    <n v="0"/>
    <n v="0"/>
    <n v="-0.7627359131435465"/>
    <n v="-395.68404463419125"/>
    <n v="-198.22219276433421"/>
    <n v="-2.9300715954277905"/>
    <n v="0"/>
    <n v="0"/>
    <n v="0"/>
    <n v="0"/>
    <n v="-8.6987320351527462"/>
    <m/>
    <n v="-1.7803397481119607"/>
    <n v="-8.2422155111674353"/>
    <n v="-25.823553546689006"/>
    <n v="0"/>
    <n v="0"/>
    <n v="0"/>
    <n v="0"/>
    <n v="0"/>
    <n v="0"/>
    <n v="0"/>
    <n v="0"/>
    <n v="0"/>
    <n v="0"/>
    <m/>
    <n v="0"/>
    <n v="0"/>
    <n v="-0.55222460910592996"/>
    <n v="0"/>
    <n v="0"/>
    <n v="-32.905244368917849"/>
    <n v="0"/>
    <n v="0"/>
    <n v="0"/>
    <n v="0"/>
    <n v="0"/>
    <m/>
    <m/>
    <m/>
    <m/>
    <m/>
    <m/>
    <n v="-309.096384"/>
    <m/>
    <m/>
    <n v="-231.67966174235801"/>
    <m/>
    <m/>
    <m/>
    <m/>
    <m/>
    <m/>
    <m/>
    <m/>
    <m/>
    <m/>
    <m/>
    <m/>
    <n v="-167.3621"/>
    <n v="90.220700000000022"/>
    <m/>
    <m/>
    <m/>
    <m/>
    <n v="285.12800000000004"/>
    <n v="-30.280639999999998"/>
    <n v="31"/>
    <n v="-35.867483825556405"/>
    <n v="-0.85019709255971598"/>
    <n v="-2.6637389079680922"/>
    <n v="0"/>
    <n v="0"/>
    <n v="0"/>
    <n v="0"/>
    <n v="0"/>
    <n v="-7.4576549235795708E-2"/>
    <n v="0"/>
    <n v="0"/>
    <n v="-30.28453158970035"/>
    <n v="0"/>
    <n v="0"/>
    <n v="-8.4369279674761932E-2"/>
    <n v="-5.0272873014884141"/>
    <n v="0"/>
    <n v="2.6873073243923784"/>
    <m/>
    <n v="0"/>
    <n v="0"/>
    <n v="0"/>
    <n v="0"/>
    <n v="0.35247792060932781"/>
    <n v="7.7431650068874758E-2"/>
    <n v="0"/>
    <n v="0"/>
    <m/>
    <m/>
    <m/>
    <n v="-395.68404463419125"/>
    <n v="0"/>
    <n v="0"/>
    <n v="285.12800000000004"/>
    <n v="-30.280640000000005"/>
    <n v="0"/>
    <n v="0"/>
    <n v="290.71295219180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56599999999999995"/>
    <n v="0.54335999999999995"/>
    <n v="0.56599999999999995"/>
    <n v="0.54335999999999995"/>
    <m/>
    <n v="2592.54"/>
    <n v="216.76"/>
    <m/>
    <n v="1590.0637999999999"/>
    <n v="1590.0637999999999"/>
    <n v="668.55919999999992"/>
    <n v="0"/>
    <n v="29.845880044825837"/>
    <n v="0"/>
    <n v="0"/>
    <n v="0"/>
    <n v="2.8620555271997579"/>
    <n v="1296.6445914982276"/>
    <n v="120.89844946617796"/>
    <n v="1.7870910808320357"/>
    <n v="0"/>
    <n v="0"/>
    <n v="0"/>
    <n v="0"/>
    <n v="5.3054766507504887"/>
    <m/>
    <n v="0.77724376321982058"/>
    <n v="25.535017292111252"/>
    <n v="96.899623777991152"/>
    <n v="0"/>
    <n v="0"/>
    <n v="0"/>
    <n v="0"/>
    <n v="0"/>
    <n v="0"/>
    <n v="0"/>
    <n v="0"/>
    <n v="0"/>
    <n v="0"/>
    <m/>
    <n v="0"/>
    <n v="0"/>
    <n v="0.2588310633255051"/>
    <n v="0"/>
    <n v="0"/>
    <n v="9.2462647641131284"/>
    <n v="0"/>
    <n v="0"/>
    <n v="0"/>
    <n v="0"/>
    <n v="0"/>
    <m/>
    <m/>
    <m/>
    <m/>
    <m/>
    <n v="26.742367999999992"/>
    <m/>
    <m/>
    <m/>
    <n v="130.40354529361659"/>
    <m/>
    <m/>
    <m/>
    <m/>
    <m/>
    <m/>
    <m/>
    <m/>
    <m/>
    <m/>
    <m/>
    <m/>
    <n v="637.84799999999996"/>
    <n v="-888.64324799999986"/>
    <m/>
    <m/>
    <m/>
    <m/>
    <n v="-939.97317999999996"/>
    <n v="18.468579999999996"/>
    <n v="31"/>
    <n v="31.157568547742756"/>
    <n v="2.6339759535285268"/>
    <n v="9.9953438847299481"/>
    <n v="0"/>
    <n v="0"/>
    <n v="0"/>
    <n v="0"/>
    <n v="0"/>
    <n v="0.27983764925937793"/>
    <n v="0"/>
    <n v="0"/>
    <n v="18.470953534235349"/>
    <n v="0"/>
    <n v="0"/>
    <n v="3.954439916319763E-2"/>
    <n v="1.4126510933538015"/>
    <n v="0"/>
    <n v="-1.4259524490056741"/>
    <m/>
    <n v="0"/>
    <n v="0"/>
    <n v="0"/>
    <n v="0"/>
    <n v="-0.21498114554405046"/>
    <n v="-3.3804371977695147E-2"/>
    <n v="0"/>
    <n v="0"/>
    <m/>
    <m/>
    <m/>
    <n v="1296.6445914982276"/>
    <n v="0"/>
    <n v="0"/>
    <n v="-939.97317999999996"/>
    <n v="18.468579999999989"/>
    <n v="0"/>
    <n v="0"/>
    <n v="-952.65751108684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7.101"/>
    <n v="6.8169599999999999"/>
    <n v="7.101"/>
    <n v="6.8169599999999999"/>
    <m/>
    <n v="80.27"/>
    <n v="216.76"/>
    <m/>
    <n v="2109.2100299999997"/>
    <n v="2109.2100299999997"/>
    <n v="2338.1462699999997"/>
    <n v="0"/>
    <n v="374.44451271785914"/>
    <n v="0"/>
    <n v="0"/>
    <n v="0"/>
    <n v="0"/>
    <n v="0"/>
    <n v="1516.7842573486394"/>
    <n v="22.420731033548208"/>
    <n v="0"/>
    <n v="0"/>
    <n v="0"/>
    <n v="0"/>
    <n v="66.562172609503932"/>
    <m/>
    <n v="9.7512508173567962"/>
    <n v="0"/>
    <n v="0"/>
    <n v="0"/>
    <n v="0"/>
    <n v="0"/>
    <n v="0"/>
    <n v="0"/>
    <n v="0"/>
    <n v="0"/>
    <n v="0"/>
    <n v="0"/>
    <n v="0"/>
    <m/>
    <n v="0"/>
    <n v="0"/>
    <n v="3.2472780577286429"/>
    <n v="0"/>
    <n v="0"/>
    <n v="116.00304962891755"/>
    <n v="0"/>
    <n v="0"/>
    <n v="0"/>
    <n v="0"/>
    <n v="0"/>
    <m/>
    <m/>
    <m/>
    <m/>
    <m/>
    <n v="93.525850800000015"/>
    <m/>
    <m/>
    <m/>
    <n v="1636.0345850352855"/>
    <m/>
    <m/>
    <m/>
    <m/>
    <m/>
    <m/>
    <m/>
    <m/>
    <m/>
    <m/>
    <m/>
    <m/>
    <n v="2245.6214"/>
    <n v="220.74977120000017"/>
    <m/>
    <m/>
    <m/>
    <m/>
    <n v="-2.769390000000004"/>
    <n v="231.70562999999996"/>
    <n v="31"/>
    <n v="228.94340448525963"/>
    <n v="0"/>
    <n v="0"/>
    <n v="0"/>
    <n v="0"/>
    <n v="0"/>
    <n v="0"/>
    <n v="0"/>
    <n v="0"/>
    <n v="0"/>
    <n v="0"/>
    <n v="231.73540820954963"/>
    <n v="0"/>
    <n v="0"/>
    <n v="0.49612151671001126"/>
    <n v="17.723030766617228"/>
    <n v="0"/>
    <n v="-17.889908728602961"/>
    <m/>
    <n v="0"/>
    <n v="0"/>
    <n v="0"/>
    <n v="0"/>
    <n v="-2.6971397782832298"/>
    <n v="-0.42410750073076464"/>
    <n v="0"/>
    <n v="0"/>
    <m/>
    <m/>
    <m/>
    <n v="0"/>
    <n v="0"/>
    <n v="0"/>
    <n v="-2.769390000000044"/>
    <n v="231.70562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483"/>
    <n v="463.68"/>
    <n v="0"/>
    <n v="0"/>
    <n v="0"/>
    <n v="0"/>
    <n v="32.17"/>
    <m/>
    <m/>
    <n v="15538.11"/>
    <m/>
    <n v="15538.11"/>
    <n v="6245.19"/>
    <n v="0"/>
    <n v="0"/>
    <n v="0"/>
    <n v="0"/>
    <n v="0"/>
    <n v="48.25953673840602"/>
    <n v="13005.61321196212"/>
    <m/>
    <m/>
    <m/>
    <n v="0"/>
    <n v="0"/>
    <n v="0"/>
    <n v="0"/>
    <m/>
    <n v="0"/>
    <n v="852.21539439783157"/>
    <n v="1633.9238749102635"/>
    <n v="0"/>
    <n v="0"/>
    <m/>
    <m/>
    <n v="0"/>
    <n v="0"/>
    <n v="0"/>
    <m/>
    <m/>
    <n v="0"/>
    <m/>
    <n v="0"/>
    <n v="0"/>
    <n v="0"/>
    <n v="0"/>
    <m/>
    <n v="0"/>
    <n v="0"/>
    <n v="43.54"/>
    <n v="199.82"/>
    <n v="77.67"/>
    <n v="12"/>
    <m/>
    <m/>
    <m/>
    <m/>
    <m/>
    <n v="249.80759999999989"/>
    <m/>
    <m/>
    <m/>
    <n v="0"/>
    <m/>
    <m/>
    <m/>
    <m/>
    <m/>
    <m/>
    <m/>
    <m/>
    <m/>
    <m/>
    <m/>
    <m/>
    <n v="5995.3823999999995"/>
    <n v="-8921.2332000000024"/>
    <m/>
    <m/>
    <m/>
    <m/>
    <n v="-9292.92"/>
    <n v="0"/>
    <n v="31"/>
    <n v="261.1676340142335"/>
    <n v="87.907316857947535"/>
    <n v="168.54173808370047"/>
    <n v="0"/>
    <n v="0"/>
    <m/>
    <m/>
    <m/>
    <n v="4.71857907258554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005.61321196212"/>
    <m/>
    <n v="0"/>
    <n v="0"/>
    <n v="-9292.9200000000019"/>
    <m/>
    <n v="0"/>
    <m/>
    <n v="-9555.351708481624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4.0599999999999996"/>
    <n v="1.218"/>
    <n v="4.0599999999999996"/>
    <n v="1.218"/>
    <m/>
    <n v="80.27"/>
    <n v="216.76"/>
    <m/>
    <n v="1205.9417999999998"/>
    <n v="1205.9417999999998"/>
    <n v="1336.8361999999997"/>
    <n v="0"/>
    <n v="214.08882152295564"/>
    <n v="0"/>
    <n v="0"/>
    <n v="0"/>
    <n v="0"/>
    <n v="0"/>
    <n v="867.22209334396211"/>
    <n v="12.81906322999658"/>
    <n v="0"/>
    <n v="0"/>
    <n v="0"/>
    <n v="0"/>
    <n v="38.05695265379326"/>
    <m/>
    <n v="5.5752821177958864"/>
    <n v="0"/>
    <n v="0"/>
    <n v="0"/>
    <n v="0"/>
    <n v="0"/>
    <n v="0"/>
    <n v="0"/>
    <n v="0"/>
    <n v="0"/>
    <n v="0"/>
    <n v="0"/>
    <n v="0"/>
    <m/>
    <n v="0"/>
    <n v="0"/>
    <n v="1.8566327157271212"/>
    <n v="0"/>
    <n v="0"/>
    <n v="66.324796717843299"/>
    <n v="0"/>
    <n v="0"/>
    <n v="0"/>
    <n v="0"/>
    <n v="0"/>
    <m/>
    <m/>
    <m/>
    <m/>
    <m/>
    <m/>
    <n v="935.78533999999991"/>
    <m/>
    <m/>
    <n v="935.40352277753254"/>
    <m/>
    <m/>
    <m/>
    <m/>
    <m/>
    <m/>
    <m/>
    <m/>
    <m/>
    <m/>
    <m/>
    <m/>
    <n v="401.70939999999996"/>
    <n v="39.896860000000004"/>
    <m/>
    <m/>
    <m/>
    <m/>
    <n v="-1.5834000000000021"/>
    <n v="132.47779999999997"/>
    <n v="31"/>
    <n v="130.8984962977263"/>
    <n v="0"/>
    <n v="0"/>
    <n v="0"/>
    <n v="0"/>
    <n v="0"/>
    <n v="0"/>
    <n v="0"/>
    <n v="0"/>
    <n v="0"/>
    <n v="0"/>
    <n v="132.49482570493899"/>
    <n v="0"/>
    <n v="0"/>
    <n v="0.28365770424484515"/>
    <n v="10.133150952325849"/>
    <n v="0"/>
    <n v="-10.22856350346828"/>
    <m/>
    <n v="0"/>
    <n v="0"/>
    <n v="0"/>
    <n v="0"/>
    <n v="-1.5420909026658052"/>
    <n v="-0.24248365764919111"/>
    <n v="0"/>
    <n v="0"/>
    <m/>
    <m/>
    <m/>
    <n v="0"/>
    <n v="0"/>
    <n v="0"/>
    <n v="-1.5834000000000401"/>
    <n v="132.47779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3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.97"/>
    <n v="96.36"/>
    <n v="69.14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4"/>
    <s v="Regular"/>
    <s v="Convencional"/>
    <s v="B2"/>
    <s v="Rural"/>
    <s v="Aquicultura"/>
    <s v="IRRIG./AQUIC."/>
    <s v="Não se aplica"/>
    <s v="Não se aplica"/>
    <s v="CATIVO"/>
    <x v="0"/>
    <n v="0"/>
    <n v="0"/>
    <n v="6.9"/>
    <n v="6.9"/>
    <n v="6.9"/>
    <n v="6.9"/>
    <m/>
    <n v="571.87"/>
    <n v="216.76"/>
    <m/>
    <n v="5441.5470000000005"/>
    <n v="5441.5470000000005"/>
    <n v="3546.6689999999999"/>
    <n v="0"/>
    <n v="418.21325760387123"/>
    <n v="0"/>
    <n v="0"/>
    <n v="0"/>
    <n v="5.6712045266061111"/>
    <n v="2942.0473146292238"/>
    <n v="1473.8503556830885"/>
    <n v="21.786092681521286"/>
    <n v="0"/>
    <n v="0"/>
    <n v="0"/>
    <n v="0"/>
    <n v="64.678072244131414"/>
    <m/>
    <n v="13.237439937470397"/>
    <n v="61.283714468809592"/>
    <n v="192.00702529326955"/>
    <n v="0"/>
    <n v="0"/>
    <n v="0"/>
    <n v="0"/>
    <n v="0"/>
    <n v="0"/>
    <n v="0"/>
    <n v="0"/>
    <n v="0"/>
    <n v="0"/>
    <m/>
    <n v="0"/>
    <n v="0"/>
    <n v="4.1059803909815908"/>
    <n v="0"/>
    <n v="0"/>
    <n v="244.66183851889346"/>
    <n v="0"/>
    <n v="0"/>
    <n v="0"/>
    <n v="0"/>
    <n v="0"/>
    <m/>
    <m/>
    <m/>
    <m/>
    <m/>
    <n v="425.59199999999987"/>
    <m/>
    <m/>
    <m/>
    <n v="1722.6181745929637"/>
    <m/>
    <m/>
    <m/>
    <m/>
    <m/>
    <m/>
    <m/>
    <m/>
    <m/>
    <m/>
    <m/>
    <m/>
    <n v="3121.0770000000002"/>
    <n v="-1667.5530000000008"/>
    <m/>
    <m/>
    <m/>
    <m/>
    <n v="-2120.0250000000001"/>
    <n v="225.14699999999999"/>
    <n v="31"/>
    <n v="266.68711034088392"/>
    <n v="6.321508554592711"/>
    <n v="19.805817311400688"/>
    <n v="0"/>
    <n v="0"/>
    <n v="0"/>
    <n v="0"/>
    <n v="0"/>
    <n v="0.55450235961960104"/>
    <n v="0"/>
    <n v="0"/>
    <n v="225.17593531134958"/>
    <n v="0"/>
    <n v="0"/>
    <n v="0.62731468723691552"/>
    <n v="37.3796146339117"/>
    <n v="0"/>
    <n v="-19.981056614555428"/>
    <m/>
    <n v="0"/>
    <n v="0"/>
    <n v="0"/>
    <n v="0"/>
    <n v="-2.6207948838409081"/>
    <n v="-0.57573101883107292"/>
    <n v="0"/>
    <n v="0"/>
    <m/>
    <m/>
    <m/>
    <n v="2942.0473146292238"/>
    <n v="0"/>
    <n v="0"/>
    <n v="-2120.0250000000001"/>
    <n v="225.14699999999993"/>
    <n v="0"/>
    <n v="0"/>
    <n v="-2161.5510453916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"/>
    <s v="Regular"/>
    <s v="Convencional"/>
    <s v="B2"/>
    <s v="Rural"/>
    <s v="Aquicultura"/>
    <s v="IRRIG./AQUIC. PR"/>
    <s v="Não se aplica"/>
    <s v="Não se aplica"/>
    <s v="CATIVO"/>
    <x v="0"/>
    <n v="0"/>
    <n v="0"/>
    <n v="5.101"/>
    <n v="2.0404"/>
    <n v="5.101"/>
    <n v="2.0404"/>
    <m/>
    <n v="571.87"/>
    <n v="216.76"/>
    <m/>
    <n v="4022.8016299999999"/>
    <n v="4022.8016299999999"/>
    <n v="2621.9650099999999"/>
    <n v="0"/>
    <n v="309.17475754164445"/>
    <n v="0"/>
    <n v="0"/>
    <n v="0"/>
    <n v="4.1925817811909809"/>
    <n v="2174.9830944816913"/>
    <n v="1089.5812557013674"/>
    <n v="16.105921560643488"/>
    <n v="0"/>
    <n v="0"/>
    <n v="0"/>
    <n v="0"/>
    <n v="47.814905292364394"/>
    <m/>
    <n v="9.7861132059473181"/>
    <n v="45.305540218173583"/>
    <n v="141.94606319144464"/>
    <n v="0"/>
    <n v="0"/>
    <n v="0"/>
    <n v="0"/>
    <n v="0"/>
    <n v="0"/>
    <n v="0"/>
    <n v="0"/>
    <n v="0"/>
    <n v="0"/>
    <m/>
    <n v="0"/>
    <n v="0"/>
    <n v="3.0354501412169705"/>
    <n v="0"/>
    <n v="0"/>
    <n v="180.87246931664862"/>
    <n v="0"/>
    <n v="0"/>
    <n v="0"/>
    <n v="0"/>
    <n v="0"/>
    <m/>
    <m/>
    <m/>
    <m/>
    <m/>
    <m/>
    <n v="1699.030878"/>
    <m/>
    <m/>
    <n v="1273.4891751592329"/>
    <m/>
    <m/>
    <m/>
    <m/>
    <m/>
    <m/>
    <m/>
    <m/>
    <m/>
    <m/>
    <m/>
    <m/>
    <n v="922.75320000000011"/>
    <n v="-493.31439999999998"/>
    <m/>
    <m/>
    <m/>
    <m/>
    <n v="-1567.28225"/>
    <n v="166.44562999999997"/>
    <n v="31"/>
    <n v="197.15521012302202"/>
    <n v="4.6733355270981747"/>
    <n v="14.641952768906492"/>
    <n v="0"/>
    <n v="0"/>
    <n v="0"/>
    <n v="0"/>
    <n v="0"/>
    <n v="0.4099299328144328"/>
    <n v="0"/>
    <n v="0"/>
    <n v="166.46702116278175"/>
    <n v="0"/>
    <n v="0"/>
    <n v="0.46375829269500013"/>
    <n v="27.633828151823707"/>
    <n v="0"/>
    <n v="-14.771502868238713"/>
    <m/>
    <n v="0"/>
    <n v="0"/>
    <n v="0"/>
    <n v="0"/>
    <n v="-1.9374890873148516"/>
    <n v="-0.42562375754453718"/>
    <n v="0"/>
    <n v="0"/>
    <m/>
    <m/>
    <m/>
    <n v="2174.9830944816913"/>
    <n v="0"/>
    <n v="0"/>
    <n v="-1567.28225"/>
    <n v="166.44562999999994"/>
    <n v="0"/>
    <n v="0"/>
    <n v="-1597.9814322525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"/>
    <s v="Não se aplica"/>
    <s v="Não se aplica"/>
    <s v="Não se aplica"/>
    <s v="CATIVO"/>
    <x v="1"/>
    <n v="0"/>
    <n v="0"/>
    <n v="717.05399999999997"/>
    <n v="717.05399999999997"/>
    <n v="717.05399999999997"/>
    <n v="717.05399999999997"/>
    <m/>
    <n v="571.87"/>
    <n v="216.76"/>
    <m/>
    <n v="565490.29602000001"/>
    <n v="565490.29602000001"/>
    <n v="368572.92653999996"/>
    <n v="0"/>
    <n v="43461.085393896559"/>
    <n v="0"/>
    <n v="0"/>
    <n v="0"/>
    <n v="589.35650588710405"/>
    <n v="305740.11523828161"/>
    <n v="153163.81057159149"/>
    <n v="2264.0296958921103"/>
    <n v="0"/>
    <n v="0"/>
    <n v="0"/>
    <n v="0"/>
    <n v="6721.4015094120869"/>
    <m/>
    <n v="1375.6462691192605"/>
    <n v="6368.6568977851866"/>
    <n v="19953.537031107258"/>
    <n v="0"/>
    <n v="0"/>
    <n v="0"/>
    <n v="0"/>
    <n v="0"/>
    <n v="0"/>
    <n v="0"/>
    <n v="0"/>
    <n v="0"/>
    <n v="0"/>
    <m/>
    <n v="0"/>
    <n v="0"/>
    <n v="426.6970526485382"/>
    <n v="0"/>
    <n v="0"/>
    <n v="25425.471008308206"/>
    <n v="0"/>
    <n v="1833.03"/>
    <n v="8491.2900000000009"/>
    <n v="184591.49"/>
    <n v="4419"/>
    <m/>
    <m/>
    <m/>
    <m/>
    <m/>
    <m/>
    <m/>
    <m/>
    <m/>
    <n v="179015.97863254821"/>
    <m/>
    <m/>
    <m/>
    <m/>
    <m/>
    <m/>
    <m/>
    <m/>
    <m/>
    <m/>
    <m/>
    <m/>
    <n v="368570.87049999996"/>
    <n v="-196919.45552000008"/>
    <m/>
    <m/>
    <m/>
    <m/>
    <n v="-220314.84149999998"/>
    <n v="23397.472019999997"/>
    <n v="31"/>
    <n v="27714.356408459629"/>
    <n v="656.93666595723516"/>
    <n v="2058.237757450599"/>
    <n v="0"/>
    <n v="0"/>
    <n v="0"/>
    <n v="0"/>
    <n v="0"/>
    <n v="57.624367387633811"/>
    <n v="0"/>
    <n v="0"/>
    <n v="23400.479002716573"/>
    <n v="0"/>
    <n v="0"/>
    <n v="65.191087788692585"/>
    <n v="3884.5220567688266"/>
    <n v="0"/>
    <n v="-2076.4487782164433"/>
    <m/>
    <n v="0"/>
    <n v="0"/>
    <n v="0"/>
    <n v="0"/>
    <n v="-272.35528328081909"/>
    <n v="-59.830468112593735"/>
    <n v="0"/>
    <n v="0"/>
    <m/>
    <m/>
    <m/>
    <n v="305740.11523828161"/>
    <n v="0"/>
    <n v="0"/>
    <n v="-220314.84150000001"/>
    <n v="23397.472019999987"/>
    <n v="0"/>
    <n v="0"/>
    <n v="-224630.2642467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2.3479999999999999"/>
    <n v="-2.3479999999999999"/>
    <n v="-2.3479999999999999"/>
    <n v="-2.3479999999999999"/>
    <m/>
    <n v="571.87"/>
    <n v="216.76"/>
    <m/>
    <n v="-1851.7032399999998"/>
    <n v="-1851.7032399999998"/>
    <n v="-1206.8954799999999"/>
    <n v="0"/>
    <n v="-142.31372881940428"/>
    <n v="0"/>
    <n v="0"/>
    <n v="0"/>
    <n v="-1.9298533664450939"/>
    <n v="-1001.1488543115097"/>
    <n v="-501.53632393389728"/>
    <n v="-7.4135863211901407"/>
    <n v="0"/>
    <n v="0"/>
    <n v="0"/>
    <n v="0"/>
    <n v="-22.009291830321818"/>
    <m/>
    <n v="-4.5045665178522452"/>
    <n v="-20.854226314893467"/>
    <n v="-65.33804280994157"/>
    <n v="0"/>
    <n v="0"/>
    <n v="0"/>
    <n v="0"/>
    <n v="0"/>
    <n v="0"/>
    <n v="0"/>
    <n v="0"/>
    <n v="0"/>
    <n v="0"/>
    <m/>
    <n v="0"/>
    <n v="0"/>
    <n v="-1.3972234721775036"/>
    <n v="0"/>
    <n v="0"/>
    <n v="-83.255941571356786"/>
    <n v="0"/>
    <n v="-9.34"/>
    <n v="-42.85"/>
    <n v="-612.66"/>
    <n v="0"/>
    <m/>
    <m/>
    <m/>
    <m/>
    <m/>
    <m/>
    <m/>
    <m/>
    <m/>
    <n v="-586.18948897743155"/>
    <m/>
    <m/>
    <m/>
    <m/>
    <m/>
    <m/>
    <m/>
    <m/>
    <m/>
    <m/>
    <m/>
    <m/>
    <n v="-1207.9235000000001"/>
    <n v="643.74973999999975"/>
    <m/>
    <m/>
    <m/>
    <m/>
    <n v="721.423"/>
    <n v="-76.615239999999986"/>
    <n v="31"/>
    <n v="-90.750918127593536"/>
    <n v="-2.151145229881692"/>
    <n v="-6.7397187024882328"/>
    <n v="0"/>
    <n v="0"/>
    <n v="0"/>
    <n v="0"/>
    <n v="0"/>
    <n v="-0.18869152759229335"/>
    <n v="0"/>
    <n v="0"/>
    <n v="-76.6250863929057"/>
    <n v="0"/>
    <n v="0"/>
    <n v="-0.21346882400467782"/>
    <n v="-12.719903646438354"/>
    <n v="0"/>
    <n v="6.7993508595617413"/>
    <m/>
    <n v="0"/>
    <n v="0"/>
    <n v="0"/>
    <n v="0"/>
    <n v="0.89182991119687571"/>
    <n v="0.19591542495874847"/>
    <n v="0"/>
    <n v="0"/>
    <m/>
    <m/>
    <m/>
    <n v="-1001.1488543115097"/>
    <n v="0"/>
    <n v="0"/>
    <n v="721.42299999999989"/>
    <n v="-76.615239999999972"/>
    <n v="0"/>
    <n v="0"/>
    <n v="735.55389196805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7.25"/>
    <n v="7.25"/>
    <n v="7.25"/>
    <n v="7.25"/>
    <m/>
    <n v="571.87"/>
    <n v="216.76"/>
    <m/>
    <n v="5717.5675000000001"/>
    <n v="5717.5675000000001"/>
    <n v="3726.5725000000002"/>
    <n v="0"/>
    <n v="439.42697356928494"/>
    <n v="0"/>
    <n v="0"/>
    <n v="0"/>
    <n v="5.9588743214339566"/>
    <n v="3091.2815987046188"/>
    <n v="1548.610880971361"/>
    <n v="22.891184339279611"/>
    <n v="0"/>
    <n v="0"/>
    <n v="0"/>
    <n v="0"/>
    <n v="67.958844024630821"/>
    <m/>
    <n v="13.908904282124691"/>
    <n v="64.392308680995583"/>
    <n v="201.74651208350784"/>
    <n v="0"/>
    <n v="0"/>
    <n v="0"/>
    <n v="0"/>
    <n v="0"/>
    <n v="0"/>
    <n v="0"/>
    <n v="0"/>
    <n v="0"/>
    <n v="0"/>
    <m/>
    <n v="0"/>
    <n v="0"/>
    <n v="4.3142547586400779"/>
    <n v="0"/>
    <n v="0"/>
    <n v="257.07222163217068"/>
    <n v="0"/>
    <n v="18.329999999999998"/>
    <n v="86.43"/>
    <n v="5175.74"/>
    <n v="117"/>
    <m/>
    <m/>
    <m/>
    <m/>
    <m/>
    <m/>
    <m/>
    <m/>
    <m/>
    <n v="1809.9973573621719"/>
    <m/>
    <m/>
    <m/>
    <m/>
    <m/>
    <m/>
    <m/>
    <m/>
    <m/>
    <m/>
    <m/>
    <m/>
    <n v="3726.5725000000002"/>
    <n v="-1991.0250000000005"/>
    <m/>
    <m/>
    <m/>
    <m/>
    <n v="-2227.5625"/>
    <n v="236.56749999999997"/>
    <n v="31"/>
    <n v="280.21471738716036"/>
    <n v="6.6421647856227821"/>
    <n v="20.810460218500737"/>
    <n v="0"/>
    <n v="0"/>
    <n v="0"/>
    <n v="0"/>
    <n v="0"/>
    <n v="0.58262929090465398"/>
    <n v="0"/>
    <n v="0"/>
    <n v="236.59790304453395"/>
    <n v="0"/>
    <n v="0"/>
    <n v="0.659134997459077"/>
    <n v="39.275682042878202"/>
    <n v="0"/>
    <n v="-20.994588471815462"/>
    <m/>
    <n v="0"/>
    <n v="0"/>
    <n v="0"/>
    <n v="0"/>
    <n v="-2.7537337547603613"/>
    <n v="-0.60493476616308328"/>
    <n v="0"/>
    <n v="0"/>
    <m/>
    <m/>
    <m/>
    <n v="3091.2815987046188"/>
    <n v="0"/>
    <n v="0"/>
    <n v="-2227.5625"/>
    <n v="236.56749999999988"/>
    <n v="0"/>
    <n v="0"/>
    <n v="-2271.194938998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-0.27300000000000002"/>
    <n v="-0.27300000000000002"/>
    <n v="-0.27300000000000002"/>
    <n v="-0.27300000000000002"/>
    <m/>
    <n v="571.87"/>
    <n v="216.76"/>
    <m/>
    <n v="-215.29599000000002"/>
    <n v="-215.29599000000002"/>
    <n v="-140.32473000000002"/>
    <n v="0"/>
    <n v="-16.546698453022731"/>
    <n v="0"/>
    <n v="0"/>
    <n v="0"/>
    <n v="-0.22438243996572005"/>
    <n v="-116.40274157880842"/>
    <n v="-58.313209724852634"/>
    <n v="-0.86197149305149434"/>
    <n v="0"/>
    <n v="0"/>
    <n v="0"/>
    <n v="0"/>
    <n v="-2.559001988789547"/>
    <m/>
    <n v="-0.52374218883035051"/>
    <n v="-2.4247034855050753"/>
    <n v="-7.5967996963858822"/>
    <n v="0"/>
    <n v="0"/>
    <n v="0"/>
    <n v="0"/>
    <n v="0"/>
    <n v="0"/>
    <n v="0"/>
    <n v="0"/>
    <n v="0"/>
    <n v="0"/>
    <m/>
    <n v="0"/>
    <n v="0"/>
    <n v="-0.16245400677361949"/>
    <n v="0"/>
    <n v="0"/>
    <n v="-9.6800988283562202"/>
    <n v="0"/>
    <n v="-1.71"/>
    <n v="-7.83"/>
    <n v="-96.38"/>
    <n v="2"/>
    <m/>
    <m/>
    <m/>
    <m/>
    <m/>
    <m/>
    <m/>
    <m/>
    <m/>
    <n v="-68.155762559982477"/>
    <m/>
    <m/>
    <m/>
    <m/>
    <m/>
    <m/>
    <m/>
    <m/>
    <m/>
    <m/>
    <m/>
    <m/>
    <n v="-138.78270000000001"/>
    <n v="76.483290000000039"/>
    <m/>
    <m/>
    <m/>
    <m/>
    <n v="83.879250000000013"/>
    <n v="-8.9079899999999999"/>
    <n v="31"/>
    <n v="-10.551533496095828"/>
    <n v="-0.25011186020345066"/>
    <n v="-0.78362146753802708"/>
    <n v="0"/>
    <n v="0"/>
    <n v="0"/>
    <n v="0"/>
    <n v="0"/>
    <n v="-2.1939006402340755E-2"/>
    <n v="0"/>
    <n v="0"/>
    <n v="-8.9091348318838257"/>
    <n v="0"/>
    <n v="0"/>
    <n v="-2.4819841973286627E-2"/>
    <n v="-1.4789325789938985"/>
    <n v="0"/>
    <n v="0.79055484866284509"/>
    <m/>
    <n v="0"/>
    <n v="0"/>
    <n v="0"/>
    <n v="0"/>
    <n v="0.10369231931718348"/>
    <n v="2.2778922918968547E-2"/>
    <n v="0"/>
    <n v="0"/>
    <m/>
    <m/>
    <m/>
    <n v="-116.40274157880842"/>
    <n v="0"/>
    <n v="0"/>
    <n v="83.879250000000013"/>
    <n v="-8.9079900000000052"/>
    <n v="0"/>
    <n v="0"/>
    <n v="85.522237013321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0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3.39"/>
    <n v="3.39"/>
    <n v="3.39"/>
    <n v="3.39"/>
    <m/>
    <n v="501.89"/>
    <n v="216.76"/>
    <m/>
    <n v="2436.2235000000001"/>
    <n v="2436.2235000000001"/>
    <n v="1516.347"/>
    <n v="0"/>
    <n v="0"/>
    <n v="0"/>
    <n v="0"/>
    <n v="0"/>
    <n v="2.7862874413325676"/>
    <n v="1445.4406371874013"/>
    <n v="724.10908779212605"/>
    <n v="10.703602056573501"/>
    <n v="0"/>
    <n v="0"/>
    <n v="0"/>
    <n v="0"/>
    <n v="0"/>
    <m/>
    <n v="6.5036117953658907"/>
    <n v="30.108955369458627"/>
    <n v="94.333886339736779"/>
    <n v="0"/>
    <n v="0"/>
    <n v="0"/>
    <n v="0"/>
    <n v="0"/>
    <n v="0"/>
    <n v="0"/>
    <n v="0"/>
    <n v="0"/>
    <n v="0"/>
    <m/>
    <n v="0"/>
    <n v="0"/>
    <n v="2.0172860181779124"/>
    <n v="0"/>
    <n v="0"/>
    <n v="120.20342501145635"/>
    <n v="0"/>
    <n v="2.12"/>
    <n v="10.050000000000001"/>
    <n v="213.08"/>
    <n v="8"/>
    <m/>
    <m/>
    <m/>
    <m/>
    <m/>
    <m/>
    <m/>
    <n v="985.6085999999998"/>
    <m/>
    <n v="846.32979882176028"/>
    <m/>
    <m/>
    <m/>
    <m/>
    <m/>
    <m/>
    <m/>
    <m/>
    <m/>
    <m/>
    <m/>
    <m/>
    <n v="530.73840000000007"/>
    <n v="-321.97829999999988"/>
    <m/>
    <m/>
    <m/>
    <m/>
    <n v="-1030.4922000000001"/>
    <n v="110.61569999999999"/>
    <n v="31"/>
    <n v="142.12892472973317"/>
    <n v="3.1057846376912011"/>
    <n v="9.7306841573403347"/>
    <n v="0"/>
    <n v="0"/>
    <n v="0"/>
    <n v="0"/>
    <n v="0"/>
    <n v="0.27242942016093474"/>
    <n v="0"/>
    <n v="0"/>
    <n v="110.62991604427179"/>
    <n v="0"/>
    <n v="0"/>
    <n v="0.30820243329465802"/>
    <n v="18.364767189704452"/>
    <n v="0"/>
    <n v="0"/>
    <m/>
    <n v="0"/>
    <n v="0"/>
    <n v="0"/>
    <n v="0"/>
    <n v="0"/>
    <n v="-0.28285915273004925"/>
    <n v="0"/>
    <n v="0"/>
    <m/>
    <m/>
    <m/>
    <n v="1445.4406371874013"/>
    <n v="0"/>
    <n v="0"/>
    <n v="-1030.4922000000001"/>
    <n v="110.61569999999995"/>
    <n v="0"/>
    <n v="0"/>
    <n v="-1061.9794266489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6.6449999999999996"/>
    <n v="6.6449999999999996"/>
    <n v="6.6449999999999996"/>
    <n v="6.6449999999999996"/>
    <m/>
    <n v="501.89"/>
    <n v="216.76"/>
    <m/>
    <n v="4775.4292499999992"/>
    <n v="4775.4292499999992"/>
    <n v="2972.3085000000001"/>
    <n v="0"/>
    <n v="0"/>
    <n v="0"/>
    <n v="0"/>
    <n v="0"/>
    <n v="5.4616165332315365"/>
    <n v="2833.3194790885782"/>
    <n v="1419.3819729730612"/>
    <n v="20.98095447372593"/>
    <n v="0"/>
    <n v="0"/>
    <n v="0"/>
    <n v="0"/>
    <n v="0"/>
    <m/>
    <n v="12.748230200650838"/>
    <n v="59.018881542788364"/>
    <n v="184.91111348895305"/>
    <n v="0"/>
    <n v="0"/>
    <n v="0"/>
    <n v="0"/>
    <n v="0"/>
    <n v="0"/>
    <n v="0"/>
    <n v="0"/>
    <n v="0"/>
    <n v="0"/>
    <m/>
    <n v="0"/>
    <n v="0"/>
    <n v="3.9542376374018362"/>
    <n v="0"/>
    <n v="0"/>
    <n v="235.61998796493432"/>
    <n v="0"/>
    <n v="7.9"/>
    <n v="37.020000000000003"/>
    <n v="816.46"/>
    <n v="28"/>
    <m/>
    <m/>
    <m/>
    <m/>
    <m/>
    <m/>
    <m/>
    <n v="1188.8569499999999"/>
    <m/>
    <n v="1658.9561985753974"/>
    <m/>
    <m/>
    <m/>
    <m/>
    <m/>
    <m/>
    <m/>
    <m/>
    <m/>
    <m/>
    <m/>
    <m/>
    <n v="1784.7935"/>
    <n v="-1080.49405"/>
    <m/>
    <m/>
    <m/>
    <m/>
    <n v="-2019.9471000000001"/>
    <n v="216.82634999999996"/>
    <n v="31"/>
    <n v="278.59784803217599"/>
    <n v="6.0878875862708099"/>
    <n v="19.07386319337067"/>
    <n v="0"/>
    <n v="0"/>
    <n v="0"/>
    <n v="0"/>
    <n v="0"/>
    <n v="0.53400988111192049"/>
    <n v="0"/>
    <n v="0"/>
    <n v="216.85421596288666"/>
    <n v="0"/>
    <n v="0"/>
    <n v="0.60413131836076861"/>
    <n v="35.998194093093247"/>
    <n v="0"/>
    <n v="0"/>
    <m/>
    <n v="0"/>
    <n v="0"/>
    <n v="0"/>
    <n v="0"/>
    <n v="0"/>
    <n v="-0.55445400291775115"/>
    <n v="0"/>
    <n v="0"/>
    <m/>
    <m/>
    <m/>
    <n v="2833.3194790885782"/>
    <n v="0"/>
    <n v="0"/>
    <n v="-2019.9470999999999"/>
    <n v="216.82635000000005"/>
    <n v="0"/>
    <n v="0"/>
    <n v="-2081.6676371923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5.55"/>
    <n v="5.55"/>
    <n v="5.55"/>
    <n v="5.55"/>
    <m/>
    <n v="501.89"/>
    <n v="216.76"/>
    <m/>
    <n v="3988.5074999999997"/>
    <n v="3988.5074999999997"/>
    <n v="2482.5149999999999"/>
    <n v="0"/>
    <n v="0"/>
    <n v="0"/>
    <n v="0"/>
    <n v="0"/>
    <n v="4.561621032270132"/>
    <n v="2366.4293617669841"/>
    <n v="1185.4883295711797"/>
    <n v="17.523596287310596"/>
    <n v="0"/>
    <n v="0"/>
    <n v="0"/>
    <n v="0"/>
    <n v="0"/>
    <m/>
    <n v="10.647506036660971"/>
    <n v="49.293422507520759"/>
    <n v="154.44043338806463"/>
    <n v="0"/>
    <n v="0"/>
    <n v="0"/>
    <n v="0"/>
    <n v="0"/>
    <n v="0"/>
    <n v="0"/>
    <n v="0"/>
    <n v="0"/>
    <n v="0"/>
    <m/>
    <n v="0"/>
    <n v="0"/>
    <n v="3.3026364014417147"/>
    <n v="0"/>
    <n v="0"/>
    <n v="196.79321793910995"/>
    <n v="0"/>
    <n v="11.83"/>
    <n v="55.3"/>
    <n v="1227.31"/>
    <n v="58"/>
    <m/>
    <m/>
    <m/>
    <m/>
    <m/>
    <m/>
    <m/>
    <n v="248.25149999999991"/>
    <m/>
    <n v="1385.5841839117315"/>
    <m/>
    <m/>
    <m/>
    <m/>
    <m/>
    <m/>
    <m/>
    <m/>
    <m/>
    <m/>
    <m/>
    <m/>
    <n v="2234.2635"/>
    <n v="-1355.3955000000005"/>
    <m/>
    <m/>
    <m/>
    <m/>
    <n v="-1687.0889999999999"/>
    <n v="181.09649999999996"/>
    <n v="31"/>
    <n v="232.68894756637746"/>
    <n v="5.0846916634767467"/>
    <n v="15.930766098300552"/>
    <n v="0"/>
    <n v="0"/>
    <n v="0"/>
    <n v="0"/>
    <n v="0"/>
    <n v="0.44601276752011465"/>
    <n v="0"/>
    <n v="0"/>
    <n v="181.11977405478115"/>
    <n v="0"/>
    <n v="0"/>
    <n v="0.50457920495143149"/>
    <n v="30.066211770755046"/>
    <n v="0"/>
    <n v="0"/>
    <m/>
    <n v="0"/>
    <n v="0"/>
    <n v="0"/>
    <n v="0"/>
    <n v="0"/>
    <n v="-0.46308799340760309"/>
    <n v="0"/>
    <n v="0"/>
    <m/>
    <m/>
    <m/>
    <n v="2366.4293617669841"/>
    <n v="0"/>
    <n v="0"/>
    <n v="-1687.0889999999997"/>
    <n v="181.09650000000011"/>
    <n v="0"/>
    <n v="0"/>
    <n v="-1738.6388843367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.591"/>
    <n v="1.591"/>
    <n v="1.591"/>
    <n v="1.591"/>
    <m/>
    <n v="501.89"/>
    <n v="216.76"/>
    <m/>
    <n v="1143.3721499999999"/>
    <n v="1143.3721499999999"/>
    <n v="711.65429999999992"/>
    <n v="0"/>
    <n v="0"/>
    <n v="0"/>
    <n v="0"/>
    <n v="0"/>
    <n v="1.3076646959174381"/>
    <n v="678.37641703986878"/>
    <n v="339.83998781040486"/>
    <n v="5.0234309356957052"/>
    <n v="0"/>
    <n v="0"/>
    <n v="0"/>
    <n v="0"/>
    <n v="0"/>
    <m/>
    <n v="3.0522850638428118"/>
    <n v="14.130781118822616"/>
    <n v="44.272924237911859"/>
    <n v="0"/>
    <n v="0"/>
    <n v="0"/>
    <n v="0"/>
    <n v="0"/>
    <n v="0"/>
    <n v="0"/>
    <n v="0"/>
    <n v="0"/>
    <n v="0"/>
    <m/>
    <n v="0"/>
    <n v="0"/>
    <n v="0.94675576841329145"/>
    <n v="0"/>
    <n v="0"/>
    <n v="56.414055809211519"/>
    <n v="0"/>
    <n v="4.84"/>
    <n v="22.76"/>
    <n v="504.76"/>
    <n v="19"/>
    <m/>
    <m/>
    <m/>
    <m/>
    <m/>
    <m/>
    <m/>
    <m/>
    <m/>
    <n v="397.20079938802968"/>
    <m/>
    <m/>
    <m/>
    <m/>
    <m/>
    <m/>
    <m/>
    <m/>
    <m/>
    <m/>
    <m/>
    <m/>
    <n v="711.20699999999999"/>
    <n v="-432.1951499999999"/>
    <m/>
    <m/>
    <m/>
    <m/>
    <n v="-483.63218000000001"/>
    <n v="51.914329999999993"/>
    <n v="31"/>
    <n v="66.704164969028284"/>
    <n v="1.4576116101966683"/>
    <n v="4.5668196148461604"/>
    <n v="0"/>
    <n v="0"/>
    <n v="0"/>
    <n v="0"/>
    <n v="0"/>
    <n v="0.12785699335576606"/>
    <n v="0"/>
    <n v="0"/>
    <n v="51.921001895703967"/>
    <n v="0"/>
    <n v="0"/>
    <n v="0.14464603875274373"/>
    <n v="8.6189807076164442"/>
    <n v="0"/>
    <n v="0"/>
    <m/>
    <n v="0"/>
    <n v="0"/>
    <n v="0"/>
    <n v="0"/>
    <n v="0"/>
    <n v="-0.13275189144351307"/>
    <n v="0"/>
    <n v="0"/>
    <m/>
    <m/>
    <m/>
    <n v="678.37641703986878"/>
    <n v="0"/>
    <n v="0"/>
    <n v="-483.63218000000001"/>
    <n v="51.91432999999995"/>
    <n v="0"/>
    <n v="0"/>
    <n v="-498.40981350987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4"/>
    <s v="Regular"/>
    <s v="Convencional"/>
    <s v="B3"/>
    <s v="Industrial"/>
    <s v="Não se aplica"/>
    <s v="Não se aplica"/>
    <s v="Não se aplica"/>
    <s v="Não se aplica"/>
    <s v="CATIVO"/>
    <x v="1"/>
    <n v="0"/>
    <n v="0"/>
    <n v="32.612000000000002"/>
    <n v="32.612000000000002"/>
    <n v="32.612000000000002"/>
    <n v="32.612000000000002"/>
    <m/>
    <n v="571.87"/>
    <n v="216.76"/>
    <m/>
    <n v="25718.80156"/>
    <n v="25718.80156"/>
    <n v="16762.894120000001"/>
    <n v="0"/>
    <n v="1976.6334430402098"/>
    <n v="0"/>
    <n v="0"/>
    <n v="0"/>
    <n v="26.8042495683592"/>
    <n v="13905.224206476558"/>
    <n v="6965.9721448604178"/>
    <n v="102.96928326518437"/>
    <n v="0"/>
    <n v="0"/>
    <n v="0"/>
    <n v="0"/>
    <n v="305.69294087327734"/>
    <m/>
    <n v="62.565129165331101"/>
    <n v="289.64992699374181"/>
    <n v="907.49755200929076"/>
    <n v="0"/>
    <n v="0"/>
    <n v="0"/>
    <n v="0"/>
    <n v="0"/>
    <n v="0"/>
    <n v="0"/>
    <n v="0"/>
    <n v="0"/>
    <n v="0"/>
    <m/>
    <n v="0"/>
    <n v="0"/>
    <n v="19.406410508795894"/>
    <n v="0"/>
    <n v="0"/>
    <n v="1156.3640402577034"/>
    <n v="0"/>
    <n v="73.25"/>
    <n v="336.32"/>
    <n v="4276.3500000000004"/>
    <n v="23"/>
    <m/>
    <m/>
    <m/>
    <m/>
    <m/>
    <m/>
    <m/>
    <m/>
    <m/>
    <n v="8141.7425956269162"/>
    <m/>
    <m/>
    <m/>
    <m/>
    <m/>
    <m/>
    <m/>
    <m/>
    <m/>
    <m/>
    <m/>
    <m/>
    <n v="16761.866099999999"/>
    <n v="-8956.9654599999958"/>
    <m/>
    <m/>
    <m/>
    <m/>
    <n v="-10020.037"/>
    <n v="1064.1295599999999"/>
    <n v="31"/>
    <n v="1260.463774266218"/>
    <n v="29.877831446721359"/>
    <n v="93.609755675275323"/>
    <n v="0"/>
    <n v="0"/>
    <n v="0"/>
    <n v="0"/>
    <n v="0"/>
    <n v="2.620787094480356"/>
    <n v="0"/>
    <n v="0"/>
    <n v="1064.2663191845986"/>
    <n v="0"/>
    <n v="0"/>
    <n v="2.964925591329024"/>
    <n v="176.67014383204764"/>
    <n v="0"/>
    <n v="-94.438002654185766"/>
    <m/>
    <n v="0"/>
    <n v="0"/>
    <n v="0"/>
    <n v="0"/>
    <n v="-12.386864166930366"/>
    <n v="-2.7211217371186933"/>
    <n v="0"/>
    <n v="0"/>
    <m/>
    <m/>
    <m/>
    <n v="13905.224206476558"/>
    <n v="0"/>
    <n v="0"/>
    <n v="-10020.037"/>
    <n v="1064.1295599999994"/>
    <n v="0"/>
    <n v="0"/>
    <n v="-10216.304738016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5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1.6739999999999999"/>
    <n v="1.6739999999999999"/>
    <n v="1.6739999999999999"/>
    <n v="1.6739999999999999"/>
    <m/>
    <n v="571.87"/>
    <n v="216.76"/>
    <m/>
    <n v="1320.16662"/>
    <n v="1320.16662"/>
    <n v="860.45273999999995"/>
    <n v="0"/>
    <n v="101.46217293172178"/>
    <n v="0"/>
    <n v="0"/>
    <n v="0"/>
    <n v="1.3758835329766128"/>
    <n v="713.76626154917687"/>
    <n v="357.56891237876664"/>
    <n v="5.2854955288212508"/>
    <n v="0"/>
    <n v="0"/>
    <n v="0"/>
    <n v="0"/>
    <n v="15.691462744445793"/>
    <m/>
    <n v="3.2115180370036875"/>
    <n v="14.867962031998152"/>
    <n v="46.582573962454084"/>
    <n v="0"/>
    <n v="0"/>
    <n v="0"/>
    <n v="0"/>
    <n v="0"/>
    <n v="0"/>
    <n v="0"/>
    <n v="0"/>
    <n v="0"/>
    <n v="0"/>
    <m/>
    <n v="0"/>
    <n v="0"/>
    <n v="0.99614654702944683"/>
    <n v="0"/>
    <n v="0"/>
    <n v="59.357089518931538"/>
    <n v="0"/>
    <n v="4.5599999999999996"/>
    <n v="21.02"/>
    <n v="742.76"/>
    <n v="4"/>
    <m/>
    <m/>
    <m/>
    <m/>
    <m/>
    <m/>
    <m/>
    <m/>
    <m/>
    <n v="417.92214844472767"/>
    <m/>
    <m/>
    <m/>
    <m/>
    <m/>
    <m/>
    <m/>
    <m/>
    <m/>
    <m/>
    <m/>
    <m/>
    <n v="858.39670000000001"/>
    <n v="-461.79991999999993"/>
    <m/>
    <m/>
    <m/>
    <m/>
    <n v="-514.3365"/>
    <n v="54.622619999999991"/>
    <n v="31"/>
    <n v="64.700611987049456"/>
    <n v="1.5336529449837979"/>
    <n v="4.8050635042441669"/>
    <n v="0"/>
    <n v="0"/>
    <n v="0"/>
    <n v="0"/>
    <n v="0"/>
    <n v="0.13452709420336428"/>
    <n v="0"/>
    <n v="0"/>
    <n v="54.629639958144821"/>
    <n v="0"/>
    <n v="0"/>
    <n v="0.15219199803399941"/>
    <n v="9.0686195503142315"/>
    <n v="0"/>
    <n v="-4.8475780830095232"/>
    <m/>
    <n v="0"/>
    <n v="0"/>
    <n v="0"/>
    <n v="0"/>
    <n v="-0.63582762834053241"/>
    <n v="-0.13967735152510397"/>
    <n v="0"/>
    <n v="0"/>
    <m/>
    <m/>
    <m/>
    <n v="713.76626154917687"/>
    <n v="0"/>
    <n v="0"/>
    <n v="-514.3365"/>
    <n v="54.622619999999984"/>
    <n v="0"/>
    <n v="0"/>
    <n v="-524.41107970806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Ponta"/>
    <s v="CATIVO"/>
    <x v="1"/>
    <n v="0"/>
    <n v="0"/>
    <n v="9.6489999999999991"/>
    <n v="9.6489999999999991"/>
    <n v="9.6489999999999991"/>
    <n v="9.6489999999999991"/>
    <m/>
    <n v="2592.54"/>
    <n v="216.76"/>
    <m/>
    <n v="27106.935699999998"/>
    <n v="27106.935699999998"/>
    <n v="11397.398799999999"/>
    <n v="0"/>
    <n v="508.80370415640368"/>
    <n v="0"/>
    <n v="0"/>
    <n v="0"/>
    <n v="48.791473112986687"/>
    <n v="22104.81212608904"/>
    <n v="2061.0408814472635"/>
    <n v="30.465798302028819"/>
    <n v="0"/>
    <n v="0"/>
    <n v="0"/>
    <n v="0"/>
    <n v="90.446191171539695"/>
    <m/>
    <n v="13.25022097404249"/>
    <n v="435.31339549749373"/>
    <n v="1651.9160244414074"/>
    <n v="0"/>
    <n v="0"/>
    <n v="0"/>
    <n v="0"/>
    <n v="0"/>
    <n v="0"/>
    <n v="0"/>
    <n v="0"/>
    <n v="0"/>
    <n v="0"/>
    <m/>
    <n v="0"/>
    <n v="0"/>
    <n v="4.4124751413918704"/>
    <n v="0"/>
    <n v="0"/>
    <n v="157.62757722425368"/>
    <n v="0"/>
    <n v="0"/>
    <n v="0"/>
    <n v="0"/>
    <n v="0"/>
    <m/>
    <m/>
    <m/>
    <m/>
    <m/>
    <m/>
    <m/>
    <m/>
    <m/>
    <n v="2223.0809338129093"/>
    <m/>
    <m/>
    <m/>
    <m/>
    <m/>
    <m/>
    <m/>
    <m/>
    <m/>
    <m/>
    <m/>
    <m/>
    <n v="11398.58"/>
    <n v="-15708.385699999993"/>
    <m/>
    <m/>
    <m/>
    <m/>
    <n v="-16024.383769999999"/>
    <n v="314.84686999999991"/>
    <n v="31"/>
    <n v="531.16498041902832"/>
    <n v="44.903240239570266"/>
    <n v="170.39765573102363"/>
    <n v="0"/>
    <n v="0"/>
    <n v="0"/>
    <n v="0"/>
    <n v="0"/>
    <n v="4.7705891832221496"/>
    <n v="0"/>
    <n v="0"/>
    <n v="314.88733330713239"/>
    <n v="0"/>
    <n v="0"/>
    <n v="0.67414117937401752"/>
    <n v="24.082456536697578"/>
    <n v="0"/>
    <n v="-24.309214099745134"/>
    <m/>
    <n v="0"/>
    <n v="0"/>
    <n v="0"/>
    <n v="0"/>
    <n v="-3.6649347585769334"/>
    <n v="-0.57628689966922408"/>
    <n v="0"/>
    <n v="0"/>
    <m/>
    <m/>
    <m/>
    <n v="22104.81212608904"/>
    <n v="0"/>
    <n v="0"/>
    <n v="-16024.383769999999"/>
    <n v="314.84686999999985"/>
    <n v="0"/>
    <n v="0"/>
    <n v="-16240.622481408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"/>
    <s v="Regular"/>
    <s v="Verde"/>
    <s v="A4"/>
    <s v="Industrial"/>
    <s v="Não se aplica"/>
    <s v="Não se aplica"/>
    <s v="Não se aplica"/>
    <s v="Fora ponta"/>
    <s v="CATIVO"/>
    <x v="1"/>
    <n v="0"/>
    <n v="0"/>
    <n v="130.499"/>
    <n v="130.499"/>
    <n v="130.499"/>
    <n v="130.499"/>
    <m/>
    <n v="80.27"/>
    <n v="216.76"/>
    <m/>
    <n v="38762.117969999992"/>
    <n v="38762.117969999992"/>
    <n v="42969.405729999999"/>
    <n v="0"/>
    <n v="6881.373674858175"/>
    <n v="0"/>
    <n v="0"/>
    <n v="0"/>
    <n v="0"/>
    <n v="0"/>
    <n v="27874.782255983675"/>
    <n v="412.03816070229652"/>
    <n v="0"/>
    <n v="0"/>
    <n v="0"/>
    <n v="0"/>
    <n v="1223.2498188096963"/>
    <m/>
    <n v="179.20412342124271"/>
    <n v="0"/>
    <n v="0"/>
    <n v="0"/>
    <n v="0"/>
    <n v="0"/>
    <n v="0"/>
    <n v="0"/>
    <n v="0"/>
    <n v="0"/>
    <n v="0"/>
    <n v="0"/>
    <n v="0"/>
    <m/>
    <n v="0"/>
    <n v="0"/>
    <n v="59.677022849673307"/>
    <n v="0"/>
    <n v="0"/>
    <n v="2131.8521297738503"/>
    <n v="0"/>
    <n v="0"/>
    <n v="0"/>
    <n v="0"/>
    <n v="0"/>
    <m/>
    <m/>
    <m/>
    <m/>
    <m/>
    <m/>
    <m/>
    <m/>
    <m/>
    <n v="30066.311408607198"/>
    <m/>
    <m/>
    <m/>
    <m/>
    <m/>
    <m/>
    <m/>
    <m/>
    <m/>
    <m/>
    <m/>
    <m/>
    <n v="42969.735000000001"/>
    <n v="4207.5870300000024"/>
    <m/>
    <m/>
    <m/>
    <m/>
    <n v="-50.894610000000071"/>
    <n v="4258.1823699999995"/>
    <n v="31"/>
    <n v="4207.4194257036943"/>
    <n v="0"/>
    <n v="0"/>
    <n v="0"/>
    <n v="0"/>
    <n v="0"/>
    <n v="0"/>
    <n v="0"/>
    <n v="0"/>
    <n v="0"/>
    <n v="0"/>
    <n v="4258.7296206080864"/>
    <n v="0"/>
    <n v="0"/>
    <n v="9.1174991985832605"/>
    <n v="325.70592761762873"/>
    <n v="0"/>
    <n v="-328.77273611800683"/>
    <m/>
    <n v="0"/>
    <n v="0"/>
    <n v="0"/>
    <n v="0"/>
    <n v="-49.566827760341312"/>
    <n v="-7.794057842256592"/>
    <n v="0"/>
    <n v="0"/>
    <m/>
    <m/>
    <m/>
    <n v="0"/>
    <n v="0"/>
    <n v="0"/>
    <n v="-50.894609999999375"/>
    <n v="4258.18236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"/>
    <s v="Regular"/>
    <s v="Verde"/>
    <s v="A4"/>
    <s v="Industrial"/>
    <s v="Não se aplica"/>
    <s v="Não se aplica"/>
    <s v="Não se aplica"/>
    <s v="Não se aplica"/>
    <s v="CATIVO"/>
    <x v="1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287.95999999999998"/>
    <n v="1320.38"/>
    <n v="16657.86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n v="31"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9"/>
    <s v="Refaturamento - Regular"/>
    <s v="Verde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6.73"/>
    <n v="-30.89"/>
    <n v="-1578.7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60"/>
    <s v="Regular"/>
    <s v="Convencional"/>
    <s v="B3"/>
    <s v="Comercial"/>
    <s v="Não se aplica"/>
    <s v="Não se aplica"/>
    <s v="Não se aplica"/>
    <s v="Não se aplica"/>
    <s v="CATIVO"/>
    <x v="1"/>
    <n v="0"/>
    <n v="0"/>
    <n v="211.48599999999999"/>
    <n v="211.48599999999999"/>
    <n v="211.48599999999999"/>
    <n v="211.48599999999999"/>
    <m/>
    <n v="571.87"/>
    <n v="216.76"/>
    <m/>
    <n v="166784.20418"/>
    <n v="166784.20418"/>
    <n v="108705.91885999999"/>
    <n v="0"/>
    <n v="12818.296956175695"/>
    <n v="0"/>
    <n v="0"/>
    <n v="0"/>
    <n v="173.8232406541768"/>
    <n v="90174.176577054488"/>
    <n v="45173.72700318748"/>
    <n v="667.74689809336382"/>
    <n v="0"/>
    <n v="0"/>
    <n v="0"/>
    <n v="0"/>
    <n v="1982.392287916286"/>
    <m/>
    <n v="405.7294525530238"/>
    <n v="1878.3547301667629"/>
    <n v="5885.0431523438256"/>
    <n v="0"/>
    <n v="0"/>
    <n v="0"/>
    <n v="0"/>
    <n v="0"/>
    <n v="0"/>
    <n v="0"/>
    <n v="0"/>
    <n v="0"/>
    <n v="0"/>
    <m/>
    <n v="0"/>
    <n v="0"/>
    <n v="125.84889405320764"/>
    <n v="0"/>
    <n v="0"/>
    <n v="7498.9208088415508"/>
    <n v="0"/>
    <n v="558.97"/>
    <n v="2581.39"/>
    <n v="56189.23"/>
    <n v="696"/>
    <m/>
    <m/>
    <m/>
    <m/>
    <m/>
    <m/>
    <m/>
    <m/>
    <m/>
    <n v="52798.496706082238"/>
    <m/>
    <m/>
    <m/>
    <m/>
    <m/>
    <m/>
    <m/>
    <m/>
    <m/>
    <m/>
    <m/>
    <m/>
    <n v="108707.9749"/>
    <n v="-58076.259279999969"/>
    <m/>
    <m/>
    <m/>
    <m/>
    <n v="-64979.073499999999"/>
    <n v="6900.7881799999986"/>
    <n v="31"/>
    <n v="8173.9985822539311"/>
    <n v="193.75515335892692"/>
    <n v="607.05117100273765"/>
    <n v="0"/>
    <n v="0"/>
    <n v="0"/>
    <n v="0"/>
    <n v="0"/>
    <n v="16.995577685001592"/>
    <n v="0"/>
    <n v="0"/>
    <n v="6901.6750514863888"/>
    <n v="0"/>
    <n v="0"/>
    <n v="19.227286078983511"/>
    <n v="1145.6906058648474"/>
    <n v="0"/>
    <n v="-612.4222810414285"/>
    <m/>
    <n v="0"/>
    <n v="0"/>
    <n v="0"/>
    <n v="0"/>
    <n v="-80.327743015069018"/>
    <n v="-17.646239166450528"/>
    <n v="0"/>
    <n v="0"/>
    <m/>
    <m/>
    <m/>
    <n v="90174.176577054488"/>
    <n v="0"/>
    <n v="0"/>
    <n v="-64979.073499999999"/>
    <n v="6900.7881800000032"/>
    <n v="0"/>
    <n v="0"/>
    <n v="-66251.85280952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1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1.1060000000000001"/>
    <n v="-1.1060000000000001"/>
    <n v="-1.1060000000000001"/>
    <n v="-1.1060000000000001"/>
    <m/>
    <n v="571.87"/>
    <n v="216.76"/>
    <m/>
    <n v="-872.22478000000001"/>
    <n v="-872.22478000000001"/>
    <n v="-568.49505999999997"/>
    <n v="0"/>
    <n v="-67.035342450707475"/>
    <n v="0"/>
    <n v="0"/>
    <n v="0"/>
    <n v="-0.90903655165599406"/>
    <n v="-471.58033767824952"/>
    <n v="-236.24325991094145"/>
    <n v="-3.4920896385163105"/>
    <n v="0"/>
    <n v="0"/>
    <n v="0"/>
    <n v="0"/>
    <n v="-10.367238826378166"/>
    <m/>
    <n v="-2.1218273291075738"/>
    <n v="-9.8231577105077417"/>
    <n v="-30.776778257153062"/>
    <n v="0"/>
    <n v="0"/>
    <n v="0"/>
    <n v="0"/>
    <n v="0"/>
    <n v="0"/>
    <n v="0"/>
    <n v="0"/>
    <n v="0"/>
    <n v="0"/>
    <m/>
    <n v="0"/>
    <n v="0"/>
    <n v="-0.65814700180081742"/>
    <n v="0"/>
    <n v="0"/>
    <n v="-39.216810637955966"/>
    <n v="0"/>
    <n v="-4.4000000000000004"/>
    <n v="-20.16"/>
    <n v="-286.58"/>
    <n v="0"/>
    <m/>
    <m/>
    <m/>
    <m/>
    <m/>
    <m/>
    <m/>
    <m/>
    <m/>
    <n v="-276.1182175506982"/>
    <m/>
    <m/>
    <m/>
    <m/>
    <m/>
    <m/>
    <m/>
    <m/>
    <m/>
    <m/>
    <m/>
    <m/>
    <n v="-570.55110000000002"/>
    <n v="301.64368000000002"/>
    <m/>
    <m/>
    <m/>
    <m/>
    <n v="339.81850000000003"/>
    <n v="-36.08878"/>
    <n v="31"/>
    <n v="-42.747238266234262"/>
    <n v="-1.013273690055005"/>
    <n v="-3.1746715864361121"/>
    <n v="0"/>
    <n v="0"/>
    <n v="0"/>
    <n v="0"/>
    <n v="0"/>
    <n v="-8.8881102860765115E-2"/>
    <n v="0"/>
    <n v="0"/>
    <n v="-36.093418036862715"/>
    <n v="0"/>
    <n v="0"/>
    <n v="-0.10055218030203306"/>
    <n v="-5.991573012334257"/>
    <n v="0"/>
    <n v="3.202760668941778"/>
    <m/>
    <n v="0"/>
    <n v="0"/>
    <n v="0"/>
    <n v="0"/>
    <n v="0.42008683210551467"/>
    <n v="9.2283841569154479E-2"/>
    <n v="0"/>
    <n v="0"/>
    <m/>
    <m/>
    <m/>
    <n v="-471.58033767824952"/>
    <n v="0"/>
    <n v="0"/>
    <n v="339.81850000000003"/>
    <n v="-36.088779999999986"/>
    <n v="0"/>
    <n v="0"/>
    <n v="346.47470379755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2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5.5119999999999996"/>
    <n v="5.5119999999999996"/>
    <n v="5.5119999999999996"/>
    <n v="5.5119999999999996"/>
    <m/>
    <n v="571.87"/>
    <n v="216.76"/>
    <m/>
    <n v="4346.9285599999994"/>
    <n v="4346.9285599999994"/>
    <n v="2833.2231199999997"/>
    <n v="0"/>
    <n v="334.08572114674462"/>
    <n v="0"/>
    <n v="0"/>
    <n v="0"/>
    <n v="4.5303883116888235"/>
    <n v="2350.2267823530838"/>
    <n v="1177.3714725398816"/>
    <n v="17.403614907325409"/>
    <n v="0"/>
    <n v="0"/>
    <n v="0"/>
    <n v="0"/>
    <n v="51.667468726036567"/>
    <m/>
    <n v="10.574604193527076"/>
    <n v="48.955917993054847"/>
    <n v="153.38300339369587"/>
    <n v="0"/>
    <n v="0"/>
    <n v="0"/>
    <n v="0"/>
    <n v="0"/>
    <n v="0"/>
    <n v="0"/>
    <n v="0"/>
    <n v="0"/>
    <n v="0"/>
    <m/>
    <n v="0"/>
    <n v="0"/>
    <n v="3.2800237558102214"/>
    <n v="0"/>
    <n v="0"/>
    <n v="195.44580491538269"/>
    <n v="0"/>
    <n v="14.28"/>
    <n v="65.8"/>
    <n v="2526.34"/>
    <n v="16"/>
    <m/>
    <m/>
    <m/>
    <m/>
    <m/>
    <m/>
    <m/>
    <m/>
    <m/>
    <n v="1376.0973012110744"/>
    <m/>
    <m/>
    <m/>
    <m/>
    <m/>
    <m/>
    <m/>
    <m/>
    <m/>
    <m/>
    <m/>
    <m/>
    <n v="2832.1950999999999"/>
    <n v="-1514.7634600000001"/>
    <m/>
    <m/>
    <m/>
    <m/>
    <n v="-1693.5619999999999"/>
    <n v="179.85655999999997"/>
    <n v="31"/>
    <n v="213.04048582593555"/>
    <n v="5.049877558393483"/>
    <n v="15.821690582672574"/>
    <n v="0"/>
    <n v="0"/>
    <n v="0"/>
    <n v="0"/>
    <n v="0"/>
    <n v="0.44295898640916498"/>
    <n v="0"/>
    <n v="0"/>
    <n v="179.87967470089256"/>
    <n v="0"/>
    <n v="0"/>
    <n v="0.5011244284130254"/>
    <n v="29.860353023495833"/>
    <n v="0"/>
    <n v="-15.961678849192651"/>
    <m/>
    <n v="0"/>
    <n v="0"/>
    <n v="0"/>
    <n v="0"/>
    <n v="-2.0935973043088509"/>
    <n v="-0.45991730084012694"/>
    <n v="0"/>
    <n v="0"/>
    <m/>
    <m/>
    <m/>
    <n v="2350.2267823530838"/>
    <n v="0"/>
    <n v="0"/>
    <n v="-1693.5619999999999"/>
    <n v="179.85655999999994"/>
    <n v="0"/>
    <n v="0"/>
    <n v="-1726.734690173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Ponta"/>
    <s v="CATIVO"/>
    <x v="1"/>
    <n v="0"/>
    <n v="0"/>
    <n v="5.694"/>
    <n v="5.694"/>
    <n v="5.694"/>
    <n v="5.694"/>
    <m/>
    <n v="2592.54"/>
    <n v="216.76"/>
    <m/>
    <n v="15996.154199999999"/>
    <n v="15996.154199999999"/>
    <n v="6725.7528000000002"/>
    <n v="0"/>
    <n v="300.25166250042105"/>
    <n v="0"/>
    <n v="0"/>
    <n v="0"/>
    <n v="28.792480869037849"/>
    <n v="13044.336226132347"/>
    <n v="1216.2469456897834"/>
    <n v="17.978262569359739"/>
    <n v="0"/>
    <n v="0"/>
    <n v="0"/>
    <n v="0"/>
    <n v="53.373470051896263"/>
    <m/>
    <n v="7.819127186879256"/>
    <n v="256.88407855350084"/>
    <n v="974.81706323654009"/>
    <n v="0"/>
    <n v="0"/>
    <n v="0"/>
    <n v="0"/>
    <n v="0"/>
    <n v="0"/>
    <n v="0"/>
    <n v="0"/>
    <n v="0"/>
    <n v="0"/>
    <m/>
    <n v="0"/>
    <n v="0"/>
    <n v="2.6038587890025195"/>
    <n v="0"/>
    <n v="0"/>
    <n v="93.018076973251169"/>
    <n v="0"/>
    <n v="0"/>
    <n v="0"/>
    <n v="0"/>
    <n v="0"/>
    <m/>
    <m/>
    <m/>
    <m/>
    <m/>
    <m/>
    <m/>
    <m/>
    <m/>
    <n v="1311.8688814520372"/>
    <m/>
    <m/>
    <m/>
    <m/>
    <m/>
    <m/>
    <m/>
    <m/>
    <m/>
    <m/>
    <m/>
    <m/>
    <n v="6721.0280000000002"/>
    <n v="-9275.1561999999994"/>
    <m/>
    <m/>
    <m/>
    <m/>
    <n v="-9456.1966200000006"/>
    <n v="185.79521999999997"/>
    <n v="31"/>
    <n v="313.44734153859963"/>
    <n v="26.497984239207483"/>
    <n v="100.5538658651102"/>
    <n v="0"/>
    <n v="0"/>
    <n v="0"/>
    <n v="0"/>
    <n v="0"/>
    <n v="2.815186528061659"/>
    <n v="0"/>
    <n v="0"/>
    <n v="185.81909792214856"/>
    <n v="0"/>
    <n v="0"/>
    <n v="0.39781945023895293"/>
    <n v="14.211369833138775"/>
    <n v="0"/>
    <n v="-14.34518241102171"/>
    <m/>
    <n v="0"/>
    <n v="0"/>
    <n v="0"/>
    <n v="0"/>
    <n v="-2.1627255171869706"/>
    <n v="-0.34007437109716587"/>
    <n v="0"/>
    <n v="0"/>
    <m/>
    <m/>
    <m/>
    <n v="13044.336226132347"/>
    <n v="0"/>
    <n v="0"/>
    <n v="-9456.1966199999988"/>
    <n v="185.79521999999997"/>
    <n v="0"/>
    <n v="0"/>
    <n v="-9583.8018871528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Fora ponta"/>
    <s v="CATIVO"/>
    <x v="1"/>
    <n v="0"/>
    <n v="0"/>
    <n v="53.183"/>
    <n v="53.183"/>
    <n v="53.183"/>
    <n v="53.183"/>
    <m/>
    <n v="80.27"/>
    <n v="216.76"/>
    <m/>
    <n v="15796.946489999998"/>
    <n v="15796.946489999998"/>
    <n v="17511.566409999999"/>
    <n v="0"/>
    <n v="2804.4053682402341"/>
    <n v="0"/>
    <n v="0"/>
    <n v="0"/>
    <n v="0"/>
    <n v="0"/>
    <n v="11359.968618303434"/>
    <n v="167.92025609874585"/>
    <n v="0"/>
    <n v="0"/>
    <n v="0"/>
    <n v="0"/>
    <n v="498.51795886371605"/>
    <m/>
    <n v="73.032076076536612"/>
    <n v="0"/>
    <n v="0"/>
    <n v="0"/>
    <n v="0"/>
    <n v="0"/>
    <n v="0"/>
    <n v="0"/>
    <n v="0"/>
    <n v="0"/>
    <n v="0"/>
    <n v="0"/>
    <n v="0"/>
    <m/>
    <n v="0"/>
    <n v="0"/>
    <n v="24.320516679929927"/>
    <n v="0"/>
    <n v="0"/>
    <n v="868.80582853326598"/>
    <n v="0"/>
    <n v="0"/>
    <n v="0"/>
    <n v="0"/>
    <n v="0"/>
    <m/>
    <m/>
    <m/>
    <m/>
    <m/>
    <m/>
    <m/>
    <m/>
    <m/>
    <n v="12253.094963516631"/>
    <m/>
    <m/>
    <m/>
    <m/>
    <m/>
    <m/>
    <m/>
    <m/>
    <m/>
    <m/>
    <m/>
    <m/>
    <n v="17510.578600000001"/>
    <n v="1713.6021100000016"/>
    <m/>
    <m/>
    <m/>
    <m/>
    <n v="-20.741370000000032"/>
    <n v="1735.3612899999998"/>
    <n v="31"/>
    <n v="1714.6735784733974"/>
    <n v="0"/>
    <n v="0"/>
    <n v="0"/>
    <n v="0"/>
    <n v="0"/>
    <n v="0"/>
    <n v="0"/>
    <n v="0"/>
    <n v="0"/>
    <n v="0"/>
    <n v="1735.5843141541318"/>
    <n v="0"/>
    <n v="0"/>
    <n v="3.715706326318621"/>
    <n v="132.73678992550401"/>
    <n v="0"/>
    <n v="-133.98662384358431"/>
    <m/>
    <n v="0"/>
    <n v="0"/>
    <n v="0"/>
    <n v="0"/>
    <n v="-20.200251348885615"/>
    <n v="-3.1763567400879111"/>
    <n v="0"/>
    <n v="0"/>
    <m/>
    <m/>
    <m/>
    <n v="0"/>
    <n v="0"/>
    <n v="0"/>
    <n v="-20.741369999999733"/>
    <n v="1735.36128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5"/>
    <s v="Regular"/>
    <s v="Verde"/>
    <s v="A4"/>
    <s v="Comercial"/>
    <s v="Não se aplica"/>
    <s v="Não se aplica"/>
    <s v="Não se aplica"/>
    <s v="Não se aplica"/>
    <s v="CATIVO"/>
    <x v="1"/>
    <n v="883"/>
    <n v="883"/>
    <n v="0"/>
    <n v="0"/>
    <n v="0"/>
    <n v="0"/>
    <n v="32.17"/>
    <m/>
    <m/>
    <n v="28406.11"/>
    <m/>
    <n v="28406.11"/>
    <n v="11417.19"/>
    <n v="0"/>
    <n v="0"/>
    <n v="0"/>
    <n v="0"/>
    <n v="0"/>
    <n v="88.22602679091618"/>
    <n v="23776.307383359319"/>
    <m/>
    <m/>
    <m/>
    <n v="0"/>
    <n v="0"/>
    <n v="0"/>
    <n v="0"/>
    <m/>
    <n v="0"/>
    <n v="1557.9838369633237"/>
    <n v="2987.0699410885354"/>
    <n v="0"/>
    <n v="0"/>
    <m/>
    <m/>
    <n v="0"/>
    <n v="0"/>
    <n v="0"/>
    <m/>
    <m/>
    <n v="0"/>
    <m/>
    <n v="0"/>
    <n v="0"/>
    <n v="0"/>
    <n v="0"/>
    <m/>
    <n v="0"/>
    <n v="0"/>
    <n v="168.31"/>
    <n v="771.83"/>
    <n v="15041.69"/>
    <n v="8"/>
    <m/>
    <m/>
    <m/>
    <m/>
    <m/>
    <m/>
    <m/>
    <m/>
    <m/>
    <n v="0"/>
    <m/>
    <m/>
    <m/>
    <m/>
    <m/>
    <m/>
    <m/>
    <m/>
    <m/>
    <m/>
    <m/>
    <m/>
    <n v="11417.19"/>
    <n v="-16988.949999999997"/>
    <m/>
    <m/>
    <m/>
    <m/>
    <n v="-16988.920000000002"/>
    <n v="0"/>
    <n v="31"/>
    <n v="477.45552967819458"/>
    <n v="160.70840742353539"/>
    <n v="308.12081724204472"/>
    <n v="0"/>
    <n v="0"/>
    <m/>
    <m/>
    <m/>
    <n v="8.62630501261499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776.307383359319"/>
    <m/>
    <n v="0"/>
    <n v="0"/>
    <n v="-16988.919999999998"/>
    <m/>
    <n v="0"/>
    <m/>
    <n v="-17468.68645670657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6"/>
    <s v="Refaturamento - Regular"/>
    <s v="Verde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20.53"/>
    <n v="-94.12"/>
    <n v="-4702.4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67"/>
    <s v="Regular"/>
    <s v="Convencional"/>
    <s v="B2"/>
    <s v="Rural"/>
    <s v="Não se aplica"/>
    <s v="Não se aplica"/>
    <s v="Não se aplica"/>
    <s v="Não se aplica"/>
    <s v="CATIVO"/>
    <x v="1"/>
    <n v="0"/>
    <n v="0"/>
    <n v="3584.2150000000001"/>
    <n v="3584.2150000000001"/>
    <n v="3584.2150000000001"/>
    <n v="3584.2150000000001"/>
    <m/>
    <n v="571.87"/>
    <n v="216.76"/>
    <m/>
    <n v="2826619.4754499998"/>
    <n v="2826619.4754499998"/>
    <n v="1842322.3521500002"/>
    <n v="0"/>
    <n v="217241.48276850133"/>
    <n v="0"/>
    <n v="0"/>
    <n v="0"/>
    <n v="2945.9154104825393"/>
    <n v="1528250.7414208381"/>
    <n v="765593.70327458857"/>
    <n v="11316.817417463597"/>
    <n v="0"/>
    <n v="0"/>
    <n v="0"/>
    <n v="0"/>
    <n v="33597.118363550646"/>
    <m/>
    <n v="6876.2073602145592"/>
    <n v="31833.914297800635"/>
    <n v="99738.32755964002"/>
    <n v="0"/>
    <n v="0"/>
    <n v="0"/>
    <n v="0"/>
    <n v="0"/>
    <n v="0"/>
    <n v="0"/>
    <n v="0"/>
    <n v="0"/>
    <n v="0"/>
    <m/>
    <n v="0"/>
    <n v="0"/>
    <n v="2132.8574647916062"/>
    <n v="0"/>
    <n v="0"/>
    <n v="127089.94660101387"/>
    <n v="0"/>
    <n v="6166.08"/>
    <n v="28512.04"/>
    <n v="126433.85"/>
    <n v="10571"/>
    <m/>
    <m/>
    <m/>
    <m/>
    <m/>
    <n v="221074.38119999995"/>
    <m/>
    <m/>
    <m/>
    <n v="894816.50734039408"/>
    <m/>
    <m/>
    <m/>
    <m/>
    <m/>
    <m/>
    <m/>
    <m/>
    <m/>
    <m/>
    <m/>
    <m/>
    <n v="1621250.2326"/>
    <n v="-866195.00739999977"/>
    <m/>
    <m/>
    <m/>
    <m/>
    <n v="-1101250.0587500001"/>
    <n v="116952.93544999999"/>
    <n v="31"/>
    <n v="138531.00596963032"/>
    <n v="3283.716780289782"/>
    <n v="10288.160506490152"/>
    <n v="0"/>
    <n v="0"/>
    <n v="0"/>
    <n v="0"/>
    <n v="0"/>
    <n v="288.03705433101004"/>
    <n v="0"/>
    <n v="0"/>
    <n v="116967.96593941574"/>
    <n v="0"/>
    <n v="0"/>
    <n v="325.85952343693634"/>
    <n v="19416.894994939983"/>
    <n v="0"/>
    <n v="-10379.18881648386"/>
    <m/>
    <n v="0"/>
    <n v="0"/>
    <n v="0"/>
    <n v="0"/>
    <n v="-1361.3757006646119"/>
    <n v="-299.0643121245821"/>
    <n v="0"/>
    <n v="0"/>
    <m/>
    <m/>
    <m/>
    <n v="1528250.7414208381"/>
    <n v="0"/>
    <n v="0"/>
    <n v="-1101250.0587499999"/>
    <n v="116952.93544999999"/>
    <n v="0"/>
    <n v="0"/>
    <n v="-1122820.8232113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8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1.762"/>
    <n v="-1.762"/>
    <n v="-1.762"/>
    <n v="-1.762"/>
    <m/>
    <n v="571.87"/>
    <n v="216.76"/>
    <m/>
    <n v="-1389.5660600000001"/>
    <n v="-1389.5660600000001"/>
    <n v="-905.68561999999997"/>
    <n v="0"/>
    <n v="-106.79590723159725"/>
    <n v="0"/>
    <n v="0"/>
    <n v="0"/>
    <n v="-1.4482119385333285"/>
    <n v="-751.28802440241918"/>
    <n v="-376.36584445124663"/>
    <n v="-5.5633471456290584"/>
    <n v="0"/>
    <n v="0"/>
    <n v="0"/>
    <n v="0"/>
    <n v="-16.516342506399933"/>
    <m/>
    <n v="-3.380343357945339"/>
    <n v="-15.649551433919203"/>
    <n v="-49.031359212571147"/>
    <n v="0"/>
    <n v="0"/>
    <n v="0"/>
    <n v="0"/>
    <n v="0"/>
    <n v="0"/>
    <n v="0"/>
    <n v="0"/>
    <n v="0"/>
    <n v="0"/>
    <m/>
    <n v="0"/>
    <n v="0"/>
    <n v="-1.0485126737550092"/>
    <n v="0"/>
    <n v="0"/>
    <n v="-62.477414415984093"/>
    <n v="0"/>
    <n v="-4.08"/>
    <n v="-18.68"/>
    <n v="-8.09"/>
    <n v="0"/>
    <m/>
    <m/>
    <m/>
    <m/>
    <m/>
    <n v="-108.68015999999997"/>
    <m/>
    <m/>
    <m/>
    <n v="-439.8917715409857"/>
    <m/>
    <m/>
    <m/>
    <m/>
    <m/>
    <m/>
    <m/>
    <m/>
    <m/>
    <m/>
    <m/>
    <m/>
    <n v="-796.10080000000005"/>
    <n v="426.69719999999995"/>
    <m/>
    <m/>
    <m/>
    <m/>
    <n v="541.37450000000001"/>
    <n v="-57.49405999999999"/>
    <n v="31"/>
    <n v="-68.101838901541669"/>
    <n v="-1.6142750830713553"/>
    <n v="-5.0576594351721766"/>
    <n v="0"/>
    <n v="0"/>
    <n v="0"/>
    <n v="0"/>
    <n v="0"/>
    <n v="-0.14159900835503447"/>
    <n v="0"/>
    <n v="0"/>
    <n v="-57.50144898820264"/>
    <n v="0"/>
    <n v="0"/>
    <n v="-0.16019253317557158"/>
    <n v="-9.5453450702829699"/>
    <n v="0"/>
    <n v="5.1024089499777716"/>
    <m/>
    <n v="0"/>
    <n v="0"/>
    <n v="0"/>
    <n v="0"/>
    <n v="0.66925225874314087"/>
    <n v="0.1470200079971522"/>
    <n v="0"/>
    <n v="0"/>
    <m/>
    <m/>
    <m/>
    <n v="-751.28802440241918"/>
    <n v="0"/>
    <n v="0"/>
    <n v="541.37450000000001"/>
    <n v="-57.49405999999999"/>
    <n v="0"/>
    <n v="0"/>
    <n v="551.97868724349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9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39.523000000000003"/>
    <n v="39.523000000000003"/>
    <n v="39.523000000000003"/>
    <n v="39.523000000000003"/>
    <m/>
    <n v="571.87"/>
    <n v="216.76"/>
    <m/>
    <n v="31169.023490000003"/>
    <n v="31169.023490000003"/>
    <n v="20315.217230000002"/>
    <n v="0"/>
    <n v="2395.5134174315654"/>
    <n v="0"/>
    <n v="0"/>
    <n v="0"/>
    <n v="32.484495145659906"/>
    <n v="16851.961741462437"/>
    <n v="8442.172117052567"/>
    <n v="124.79010739880664"/>
    <n v="0"/>
    <n v="0"/>
    <n v="0"/>
    <n v="0"/>
    <n v="370.47412308765303"/>
    <m/>
    <n v="75.823672267919207"/>
    <n v="351.03134013779152"/>
    <n v="1099.810675458825"/>
    <n v="0"/>
    <n v="0"/>
    <n v="0"/>
    <n v="0"/>
    <n v="0"/>
    <n v="0"/>
    <n v="0"/>
    <n v="0"/>
    <n v="0"/>
    <n v="0"/>
    <m/>
    <n v="0"/>
    <n v="0"/>
    <n v="23.518936665618178"/>
    <n v="0"/>
    <n v="0"/>
    <n v="1401.4159193887285"/>
    <n v="0"/>
    <n v="73.72"/>
    <n v="340.41"/>
    <n v="987.35"/>
    <n v="116"/>
    <m/>
    <m/>
    <m/>
    <m/>
    <m/>
    <n v="2437.7786399999995"/>
    <m/>
    <m/>
    <m/>
    <n v="9867.1069731069128"/>
    <m/>
    <m/>
    <m/>
    <m/>
    <m/>
    <m/>
    <m/>
    <m/>
    <m/>
    <m/>
    <m/>
    <m/>
    <n v="17876.081600000001"/>
    <n v="-9552.910399999997"/>
    <m/>
    <m/>
    <m/>
    <m/>
    <n v="-12143.441750000002"/>
    <n v="1289.6354899999999"/>
    <n v="31"/>
    <n v="1527.5760379714156"/>
    <n v="36.209417768575065"/>
    <n v="113.44714747804187"/>
    <n v="0"/>
    <n v="0"/>
    <n v="0"/>
    <n v="0"/>
    <n v="0"/>
    <n v="3.1761734433689099"/>
    <n v="0"/>
    <n v="0"/>
    <n v="1289.8012306247056"/>
    <n v="0"/>
    <n v="0"/>
    <n v="3.5932403454586392"/>
    <n v="214.10934915595544"/>
    <n v="0"/>
    <n v="-114.45091312711202"/>
    <m/>
    <n v="0"/>
    <n v="0"/>
    <n v="0"/>
    <n v="0"/>
    <n v="-15.011837129571632"/>
    <n v="-3.297770588008774"/>
    <n v="0"/>
    <n v="0"/>
    <m/>
    <m/>
    <m/>
    <n v="16851.961741462437"/>
    <n v="0"/>
    <n v="0"/>
    <n v="-12143.441750000002"/>
    <n v="1289.6354900000006"/>
    <n v="0"/>
    <n v="0"/>
    <n v="-12381.30173434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0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30.303999999999998"/>
    <n v="30.303999999999998"/>
    <n v="30.303999999999998"/>
    <n v="30.303999999999998"/>
    <m/>
    <n v="571.87"/>
    <n v="216.76"/>
    <m/>
    <n v="23898.643519999998"/>
    <n v="23898.643519999998"/>
    <n v="15576.55904"/>
    <n v="0"/>
    <n v="1836.7441389025669"/>
    <n v="0"/>
    <n v="0"/>
    <n v="0"/>
    <n v="24.907272749894432"/>
    <n v="12921.13069891652"/>
    <n v="6472.9798809594649"/>
    <n v="95.681993133452309"/>
    <n v="0"/>
    <n v="0"/>
    <n v="0"/>
    <n v="0"/>
    <n v="284.05859438929826"/>
    <m/>
    <n v="58.137301429725056"/>
    <n v="269.15096858881242"/>
    <n v="843.27259340394778"/>
    <n v="0"/>
    <n v="0"/>
    <n v="0"/>
    <n v="0"/>
    <n v="0"/>
    <n v="0"/>
    <n v="0"/>
    <n v="0"/>
    <n v="0"/>
    <n v="0"/>
    <m/>
    <n v="0"/>
    <n v="0"/>
    <n v="18.032989821493643"/>
    <n v="0"/>
    <n v="0"/>
    <n v="1074.5264281850068"/>
    <n v="0"/>
    <n v="75.900000000000006"/>
    <n v="351.18"/>
    <n v="7263.63"/>
    <n v="102"/>
    <m/>
    <m/>
    <m/>
    <m/>
    <m/>
    <m/>
    <m/>
    <m/>
    <m/>
    <n v="7565.5392989659658"/>
    <m/>
    <m/>
    <m/>
    <m/>
    <m/>
    <m/>
    <m/>
    <m/>
    <m/>
    <m/>
    <m/>
    <m/>
    <n v="15574.503000000001"/>
    <n v="-8324.1705199999924"/>
    <m/>
    <m/>
    <m/>
    <m/>
    <n v="-9310.9039999999986"/>
    <n v="988.81951999999978"/>
    <n v="31"/>
    <n v="1171.2588683724862"/>
    <n v="27.763332643243132"/>
    <n v="86.984853305027059"/>
    <n v="0"/>
    <n v="0"/>
    <n v="0"/>
    <n v="0"/>
    <n v="0"/>
    <n v="2.4353100733206361"/>
    <n v="0"/>
    <n v="0"/>
    <n v="988.94660053262851"/>
    <n v="0"/>
    <n v="0"/>
    <n v="2.7550933742068793"/>
    <n v="164.1669336037769"/>
    <n v="0"/>
    <n v="-87.754484006882194"/>
    <m/>
    <n v="0"/>
    <n v="0"/>
    <n v="0"/>
    <n v="0"/>
    <n v="-11.510227269552843"/>
    <n v="-2.5285438832836036"/>
    <n v="0"/>
    <n v="0"/>
    <m/>
    <m/>
    <m/>
    <n v="12921.13069891652"/>
    <n v="0"/>
    <n v="0"/>
    <n v="-9310.9039999999986"/>
    <n v="988.81952000000001"/>
    <n v="0"/>
    <n v="0"/>
    <n v="-9493.2815767461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1"/>
    <s v="Sistema de Compensação"/>
    <s v="Convencional"/>
    <s v="B3"/>
    <s v="Poder público"/>
    <s v="Não se aplica"/>
    <s v="Não se aplica"/>
    <s v="Não se aplica"/>
    <s v="Não se aplica"/>
    <s v="CATIVO"/>
    <x v="1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26"/>
    <n v="1.19"/>
    <n v="118.82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1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2"/>
    <s v="Regular"/>
    <s v="Verde"/>
    <s v="A4"/>
    <s v="Poder público"/>
    <s v="Não se aplica"/>
    <s v="Não se aplica"/>
    <s v="Não se aplica"/>
    <s v="Ponta"/>
    <s v="CATIVO"/>
    <x v="1"/>
    <n v="0"/>
    <n v="0"/>
    <n v="1.2290000000000001"/>
    <n v="1.2290000000000001"/>
    <n v="1.2290000000000001"/>
    <n v="1.2290000000000001"/>
    <m/>
    <n v="2592.54"/>
    <n v="216.76"/>
    <m/>
    <n v="3452.6297000000004"/>
    <n v="3452.6297000000004"/>
    <n v="1451.6948000000002"/>
    <n v="0"/>
    <n v="64.806690061998154"/>
    <n v="0"/>
    <n v="0"/>
    <n v="0"/>
    <n v="6.2146046694849879"/>
    <n v="2815.5056589245969"/>
    <n v="262.51624451224865"/>
    <n v="3.8804504210999506"/>
    <n v="0"/>
    <n v="0"/>
    <n v="0"/>
    <n v="0"/>
    <n v="11.520195766382248"/>
    <m/>
    <n v="1.687690079500282"/>
    <n v="55.44617712368327"/>
    <n v="210.40572018224583"/>
    <n v="0"/>
    <n v="0"/>
    <n v="0"/>
    <n v="0"/>
    <n v="0"/>
    <n v="0"/>
    <n v="0"/>
    <n v="0"/>
    <n v="0"/>
    <n v="0"/>
    <m/>
    <n v="0"/>
    <n v="0"/>
    <n v="0.56202010040114103"/>
    <n v="0"/>
    <n v="0"/>
    <n v="20.077136740450594"/>
    <n v="0"/>
    <n v="0"/>
    <n v="0"/>
    <n v="0"/>
    <n v="0"/>
    <m/>
    <m/>
    <m/>
    <m/>
    <m/>
    <m/>
    <m/>
    <m/>
    <m/>
    <n v="283.15540135310039"/>
    <m/>
    <m/>
    <m/>
    <m/>
    <m/>
    <m/>
    <m/>
    <m/>
    <m/>
    <m/>
    <m/>
    <m/>
    <n v="1452.8759999999997"/>
    <n v="-1999.7837000000013"/>
    <m/>
    <m/>
    <m/>
    <m/>
    <n v="-2041.0371700000003"/>
    <n v="40.102269999999997"/>
    <n v="31"/>
    <n v="67.654861740593446"/>
    <n v="5.7193576800115977"/>
    <n v="21.703670732037324"/>
    <n v="0"/>
    <n v="0"/>
    <n v="0"/>
    <n v="0"/>
    <n v="0"/>
    <n v="0.60763334088299548"/>
    <n v="0"/>
    <n v="0"/>
    <n v="40.107423840238937"/>
    <n v="0"/>
    <n v="0"/>
    <n v="8.5865841999240078E-2"/>
    <n v="3.0673996355685915"/>
    <n v="0"/>
    <n v="-3.0962819078232684"/>
    <m/>
    <n v="0"/>
    <n v="0"/>
    <n v="0"/>
    <n v="0"/>
    <n v="-0.46680534960006881"/>
    <n v="-7.3402072721885592E-2"/>
    <n v="0"/>
    <n v="0"/>
    <m/>
    <m/>
    <m/>
    <n v="2815.5056589245969"/>
    <n v="0"/>
    <n v="0"/>
    <n v="-2041.0371700000003"/>
    <n v="40.102269999999976"/>
    <n v="0"/>
    <n v="0"/>
    <n v="-2068.5796486320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3"/>
    <s v="Regular"/>
    <s v="Verde"/>
    <s v="A4"/>
    <s v="Poder público"/>
    <s v="Não se aplica"/>
    <s v="Não se aplica"/>
    <s v="Não se aplica"/>
    <s v="Fora ponta"/>
    <s v="CATIVO"/>
    <x v="1"/>
    <n v="0"/>
    <n v="0"/>
    <n v="9.9710000000000001"/>
    <n v="9.9710000000000001"/>
    <n v="9.9710000000000001"/>
    <n v="9.9710000000000001"/>
    <m/>
    <n v="80.27"/>
    <n v="216.76"/>
    <m/>
    <n v="2961.68613"/>
    <n v="2961.68613"/>
    <n v="3283.1511699999996"/>
    <n v="0"/>
    <n v="525.78316241512096"/>
    <n v="0"/>
    <n v="0"/>
    <n v="0"/>
    <n v="0"/>
    <n v="0"/>
    <n v="2129.8205647124746"/>
    <n v="31.482482627166483"/>
    <n v="0"/>
    <n v="0"/>
    <n v="0"/>
    <n v="0"/>
    <n v="93.464501209599163"/>
    <m/>
    <n v="13.692398521315958"/>
    <n v="0"/>
    <n v="0"/>
    <n v="0"/>
    <n v="0"/>
    <n v="0"/>
    <n v="0"/>
    <n v="0"/>
    <n v="0"/>
    <n v="0"/>
    <n v="0"/>
    <n v="0"/>
    <n v="0"/>
    <m/>
    <n v="0"/>
    <n v="0"/>
    <n v="4.5597253222943666"/>
    <n v="0"/>
    <n v="0"/>
    <n v="162.88781972256541"/>
    <n v="0"/>
    <n v="0"/>
    <n v="0"/>
    <n v="0"/>
    <n v="0"/>
    <m/>
    <m/>
    <m/>
    <m/>
    <m/>
    <m/>
    <m/>
    <m/>
    <m/>
    <n v="2297.2681097573345"/>
    <m/>
    <m/>
    <m/>
    <m/>
    <m/>
    <m/>
    <m/>
    <m/>
    <m/>
    <m/>
    <m/>
    <m/>
    <n v="3282.8218999999999"/>
    <n v="321.10576999999967"/>
    <m/>
    <m/>
    <m/>
    <m/>
    <n v="-3.8886900000000058"/>
    <n v="325.35372999999998"/>
    <n v="31"/>
    <n v="321.47510014399768"/>
    <n v="0"/>
    <n v="0"/>
    <n v="0"/>
    <n v="0"/>
    <n v="0"/>
    <n v="0"/>
    <n v="0"/>
    <n v="0"/>
    <n v="0"/>
    <n v="0"/>
    <n v="325.395543621662"/>
    <n v="0"/>
    <n v="0"/>
    <n v="0.6966381697106776"/>
    <n v="24.886120232916511"/>
    <n v="0"/>
    <n v="-25.120444998296136"/>
    <m/>
    <n v="0"/>
    <n v="0"/>
    <n v="0"/>
    <n v="0"/>
    <n v="-3.7872385198228358"/>
    <n v="-0.59551836217243626"/>
    <n v="0"/>
    <n v="0"/>
    <m/>
    <m/>
    <m/>
    <n v="0"/>
    <n v="0"/>
    <n v="0"/>
    <n v="-3.8886899999999969"/>
    <n v="325.35372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4"/>
    <s v="Regular"/>
    <s v="Verde"/>
    <s v="A4"/>
    <s v="Poder público"/>
    <s v="Não se aplica"/>
    <s v="Não se aplica"/>
    <s v="Não se aplica"/>
    <s v="Não se aplica"/>
    <s v="CATIVO"/>
    <x v="1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28.15"/>
    <n v="129.06"/>
    <n v="2709.1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n v="31"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75"/>
    <s v="Refaturamento - Regular"/>
    <s v="Verde"/>
    <s v="A4"/>
    <s v="Poder público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2.8"/>
    <n v="-12.86"/>
    <n v="-659.4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76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74.594999999999999"/>
    <n v="74.594999999999999"/>
    <n v="74.594999999999999"/>
    <n v="74.594999999999999"/>
    <m/>
    <n v="314.52999999999997"/>
    <n v="119.22"/>
    <m/>
    <n v="32355.581249999996"/>
    <n v="32355.581249999996"/>
    <n v="21088.75245"/>
    <n v="0"/>
    <n v="2486.6869381200599"/>
    <n v="0"/>
    <n v="0"/>
    <n v="0"/>
    <n v="33.72085882814504"/>
    <n v="17493.34937523503"/>
    <n v="8763.4821746665348"/>
    <n v="129.53963347361523"/>
    <n v="0"/>
    <n v="0"/>
    <n v="0"/>
    <n v="0"/>
    <n v="384.57441151855636"/>
    <m/>
    <n v="78.709530097765452"/>
    <n v="364.39163397687935"/>
    <n v="1141.669598328011"/>
    <n v="0"/>
    <n v="0"/>
    <n v="0"/>
    <n v="0"/>
    <n v="0"/>
    <n v="0"/>
    <n v="0"/>
    <n v="0"/>
    <n v="0"/>
    <n v="0"/>
    <m/>
    <n v="0"/>
    <n v="0"/>
    <n v="24.414070144333294"/>
    <n v="0"/>
    <n v="0"/>
    <n v="1454.7539730977232"/>
    <n v="0"/>
    <n v="105.72"/>
    <n v="484.86"/>
    <n v="7189.91"/>
    <n v="10"/>
    <m/>
    <m/>
    <m/>
    <m/>
    <m/>
    <m/>
    <m/>
    <m/>
    <m/>
    <n v="10242.650217908591"/>
    <m/>
    <m/>
    <m/>
    <m/>
    <m/>
    <m/>
    <m/>
    <m/>
    <m/>
    <m/>
    <m/>
    <m/>
    <n v="21090.165999999997"/>
    <n v="-11265.445249999993"/>
    <m/>
    <m/>
    <m/>
    <m/>
    <n v="-12605.809049999998"/>
    <n v="1338.9802499999992"/>
    <n v="31"/>
    <n v="1585.715760541003"/>
    <n v="37.587552441509615"/>
    <n v="117.76495917234615"/>
    <n v="0"/>
    <n v="0"/>
    <n v="0"/>
    <n v="0"/>
    <n v="0"/>
    <n v="3.2970589758990059"/>
    <n v="0"/>
    <n v="0"/>
    <n v="1338.8912162322413"/>
    <n v="0"/>
    <n v="0"/>
    <n v="3.7299994930348426"/>
    <n v="222.25837601291664"/>
    <n v="0"/>
    <n v="-118.80692825934875"/>
    <m/>
    <n v="0"/>
    <n v="0"/>
    <n v="0"/>
    <n v="0"/>
    <n v="-15.583189405515895"/>
    <n v="-3.4232841220776322"/>
    <n v="0"/>
    <n v="0"/>
    <m/>
    <m/>
    <m/>
    <n v="17493.34937523503"/>
    <n v="0"/>
    <n v="0"/>
    <n v="-12605.809049999998"/>
    <n v="1338.9802500000005"/>
    <n v="0"/>
    <n v="0"/>
    <n v="-12852.53552565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7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25.364"/>
    <n v="117.84215999999999"/>
    <n v="125.364"/>
    <n v="117.84215999999999"/>
    <m/>
    <n v="571.87"/>
    <n v="216.76"/>
    <m/>
    <n v="98865.811320000008"/>
    <n v="98865.811320000008"/>
    <n v="64438.34964"/>
    <n v="0"/>
    <n v="7598.3893951089431"/>
    <n v="0"/>
    <n v="0"/>
    <n v="0"/>
    <n v="103.03838902513746"/>
    <n v="53453.162253793911"/>
    <n v="26777.938549254304"/>
    <n v="395.82488738061369"/>
    <n v="0"/>
    <n v="0"/>
    <n v="0"/>
    <n v="0"/>
    <n v="1175.1162099729406"/>
    <m/>
    <n v="240.50701743783171"/>
    <n v="1113.4451566185285"/>
    <n v="3488.5172056326728"/>
    <n v="0"/>
    <n v="0"/>
    <n v="0"/>
    <n v="0"/>
    <n v="0"/>
    <n v="0"/>
    <n v="0"/>
    <n v="0"/>
    <n v="0"/>
    <n v="0"/>
    <m/>
    <n v="0"/>
    <n v="0"/>
    <n v="74.600308077538585"/>
    <n v="0"/>
    <n v="0"/>
    <n v="4445.1864817510959"/>
    <n v="0"/>
    <n v="317.19"/>
    <n v="1456.3"/>
    <n v="33019.32"/>
    <n v="92"/>
    <m/>
    <m/>
    <m/>
    <m/>
    <n v="3866.300978400006"/>
    <m/>
    <m/>
    <m/>
    <m/>
    <n v="31297.725339082936"/>
    <m/>
    <m/>
    <m/>
    <m/>
    <m/>
    <m/>
    <m/>
    <m/>
    <m/>
    <m/>
    <m/>
    <m/>
    <n v="60570.938399999999"/>
    <n v="-32362.954240799983"/>
    <m/>
    <m/>
    <m/>
    <m/>
    <n v="-38518.089"/>
    <n v="4090.6273199999996"/>
    <n v="31"/>
    <n v="4845.3569421412321"/>
    <n v="114.85356499100862"/>
    <n v="359.84586687339697"/>
    <n v="0"/>
    <n v="0"/>
    <n v="0"/>
    <n v="0"/>
    <n v="0"/>
    <n v="10.074584610340821"/>
    <n v="0"/>
    <n v="0"/>
    <n v="4091.1530368655112"/>
    <n v="0"/>
    <n v="0"/>
    <n v="11.397489630546175"/>
    <n v="679.13884187908752"/>
    <n v="0"/>
    <n v="-363.02973643871337"/>
    <m/>
    <n v="0"/>
    <n v="0"/>
    <n v="0"/>
    <n v="0"/>
    <n v="-47.616424611279854"/>
    <n v="-10.460281658657777"/>
    <n v="0"/>
    <n v="0"/>
    <m/>
    <m/>
    <m/>
    <n v="53453.162253793911"/>
    <n v="0"/>
    <n v="0"/>
    <n v="-38518.089"/>
    <n v="4090.6273199999996"/>
    <n v="0"/>
    <n v="0"/>
    <n v="-39272.563080359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8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6.1440000000000001"/>
    <n v="5.77536"/>
    <n v="6.1440000000000001"/>
    <n v="5.77536"/>
    <m/>
    <n v="2592.54"/>
    <n v="216.76"/>
    <m/>
    <n v="17260.339199999999"/>
    <n v="17260.339199999999"/>
    <n v="7257.2928000000002"/>
    <n v="0"/>
    <n v="323.98071907316245"/>
    <n v="0"/>
    <n v="0"/>
    <n v="0"/>
    <n v="31.067966712217871"/>
    <n v="14075.23740311857"/>
    <n v="1312.3676210604197"/>
    <n v="19.3990947007633"/>
    <n v="0"/>
    <n v="0"/>
    <n v="0"/>
    <n v="0"/>
    <n v="57.591605198252665"/>
    <m/>
    <n v="8.4370771753049087"/>
    <n v="277.18577074687551"/>
    <n v="1051.8574001625047"/>
    <n v="0"/>
    <n v="0"/>
    <n v="0"/>
    <n v="0"/>
    <n v="0"/>
    <n v="0"/>
    <n v="0"/>
    <n v="0"/>
    <n v="0"/>
    <n v="0"/>
    <m/>
    <n v="0"/>
    <n v="0"/>
    <n v="2.80964320330725"/>
    <n v="0"/>
    <n v="0"/>
    <n v="100.36934754542592"/>
    <n v="0"/>
    <n v="0"/>
    <n v="0"/>
    <n v="0"/>
    <n v="0"/>
    <m/>
    <m/>
    <m/>
    <m/>
    <n v="435.43756800000006"/>
    <m/>
    <m/>
    <m/>
    <m/>
    <n v="1415.5466118091529"/>
    <m/>
    <m/>
    <m/>
    <m/>
    <m/>
    <m/>
    <m/>
    <m/>
    <m/>
    <m/>
    <m/>
    <m/>
    <n v="6827.3359999999993"/>
    <n v="-9397.4128479999999"/>
    <m/>
    <m/>
    <m/>
    <m/>
    <n v="-10203.52512"/>
    <n v="200.47871999999998"/>
    <n v="31"/>
    <n v="338.21925999528639"/>
    <n v="28.592134732295563"/>
    <n v="108.50069404201577"/>
    <n v="0"/>
    <n v="0"/>
    <n v="0"/>
    <n v="0"/>
    <n v="0"/>
    <n v="3.0376722916070982"/>
    <n v="0"/>
    <n v="0"/>
    <n v="200.50448500767129"/>
    <n v="0"/>
    <n v="0"/>
    <n v="0.42925934356658324"/>
    <n v="15.334502327854693"/>
    <n v="0"/>
    <n v="-15.478890188499747"/>
    <m/>
    <n v="0"/>
    <n v="0"/>
    <n v="0"/>
    <n v="0"/>
    <n v="-2.3336469226548573"/>
    <n v="-0.36695063857059829"/>
    <n v="0"/>
    <n v="0"/>
    <m/>
    <m/>
    <m/>
    <n v="14075.23740311857"/>
    <n v="0"/>
    <n v="0"/>
    <n v="-10203.525119999998"/>
    <n v="200.47872000000007"/>
    <n v="0"/>
    <n v="0"/>
    <n v="-10341.21510268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79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93.825000000000003"/>
    <n v="88.195499999999996"/>
    <n v="93.825000000000003"/>
    <n v="88.195499999999996"/>
    <m/>
    <n v="80.27"/>
    <n v="216.76"/>
    <m/>
    <n v="27868.839749999999"/>
    <n v="27868.839749999999"/>
    <n v="30893.757749999997"/>
    <n v="0"/>
    <n v="4947.50829541658"/>
    <n v="0"/>
    <n v="0"/>
    <n v="0"/>
    <n v="0"/>
    <n v="0"/>
    <n v="20041.16081477765"/>
    <n v="296.24349939764272"/>
    <n v="0"/>
    <n v="0"/>
    <n v="0"/>
    <n v="0"/>
    <n v="879.48117801530861"/>
    <m/>
    <n v="128.84257258674853"/>
    <n v="0"/>
    <n v="0"/>
    <n v="0"/>
    <n v="0"/>
    <n v="0"/>
    <n v="0"/>
    <n v="0"/>
    <n v="0"/>
    <n v="0"/>
    <n v="0"/>
    <n v="0"/>
    <n v="0"/>
    <m/>
    <n v="0"/>
    <n v="0"/>
    <n v="42.90605038253625"/>
    <n v="0"/>
    <n v="0"/>
    <n v="1532.7399142984355"/>
    <n v="0"/>
    <n v="0"/>
    <n v="0"/>
    <n v="0"/>
    <n v="0"/>
    <m/>
    <m/>
    <m/>
    <m/>
    <n v="1853.6254650000024"/>
    <m/>
    <m/>
    <m/>
    <m/>
    <n v="21616.80677945862"/>
    <m/>
    <m/>
    <m/>
    <m/>
    <m/>
    <m/>
    <m/>
    <m/>
    <m/>
    <m/>
    <m/>
    <m/>
    <n v="29041.614000000001"/>
    <n v="2844.8746350000038"/>
    <m/>
    <m/>
    <m/>
    <m/>
    <n v="-36.591750000000054"/>
    <n v="3061.5097499999997"/>
    <n v="31"/>
    <n v="3025.0126638261536"/>
    <n v="0"/>
    <n v="0"/>
    <n v="0"/>
    <n v="0"/>
    <n v="0"/>
    <n v="0"/>
    <n v="0"/>
    <n v="0"/>
    <n v="0"/>
    <n v="0"/>
    <n v="3061.9032073315029"/>
    <n v="0"/>
    <n v="0"/>
    <n v="6.5552177588109828"/>
    <n v="234.17312514826926"/>
    <n v="0"/>
    <n v="-236.37807160416469"/>
    <m/>
    <n v="0"/>
    <n v="0"/>
    <n v="0"/>
    <n v="0"/>
    <n v="-35.637113040054032"/>
    <n v="-5.6037017682106693"/>
    <n v="0"/>
    <n v="0"/>
    <m/>
    <m/>
    <m/>
    <n v="0"/>
    <n v="0"/>
    <n v="0"/>
    <n v="-36.591749999999593"/>
    <n v="3061.50974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80"/>
    <s v="Regular"/>
    <s v="Verde"/>
    <s v="A4"/>
    <s v="Serviço público"/>
    <s v="Água, esgoto e saneamento"/>
    <s v="Não se aplica"/>
    <s v="Não se aplica"/>
    <s v="Não se aplica"/>
    <s v="CATIVO"/>
    <x v="1"/>
    <n v="535"/>
    <n v="502.9"/>
    <n v="0"/>
    <n v="0"/>
    <n v="0"/>
    <n v="0"/>
    <n v="32.17"/>
    <m/>
    <m/>
    <n v="17210.95"/>
    <m/>
    <n v="17210.95"/>
    <n v="6917.55"/>
    <n v="0"/>
    <n v="0"/>
    <n v="0"/>
    <n v="0"/>
    <n v="0"/>
    <n v="53.455180445232344"/>
    <n v="14405.803454243754"/>
    <m/>
    <m/>
    <m/>
    <n v="0"/>
    <n v="0"/>
    <n v="0"/>
    <n v="0"/>
    <m/>
    <n v="0"/>
    <n v="943.96529193134563"/>
    <n v="1809.8328635134387"/>
    <n v="0"/>
    <n v="0"/>
    <m/>
    <m/>
    <n v="0"/>
    <n v="0"/>
    <n v="0"/>
    <m/>
    <m/>
    <n v="0"/>
    <m/>
    <n v="0"/>
    <n v="0"/>
    <n v="0"/>
    <n v="0"/>
    <m/>
    <n v="0"/>
    <n v="0"/>
    <n v="224.2"/>
    <n v="1027.98"/>
    <n v="23109.62"/>
    <n v="2"/>
    <m/>
    <m/>
    <m/>
    <m/>
    <n v="415.05300000000028"/>
    <m/>
    <m/>
    <m/>
    <m/>
    <n v="0"/>
    <m/>
    <m/>
    <m/>
    <m/>
    <m/>
    <m/>
    <m/>
    <m/>
    <m/>
    <m/>
    <m/>
    <m/>
    <n v="6502.4969999999994"/>
    <n v="-9675.8260000000009"/>
    <m/>
    <m/>
    <m/>
    <m/>
    <n v="-10293.400000000001"/>
    <n v="0"/>
    <n v="31"/>
    <n v="289.28506045054837"/>
    <n v="97.371458631473729"/>
    <n v="186.68701837428534"/>
    <n v="0"/>
    <n v="0"/>
    <m/>
    <m/>
    <m/>
    <n v="5.226583444789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05.803454243754"/>
    <m/>
    <n v="0"/>
    <n v="0"/>
    <n v="-10293.400000000001"/>
    <m/>
    <n v="0"/>
    <m/>
    <n v="-10584.08522575086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81"/>
    <s v="Refaturamento - Regular"/>
    <s v="Verde"/>
    <s v="A4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.44"/>
    <n v="-38.68"/>
    <n v="-1987.9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82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0.20399999999999999"/>
    <n v="0.20399999999999999"/>
    <n v="0.20399999999999999"/>
    <n v="0.20399999999999999"/>
    <m/>
    <n v="571.87"/>
    <n v="216.76"/>
    <m/>
    <n v="160.88051999999999"/>
    <n v="160.88051999999999"/>
    <n v="104.85803999999999"/>
    <n v="0"/>
    <n v="12.364565876984017"/>
    <n v="0"/>
    <n v="0"/>
    <n v="0"/>
    <n v="0.16767039469965891"/>
    <n v="86.982268432516165"/>
    <n v="43.574706168021741"/>
    <n v="0.64411056623628138"/>
    <n v="0"/>
    <n v="0"/>
    <n v="0"/>
    <n v="0"/>
    <n v="1.9122212663482328"/>
    <m/>
    <n v="0.39136778945564649"/>
    <n v="1.8118663408169791"/>
    <n v="5.6767294434531861"/>
    <n v="0"/>
    <n v="0"/>
    <n v="0"/>
    <n v="0"/>
    <n v="0"/>
    <n v="0"/>
    <n v="0"/>
    <n v="0"/>
    <n v="0"/>
    <n v="0"/>
    <m/>
    <n v="0"/>
    <n v="0"/>
    <n v="0.12139420286380355"/>
    <n v="0"/>
    <n v="0"/>
    <n v="7.2334804431672843"/>
    <n v="0"/>
    <n v="0.52"/>
    <n v="2.44"/>
    <n v="54.11"/>
    <n v="2"/>
    <m/>
    <m/>
    <m/>
    <m/>
    <m/>
    <m/>
    <m/>
    <m/>
    <m/>
    <n v="50.929580814052827"/>
    <m/>
    <m/>
    <m/>
    <m/>
    <m/>
    <m/>
    <m/>
    <m/>
    <m/>
    <m/>
    <m/>
    <m/>
    <n v="102.80200000000001"/>
    <n v="-58.108519999999984"/>
    <m/>
    <m/>
    <m/>
    <m/>
    <n v="-62.678999999999995"/>
    <n v="6.6565199999999987"/>
    <n v="31"/>
    <n v="7.8846623926870052"/>
    <n v="0.18689677465752363"/>
    <n v="0.58556329442402077"/>
    <n v="0"/>
    <n v="0"/>
    <n v="0"/>
    <n v="0"/>
    <n v="0"/>
    <n v="1.6393982806144736E-2"/>
    <n v="0"/>
    <n v="0"/>
    <n v="6.6573754787703336"/>
    <n v="0"/>
    <n v="0"/>
    <n v="1.8546695100917485E-2"/>
    <n v="1.1051364326547812"/>
    <n v="0"/>
    <n v="-0.59074428251729039"/>
    <m/>
    <n v="0"/>
    <n v="0"/>
    <n v="0"/>
    <n v="0"/>
    <n v="-7.7484370478774434E-2"/>
    <n v="-1.7021612730657831E-2"/>
    <n v="0"/>
    <n v="0"/>
    <m/>
    <m/>
    <m/>
    <n v="86.982268432516165"/>
    <n v="0"/>
    <n v="0"/>
    <n v="-62.679000000000002"/>
    <n v="6.6565200000000004"/>
    <n v="0"/>
    <n v="0"/>
    <n v="-63.90672655940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83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1.7"/>
    <n v="285.58999999999997"/>
    <n v="911.27"/>
    <n v="12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84"/>
    <s v="Refaturamento - 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7.94"/>
    <n v="-36.33"/>
    <n v="3.3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85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"/>
    <n v="4.62"/>
    <n v="8.470000000000000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86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28000000000000003"/>
    <n v="-1.33"/>
    <n v="-8.699999999999999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87"/>
    <s v="Regular"/>
    <s v="Convencional"/>
    <s v="B2"/>
    <s v="Rural"/>
    <s v="Agropecuária rural"/>
    <s v="IRRIG./AQUIC."/>
    <s v="Não se aplica"/>
    <s v="Não se aplica"/>
    <s v="CATIVO"/>
    <x v="1"/>
    <n v="0"/>
    <n v="0"/>
    <n v="32.057000000000002"/>
    <n v="32.057000000000002"/>
    <n v="32.057000000000002"/>
    <n v="32.057000000000002"/>
    <m/>
    <n v="571.87"/>
    <n v="216.76"/>
    <m/>
    <n v="25281.11191"/>
    <n v="25281.11191"/>
    <n v="16477.618570000002"/>
    <n v="0"/>
    <n v="1942.994550580768"/>
    <n v="0"/>
    <n v="0"/>
    <n v="0"/>
    <n v="26.348087465132188"/>
    <n v="13668.581270299859"/>
    <n v="6847.4233119032997"/>
    <n v="101.21692363645332"/>
    <n v="0"/>
    <n v="0"/>
    <n v="0"/>
    <n v="0"/>
    <n v="300.49057419277113"/>
    <m/>
    <n v="61.500378561665002"/>
    <n v="284.72058474298973"/>
    <n v="892.05350867048435"/>
    <n v="0"/>
    <n v="0"/>
    <n v="0"/>
    <n v="0"/>
    <n v="0"/>
    <n v="0"/>
    <n v="0"/>
    <n v="0"/>
    <n v="0"/>
    <n v="0"/>
    <m/>
    <n v="0"/>
    <n v="0"/>
    <n v="19.076146868651719"/>
    <n v="0"/>
    <n v="0"/>
    <n v="1136.6847184637925"/>
    <n v="0"/>
    <n v="0"/>
    <n v="0"/>
    <n v="0"/>
    <n v="0"/>
    <m/>
    <m/>
    <m/>
    <m/>
    <m/>
    <n v="1977.2757599999995"/>
    <m/>
    <m/>
    <m/>
    <n v="8003.1841772357438"/>
    <m/>
    <m/>
    <m/>
    <m/>
    <m/>
    <m/>
    <m/>
    <m/>
    <m/>
    <m/>
    <m/>
    <m/>
    <n v="14501.699800000002"/>
    <n v="-7745.8881999999976"/>
    <m/>
    <m/>
    <m/>
    <m/>
    <n v="-9849.51325"/>
    <n v="1046.01991"/>
    <n v="31"/>
    <n v="1239.0128545214084"/>
    <n v="29.369362280373707"/>
    <n v="92.01667906544526"/>
    <n v="0"/>
    <n v="0"/>
    <n v="0"/>
    <n v="0"/>
    <n v="0"/>
    <n v="2.5761858177283443"/>
    <n v="0"/>
    <n v="0"/>
    <n v="1046.1543417791208"/>
    <n v="0"/>
    <n v="0"/>
    <n v="2.9144676708338828"/>
    <n v="173.66352265497198"/>
    <n v="0"/>
    <n v="-92.830830709101747"/>
    <m/>
    <n v="0"/>
    <n v="0"/>
    <n v="0"/>
    <n v="0"/>
    <n v="-12.176061100186701"/>
    <n v="-2.6748129377779293"/>
    <n v="0"/>
    <n v="0"/>
    <m/>
    <m/>
    <m/>
    <n v="13668.581270299859"/>
    <n v="0"/>
    <n v="0"/>
    <n v="-9849.51325"/>
    <n v="1046.01991"/>
    <n v="0"/>
    <n v="0"/>
    <n v="-10042.440849582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88"/>
    <s v="Refaturamento - Regular"/>
    <s v="Convencional"/>
    <s v="B2"/>
    <s v="Rural"/>
    <s v="Agropecuária rural"/>
    <s v="IRRIG./AQUIC."/>
    <s v="Não se aplica"/>
    <s v="Não se aplica"/>
    <s v="CATIVO"/>
    <x v="1"/>
    <n v="0"/>
    <n v="0"/>
    <n v="-3.2160000000000002"/>
    <n v="-3.2160000000000002"/>
    <n v="-3.2160000000000002"/>
    <n v="-3.2160000000000002"/>
    <m/>
    <n v="571.87"/>
    <n v="216.76"/>
    <m/>
    <n v="-2536.2340800000002"/>
    <n v="-2536.2340800000002"/>
    <n v="-1653.0561600000001"/>
    <n v="0"/>
    <n v="-194.9237444136304"/>
    <n v="0"/>
    <n v="0"/>
    <n v="0"/>
    <n v="-2.6432744576181526"/>
    <n v="-1371.2498788184903"/>
    <n v="-686.94242664881347"/>
    <n v="-10.154213632430791"/>
    <n v="0"/>
    <n v="0"/>
    <n v="0"/>
    <n v="0"/>
    <n v="-30.145605845960379"/>
    <m/>
    <n v="-6.1697980925948981"/>
    <n v="-28.563539961114731"/>
    <n v="-89.491970049732586"/>
    <n v="0"/>
    <n v="0"/>
    <n v="0"/>
    <n v="0"/>
    <n v="0"/>
    <n v="0"/>
    <n v="0"/>
    <n v="0"/>
    <n v="0"/>
    <n v="0"/>
    <m/>
    <n v="0"/>
    <n v="0"/>
    <n v="-1.9137439039705504"/>
    <n v="0"/>
    <n v="0"/>
    <n v="-114.03369169228426"/>
    <n v="0"/>
    <n v="0"/>
    <n v="0"/>
    <n v="0"/>
    <n v="0"/>
    <m/>
    <m/>
    <m/>
    <m/>
    <m/>
    <n v="-198.36287999999996"/>
    <m/>
    <m/>
    <m/>
    <n v="-802.88986224506823"/>
    <m/>
    <m/>
    <m/>
    <m/>
    <m/>
    <m/>
    <m/>
    <m/>
    <m/>
    <m/>
    <m/>
    <m/>
    <n v="-1456.5026000000003"/>
    <n v="775.37139999999954"/>
    <m/>
    <m/>
    <m/>
    <m/>
    <n v="988.1160000000001"/>
    <n v="-104.93807999999999"/>
    <n v="31"/>
    <n v="-124.29938360235974"/>
    <n v="-2.9463726828362553"/>
    <n v="-9.2312331120963336"/>
    <n v="0"/>
    <n v="0"/>
    <n v="0"/>
    <n v="0"/>
    <n v="0"/>
    <n v="-0.25844631717922306"/>
    <n v="0"/>
    <n v="0"/>
    <n v="-104.95156637120294"/>
    <n v="0"/>
    <n v="0"/>
    <n v="-0.29238319335564023"/>
    <n v="-17.42215082067537"/>
    <n v="0"/>
    <n v="9.3129098655666951"/>
    <m/>
    <n v="0"/>
    <n v="0"/>
    <n v="0"/>
    <n v="0"/>
    <n v="1.2215183110771513"/>
    <n v="0.26834071834213535"/>
    <n v="0"/>
    <n v="0"/>
    <m/>
    <m/>
    <m/>
    <n v="-1371.2498788184903"/>
    <n v="0"/>
    <n v="0"/>
    <n v="988.1160000000001"/>
    <n v="-104.93808000000001"/>
    <n v="0"/>
    <n v="0"/>
    <n v="1007.4707481129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89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.34699999999999998"/>
    <n v="0.34699999999999998"/>
    <n v="0.34699999999999998"/>
    <n v="0.34699999999999998"/>
    <m/>
    <n v="571.87"/>
    <n v="216.76"/>
    <m/>
    <n v="273.65460999999999"/>
    <n v="273.65460999999999"/>
    <n v="178.36147"/>
    <n v="0"/>
    <n v="21.031884114281635"/>
    <n v="0"/>
    <n v="0"/>
    <n v="0"/>
    <n v="0.28520405372932178"/>
    <n v="147.95513306903484"/>
    <n v="74.11972078580169"/>
    <n v="1.0956194435489688"/>
    <n v="0"/>
    <n v="0"/>
    <n v="0"/>
    <n v="0"/>
    <n v="3.2526508795237099"/>
    <m/>
    <n v="0.66570893598583003"/>
    <n v="3.081949118938685"/>
    <n v="9.6560054748934085"/>
    <n v="0"/>
    <n v="0"/>
    <n v="0"/>
    <n v="0"/>
    <n v="0"/>
    <n v="0"/>
    <n v="0"/>
    <n v="0"/>
    <n v="0"/>
    <n v="0"/>
    <m/>
    <n v="0"/>
    <n v="0"/>
    <n v="0.20648915879284233"/>
    <n v="0"/>
    <n v="0"/>
    <n v="12.304008400877684"/>
    <n v="0"/>
    <n v="0"/>
    <n v="0"/>
    <n v="0"/>
    <n v="0"/>
    <m/>
    <m/>
    <m/>
    <m/>
    <m/>
    <n v="21.40295999999999"/>
    <m/>
    <m/>
    <m/>
    <n v="86.63021834547223"/>
    <m/>
    <m/>
    <m/>
    <m/>
    <m/>
    <m/>
    <m/>
    <m/>
    <m/>
    <m/>
    <m/>
    <m/>
    <n v="158.31549999999999"/>
    <n v="-82.53249999999997"/>
    <m/>
    <m/>
    <m/>
    <m/>
    <n v="-106.61574999999999"/>
    <n v="11.322609999999997"/>
    <n v="31"/>
    <n v="13.411656128737192"/>
    <n v="0.31790774904980745"/>
    <n v="0.99603168218203564"/>
    <n v="0"/>
    <n v="0"/>
    <n v="0"/>
    <n v="0"/>
    <n v="0"/>
    <n v="2.7885843302608959E-2"/>
    <n v="0"/>
    <n v="0"/>
    <n v="11.324065152614239"/>
    <n v="0"/>
    <n v="0"/>
    <n v="3.1547564705972392E-2"/>
    <n v="1.8798154026039651"/>
    <n v="0"/>
    <n v="-1.0048444413406834"/>
    <m/>
    <n v="0"/>
    <n v="0"/>
    <n v="0"/>
    <n v="0"/>
    <n v="-0.13179939488301384"/>
    <n v="-2.8953429497736605E-2"/>
    <n v="0"/>
    <n v="0"/>
    <m/>
    <m/>
    <m/>
    <n v="147.95513306903484"/>
    <n v="0"/>
    <n v="0"/>
    <n v="-106.61574999999999"/>
    <n v="11.322609999999997"/>
    <n v="0"/>
    <n v="0"/>
    <n v="-108.70408880447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0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-0.62"/>
    <n v="-0.62"/>
    <n v="-0.62"/>
    <n v="-0.62"/>
    <m/>
    <n v="571.87"/>
    <n v="216.76"/>
    <m/>
    <n v="-488.95060000000001"/>
    <n v="-488.95060000000001"/>
    <n v="-318.68619999999999"/>
    <n v="0"/>
    <n v="-37.578582567304366"/>
    <n v="0"/>
    <n v="0"/>
    <n v="0"/>
    <n v="-0.50958649369504183"/>
    <n v="-264.35787464784329"/>
    <n v="-132.43293051065433"/>
    <n v="-1.9575909366004631"/>
    <n v="0"/>
    <n v="0"/>
    <n v="0"/>
    <n v="0"/>
    <n v="-5.8116528683132573"/>
    <m/>
    <n v="-1.1894511248161805"/>
    <n v="-5.5066526044437607"/>
    <n v="-17.252805171279292"/>
    <n v="0"/>
    <n v="0"/>
    <n v="0"/>
    <n v="0"/>
    <n v="0"/>
    <n v="0"/>
    <n v="0"/>
    <n v="0"/>
    <n v="0"/>
    <n v="0"/>
    <m/>
    <n v="0"/>
    <n v="0"/>
    <n v="-0.36894316556646178"/>
    <n v="0"/>
    <n v="0"/>
    <n v="-21.984107229233903"/>
    <n v="0"/>
    <n v="0"/>
    <n v="0"/>
    <n v="0"/>
    <n v="0"/>
    <m/>
    <m/>
    <m/>
    <m/>
    <m/>
    <n v="-38.241599999999991"/>
    <m/>
    <m/>
    <m/>
    <n v="-154.78598090545469"/>
    <m/>
    <m/>
    <m/>
    <m/>
    <m/>
    <m/>
    <m/>
    <m/>
    <m/>
    <m/>
    <m/>
    <m/>
    <n v="-280.44460000000004"/>
    <n v="149.80539999999996"/>
    <m/>
    <m/>
    <m/>
    <m/>
    <n v="190.495"/>
    <n v="-20.230599999999995"/>
    <n v="31"/>
    <n v="-23.96318962483312"/>
    <n v="-0.56801960925325812"/>
    <n v="-1.7796531497200618"/>
    <n v="0"/>
    <n v="0"/>
    <n v="0"/>
    <n v="0"/>
    <n v="0"/>
    <n v="-4.9824849704949714E-2"/>
    <n v="0"/>
    <n v="0"/>
    <n v="-20.233199984498071"/>
    <n v="0"/>
    <n v="0"/>
    <n v="-5.6367406679259047E-2"/>
    <n v="-3.3587479815978654"/>
    <n v="0"/>
    <n v="1.7953992900035303"/>
    <m/>
    <n v="0"/>
    <n v="0"/>
    <n v="0"/>
    <n v="0"/>
    <n v="0.23549171420019732"/>
    <n v="5.1732352416705041E-2"/>
    <n v="0"/>
    <n v="0"/>
    <m/>
    <m/>
    <m/>
    <n v="-264.35787464784329"/>
    <n v="0"/>
    <n v="0"/>
    <n v="190.49499999999998"/>
    <n v="-20.230599999999981"/>
    <n v="0"/>
    <n v="0"/>
    <n v="194.2263258178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11.932"/>
    <n v="4.7728000000000002"/>
    <n v="11.932"/>
    <n v="4.7728000000000002"/>
    <m/>
    <n v="571.87"/>
    <n v="216.76"/>
    <m/>
    <n v="9409.9331600000005"/>
    <n v="9409.9331600000005"/>
    <n v="6133.1673200000005"/>
    <n v="0"/>
    <n v="723.20588256947701"/>
    <n v="0"/>
    <n v="0"/>
    <n v="0"/>
    <n v="9.8070742625310316"/>
    <n v="5087.6099359646223"/>
    <n v="2548.6931078276248"/>
    <n v="37.674153315349564"/>
    <n v="0"/>
    <n v="0"/>
    <n v="0"/>
    <n v="0"/>
    <n v="111.84619681405449"/>
    <m/>
    <n v="22.89117874404301"/>
    <n v="105.97641754229508"/>
    <n v="332.03301823178145"/>
    <n v="0"/>
    <n v="0"/>
    <n v="0"/>
    <n v="0"/>
    <n v="0"/>
    <n v="0"/>
    <n v="0"/>
    <n v="0"/>
    <n v="0"/>
    <n v="0"/>
    <m/>
    <n v="0"/>
    <n v="0"/>
    <n v="7.1003707282887456"/>
    <n v="0"/>
    <n v="0"/>
    <n v="423.08768945035314"/>
    <n v="0"/>
    <n v="0"/>
    <n v="0"/>
    <n v="0"/>
    <n v="0"/>
    <m/>
    <m/>
    <m/>
    <m/>
    <m/>
    <m/>
    <n v="3974.2866960000001"/>
    <m/>
    <m/>
    <n v="2978.8811680062668"/>
    <m/>
    <m/>
    <m/>
    <m/>
    <m/>
    <m/>
    <m/>
    <m/>
    <m/>
    <m/>
    <m/>
    <m/>
    <n v="2157.6140999999998"/>
    <n v="-1154.7391000000007"/>
    <m/>
    <m/>
    <m/>
    <m/>
    <n v="-3666.107"/>
    <n v="389.34115999999995"/>
    <n v="31"/>
    <n v="461.17544936049762"/>
    <n v="10.931628996144966"/>
    <n v="34.249711907193216"/>
    <n v="0"/>
    <n v="0"/>
    <n v="0"/>
    <n v="0"/>
    <n v="0"/>
    <n v="0.95888726883783804"/>
    <n v="0"/>
    <n v="0"/>
    <n v="389.39119712101819"/>
    <n v="0"/>
    <n v="0"/>
    <n v="1.0847998330595461"/>
    <n v="64.63964663939629"/>
    <n v="0"/>
    <n v="-34.552748916648625"/>
    <m/>
    <n v="0"/>
    <n v="0"/>
    <n v="0"/>
    <n v="0"/>
    <n v="-4.5320760223173551"/>
    <n v="-0.99559746618729861"/>
    <n v="0"/>
    <n v="0"/>
    <m/>
    <m/>
    <m/>
    <n v="5087.6099359646223"/>
    <n v="0"/>
    <n v="0"/>
    <n v="-3666.107"/>
    <n v="389.3411600000004"/>
    <n v="0"/>
    <n v="0"/>
    <n v="-3737.91696719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2"/>
    <s v="Refaturamento - Regular"/>
    <s v="Convencional"/>
    <s v="B2"/>
    <s v="Rural"/>
    <s v="Agropecuária rural"/>
    <s v="IRRIG./AQUIC. PR"/>
    <s v="Não se aplica"/>
    <s v="Não se aplica"/>
    <s v="CATIVO"/>
    <x v="1"/>
    <n v="0"/>
    <n v="0"/>
    <n v="-0.43099999999999999"/>
    <n v="-0.1724"/>
    <n v="-0.43099999999999999"/>
    <n v="-0.1724"/>
    <m/>
    <n v="571.87"/>
    <n v="216.76"/>
    <m/>
    <n v="-339.89952999999997"/>
    <n v="-339.89952999999997"/>
    <n v="-221.53831"/>
    <n v="0"/>
    <n v="-26.12317594598094"/>
    <n v="0"/>
    <n v="0"/>
    <n v="0"/>
    <n v="-0.35424480448800488"/>
    <n v="-183.77136124712976"/>
    <n v="-92.062246854987109"/>
    <n v="-1.3608414414109671"/>
    <n v="0"/>
    <n v="0"/>
    <n v="0"/>
    <n v="0"/>
    <n v="-4.0400361068435702"/>
    <m/>
    <n v="-0.826860378702861"/>
    <n v="-3.8280117298633236"/>
    <n v="-11.993482304550604"/>
    <n v="0"/>
    <n v="0"/>
    <n v="0"/>
    <n v="0"/>
    <n v="0"/>
    <n v="0"/>
    <n v="0"/>
    <n v="0"/>
    <n v="0"/>
    <n v="0"/>
    <m/>
    <n v="0"/>
    <n v="0"/>
    <n v="-0.25647500703087911"/>
    <n v="0"/>
    <n v="0"/>
    <n v="-15.282500348064215"/>
    <n v="0"/>
    <n v="0"/>
    <n v="0"/>
    <n v="0"/>
    <n v="0"/>
    <m/>
    <m/>
    <m/>
    <m/>
    <m/>
    <m/>
    <n v="-143.55661799999999"/>
    <m/>
    <m/>
    <n v="-107.60122221008221"/>
    <m/>
    <m/>
    <m/>
    <m/>
    <m/>
    <m/>
    <m/>
    <m/>
    <m/>
    <m/>
    <m/>
    <m/>
    <n v="-76.896100000000004"/>
    <n v="42.719499999999982"/>
    <m/>
    <m/>
    <m/>
    <m/>
    <n v="132.42474999999999"/>
    <n v="-14.063529999999998"/>
    <n v="31"/>
    <n v="-16.658281819843609"/>
    <n v="-0.39486524449702287"/>
    <n v="-1.2371459798860442"/>
    <n v="0"/>
    <n v="0"/>
    <n v="0"/>
    <n v="0"/>
    <n v="0"/>
    <n v="-3.4636306811021478E-2"/>
    <n v="0"/>
    <n v="0"/>
    <n v="-14.065337408578515"/>
    <n v="0"/>
    <n v="0"/>
    <n v="-3.9184439159291318E-2"/>
    <n v="-2.3348715807559337"/>
    <n v="0"/>
    <n v="1.2480920870830978"/>
    <m/>
    <n v="0"/>
    <n v="0"/>
    <n v="0"/>
    <n v="0"/>
    <n v="0.16370472390368507"/>
    <n v="3.5962328857419235E-2"/>
    <n v="0"/>
    <n v="0"/>
    <m/>
    <m/>
    <m/>
    <n v="-183.77136124712976"/>
    <n v="0"/>
    <n v="0"/>
    <n v="132.42474999999999"/>
    <n v="-14.06353"/>
    <n v="0"/>
    <n v="0"/>
    <n v="135.018623270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3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0.68899999999999995"/>
    <n v="0.27560000000000001"/>
    <n v="0.68899999999999995"/>
    <n v="0.27560000000000001"/>
    <m/>
    <n v="571.87"/>
    <n v="216.76"/>
    <m/>
    <n v="543.36606999999992"/>
    <n v="543.36606999999992"/>
    <n v="354.15288999999996"/>
    <n v="0"/>
    <n v="41.760715143343077"/>
    <n v="0"/>
    <n v="0"/>
    <n v="0"/>
    <n v="0.56629853896110294"/>
    <n v="293.77834779413547"/>
    <n v="147.17143406748519"/>
    <n v="2.1754518634156761"/>
    <n v="0"/>
    <n v="0"/>
    <n v="0"/>
    <n v="0"/>
    <n v="6.4584335907545709"/>
    <m/>
    <n v="1.3218255241908845"/>
    <n v="6.1194897491318558"/>
    <n v="19.172875424211984"/>
    <n v="0"/>
    <n v="0"/>
    <n v="0"/>
    <n v="0"/>
    <n v="0"/>
    <n v="0"/>
    <n v="0"/>
    <n v="0"/>
    <n v="0"/>
    <n v="0"/>
    <m/>
    <n v="0"/>
    <n v="0"/>
    <n v="0.41000296947627768"/>
    <n v="0"/>
    <n v="0"/>
    <n v="24.430725614422837"/>
    <n v="0"/>
    <n v="0"/>
    <n v="0"/>
    <n v="0"/>
    <n v="0"/>
    <m/>
    <m/>
    <m/>
    <m/>
    <m/>
    <m/>
    <n v="229.49074199999995"/>
    <m/>
    <m/>
    <n v="172.0121626513843"/>
    <m/>
    <m/>
    <m/>
    <m/>
    <m/>
    <m/>
    <m/>
    <m/>
    <m/>
    <m/>
    <m/>
    <m/>
    <n v="126.65240000000003"/>
    <n v="-64.643999999999977"/>
    <m/>
    <m/>
    <m/>
    <m/>
    <n v="-211.69524999999999"/>
    <n v="22.482069999999997"/>
    <n v="31"/>
    <n v="26.630060728241943"/>
    <n v="0.63123469479918537"/>
    <n v="1.9777113228340717"/>
    <n v="0"/>
    <n v="0"/>
    <n v="0"/>
    <n v="0"/>
    <n v="0"/>
    <n v="5.5369873301145622E-2"/>
    <n v="0"/>
    <n v="0"/>
    <n v="22.484959337611571"/>
    <n v="0"/>
    <n v="0"/>
    <n v="6.2640553551628175E-2"/>
    <n v="3.7325441279369791"/>
    <n v="0"/>
    <n v="-1.9952098561490814"/>
    <m/>
    <n v="0"/>
    <n v="0"/>
    <n v="0"/>
    <n v="0"/>
    <n v="-0.26169966303860637"/>
    <n v="-5.7489662605015868E-2"/>
    <n v="0"/>
    <n v="0"/>
    <m/>
    <m/>
    <m/>
    <n v="293.77834779413547"/>
    <n v="0"/>
    <n v="0"/>
    <n v="-211.69524999999999"/>
    <n v="22.482069999999993"/>
    <n v="0"/>
    <n v="0"/>
    <n v="-215.84183627171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4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0.25900000000000001"/>
    <n v="0.25900000000000001"/>
    <n v="0.25900000000000001"/>
    <n v="0.25900000000000001"/>
    <m/>
    <n v="571.87"/>
    <n v="216.76"/>
    <m/>
    <n v="204.25516999999999"/>
    <n v="204.25516999999999"/>
    <n v="133.12859"/>
    <n v="0"/>
    <n v="15.698149814406179"/>
    <n v="0"/>
    <n v="0"/>
    <n v="0"/>
    <n v="0.21287564817260618"/>
    <n v="110.43337021579259"/>
    <n v="55.322788713321728"/>
    <n v="0.81776782674116133"/>
    <n v="0"/>
    <n v="0"/>
    <n v="0"/>
    <n v="0"/>
    <n v="2.4277711175695704"/>
    <m/>
    <n v="0.49688361504417866"/>
    <n v="2.3003597170176353"/>
    <n v="7.207220224776349"/>
    <n v="0"/>
    <n v="0"/>
    <n v="0"/>
    <n v="0"/>
    <n v="0"/>
    <n v="0"/>
    <n v="0"/>
    <n v="0"/>
    <n v="0"/>
    <n v="0"/>
    <m/>
    <n v="0"/>
    <n v="0"/>
    <n v="0.15412303206728001"/>
    <n v="0"/>
    <n v="0"/>
    <n v="9.1836835038251312"/>
    <n v="0"/>
    <n v="0"/>
    <n v="0"/>
    <n v="0"/>
    <n v="0"/>
    <m/>
    <m/>
    <m/>
    <m/>
    <m/>
    <n v="15.975119999999995"/>
    <m/>
    <m/>
    <m/>
    <n v="64.66059524921414"/>
    <m/>
    <m/>
    <m/>
    <m/>
    <m/>
    <m/>
    <m/>
    <m/>
    <m/>
    <m/>
    <m/>
    <m/>
    <n v="117.60580000000002"/>
    <n v="-62.170199999999937"/>
    <m/>
    <m/>
    <m/>
    <m/>
    <n v="-79.577750000000009"/>
    <n v="8.4511699999999994"/>
    <n v="31"/>
    <n v="10.010429214244738"/>
    <n v="0.23728561096224832"/>
    <n v="0.74343575125402683"/>
    <n v="0"/>
    <n v="0"/>
    <n v="0"/>
    <n v="0"/>
    <n v="0"/>
    <n v="2.0813929150938659E-2"/>
    <n v="0"/>
    <n v="0"/>
    <n v="8.4522561225564559"/>
    <n v="0"/>
    <n v="0"/>
    <n v="2.3547029564400163E-2"/>
    <n v="1.4030898826352374"/>
    <n v="0"/>
    <n v="-0.75001357437244209"/>
    <m/>
    <n v="0"/>
    <n v="0"/>
    <n v="0"/>
    <n v="0"/>
    <n v="-9.8374764480404941E-2"/>
    <n v="-2.161077302568809E-2"/>
    <n v="0"/>
    <n v="0"/>
    <m/>
    <m/>
    <m/>
    <n v="110.43337021579259"/>
    <n v="0"/>
    <n v="0"/>
    <n v="-79.577749999999995"/>
    <n v="8.4511700000000047"/>
    <n v="0"/>
    <n v="0"/>
    <n v="-81.136481269048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5"/>
    <s v="Regular"/>
    <s v="Verde"/>
    <s v="A4"/>
    <s v="Rural"/>
    <s v="Agropecuária rural"/>
    <s v="Não se aplica"/>
    <s v="Não se aplica"/>
    <s v="Ponta"/>
    <s v="CATIVO"/>
    <x v="1"/>
    <n v="0"/>
    <n v="0"/>
    <n v="0.995"/>
    <n v="0.95520000000000005"/>
    <n v="0.995"/>
    <n v="0.95520000000000005"/>
    <m/>
    <n v="2592.54"/>
    <n v="216.76"/>
    <m/>
    <n v="2795.2534999999998"/>
    <n v="2795.2534999999998"/>
    <n v="1175.2939999999999"/>
    <n v="0"/>
    <n v="52.467580644172628"/>
    <n v="0"/>
    <n v="0"/>
    <n v="0"/>
    <n v="5.0313520310313766"/>
    <n v="2279.4370468917605"/>
    <n v="212.53349331951782"/>
    <n v="3.1416177127700982"/>
    <n v="0"/>
    <n v="0"/>
    <n v="0"/>
    <n v="0"/>
    <n v="9.3267654902769213"/>
    <m/>
    <n v="1.3663560855189427"/>
    <n v="44.889297183128441"/>
    <n v="170.34474498074417"/>
    <n v="0"/>
    <n v="0"/>
    <n v="0"/>
    <n v="0"/>
    <n v="0"/>
    <n v="0"/>
    <n v="0"/>
    <n v="0"/>
    <n v="0"/>
    <n v="0"/>
    <m/>
    <n v="0"/>
    <n v="0"/>
    <n v="0.45501220496268124"/>
    <n v="0"/>
    <n v="0"/>
    <n v="16.254476042919723"/>
    <n v="0"/>
    <n v="0"/>
    <n v="0"/>
    <n v="0"/>
    <n v="0"/>
    <m/>
    <m/>
    <m/>
    <m/>
    <m/>
    <n v="47.011759999999931"/>
    <m/>
    <m/>
    <m/>
    <n v="229.24298156740022"/>
    <m/>
    <m/>
    <m/>
    <m/>
    <m/>
    <m/>
    <m/>
    <m/>
    <m/>
    <m/>
    <m/>
    <m/>
    <n v="1133.9519999999998"/>
    <n v="-1549.5213600000011"/>
    <m/>
    <m/>
    <m/>
    <m/>
    <n v="-1652.42635"/>
    <n v="32.466849999999994"/>
    <n v="31"/>
    <n v="54.773464143116826"/>
    <n v="4.6303994236058017"/>
    <n v="17.57132008004649"/>
    <n v="0"/>
    <n v="0"/>
    <n v="0"/>
    <n v="0"/>
    <n v="0"/>
    <n v="0.49194074383936659"/>
    <n v="0"/>
    <n v="0"/>
    <n v="32.471022555767092"/>
    <n v="0"/>
    <n v="0"/>
    <n v="6.9517097468872135E-2"/>
    <n v="2.4833707383163137"/>
    <n v="0"/>
    <n v="-2.5067538635347049"/>
    <m/>
    <n v="0"/>
    <n v="0"/>
    <n v="0"/>
    <n v="0"/>
    <n v="-0.37792621875676957"/>
    <n v="-5.9426413635700781E-2"/>
    <n v="0"/>
    <n v="0"/>
    <m/>
    <m/>
    <m/>
    <n v="2279.4370468917605"/>
    <n v="0"/>
    <n v="0"/>
    <n v="-1652.42635"/>
    <n v="32.466849999999994"/>
    <n v="0"/>
    <n v="0"/>
    <n v="-1674.7247765572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6"/>
    <s v="Regular"/>
    <s v="Verde"/>
    <s v="A4"/>
    <s v="Rural"/>
    <s v="Agropecuária rural"/>
    <s v="Não se aplica"/>
    <s v="Não se aplica"/>
    <s v="Fora ponta"/>
    <s v="CATIVO"/>
    <x v="1"/>
    <n v="0"/>
    <n v="0"/>
    <n v="35.603999999999999"/>
    <n v="34.179839999999999"/>
    <n v="35.603999999999999"/>
    <n v="34.179839999999999"/>
    <m/>
    <n v="80.27"/>
    <n v="216.76"/>
    <m/>
    <n v="10575.456119999999"/>
    <n v="10575.456119999999"/>
    <n v="11723.32908"/>
    <n v="0"/>
    <n v="1877.4429560352987"/>
    <n v="0"/>
    <n v="0"/>
    <n v="0"/>
    <n v="0"/>
    <n v="0"/>
    <n v="7605.0678353247358"/>
    <n v="112.41623823664983"/>
    <n v="0"/>
    <n v="0"/>
    <n v="0"/>
    <n v="0"/>
    <n v="333.73885277971806"/>
    <m/>
    <n v="48.892203084237622"/>
    <n v="0"/>
    <n v="0"/>
    <n v="0"/>
    <n v="0"/>
    <n v="0"/>
    <n v="0"/>
    <n v="0"/>
    <n v="0"/>
    <n v="0"/>
    <n v="0"/>
    <n v="0"/>
    <n v="0"/>
    <m/>
    <n v="0"/>
    <n v="0"/>
    <n v="16.281662859790252"/>
    <n v="0"/>
    <n v="0"/>
    <n v="581.63252767046617"/>
    <n v="0"/>
    <n v="0"/>
    <n v="0"/>
    <n v="0"/>
    <n v="0"/>
    <m/>
    <m/>
    <m/>
    <m/>
    <m/>
    <n v="468.93316320000014"/>
    <m/>
    <m/>
    <m/>
    <n v="8202.9820258549917"/>
    <m/>
    <m/>
    <m/>
    <m/>
    <m/>
    <m/>
    <m/>
    <m/>
    <m/>
    <m/>
    <m/>
    <m/>
    <n v="11254.4486"/>
    <n v="1101.9807247999997"/>
    <m/>
    <m/>
    <m/>
    <m/>
    <n v="-13.885560000000019"/>
    <n v="1161.7585199999999"/>
    <n v="31"/>
    <n v="1147.9088823113907"/>
    <n v="0"/>
    <n v="0"/>
    <n v="0"/>
    <n v="0"/>
    <n v="0"/>
    <n v="0"/>
    <n v="0"/>
    <n v="0"/>
    <n v="0"/>
    <n v="0"/>
    <n v="1161.9078262065641"/>
    <n v="0"/>
    <n v="0"/>
    <n v="2.4875243600821371"/>
    <n v="88.8622429819236"/>
    <n v="0"/>
    <n v="-89.69895935405998"/>
    <m/>
    <n v="0"/>
    <n v="0"/>
    <n v="0"/>
    <n v="0"/>
    <n v="-13.52330160061905"/>
    <n v="-2.1264502824979772"/>
    <n v="0"/>
    <n v="0"/>
    <m/>
    <m/>
    <m/>
    <n v="0"/>
    <n v="0"/>
    <n v="0"/>
    <n v="-13.885560000000169"/>
    <n v="1161.758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7"/>
    <s v="Regular"/>
    <s v="Verde"/>
    <s v="A4"/>
    <s v="Rural"/>
    <s v="Agropecuária rural"/>
    <s v="Não se aplica"/>
    <s v="Não se aplica"/>
    <s v="Não se aplica"/>
    <s v="CATIVO"/>
    <x v="1"/>
    <n v="1554"/>
    <n v="1491.84"/>
    <n v="0"/>
    <n v="0"/>
    <n v="0"/>
    <n v="0"/>
    <n v="32.17"/>
    <m/>
    <m/>
    <n v="49992.18"/>
    <m/>
    <n v="49992.18"/>
    <n v="20093.22"/>
    <n v="0"/>
    <n v="0"/>
    <n v="0"/>
    <n v="0"/>
    <n v="0"/>
    <n v="155.26981385400197"/>
    <n v="41844.14685587812"/>
    <m/>
    <m/>
    <m/>
    <n v="0"/>
    <n v="0"/>
    <n v="0"/>
    <n v="0"/>
    <m/>
    <n v="0"/>
    <n v="2741.9103993669364"/>
    <n v="5256.972467102587"/>
    <n v="0"/>
    <n v="0"/>
    <m/>
    <m/>
    <n v="0"/>
    <n v="0"/>
    <n v="0"/>
    <m/>
    <m/>
    <n v="0"/>
    <m/>
    <n v="0"/>
    <n v="0"/>
    <n v="0"/>
    <n v="0"/>
    <m/>
    <n v="0"/>
    <n v="0"/>
    <n v="118.36"/>
    <n v="542.91999999999996"/>
    <n v="70.64"/>
    <n v="12"/>
    <m/>
    <m/>
    <m/>
    <m/>
    <m/>
    <n v="803.728800000001"/>
    <m/>
    <m/>
    <m/>
    <n v="0"/>
    <m/>
    <m/>
    <m/>
    <m/>
    <m/>
    <m/>
    <m/>
    <m/>
    <m/>
    <m/>
    <m/>
    <m/>
    <n v="19289.491199999997"/>
    <n v="-28703.031600000009"/>
    <m/>
    <m/>
    <m/>
    <m/>
    <n v="-29898.960000000003"/>
    <n v="0"/>
    <n v="31"/>
    <n v="840.2784746544894"/>
    <n v="282.8322368473091"/>
    <n v="542.26472253016618"/>
    <n v="0"/>
    <n v="0"/>
    <m/>
    <m/>
    <m/>
    <n v="15.18151527701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844.14685587812"/>
    <m/>
    <n v="0"/>
    <n v="0"/>
    <n v="-29898.959999999999"/>
    <m/>
    <n v="0"/>
    <m/>
    <n v="-30743.305496853922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98"/>
    <s v="Regular"/>
    <s v="Verde"/>
    <s v="A4"/>
    <s v="Rural"/>
    <s v="Agropecuária rural"/>
    <s v="IRRIG./AQUIC. PR"/>
    <s v="Não se aplica"/>
    <s v="Fora ponta"/>
    <s v="CATIVO"/>
    <x v="1"/>
    <n v="0"/>
    <n v="0"/>
    <n v="22.681999999999999"/>
    <n v="6.8045999999999998"/>
    <n v="22.681999999999999"/>
    <n v="6.8045999999999998"/>
    <m/>
    <n v="80.27"/>
    <n v="216.76"/>
    <m/>
    <n v="6737.2344599999997"/>
    <n v="6737.2344599999997"/>
    <n v="7468.5021399999987"/>
    <n v="0"/>
    <n v="1196.0499137398226"/>
    <n v="0"/>
    <n v="0"/>
    <n v="0"/>
    <n v="0"/>
    <n v="0"/>
    <n v="4844.9092416817111"/>
    <n v="71.616254232212427"/>
    <n v="0"/>
    <n v="0"/>
    <n v="0"/>
    <n v="0"/>
    <n v="212.61275864367948"/>
    <m/>
    <n v="31.147425861045885"/>
    <n v="0"/>
    <n v="0"/>
    <n v="0"/>
    <n v="0"/>
    <n v="0"/>
    <n v="0"/>
    <n v="0"/>
    <n v="0"/>
    <n v="0"/>
    <n v="0"/>
    <n v="0"/>
    <n v="0"/>
    <m/>
    <n v="0"/>
    <n v="0"/>
    <n v="10.372449078355311"/>
    <n v="0"/>
    <n v="0"/>
    <n v="370.53670915126145"/>
    <n v="0"/>
    <n v="0"/>
    <n v="0"/>
    <n v="0"/>
    <n v="0"/>
    <m/>
    <m/>
    <m/>
    <m/>
    <m/>
    <m/>
    <n v="5227.9514979999994"/>
    <m/>
    <m/>
    <n v="5225.818399911328"/>
    <m/>
    <m/>
    <m/>
    <m/>
    <m/>
    <m/>
    <m/>
    <m/>
    <m/>
    <m/>
    <m/>
    <m/>
    <n v="2239.0360000000001"/>
    <n v="217.83566200000018"/>
    <m/>
    <m/>
    <m/>
    <m/>
    <n v="-8.8459800000000115"/>
    <n v="740.11365999999987"/>
    <n v="31"/>
    <n v="731.29056478449002"/>
    <n v="0"/>
    <n v="0"/>
    <n v="0"/>
    <n v="0"/>
    <n v="0"/>
    <n v="0"/>
    <n v="0"/>
    <n v="0"/>
    <n v="0"/>
    <n v="0"/>
    <n v="740.20877749739611"/>
    <n v="0"/>
    <n v="0"/>
    <n v="1.5847103565718186"/>
    <n v="56.610869433658934"/>
    <n v="0"/>
    <n v="-57.143910686124855"/>
    <m/>
    <n v="0"/>
    <n v="0"/>
    <n v="0"/>
    <n v="0"/>
    <n v="-8.6151984862723623"/>
    <n v="-1.3546833307386592"/>
    <n v="0"/>
    <n v="0"/>
    <m/>
    <m/>
    <m/>
    <n v="0"/>
    <n v="0"/>
    <n v="0"/>
    <n v="-8.8459800000000541"/>
    <n v="740.11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99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.15"/>
    <n v="65.11"/>
    <n v="71.27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00"/>
    <s v="Regular"/>
    <s v="Convencional"/>
    <s v="B2"/>
    <s v="Rural"/>
    <s v="Aquicultura"/>
    <s v="IRRIG./AQUIC."/>
    <s v="Não se aplica"/>
    <s v="Não se aplica"/>
    <s v="CATIVO"/>
    <x v="1"/>
    <n v="0"/>
    <n v="0"/>
    <n v="6.5430000000000001"/>
    <n v="6.5430000000000001"/>
    <n v="6.5430000000000001"/>
    <n v="6.5430000000000001"/>
    <m/>
    <n v="571.87"/>
    <n v="216.76"/>
    <m/>
    <n v="5160.0060899999999"/>
    <n v="5160.0060899999999"/>
    <n v="3363.16743"/>
    <n v="0"/>
    <n v="396.57526731914913"/>
    <n v="0"/>
    <n v="0"/>
    <n v="0"/>
    <n v="5.3777813358817079"/>
    <n v="2789.8283448723205"/>
    <n v="1397.5946198890504"/>
    <n v="20.658899190607791"/>
    <n v="0"/>
    <n v="0"/>
    <n v="0"/>
    <n v="0"/>
    <n v="61.331685028022001"/>
    <m/>
    <n v="12.552546305923016"/>
    <n v="58.112948372379876"/>
    <n v="182.07274876722647"/>
    <n v="0"/>
    <n v="0"/>
    <n v="0"/>
    <n v="0"/>
    <n v="0"/>
    <n v="0"/>
    <n v="0"/>
    <n v="0"/>
    <n v="0"/>
    <n v="0"/>
    <m/>
    <n v="0"/>
    <n v="0"/>
    <n v="3.8935405359699349"/>
    <n v="0"/>
    <n v="0"/>
    <n v="232.0032477433507"/>
    <n v="0"/>
    <n v="0"/>
    <n v="0"/>
    <n v="0"/>
    <n v="0"/>
    <m/>
    <m/>
    <m/>
    <m/>
    <m/>
    <n v="403.57223999999985"/>
    <m/>
    <m/>
    <m/>
    <n v="1633.491408168371"/>
    <m/>
    <m/>
    <m/>
    <m/>
    <m/>
    <m/>
    <m/>
    <m/>
    <m/>
    <m/>
    <m/>
    <m/>
    <n v="2958.2382000000002"/>
    <n v="-1582.633800000001"/>
    <m/>
    <m/>
    <m/>
    <m/>
    <n v="-2010.3367499999999"/>
    <n v="213.49808999999996"/>
    <n v="31"/>
    <n v="252.88895115368177"/>
    <n v="5.9944391989420467"/>
    <n v="18.781081546158646"/>
    <n v="0"/>
    <n v="0"/>
    <n v="0"/>
    <n v="0"/>
    <n v="0"/>
    <n v="0.5258128897088481"/>
    <n v="0"/>
    <n v="0"/>
    <n v="213.52552822350162"/>
    <n v="0"/>
    <n v="0"/>
    <n v="0.59485797081030967"/>
    <n v="35.44562587676586"/>
    <n v="0"/>
    <n v="-18.947254120150149"/>
    <m/>
    <n v="0"/>
    <n v="0"/>
    <n v="0"/>
    <n v="0"/>
    <n v="-2.4851972355030512"/>
    <n v="-0.54594319655242352"/>
    <n v="0"/>
    <n v="0"/>
    <m/>
    <m/>
    <m/>
    <n v="2789.8283448723205"/>
    <n v="0"/>
    <n v="0"/>
    <n v="-2010.3367499999999"/>
    <n v="213.49809000000005"/>
    <n v="0"/>
    <n v="0"/>
    <n v="-2049.7142739126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1"/>
    <s v="Regular"/>
    <s v="Convencional"/>
    <s v="B2"/>
    <s v="Rural"/>
    <s v="Aquicultura"/>
    <s v="IRRIG./AQUIC. PR"/>
    <s v="Não se aplica"/>
    <s v="Não se aplica"/>
    <s v="CATIVO"/>
    <x v="1"/>
    <n v="0"/>
    <n v="0"/>
    <n v="5.8780000000000001"/>
    <n v="2.3512"/>
    <n v="5.8780000000000001"/>
    <n v="2.3512"/>
    <m/>
    <n v="571.87"/>
    <n v="216.76"/>
    <m/>
    <n v="4635.5671400000001"/>
    <n v="4635.5671400000001"/>
    <n v="3021.3507799999998"/>
    <n v="0"/>
    <n v="356.26920698486305"/>
    <n v="0"/>
    <n v="0"/>
    <n v="0"/>
    <n v="4.8312087257087999"/>
    <n v="2506.2832051290688"/>
    <n v="1255.5496218413325"/>
    <n v="18.559225040866973"/>
    <n v="0"/>
    <n v="0"/>
    <n v="0"/>
    <n v="0"/>
    <n v="55.098218645073104"/>
    <m/>
    <n v="11.276764051079853"/>
    <n v="52.206619369226487"/>
    <n v="163.56772386577367"/>
    <n v="0"/>
    <n v="0"/>
    <n v="0"/>
    <n v="0"/>
    <n v="0"/>
    <n v="0"/>
    <n v="0"/>
    <n v="0"/>
    <n v="0"/>
    <n v="0"/>
    <m/>
    <n v="0"/>
    <n v="0"/>
    <n v="3.4978192374188106"/>
    <n v="0"/>
    <n v="0"/>
    <n v="208.42351982812403"/>
    <n v="0"/>
    <n v="0"/>
    <n v="0"/>
    <n v="0"/>
    <n v="0"/>
    <m/>
    <m/>
    <m/>
    <m/>
    <m/>
    <m/>
    <n v="1957.832484"/>
    <m/>
    <m/>
    <n v="1467.4709609068752"/>
    <m/>
    <m/>
    <m/>
    <m/>
    <m/>
    <m/>
    <m/>
    <m/>
    <m/>
    <m/>
    <m/>
    <m/>
    <n v="1062.9755"/>
    <n v="-568.78729999999973"/>
    <m/>
    <m/>
    <m/>
    <m/>
    <n v="-1806.0155"/>
    <n v="191.79913999999997"/>
    <n v="31"/>
    <n v="227.18649776575558"/>
    <n v="5.3851923599849272"/>
    <n v="16.872260022668598"/>
    <n v="0"/>
    <n v="0"/>
    <n v="0"/>
    <n v="0"/>
    <n v="0"/>
    <n v="0.47237172026724927"/>
    <n v="0"/>
    <n v="0"/>
    <n v="191.82378953045099"/>
    <n v="0"/>
    <n v="0"/>
    <n v="0.53439938138820064"/>
    <n v="31.843097799729406"/>
    <n v="0"/>
    <n v="-17.021543591356078"/>
    <m/>
    <n v="0"/>
    <n v="0"/>
    <n v="0"/>
    <n v="0"/>
    <n v="-2.2326133807560637"/>
    <n v="-0.49045607662159973"/>
    <n v="0"/>
    <n v="0"/>
    <m/>
    <m/>
    <m/>
    <n v="2506.2832051290688"/>
    <n v="0"/>
    <n v="0"/>
    <n v="-1806.0155"/>
    <n v="191.79913999999985"/>
    <n v="0"/>
    <n v="0"/>
    <n v="-1841.390876059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2"/>
    <s v="Regular"/>
    <s v="Convencional"/>
    <s v="B1"/>
    <s v="Residencial"/>
    <s v="Residencial"/>
    <s v="Não se aplica"/>
    <s v="Não se aplica"/>
    <s v="Não se aplica"/>
    <s v="CATIVO"/>
    <x v="2"/>
    <n v="0"/>
    <n v="0"/>
    <n v="705.96699999999998"/>
    <n v="705.96699999999998"/>
    <n v="705.96699999999998"/>
    <n v="705.96699999999998"/>
    <m/>
    <n v="571.87"/>
    <n v="216.76"/>
    <m/>
    <n v="556746.75520999997"/>
    <n v="556746.75520999997"/>
    <n v="362874.09766999999"/>
    <n v="0"/>
    <n v="42789.095482729295"/>
    <n v="0"/>
    <n v="0"/>
    <n v="0"/>
    <n v="580.24394870065737"/>
    <n v="301012.79950244189"/>
    <n v="150795.61073195984"/>
    <n v="2229.0235495790635"/>
    <n v="0"/>
    <n v="0"/>
    <n v="0"/>
    <n v="0"/>
    <n v="6617.4760330395238"/>
    <m/>
    <n v="1354.3761971501685"/>
    <n v="6270.185514840884"/>
    <n v="19645.017916697623"/>
    <n v="0"/>
    <n v="0"/>
    <n v="0"/>
    <n v="0"/>
    <n v="0"/>
    <n v="0"/>
    <n v="0"/>
    <n v="0"/>
    <n v="0"/>
    <n v="0"/>
    <m/>
    <n v="0"/>
    <n v="0"/>
    <n v="420.09951575073927"/>
    <n v="0"/>
    <n v="0"/>
    <n v="25032.34552951705"/>
    <n v="0"/>
    <n v="3087.43"/>
    <n v="14279.92"/>
    <n v="193396.16"/>
    <n v="4444"/>
    <m/>
    <m/>
    <m/>
    <m/>
    <m/>
    <m/>
    <m/>
    <m/>
    <m/>
    <n v="176248.05577722762"/>
    <m/>
    <m/>
    <m/>
    <m/>
    <m/>
    <m/>
    <m/>
    <m/>
    <m/>
    <m/>
    <m/>
    <m/>
    <n v="362875.6397"/>
    <n v="-193871.14551"/>
    <m/>
    <m/>
    <m/>
    <m/>
    <n v="-216908.36074999999"/>
    <n v="23035.703209999996"/>
    <n v="30"/>
    <n v="27285.840467539529"/>
    <n v="646.77919271886276"/>
    <n v="2026.4135405619745"/>
    <n v="0"/>
    <n v="0"/>
    <n v="0"/>
    <n v="0"/>
    <n v="0"/>
    <n v="56.733386567184198"/>
    <n v="0"/>
    <n v="0"/>
    <n v="23038.663699122815"/>
    <n v="0"/>
    <n v="0"/>
    <n v="64.183111276026523"/>
    <n v="3824.4600585882254"/>
    <n v="0"/>
    <n v="-2044.3429847837469"/>
    <m/>
    <n v="0"/>
    <n v="0"/>
    <n v="0"/>
    <n v="0"/>
    <n v="-268.14415967543664"/>
    <n v="-58.905376836393543"/>
    <n v="0"/>
    <n v="0"/>
    <m/>
    <m/>
    <m/>
    <n v="301012.79950244189"/>
    <n v="0"/>
    <n v="0"/>
    <n v="-216908.36074999999"/>
    <n v="23035.703210000007"/>
    <n v="0"/>
    <n v="0"/>
    <n v="-221157.058965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3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0.13400000000000001"/>
    <n v="-0.13400000000000001"/>
    <n v="-0.13400000000000001"/>
    <n v="-0.13400000000000001"/>
    <m/>
    <n v="571.87"/>
    <n v="216.76"/>
    <m/>
    <n v="-105.67642000000001"/>
    <n v="-105.67642000000001"/>
    <n v="-68.877340000000004"/>
    <n v="0"/>
    <n v="-8.1218226839012662"/>
    <n v="0"/>
    <n v="0"/>
    <n v="0"/>
    <n v="-0.1101364357340897"/>
    <n v="-57.1354116174371"/>
    <n v="-28.622601110367224"/>
    <n v="-0.42309223468461626"/>
    <n v="0"/>
    <n v="0"/>
    <n v="0"/>
    <n v="0"/>
    <n v="-1.2560669102483493"/>
    <m/>
    <n v="-0.25707492052478742"/>
    <n v="-1.1901474983797806"/>
    <n v="-3.7288320854055246"/>
    <n v="0"/>
    <n v="0"/>
    <n v="0"/>
    <n v="0"/>
    <n v="0"/>
    <n v="0"/>
    <n v="0"/>
    <n v="0"/>
    <n v="0"/>
    <n v="0"/>
    <m/>
    <n v="0"/>
    <n v="0"/>
    <n v="-7.9739329332106271E-2"/>
    <n v="0"/>
    <n v="0"/>
    <n v="-4.7514038205118441"/>
    <n v="0"/>
    <n v="-0.54"/>
    <n v="-2.44"/>
    <n v="-34.78"/>
    <n v="0"/>
    <m/>
    <m/>
    <m/>
    <m/>
    <m/>
    <m/>
    <m/>
    <m/>
    <m/>
    <n v="-33.453744260211174"/>
    <m/>
    <m/>
    <m/>
    <m/>
    <m/>
    <m/>
    <m/>
    <m/>
    <m/>
    <m/>
    <m/>
    <m/>
    <n v="-66.821300000000008"/>
    <n v="38.825119999999984"/>
    <m/>
    <m/>
    <m/>
    <m/>
    <n v="41.171500000000002"/>
    <n v="-4.37242"/>
    <n v="30"/>
    <n v="-5.1791409834316582"/>
    <n v="-0.12276552845151056"/>
    <n v="-0.38463471300401375"/>
    <n v="0"/>
    <n v="0"/>
    <n v="0"/>
    <n v="0"/>
    <n v="0"/>
    <n v="-1.0768596549134285E-2"/>
    <n v="0"/>
    <n v="0"/>
    <n v="-4.3729819321334595"/>
    <n v="0"/>
    <n v="0"/>
    <n v="-1.2182633056485009E-2"/>
    <n v="-0.72592295086147374"/>
    <n v="0"/>
    <n v="0.38803791106527807"/>
    <m/>
    <n v="0"/>
    <n v="0"/>
    <n v="0"/>
    <n v="0"/>
    <n v="5.0896596294881524E-2"/>
    <n v="1.118086326425563E-2"/>
    <n v="0"/>
    <n v="0"/>
    <m/>
    <m/>
    <m/>
    <n v="-57.1354116174371"/>
    <n v="0"/>
    <n v="0"/>
    <n v="41.171500000000009"/>
    <n v="-4.3724200000000017"/>
    <n v="0"/>
    <n v="0"/>
    <n v="41.977947838040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4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8.34"/>
    <n v="8.34"/>
    <n v="8.34"/>
    <n v="8.34"/>
    <m/>
    <n v="571.87"/>
    <n v="216.76"/>
    <m/>
    <n v="6577.1742000000004"/>
    <n v="6577.1742000000004"/>
    <n v="4286.8433999999997"/>
    <n v="0"/>
    <n v="505.49254614728778"/>
    <n v="0"/>
    <n v="0"/>
    <n v="0"/>
    <n v="6.8547602538978207"/>
    <n v="3556.0397976822787"/>
    <n v="1781.4365168691243"/>
    <n v="26.332755502012681"/>
    <n v="0"/>
    <n v="0"/>
    <n v="0"/>
    <n v="0"/>
    <n v="78.176104712471869"/>
    <m/>
    <n v="16.000036098333783"/>
    <n v="74.073359227517685"/>
    <n v="232.07805665882142"/>
    <n v="0"/>
    <n v="0"/>
    <n v="0"/>
    <n v="0"/>
    <n v="0"/>
    <n v="0"/>
    <n v="0"/>
    <n v="0"/>
    <n v="0"/>
    <n v="0"/>
    <m/>
    <n v="0"/>
    <n v="0"/>
    <n v="4.9628806464907926"/>
    <n v="0"/>
    <n v="0"/>
    <n v="295.72170047066254"/>
    <n v="0"/>
    <n v="36.700000000000003"/>
    <n v="170.74"/>
    <n v="5692.14"/>
    <n v="123"/>
    <m/>
    <m/>
    <m/>
    <m/>
    <m/>
    <m/>
    <m/>
    <m/>
    <m/>
    <n v="2082.1210979862776"/>
    <m/>
    <m/>
    <m/>
    <m/>
    <m/>
    <m/>
    <m/>
    <m/>
    <m/>
    <m/>
    <m/>
    <m/>
    <n v="4286.8433999999997"/>
    <n v="-2290.3608000000013"/>
    <m/>
    <m/>
    <m/>
    <m/>
    <n v="-2562.4650000000001"/>
    <n v="272.13419999999996"/>
    <n v="30"/>
    <n v="322.34355075985104"/>
    <n v="7.6407799051164034"/>
    <n v="23.939205272040851"/>
    <n v="0"/>
    <n v="0"/>
    <n v="0"/>
    <n v="0"/>
    <n v="0"/>
    <n v="0.67022459119238764"/>
    <n v="0"/>
    <n v="0"/>
    <n v="272.16917398502255"/>
    <n v="0"/>
    <n v="0"/>
    <n v="0.75823253500809695"/>
    <n v="45.180577687945402"/>
    <n v="0"/>
    <n v="-24.151016255853961"/>
    <m/>
    <n v="0"/>
    <n v="0"/>
    <n v="0"/>
    <n v="0"/>
    <n v="-3.1677433813381271"/>
    <n v="-0.69588357928277489"/>
    <n v="0"/>
    <n v="0"/>
    <m/>
    <m/>
    <m/>
    <n v="3556.0397976822787"/>
    <n v="0"/>
    <n v="0"/>
    <n v="-2562.4650000000001"/>
    <n v="272.13419999999974"/>
    <n v="0"/>
    <n v="0"/>
    <n v="-2612.6573505168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3.39"/>
    <n v="3.39"/>
    <n v="3.39"/>
    <n v="3.39"/>
    <m/>
    <n v="501.89"/>
    <n v="216.76"/>
    <m/>
    <n v="2436.2235000000001"/>
    <n v="2436.2235000000001"/>
    <n v="1516.347"/>
    <n v="0"/>
    <n v="0"/>
    <n v="0"/>
    <n v="0"/>
    <n v="0"/>
    <n v="2.7862874413325676"/>
    <n v="1445.4406371874013"/>
    <n v="724.10908779212605"/>
    <n v="10.703602056573501"/>
    <n v="0"/>
    <n v="0"/>
    <n v="0"/>
    <n v="0"/>
    <n v="0"/>
    <m/>
    <n v="6.5036117953658907"/>
    <n v="30.108955369458627"/>
    <n v="94.333886339736779"/>
    <n v="0"/>
    <n v="0"/>
    <n v="0"/>
    <n v="0"/>
    <n v="0"/>
    <n v="0"/>
    <n v="0"/>
    <n v="0"/>
    <n v="0"/>
    <n v="0"/>
    <m/>
    <n v="0"/>
    <n v="0"/>
    <n v="2.0172860181779124"/>
    <n v="0"/>
    <n v="0"/>
    <n v="120.20342501145635"/>
    <n v="0"/>
    <n v="3.35"/>
    <n v="16.8"/>
    <n v="225.45"/>
    <n v="3"/>
    <m/>
    <m/>
    <m/>
    <m/>
    <m/>
    <m/>
    <m/>
    <n v="985.6085999999998"/>
    <m/>
    <n v="846.32979882176028"/>
    <m/>
    <m/>
    <m/>
    <m/>
    <m/>
    <m/>
    <m/>
    <m/>
    <m/>
    <m/>
    <m/>
    <m/>
    <n v="530.73840000000007"/>
    <n v="-321.97829999999988"/>
    <m/>
    <m/>
    <m/>
    <m/>
    <n v="-1030.4922000000001"/>
    <n v="110.61569999999999"/>
    <n v="30"/>
    <n v="142.12892472973317"/>
    <n v="3.1057846376912011"/>
    <n v="9.7306841573403347"/>
    <n v="0"/>
    <n v="0"/>
    <n v="0"/>
    <n v="0"/>
    <n v="0"/>
    <n v="0.27242942016093474"/>
    <n v="0"/>
    <n v="0"/>
    <n v="110.62991604427179"/>
    <n v="0"/>
    <n v="0"/>
    <n v="0.30820243329465802"/>
    <n v="18.364767189704452"/>
    <n v="0"/>
    <n v="0"/>
    <m/>
    <n v="0"/>
    <n v="0"/>
    <n v="0"/>
    <n v="0"/>
    <n v="0"/>
    <n v="-0.28285915273004925"/>
    <n v="0"/>
    <n v="0"/>
    <m/>
    <m/>
    <m/>
    <n v="1445.4406371874013"/>
    <n v="0"/>
    <n v="0"/>
    <n v="-1030.4922000000001"/>
    <n v="110.61569999999995"/>
    <n v="0"/>
    <n v="0"/>
    <n v="-1061.9794266489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6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7.1050000000000004"/>
    <n v="7.1050000000000004"/>
    <n v="7.1050000000000004"/>
    <n v="7.1050000000000004"/>
    <m/>
    <n v="501.89"/>
    <n v="216.76"/>
    <m/>
    <n v="5106.0082500000008"/>
    <n v="5106.0082500000008"/>
    <n v="3178.0664999999999"/>
    <n v="0"/>
    <n v="0"/>
    <n v="0"/>
    <n v="0"/>
    <n v="0"/>
    <n v="5.8396968350052783"/>
    <n v="3029.4559667305266"/>
    <n v="1517.6386633519339"/>
    <n v="22.43336065249402"/>
    <n v="0"/>
    <n v="0"/>
    <n v="0"/>
    <n v="0"/>
    <n v="0"/>
    <m/>
    <n v="13.630726196482199"/>
    <n v="63.104462507375679"/>
    <n v="197.7115818418377"/>
    <n v="0"/>
    <n v="0"/>
    <n v="0"/>
    <n v="0"/>
    <n v="0"/>
    <n v="0"/>
    <n v="0"/>
    <n v="0"/>
    <n v="0"/>
    <n v="0"/>
    <m/>
    <n v="0"/>
    <n v="0"/>
    <n v="4.2279696634672765"/>
    <n v="0"/>
    <n v="0"/>
    <n v="251.93077719952726"/>
    <n v="0"/>
    <n v="13.72"/>
    <n v="64.349999999999994"/>
    <n v="881.38"/>
    <n v="23"/>
    <m/>
    <m/>
    <m/>
    <m/>
    <m/>
    <m/>
    <m/>
    <n v="1271.1555499999999"/>
    <m/>
    <n v="1773.7974102149285"/>
    <m/>
    <m/>
    <m/>
    <m/>
    <m/>
    <m/>
    <m/>
    <m/>
    <m/>
    <m/>
    <m/>
    <m/>
    <n v="1908.2529"/>
    <n v="-1155.3820500000011"/>
    <m/>
    <m/>
    <m/>
    <m/>
    <n v="-2159.7779"/>
    <n v="231.83614999999998"/>
    <n v="30"/>
    <n v="297.88377882146187"/>
    <n v="6.5093214899103131"/>
    <n v="20.394251014130731"/>
    <n v="0"/>
    <n v="0"/>
    <n v="0"/>
    <n v="0"/>
    <n v="0"/>
    <n v="0.57097670508656062"/>
    <n v="0"/>
    <n v="0"/>
    <n v="231.8659449836432"/>
    <n v="0"/>
    <n v="0"/>
    <n v="0.64595229750989525"/>
    <n v="38.490168402020686"/>
    <n v="0"/>
    <n v="0"/>
    <m/>
    <n v="0"/>
    <n v="0"/>
    <n v="0"/>
    <n v="0"/>
    <n v="0"/>
    <n v="-0.59283607083982304"/>
    <n v="0"/>
    <n v="0"/>
    <m/>
    <m/>
    <m/>
    <n v="3029.4559667305266"/>
    <n v="0"/>
    <n v="0"/>
    <n v="-2159.7779"/>
    <n v="231.83615000000009"/>
    <n v="0"/>
    <n v="0"/>
    <n v="-2225.771040218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6.6639999999999997"/>
    <n v="6.6639999999999997"/>
    <n v="6.6639999999999997"/>
    <n v="6.6639999999999997"/>
    <m/>
    <n v="501.89"/>
    <n v="216.76"/>
    <m/>
    <n v="4789.0835999999999"/>
    <n v="4789.0835999999999"/>
    <n v="2980.8071999999997"/>
    <n v="0"/>
    <n v="0"/>
    <n v="0"/>
    <n v="0"/>
    <n v="0"/>
    <n v="5.4772328935221912"/>
    <n v="2841.4207687955281"/>
    <n v="1423.4404014887102"/>
    <n v="21.040945163718526"/>
    <n v="0"/>
    <n v="0"/>
    <n v="0"/>
    <n v="0"/>
    <n v="0"/>
    <m/>
    <n v="12.784681122217785"/>
    <n v="59.187633800021317"/>
    <n v="185.4398284861374"/>
    <n v="0"/>
    <n v="0"/>
    <n v="0"/>
    <n v="0"/>
    <n v="0"/>
    <n v="0"/>
    <n v="0"/>
    <n v="0"/>
    <n v="0"/>
    <n v="0"/>
    <m/>
    <n v="0"/>
    <n v="0"/>
    <n v="3.965543960217583"/>
    <n v="0"/>
    <n v="0"/>
    <n v="236.29369447679795"/>
    <n v="0"/>
    <n v="23.35"/>
    <n v="106.98"/>
    <n v="1483.95"/>
    <n v="64"/>
    <m/>
    <m/>
    <m/>
    <m/>
    <m/>
    <m/>
    <m/>
    <n v="298.08071999999993"/>
    <m/>
    <n v="1663.6996399257257"/>
    <m/>
    <m/>
    <m/>
    <m/>
    <m/>
    <m/>
    <m/>
    <m/>
    <m/>
    <m/>
    <m/>
    <m/>
    <n v="2681.1161999999999"/>
    <n v="-1629.0557200000007"/>
    <m/>
    <m/>
    <m/>
    <m/>
    <n v="-2025.72272"/>
    <n v="217.44631999999996"/>
    <n v="30"/>
    <n v="279.39444082564705"/>
    <n v="6.1052946388124383"/>
    <n v="19.128400951184688"/>
    <n v="0"/>
    <n v="0"/>
    <n v="0"/>
    <n v="0"/>
    <n v="0"/>
    <n v="0.53553677166739444"/>
    <n v="0"/>
    <n v="0"/>
    <n v="217.47426563983095"/>
    <n v="0"/>
    <n v="0"/>
    <n v="0.60585870662997099"/>
    <n v="36.101123466722811"/>
    <n v="0"/>
    <n v="0"/>
    <m/>
    <n v="0"/>
    <n v="0"/>
    <n v="0"/>
    <n v="0"/>
    <n v="0"/>
    <n v="-0.55603934920148923"/>
    <n v="0"/>
    <n v="0"/>
    <m/>
    <m/>
    <m/>
    <n v="2841.4207687955281"/>
    <n v="0"/>
    <n v="0"/>
    <n v="-2025.72272"/>
    <n v="217.44632000000001"/>
    <n v="0"/>
    <n v="0"/>
    <n v="-2087.6197342739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8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.0499999999999998"/>
    <n v="2.0499999999999998"/>
    <n v="2.0499999999999998"/>
    <n v="2.0499999999999998"/>
    <m/>
    <n v="501.89"/>
    <n v="216.76"/>
    <m/>
    <n v="1473.2324999999998"/>
    <n v="1473.2324999999998"/>
    <n v="916.96499999999992"/>
    <n v="0"/>
    <n v="0"/>
    <n v="0"/>
    <n v="0"/>
    <n v="0"/>
    <n v="1.6849230839916705"/>
    <n v="874.08652101303016"/>
    <n v="437.88307668845374"/>
    <n v="6.4726797097273376"/>
    <n v="0"/>
    <n v="0"/>
    <n v="0"/>
    <n v="0"/>
    <n v="0"/>
    <m/>
    <n v="3.9328625901180159"/>
    <n v="18.207480385660819"/>
    <n v="57.045565485681522"/>
    <n v="0"/>
    <n v="0"/>
    <n v="0"/>
    <n v="0"/>
    <n v="0"/>
    <n v="0"/>
    <n v="0"/>
    <n v="0"/>
    <n v="0"/>
    <n v="0"/>
    <m/>
    <n v="0"/>
    <n v="0"/>
    <n v="1.2198927248568494"/>
    <n v="0"/>
    <n v="0"/>
    <n v="72.689386806337907"/>
    <n v="0"/>
    <n v="10.25"/>
    <n v="47.08"/>
    <n v="650.54"/>
    <n v="23"/>
    <m/>
    <m/>
    <m/>
    <m/>
    <m/>
    <m/>
    <m/>
    <m/>
    <m/>
    <n v="511.79235621964847"/>
    <m/>
    <m/>
    <m/>
    <m/>
    <m/>
    <m/>
    <m/>
    <m/>
    <m/>
    <m/>
    <m/>
    <m/>
    <n v="916.96499999999992"/>
    <n v="-556.2974999999999"/>
    <m/>
    <m/>
    <m/>
    <m/>
    <n v="-623.15899999999999"/>
    <n v="66.891499999999979"/>
    <n v="30"/>
    <n v="85.9481698218151"/>
    <n v="1.8781293531760959"/>
    <n v="5.8843370273002122"/>
    <n v="0"/>
    <n v="0"/>
    <n v="0"/>
    <n v="0"/>
    <n v="0"/>
    <n v="0.16474345466959162"/>
    <n v="0"/>
    <n v="0"/>
    <n v="66.900096722937235"/>
    <n v="0"/>
    <n v="0"/>
    <n v="0.18637610272980809"/>
    <n v="11.1055376810897"/>
    <n v="0"/>
    <n v="0"/>
    <m/>
    <n v="0"/>
    <n v="0"/>
    <n v="0"/>
    <n v="0"/>
    <n v="0"/>
    <n v="-0.17105052008749277"/>
    <n v="0"/>
    <n v="0"/>
    <m/>
    <m/>
    <m/>
    <n v="874.08652101303016"/>
    <n v="0"/>
    <n v="0"/>
    <n v="-623.15899999999988"/>
    <n v="66.891500000000008"/>
    <n v="0"/>
    <n v="0"/>
    <n v="-642.1999482685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09"/>
    <s v="Regular"/>
    <s v="Convencional"/>
    <s v="B3"/>
    <s v="Industrial"/>
    <s v="Não se aplica"/>
    <s v="Não se aplica"/>
    <s v="Não se aplica"/>
    <s v="Não se aplica"/>
    <s v="CATIVO"/>
    <x v="2"/>
    <n v="0"/>
    <n v="0"/>
    <n v="30.138000000000002"/>
    <n v="30.138000000000002"/>
    <n v="30.138000000000002"/>
    <n v="30.138000000000002"/>
    <m/>
    <n v="571.87"/>
    <n v="216.76"/>
    <m/>
    <n v="23767.730940000001"/>
    <n v="23767.730940000001"/>
    <n v="15491.233380000001"/>
    <n v="0"/>
    <n v="1826.6827764732566"/>
    <n v="0"/>
    <n v="0"/>
    <n v="0"/>
    <n v="24.770835075776084"/>
    <n v="12850.351009897906"/>
    <n v="6437.5220318227421"/>
    <n v="95.157863947201236"/>
    <n v="0"/>
    <n v="0"/>
    <n v="0"/>
    <n v="0"/>
    <n v="282.50257120197574"/>
    <m/>
    <n v="57.818835483403312"/>
    <n v="267.6766067624614"/>
    <n v="838.65329395486344"/>
    <n v="0"/>
    <n v="0"/>
    <n v="0"/>
    <n v="0"/>
    <n v="0"/>
    <n v="0"/>
    <n v="0"/>
    <n v="0"/>
    <n v="0"/>
    <n v="0"/>
    <m/>
    <n v="0"/>
    <n v="0"/>
    <n v="17.934208264261333"/>
    <n v="0"/>
    <n v="0"/>
    <n v="1068.6403607655668"/>
    <n v="0"/>
    <n v="111.63"/>
    <n v="513.20000000000005"/>
    <n v="4187.24"/>
    <n v="23"/>
    <m/>
    <m/>
    <m/>
    <m/>
    <m/>
    <m/>
    <m/>
    <m/>
    <m/>
    <n v="7524.0966008525702"/>
    <m/>
    <m/>
    <m/>
    <m/>
    <m/>
    <m/>
    <m/>
    <m/>
    <m/>
    <m/>
    <m/>
    <m/>
    <n v="15492.261399999999"/>
    <n v="-8275.4995399999971"/>
    <m/>
    <m/>
    <m/>
    <m/>
    <n v="-9259.9004999999997"/>
    <n v="983.40293999999994"/>
    <n v="30"/>
    <n v="1164.8429176019636"/>
    <n v="27.611249973668862"/>
    <n v="86.508365526231046"/>
    <n v="0"/>
    <n v="0"/>
    <n v="0"/>
    <n v="0"/>
    <n v="0"/>
    <n v="2.4219698716254392"/>
    <n v="0"/>
    <n v="0"/>
    <n v="983.52932440774748"/>
    <n v="0"/>
    <n v="0"/>
    <n v="2.7400014556443679"/>
    <n v="163.26765591838125"/>
    <n v="0"/>
    <n v="-87.273780326010183"/>
    <m/>
    <n v="0"/>
    <n v="0"/>
    <n v="0"/>
    <n v="0"/>
    <n v="-11.447176262202504"/>
    <n v="-2.5146929631204245"/>
    <n v="0"/>
    <n v="0"/>
    <m/>
    <m/>
    <m/>
    <n v="12850.351009897906"/>
    <n v="0"/>
    <n v="0"/>
    <n v="-9259.9005000000016"/>
    <n v="983.40293999999994"/>
    <n v="0"/>
    <n v="0"/>
    <n v="-9441.279044349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0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2.2709999999999999"/>
    <n v="2.2709999999999999"/>
    <n v="2.2709999999999999"/>
    <n v="2.2709999999999999"/>
    <m/>
    <n v="571.87"/>
    <n v="216.76"/>
    <m/>
    <n v="1790.9787299999998"/>
    <n v="1790.9787299999998"/>
    <n v="1167.3167100000001"/>
    <n v="0"/>
    <n v="137.64671130701325"/>
    <n v="0"/>
    <n v="0"/>
    <n v="0"/>
    <n v="1.8665660115829676"/>
    <n v="968.31731181492273"/>
    <n v="485.08900837047736"/>
    <n v="7.1704661564833092"/>
    <n v="0"/>
    <n v="0"/>
    <n v="0"/>
    <n v="0"/>
    <n v="21.287522038611947"/>
    <m/>
    <n v="4.3568443620282995"/>
    <n v="20.170335588212549"/>
    <n v="63.195355716089146"/>
    <n v="0"/>
    <n v="0"/>
    <n v="0"/>
    <n v="0"/>
    <n v="0"/>
    <n v="0"/>
    <n v="0"/>
    <n v="0"/>
    <n v="0"/>
    <n v="0"/>
    <m/>
    <n v="0"/>
    <n v="0"/>
    <n v="1.3514031112926366"/>
    <n v="0"/>
    <n v="0"/>
    <n v="80.525657286435802"/>
    <n v="0"/>
    <n v="7.1"/>
    <n v="32.67"/>
    <n v="845.91"/>
    <n v="4"/>
    <m/>
    <m/>
    <m/>
    <m/>
    <m/>
    <m/>
    <m/>
    <m/>
    <m/>
    <n v="566.96606876820579"/>
    <m/>
    <m/>
    <m/>
    <m/>
    <m/>
    <m/>
    <m/>
    <m/>
    <m/>
    <m/>
    <m/>
    <m/>
    <n v="1166.8027"/>
    <n v="-624.20602999999983"/>
    <m/>
    <m/>
    <m/>
    <m/>
    <n v="-697.76474999999994"/>
    <n v="74.10272999999998"/>
    <n v="30"/>
    <n v="87.774844577412637"/>
    <n v="2.0806008590550782"/>
    <n v="6.5186972629262314"/>
    <n v="0"/>
    <n v="0"/>
    <n v="0"/>
    <n v="0"/>
    <n v="0"/>
    <n v="0.18250360270958188"/>
    <n v="0"/>
    <n v="0"/>
    <n v="74.112253491605088"/>
    <n v="0"/>
    <n v="0"/>
    <n v="0.20646835575580202"/>
    <n v="12.302768816465715"/>
    <n v="0"/>
    <n v="-6.5763738509645293"/>
    <m/>
    <n v="0"/>
    <n v="0"/>
    <n v="0"/>
    <n v="0"/>
    <n v="-0.86258335959459487"/>
    <n v="-0.18949060054570488"/>
    <n v="0"/>
    <n v="0"/>
    <m/>
    <m/>
    <m/>
    <n v="968.31731181492273"/>
    <n v="0"/>
    <n v="0"/>
    <n v="-697.76475000000005"/>
    <n v="74.102730000000065"/>
    <n v="0"/>
    <n v="0"/>
    <n v="-711.432235374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1"/>
    <s v="Regular"/>
    <s v="Verde"/>
    <s v="A4"/>
    <s v="Industrial"/>
    <s v="Não se aplica"/>
    <s v="Não se aplica"/>
    <s v="Não se aplica"/>
    <s v="Ponta"/>
    <s v="CATIVO"/>
    <x v="2"/>
    <n v="0"/>
    <n v="0"/>
    <n v="7.476"/>
    <n v="7.476"/>
    <n v="7.476"/>
    <n v="7.476"/>
    <m/>
    <n v="2592.54"/>
    <n v="216.76"/>
    <m/>
    <n v="21002.326799999999"/>
    <n v="21002.326799999999"/>
    <n v="8830.6512000000002"/>
    <n v="0"/>
    <n v="394.21872652847696"/>
    <n v="0"/>
    <n v="0"/>
    <n v="0"/>
    <n v="37.803404808030727"/>
    <n v="17126.704886997792"/>
    <n v="1596.8848201575026"/>
    <n v="23.604757809717842"/>
    <n v="0"/>
    <n v="0"/>
    <n v="0"/>
    <n v="0"/>
    <n v="70.077285231467599"/>
    <m/>
    <n v="10.26620914104484"/>
    <n v="337.27877963926454"/>
    <n v="1279.8967974633604"/>
    <n v="0"/>
    <n v="0"/>
    <n v="0"/>
    <n v="0"/>
    <n v="0"/>
    <n v="0"/>
    <n v="0"/>
    <n v="0"/>
    <n v="0"/>
    <n v="0"/>
    <m/>
    <n v="0"/>
    <n v="0"/>
    <n v="3.4187650696492513"/>
    <n v="0"/>
    <n v="0"/>
    <n v="122.12910843906317"/>
    <n v="0"/>
    <n v="0"/>
    <n v="0"/>
    <n v="0"/>
    <n v="0"/>
    <m/>
    <m/>
    <m/>
    <m/>
    <m/>
    <m/>
    <m/>
    <m/>
    <m/>
    <n v="1722.4326936662151"/>
    <m/>
    <m/>
    <m/>
    <m/>
    <m/>
    <m/>
    <m/>
    <m/>
    <m/>
    <m/>
    <m/>
    <m/>
    <n v="8835.3760000000002"/>
    <n v="-12166.980799999994"/>
    <m/>
    <m/>
    <m/>
    <m/>
    <n v="-12415.617480000001"/>
    <n v="243.94187999999997"/>
    <n v="30"/>
    <n v="411.54413862707588"/>
    <n v="34.79082019183619"/>
    <n v="132.02330544565575"/>
    <n v="0"/>
    <n v="0"/>
    <n v="0"/>
    <n v="0"/>
    <n v="0"/>
    <n v="3.6962301517016058"/>
    <n v="0"/>
    <n v="0"/>
    <n v="243.97323078081877"/>
    <n v="0"/>
    <n v="0"/>
    <n v="0.52232142781637014"/>
    <n v="18.658974512213831"/>
    <n v="0"/>
    <n v="-18.834665209834668"/>
    <m/>
    <n v="0"/>
    <n v="0"/>
    <n v="0"/>
    <n v="0"/>
    <n v="-2.8395742828398056"/>
    <n v="-0.44650439029195965"/>
    <n v="0"/>
    <n v="0"/>
    <m/>
    <m/>
    <m/>
    <n v="17126.704886997792"/>
    <n v="0"/>
    <n v="0"/>
    <n v="-12415.617480000001"/>
    <n v="243.94187999999986"/>
    <n v="0"/>
    <n v="0"/>
    <n v="-12583.158220645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2"/>
    <s v="Regular"/>
    <s v="Verde"/>
    <s v="A4"/>
    <s v="Industrial"/>
    <s v="Não se aplica"/>
    <s v="Não se aplica"/>
    <s v="Não se aplica"/>
    <s v="Fora ponta"/>
    <s v="CATIVO"/>
    <x v="2"/>
    <n v="0"/>
    <n v="0"/>
    <n v="114.196"/>
    <n v="114.196"/>
    <n v="114.196"/>
    <n v="114.196"/>
    <m/>
    <n v="80.27"/>
    <n v="216.76"/>
    <m/>
    <n v="33919.637879999995"/>
    <n v="33919.637879999995"/>
    <n v="37601.316919999997"/>
    <n v="0"/>
    <n v="6021.6963208461684"/>
    <n v="0"/>
    <n v="0"/>
    <n v="0"/>
    <n v="0"/>
    <n v="0"/>
    <n v="24392.436988055935"/>
    <n v="360.56299128391373"/>
    <n v="0"/>
    <n v="0"/>
    <n v="0"/>
    <n v="0"/>
    <n v="1070.4314692740334"/>
    <m/>
    <n v="156.81648195167958"/>
    <n v="0"/>
    <n v="0"/>
    <n v="0"/>
    <n v="0"/>
    <n v="0"/>
    <n v="0"/>
    <n v="0"/>
    <n v="0"/>
    <n v="0"/>
    <n v="0"/>
    <n v="0"/>
    <n v="0"/>
    <m/>
    <n v="0"/>
    <n v="0"/>
    <n v="52.221682168762158"/>
    <n v="0"/>
    <n v="0"/>
    <n v="1865.5237650223728"/>
    <n v="0"/>
    <n v="0"/>
    <n v="0"/>
    <n v="0"/>
    <n v="0"/>
    <m/>
    <m/>
    <m/>
    <m/>
    <m/>
    <m/>
    <m/>
    <m/>
    <m/>
    <n v="26310.182435247068"/>
    <m/>
    <m/>
    <m/>
    <m/>
    <m/>
    <m/>
    <m/>
    <m/>
    <m/>
    <m/>
    <m/>
    <m/>
    <n v="37602.633999999998"/>
    <n v="3682.9661199999973"/>
    <m/>
    <m/>
    <m/>
    <m/>
    <n v="-44.536440000000063"/>
    <n v="3726.2154799999994"/>
    <n v="30"/>
    <n v="3681.7942569495499"/>
    <n v="0"/>
    <n v="0"/>
    <n v="0"/>
    <n v="0"/>
    <n v="0"/>
    <n v="0"/>
    <n v="0"/>
    <n v="0"/>
    <n v="0"/>
    <n v="0"/>
    <n v="3726.6943635963617"/>
    <n v="0"/>
    <n v="0"/>
    <n v="7.9784667965380152"/>
    <n v="285.01608525906499"/>
    <n v="0"/>
    <n v="-287.69976301528641"/>
    <m/>
    <n v="0"/>
    <n v="0"/>
    <n v="0"/>
    <n v="0"/>
    <n v="-43.374535152912358"/>
    <n v="-6.8203605342135631"/>
    <n v="0"/>
    <n v="0"/>
    <m/>
    <m/>
    <m/>
    <n v="0"/>
    <n v="0"/>
    <n v="0"/>
    <n v="-44.536439999999857"/>
    <n v="3726.21547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3"/>
    <s v="Regular"/>
    <s v="Verde"/>
    <s v="A4"/>
    <s v="Industrial"/>
    <s v="Não se aplica"/>
    <s v="Não se aplica"/>
    <s v="Não se aplica"/>
    <s v="Não se aplica"/>
    <s v="CATIVO"/>
    <x v="2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444.38"/>
    <n v="2040.97"/>
    <n v="15890.86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n v="30"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14"/>
    <s v="Regular"/>
    <s v="Convencional"/>
    <s v="B3"/>
    <s v="Comercial"/>
    <s v="Não se aplica"/>
    <s v="Não se aplica"/>
    <s v="Não se aplica"/>
    <s v="Não se aplica"/>
    <s v="CATIVO"/>
    <x v="2"/>
    <n v="0"/>
    <n v="0"/>
    <n v="223.98599999999999"/>
    <n v="223.98599999999999"/>
    <n v="223.98599999999999"/>
    <n v="223.98599999999999"/>
    <m/>
    <n v="571.87"/>
    <n v="216.76"/>
    <m/>
    <n v="176642.07918"/>
    <n v="176642.07918"/>
    <n v="115131.04385999999"/>
    <n v="0"/>
    <n v="13575.929669226187"/>
    <n v="0"/>
    <n v="0"/>
    <n v="0"/>
    <n v="184.09716189802845"/>
    <n v="95503.972436890035"/>
    <n v="47843.745763482933"/>
    <n v="707.21445729901825"/>
    <n v="0"/>
    <n v="0"/>
    <n v="0"/>
    <n v="0"/>
    <n v="2099.5627086484083"/>
    <m/>
    <n v="429.7103220049629"/>
    <n v="1989.3759520305484"/>
    <n v="6232.8819662809083"/>
    <n v="0"/>
    <n v="0"/>
    <n v="0"/>
    <n v="0"/>
    <n v="0"/>
    <n v="0"/>
    <n v="0"/>
    <n v="0"/>
    <n v="0"/>
    <n v="0"/>
    <m/>
    <n v="0"/>
    <n v="0"/>
    <n v="133.28726432672502"/>
    <n v="0"/>
    <n v="0"/>
    <n v="7942.1487771728789"/>
    <n v="0"/>
    <n v="974.56"/>
    <n v="4490.8999999999996"/>
    <n v="62953.11"/>
    <n v="695"/>
    <m/>
    <m/>
    <m/>
    <m/>
    <m/>
    <m/>
    <m/>
    <m/>
    <m/>
    <n v="55919.181804982538"/>
    <m/>
    <m/>
    <m/>
    <m/>
    <m/>
    <m/>
    <m/>
    <m/>
    <m/>
    <m/>
    <m/>
    <m/>
    <n v="115133.0999"/>
    <n v="-61509.009279999969"/>
    <m/>
    <m/>
    <m/>
    <m/>
    <n v="-68819.698499999999"/>
    <n v="7308.6631799999986"/>
    <n v="30"/>
    <n v="8657.127405335239"/>
    <n v="205.20716161000064"/>
    <n v="642.93127482773889"/>
    <n v="0"/>
    <n v="0"/>
    <n v="0"/>
    <n v="0"/>
    <n v="0"/>
    <n v="18.00011094518203"/>
    <n v="0"/>
    <n v="0"/>
    <n v="7309.6024705286836"/>
    <n v="0"/>
    <n v="0"/>
    <n v="20.363725729775012"/>
    <n v="1213.4072990422246"/>
    <n v="0"/>
    <n v="-648.61984737214698"/>
    <m/>
    <n v="0"/>
    <n v="0"/>
    <n v="0"/>
    <n v="0"/>
    <n v="-85.075559833621583"/>
    <n v="-18.689230142593715"/>
    <n v="0"/>
    <n v="0"/>
    <m/>
    <m/>
    <m/>
    <n v="95503.972436890035"/>
    <n v="0"/>
    <n v="0"/>
    <n v="-68819.698499999999"/>
    <n v="7308.6631800000032"/>
    <n v="0"/>
    <n v="0"/>
    <n v="-70167.70615262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5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6.4039999999999999"/>
    <n v="6.4039999999999999"/>
    <n v="6.4039999999999999"/>
    <n v="6.4039999999999999"/>
    <m/>
    <n v="571.87"/>
    <n v="216.76"/>
    <m/>
    <n v="5050.38652"/>
    <n v="5050.38652"/>
    <n v="3291.7200399999997"/>
    <n v="0"/>
    <n v="388.15039155002768"/>
    <n v="0"/>
    <n v="0"/>
    <n v="0"/>
    <n v="5.2635353316500773"/>
    <n v="2730.5610149109489"/>
    <n v="1367.9040112745649"/>
    <n v="20.220019932240913"/>
    <n v="0"/>
    <n v="0"/>
    <n v="0"/>
    <n v="0"/>
    <n v="60.028749949480805"/>
    <m/>
    <n v="12.285879037617452"/>
    <n v="56.878392385254585"/>
    <n v="178.2047811562461"/>
    <n v="0"/>
    <n v="0"/>
    <n v="0"/>
    <n v="0"/>
    <n v="0"/>
    <n v="0"/>
    <n v="0"/>
    <n v="0"/>
    <n v="0"/>
    <n v="0"/>
    <m/>
    <n v="0"/>
    <n v="0"/>
    <n v="3.8108258585284216"/>
    <n v="0"/>
    <n v="0"/>
    <n v="227.07455273550633"/>
    <n v="0"/>
    <n v="28.4"/>
    <n v="130.87"/>
    <n v="2946.29"/>
    <n v="17"/>
    <m/>
    <m/>
    <m/>
    <m/>
    <m/>
    <m/>
    <m/>
    <m/>
    <m/>
    <n v="1598.7893898685998"/>
    <m/>
    <m/>
    <m/>
    <m/>
    <m/>
    <m/>
    <m/>
    <m/>
    <m/>
    <m/>
    <m/>
    <m/>
    <n v="3289.6640000000002"/>
    <n v="-1760.7525200000005"/>
    <m/>
    <m/>
    <m/>
    <m/>
    <n v="-1967.6289999999999"/>
    <n v="208.96251999999996"/>
    <n v="30"/>
    <n v="247.51655864101758"/>
    <n v="5.8670928671901024"/>
    <n v="18.382094791624638"/>
    <n v="0"/>
    <n v="0"/>
    <n v="0"/>
    <n v="0"/>
    <n v="0"/>
    <n v="0.51464247985564171"/>
    <n v="0"/>
    <n v="0"/>
    <n v="208.98937532375112"/>
    <n v="0"/>
    <n v="0"/>
    <n v="0.58222076189350735"/>
    <n v="34.692616248633414"/>
    <n v="0"/>
    <n v="-18.544737182552581"/>
    <m/>
    <n v="0"/>
    <n v="0"/>
    <n v="0"/>
    <n v="0"/>
    <n v="-2.4324015124807516"/>
    <n v="-0.53434513689770924"/>
    <n v="0"/>
    <n v="0"/>
    <m/>
    <m/>
    <m/>
    <n v="2730.5610149109489"/>
    <n v="0"/>
    <n v="0"/>
    <n v="-1967.6289999999999"/>
    <n v="208.96251999999981"/>
    <n v="0"/>
    <n v="0"/>
    <n v="-2006.169984737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6"/>
    <s v="Regular"/>
    <s v="Verde"/>
    <s v="A4"/>
    <s v="Comercial"/>
    <s v="Não se aplica"/>
    <s v="Não se aplica"/>
    <s v="Não se aplica"/>
    <s v="Ponta"/>
    <s v="CATIVO"/>
    <x v="2"/>
    <n v="0"/>
    <n v="0"/>
    <n v="5.3650000000000002"/>
    <n v="5.3650000000000002"/>
    <n v="5.3650000000000002"/>
    <n v="5.3650000000000002"/>
    <m/>
    <n v="2592.54"/>
    <n v="216.76"/>
    <m/>
    <n v="15071.8945"/>
    <n v="15071.8945"/>
    <n v="6337.1379999999999"/>
    <n v="0"/>
    <n v="282.90308558390569"/>
    <n v="0"/>
    <n v="0"/>
    <n v="0"/>
    <n v="27.128847885912904"/>
    <n v="12290.632921180197"/>
    <n v="1145.9720519188072"/>
    <n v="16.939476411066913"/>
    <n v="0"/>
    <n v="0"/>
    <n v="0"/>
    <n v="0"/>
    <n v="50.289544578226817"/>
    <m/>
    <n v="7.3673370842302797"/>
    <n v="242.04128581656693"/>
    <n v="918.49201690622363"/>
    <n v="0"/>
    <n v="0"/>
    <n v="0"/>
    <n v="0"/>
    <n v="0"/>
    <n v="0"/>
    <n v="0"/>
    <n v="0"/>
    <n v="0"/>
    <n v="0"/>
    <m/>
    <n v="0"/>
    <n v="0"/>
    <n v="2.4534075172108389"/>
    <n v="0"/>
    <n v="0"/>
    <n v="87.643481377150081"/>
    <n v="0"/>
    <n v="0"/>
    <n v="0"/>
    <n v="0"/>
    <n v="0"/>
    <m/>
    <m/>
    <m/>
    <m/>
    <m/>
    <m/>
    <m/>
    <m/>
    <m/>
    <n v="1236.068940813168"/>
    <m/>
    <m/>
    <m/>
    <m/>
    <m/>
    <m/>
    <m/>
    <m/>
    <m/>
    <m/>
    <m/>
    <m/>
    <n v="6343.0439999999999"/>
    <n v="-8728.8805000000011"/>
    <m/>
    <m/>
    <m/>
    <m/>
    <n v="-8909.8164500000003"/>
    <n v="175.05994999999999"/>
    <n v="30"/>
    <n v="295.33631671137891"/>
    <n v="24.966927545372016"/>
    <n v="94.743851486883841"/>
    <n v="0"/>
    <n v="0"/>
    <n v="0"/>
    <n v="0"/>
    <n v="0"/>
    <n v="2.6525247142695463"/>
    <n v="0"/>
    <n v="0"/>
    <n v="175.08244825295515"/>
    <n v="0"/>
    <n v="0"/>
    <n v="0.37483339489497425"/>
    <n v="13.39023518700202"/>
    <n v="0"/>
    <n v="-13.516316058154473"/>
    <m/>
    <n v="0"/>
    <n v="0"/>
    <n v="0"/>
    <n v="0"/>
    <n v="-2.0377629785226787"/>
    <n v="-0.32042483332214555"/>
    <n v="0"/>
    <n v="0"/>
    <m/>
    <m/>
    <m/>
    <n v="12290.632921180197"/>
    <n v="0"/>
    <n v="0"/>
    <n v="-8909.8164500000003"/>
    <n v="175.05994999999984"/>
    <n v="0"/>
    <n v="0"/>
    <n v="-9030.0486695776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7"/>
    <s v="Regular"/>
    <s v="Verde"/>
    <s v="A4"/>
    <s v="Comercial"/>
    <s v="Não se aplica"/>
    <s v="Não se aplica"/>
    <s v="Não se aplica"/>
    <s v="Fora ponta"/>
    <s v="CATIVO"/>
    <x v="2"/>
    <n v="0"/>
    <n v="0"/>
    <n v="47.017000000000003"/>
    <n v="47.017000000000003"/>
    <n v="47.017000000000003"/>
    <n v="47.017000000000003"/>
    <m/>
    <n v="80.27"/>
    <n v="216.76"/>
    <m/>
    <n v="13965.459510000001"/>
    <n v="13965.459510000001"/>
    <n v="15481.28759"/>
    <n v="0"/>
    <n v="2479.2645619568489"/>
    <n v="0"/>
    <n v="0"/>
    <n v="0"/>
    <n v="0"/>
    <n v="0"/>
    <n v="10042.901764224895"/>
    <n v="148.45169849378061"/>
    <n v="0"/>
    <n v="0"/>
    <n v="0"/>
    <n v="0"/>
    <n v="440.72013372497486"/>
    <m/>
    <n v="64.564788012908679"/>
    <n v="0"/>
    <n v="0"/>
    <n v="0"/>
    <n v="0"/>
    <n v="0"/>
    <n v="0"/>
    <n v="0"/>
    <n v="0"/>
    <n v="0"/>
    <n v="0"/>
    <n v="0"/>
    <n v="0"/>
    <m/>
    <n v="0"/>
    <n v="0"/>
    <n v="21.500812905256669"/>
    <n v="0"/>
    <n v="0"/>
    <n v="768.07708553764496"/>
    <n v="0"/>
    <n v="0"/>
    <n v="0"/>
    <n v="0"/>
    <n v="0"/>
    <m/>
    <m/>
    <m/>
    <m/>
    <m/>
    <m/>
    <m/>
    <m/>
    <m/>
    <n v="10832.479662667796"/>
    <m/>
    <m/>
    <m/>
    <m/>
    <m/>
    <m/>
    <m/>
    <m/>
    <m/>
    <m/>
    <m/>
    <m/>
    <n v="15482.2754"/>
    <n v="1516.7858899999992"/>
    <m/>
    <m/>
    <m/>
    <m/>
    <n v="-18.336630000000028"/>
    <n v="1534.1647099999998"/>
    <n v="30"/>
    <n v="1515.8755173473437"/>
    <n v="0"/>
    <n v="0"/>
    <n v="0"/>
    <n v="0"/>
    <n v="0"/>
    <n v="0"/>
    <n v="0"/>
    <n v="0"/>
    <n v="0"/>
    <n v="0"/>
    <n v="1534.3618768889464"/>
    <n v="0"/>
    <n v="0"/>
    <n v="3.2849099213004642"/>
    <n v="117.34737889790756"/>
    <n v="0"/>
    <n v="-118.45230794151894"/>
    <m/>
    <n v="0"/>
    <n v="0"/>
    <n v="0"/>
    <n v="0"/>
    <n v="-17.85824826863012"/>
    <n v="-2.8080921506630645"/>
    <n v="0"/>
    <n v="0"/>
    <m/>
    <m/>
    <m/>
    <n v="0"/>
    <n v="0"/>
    <n v="0"/>
    <n v="-18.336630000000241"/>
    <n v="1534.16470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18"/>
    <s v="Regular"/>
    <s v="Verde"/>
    <s v="A4"/>
    <s v="Comercial"/>
    <s v="Não se aplica"/>
    <s v="Não se aplica"/>
    <s v="Não se aplica"/>
    <s v="Não se aplica"/>
    <s v="CATIVO"/>
    <x v="2"/>
    <n v="883"/>
    <n v="883"/>
    <n v="0"/>
    <n v="0"/>
    <n v="0"/>
    <n v="0"/>
    <n v="32.17"/>
    <m/>
    <m/>
    <n v="28406.11"/>
    <m/>
    <n v="28406.11"/>
    <n v="11417.19"/>
    <n v="0"/>
    <n v="0"/>
    <n v="0"/>
    <n v="0"/>
    <n v="0"/>
    <n v="88.22602679091618"/>
    <n v="23776.307383359319"/>
    <m/>
    <m/>
    <m/>
    <n v="0"/>
    <n v="0"/>
    <n v="0"/>
    <n v="0"/>
    <m/>
    <n v="0"/>
    <n v="1557.9838369633237"/>
    <n v="2987.0699410885354"/>
    <n v="0"/>
    <n v="0"/>
    <m/>
    <m/>
    <n v="0"/>
    <n v="0"/>
    <n v="0"/>
    <m/>
    <m/>
    <n v="0"/>
    <m/>
    <n v="0"/>
    <n v="0"/>
    <n v="0"/>
    <n v="0"/>
    <m/>
    <n v="0"/>
    <n v="0"/>
    <n v="269.86"/>
    <n v="1239.44"/>
    <n v="14930.77"/>
    <n v="8"/>
    <m/>
    <m/>
    <m/>
    <m/>
    <m/>
    <m/>
    <m/>
    <m/>
    <m/>
    <n v="0"/>
    <m/>
    <m/>
    <m/>
    <m/>
    <m/>
    <m/>
    <m/>
    <m/>
    <m/>
    <m/>
    <m/>
    <m/>
    <n v="11417.19"/>
    <n v="-16988.949999999997"/>
    <m/>
    <m/>
    <m/>
    <m/>
    <n v="-16988.920000000002"/>
    <n v="0"/>
    <n v="30"/>
    <n v="477.45552967819458"/>
    <n v="160.70840742353539"/>
    <n v="308.12081724204472"/>
    <n v="0"/>
    <n v="0"/>
    <m/>
    <m/>
    <m/>
    <n v="8.62630501261499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776.307383359319"/>
    <m/>
    <n v="0"/>
    <n v="0"/>
    <n v="-16988.919999999998"/>
    <m/>
    <n v="0"/>
    <m/>
    <n v="-17468.68645670657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19"/>
    <s v="Regular"/>
    <s v="Convencional"/>
    <s v="B2"/>
    <s v="Rural"/>
    <s v="Não se aplica"/>
    <s v="Não se aplica"/>
    <s v="Não se aplica"/>
    <s v="Não se aplica"/>
    <s v="CATIVO"/>
    <x v="2"/>
    <n v="0"/>
    <n v="0"/>
    <n v="3835.3670000000002"/>
    <n v="3835.3670000000002"/>
    <n v="3835.3670000000002"/>
    <n v="3835.3670000000002"/>
    <m/>
    <n v="571.87"/>
    <n v="216.76"/>
    <m/>
    <n v="3024685.4772100002"/>
    <n v="3024685.4772100002"/>
    <n v="1971416.9916700001"/>
    <n v="0"/>
    <n v="232463.9604603459"/>
    <n v="0"/>
    <n v="0"/>
    <n v="0"/>
    <n v="3152.3406799414056"/>
    <n v="1635337.8526039915"/>
    <n v="819240.14740944642"/>
    <n v="12109.80593183308"/>
    <n v="0"/>
    <n v="0"/>
    <n v="0"/>
    <n v="0"/>
    <n v="35951.325204167762"/>
    <m/>
    <n v="7358.0348261820327"/>
    <n v="34064.570450883308"/>
    <n v="106727.1606634741"/>
    <n v="0"/>
    <n v="0"/>
    <n v="0"/>
    <n v="0"/>
    <n v="0"/>
    <n v="0"/>
    <n v="0"/>
    <n v="0"/>
    <n v="0"/>
    <n v="0"/>
    <m/>
    <n v="0"/>
    <n v="0"/>
    <n v="2282.3103904663612"/>
    <n v="0"/>
    <n v="0"/>
    <n v="135995.35385720187"/>
    <n v="0"/>
    <n v="10953.01"/>
    <n v="50542.78"/>
    <n v="138926.03"/>
    <n v="10549"/>
    <m/>
    <m/>
    <m/>
    <m/>
    <m/>
    <n v="236565.43655999994"/>
    <m/>
    <m/>
    <m/>
    <n v="957517.81165711465"/>
    <m/>
    <m/>
    <m/>
    <m/>
    <m/>
    <m/>
    <m/>
    <m/>
    <m/>
    <m/>
    <m/>
    <m/>
    <n v="1734852.9120999998"/>
    <n v="-926891.81590000028"/>
    <m/>
    <m/>
    <m/>
    <m/>
    <n v="-1178416.5107500001"/>
    <n v="125148.02520999999"/>
    <n v="30"/>
    <n v="148238.10758359171"/>
    <n v="3513.8123623916836"/>
    <n v="11009.069293358698"/>
    <n v="0"/>
    <n v="0"/>
    <n v="0"/>
    <n v="0"/>
    <n v="0"/>
    <n v="308.22029731987732"/>
    <n v="0"/>
    <n v="0"/>
    <n v="125164.10891120066"/>
    <n v="0"/>
    <n v="0"/>
    <n v="348.69305073098349"/>
    <n v="20777.469628930732"/>
    <n v="0"/>
    <n v="-11106.476110811229"/>
    <m/>
    <n v="0"/>
    <n v="0"/>
    <n v="0"/>
    <n v="0"/>
    <n v="-1456.7695958336553"/>
    <n v="-320.02025369580861"/>
    <n v="0"/>
    <n v="0"/>
    <m/>
    <m/>
    <m/>
    <n v="1635337.8526039915"/>
    <n v="0"/>
    <n v="0"/>
    <n v="-1178416.5107500001"/>
    <n v="125148.02520999999"/>
    <n v="0"/>
    <n v="0"/>
    <n v="-1201498.7751174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0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96499999999999997"/>
    <n v="-0.96499999999999997"/>
    <n v="-0.96499999999999997"/>
    <n v="-0.96499999999999997"/>
    <m/>
    <n v="571.87"/>
    <n v="216.76"/>
    <m/>
    <n v="-761.02795000000003"/>
    <n v="-761.02795000000003"/>
    <n v="-496.01964999999996"/>
    <n v="0"/>
    <n v="-58.489245447497922"/>
    <n v="0"/>
    <n v="0"/>
    <n v="0"/>
    <n v="-0.79314672002534736"/>
    <n v="-411.46024037930442"/>
    <n v="-206.12544829480873"/>
    <n v="-3.0468955706765275"/>
    <n v="0"/>
    <n v="0"/>
    <n v="0"/>
    <n v="0"/>
    <n v="-9.0455564805198279"/>
    <m/>
    <n v="-1.8513231216897004"/>
    <n v="-8.570838327884239"/>
    <n v="-26.853156435942768"/>
    <n v="0"/>
    <n v="0"/>
    <n v="0"/>
    <n v="0"/>
    <n v="0"/>
    <n v="0"/>
    <n v="0"/>
    <n v="0"/>
    <n v="0"/>
    <n v="0"/>
    <m/>
    <n v="0"/>
    <n v="0"/>
    <n v="-0.57424218511554137"/>
    <n v="0"/>
    <n v="0"/>
    <n v="-34.217199155178577"/>
    <n v="0"/>
    <n v="-1.52"/>
    <n v="-6.94"/>
    <n v="0.01"/>
    <n v="0"/>
    <m/>
    <m/>
    <m/>
    <m/>
    <m/>
    <n v="-59.521199999999979"/>
    <m/>
    <m/>
    <m/>
    <n v="-240.91688963510285"/>
    <m/>
    <m/>
    <m/>
    <m/>
    <m/>
    <m/>
    <m/>
    <m/>
    <m/>
    <m/>
    <m/>
    <m/>
    <n v="-438.76009999999997"/>
    <n v="230.91989999999998"/>
    <m/>
    <m/>
    <m/>
    <m/>
    <n v="296.49624999999997"/>
    <n v="-31.487949999999994"/>
    <n v="30"/>
    <n v="-37.297545141877208"/>
    <n v="-0.88409503698289349"/>
    <n v="-2.7699440152900969"/>
    <n v="0"/>
    <n v="0"/>
    <n v="0"/>
    <n v="0"/>
    <n v="0"/>
    <n v="-7.7549967685929699E-2"/>
    <n v="0"/>
    <n v="0"/>
    <n v="-31.491996750065567"/>
    <n v="0"/>
    <n v="0"/>
    <n v="-8.7733141041104745E-2"/>
    <n v="-5.2277287132934447"/>
    <n v="0"/>
    <n v="2.7944521207313002"/>
    <m/>
    <n v="0"/>
    <n v="0"/>
    <n v="0"/>
    <n v="0"/>
    <n v="0.36653145839224344"/>
    <n v="8.0518903358258953E-2"/>
    <n v="0"/>
    <n v="0"/>
    <m/>
    <m/>
    <m/>
    <n v="-411.46024037930442"/>
    <n v="0"/>
    <n v="0"/>
    <n v="296.49625000000003"/>
    <n v="-31.487949999999984"/>
    <n v="0"/>
    <n v="0"/>
    <n v="302.30387808738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1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42.877000000000002"/>
    <n v="42.877000000000002"/>
    <n v="42.877000000000002"/>
    <n v="42.877000000000002"/>
    <m/>
    <n v="571.87"/>
    <n v="216.76"/>
    <m/>
    <n v="33814.088510000001"/>
    <n v="33814.088510000001"/>
    <n v="22039.206770000001"/>
    <n v="0"/>
    <n v="2598.8014269972732"/>
    <n v="0"/>
    <n v="0"/>
    <n v="0"/>
    <n v="35.241193693810175"/>
    <n v="18282.052566573511"/>
    <n v="9158.591550815041"/>
    <n v="135.38004288486786"/>
    <n v="0"/>
    <n v="0"/>
    <n v="0"/>
    <n v="0"/>
    <n v="401.91329037849601"/>
    <m/>
    <n v="82.258219159263504"/>
    <n v="380.82055438828246"/>
    <n v="1193.1427860144229"/>
    <n v="0"/>
    <n v="0"/>
    <n v="0"/>
    <n v="0"/>
    <n v="0"/>
    <n v="0"/>
    <n v="0"/>
    <n v="0"/>
    <n v="0"/>
    <n v="0"/>
    <m/>
    <n v="0"/>
    <n v="0"/>
    <n v="25.514800177408361"/>
    <n v="0"/>
    <n v="0"/>
    <n v="1520.3428478513906"/>
    <n v="0"/>
    <n v="111.38"/>
    <n v="514.77"/>
    <n v="1184.32"/>
    <n v="134"/>
    <m/>
    <m/>
    <m/>
    <m/>
    <m/>
    <n v="2644.6533599999993"/>
    <m/>
    <m/>
    <m/>
    <n v="10704.44919884384"/>
    <m/>
    <m/>
    <m/>
    <m/>
    <m/>
    <m/>
    <m/>
    <m/>
    <m/>
    <m/>
    <m/>
    <m/>
    <n v="19395.910400000001"/>
    <n v="-10360.757599999994"/>
    <m/>
    <m/>
    <m/>
    <m/>
    <n v="-13173.958250000001"/>
    <n v="1399.0765099999999"/>
    <n v="30"/>
    <n v="1657.2091637805934"/>
    <n v="39.282220622503132"/>
    <n v="123.07449693636636"/>
    <n v="0"/>
    <n v="0"/>
    <n v="0"/>
    <n v="0"/>
    <n v="0"/>
    <n v="3.4457098077405348"/>
    <n v="0"/>
    <n v="0"/>
    <n v="1399.2563157021359"/>
    <n v="0"/>
    <n v="0"/>
    <n v="3.8981698325590131"/>
    <n v="232.2790922693091"/>
    <n v="0"/>
    <n v="-124.16344412496983"/>
    <m/>
    <n v="0"/>
    <n v="0"/>
    <n v="0"/>
    <n v="0"/>
    <n v="-16.28577133832556"/>
    <n v="-3.5776259267275208"/>
    <n v="0"/>
    <n v="0"/>
    <m/>
    <m/>
    <m/>
    <n v="18282.052566573511"/>
    <n v="0"/>
    <n v="0"/>
    <n v="-13173.95825"/>
    <n v="1399.0765100000008"/>
    <n v="0"/>
    <n v="0"/>
    <n v="-13432.00350337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2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30.105"/>
    <n v="30.105"/>
    <n v="30.105"/>
    <n v="30.105"/>
    <m/>
    <n v="571.87"/>
    <n v="216.76"/>
    <m/>
    <n v="23741.706149999998"/>
    <n v="23741.706149999998"/>
    <n v="15474.271049999999"/>
    <n v="0"/>
    <n v="1824.6826261108031"/>
    <n v="0"/>
    <n v="0"/>
    <n v="0"/>
    <n v="24.743711923692313"/>
    <n v="12836.280348827939"/>
    <n v="6430.4731822955619"/>
    <n v="95.053669590898295"/>
    <n v="0"/>
    <n v="0"/>
    <n v="0"/>
    <n v="0"/>
    <n v="282.19324129124288"/>
    <m/>
    <n v="57.755525988050188"/>
    <n v="267.38351073674096"/>
    <n v="837.73499948606946"/>
    <n v="0"/>
    <n v="0"/>
    <n v="0"/>
    <n v="0"/>
    <n v="0"/>
    <n v="0"/>
    <n v="0"/>
    <n v="0"/>
    <n v="0"/>
    <n v="0"/>
    <m/>
    <n v="0"/>
    <n v="0"/>
    <n v="17.914570966739248"/>
    <n v="0"/>
    <n v="0"/>
    <n v="1067.4702389291722"/>
    <n v="0"/>
    <n v="128.80000000000001"/>
    <n v="593.76"/>
    <n v="7687.4"/>
    <n v="102"/>
    <m/>
    <m/>
    <m/>
    <m/>
    <m/>
    <m/>
    <m/>
    <m/>
    <m/>
    <n v="7515.8579921914734"/>
    <m/>
    <m/>
    <m/>
    <m/>
    <m/>
    <m/>
    <m/>
    <m/>
    <m/>
    <m/>
    <m/>
    <m/>
    <n v="15476.8411"/>
    <n v="-8264.8950499999937"/>
    <m/>
    <m/>
    <m/>
    <m/>
    <n v="-9249.7612499999996"/>
    <n v="982.32614999999987"/>
    <n v="30"/>
    <n v="1163.5674575090306"/>
    <n v="27.581016671886061"/>
    <n v="86.413642052133127"/>
    <n v="0"/>
    <n v="0"/>
    <n v="0"/>
    <n v="0"/>
    <n v="0"/>
    <n v="2.4193179038185662"/>
    <n v="0"/>
    <n v="0"/>
    <n v="982.45239602147558"/>
    <n v="0"/>
    <n v="0"/>
    <n v="2.7370012549662768"/>
    <n v="163.08888384839292"/>
    <n v="0"/>
    <n v="-87.178218750897031"/>
    <m/>
    <n v="0"/>
    <n v="0"/>
    <n v="0"/>
    <n v="0"/>
    <n v="-11.434642025801509"/>
    <n v="-2.511939466943403"/>
    <n v="0"/>
    <n v="0"/>
    <m/>
    <m/>
    <m/>
    <n v="12836.280348827939"/>
    <n v="0"/>
    <n v="0"/>
    <n v="-9249.7612499999996"/>
    <n v="982.32614999999987"/>
    <n v="0"/>
    <n v="0"/>
    <n v="-9430.941191523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3"/>
    <s v="Sistema de Compensação"/>
    <s v="Convencional"/>
    <s v="B3"/>
    <s v="Poder público"/>
    <s v="Não se aplica"/>
    <s v="Não se aplica"/>
    <s v="Não se aplica"/>
    <s v="Não se aplica"/>
    <s v="CATIVO"/>
    <x v="2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44"/>
    <n v="2.0499999999999998"/>
    <n v="92.68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0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4"/>
    <s v="Regular"/>
    <s v="Verde"/>
    <s v="A4"/>
    <s v="Poder público"/>
    <s v="Não se aplica"/>
    <s v="Não se aplica"/>
    <s v="Não se aplica"/>
    <s v="Ponta"/>
    <s v="CATIVO"/>
    <x v="2"/>
    <n v="0"/>
    <n v="0"/>
    <n v="1.141"/>
    <n v="1.141"/>
    <n v="1.141"/>
    <n v="1.141"/>
    <m/>
    <n v="2592.54"/>
    <n v="216.76"/>
    <m/>
    <n v="3205.4112999999998"/>
    <n v="3205.4112999999998"/>
    <n v="1347.7491999999997"/>
    <n v="0"/>
    <n v="60.166341221106507"/>
    <n v="0"/>
    <n v="0"/>
    <n v="0"/>
    <n v="5.7696207712631171"/>
    <n v="2613.9072065361797"/>
    <n v="243.71931243976869"/>
    <n v="3.6025988042921431"/>
    <n v="0"/>
    <n v="0"/>
    <n v="0"/>
    <n v="0"/>
    <n v="10.695316004428108"/>
    <m/>
    <n v="1.5668465262081543"/>
    <n v="51.476068428090002"/>
    <n v="195.34005429450161"/>
    <n v="0"/>
    <n v="0"/>
    <n v="0"/>
    <n v="0"/>
    <n v="0"/>
    <n v="0"/>
    <n v="0"/>
    <n v="0"/>
    <n v="0"/>
    <n v="0"/>
    <m/>
    <n v="0"/>
    <n v="0"/>
    <n v="0.52177781493710484"/>
    <n v="0"/>
    <n v="0"/>
    <n v="18.639554939669754"/>
    <n v="0"/>
    <n v="0"/>
    <n v="0"/>
    <n v="0"/>
    <n v="0"/>
    <m/>
    <m/>
    <m/>
    <m/>
    <m/>
    <m/>
    <m/>
    <m/>
    <m/>
    <n v="262.88064519437557"/>
    <m/>
    <m/>
    <m/>
    <m/>
    <m/>
    <m/>
    <m/>
    <m/>
    <m/>
    <m/>
    <m/>
    <m/>
    <n v="1346.5679999999998"/>
    <n v="-1858.8733000000007"/>
    <m/>
    <m/>
    <m/>
    <m/>
    <n v="-1894.89293"/>
    <n v="37.230829999999997"/>
    <n v="30"/>
    <n v="62.810575464619319"/>
    <n v="5.3098349169188168"/>
    <n v="20.14962433299803"/>
    <n v="0"/>
    <n v="0"/>
    <n v="0"/>
    <n v="0"/>
    <n v="0"/>
    <n v="0.56412501378966429"/>
    <n v="0"/>
    <n v="0"/>
    <n v="37.235614810181147"/>
    <n v="0"/>
    <n v="0"/>
    <n v="7.9717596192947826E-2"/>
    <n v="2.8477648366019217"/>
    <n v="0"/>
    <n v="-2.8745790535609075"/>
    <m/>
    <n v="0"/>
    <n v="0"/>
    <n v="0"/>
    <n v="0"/>
    <n v="-0.43338071919746035"/>
    <n v="-6.8146269304858897E-2"/>
    <n v="0"/>
    <n v="0"/>
    <m/>
    <m/>
    <m/>
    <n v="2613.9072065361797"/>
    <n v="0"/>
    <n v="0"/>
    <n v="-1894.89293"/>
    <n v="37.230829999999997"/>
    <n v="0"/>
    <n v="0"/>
    <n v="-1920.4632864842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5"/>
    <s v="Regular"/>
    <s v="Verde"/>
    <s v="A4"/>
    <s v="Poder público"/>
    <s v="Não se aplica"/>
    <s v="Não se aplica"/>
    <s v="Não se aplica"/>
    <s v="Fora ponta"/>
    <s v="CATIVO"/>
    <x v="2"/>
    <n v="0"/>
    <n v="0"/>
    <n v="9.7579999999999991"/>
    <n v="9.7579999999999991"/>
    <n v="9.7579999999999991"/>
    <n v="9.7579999999999991"/>
    <m/>
    <n v="80.27"/>
    <n v="216.76"/>
    <m/>
    <n v="2898.4187399999996"/>
    <n v="2898.4187399999996"/>
    <n v="3213.0166599999998"/>
    <n v="0"/>
    <n v="514.55140897068998"/>
    <n v="0"/>
    <n v="0"/>
    <n v="0"/>
    <n v="0"/>
    <n v="0"/>
    <n v="2084.3234450370401"/>
    <n v="30.809955418302128"/>
    <n v="0"/>
    <n v="0"/>
    <n v="0"/>
    <n v="0"/>
    <n v="91.4679172403238"/>
    <m/>
    <n v="13.399902193461147"/>
    <n v="0"/>
    <n v="0"/>
    <n v="0"/>
    <n v="0"/>
    <n v="0"/>
    <n v="0"/>
    <n v="0"/>
    <n v="0"/>
    <n v="0"/>
    <n v="0"/>
    <n v="0"/>
    <n v="0"/>
    <m/>
    <n v="0"/>
    <n v="0"/>
    <n v="4.4623206995234606"/>
    <n v="0"/>
    <n v="0"/>
    <n v="159.40821831840267"/>
    <n v="0"/>
    <n v="0"/>
    <n v="0"/>
    <n v="0"/>
    <n v="0"/>
    <m/>
    <m/>
    <m/>
    <m/>
    <m/>
    <m/>
    <m/>
    <m/>
    <m/>
    <n v="2248.1939840549662"/>
    <m/>
    <m/>
    <m/>
    <m/>
    <m/>
    <m/>
    <m/>
    <m/>
    <m/>
    <m/>
    <m/>
    <m/>
    <n v="3213.6751999999997"/>
    <n v="315.22645999999986"/>
    <m/>
    <m/>
    <m/>
    <m/>
    <n v="-3.8056200000000051"/>
    <n v="318.40353999999991"/>
    <n v="30"/>
    <n v="314.60776523970799"/>
    <n v="0"/>
    <n v="0"/>
    <n v="0"/>
    <n v="0"/>
    <n v="0"/>
    <n v="0"/>
    <n v="0"/>
    <n v="0"/>
    <n v="0"/>
    <n v="0"/>
    <n v="318.444460401181"/>
    <n v="0"/>
    <n v="0"/>
    <n v="0.68175662020226557"/>
    <n v="24.354504185417653"/>
    <n v="0"/>
    <n v="-24.583823316956511"/>
    <m/>
    <n v="0"/>
    <n v="0"/>
    <n v="0"/>
    <n v="0"/>
    <n v="-3.7063357212347228"/>
    <n v="-0.58279692890167567"/>
    <n v="0"/>
    <n v="0"/>
    <m/>
    <m/>
    <m/>
    <n v="0"/>
    <n v="0"/>
    <n v="0"/>
    <n v="-3.8056200000000899"/>
    <n v="318.403540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6"/>
    <s v="Regular"/>
    <s v="Verde"/>
    <s v="A4"/>
    <s v="Poder público"/>
    <s v="Não se aplica"/>
    <s v="Não se aplica"/>
    <s v="Não se aplica"/>
    <s v="Não se aplica"/>
    <s v="CATIVO"/>
    <x v="2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48"/>
    <n v="220.44"/>
    <n v="2876.08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n v="30"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27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72.188000000000002"/>
    <n v="72.188000000000002"/>
    <n v="72.188000000000002"/>
    <n v="72.188000000000002"/>
    <m/>
    <n v="314.52999999999997"/>
    <n v="119.22"/>
    <m/>
    <n v="31311.544999999998"/>
    <n v="31311.544999999998"/>
    <n v="20408.269479999999"/>
    <n v="0"/>
    <n v="2406.4475727463091"/>
    <n v="0"/>
    <n v="0"/>
    <n v="0"/>
    <n v="32.6327683770512"/>
    <n v="16928.881355311569"/>
    <n v="8480.7058278011646"/>
    <n v="125.35970321326278"/>
    <n v="0"/>
    <n v="0"/>
    <n v="0"/>
    <n v="0"/>
    <n v="372.16512659965878"/>
    <m/>
    <n v="76.169764175849494"/>
    <n v="352.63359841172957"/>
    <n v="1104.8306852215628"/>
    <n v="0"/>
    <n v="0"/>
    <n v="0"/>
    <n v="0"/>
    <n v="0"/>
    <n v="0"/>
    <n v="0"/>
    <n v="0"/>
    <n v="0"/>
    <n v="0"/>
    <m/>
    <n v="0"/>
    <n v="0"/>
    <n v="23.626287225405616"/>
    <n v="0"/>
    <n v="0"/>
    <n v="1407.8125854276889"/>
    <n v="0"/>
    <n v="187.23"/>
    <n v="860.11"/>
    <n v="7926.52"/>
    <n v="10"/>
    <m/>
    <m/>
    <m/>
    <m/>
    <m/>
    <m/>
    <m/>
    <m/>
    <m/>
    <n v="9912.1447004542606"/>
    <m/>
    <m/>
    <m/>
    <m/>
    <m/>
    <m/>
    <m/>
    <m/>
    <m/>
    <m/>
    <m/>
    <m/>
    <n v="20408.834899999998"/>
    <n v="-10902.740099999995"/>
    <m/>
    <m/>
    <m/>
    <m/>
    <n v="-12199.05012"/>
    <n v="1295.7745999999993"/>
    <n v="30"/>
    <n v="1534.5485531461072"/>
    <n v="36.374693151654924"/>
    <n v="113.96496913644773"/>
    <n v="0"/>
    <n v="0"/>
    <n v="0"/>
    <n v="0"/>
    <n v="0"/>
    <n v="3.1906708673798221"/>
    <n v="0"/>
    <n v="0"/>
    <n v="1295.6884391363092"/>
    <n v="0"/>
    <n v="0"/>
    <n v="3.6096414424988197"/>
    <n v="215.08663647188723"/>
    <n v="0"/>
    <n v="-114.97331640439597"/>
    <m/>
    <n v="0"/>
    <n v="0"/>
    <n v="0"/>
    <n v="0"/>
    <n v="-15.080357621896667"/>
    <n v="-3.3128230337762687"/>
    <n v="0"/>
    <n v="0"/>
    <m/>
    <m/>
    <m/>
    <n v="16928.881355311569"/>
    <n v="0"/>
    <n v="0"/>
    <n v="-12199.05012"/>
    <n v="1295.7745999999988"/>
    <n v="0"/>
    <n v="0"/>
    <n v="-12437.815329797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8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34.392"/>
    <n v="126.32848"/>
    <n v="134.392"/>
    <n v="126.32848"/>
    <m/>
    <n v="571.87"/>
    <n v="216.76"/>
    <m/>
    <n v="105985.56296"/>
    <n v="105985.56296"/>
    <n v="69078.831919999997"/>
    <n v="0"/>
    <n v="8145.5820457825293"/>
    <n v="0"/>
    <n v="0"/>
    <n v="0"/>
    <n v="110.45862590429687"/>
    <n v="57302.554015601534"/>
    <n v="28706.332898690089"/>
    <n v="424.32993734130554"/>
    <n v="0"/>
    <n v="0"/>
    <n v="0"/>
    <n v="0"/>
    <n v="1259.7413746425084"/>
    <m/>
    <n v="257.82696059080024"/>
    <n v="1193.6291238974288"/>
    <n v="3739.7403106105912"/>
    <n v="0"/>
    <n v="0"/>
    <n v="0"/>
    <n v="0"/>
    <n v="0"/>
    <n v="0"/>
    <n v="0"/>
    <n v="0"/>
    <n v="0"/>
    <n v="0"/>
    <m/>
    <n v="0"/>
    <n v="0"/>
    <n v="79.97259662388376"/>
    <n v="0"/>
    <n v="0"/>
    <n v="4765.303449598714"/>
    <n v="0"/>
    <n v="556.49"/>
    <n v="2557.42"/>
    <n v="37064.120000000003"/>
    <n v="92"/>
    <m/>
    <m/>
    <m/>
    <m/>
    <n v="4144.7299151999987"/>
    <m/>
    <m/>
    <m/>
    <m/>
    <n v="33551.608944912688"/>
    <m/>
    <m/>
    <m/>
    <m/>
    <m/>
    <m/>
    <m/>
    <m/>
    <m/>
    <m/>
    <m/>
    <m/>
    <n v="64934.883300000001"/>
    <n v="-34691.575882399979"/>
    <m/>
    <m/>
    <m/>
    <m/>
    <n v="-41291.941999999995"/>
    <n v="4385.2109599999994"/>
    <n v="30"/>
    <n v="5194.2919033234793"/>
    <n v="123.12466343026426"/>
    <n v="385.75991305996558"/>
    <n v="0"/>
    <n v="0"/>
    <n v="0"/>
    <n v="0"/>
    <n v="0"/>
    <n v="10.800098712173551"/>
    <n v="0"/>
    <n v="0"/>
    <n v="4385.7745359946202"/>
    <n v="0"/>
    <n v="0"/>
    <n v="12.218271803933845"/>
    <n v="728.04654635951647"/>
    <n v="0"/>
    <n v="-389.17306674541032"/>
    <m/>
    <n v="0"/>
    <n v="0"/>
    <n v="0"/>
    <n v="0"/>
    <n v="-51.045487830311231"/>
    <n v="-11.213571461267492"/>
    <n v="0"/>
    <n v="0"/>
    <m/>
    <m/>
    <m/>
    <n v="57302.554015601534"/>
    <n v="0"/>
    <n v="0"/>
    <n v="-41291.941999999995"/>
    <n v="4385.2109599999967"/>
    <n v="0"/>
    <n v="0"/>
    <n v="-42100.74899888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29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5.6280000000000001"/>
    <n v="5.2903200000000004"/>
    <n v="5.6280000000000001"/>
    <n v="5.2903200000000004"/>
    <m/>
    <n v="2592.54"/>
    <n v="216.76"/>
    <m/>
    <n v="15810.740399999999"/>
    <n v="15810.740399999999"/>
    <n v="6647.7936"/>
    <n v="0"/>
    <n v="296.77140086975231"/>
    <n v="0"/>
    <n v="0"/>
    <n v="0"/>
    <n v="28.458742945371448"/>
    <n v="12893.137386841034"/>
    <n v="1202.1492466354234"/>
    <n v="17.769873856753883"/>
    <n v="0"/>
    <n v="0"/>
    <n v="0"/>
    <n v="0"/>
    <n v="52.754810230430664"/>
    <m/>
    <n v="7.7284945219101608"/>
    <n v="253.90649703180588"/>
    <n v="963.51781382073193"/>
    <n v="0"/>
    <n v="0"/>
    <n v="0"/>
    <n v="0"/>
    <n v="0"/>
    <n v="0"/>
    <n v="0"/>
    <n v="0"/>
    <n v="0"/>
    <n v="0"/>
    <m/>
    <n v="0"/>
    <n v="0"/>
    <n v="2.5736770749044924"/>
    <n v="0"/>
    <n v="0"/>
    <n v="91.939890622665544"/>
    <n v="0"/>
    <n v="0"/>
    <n v="0"/>
    <n v="0"/>
    <n v="0"/>
    <m/>
    <m/>
    <m/>
    <m/>
    <n v="398.86761599999971"/>
    <m/>
    <m/>
    <m/>
    <m/>
    <n v="1296.6628143329935"/>
    <m/>
    <m/>
    <m/>
    <m/>
    <m/>
    <m/>
    <m/>
    <m/>
    <m/>
    <m/>
    <m/>
    <m/>
    <n v="6248.5479999999989"/>
    <n v="-8613.5779760000023"/>
    <m/>
    <m/>
    <m/>
    <m/>
    <n v="-9346.5884399999995"/>
    <n v="183.64163999999997"/>
    <n v="30"/>
    <n v="309.81412683161898"/>
    <n v="26.190842166887933"/>
    <n v="99.388331065830812"/>
    <n v="0"/>
    <n v="0"/>
    <n v="0"/>
    <n v="0"/>
    <n v="0"/>
    <n v="2.7825552827416615"/>
    <n v="0"/>
    <n v="0"/>
    <n v="183.66524114960521"/>
    <n v="0"/>
    <n v="0"/>
    <n v="0.39320826588423374"/>
    <n v="14.046643733913768"/>
    <n v="0"/>
    <n v="-14.178905270324947"/>
    <m/>
    <n v="0"/>
    <n v="0"/>
    <n v="0"/>
    <n v="0"/>
    <n v="-2.1376570443850156"/>
    <n v="-0.33613251853439596"/>
    <n v="0"/>
    <n v="0"/>
    <m/>
    <m/>
    <m/>
    <n v="12893.137386841034"/>
    <n v="0"/>
    <n v="0"/>
    <n v="-9346.5884399999995"/>
    <n v="183.64164000000005"/>
    <n v="0"/>
    <n v="0"/>
    <n v="-9472.7146155420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30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91.213999999999999"/>
    <n v="85.741159999999994"/>
    <n v="91.213999999999999"/>
    <n v="85.741159999999994"/>
    <m/>
    <n v="80.27"/>
    <n v="216.76"/>
    <m/>
    <n v="27093.294419999998"/>
    <n v="27093.294419999998"/>
    <n v="30034.033779999998"/>
    <n v="0"/>
    <n v="4809.8270360578517"/>
    <n v="0"/>
    <n v="0"/>
    <n v="0"/>
    <n v="0"/>
    <n v="0"/>
    <n v="19483.447296127135"/>
    <n v="287.99951563076559"/>
    <n v="0"/>
    <n v="0"/>
    <n v="0"/>
    <n v="0"/>
    <n v="855.0066205327829"/>
    <m/>
    <n v="125.25708943168326"/>
    <n v="0"/>
    <n v="0"/>
    <n v="0"/>
    <n v="0"/>
    <n v="0"/>
    <n v="0"/>
    <n v="0"/>
    <n v="0"/>
    <n v="0"/>
    <n v="0"/>
    <n v="0"/>
    <n v="0"/>
    <m/>
    <n v="0"/>
    <n v="0"/>
    <n v="41.712043480870356"/>
    <n v="0"/>
    <n v="0"/>
    <n v="1490.0862088229946"/>
    <n v="0"/>
    <n v="0"/>
    <n v="0"/>
    <n v="0"/>
    <n v="0"/>
    <m/>
    <m/>
    <m/>
    <m/>
    <n v="1802.0420268000014"/>
    <m/>
    <m/>
    <m/>
    <m/>
    <n v="21015.245548431001"/>
    <m/>
    <m/>
    <m/>
    <m/>
    <m/>
    <m/>
    <m/>
    <m/>
    <m/>
    <m/>
    <m/>
    <m/>
    <n v="28231.609799999995"/>
    <n v="2763.8830451999966"/>
    <m/>
    <m/>
    <m/>
    <m/>
    <n v="-35.573460000000054"/>
    <n v="2976.3128199999996"/>
    <n v="30"/>
    <n v="2940.8313894829662"/>
    <n v="0"/>
    <n v="0"/>
    <n v="0"/>
    <n v="0"/>
    <n v="0"/>
    <n v="0"/>
    <n v="0"/>
    <n v="0"/>
    <n v="0"/>
    <n v="0"/>
    <n v="2976.6953280419475"/>
    <n v="0"/>
    <n v="0"/>
    <n v="6.3727965110811127"/>
    <n v="227.65646082892886"/>
    <n v="0"/>
    <n v="-229.80004714417646"/>
    <m/>
    <n v="0"/>
    <n v="0"/>
    <n v="0"/>
    <n v="0"/>
    <n v="-34.645389062994809"/>
    <n v="-5.4477596918259366"/>
    <n v="0"/>
    <n v="0"/>
    <m/>
    <m/>
    <m/>
    <n v="0"/>
    <n v="0"/>
    <n v="0"/>
    <n v="-35.573460000000523"/>
    <n v="2976.31281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31"/>
    <s v="Regular"/>
    <s v="Verde"/>
    <s v="A4"/>
    <s v="Serviço público"/>
    <s v="Água, esgoto e saneamento"/>
    <s v="Não se aplica"/>
    <s v="Não se aplica"/>
    <s v="Não se aplica"/>
    <s v="CATIVO"/>
    <x v="2"/>
    <n v="535"/>
    <n v="502.9"/>
    <n v="0"/>
    <n v="0"/>
    <n v="0"/>
    <n v="0"/>
    <n v="32.17"/>
    <m/>
    <m/>
    <n v="17210.95"/>
    <m/>
    <n v="17210.95"/>
    <n v="6917.55"/>
    <n v="0"/>
    <n v="0"/>
    <n v="0"/>
    <n v="0"/>
    <n v="0"/>
    <n v="53.455180445232344"/>
    <n v="14405.803454243754"/>
    <m/>
    <m/>
    <m/>
    <n v="0"/>
    <n v="0"/>
    <n v="0"/>
    <n v="0"/>
    <m/>
    <n v="0"/>
    <n v="943.96529193134563"/>
    <n v="1809.8328635134387"/>
    <n v="0"/>
    <n v="0"/>
    <m/>
    <m/>
    <n v="0"/>
    <n v="0"/>
    <n v="0"/>
    <m/>
    <m/>
    <n v="0"/>
    <m/>
    <n v="0"/>
    <n v="0"/>
    <n v="0"/>
    <n v="0"/>
    <m/>
    <n v="0"/>
    <n v="0"/>
    <n v="385.29"/>
    <n v="1769.42"/>
    <n v="24644.89"/>
    <n v="2"/>
    <m/>
    <m/>
    <m/>
    <m/>
    <n v="415.05300000000028"/>
    <m/>
    <m/>
    <m/>
    <m/>
    <n v="0"/>
    <m/>
    <m/>
    <m/>
    <m/>
    <m/>
    <m/>
    <m/>
    <m/>
    <m/>
    <m/>
    <m/>
    <m/>
    <n v="6502.4969999999994"/>
    <n v="-9675.8260000000009"/>
    <m/>
    <m/>
    <m/>
    <m/>
    <n v="-10293.400000000001"/>
    <n v="0"/>
    <n v="30"/>
    <n v="289.28506045054837"/>
    <n v="97.371458631473729"/>
    <n v="186.68701837428534"/>
    <n v="0"/>
    <n v="0"/>
    <m/>
    <m/>
    <m/>
    <n v="5.226583444789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05.803454243754"/>
    <m/>
    <n v="0"/>
    <n v="0"/>
    <n v="-10293.400000000001"/>
    <m/>
    <n v="0"/>
    <m/>
    <n v="-10584.08522575086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32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0.28499999999999998"/>
    <n v="0.28499999999999998"/>
    <n v="0.28499999999999998"/>
    <n v="0.28499999999999998"/>
    <m/>
    <n v="571.87"/>
    <n v="216.76"/>
    <m/>
    <n v="224.75954999999999"/>
    <n v="224.75954999999999"/>
    <n v="146.49284999999998"/>
    <n v="0"/>
    <n v="17.274025857551198"/>
    <n v="0"/>
    <n v="0"/>
    <n v="0"/>
    <n v="0.23424540435981758"/>
    <n v="121.51934560425053"/>
    <n v="60.876427734736254"/>
    <n v="0.89986034988892249"/>
    <n v="0"/>
    <n v="0"/>
    <n v="0"/>
    <n v="0"/>
    <n v="2.6714855926923842"/>
    <m/>
    <n v="0.54676382350421193"/>
    <n v="2.5312838584943091"/>
    <n v="7.9307249577654799"/>
    <n v="0"/>
    <n v="0"/>
    <n v="0"/>
    <n v="0"/>
    <n v="0"/>
    <n v="0"/>
    <n v="0"/>
    <n v="0"/>
    <n v="0"/>
    <n v="0"/>
    <m/>
    <n v="0"/>
    <n v="0"/>
    <n v="0.16959484223619614"/>
    <n v="0"/>
    <n v="0"/>
    <n v="10.105597677954293"/>
    <n v="0"/>
    <n v="1.25"/>
    <n v="5.78"/>
    <n v="79.900000000000006"/>
    <n v="2"/>
    <m/>
    <m/>
    <m/>
    <m/>
    <m/>
    <m/>
    <m/>
    <m/>
    <m/>
    <n v="71.15162025492674"/>
    <m/>
    <m/>
    <m/>
    <m/>
    <m/>
    <m/>
    <m/>
    <m/>
    <m/>
    <m/>
    <m/>
    <m/>
    <n v="149.06290000000001"/>
    <n v="-75.72664999999995"/>
    <m/>
    <m/>
    <m/>
    <m/>
    <n v="-87.566249999999997"/>
    <n v="9.2995499999999982"/>
    <n v="30"/>
    <n v="11.015337166253929"/>
    <n v="0.26110578812448137"/>
    <n v="0.81806636721002857"/>
    <n v="0"/>
    <n v="0"/>
    <n v="0"/>
    <n v="0"/>
    <n v="0"/>
    <n v="2.290335833211396E-2"/>
    <n v="0"/>
    <n v="0"/>
    <n v="9.3007451541644457"/>
    <n v="0"/>
    <n v="0"/>
    <n v="2.5910824038046482E-2"/>
    <n v="1.5439406044441792"/>
    <n v="0"/>
    <n v="-0.82530451234033109"/>
    <m/>
    <n v="0"/>
    <n v="0"/>
    <n v="0"/>
    <n v="0"/>
    <n v="-0.10825022346299384"/>
    <n v="-2.3780194256066034E-2"/>
    <n v="0"/>
    <n v="0"/>
    <m/>
    <m/>
    <m/>
    <n v="121.51934560425053"/>
    <n v="0"/>
    <n v="0"/>
    <n v="-87.566249999999997"/>
    <n v="9.2995499999999893"/>
    <n v="0"/>
    <n v="0"/>
    <n v="-89.281456222698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33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3.05"/>
    <n v="429.92"/>
    <n v="951.24"/>
    <n v="12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34"/>
    <s v="Refaturamento - 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7.37"/>
    <n v="-33.840000000000003"/>
    <n v="-12.6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35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1"/>
    <n v="10.62"/>
    <n v="9.470000000000000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36"/>
    <s v="Regular"/>
    <s v="Convencional"/>
    <s v="B2"/>
    <s v="Rural"/>
    <s v="Agropecuária rural"/>
    <s v="IRRIG./AQUIC."/>
    <s v="Não se aplica"/>
    <s v="Não se aplica"/>
    <s v="CATIVO"/>
    <x v="2"/>
    <n v="0"/>
    <n v="0"/>
    <n v="31.35"/>
    <n v="31.35"/>
    <n v="31.35"/>
    <n v="31.35"/>
    <m/>
    <n v="571.87"/>
    <n v="216.76"/>
    <m/>
    <n v="24723.550500000001"/>
    <n v="24723.550500000001"/>
    <n v="16114.213500000002"/>
    <n v="0"/>
    <n v="1900.1428443306322"/>
    <n v="0"/>
    <n v="0"/>
    <n v="0"/>
    <n v="25.766994479579939"/>
    <n v="13367.128016467559"/>
    <n v="6696.4070508209888"/>
    <n v="98.984638487781496"/>
    <n v="0"/>
    <n v="0"/>
    <n v="0"/>
    <n v="0"/>
    <n v="293.86341519616229"/>
    <m/>
    <n v="60.144020585463323"/>
    <n v="278.44122443437402"/>
    <n v="872.3797453542029"/>
    <n v="0"/>
    <n v="0"/>
    <n v="0"/>
    <n v="0"/>
    <n v="0"/>
    <n v="0"/>
    <n v="0"/>
    <n v="0"/>
    <n v="0"/>
    <n v="0"/>
    <m/>
    <n v="0"/>
    <n v="0"/>
    <n v="18.655432645981577"/>
    <n v="0"/>
    <n v="0"/>
    <n v="1111.6157445749725"/>
    <n v="0"/>
    <n v="0"/>
    <n v="0"/>
    <n v="0"/>
    <n v="0"/>
    <m/>
    <m/>
    <m/>
    <m/>
    <m/>
    <n v="1933.6679999999992"/>
    <m/>
    <m/>
    <m/>
    <n v="7826.6782280419429"/>
    <m/>
    <m/>
    <m/>
    <m/>
    <m/>
    <m/>
    <m/>
    <m/>
    <m/>
    <m/>
    <m/>
    <m/>
    <n v="14180.5455"/>
    <n v="-7576.3845000000001"/>
    <m/>
    <m/>
    <m/>
    <m/>
    <n v="-9632.2875000000004"/>
    <n v="1022.9504999999999"/>
    <n v="30"/>
    <n v="1211.6870882879284"/>
    <n v="28.721636693692972"/>
    <n v="89.987300393103169"/>
    <n v="0"/>
    <n v="0"/>
    <n v="0"/>
    <n v="0"/>
    <n v="0"/>
    <n v="2.5193694165325375"/>
    <n v="0"/>
    <n v="0"/>
    <n v="1023.0819669580887"/>
    <n v="0"/>
    <n v="0"/>
    <n v="2.8501906441851155"/>
    <n v="169.83346648885959"/>
    <n v="0"/>
    <n v="-90.783496357436434"/>
    <m/>
    <n v="0"/>
    <n v="0"/>
    <n v="0"/>
    <n v="0"/>
    <n v="-11.907524580929362"/>
    <n v="-2.6158213681672677"/>
    <n v="0"/>
    <n v="0"/>
    <m/>
    <m/>
    <m/>
    <n v="13367.128016467559"/>
    <n v="0"/>
    <n v="0"/>
    <n v="-9632.2875000000004"/>
    <n v="1022.9504999999999"/>
    <n v="0"/>
    <n v="0"/>
    <n v="-9820.9601844968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37"/>
    <s v="Refaturamento - Regular"/>
    <s v="Convencional"/>
    <s v="B2"/>
    <s v="Rural"/>
    <s v="Agropecuária rural"/>
    <s v="IRRIG./AQUIC."/>
    <s v="Não se aplica"/>
    <s v="Não se aplica"/>
    <s v="CATIVO"/>
    <x v="2"/>
    <n v="0"/>
    <n v="0"/>
    <n v="-4.0510000000000002"/>
    <n v="-4.0510000000000002"/>
    <n v="-4.0510000000000002"/>
    <n v="-4.0510000000000002"/>
    <m/>
    <n v="571.87"/>
    <n v="216.76"/>
    <m/>
    <n v="-3194.7401300000001"/>
    <n v="-3194.7401300000001"/>
    <n v="-2082.2545100000002"/>
    <n v="0"/>
    <n v="-245.53360964540323"/>
    <n v="0"/>
    <n v="0"/>
    <n v="0"/>
    <n v="-3.3295723967074426"/>
    <n v="-1727.2802422555051"/>
    <n v="-865.29967983654944"/>
    <n v="-12.790646587368512"/>
    <n v="0"/>
    <n v="0"/>
    <n v="0"/>
    <n v="0"/>
    <n v="-37.972589950866137"/>
    <m/>
    <n v="-7.7717201719844313"/>
    <n v="-35.979757581615601"/>
    <n v="-112.7276028207297"/>
    <n v="0"/>
    <n v="0"/>
    <n v="0"/>
    <n v="0"/>
    <n v="0"/>
    <n v="0"/>
    <n v="0"/>
    <n v="0"/>
    <n v="0"/>
    <n v="0"/>
    <m/>
    <n v="0"/>
    <n v="0"/>
    <n v="-2.4106270382415111"/>
    <n v="0"/>
    <n v="0"/>
    <n v="-143.64131997681702"/>
    <n v="0"/>
    <n v="0"/>
    <n v="0"/>
    <n v="0"/>
    <n v="0"/>
    <m/>
    <m/>
    <m/>
    <m/>
    <m/>
    <n v="-249.86567999999994"/>
    <m/>
    <m/>
    <m/>
    <n v="-1011.351626851608"/>
    <m/>
    <m/>
    <m/>
    <m/>
    <m/>
    <m/>
    <m/>
    <m/>
    <m/>
    <m/>
    <m/>
    <m/>
    <n v="-1831.9364999999998"/>
    <n v="979.42750000000024"/>
    <m/>
    <m/>
    <m/>
    <m/>
    <n v="1244.66975"/>
    <n v="-132.18412999999998"/>
    <n v="30"/>
    <n v="-156.57238898419109"/>
    <n v="-3.7113668340079826"/>
    <n v="-11.628024047606402"/>
    <n v="0"/>
    <n v="0"/>
    <n v="0"/>
    <n v="0"/>
    <n v="0"/>
    <n v="-0.32554913895927617"/>
    <n v="0"/>
    <n v="0"/>
    <n v="-132.20111796322863"/>
    <n v="0"/>
    <n v="0"/>
    <n v="-0.36829736202851349"/>
    <n v="-21.945625924924116"/>
    <n v="0"/>
    <n v="11.730907296458554"/>
    <m/>
    <n v="0"/>
    <n v="0"/>
    <n v="0"/>
    <n v="0"/>
    <n v="1.5386724745564493"/>
    <n v="0.33801251554850342"/>
    <n v="0"/>
    <n v="0"/>
    <m/>
    <m/>
    <m/>
    <n v="-1727.2802422555051"/>
    <n v="0"/>
    <n v="0"/>
    <n v="1244.66975"/>
    <n v="-132.18412999999998"/>
    <n v="0"/>
    <n v="0"/>
    <n v="1269.0497514321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38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82499999999999996"/>
    <n v="0.82499999999999996"/>
    <n v="0.82499999999999996"/>
    <n v="0.82499999999999996"/>
    <m/>
    <n v="571.87"/>
    <n v="216.76"/>
    <m/>
    <n v="650.61974999999995"/>
    <n v="650.61974999999995"/>
    <n v="424.05824999999999"/>
    <n v="0"/>
    <n v="50.003759061332424"/>
    <n v="0"/>
    <n v="0"/>
    <n v="0"/>
    <n v="0.6780788020942089"/>
    <n v="351.76652674914629"/>
    <n v="176.22123817949969"/>
    <n v="2.6048589075731967"/>
    <n v="0"/>
    <n v="0"/>
    <n v="0"/>
    <n v="0"/>
    <n v="7.7332477683200596"/>
    <m/>
    <n v="1.5827373838279821"/>
    <n v="7.3274006430098417"/>
    <n v="22.957361719847444"/>
    <n v="0"/>
    <n v="0"/>
    <n v="0"/>
    <n v="0"/>
    <n v="0"/>
    <n v="0"/>
    <n v="0"/>
    <n v="0"/>
    <n v="0"/>
    <n v="0"/>
    <m/>
    <n v="0"/>
    <n v="0"/>
    <n v="0.49093243805214676"/>
    <n v="0"/>
    <n v="0"/>
    <n v="29.253045909867694"/>
    <n v="0"/>
    <n v="0"/>
    <n v="0"/>
    <n v="0"/>
    <n v="0"/>
    <m/>
    <m/>
    <m/>
    <m/>
    <m/>
    <n v="50.885999999999981"/>
    <m/>
    <m/>
    <m/>
    <n v="205.96521652741953"/>
    <m/>
    <m/>
    <m/>
    <m/>
    <m/>
    <m/>
    <m/>
    <m/>
    <m/>
    <m/>
    <m/>
    <m/>
    <n v="375.43389999999999"/>
    <n v="-197.14609999999993"/>
    <m/>
    <m/>
    <m/>
    <m/>
    <n v="-253.48124999999999"/>
    <n v="26.919749999999993"/>
    <n v="30"/>
    <n v="31.886502323366585"/>
    <n v="0.75583254457086824"/>
    <n v="2.3680868524500838"/>
    <n v="0"/>
    <n v="0"/>
    <n v="0"/>
    <n v="0"/>
    <n v="0"/>
    <n v="6.6299195171908853E-2"/>
    <n v="0"/>
    <n v="0"/>
    <n v="26.923209656791784"/>
    <n v="0"/>
    <n v="0"/>
    <n v="7.5005016952239767E-2"/>
    <n v="4.4693017497068297"/>
    <n v="0"/>
    <n v="-2.3890393778272809"/>
    <m/>
    <n v="0"/>
    <n v="0"/>
    <n v="0"/>
    <n v="0"/>
    <n v="-0.31335591002445629"/>
    <n v="-6.8837404425454496E-2"/>
    <n v="0"/>
    <n v="0"/>
    <m/>
    <m/>
    <m/>
    <n v="351.76652674914629"/>
    <n v="0"/>
    <n v="0"/>
    <n v="-253.48124999999996"/>
    <n v="26.919750000000022"/>
    <n v="0"/>
    <n v="0"/>
    <n v="-258.44632064465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39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20.724"/>
    <n v="8.2896000000000001"/>
    <n v="20.724"/>
    <n v="8.2896000000000001"/>
    <m/>
    <n v="571.87"/>
    <n v="216.76"/>
    <m/>
    <n v="16343.56812"/>
    <n v="16343.56812"/>
    <n v="10652.34324"/>
    <n v="0"/>
    <n v="1256.0944276206706"/>
    <n v="0"/>
    <n v="0"/>
    <n v="0"/>
    <n v="17.033339508606527"/>
    <n v="8836.3751519385551"/>
    <n v="4426.6775030690324"/>
    <n v="65.434055758238713"/>
    <n v="0"/>
    <n v="0"/>
    <n v="0"/>
    <n v="0"/>
    <n v="194.2591839401999"/>
    <m/>
    <n v="39.758363081758915"/>
    <n v="184.06430415240723"/>
    <n v="576.68892640256786"/>
    <n v="0"/>
    <n v="0"/>
    <n v="0"/>
    <n v="0"/>
    <n v="0"/>
    <n v="0"/>
    <n v="0"/>
    <n v="0"/>
    <n v="0"/>
    <n v="0"/>
    <m/>
    <n v="0"/>
    <n v="0"/>
    <n v="12.332222843869927"/>
    <n v="0"/>
    <n v="0"/>
    <n v="734.83651325587653"/>
    <n v="0"/>
    <n v="0"/>
    <n v="0"/>
    <n v="0"/>
    <n v="0"/>
    <m/>
    <m/>
    <m/>
    <m/>
    <m/>
    <m/>
    <n v="6902.7084719999993"/>
    <m/>
    <m/>
    <n v="5173.846239168779"/>
    <m/>
    <m/>
    <m/>
    <m/>
    <m/>
    <m/>
    <m/>
    <m/>
    <m/>
    <m/>
    <m/>
    <m/>
    <n v="3749.8157000000001"/>
    <n v="-2003.1967000000013"/>
    <m/>
    <m/>
    <m/>
    <m/>
    <n v="-6367.4489999999996"/>
    <n v="676.22411999999986"/>
    <n v="30"/>
    <n v="800.98893836296611"/>
    <n v="18.986513519620217"/>
    <n v="59.486341733546055"/>
    <n v="0"/>
    <n v="0"/>
    <n v="0"/>
    <n v="0"/>
    <n v="0"/>
    <n v="1.665435782718351"/>
    <n v="0"/>
    <n v="0"/>
    <n v="676.31102657860993"/>
    <n v="0"/>
    <n v="0"/>
    <n v="1.8841260258402652"/>
    <n v="112.26885995263569"/>
    <n v="0"/>
    <n v="-60.012669171021344"/>
    <m/>
    <n v="0"/>
    <n v="0"/>
    <n v="0"/>
    <n v="0"/>
    <n v="-7.8715004598143423"/>
    <n v="-1.7291955991674186"/>
    <n v="0"/>
    <n v="0"/>
    <m/>
    <m/>
    <m/>
    <n v="8836.3751519385551"/>
    <n v="0"/>
    <n v="0"/>
    <n v="-6367.4490000000005"/>
    <n v="676.22412000000077"/>
    <n v="0"/>
    <n v="0"/>
    <n v="-6492.17157459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0"/>
    <s v="Refaturamento - Regular"/>
    <s v="Convencional"/>
    <s v="B2"/>
    <s v="Rural"/>
    <s v="Agropecuária rural"/>
    <s v="IRRIG./AQUIC. PR"/>
    <s v="Não se aplica"/>
    <s v="Não se aplica"/>
    <s v="CATIVO"/>
    <x v="2"/>
    <n v="0"/>
    <n v="0"/>
    <n v="-0.19800000000000001"/>
    <n v="-7.9200000000000007E-2"/>
    <n v="-0.19800000000000001"/>
    <n v="-7.9200000000000007E-2"/>
    <m/>
    <n v="571.87"/>
    <n v="216.76"/>
    <m/>
    <n v="-156.14874"/>
    <n v="-156.14874"/>
    <n v="-101.77397999999999"/>
    <n v="0"/>
    <n v="-12.000902174719782"/>
    <n v="0"/>
    <n v="0"/>
    <n v="0"/>
    <n v="-0.16273891250261013"/>
    <n v="-84.423966419795121"/>
    <n v="-42.293097163079928"/>
    <n v="-0.62516613781756736"/>
    <n v="0"/>
    <n v="0"/>
    <n v="0"/>
    <n v="0"/>
    <n v="-1.8559794643968144"/>
    <m/>
    <n v="-0.37985697211871572"/>
    <n v="-1.7585761543223624"/>
    <n v="-5.5097668127633872"/>
    <n v="0"/>
    <n v="0"/>
    <n v="0"/>
    <n v="0"/>
    <n v="0"/>
    <n v="0"/>
    <n v="0"/>
    <n v="0"/>
    <n v="0"/>
    <n v="0"/>
    <m/>
    <n v="0"/>
    <n v="0"/>
    <n v="-0.11782378513251522"/>
    <n v="0"/>
    <n v="0"/>
    <n v="-7.020731018368247"/>
    <n v="0"/>
    <n v="0"/>
    <n v="0"/>
    <n v="0"/>
    <n v="0"/>
    <m/>
    <m/>
    <m/>
    <m/>
    <m/>
    <m/>
    <n v="-65.949444"/>
    <m/>
    <m/>
    <n v="-49.431651966580688"/>
    <m/>
    <m/>
    <m/>
    <m/>
    <m/>
    <m/>
    <m/>
    <m/>
    <m/>
    <m/>
    <m/>
    <m/>
    <n v="-36.186400000000006"/>
    <n v="18.748400000000011"/>
    <m/>
    <m/>
    <m/>
    <m/>
    <n v="60.835500000000003"/>
    <n v="-6.4607399999999995"/>
    <n v="30"/>
    <n v="-7.6527605576079765"/>
    <n v="-0.18139981069700806"/>
    <n v="-0.56834084458802003"/>
    <n v="0"/>
    <n v="0"/>
    <n v="0"/>
    <n v="0"/>
    <n v="0"/>
    <n v="-1.5911806841258147E-2"/>
    <n v="0"/>
    <n v="0"/>
    <n v="-6.4615703176300343"/>
    <n v="0"/>
    <n v="0"/>
    <n v="-1.8001204068537571E-2"/>
    <n v="-1.07263241992964"/>
    <n v="0"/>
    <n v="0.5733694506785465"/>
    <m/>
    <n v="0"/>
    <n v="0"/>
    <n v="0"/>
    <n v="0"/>
    <n v="7.5205418405869473E-2"/>
    <n v="1.6520977062109032E-2"/>
    <n v="0"/>
    <n v="0"/>
    <m/>
    <m/>
    <m/>
    <n v="-84.423966419795121"/>
    <n v="0"/>
    <n v="0"/>
    <n v="60.835499999999996"/>
    <n v="-6.4607399999999942"/>
    <n v="0"/>
    <n v="0"/>
    <n v="62.027116954716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1"/>
    <s v="Regular"/>
    <s v="Verde"/>
    <s v="A4"/>
    <s v="Rural"/>
    <s v="Agropecuária rural"/>
    <s v="Não se aplica"/>
    <s v="Não se aplica"/>
    <s v="Ponta"/>
    <s v="CATIVO"/>
    <x v="2"/>
    <n v="0"/>
    <n v="0"/>
    <n v="0.83599999999999997"/>
    <n v="0.80256000000000005"/>
    <n v="0.83599999999999997"/>
    <n v="0.80256000000000005"/>
    <m/>
    <n v="2592.54"/>
    <n v="216.76"/>
    <m/>
    <n v="2348.5747999999999"/>
    <n v="2348.5747999999999"/>
    <n v="987.4831999999999"/>
    <n v="0"/>
    <n v="44.083313988470671"/>
    <n v="0"/>
    <n v="0"/>
    <n v="0"/>
    <n v="4.2273470331077698"/>
    <n v="1915.1852976899615"/>
    <n v="178.57085468855968"/>
    <n v="2.6395903596741728"/>
    <n v="0"/>
    <n v="0"/>
    <n v="0"/>
    <n v="0"/>
    <n v="7.8363577385643266"/>
    <m/>
    <n v="1.1480137562752122"/>
    <n v="37.716032608136054"/>
    <n v="143.12382593356998"/>
    <n v="0"/>
    <n v="0"/>
    <n v="0"/>
    <n v="0"/>
    <n v="0"/>
    <n v="0"/>
    <n v="0"/>
    <n v="0"/>
    <n v="0"/>
    <n v="0"/>
    <m/>
    <n v="0"/>
    <n v="0"/>
    <n v="0.38230171190834322"/>
    <n v="0"/>
    <n v="0"/>
    <n v="13.65702710741798"/>
    <n v="0"/>
    <n v="0"/>
    <n v="0"/>
    <n v="0"/>
    <n v="0"/>
    <m/>
    <m/>
    <m/>
    <m/>
    <m/>
    <n v="39.499327999999899"/>
    <m/>
    <m/>
    <m/>
    <n v="192.61018350788601"/>
    <m/>
    <m/>
    <m/>
    <m/>
    <m/>
    <m/>
    <m/>
    <m/>
    <m/>
    <m/>
    <m/>
    <m/>
    <n v="944.96"/>
    <n v="-1309.7018080000007"/>
    <m/>
    <m/>
    <m/>
    <m/>
    <n v="-1388.3702799999999"/>
    <n v="27.278679999999994"/>
    <n v="30"/>
    <n v="46.020719621754438"/>
    <n v="3.8904662493813618"/>
    <n v="14.763440790873233"/>
    <n v="0"/>
    <n v="0"/>
    <n v="0"/>
    <n v="0"/>
    <n v="0"/>
    <n v="0.41332910738664363"/>
    <n v="0"/>
    <n v="0"/>
    <n v="27.282185785549046"/>
    <n v="0"/>
    <n v="0"/>
    <n v="5.8408335159776004E-2"/>
    <n v="2.0865305901833526"/>
    <n v="0"/>
    <n v="-2.1061771154924784"/>
    <m/>
    <n v="0"/>
    <n v="0"/>
    <n v="0"/>
    <n v="0"/>
    <n v="-0.31753398882478212"/>
    <n v="-4.9930132461754706E-2"/>
    <n v="0"/>
    <n v="0"/>
    <m/>
    <m/>
    <m/>
    <n v="1915.1852976899615"/>
    <n v="0"/>
    <n v="0"/>
    <n v="-1388.3702800000001"/>
    <n v="27.278680000000008"/>
    <n v="0"/>
    <n v="0"/>
    <n v="-1407.105440403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2"/>
    <s v="Regular"/>
    <s v="Verde"/>
    <s v="A4"/>
    <s v="Rural"/>
    <s v="Agropecuária rural"/>
    <s v="Não se aplica"/>
    <s v="Não se aplica"/>
    <s v="Fora ponta"/>
    <s v="CATIVO"/>
    <x v="2"/>
    <n v="0"/>
    <n v="0"/>
    <n v="28.253"/>
    <n v="27.122879999999999"/>
    <n v="28.253"/>
    <n v="27.122879999999999"/>
    <m/>
    <n v="80.27"/>
    <n v="216.76"/>
    <m/>
    <n v="8391.9885900000008"/>
    <n v="8391.9885900000008"/>
    <n v="9302.8653099999992"/>
    <n v="0"/>
    <n v="1489.8156341103611"/>
    <n v="0"/>
    <n v="0"/>
    <n v="0"/>
    <n v="0"/>
    <n v="0"/>
    <n v="6034.8832027701883"/>
    <n v="89.206156018988523"/>
    <n v="0"/>
    <n v="0"/>
    <n v="0"/>
    <n v="0"/>
    <n v="264.83327175557167"/>
    <m/>
    <n v="38.797646717755462"/>
    <n v="0"/>
    <n v="0"/>
    <n v="0"/>
    <n v="0"/>
    <n v="0"/>
    <n v="0"/>
    <n v="0"/>
    <n v="0"/>
    <n v="0"/>
    <n v="0"/>
    <n v="0"/>
    <n v="0"/>
    <m/>
    <n v="0"/>
    <n v="0"/>
    <n v="12.920060127447872"/>
    <n v="0"/>
    <n v="0"/>
    <n v="461.54543883478487"/>
    <n v="0"/>
    <n v="0"/>
    <n v="0"/>
    <n v="0"/>
    <n v="0"/>
    <m/>
    <m/>
    <m/>
    <m/>
    <m/>
    <n v="372.11461240000051"/>
    <m/>
    <m/>
    <m/>
    <n v="6509.3487017324214"/>
    <m/>
    <m/>
    <m/>
    <m/>
    <m/>
    <m/>
    <m/>
    <m/>
    <m/>
    <m/>
    <m/>
    <m/>
    <n v="8929.8024000000005"/>
    <n v="873.46335360000012"/>
    <m/>
    <m/>
    <m/>
    <m/>
    <n v="-11.018670000000016"/>
    <n v="921.89538999999991"/>
    <n v="30"/>
    <n v="910.90522559105011"/>
    <n v="0"/>
    <n v="0"/>
    <n v="0"/>
    <n v="0"/>
    <n v="0"/>
    <n v="0"/>
    <n v="0"/>
    <n v="0"/>
    <n v="0"/>
    <n v="0"/>
    <n v="922.01386961616754"/>
    <n v="0"/>
    <n v="0"/>
    <n v="1.9739362359678854"/>
    <n v="70.515249718242046"/>
    <n v="0"/>
    <n v="-71.179212971302604"/>
    <m/>
    <n v="0"/>
    <n v="0"/>
    <n v="0"/>
    <n v="0"/>
    <n v="-10.731205485964779"/>
    <n v="-1.6874115220597474"/>
    <n v="0"/>
    <n v="0"/>
    <m/>
    <m/>
    <m/>
    <n v="0"/>
    <n v="0"/>
    <n v="0"/>
    <n v="-11.018669999999929"/>
    <n v="921.895389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3"/>
    <s v="Regular"/>
    <s v="Verde"/>
    <s v="A4"/>
    <s v="Rural"/>
    <s v="Agropecuária rural"/>
    <s v="Não se aplica"/>
    <s v="Não se aplica"/>
    <s v="Não se aplica"/>
    <s v="CATIVO"/>
    <x v="2"/>
    <n v="1513"/>
    <n v="1452.48"/>
    <n v="0"/>
    <n v="0"/>
    <n v="0"/>
    <n v="0"/>
    <n v="32.17"/>
    <m/>
    <m/>
    <n v="48673.21"/>
    <m/>
    <n v="48673.21"/>
    <n v="19563.09"/>
    <n v="0"/>
    <n v="0"/>
    <n v="0"/>
    <n v="0"/>
    <n v="0"/>
    <n v="151.17324862361968"/>
    <n v="40740.150703309911"/>
    <m/>
    <m/>
    <m/>
    <n v="0"/>
    <n v="0"/>
    <n v="0"/>
    <n v="0"/>
    <m/>
    <n v="0"/>
    <n v="2669.5691340039734"/>
    <n v="5118.2749953193143"/>
    <n v="0"/>
    <n v="0"/>
    <m/>
    <m/>
    <n v="0"/>
    <n v="0"/>
    <n v="0"/>
    <m/>
    <m/>
    <n v="0"/>
    <m/>
    <n v="0"/>
    <n v="0"/>
    <n v="0"/>
    <n v="0"/>
    <m/>
    <n v="0"/>
    <n v="0"/>
    <n v="177.42"/>
    <n v="815.16"/>
    <n v="85.28"/>
    <n v="13"/>
    <m/>
    <m/>
    <m/>
    <m/>
    <m/>
    <n v="782.52359999999976"/>
    <m/>
    <m/>
    <m/>
    <n v="0"/>
    <m/>
    <m/>
    <m/>
    <m/>
    <m/>
    <m/>
    <m/>
    <m/>
    <m/>
    <m/>
    <m/>
    <m/>
    <n v="18780.5664"/>
    <n v="-27945.745200000008"/>
    <m/>
    <m/>
    <m/>
    <m/>
    <n v="-29110.120000000003"/>
    <n v="0"/>
    <n v="30"/>
    <n v="818.10896534893254"/>
    <n v="275.37012506433666"/>
    <n v="527.95786691643571"/>
    <n v="0"/>
    <n v="0"/>
    <m/>
    <m/>
    <m/>
    <n v="14.7809733681613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740.150703309911"/>
    <m/>
    <n v="0"/>
    <n v="0"/>
    <n v="-29110.12"/>
    <m/>
    <n v="0"/>
    <m/>
    <n v="-29932.18868516086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44"/>
    <s v="Regular"/>
    <s v="Verde"/>
    <s v="A4"/>
    <s v="Rural"/>
    <s v="Agropecuária rural"/>
    <s v="IRRIG./AQUIC. PR"/>
    <s v="Não se aplica"/>
    <s v="Fora ponta"/>
    <s v="CATIVO"/>
    <x v="2"/>
    <n v="0"/>
    <n v="0"/>
    <n v="23.838000000000001"/>
    <n v="7.1513999999999998"/>
    <n v="23.838000000000001"/>
    <n v="7.1513999999999998"/>
    <m/>
    <n v="80.27"/>
    <n v="216.76"/>
    <m/>
    <n v="7080.6011400000007"/>
    <n v="7080.6011400000007"/>
    <n v="7849.1382599999997"/>
    <n v="0"/>
    <n v="1257.0072235133539"/>
    <n v="0"/>
    <n v="0"/>
    <n v="0"/>
    <n v="0"/>
    <n v="0"/>
    <n v="5091.8325766338348"/>
    <n v="75.266214107551363"/>
    <n v="0"/>
    <n v="0"/>
    <n v="0"/>
    <n v="0"/>
    <n v="223.44867915298616"/>
    <m/>
    <n v="32.734870720201563"/>
    <n v="0"/>
    <n v="0"/>
    <n v="0"/>
    <n v="0"/>
    <n v="0"/>
    <n v="0"/>
    <n v="0"/>
    <n v="0"/>
    <n v="0"/>
    <n v="0"/>
    <n v="0"/>
    <n v="0"/>
    <m/>
    <n v="0"/>
    <n v="0"/>
    <n v="10.901086373769242"/>
    <n v="0"/>
    <n v="0"/>
    <n v="389.42130644333707"/>
    <n v="0"/>
    <n v="0"/>
    <n v="0"/>
    <n v="0"/>
    <n v="0"/>
    <m/>
    <m/>
    <m/>
    <m/>
    <m/>
    <m/>
    <n v="5494.3967819999998"/>
    <m/>
    <m/>
    <n v="5492.1549694509413"/>
    <m/>
    <m/>
    <m/>
    <m/>
    <m/>
    <m/>
    <m/>
    <m/>
    <m/>
    <m/>
    <m/>
    <m/>
    <n v="2354.2804999999998"/>
    <n v="230.07015799999954"/>
    <m/>
    <m/>
    <m/>
    <m/>
    <n v="-9.2968200000000145"/>
    <n v="777.83393999999987"/>
    <n v="30"/>
    <n v="768.5611711195088"/>
    <n v="0"/>
    <n v="0"/>
    <n v="0"/>
    <n v="0"/>
    <n v="0"/>
    <n v="0"/>
    <n v="0"/>
    <n v="0"/>
    <n v="0"/>
    <n v="0"/>
    <n v="777.93390521042784"/>
    <n v="0"/>
    <n v="0"/>
    <n v="1.6654759492090196"/>
    <n v="59.496072020084682"/>
    <n v="0"/>
    <n v="-60.056279998934997"/>
    <m/>
    <n v="0"/>
    <n v="0"/>
    <n v="0"/>
    <n v="0"/>
    <n v="-9.0542765856521044"/>
    <n v="-1.4237254756259645"/>
    <n v="0"/>
    <n v="0"/>
    <m/>
    <m/>
    <m/>
    <n v="0"/>
    <n v="0"/>
    <n v="0"/>
    <n v="-9.2968200000000252"/>
    <n v="777.83393999999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5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.12"/>
    <n v="92.63"/>
    <n v="74.44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46"/>
    <s v="Regular"/>
    <s v="Convencional"/>
    <s v="B2"/>
    <s v="Rural"/>
    <s v="Aquicultura"/>
    <s v="IRRIG./AQUIC."/>
    <s v="Não se aplica"/>
    <s v="Não se aplica"/>
    <s v="CATIVO"/>
    <x v="2"/>
    <n v="0"/>
    <n v="0"/>
    <n v="5.4850000000000003"/>
    <n v="5.4850000000000003"/>
    <n v="5.4850000000000003"/>
    <n v="5.4850000000000003"/>
    <m/>
    <n v="571.87"/>
    <n v="216.76"/>
    <m/>
    <n v="4325.63555"/>
    <n v="4325.63555"/>
    <n v="2819.3448500000004"/>
    <n v="0"/>
    <n v="332.44923448655561"/>
    <n v="0"/>
    <n v="0"/>
    <n v="0"/>
    <n v="4.5081966418021038"/>
    <n v="2338.7144232958394"/>
    <n v="1171.6042320176434"/>
    <n v="17.318364979441196"/>
    <n v="0"/>
    <n v="0"/>
    <n v="0"/>
    <n v="0"/>
    <n v="51.41438061725519"/>
    <m/>
    <n v="10.522805515510889"/>
    <n v="48.716112153829073"/>
    <n v="152.63167155559179"/>
    <n v="0"/>
    <n v="0"/>
    <n v="0"/>
    <n v="0"/>
    <n v="0"/>
    <n v="0"/>
    <n v="0"/>
    <n v="0"/>
    <n v="0"/>
    <n v="0"/>
    <m/>
    <n v="0"/>
    <n v="0"/>
    <n v="3.2639568760194244"/>
    <n v="0"/>
    <n v="0"/>
    <n v="194.48843250378704"/>
    <n v="0"/>
    <n v="0"/>
    <n v="0"/>
    <n v="0"/>
    <n v="0"/>
    <m/>
    <m/>
    <m/>
    <m/>
    <m/>
    <n v="338.31479999999988"/>
    <m/>
    <m/>
    <m/>
    <n v="1369.3566213974498"/>
    <m/>
    <m/>
    <m/>
    <m/>
    <m/>
    <m/>
    <m/>
    <m/>
    <m/>
    <m/>
    <m/>
    <m/>
    <n v="2483.2917000000002"/>
    <n v="-1323.3283000000006"/>
    <m/>
    <m/>
    <m/>
    <m/>
    <n v="-1685.2662500000001"/>
    <n v="178.97555"/>
    <n v="30"/>
    <n v="211.9969275680794"/>
    <n v="5.0251412205711645"/>
    <n v="15.744189558410568"/>
    <n v="0"/>
    <n v="0"/>
    <n v="0"/>
    <n v="0"/>
    <n v="0"/>
    <n v="0.44078919456717625"/>
    <n v="0"/>
    <n v="0"/>
    <n v="178.99855147576136"/>
    <n v="0"/>
    <n v="0"/>
    <n v="0.49866971876731592"/>
    <n v="29.714084966232718"/>
    <n v="0"/>
    <n v="-15.883492105918322"/>
    <m/>
    <n v="0"/>
    <n v="0"/>
    <n v="0"/>
    <n v="0"/>
    <n v="-2.0833420199807833"/>
    <n v="-0.45766444033165854"/>
    <n v="0"/>
    <n v="0"/>
    <m/>
    <m/>
    <m/>
    <n v="2338.7144232958394"/>
    <n v="0"/>
    <n v="0"/>
    <n v="-1685.2662500000001"/>
    <n v="178.97555000000011"/>
    <n v="0"/>
    <n v="0"/>
    <n v="-1718.2764469526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7"/>
    <s v="Regular"/>
    <s v="Convencional"/>
    <s v="B2"/>
    <s v="Rural"/>
    <s v="Aquicultura"/>
    <s v="IRRIG./AQUIC. PR"/>
    <s v="Não se aplica"/>
    <s v="Não se aplica"/>
    <s v="CATIVO"/>
    <x v="2"/>
    <n v="0"/>
    <n v="0"/>
    <n v="4.3860000000000001"/>
    <n v="1.7544"/>
    <n v="4.3860000000000001"/>
    <n v="1.7544"/>
    <m/>
    <n v="571.87"/>
    <n v="216.76"/>
    <m/>
    <n v="3458.93118"/>
    <n v="3458.93118"/>
    <n v="2254.4478600000002"/>
    <n v="0"/>
    <n v="265.83816635515637"/>
    <n v="0"/>
    <n v="0"/>
    <n v="0"/>
    <n v="3.6049134860426668"/>
    <n v="1870.1187712990977"/>
    <n v="936.85618261246748"/>
    <n v="13.848377174080051"/>
    <n v="0"/>
    <n v="0"/>
    <n v="0"/>
    <n v="0"/>
    <n v="41.112757226487012"/>
    <m/>
    <n v="8.4144074732964"/>
    <n v="38.955126327565054"/>
    <n v="122.04968303424351"/>
    <n v="0"/>
    <n v="0"/>
    <n v="0"/>
    <n v="0"/>
    <n v="0"/>
    <n v="0"/>
    <n v="0"/>
    <n v="0"/>
    <n v="0"/>
    <n v="0"/>
    <m/>
    <n v="0"/>
    <n v="0"/>
    <n v="2.6099753615717765"/>
    <n v="0"/>
    <n v="0"/>
    <n v="155.51982952809664"/>
    <n v="0"/>
    <n v="0"/>
    <n v="0"/>
    <n v="0"/>
    <n v="0"/>
    <m/>
    <m/>
    <m/>
    <m/>
    <m/>
    <m/>
    <n v="1460.8801080000001"/>
    <m/>
    <m/>
    <n v="1094.9859875021359"/>
    <m/>
    <m/>
    <m/>
    <m/>
    <m/>
    <m/>
    <m/>
    <m/>
    <m/>
    <m/>
    <m/>
    <m/>
    <n v="791.57749999999999"/>
    <n v="-426.00609999999995"/>
    <m/>
    <m/>
    <m/>
    <m/>
    <n v="-1347.5985000000001"/>
    <n v="143.11517999999998"/>
    <n v="30"/>
    <n v="169.52024144277061"/>
    <n v="4.0182806551367563"/>
    <n v="12.589610830116442"/>
    <n v="0"/>
    <n v="0"/>
    <n v="0"/>
    <n v="0"/>
    <n v="0"/>
    <n v="0.35247063033211212"/>
    <n v="0"/>
    <n v="0"/>
    <n v="143.13357279356217"/>
    <n v="0"/>
    <n v="0"/>
    <n v="0.39875394466972613"/>
    <n v="23.760433302077786"/>
    <n v="0"/>
    <n v="-12.701002074121732"/>
    <m/>
    <n v="0"/>
    <n v="0"/>
    <n v="0"/>
    <n v="0"/>
    <n v="-1.6659139652936545"/>
    <n v="-0.36596467370914354"/>
    <n v="0"/>
    <n v="0"/>
    <m/>
    <m/>
    <m/>
    <n v="1870.1187712990977"/>
    <n v="0"/>
    <n v="0"/>
    <n v="-1347.5985000000001"/>
    <n v="143.11518000000012"/>
    <n v="0"/>
    <n v="0"/>
    <n v="-1373.994621027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8"/>
    <s v="Regular"/>
    <s v="Convencional"/>
    <s v="B1"/>
    <s v="Residencial"/>
    <s v="Residencial"/>
    <s v="Não se aplica"/>
    <s v="Não se aplica"/>
    <s v="Não se aplica"/>
    <s v="CATIVO"/>
    <x v="3"/>
    <n v="0"/>
    <n v="0"/>
    <n v="694.01400000000001"/>
    <n v="694.01400000000001"/>
    <n v="694.01400000000001"/>
    <n v="694.01400000000001"/>
    <m/>
    <n v="571.87"/>
    <n v="216.76"/>
    <m/>
    <n v="547320.26081999997"/>
    <n v="547320.26081999997"/>
    <n v="356730.13613999996"/>
    <n v="0"/>
    <n v="42064.616777201889"/>
    <n v="0"/>
    <n v="0"/>
    <n v="0"/>
    <n v="570.41961425043667"/>
    <n v="295916.23550943274"/>
    <n v="148242.4319926149"/>
    <n v="2191.2830907642483"/>
    <n v="0"/>
    <n v="0"/>
    <n v="0"/>
    <n v="0"/>
    <n v="6505.4329899186396"/>
    <m/>
    <n v="1331.4447305454464"/>
    <n v="6164.0225816458578"/>
    <n v="19312.40052925843"/>
    <n v="0"/>
    <n v="0"/>
    <n v="0"/>
    <n v="0"/>
    <n v="0"/>
    <n v="0"/>
    <n v="0"/>
    <n v="0"/>
    <n v="0"/>
    <n v="0"/>
    <m/>
    <n v="0"/>
    <n v="0"/>
    <n v="412.98664856039102"/>
    <n v="0"/>
    <n v="0"/>
    <n v="24608.513217079901"/>
    <n v="0"/>
    <n v="2863.84"/>
    <n v="13259.59"/>
    <n v="195761.22"/>
    <n v="4464"/>
    <m/>
    <m/>
    <m/>
    <m/>
    <m/>
    <m/>
    <m/>
    <m/>
    <m/>
    <n v="173263.93185825518"/>
    <m/>
    <m/>
    <m/>
    <m/>
    <m/>
    <m/>
    <m/>
    <m/>
    <m/>
    <m/>
    <m/>
    <m/>
    <n v="356728.08009999996"/>
    <n v="-190592.21072000003"/>
    <m/>
    <m/>
    <m/>
    <m/>
    <n v="-213235.8015"/>
    <n v="22645.676819999997"/>
    <n v="31"/>
    <n v="26823.853361756308"/>
    <n v="635.82832434885586"/>
    <n v="1992.1035500803555"/>
    <n v="0"/>
    <n v="0"/>
    <n v="0"/>
    <n v="0"/>
    <n v="0"/>
    <n v="55.772811682469296"/>
    <n v="0"/>
    <n v="0"/>
    <n v="22648.587183937838"/>
    <n v="0"/>
    <n v="0"/>
    <n v="63.096402224353653"/>
    <n v="3759.7066479042915"/>
    <n v="0"/>
    <n v="-2009.7294239556577"/>
    <m/>
    <n v="0"/>
    <n v="0"/>
    <n v="0"/>
    <n v="0"/>
    <n v="-263.60410732086348"/>
    <n v="-57.908027145366532"/>
    <n v="0"/>
    <n v="0"/>
    <m/>
    <m/>
    <m/>
    <n v="295916.23550943274"/>
    <n v="0"/>
    <n v="0"/>
    <n v="-213235.8015"/>
    <n v="22645.676819999993"/>
    <n v="0"/>
    <n v="0"/>
    <n v="-217412.56336470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4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0.90100000000000002"/>
    <n v="0.90100000000000002"/>
    <n v="0.90100000000000002"/>
    <n v="0.90100000000000002"/>
    <m/>
    <n v="571.87"/>
    <n v="216.76"/>
    <m/>
    <n v="710.55562999999995"/>
    <n v="710.55562999999995"/>
    <n v="463.12301000000002"/>
    <n v="0"/>
    <n v="54.61016595667941"/>
    <n v="0"/>
    <n v="0"/>
    <n v="0"/>
    <n v="0.74054424325682688"/>
    <n v="384.17168557694646"/>
    <n v="192.45495224209606"/>
    <n v="2.8448216675435765"/>
    <n v="0"/>
    <n v="0"/>
    <n v="0"/>
    <n v="0"/>
    <n v="8.4456439263713623"/>
    <m/>
    <n v="1.7285410700957722"/>
    <n v="8.002409671941658"/>
    <n v="25.072221708584905"/>
    <n v="0"/>
    <n v="0"/>
    <n v="0"/>
    <n v="0"/>
    <n v="0"/>
    <n v="0"/>
    <n v="0"/>
    <n v="0"/>
    <n v="0"/>
    <n v="0"/>
    <m/>
    <n v="0"/>
    <n v="0"/>
    <n v="0.53615772931513239"/>
    <n v="0"/>
    <n v="0"/>
    <n v="31.947871957322175"/>
    <n v="0"/>
    <n v="4.18"/>
    <n v="19.34"/>
    <n v="227.74"/>
    <n v="0"/>
    <m/>
    <m/>
    <m/>
    <m/>
    <m/>
    <m/>
    <m/>
    <m/>
    <m/>
    <n v="224.93898192873337"/>
    <m/>
    <m/>
    <m/>
    <m/>
    <m/>
    <m/>
    <m/>
    <m/>
    <m/>
    <m/>
    <m/>
    <m/>
    <n v="462.60900000000004"/>
    <n v="-247.97662999999989"/>
    <m/>
    <m/>
    <m/>
    <m/>
    <n v="-276.83224999999999"/>
    <n v="29.399629999999998"/>
    <n v="31"/>
    <n v="34.82392556770094"/>
    <n v="0.82546075473739577"/>
    <n v="2.5862378837060938"/>
    <n v="0"/>
    <n v="0"/>
    <n v="0"/>
    <n v="0"/>
    <n v="0"/>
    <n v="7.2406757393805976E-2"/>
    <n v="0"/>
    <n v="0"/>
    <n v="29.403408364568975"/>
    <n v="0"/>
    <n v="0"/>
    <n v="8.1914570029052225E-2"/>
    <n v="4.881019244225282"/>
    <n v="0"/>
    <n v="-2.6091205811180274"/>
    <m/>
    <n v="0"/>
    <n v="0"/>
    <n v="0"/>
    <n v="0"/>
    <n v="-0.34222263628125482"/>
    <n v="-7.5178789560405468E-2"/>
    <n v="0"/>
    <n v="0"/>
    <m/>
    <m/>
    <m/>
    <n v="384.17168557694646"/>
    <n v="0"/>
    <n v="0"/>
    <n v="-276.83224999999993"/>
    <n v="29.399630000000002"/>
    <n v="0"/>
    <n v="0"/>
    <n v="-282.2547089707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8.57"/>
    <n v="8.57"/>
    <n v="8.57"/>
    <n v="8.57"/>
    <m/>
    <n v="571.87"/>
    <n v="216.76"/>
    <m/>
    <n v="6758.5591000000004"/>
    <n v="6758.5591000000004"/>
    <n v="4405.0657000000001"/>
    <n v="0"/>
    <n v="519.43298806741689"/>
    <n v="0"/>
    <n v="0"/>
    <n v="0"/>
    <n v="7.0438004047846912"/>
    <n v="3654.1080415032534"/>
    <n v="1830.5648620585605"/>
    <n v="27.058958591396728"/>
    <n v="0"/>
    <n v="0"/>
    <n v="0"/>
    <n v="0"/>
    <n v="80.332040453942923"/>
    <m/>
    <n v="16.441284096249465"/>
    <n v="76.116149709811339"/>
    <n v="238.47829083526378"/>
    <n v="0"/>
    <n v="0"/>
    <n v="0"/>
    <n v="0"/>
    <n v="0"/>
    <n v="0"/>
    <n v="0"/>
    <n v="0"/>
    <n v="0"/>
    <n v="0"/>
    <m/>
    <n v="0"/>
    <n v="0"/>
    <n v="5.0997466595235128"/>
    <n v="0"/>
    <n v="0"/>
    <n v="303.87709508795899"/>
    <n v="0"/>
    <n v="34.909999999999997"/>
    <n v="163.71"/>
    <n v="5843.9"/>
    <n v="131"/>
    <m/>
    <m/>
    <m/>
    <m/>
    <m/>
    <m/>
    <m/>
    <m/>
    <m/>
    <n v="2139.5417038060432"/>
    <m/>
    <m/>
    <m/>
    <m/>
    <m/>
    <m/>
    <m/>
    <m/>
    <m/>
    <m/>
    <m/>
    <m/>
    <n v="4405.0657000000001"/>
    <n v="-2353.5234000000009"/>
    <m/>
    <m/>
    <m/>
    <m/>
    <n v="-2633.1325000000002"/>
    <n v="279.63909999999998"/>
    <n v="31"/>
    <n v="331.23312110454663"/>
    <n v="7.8514968569361656"/>
    <n v="24.599399182420854"/>
    <n v="0"/>
    <n v="0"/>
    <n v="0"/>
    <n v="0"/>
    <n v="0"/>
    <n v="0.68870800317970815"/>
    <n v="0"/>
    <n v="0"/>
    <n v="279.67503849540094"/>
    <n v="0"/>
    <n v="0"/>
    <n v="0.77914302458266071"/>
    <n v="46.426564842409164"/>
    <n v="0"/>
    <n v="-24.817051476339145"/>
    <m/>
    <n v="0"/>
    <n v="0"/>
    <n v="0"/>
    <n v="0"/>
    <n v="-3.2551032107995042"/>
    <n v="-0.71507461324381261"/>
    <n v="0"/>
    <n v="0"/>
    <m/>
    <m/>
    <m/>
    <n v="3654.1080415032534"/>
    <n v="0"/>
    <n v="0"/>
    <n v="-2633.1325000000002"/>
    <n v="279.6391000000001"/>
    <n v="0"/>
    <n v="0"/>
    <n v="-2684.7090520299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3.33"/>
    <n v="3.33"/>
    <n v="3.33"/>
    <n v="3.33"/>
    <m/>
    <n v="501.89"/>
    <n v="216.76"/>
    <m/>
    <n v="2393.1044999999999"/>
    <n v="2393.1044999999999"/>
    <n v="1489.509"/>
    <n v="0"/>
    <n v="0"/>
    <n v="0"/>
    <n v="0"/>
    <n v="0"/>
    <n v="2.7369726193620796"/>
    <n v="1419.8576170601905"/>
    <n v="711.29299774270794"/>
    <n v="10.51415777238636"/>
    <n v="0"/>
    <n v="0"/>
    <n v="0"/>
    <n v="0"/>
    <n v="0"/>
    <m/>
    <n v="6.3885036219965832"/>
    <n v="29.576053504512455"/>
    <n v="92.664260032838783"/>
    <n v="0"/>
    <n v="0"/>
    <n v="0"/>
    <n v="0"/>
    <n v="0"/>
    <n v="0"/>
    <n v="0"/>
    <n v="0"/>
    <n v="0"/>
    <n v="0"/>
    <m/>
    <n v="0"/>
    <n v="0"/>
    <n v="1.9815818408650288"/>
    <n v="0"/>
    <n v="0"/>
    <n v="118.07593076346598"/>
    <n v="0"/>
    <n v="3.33"/>
    <n v="14.63"/>
    <n v="216.37"/>
    <n v="5"/>
    <m/>
    <m/>
    <m/>
    <m/>
    <m/>
    <m/>
    <m/>
    <n v="968.16419999999994"/>
    <m/>
    <n v="831.35051034703895"/>
    <m/>
    <m/>
    <m/>
    <m/>
    <m/>
    <m/>
    <m/>
    <m/>
    <m/>
    <m/>
    <m/>
    <m/>
    <n v="521.34479999999996"/>
    <n v="-316.28010000000006"/>
    <m/>
    <m/>
    <m/>
    <m/>
    <n v="-1012.2534000000001"/>
    <n v="108.65789999999998"/>
    <n v="31"/>
    <n v="139.61336853982652"/>
    <n v="3.0508149980860502"/>
    <n v="9.5584596589803255"/>
    <n v="0"/>
    <n v="0"/>
    <n v="0"/>
    <n v="0"/>
    <n v="0"/>
    <n v="0.26760766051206852"/>
    <n v="0"/>
    <n v="0"/>
    <n v="108.67186443286869"/>
    <n v="0"/>
    <n v="0"/>
    <n v="0.30274752297085894"/>
    <n v="18.039727062453039"/>
    <n v="0"/>
    <n v="0"/>
    <m/>
    <n v="0"/>
    <n v="0"/>
    <n v="0"/>
    <n v="0"/>
    <n v="0"/>
    <n v="-0.27785279604456203"/>
    <n v="0"/>
    <n v="0"/>
    <m/>
    <m/>
    <m/>
    <n v="1419.8576170601905"/>
    <n v="0"/>
    <n v="0"/>
    <n v="-1012.2533999999999"/>
    <n v="108.65790000000004"/>
    <n v="0"/>
    <n v="0"/>
    <n v="-1043.1833306020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6.6159999999999997"/>
    <n v="6.6159999999999997"/>
    <n v="6.6159999999999997"/>
    <n v="6.6159999999999997"/>
    <m/>
    <n v="501.89"/>
    <n v="216.76"/>
    <m/>
    <n v="4754.5883999999996"/>
    <n v="4754.5883999999996"/>
    <n v="2959.3368"/>
    <n v="0"/>
    <n v="0"/>
    <n v="0"/>
    <n v="0"/>
    <n v="0"/>
    <n v="5.4377810359458012"/>
    <n v="2820.9543526937596"/>
    <n v="1413.1875294491758"/>
    <n v="20.889389736368813"/>
    <n v="0"/>
    <n v="0"/>
    <n v="0"/>
    <n v="0"/>
    <n v="0"/>
    <m/>
    <n v="12.692594583522339"/>
    <n v="58.761312308064383"/>
    <n v="184.10412744061901"/>
    <n v="0"/>
    <n v="0"/>
    <n v="0"/>
    <n v="0"/>
    <n v="0"/>
    <n v="0"/>
    <n v="0"/>
    <n v="0"/>
    <n v="0"/>
    <n v="0"/>
    <m/>
    <n v="0"/>
    <n v="0"/>
    <n v="3.9369806183672762"/>
    <n v="0"/>
    <n v="0"/>
    <n v="234.59169907840564"/>
    <n v="0"/>
    <n v="11.65"/>
    <n v="54.44"/>
    <n v="816.97"/>
    <n v="25"/>
    <m/>
    <m/>
    <m/>
    <m/>
    <m/>
    <m/>
    <m/>
    <n v="1183.6685599999998"/>
    <m/>
    <n v="1651.7162091459486"/>
    <m/>
    <m/>
    <m/>
    <m/>
    <m/>
    <m/>
    <m/>
    <m/>
    <m/>
    <m/>
    <m/>
    <m/>
    <n v="1776.7417999999998"/>
    <n v="-1076.0412400000005"/>
    <m/>
    <m/>
    <m/>
    <m/>
    <n v="-2011.13168"/>
    <n v="215.88007999999996"/>
    <n v="31"/>
    <n v="277.38199587372128"/>
    <n v="6.061318927128319"/>
    <n v="18.990621352496674"/>
    <n v="0"/>
    <n v="0"/>
    <n v="0"/>
    <n v="0"/>
    <n v="0"/>
    <n v="0.53167936394830129"/>
    <n v="0"/>
    <n v="0"/>
    <n v="215.90782435070832"/>
    <n v="0"/>
    <n v="0"/>
    <n v="0.60149477837093146"/>
    <n v="35.841091364921709"/>
    <n v="0"/>
    <n v="0"/>
    <m/>
    <n v="0"/>
    <n v="0"/>
    <n v="0"/>
    <n v="0"/>
    <n v="0"/>
    <n v="-0.55203426385309839"/>
    <n v="0"/>
    <n v="0"/>
    <m/>
    <m/>
    <m/>
    <n v="2820.9543526937596"/>
    <n v="0"/>
    <n v="0"/>
    <n v="-2011.1316799999997"/>
    <n v="215.88007999999991"/>
    <n v="0"/>
    <n v="0"/>
    <n v="-2072.5828574363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5.6660000000000004"/>
    <n v="5.6660000000000004"/>
    <n v="5.6660000000000004"/>
    <n v="5.6660000000000004"/>
    <m/>
    <n v="501.89"/>
    <n v="216.76"/>
    <m/>
    <n v="4071.8708999999999"/>
    <n v="4071.8708999999999"/>
    <n v="2534.4018000000001"/>
    <n v="0"/>
    <n v="0"/>
    <n v="0"/>
    <n v="0"/>
    <n v="0"/>
    <n v="4.6569630214130759"/>
    <n v="2415.8898673462581"/>
    <n v="1210.2661036667216"/>
    <n v="17.889855236739074"/>
    <n v="0"/>
    <n v="0"/>
    <n v="0"/>
    <n v="0"/>
    <n v="0"/>
    <m/>
    <n v="10.870048505174967"/>
    <n v="50.32369944641669"/>
    <n v="157.66837758140076"/>
    <n v="0"/>
    <n v="0"/>
    <n v="0"/>
    <n v="0"/>
    <n v="0"/>
    <n v="0"/>
    <n v="0"/>
    <n v="0"/>
    <n v="0"/>
    <n v="0"/>
    <m/>
    <n v="0"/>
    <n v="0"/>
    <n v="3.371664477579956"/>
    <n v="0"/>
    <n v="0"/>
    <n v="200.90637348522469"/>
    <n v="0"/>
    <n v="17.79"/>
    <n v="83.62"/>
    <n v="1269.93"/>
    <n v="61"/>
    <m/>
    <m/>
    <m/>
    <m/>
    <m/>
    <m/>
    <m/>
    <n v="253.44017999999994"/>
    <m/>
    <n v="1414.5441416295264"/>
    <m/>
    <m/>
    <m/>
    <m/>
    <m/>
    <m/>
    <m/>
    <m/>
    <m/>
    <m/>
    <m/>
    <m/>
    <n v="2282.5718999999999"/>
    <n v="-1382.1135800000011"/>
    <m/>
    <m/>
    <m/>
    <m/>
    <n v="-1722.3506800000002"/>
    <n v="184.88157999999999"/>
    <n v="31"/>
    <n v="237.55235620019721"/>
    <n v="5.1909663000467106"/>
    <n v="16.263733461796562"/>
    <n v="0"/>
    <n v="0"/>
    <n v="0"/>
    <n v="0"/>
    <n v="0"/>
    <n v="0.45533483617458881"/>
    <n v="0"/>
    <n v="0"/>
    <n v="184.90534050349379"/>
    <n v="0"/>
    <n v="0"/>
    <n v="0.51512536491077698"/>
    <n v="30.694622683441111"/>
    <n v="0"/>
    <n v="0"/>
    <m/>
    <n v="0"/>
    <n v="0"/>
    <n v="0"/>
    <n v="0"/>
    <n v="0"/>
    <n v="-0.47276694966621235"/>
    <n v="0"/>
    <n v="0"/>
    <m/>
    <m/>
    <m/>
    <n v="2415.8898673462581"/>
    <n v="0"/>
    <n v="0"/>
    <n v="-1722.35068"/>
    <n v="184.88157999999999"/>
    <n v="0"/>
    <n v="0"/>
    <n v="-1774.9780033607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4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.9850000000000001"/>
    <n v="1.9850000000000001"/>
    <n v="1.9850000000000001"/>
    <n v="1.9850000000000001"/>
    <m/>
    <n v="501.89"/>
    <n v="216.76"/>
    <m/>
    <n v="1426.52025"/>
    <n v="1426.52025"/>
    <n v="887.89049999999997"/>
    <n v="0"/>
    <n v="0"/>
    <n v="0"/>
    <n v="0"/>
    <n v="0"/>
    <n v="1.631498693523642"/>
    <n v="846.37158254188535"/>
    <n v="423.99897913491748"/>
    <n v="6.2674484018579353"/>
    <n v="0"/>
    <n v="0"/>
    <n v="0"/>
    <n v="0"/>
    <n v="0"/>
    <m/>
    <n v="3.808162068967933"/>
    <n v="17.630170031969136"/>
    <n v="55.236803653208703"/>
    <n v="0"/>
    <n v="0"/>
    <n v="0"/>
    <n v="0"/>
    <n v="0"/>
    <n v="0"/>
    <n v="0"/>
    <n v="0"/>
    <n v="0"/>
    <n v="0"/>
    <m/>
    <n v="0"/>
    <n v="0"/>
    <n v="1.1812131994345592"/>
    <n v="0"/>
    <n v="0"/>
    <n v="70.384601371015009"/>
    <n v="0"/>
    <n v="8.69"/>
    <n v="40.340000000000003"/>
    <n v="612.64"/>
    <n v="20"/>
    <m/>
    <m/>
    <m/>
    <m/>
    <m/>
    <m/>
    <m/>
    <m/>
    <m/>
    <n v="495.56479370536704"/>
    <m/>
    <m/>
    <m/>
    <m/>
    <m/>
    <m/>
    <m/>
    <m/>
    <m/>
    <m/>
    <m/>
    <m/>
    <n v="890.12699999999995"/>
    <n v="-536.42325000000005"/>
    <m/>
    <m/>
    <m/>
    <m/>
    <n v="-603.40030000000002"/>
    <n v="64.77055"/>
    <n v="31"/>
    <n v="83.222983949415948"/>
    <n v="1.8185789102705137"/>
    <n v="5.6977604874101999"/>
    <n v="0"/>
    <n v="0"/>
    <n v="0"/>
    <n v="0"/>
    <n v="0"/>
    <n v="0.15951988171665366"/>
    <n v="0"/>
    <n v="0"/>
    <n v="64.778874143917221"/>
    <n v="0"/>
    <n v="0"/>
    <n v="0.18046661654569229"/>
    <n v="10.753410876567344"/>
    <n v="0"/>
    <n v="0"/>
    <m/>
    <n v="0"/>
    <n v="0"/>
    <n v="0"/>
    <n v="0"/>
    <n v="0"/>
    <n v="-0.16562696701154778"/>
    <n v="0"/>
    <n v="0"/>
    <m/>
    <m/>
    <m/>
    <n v="846.37158254188535"/>
    <n v="0"/>
    <n v="0"/>
    <n v="-603.40030000000002"/>
    <n v="64.770550000000014"/>
    <n v="0"/>
    <n v="0"/>
    <n v="-621.83751088440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5"/>
    <s v="Regular"/>
    <s v="Convencional"/>
    <s v="B3"/>
    <s v="Industrial"/>
    <s v="Não se aplica"/>
    <s v="Não se aplica"/>
    <s v="Não se aplica"/>
    <s v="Não se aplica"/>
    <s v="CATIVO"/>
    <x v="3"/>
    <n v="0"/>
    <n v="0"/>
    <n v="31.817"/>
    <n v="31.817"/>
    <n v="31.817"/>
    <n v="31.817"/>
    <m/>
    <n v="571.87"/>
    <n v="216.76"/>
    <m/>
    <n v="25091.84071"/>
    <n v="25091.84071"/>
    <n v="16354.256170000001"/>
    <n v="0"/>
    <n v="1928.4480024901984"/>
    <n v="0"/>
    <n v="0"/>
    <n v="0"/>
    <n v="26.150828177250236"/>
    <n v="13566.249189791015"/>
    <n v="6796.1589517056264"/>
    <n v="100.45914649970474"/>
    <n v="0"/>
    <n v="0"/>
    <n v="0"/>
    <n v="0"/>
    <n v="298.24090211471434"/>
    <m/>
    <n v="61.039945868187772"/>
    <n v="282.58897728320505"/>
    <n v="885.37500344289231"/>
    <n v="0"/>
    <n v="0"/>
    <n v="0"/>
    <n v="0"/>
    <n v="0"/>
    <n v="0"/>
    <n v="0"/>
    <n v="0"/>
    <n v="0"/>
    <n v="0"/>
    <m/>
    <n v="0"/>
    <n v="0"/>
    <n v="18.933330159400185"/>
    <n v="0"/>
    <n v="0"/>
    <n v="1128.1747414718309"/>
    <n v="0"/>
    <n v="131.36000000000001"/>
    <n v="604.16999999999996"/>
    <n v="4583.2700000000004"/>
    <n v="25"/>
    <m/>
    <m/>
    <m/>
    <m/>
    <m/>
    <m/>
    <m/>
    <m/>
    <m/>
    <n v="7943.2670233368581"/>
    <m/>
    <m/>
    <m/>
    <m/>
    <m/>
    <m/>
    <m/>
    <m/>
    <m/>
    <m/>
    <m/>
    <m/>
    <n v="16355.798199999999"/>
    <n v="-8736.0725099999963"/>
    <m/>
    <m/>
    <m/>
    <m/>
    <n v="-9775.7732500000002"/>
    <n v="1038.1887099999999"/>
    <n v="31"/>
    <n v="1229.7367811182503"/>
    <n v="29.149483721953061"/>
    <n v="91.327781072005223"/>
    <n v="0"/>
    <n v="0"/>
    <n v="0"/>
    <n v="0"/>
    <n v="0"/>
    <n v="2.5568987791328759"/>
    <n v="0"/>
    <n v="0"/>
    <n v="1038.3221353335093"/>
    <n v="0"/>
    <n v="0"/>
    <n v="2.8926480295386838"/>
    <n v="172.36336214596645"/>
    <n v="0"/>
    <n v="-92.135837435552048"/>
    <m/>
    <n v="0"/>
    <n v="0"/>
    <n v="0"/>
    <n v="0"/>
    <n v="-12.084903017270449"/>
    <n v="-2.654787511035984"/>
    <n v="0"/>
    <n v="0"/>
    <m/>
    <m/>
    <m/>
    <n v="13566.249189791015"/>
    <n v="0"/>
    <n v="0"/>
    <n v="-9775.7732500000002"/>
    <n v="1038.1887100000004"/>
    <n v="0"/>
    <n v="0"/>
    <n v="-9967.2564653950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6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1.927"/>
    <n v="1.927"/>
    <n v="1.927"/>
    <n v="1.927"/>
    <m/>
    <n v="571.87"/>
    <n v="216.76"/>
    <m/>
    <n v="1519.69001"/>
    <n v="1519.69001"/>
    <n v="990.49727000000007"/>
    <n v="0"/>
    <n v="116.79665904386374"/>
    <n v="0"/>
    <n v="0"/>
    <n v="0"/>
    <n v="1.5838276989521705"/>
    <n v="821.64132975224845"/>
    <n v="411.6100920871466"/>
    <n v="6.0843189271436984"/>
    <n v="0"/>
    <n v="0"/>
    <n v="0"/>
    <n v="0"/>
    <n v="18.062992060063944"/>
    <m/>
    <n v="3.6968908347109353"/>
    <n v="17.115031562521171"/>
    <n v="53.622831556540639"/>
    <n v="0"/>
    <n v="0"/>
    <n v="0"/>
    <n v="0"/>
    <n v="0"/>
    <n v="0"/>
    <n v="0"/>
    <n v="0"/>
    <n v="0"/>
    <n v="0"/>
    <m/>
    <n v="0"/>
    <n v="0"/>
    <n v="1.1466991613654385"/>
    <n v="0"/>
    <n v="0"/>
    <n v="68.328023597957639"/>
    <n v="0"/>
    <n v="7.63"/>
    <n v="35.24"/>
    <n v="925.47"/>
    <n v="4"/>
    <m/>
    <m/>
    <m/>
    <m/>
    <m/>
    <m/>
    <m/>
    <m/>
    <m/>
    <n v="481.08481484646973"/>
    <m/>
    <m/>
    <m/>
    <m/>
    <m/>
    <m/>
    <m/>
    <m/>
    <m/>
    <m/>
    <m/>
    <m/>
    <n v="992.03929999999991"/>
    <n v="-527.68071000000009"/>
    <m/>
    <m/>
    <m/>
    <m/>
    <n v="-592.07074999999998"/>
    <n v="62.878009999999996"/>
    <n v="31"/>
    <n v="74.479139366215009"/>
    <n v="1.7654415919855317"/>
    <n v="5.5312768056621948"/>
    <n v="0"/>
    <n v="0"/>
    <n v="0"/>
    <n v="0"/>
    <n v="0"/>
    <n v="0.15485884738941613"/>
    <n v="0"/>
    <n v="0"/>
    <n v="62.886090919560957"/>
    <n v="0"/>
    <n v="0"/>
    <n v="0.17519353656601977"/>
    <n v="10.439205420224326"/>
    <n v="0"/>
    <n v="-5.5802168255432321"/>
    <m/>
    <n v="0"/>
    <n v="0"/>
    <n v="0"/>
    <n v="0"/>
    <n v="-0.73192344074803017"/>
    <n v="-0.16078748888224315"/>
    <n v="0"/>
    <n v="0"/>
    <m/>
    <m/>
    <m/>
    <n v="821.64132975224845"/>
    <n v="0"/>
    <n v="0"/>
    <n v="-592.07075000000009"/>
    <n v="62.878009999999961"/>
    <n v="0"/>
    <n v="0"/>
    <n v="-603.66795137242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7"/>
    <s v="Regular"/>
    <s v="Verde"/>
    <s v="A4"/>
    <s v="Industrial"/>
    <s v="Não se aplica"/>
    <s v="Não se aplica"/>
    <s v="Não se aplica"/>
    <s v="Ponta"/>
    <s v="CATIVO"/>
    <x v="3"/>
    <n v="0"/>
    <n v="0"/>
    <n v="7.923"/>
    <n v="7.923"/>
    <n v="7.923"/>
    <n v="7.923"/>
    <m/>
    <n v="2592.54"/>
    <n v="216.76"/>
    <m/>
    <n v="22258.083900000001"/>
    <n v="22258.083900000001"/>
    <n v="9358.6476000000002"/>
    <n v="0"/>
    <n v="417.78958939073345"/>
    <n v="0"/>
    <n v="0"/>
    <n v="0"/>
    <n v="40.063720745589549"/>
    <n v="18150.733389470774"/>
    <n v="1692.364691025668"/>
    <n v="25.01611772691205"/>
    <n v="0"/>
    <n v="0"/>
    <n v="0"/>
    <n v="0"/>
    <n v="74.267299476848279"/>
    <m/>
    <n v="10.880039462880989"/>
    <n v="357.44512721801669"/>
    <n v="1356.423532143152"/>
    <n v="0"/>
    <n v="0"/>
    <n v="0"/>
    <n v="0"/>
    <n v="0"/>
    <n v="0"/>
    <n v="0"/>
    <n v="0"/>
    <n v="0"/>
    <n v="0"/>
    <m/>
    <n v="0"/>
    <n v="0"/>
    <n v="3.6231775878586165"/>
    <n v="0"/>
    <n v="0"/>
    <n v="129.43137054075677"/>
    <n v="0"/>
    <n v="0"/>
    <n v="0"/>
    <n v="0"/>
    <n v="0"/>
    <m/>
    <m/>
    <m/>
    <m/>
    <m/>
    <m/>
    <m/>
    <m/>
    <m/>
    <n v="1825.4192391542833"/>
    <m/>
    <m/>
    <m/>
    <m/>
    <m/>
    <m/>
    <m/>
    <m/>
    <m/>
    <m/>
    <m/>
    <m/>
    <n v="9355.1039999999994"/>
    <n v="-12903.009899999997"/>
    <m/>
    <m/>
    <m/>
    <m/>
    <n v="-13157.96379"/>
    <n v="258.52748999999994"/>
    <n v="31"/>
    <n v="436.15091096071683"/>
    <n v="36.87100968163702"/>
    <n v="139.91715476804848"/>
    <n v="0"/>
    <n v="0"/>
    <n v="0"/>
    <n v="0"/>
    <n v="0"/>
    <n v="3.91723267682341"/>
    <n v="0"/>
    <n v="0"/>
    <n v="258.56071528577149"/>
    <n v="0"/>
    <n v="0"/>
    <n v="0.55355172185515"/>
    <n v="19.774619456964956"/>
    <n v="0"/>
    <n v="-19.960814935462849"/>
    <m/>
    <n v="0"/>
    <n v="0"/>
    <n v="0"/>
    <n v="0"/>
    <n v="-3.0093562122712285"/>
    <n v="-0.47320148264890172"/>
    <n v="0"/>
    <n v="0"/>
    <m/>
    <m/>
    <m/>
    <n v="18150.733389470774"/>
    <n v="0"/>
    <n v="0"/>
    <n v="-13157.96379"/>
    <n v="258.52748999999994"/>
    <n v="0"/>
    <n v="0"/>
    <n v="-13335.522014736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8"/>
    <s v="Regular"/>
    <s v="Verde"/>
    <s v="A4"/>
    <s v="Industrial"/>
    <s v="Não se aplica"/>
    <s v="Não se aplica"/>
    <s v="Não se aplica"/>
    <s v="Fora ponta"/>
    <s v="CATIVO"/>
    <x v="3"/>
    <n v="0"/>
    <n v="0"/>
    <n v="126.675"/>
    <n v="126.675"/>
    <n v="126.675"/>
    <n v="126.675"/>
    <m/>
    <n v="80.27"/>
    <n v="216.76"/>
    <m/>
    <n v="37626.275249999992"/>
    <n v="37626.275249999992"/>
    <n v="41710.277249999999"/>
    <n v="0"/>
    <n v="6679.7294252267011"/>
    <n v="0"/>
    <n v="0"/>
    <n v="0"/>
    <n v="0"/>
    <n v="0"/>
    <n v="27057.970116834091"/>
    <n v="399.96424499010271"/>
    <n v="0"/>
    <n v="0"/>
    <n v="0"/>
    <n v="0"/>
    <n v="1187.4050436993255"/>
    <m/>
    <n v="173.95292174182117"/>
    <n v="0"/>
    <n v="0"/>
    <n v="0"/>
    <n v="0"/>
    <n v="0"/>
    <n v="0"/>
    <n v="0"/>
    <n v="0"/>
    <n v="0"/>
    <n v="0"/>
    <n v="0"/>
    <n v="0"/>
    <m/>
    <n v="0"/>
    <n v="0"/>
    <n v="57.928312626781555"/>
    <n v="0"/>
    <n v="0"/>
    <n v="2069.3826660671921"/>
    <n v="0"/>
    <n v="0"/>
    <n v="0"/>
    <n v="0"/>
    <n v="0"/>
    <m/>
    <m/>
    <m/>
    <m/>
    <m/>
    <m/>
    <m/>
    <m/>
    <m/>
    <n v="29185.281095528062"/>
    <m/>
    <m/>
    <m/>
    <m/>
    <m/>
    <m/>
    <m/>
    <m/>
    <m/>
    <m/>
    <m/>
    <m/>
    <n v="41711.923600000002"/>
    <n v="4085.6183500000043"/>
    <m/>
    <m/>
    <m/>
    <m/>
    <n v="-49.403250000000071"/>
    <n v="4133.4052499999989"/>
    <n v="31"/>
    <n v="4084.1298075158775"/>
    <n v="0"/>
    <n v="0"/>
    <n v="0"/>
    <n v="0"/>
    <n v="0"/>
    <n v="0"/>
    <n v="0"/>
    <n v="0"/>
    <n v="0"/>
    <n v="0"/>
    <n v="4133.9364645746682"/>
    <n v="0"/>
    <n v="0"/>
    <n v="8.8503299717280228"/>
    <n v="316.16179726253131"/>
    <n v="0"/>
    <n v="-319.13873936005984"/>
    <m/>
    <n v="0"/>
    <n v="0"/>
    <n v="0"/>
    <n v="0"/>
    <n v="-48.114375639209584"/>
    <n v="-7.5656692937712648"/>
    <n v="0"/>
    <n v="0"/>
    <m/>
    <m/>
    <m/>
    <n v="0"/>
    <n v="0"/>
    <n v="0"/>
    <n v="-49.403249999999389"/>
    <n v="4133.4052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59"/>
    <s v="Regular"/>
    <s v="Verde"/>
    <s v="A4"/>
    <s v="Industrial"/>
    <s v="Não se aplica"/>
    <s v="Não se aplica"/>
    <s v="Não se aplica"/>
    <s v="Não se aplica"/>
    <s v="CATIVO"/>
    <x v="3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521.04"/>
    <n v="2394.46"/>
    <n v="17409.12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n v="31"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60"/>
    <s v="Regular"/>
    <s v="Convencional"/>
    <s v="B3"/>
    <s v="Comercial"/>
    <s v="Não se aplica"/>
    <s v="Não se aplica"/>
    <s v="Não se aplica"/>
    <s v="Não se aplica"/>
    <s v="CATIVO"/>
    <x v="3"/>
    <n v="0"/>
    <n v="0"/>
    <n v="226.30600000000001"/>
    <n v="226.30600000000001"/>
    <n v="226.30600000000001"/>
    <n v="226.30600000000001"/>
    <m/>
    <n v="571.87"/>
    <n v="216.76"/>
    <m/>
    <n v="178471.70078000001"/>
    <n v="178471.70078000001"/>
    <n v="116323.54706000001"/>
    <n v="0"/>
    <n v="13716.546300768359"/>
    <n v="0"/>
    <n v="0"/>
    <n v="0"/>
    <n v="186.00400168088731"/>
    <n v="96493.182548475525"/>
    <n v="48339.30124539377"/>
    <n v="714.53963628758788"/>
    <n v="0"/>
    <n v="0"/>
    <n v="0"/>
    <n v="0"/>
    <n v="2121.3095387362905"/>
    <m/>
    <n v="434.16117137524287"/>
    <n v="2009.9814908084672"/>
    <n v="6297.4408501476319"/>
    <n v="0"/>
    <n v="0"/>
    <n v="0"/>
    <n v="0"/>
    <n v="0"/>
    <n v="0"/>
    <n v="0"/>
    <n v="0"/>
    <n v="0"/>
    <n v="0"/>
    <m/>
    <n v="0"/>
    <n v="0"/>
    <n v="134.66782584948984"/>
    <n v="0"/>
    <n v="0"/>
    <n v="8024.4118880951746"/>
    <n v="0"/>
    <n v="925.44"/>
    <n v="4268.7"/>
    <n v="65845.89"/>
    <n v="701"/>
    <m/>
    <m/>
    <m/>
    <m/>
    <m/>
    <m/>
    <m/>
    <m/>
    <m/>
    <n v="56498.380959338429"/>
    <m/>
    <m/>
    <m/>
    <m/>
    <m/>
    <m/>
    <m/>
    <m/>
    <m/>
    <m/>
    <m/>
    <m/>
    <n v="116325.60310000001"/>
    <n v="-62146.127680000005"/>
    <m/>
    <m/>
    <m/>
    <m/>
    <n v="-69532.518500000006"/>
    <n v="7384.364779999999"/>
    <n v="31"/>
    <n v="8746.7961148991308"/>
    <n v="207.33265434139958"/>
    <n v="649.59062209765852"/>
    <n v="0"/>
    <n v="0"/>
    <n v="0"/>
    <n v="0"/>
    <n v="0"/>
    <n v="18.186552318271538"/>
    <n v="0"/>
    <n v="0"/>
    <n v="7385.3137995029392"/>
    <n v="0"/>
    <n v="0"/>
    <n v="20.574648928961921"/>
    <n v="1225.9755172959458"/>
    <n v="0"/>
    <n v="-655.3381156831274"/>
    <m/>
    <n v="0"/>
    <n v="0"/>
    <n v="0"/>
    <n v="0"/>
    <n v="-85.956754635144989"/>
    <n v="-18.882809267765936"/>
    <n v="0"/>
    <n v="0"/>
    <m/>
    <m/>
    <m/>
    <n v="96493.182548475525"/>
    <n v="0"/>
    <n v="0"/>
    <n v="-69532.518500000006"/>
    <n v="7384.3647799999962"/>
    <n v="0"/>
    <n v="0"/>
    <n v="-70894.48853310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1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1.0649999999999999"/>
    <n v="-1.0649999999999999"/>
    <n v="-1.0649999999999999"/>
    <n v="-1.0649999999999999"/>
    <m/>
    <n v="571.87"/>
    <n v="216.76"/>
    <m/>
    <n v="-839.89094999999998"/>
    <n v="-839.89094999999998"/>
    <n v="-547.42065000000002"/>
    <n v="0"/>
    <n v="-64.550307151901848"/>
    <n v="0"/>
    <n v="0"/>
    <n v="0"/>
    <n v="-0.87533808997616047"/>
    <n v="-454.09860725798882"/>
    <n v="-227.48559837717232"/>
    <n v="-3.3626360443217633"/>
    <n v="0"/>
    <n v="0"/>
    <n v="0"/>
    <n v="0"/>
    <n v="-9.9829198463768041"/>
    <m/>
    <n v="-2.0431700773052133"/>
    <n v="-9.4590081027945239"/>
    <n v="-29.635866947439428"/>
    <n v="0"/>
    <n v="0"/>
    <n v="0"/>
    <n v="0"/>
    <n v="0"/>
    <n v="0"/>
    <n v="0"/>
    <n v="0"/>
    <n v="0"/>
    <n v="0"/>
    <m/>
    <n v="0"/>
    <n v="0"/>
    <n v="-0.63374914730368037"/>
    <n v="0"/>
    <n v="0"/>
    <n v="-37.763022901829203"/>
    <n v="0"/>
    <n v="-4.7699999999999996"/>
    <n v="-21.94"/>
    <n v="-303.19"/>
    <n v="0"/>
    <m/>
    <m/>
    <m/>
    <m/>
    <m/>
    <m/>
    <m/>
    <m/>
    <m/>
    <n v="-265.88237042630522"/>
    <m/>
    <m/>
    <m/>
    <m/>
    <m/>
    <m/>
    <m/>
    <m/>
    <m/>
    <m/>
    <m/>
    <m/>
    <n v="-549.99070000000006"/>
    <n v="289.87024999999994"/>
    <m/>
    <m/>
    <m/>
    <m/>
    <n v="327.22125"/>
    <n v="-34.750949999999996"/>
    <n v="31"/>
    <n v="-41.162575726527734"/>
    <n v="-0.97571110299148245"/>
    <n v="-3.0569848458901028"/>
    <n v="0"/>
    <n v="0"/>
    <n v="0"/>
    <n v="0"/>
    <n v="0"/>
    <n v="-8.5586233767373288E-2"/>
    <n v="0"/>
    <n v="0"/>
    <n v="-34.755416102403956"/>
    <n v="0"/>
    <n v="0"/>
    <n v="-9.6824658247436801E-2"/>
    <n v="-5.7694622587124584"/>
    <n v="0"/>
    <n v="3.0840326513770222"/>
    <m/>
    <n v="0"/>
    <n v="0"/>
    <n v="0"/>
    <n v="0"/>
    <n v="0.40451399294066093"/>
    <n v="8.8862831167404899E-2"/>
    <n v="0"/>
    <n v="0"/>
    <m/>
    <m/>
    <m/>
    <n v="-454.09860725798882"/>
    <n v="0"/>
    <n v="0"/>
    <n v="327.22125000000005"/>
    <n v="-34.750950000000017"/>
    <n v="0"/>
    <n v="0"/>
    <n v="333.63070483218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2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5.5119999999999996"/>
    <n v="5.5119999999999996"/>
    <n v="5.5119999999999996"/>
    <n v="5.5119999999999996"/>
    <m/>
    <n v="571.87"/>
    <n v="216.76"/>
    <m/>
    <n v="4346.9285599999994"/>
    <n v="4346.9285599999994"/>
    <n v="2833.2231199999997"/>
    <n v="0"/>
    <n v="334.08572114674462"/>
    <n v="0"/>
    <n v="0"/>
    <n v="0"/>
    <n v="4.5303883116888235"/>
    <n v="2350.2267823530838"/>
    <n v="1177.3714725398816"/>
    <n v="17.403614907325409"/>
    <n v="0"/>
    <n v="0"/>
    <n v="0"/>
    <n v="0"/>
    <n v="51.667468726036567"/>
    <m/>
    <n v="10.574604193527076"/>
    <n v="48.955917993054847"/>
    <n v="153.38300339369587"/>
    <n v="0"/>
    <n v="0"/>
    <n v="0"/>
    <n v="0"/>
    <n v="0"/>
    <n v="0"/>
    <n v="0"/>
    <n v="0"/>
    <n v="0"/>
    <n v="0"/>
    <m/>
    <n v="0"/>
    <n v="0"/>
    <n v="3.2800237558102214"/>
    <n v="0"/>
    <n v="0"/>
    <n v="195.44580491538269"/>
    <n v="0"/>
    <n v="22.85"/>
    <n v="105.38"/>
    <n v="2803.03"/>
    <n v="17"/>
    <m/>
    <m/>
    <m/>
    <m/>
    <m/>
    <m/>
    <m/>
    <m/>
    <m/>
    <n v="1376.0973012110744"/>
    <m/>
    <m/>
    <m/>
    <m/>
    <m/>
    <m/>
    <m/>
    <m/>
    <m/>
    <m/>
    <m/>
    <m/>
    <n v="2832.1950999999999"/>
    <n v="-1514.7634600000001"/>
    <m/>
    <m/>
    <m/>
    <m/>
    <n v="-1693.5619999999999"/>
    <n v="179.85655999999997"/>
    <n v="31"/>
    <n v="213.04048582593555"/>
    <n v="5.049877558393483"/>
    <n v="15.821690582672574"/>
    <n v="0"/>
    <n v="0"/>
    <n v="0"/>
    <n v="0"/>
    <n v="0"/>
    <n v="0.44295898640916498"/>
    <n v="0"/>
    <n v="0"/>
    <n v="179.87967470089256"/>
    <n v="0"/>
    <n v="0"/>
    <n v="0.5011244284130254"/>
    <n v="29.860353023495833"/>
    <n v="0"/>
    <n v="-15.961678849192651"/>
    <m/>
    <n v="0"/>
    <n v="0"/>
    <n v="0"/>
    <n v="0"/>
    <n v="-2.0935973043088509"/>
    <n v="-0.45991730084012694"/>
    <n v="0"/>
    <n v="0"/>
    <m/>
    <m/>
    <m/>
    <n v="2350.2267823530838"/>
    <n v="0"/>
    <n v="0"/>
    <n v="-1693.5619999999999"/>
    <n v="179.85655999999994"/>
    <n v="0"/>
    <n v="0"/>
    <n v="-1726.734690173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3"/>
    <s v="Regular"/>
    <s v="Verde"/>
    <s v="A4"/>
    <s v="Comercial"/>
    <s v="Não se aplica"/>
    <s v="Não se aplica"/>
    <s v="Não se aplica"/>
    <s v="Ponta"/>
    <s v="CATIVO"/>
    <x v="3"/>
    <n v="0"/>
    <n v="0"/>
    <n v="17.135000000000002"/>
    <n v="17.135000000000002"/>
    <n v="17.135000000000002"/>
    <n v="17.135000000000002"/>
    <m/>
    <n v="2592.54"/>
    <n v="216.76"/>
    <m/>
    <n v="48137.355500000005"/>
    <n v="48137.355500000005"/>
    <n v="20239.862000000001"/>
    <n v="0"/>
    <n v="903.54974305316398"/>
    <n v="0"/>
    <n v="0"/>
    <n v="0"/>
    <n v="86.645444273088088"/>
    <n v="39254.425928130979"/>
    <n v="3660.0617166130032"/>
    <n v="54.102130159111198"/>
    <n v="0"/>
    <n v="0"/>
    <n v="0"/>
    <n v="0"/>
    <n v="160.61721273959301"/>
    <m/>
    <n v="23.530162337052346"/>
    <n v="773.04332385216674"/>
    <n v="2933.5248293920117"/>
    <n v="0"/>
    <n v="0"/>
    <n v="0"/>
    <n v="0"/>
    <n v="0"/>
    <n v="0"/>
    <n v="0"/>
    <n v="0"/>
    <n v="0"/>
    <n v="0"/>
    <m/>
    <n v="0"/>
    <n v="0"/>
    <n v="7.8358131980256722"/>
    <n v="0"/>
    <n v="0"/>
    <n v="279.92004723158743"/>
    <n v="0"/>
    <n v="0"/>
    <n v="0"/>
    <n v="0"/>
    <n v="0"/>
    <m/>
    <m/>
    <m/>
    <m/>
    <m/>
    <m/>
    <m/>
    <m/>
    <m/>
    <n v="3947.8175770426164"/>
    <m/>
    <m/>
    <m/>
    <m/>
    <m/>
    <m/>
    <m/>
    <m/>
    <m/>
    <m/>
    <m/>
    <m/>
    <n v="20245.768"/>
    <n v="-27891.617500000011"/>
    <m/>
    <m/>
    <m/>
    <m/>
    <n v="-28456.608550000004"/>
    <n v="559.11505"/>
    <n v="31"/>
    <n v="943.25960612291783"/>
    <n v="79.740597109030659"/>
    <n v="302.59755735838826"/>
    <n v="0"/>
    <n v="0"/>
    <n v="0"/>
    <n v="0"/>
    <n v="0"/>
    <n v="8.47176346300256"/>
    <n v="0"/>
    <n v="0"/>
    <n v="559.18690602318475"/>
    <n v="0"/>
    <n v="0"/>
    <n v="1.1971612714865572"/>
    <n v="42.766389548793995"/>
    <n v="0"/>
    <n v="-43.169072815746063"/>
    <m/>
    <n v="0"/>
    <n v="0"/>
    <n v="0"/>
    <n v="0"/>
    <n v="-6.508307294871571"/>
    <n v="-1.0233885403494796"/>
    <n v="0"/>
    <n v="0"/>
    <m/>
    <m/>
    <m/>
    <n v="39254.425928130979"/>
    <n v="0"/>
    <n v="0"/>
    <n v="-28456.608550000004"/>
    <n v="559.11505000000034"/>
    <n v="0"/>
    <n v="0"/>
    <n v="-28840.612106843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4"/>
    <s v="Regular"/>
    <s v="Verde"/>
    <s v="A4"/>
    <s v="Comercial"/>
    <s v="Não se aplica"/>
    <s v="Não se aplica"/>
    <s v="Não se aplica"/>
    <s v="Fora ponta"/>
    <s v="CATIVO"/>
    <x v="3"/>
    <n v="0"/>
    <n v="0"/>
    <n v="123.096"/>
    <n v="123.096"/>
    <n v="123.096"/>
    <n v="123.096"/>
    <m/>
    <n v="80.27"/>
    <n v="216.76"/>
    <m/>
    <n v="36563.204879999998"/>
    <n v="36563.204879999998"/>
    <n v="40531.819920000002"/>
    <n v="0"/>
    <n v="6491.0043286181653"/>
    <n v="0"/>
    <n v="0"/>
    <n v="0"/>
    <n v="0"/>
    <n v="0"/>
    <n v="26293.490345386297"/>
    <n v="388.66389343833976"/>
    <n v="0"/>
    <n v="0"/>
    <n v="0"/>
    <n v="0"/>
    <n v="1153.8568088353043"/>
    <m/>
    <n v="169.03815950054249"/>
    <n v="0"/>
    <n v="0"/>
    <n v="0"/>
    <n v="0"/>
    <n v="0"/>
    <n v="0"/>
    <n v="0"/>
    <n v="0"/>
    <n v="0"/>
    <n v="0"/>
    <n v="0"/>
    <n v="0"/>
    <m/>
    <n v="0"/>
    <n v="0"/>
    <n v="56.291640585011265"/>
    <n v="0"/>
    <n v="0"/>
    <n v="2010.9155607831624"/>
    <n v="0"/>
    <n v="0"/>
    <n v="0"/>
    <n v="0"/>
    <n v="0"/>
    <m/>
    <m/>
    <m/>
    <m/>
    <m/>
    <m/>
    <m/>
    <m/>
    <m/>
    <n v="28360.697546754473"/>
    <m/>
    <m/>
    <m/>
    <m/>
    <m/>
    <m/>
    <m/>
    <m/>
    <m/>
    <m/>
    <m/>
    <m/>
    <n v="40533.136999999995"/>
    <n v="3969.9021199999988"/>
    <m/>
    <m/>
    <m/>
    <m/>
    <n v="-48.007440000000074"/>
    <n v="4016.6224799999995"/>
    <n v="31"/>
    <n v="3968.7392365184496"/>
    <n v="0"/>
    <n v="0"/>
    <n v="0"/>
    <n v="0"/>
    <n v="0"/>
    <n v="0"/>
    <n v="0"/>
    <n v="0"/>
    <n v="0"/>
    <n v="0"/>
    <n v="4017.1386859544764"/>
    <n v="0"/>
    <n v="0"/>
    <n v="8.6002780201289397"/>
    <n v="307.2291501545576"/>
    <n v="0"/>
    <n v="-310.12198350318522"/>
    <m/>
    <n v="0"/>
    <n v="0"/>
    <n v="0"/>
    <n v="0"/>
    <n v="-46.754980727721659"/>
    <n v="-7.351913379799214"/>
    <n v="0"/>
    <n v="0"/>
    <m/>
    <m/>
    <m/>
    <n v="0"/>
    <n v="0"/>
    <n v="0"/>
    <n v="-48.007439999999406"/>
    <n v="4016.62248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5"/>
    <s v="Regular"/>
    <s v="Verde"/>
    <s v="A4"/>
    <s v="Comercial"/>
    <s v="Não se aplica"/>
    <s v="Não se aplica"/>
    <s v="Não se aplica"/>
    <s v="Não se aplica"/>
    <s v="CATIVO"/>
    <x v="3"/>
    <n v="1091"/>
    <n v="1091"/>
    <n v="0"/>
    <n v="0"/>
    <n v="0"/>
    <n v="0"/>
    <n v="32.17"/>
    <m/>
    <m/>
    <n v="35097.47"/>
    <m/>
    <n v="35097.47"/>
    <n v="14106.63"/>
    <n v="0"/>
    <n v="0"/>
    <n v="0"/>
    <n v="0"/>
    <n v="0"/>
    <n v="109.00860161822146"/>
    <n v="29377.068352485861"/>
    <m/>
    <m/>
    <m/>
    <n v="0"/>
    <n v="0"/>
    <n v="0"/>
    <n v="0"/>
    <m/>
    <n v="0"/>
    <n v="1924.9834270973795"/>
    <n v="3690.7058955012371"/>
    <n v="0"/>
    <n v="0"/>
    <m/>
    <m/>
    <n v="0"/>
    <n v="0"/>
    <n v="0"/>
    <m/>
    <m/>
    <n v="0"/>
    <m/>
    <n v="0"/>
    <n v="0"/>
    <n v="0"/>
    <n v="0"/>
    <m/>
    <n v="0"/>
    <n v="0"/>
    <n v="635.22"/>
    <n v="2919.22"/>
    <n v="43168.27"/>
    <n v="8"/>
    <m/>
    <m/>
    <m/>
    <m/>
    <m/>
    <m/>
    <m/>
    <m/>
    <m/>
    <n v="0"/>
    <m/>
    <m/>
    <m/>
    <m/>
    <m/>
    <m/>
    <m/>
    <m/>
    <m/>
    <m/>
    <m/>
    <m/>
    <n v="14106.63"/>
    <n v="-20990.87000000001"/>
    <m/>
    <m/>
    <m/>
    <m/>
    <n v="-20990.840000000004"/>
    <n v="0"/>
    <n v="31"/>
    <n v="589.92523542345498"/>
    <n v="198.5649745176413"/>
    <n v="380.70193840438333"/>
    <n v="0"/>
    <n v="0"/>
    <m/>
    <m/>
    <m/>
    <n v="10.658322501430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77.068352485861"/>
    <m/>
    <n v="0"/>
    <n v="0"/>
    <n v="-20990.840000000004"/>
    <m/>
    <n v="0"/>
    <m/>
    <n v="-21583.620525783543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66"/>
    <s v="Regular"/>
    <s v="Convencional"/>
    <s v="B2"/>
    <s v="Rural"/>
    <s v="Não se aplica"/>
    <s v="Não se aplica"/>
    <s v="Não se aplica"/>
    <s v="Não se aplica"/>
    <s v="CATIVO"/>
    <x v="3"/>
    <n v="0"/>
    <n v="0"/>
    <n v="3677.192"/>
    <n v="3677.192"/>
    <n v="3677.192"/>
    <n v="3677.192"/>
    <m/>
    <n v="571.87"/>
    <n v="216.76"/>
    <m/>
    <n v="2899943.9269600003"/>
    <n v="2899943.9269600003"/>
    <n v="1890113.4599199998"/>
    <n v="0"/>
    <n v="222876.87610940496"/>
    <n v="0"/>
    <n v="0"/>
    <n v="0"/>
    <n v="3022.3344805217071"/>
    <n v="1567894.6157936323"/>
    <n v="785453.73001666775"/>
    <n v="11610.383437644727"/>
    <n v="0"/>
    <n v="0"/>
    <n v="0"/>
    <n v="0"/>
    <n v="34468.650700223487"/>
    <m/>
    <n v="7054.5809041371949"/>
    <n v="32659.707909418968"/>
    <n v="102325.60831191426"/>
    <n v="0"/>
    <n v="0"/>
    <n v="0"/>
    <n v="0"/>
    <n v="0"/>
    <n v="0"/>
    <n v="0"/>
    <n v="0"/>
    <n v="0"/>
    <n v="0"/>
    <m/>
    <n v="0"/>
    <n v="0"/>
    <n v="2188.1852530252722"/>
    <n v="0"/>
    <n v="0"/>
    <n v="130386.74714593722"/>
    <n v="0"/>
    <n v="13619.59"/>
    <n v="62827.87"/>
    <n v="142424.43"/>
    <n v="10531"/>
    <m/>
    <m/>
    <m/>
    <m/>
    <m/>
    <n v="226809.20255999992"/>
    <m/>
    <m/>
    <m/>
    <n v="918028.66241563018"/>
    <m/>
    <m/>
    <m/>
    <m/>
    <m/>
    <m/>
    <m/>
    <m/>
    <m/>
    <m/>
    <m/>
    <m/>
    <n v="1663303.3527000002"/>
    <n v="-888667.92529999977"/>
    <m/>
    <m/>
    <m/>
    <m/>
    <n v="-1129817.2420000001"/>
    <n v="119986.77495999998"/>
    <n v="31"/>
    <n v="142124.59545632126"/>
    <n v="3368.8986499825915"/>
    <n v="10555.042459557124"/>
    <n v="0"/>
    <n v="0"/>
    <n v="0"/>
    <n v="0"/>
    <n v="0"/>
    <n v="295.50893344555379"/>
    <n v="0"/>
    <n v="0"/>
    <n v="120002.19535063941"/>
    <n v="0"/>
    <n v="0"/>
    <n v="334.31254338986764"/>
    <n v="19920.58259346422"/>
    <n v="0"/>
    <n v="-10648.432106462336"/>
    <m/>
    <n v="0"/>
    <n v="0"/>
    <n v="0"/>
    <n v="0"/>
    <n v="-1396.6907218116976"/>
    <n v="-306.82224588369172"/>
    <n v="0"/>
    <n v="0"/>
    <m/>
    <m/>
    <m/>
    <n v="1567894.6157936323"/>
    <n v="0"/>
    <n v="0"/>
    <n v="-1129817.2420000001"/>
    <n v="119986.77495999995"/>
    <n v="0"/>
    <n v="0"/>
    <n v="-1151947.5669138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7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3.585"/>
    <n v="-3.585"/>
    <n v="-3.585"/>
    <n v="-3.585"/>
    <m/>
    <n v="571.87"/>
    <n v="216.76"/>
    <m/>
    <n v="-2827.23855"/>
    <n v="-2827.23855"/>
    <n v="-1842.7258499999998"/>
    <n v="0"/>
    <n v="-217.28906210288091"/>
    <n v="0"/>
    <n v="0"/>
    <n v="0"/>
    <n v="-2.9465606127366533"/>
    <n v="-1528.5854526008357"/>
    <n v="-765.76138045273501"/>
    <n v="-11.31929598018171"/>
    <n v="0"/>
    <n v="0"/>
    <n v="0"/>
    <n v="0"/>
    <n v="-33.604476665972619"/>
    <m/>
    <n v="-6.8777133588161403"/>
    <n v="-31.840886430533679"/>
    <n v="-99.760171837155255"/>
    <n v="0"/>
    <n v="0"/>
    <n v="0"/>
    <n v="0"/>
    <n v="0"/>
    <n v="0"/>
    <n v="0"/>
    <n v="0"/>
    <n v="0"/>
    <n v="0"/>
    <m/>
    <n v="0"/>
    <n v="0"/>
    <n v="-2.1333245944447832"/>
    <n v="0"/>
    <n v="0"/>
    <n v="-127.11778131742507"/>
    <n v="0"/>
    <n v="-9.68"/>
    <n v="-44.3"/>
    <n v="-145.63"/>
    <n v="0"/>
    <m/>
    <m/>
    <m/>
    <m/>
    <m/>
    <n v="-221.12279999999993"/>
    <m/>
    <m/>
    <m/>
    <n v="-895.0124863646048"/>
    <m/>
    <m/>
    <m/>
    <m/>
    <m/>
    <m/>
    <m/>
    <m/>
    <m/>
    <m/>
    <m/>
    <m/>
    <n v="-1623.8647000000001"/>
    <n v="864.0952999999995"/>
    <m/>
    <m/>
    <m/>
    <m/>
    <n v="1101.49125"/>
    <n v="-116.97854999999998"/>
    <n v="31"/>
    <n v="-138.56134645971997"/>
    <n v="-3.2844359664079548"/>
    <n v="-10.290413777010372"/>
    <n v="0"/>
    <n v="0"/>
    <n v="0"/>
    <n v="0"/>
    <n v="0"/>
    <n v="-0.28810013901974951"/>
    <n v="0"/>
    <n v="0"/>
    <n v="-116.99358378133172"/>
    <n v="0"/>
    <n v="0"/>
    <n v="-0.32593089184700563"/>
    <n v="-19.421147603271507"/>
    <n v="0"/>
    <n v="10.381462023649448"/>
    <m/>
    <n v="0"/>
    <n v="0"/>
    <n v="0"/>
    <n v="0"/>
    <n v="1.3616738635608172"/>
    <n v="0.29912981195788291"/>
    <n v="0"/>
    <n v="0"/>
    <m/>
    <m/>
    <m/>
    <n v="-1528.5854526008357"/>
    <n v="0"/>
    <n v="0"/>
    <n v="1101.49125"/>
    <n v="-116.97855000000004"/>
    <n v="0"/>
    <n v="0"/>
    <n v="1123.066738801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8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37.037999999999997"/>
    <n v="37.037999999999997"/>
    <n v="37.037999999999997"/>
    <n v="37.037999999999997"/>
    <m/>
    <n v="571.87"/>
    <n v="216.76"/>
    <m/>
    <n v="29209.277939999996"/>
    <n v="29209.277939999996"/>
    <n v="19037.90238"/>
    <n v="0"/>
    <n v="2244.8960340771273"/>
    <n v="0"/>
    <n v="0"/>
    <n v="0"/>
    <n v="30.442039602382188"/>
    <n v="15792.398324527127"/>
    <n v="7911.3723875058295"/>
    <n v="116.9439566287225"/>
    <n v="0"/>
    <n v="0"/>
    <n v="0"/>
    <n v="0"/>
    <n v="347.18064344610707"/>
    <m/>
    <n v="71.056275420873689"/>
    <n v="328.96032123127094"/>
    <n v="1030.6603192481327"/>
    <n v="0"/>
    <n v="0"/>
    <n v="0"/>
    <n v="0"/>
    <n v="0"/>
    <n v="0"/>
    <n v="0"/>
    <n v="0"/>
    <n v="0"/>
    <n v="0"/>
    <m/>
    <n v="0"/>
    <n v="0"/>
    <n v="22.040188655242922"/>
    <n v="0"/>
    <n v="0"/>
    <n v="1313.3021992844601"/>
    <n v="0"/>
    <n v="135.41999999999999"/>
    <n v="626.48"/>
    <n v="1396.46"/>
    <n v="152"/>
    <m/>
    <m/>
    <m/>
    <m/>
    <m/>
    <n v="2284.5038399999989"/>
    <m/>
    <m/>
    <m/>
    <n v="9246.7147754455327"/>
    <m/>
    <m/>
    <m/>
    <m/>
    <m/>
    <m/>
    <m/>
    <m/>
    <m/>
    <m/>
    <m/>
    <m/>
    <n v="16754.303200000002"/>
    <n v="-8950.0987999999888"/>
    <m/>
    <m/>
    <m/>
    <m/>
    <n v="-11379.925499999999"/>
    <n v="1208.5499399999997"/>
    <n v="31"/>
    <n v="1431.5300279428502"/>
    <n v="33.932758528261559"/>
    <n v="106.31418283763173"/>
    <n v="0"/>
    <n v="0"/>
    <n v="0"/>
    <n v="0"/>
    <n v="0"/>
    <n v="2.9764722312450473"/>
    <n v="0"/>
    <n v="0"/>
    <n v="1208.7052597190959"/>
    <n v="0"/>
    <n v="0"/>
    <n v="3.3673161428812826"/>
    <n v="200.64727055229287"/>
    <n v="0"/>
    <n v="-107.25483694056538"/>
    <m/>
    <n v="0"/>
    <n v="0"/>
    <n v="0"/>
    <n v="0"/>
    <n v="-14.067971146043362"/>
    <n v="-3.0904239819514885"/>
    <n v="0"/>
    <n v="0"/>
    <m/>
    <m/>
    <m/>
    <n v="15792.398324527127"/>
    <n v="0"/>
    <n v="0"/>
    <n v="-11379.925499999998"/>
    <n v="1208.549939999999"/>
    <n v="0"/>
    <n v="0"/>
    <n v="-11602.83008974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69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30.19"/>
    <n v="30.19"/>
    <n v="30.19"/>
    <n v="30.19"/>
    <m/>
    <n v="571.87"/>
    <n v="216.76"/>
    <m/>
    <n v="23808.739700000002"/>
    <n v="23808.739700000002"/>
    <n v="15517.9619"/>
    <n v="0"/>
    <n v="1829.8345285595467"/>
    <n v="0"/>
    <n v="0"/>
    <n v="0"/>
    <n v="24.813574588150505"/>
    <n v="12872.522960674822"/>
    <n v="6448.6293098655715"/>
    <n v="95.32204899349675"/>
    <n v="0"/>
    <n v="0"/>
    <n v="0"/>
    <n v="0"/>
    <n v="282.99000015222134"/>
    <m/>
    <n v="57.918595900323375"/>
    <n v="268.13845504541473"/>
    <n v="840.10030342084167"/>
    <n v="0"/>
    <n v="0"/>
    <n v="0"/>
    <n v="0"/>
    <n v="0"/>
    <n v="0"/>
    <n v="0"/>
    <n v="0"/>
    <n v="0"/>
    <n v="0"/>
    <m/>
    <n v="0"/>
    <n v="0"/>
    <n v="17.965151884599166"/>
    <n v="0"/>
    <n v="0"/>
    <n v="1070.4841891138251"/>
    <n v="0"/>
    <n v="124.71"/>
    <n v="575.22"/>
    <n v="7900.14"/>
    <n v="102"/>
    <m/>
    <m/>
    <m/>
    <m/>
    <m/>
    <m/>
    <m/>
    <m/>
    <m/>
    <n v="7537.0786508639958"/>
    <m/>
    <m/>
    <m/>
    <m/>
    <m/>
    <m/>
    <m/>
    <m/>
    <m/>
    <m/>
    <m/>
    <m/>
    <n v="15517.9619"/>
    <n v="-8290.8077999999969"/>
    <m/>
    <m/>
    <m/>
    <m/>
    <n v="-9275.8775000000005"/>
    <n v="985.09969999999987"/>
    <n v="31"/>
    <n v="1166.8527335059825"/>
    <n v="27.658890327993333"/>
    <n v="86.65762675814301"/>
    <n v="0"/>
    <n v="0"/>
    <n v="0"/>
    <n v="0"/>
    <n v="0"/>
    <n v="2.4261487299877942"/>
    <n v="0"/>
    <n v="0"/>
    <n v="985.22630247096276"/>
    <n v="0"/>
    <n v="0"/>
    <n v="2.7447290445916614"/>
    <n v="163.54935736199923"/>
    <n v="0"/>
    <n v="-87.424362201946224"/>
    <m/>
    <n v="0"/>
    <n v="0"/>
    <n v="0"/>
    <n v="0"/>
    <n v="-11.466927180167659"/>
    <n v="-2.5190318055811716"/>
    <n v="0"/>
    <n v="0"/>
    <m/>
    <m/>
    <m/>
    <n v="12872.522960674822"/>
    <n v="0"/>
    <n v="0"/>
    <n v="-9275.8775000000005"/>
    <n v="985.09969999999976"/>
    <n v="0"/>
    <n v="0"/>
    <n v="-9457.5689942570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0"/>
    <s v="Sistema de Compensação"/>
    <s v="Convencional"/>
    <s v="B3"/>
    <s v="Poder público"/>
    <s v="Não se aplica"/>
    <s v="Não se aplica"/>
    <s v="Não se aplica"/>
    <s v="Não se aplica"/>
    <s v="CATIVO"/>
    <x v="3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41"/>
    <n v="1.91"/>
    <n v="95.9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1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1"/>
    <s v="Regular"/>
    <s v="Verde"/>
    <s v="A4"/>
    <s v="Poder público"/>
    <s v="Não se aplica"/>
    <s v="Não se aplica"/>
    <s v="Não se aplica"/>
    <s v="Ponta"/>
    <s v="CATIVO"/>
    <x v="3"/>
    <n v="0"/>
    <n v="0"/>
    <n v="1.071"/>
    <n v="1.071"/>
    <n v="1.071"/>
    <n v="1.071"/>
    <m/>
    <n v="2592.54"/>
    <n v="216.76"/>
    <m/>
    <n v="3008.7602999999999"/>
    <n v="3008.7602999999999"/>
    <n v="1265.0652"/>
    <n v="0"/>
    <n v="56.475154643124505"/>
    <n v="0"/>
    <n v="0"/>
    <n v="0"/>
    <n v="5.4156563067684464"/>
    <n v="2453.5448012272118"/>
    <n v="228.76720738211415"/>
    <n v="3.3815804727404775"/>
    <n v="0"/>
    <n v="0"/>
    <n v="0"/>
    <n v="0"/>
    <n v="10.039161648328223"/>
    <m/>
    <n v="1.4707209724530528"/>
    <n v="48.318027420231715"/>
    <n v="183.35600188379598"/>
    <n v="0"/>
    <n v="0"/>
    <n v="0"/>
    <n v="0"/>
    <n v="0"/>
    <n v="0"/>
    <n v="0"/>
    <n v="0"/>
    <n v="0"/>
    <n v="0"/>
    <m/>
    <n v="0"/>
    <n v="0"/>
    <n v="0.48976690604525785"/>
    <n v="0"/>
    <n v="0"/>
    <n v="17.496023961775904"/>
    <n v="0"/>
    <n v="0"/>
    <n v="0"/>
    <n v="0"/>
    <n v="0"/>
    <m/>
    <m/>
    <m/>
    <m/>
    <m/>
    <m/>
    <m/>
    <m/>
    <m/>
    <n v="246.7529982499353"/>
    <m/>
    <m/>
    <m/>
    <m/>
    <m/>
    <m/>
    <m/>
    <m/>
    <m/>
    <m/>
    <m/>
    <m/>
    <n v="1263.884"/>
    <n v="-1744.9063000000006"/>
    <m/>
    <m/>
    <m/>
    <m/>
    <n v="-1778.64183"/>
    <n v="34.946729999999995"/>
    <n v="31"/>
    <n v="58.957165926912694"/>
    <n v="4.9840781735495696"/>
    <n v="18.913451061034948"/>
    <n v="0"/>
    <n v="0"/>
    <n v="0"/>
    <n v="0"/>
    <n v="0"/>
    <n v="0.52951611723815173"/>
    <n v="0"/>
    <n v="0"/>
    <n v="34.951221263544284"/>
    <n v="0"/>
    <n v="0"/>
    <n v="7.4826946119760929E-2"/>
    <n v="2.6730553374238895"/>
    <n v="0"/>
    <n v="-2.6982245103976581"/>
    <m/>
    <n v="0"/>
    <n v="0"/>
    <n v="0"/>
    <n v="0"/>
    <n v="-0.40679294501356722"/>
    <n v="-6.3965516586769411E-2"/>
    <n v="0"/>
    <n v="0"/>
    <m/>
    <m/>
    <m/>
    <n v="2453.5448012272118"/>
    <n v="0"/>
    <n v="0"/>
    <n v="-1778.6418299999998"/>
    <n v="34.946729999999974"/>
    <n v="0"/>
    <n v="0"/>
    <n v="-1802.643452957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2"/>
    <s v="Regular"/>
    <s v="Verde"/>
    <s v="A4"/>
    <s v="Poder público"/>
    <s v="Não se aplica"/>
    <s v="Não se aplica"/>
    <s v="Não se aplica"/>
    <s v="Fora ponta"/>
    <s v="CATIVO"/>
    <x v="3"/>
    <n v="0"/>
    <n v="0"/>
    <n v="10.381"/>
    <n v="10.381"/>
    <n v="10.381"/>
    <n v="10.381"/>
    <m/>
    <n v="80.27"/>
    <n v="216.76"/>
    <m/>
    <n v="3083.4684299999999"/>
    <n v="3083.4684299999999"/>
    <n v="3418.1518700000001"/>
    <n v="0"/>
    <n v="547.40296951472976"/>
    <n v="0"/>
    <n v="0"/>
    <n v="0"/>
    <n v="0"/>
    <n v="0"/>
    <n v="2217.3971800501654"/>
    <n v="32.777018569111952"/>
    <n v="0"/>
    <n v="0"/>
    <n v="0"/>
    <n v="0"/>
    <n v="97.307691009612782"/>
    <m/>
    <n v="14.255419621881552"/>
    <n v="0"/>
    <n v="0"/>
    <n v="0"/>
    <n v="0"/>
    <n v="0"/>
    <n v="0"/>
    <n v="0"/>
    <n v="0"/>
    <n v="0"/>
    <n v="0"/>
    <n v="0"/>
    <n v="0"/>
    <m/>
    <n v="0"/>
    <n v="0"/>
    <n v="4.7472177886608984"/>
    <n v="0"/>
    <n v="0"/>
    <n v="169.58564402165794"/>
    <n v="0"/>
    <n v="0"/>
    <n v="0"/>
    <n v="0"/>
    <n v="0"/>
    <m/>
    <m/>
    <m/>
    <m/>
    <m/>
    <m/>
    <m/>
    <m/>
    <m/>
    <n v="2391.7300418604841"/>
    <m/>
    <m/>
    <m/>
    <m/>
    <m/>
    <m/>
    <m/>
    <m/>
    <m/>
    <m/>
    <m/>
    <m/>
    <n v="3417.8226"/>
    <n v="334.32416999999987"/>
    <m/>
    <m/>
    <m/>
    <m/>
    <n v="-4.0485900000000061"/>
    <n v="338.73202999999995"/>
    <n v="31"/>
    <n v="334.69391380953175"/>
    <n v="0"/>
    <n v="0"/>
    <n v="0"/>
    <n v="0"/>
    <n v="0"/>
    <n v="0"/>
    <n v="0"/>
    <n v="0"/>
    <n v="0"/>
    <n v="0"/>
    <n v="338.77556296624925"/>
    <n v="0"/>
    <n v="0"/>
    <n v="0.72528340585362994"/>
    <n v="25.909418728102168"/>
    <n v="0"/>
    <n v="-26.153378751109358"/>
    <m/>
    <n v="0"/>
    <n v="0"/>
    <n v="0"/>
    <n v="0"/>
    <n v="-3.9429669114713732"/>
    <n v="-0.62000562809267379"/>
    <n v="0"/>
    <n v="0"/>
    <m/>
    <m/>
    <m/>
    <n v="0"/>
    <n v="0"/>
    <n v="0"/>
    <n v="-4.0485899999999901"/>
    <n v="338.73203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3"/>
    <s v="Regular"/>
    <s v="Verde"/>
    <s v="A4"/>
    <s v="Poder público"/>
    <s v="Não se aplica"/>
    <s v="Não se aplica"/>
    <s v="Não se aplica"/>
    <s v="Não se aplica"/>
    <s v="CATIVO"/>
    <x v="3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45.76"/>
    <n v="210.31"/>
    <n v="2977.87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n v="31"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74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74.558999999999997"/>
    <n v="74.558999999999997"/>
    <n v="74.558999999999997"/>
    <n v="74.558999999999997"/>
    <m/>
    <n v="314.52999999999997"/>
    <n v="119.22"/>
    <m/>
    <n v="32339.966249999998"/>
    <n v="32339.966249999998"/>
    <n v="21078.574889999996"/>
    <n v="0"/>
    <n v="2485.4868479025881"/>
    <n v="0"/>
    <n v="0"/>
    <n v="0"/>
    <n v="33.704584936894776"/>
    <n v="17484.906978593051"/>
    <n v="8759.2528649502256"/>
    <n v="129.47711685983347"/>
    <n v="0"/>
    <n v="0"/>
    <n v="0"/>
    <n v="0"/>
    <n v="384.38881357211665"/>
    <m/>
    <n v="78.671544400553572"/>
    <n v="364.21577636144713"/>
    <n v="1141.1186216467347"/>
    <n v="0"/>
    <n v="0"/>
    <n v="0"/>
    <n v="0"/>
    <n v="0"/>
    <n v="0"/>
    <n v="0"/>
    <n v="0"/>
    <n v="0"/>
    <n v="0"/>
    <m/>
    <n v="0"/>
    <n v="0"/>
    <n v="24.402287765820041"/>
    <n v="0"/>
    <n v="0"/>
    <n v="1454.0518999958863"/>
    <n v="0"/>
    <n v="200.81"/>
    <n v="923.07"/>
    <n v="8197.3700000000008"/>
    <n v="10"/>
    <m/>
    <m/>
    <m/>
    <m/>
    <m/>
    <m/>
    <m/>
    <m/>
    <m/>
    <n v="10237.707052711932"/>
    <m/>
    <m/>
    <m/>
    <m/>
    <m/>
    <m/>
    <m/>
    <m/>
    <m/>
    <m/>
    <m/>
    <m/>
    <n v="21078.857599999999"/>
    <n v="-11261.138649999994"/>
    <m/>
    <m/>
    <m/>
    <m/>
    <n v="-12599.725409999997"/>
    <n v="1338.334049999999"/>
    <n v="31"/>
    <n v="1584.9504844852454"/>
    <n v="37.569412460439878"/>
    <n v="117.70812508788731"/>
    <n v="0"/>
    <n v="0"/>
    <n v="0"/>
    <n v="0"/>
    <n v="0"/>
    <n v="3.2954677952148828"/>
    <n v="0"/>
    <n v="0"/>
    <n v="1338.2450592004789"/>
    <n v="0"/>
    <n v="0"/>
    <n v="3.7281993726279907"/>
    <n v="222.15111277092387"/>
    <n v="0"/>
    <n v="-118.74959131428113"/>
    <m/>
    <n v="0"/>
    <n v="0"/>
    <n v="0"/>
    <n v="0"/>
    <n v="-15.575668863675276"/>
    <n v="-3.4216320243714193"/>
    <n v="0"/>
    <n v="0"/>
    <m/>
    <m/>
    <m/>
    <n v="17484.906978593051"/>
    <n v="0"/>
    <n v="0"/>
    <n v="-12599.725409999999"/>
    <n v="1338.3340499999995"/>
    <n v="0"/>
    <n v="0"/>
    <n v="-12846.332813963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5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130.50800000000001"/>
    <n v="122.67752"/>
    <n v="130.50800000000001"/>
    <n v="122.67752"/>
    <m/>
    <n v="571.87"/>
    <n v="216.76"/>
    <m/>
    <n v="102922.52404"/>
    <n v="102922.52404"/>
    <n v="67082.417079999999"/>
    <n v="0"/>
    <n v="7910.1704091834818"/>
    <n v="0"/>
    <n v="0"/>
    <n v="0"/>
    <n v="107.2663130954073"/>
    <n v="55646.479846033442"/>
    <n v="27876.70466949109"/>
    <n v="412.06657734492467"/>
    <n v="0"/>
    <n v="0"/>
    <n v="0"/>
    <n v="0"/>
    <n v="1223.3341815126234"/>
    <m/>
    <n v="250.37562483469372"/>
    <n v="1159.1326098399134"/>
    <n v="3631.6598343440614"/>
    <n v="0"/>
    <n v="0"/>
    <n v="0"/>
    <n v="0"/>
    <n v="0"/>
    <n v="0"/>
    <n v="0"/>
    <n v="0"/>
    <n v="0"/>
    <n v="0"/>
    <m/>
    <n v="0"/>
    <n v="0"/>
    <n v="77.661346212496454"/>
    <n v="0"/>
    <n v="0"/>
    <n v="4627.5836552788041"/>
    <n v="0"/>
    <n v="507.57"/>
    <n v="2334.6"/>
    <n v="37713.519999999997"/>
    <n v="91"/>
    <m/>
    <m/>
    <m/>
    <m/>
    <n v="4024.9450248000039"/>
    <m/>
    <m/>
    <m/>
    <m/>
    <n v="32581.949670982387"/>
    <m/>
    <m/>
    <m/>
    <m/>
    <m/>
    <m/>
    <m/>
    <m/>
    <m/>
    <m/>
    <m/>
    <m/>
    <n v="63058.746800000001"/>
    <n v="-33688.455797599985"/>
    <m/>
    <m/>
    <m/>
    <m/>
    <n v="-40098.583000000006"/>
    <n v="4258.4760399999996"/>
    <n v="31"/>
    <n v="5044.1741154156698"/>
    <n v="119.5662954264908"/>
    <n v="374.6112471994611"/>
    <n v="0"/>
    <n v="0"/>
    <n v="0"/>
    <n v="0"/>
    <n v="0"/>
    <n v="10.487970137570287"/>
    <n v="0"/>
    <n v="0"/>
    <n v="4259.0233283497982"/>
    <n v="0"/>
    <n v="0"/>
    <n v="11.865157275639902"/>
    <n v="707.00561545544224"/>
    <n v="0"/>
    <n v="-377.92575893513003"/>
    <m/>
    <n v="0"/>
    <n v="0"/>
    <n v="0"/>
    <n v="0"/>
    <n v="-49.570246188450483"/>
    <n v="-10.889493305160272"/>
    <n v="0"/>
    <n v="0"/>
    <m/>
    <m/>
    <m/>
    <n v="55646.479846033442"/>
    <n v="0"/>
    <n v="0"/>
    <n v="-40098.582999999999"/>
    <n v="4258.4760399999977"/>
    <n v="0"/>
    <n v="0"/>
    <n v="-40884.015048112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3.6850000000000001"/>
    <n v="3.4639000000000002"/>
    <n v="3.6850000000000001"/>
    <n v="3.4639000000000002"/>
    <m/>
    <n v="2592.54"/>
    <n v="216.76"/>
    <m/>
    <n v="10352.270499999999"/>
    <n v="10352.270499999999"/>
    <n v="4352.7219999999998"/>
    <n v="0"/>
    <n v="194.31460771233785"/>
    <n v="0"/>
    <n v="0"/>
    <n v="0"/>
    <n v="18.633700738040829"/>
    <n v="8441.9351937649626"/>
    <n v="787.12153053509871"/>
    <n v="11.635036453826947"/>
    <n v="0"/>
    <n v="0"/>
    <n v="0"/>
    <n v="0"/>
    <n v="34.541840031829601"/>
    <m/>
    <n v="5.0603237941078429"/>
    <n v="166.24830162796815"/>
    <n v="630.87475904928874"/>
    <n v="0"/>
    <n v="0"/>
    <n v="0"/>
    <n v="0"/>
    <n v="0"/>
    <n v="0"/>
    <n v="0"/>
    <n v="0"/>
    <n v="0"/>
    <n v="0"/>
    <m/>
    <n v="0"/>
    <n v="0"/>
    <n v="1.685145703806513"/>
    <n v="0"/>
    <n v="0"/>
    <n v="60.198737907697677"/>
    <n v="0"/>
    <n v="0"/>
    <n v="0"/>
    <n v="0"/>
    <n v="0"/>
    <m/>
    <m/>
    <m/>
    <m/>
    <n v="261.16331999999983"/>
    <m/>
    <m/>
    <m/>
    <m/>
    <n v="849.0054141466029"/>
    <m/>
    <m/>
    <m/>
    <m/>
    <m/>
    <m/>
    <m/>
    <m/>
    <m/>
    <m/>
    <m/>
    <m/>
    <n v="4086.9519999999998"/>
    <n v="-5644.2122700000018"/>
    <m/>
    <m/>
    <m/>
    <m/>
    <n v="-6119.7900500000005"/>
    <n v="120.24154999999999"/>
    <n v="31"/>
    <n v="202.85448780641696"/>
    <n v="17.148765704509941"/>
    <n v="65.075692959770095"/>
    <n v="0"/>
    <n v="0"/>
    <n v="0"/>
    <n v="0"/>
    <n v="0"/>
    <n v="1.8219111970332307"/>
    <n v="0"/>
    <n v="0"/>
    <n v="120.25700313366997"/>
    <n v="0"/>
    <n v="0"/>
    <n v="0.25745779313848627"/>
    <n v="9.1972072067292601"/>
    <n v="0"/>
    <n v="-9.2838070222366014"/>
    <m/>
    <n v="0"/>
    <n v="0"/>
    <n v="0"/>
    <n v="0"/>
    <n v="-1.3996563981092365"/>
    <n v="-0.22008676808799699"/>
    <n v="0"/>
    <n v="0"/>
    <m/>
    <m/>
    <m/>
    <n v="8441.9351937649626"/>
    <n v="0"/>
    <n v="0"/>
    <n v="-6119.7900499999996"/>
    <n v="120.24154999999996"/>
    <n v="0"/>
    <n v="0"/>
    <n v="-6202.3726649382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94.995000000000005"/>
    <n v="89.295299999999997"/>
    <n v="94.995000000000005"/>
    <n v="89.295299999999997"/>
    <m/>
    <n v="80.27"/>
    <n v="216.76"/>
    <m/>
    <n v="28216.364849999998"/>
    <n v="28216.364849999998"/>
    <n v="31279.003649999999"/>
    <n v="0"/>
    <n v="5009.2038425057081"/>
    <n v="0"/>
    <n v="0"/>
    <n v="0"/>
    <n v="0"/>
    <n v="0"/>
    <n v="20291.074570741304"/>
    <n v="299.93766293929195"/>
    <n v="0"/>
    <n v="0"/>
    <n v="0"/>
    <n v="0"/>
    <n v="890.44832939583523"/>
    <m/>
    <n v="130.44924255665524"/>
    <n v="0"/>
    <n v="0"/>
    <n v="0"/>
    <n v="0"/>
    <n v="0"/>
    <n v="0"/>
    <n v="0"/>
    <n v="0"/>
    <n v="0"/>
    <n v="0"/>
    <n v="0"/>
    <n v="0"/>
    <m/>
    <n v="0"/>
    <n v="0"/>
    <n v="43.44108985972855"/>
    <n v="0"/>
    <n v="0"/>
    <n v="1551.8532177860898"/>
    <n v="0"/>
    <n v="0"/>
    <n v="0"/>
    <n v="0"/>
    <n v="0"/>
    <m/>
    <m/>
    <m/>
    <m/>
    <n v="1876.7402190000023"/>
    <m/>
    <m/>
    <m/>
    <m/>
    <n v="21886.368878387122"/>
    <m/>
    <m/>
    <m/>
    <m/>
    <m/>
    <m/>
    <m/>
    <m/>
    <m/>
    <m/>
    <m/>
    <m/>
    <n v="29403.810999999998"/>
    <n v="2880.3980410000004"/>
    <m/>
    <m/>
    <m/>
    <m/>
    <n v="-37.048050000000053"/>
    <n v="3099.6868499999996"/>
    <n v="31"/>
    <n v="3062.7346442863345"/>
    <n v="0"/>
    <n v="0"/>
    <n v="0"/>
    <n v="0"/>
    <n v="0"/>
    <n v="0"/>
    <n v="0"/>
    <n v="0"/>
    <n v="0"/>
    <n v="0"/>
    <n v="3100.0852137538604"/>
    <n v="0"/>
    <n v="0"/>
    <n v="6.6369614814628264"/>
    <n v="237.09326963453077"/>
    <n v="0"/>
    <n v="-239.32571182560787"/>
    <m/>
    <n v="0"/>
    <n v="0"/>
    <n v="0"/>
    <n v="0"/>
    <n v="-36.081508694270497"/>
    <n v="-5.6735800636415945"/>
    <n v="0"/>
    <n v="0"/>
    <m/>
    <m/>
    <m/>
    <n v="0"/>
    <n v="0"/>
    <n v="0"/>
    <n v="-37.048049999999421"/>
    <n v="3099.68684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78"/>
    <s v="Regular"/>
    <s v="Verde"/>
    <s v="A4"/>
    <s v="Serviço público"/>
    <s v="Água, esgoto e saneamento"/>
    <s v="Não se aplica"/>
    <s v="Não se aplica"/>
    <s v="Não se aplica"/>
    <s v="CATIVO"/>
    <x v="3"/>
    <n v="535"/>
    <n v="502.9"/>
    <n v="0"/>
    <n v="0"/>
    <n v="0"/>
    <n v="0"/>
    <n v="32.17"/>
    <m/>
    <m/>
    <n v="17210.95"/>
    <m/>
    <n v="17210.95"/>
    <n v="6917.55"/>
    <n v="0"/>
    <n v="0"/>
    <n v="0"/>
    <n v="0"/>
    <n v="0"/>
    <n v="53.455180445232344"/>
    <n v="14405.803454243754"/>
    <m/>
    <m/>
    <m/>
    <n v="0"/>
    <n v="0"/>
    <n v="0"/>
    <n v="0"/>
    <m/>
    <n v="0"/>
    <n v="943.96529193134563"/>
    <n v="1809.8328635134387"/>
    <n v="0"/>
    <n v="0"/>
    <m/>
    <m/>
    <n v="0"/>
    <n v="0"/>
    <n v="0"/>
    <m/>
    <m/>
    <n v="0"/>
    <m/>
    <n v="0"/>
    <n v="0"/>
    <n v="0"/>
    <n v="0"/>
    <m/>
    <n v="0"/>
    <n v="0"/>
    <n v="342.6"/>
    <n v="1574.36"/>
    <n v="24200.26"/>
    <n v="2"/>
    <m/>
    <m/>
    <m/>
    <m/>
    <n v="415.05300000000028"/>
    <m/>
    <m/>
    <m/>
    <m/>
    <n v="0"/>
    <m/>
    <m/>
    <m/>
    <m/>
    <m/>
    <m/>
    <m/>
    <m/>
    <m/>
    <m/>
    <m/>
    <m/>
    <n v="6502.4969999999994"/>
    <n v="-9675.8260000000009"/>
    <m/>
    <m/>
    <m/>
    <m/>
    <n v="-10293.400000000001"/>
    <n v="0"/>
    <n v="31"/>
    <n v="289.28506045054837"/>
    <n v="97.371458631473729"/>
    <n v="186.68701837428534"/>
    <n v="0"/>
    <n v="0"/>
    <m/>
    <m/>
    <m/>
    <n v="5.226583444789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05.803454243754"/>
    <m/>
    <n v="0"/>
    <n v="0"/>
    <n v="-10293.400000000001"/>
    <m/>
    <n v="0"/>
    <m/>
    <n v="-10584.08522575086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7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251"/>
    <n v="0.251"/>
    <n v="0.251"/>
    <n v="0.251"/>
    <m/>
    <n v="571.87"/>
    <n v="216.76"/>
    <m/>
    <n v="197.94612999999998"/>
    <n v="197.94612999999998"/>
    <n v="129.01650999999998"/>
    <n v="0"/>
    <n v="15.213264878053865"/>
    <n v="0"/>
    <n v="0"/>
    <n v="0"/>
    <n v="0.20630033857654112"/>
    <n v="107.02230086549784"/>
    <n v="53.613976706732636"/>
    <n v="0.79250858884954234"/>
    <n v="0"/>
    <n v="0"/>
    <n v="0"/>
    <n v="0"/>
    <n v="2.352782048301012"/>
    <m/>
    <n v="0.48153585859493764"/>
    <n v="2.2293061350248125"/>
    <n v="6.9846033838566166"/>
    <n v="0"/>
    <n v="0"/>
    <n v="0"/>
    <n v="0"/>
    <n v="0"/>
    <n v="0"/>
    <n v="0"/>
    <n v="0"/>
    <n v="0"/>
    <n v="0"/>
    <m/>
    <n v="0"/>
    <n v="0"/>
    <n v="0.14936247509222889"/>
    <n v="0"/>
    <n v="0"/>
    <n v="8.9000176040930814"/>
    <n v="0"/>
    <n v="1.04"/>
    <n v="4.79"/>
    <n v="73.03"/>
    <n v="2"/>
    <m/>
    <m/>
    <m/>
    <m/>
    <m/>
    <m/>
    <m/>
    <m/>
    <m/>
    <n v="62.663356785917948"/>
    <m/>
    <m/>
    <m/>
    <m/>
    <m/>
    <m/>
    <m/>
    <m/>
    <m/>
    <m/>
    <m/>
    <m/>
    <n v="128.5025"/>
    <n v="-69.473629999999957"/>
    <m/>
    <m/>
    <m/>
    <m/>
    <n v="-77.119749999999996"/>
    <n v="8.1901299999999981"/>
    <n v="31"/>
    <n v="9.7012267674727326"/>
    <n v="0.22995632568156132"/>
    <n v="0.72047248480602555"/>
    <n v="0"/>
    <n v="0"/>
    <n v="0"/>
    <n v="0"/>
    <n v="0"/>
    <n v="2.017102786442318E-2"/>
    <n v="0"/>
    <n v="0"/>
    <n v="8.1911825743693853"/>
    <n v="0"/>
    <n v="0"/>
    <n v="2.2819708187893584E-2"/>
    <n v="1.3597511990017157"/>
    <n v="0"/>
    <n v="-0.72684713192078299"/>
    <m/>
    <n v="0"/>
    <n v="0"/>
    <n v="0"/>
    <n v="0"/>
    <n v="-9.5336161716531365E-2"/>
    <n v="-2.0943258800956432E-2"/>
    <n v="0"/>
    <n v="0"/>
    <m/>
    <m/>
    <m/>
    <n v="107.02230086549784"/>
    <n v="0"/>
    <n v="0"/>
    <n v="-77.119749999999996"/>
    <n v="8.1901299999999964"/>
    <n v="0"/>
    <n v="0"/>
    <n v="-78.63033512946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0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1.27"/>
    <n v="331.53"/>
    <n v="926.71"/>
    <n v="12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81"/>
    <s v="Refaturamento - 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5"/>
    <n v="-6.89"/>
    <n v="-4.4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82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8499999999999996"/>
    <n v="22.36"/>
    <n v="38.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83"/>
    <s v="Regular"/>
    <s v="Convencional"/>
    <s v="B2"/>
    <s v="Rural"/>
    <s v="Agropecuária rural"/>
    <s v="IRRIG./AQUIC."/>
    <s v="Não se aplica"/>
    <s v="Não se aplica"/>
    <s v="CATIVO"/>
    <x v="3"/>
    <n v="0"/>
    <n v="0"/>
    <n v="16.279"/>
    <n v="16.279"/>
    <n v="16.279"/>
    <n v="16.279"/>
    <m/>
    <n v="571.87"/>
    <n v="216.76"/>
    <m/>
    <n v="12838.107769999999"/>
    <n v="12838.107769999999"/>
    <n v="8367.5687900000012"/>
    <n v="0"/>
    <n v="986.6802348599158"/>
    <n v="0"/>
    <n v="0"/>
    <n v="0"/>
    <n v="13.37993311429288"/>
    <n v="6941.0997441810332"/>
    <n v="3477.2188319079705"/>
    <n v="51.399391704707966"/>
    <n v="0"/>
    <n v="0"/>
    <n v="0"/>
    <n v="0"/>
    <n v="152.59338232785728"/>
    <m/>
    <n v="31.23076590464936"/>
    <n v="144.58515765764511"/>
    <n v="452.99744416654124"/>
    <n v="0"/>
    <n v="0"/>
    <n v="0"/>
    <n v="0"/>
    <n v="0"/>
    <n v="0"/>
    <n v="0"/>
    <n v="0"/>
    <n v="0"/>
    <n v="0"/>
    <m/>
    <n v="0"/>
    <n v="0"/>
    <n v="9.687138374607148"/>
    <n v="0"/>
    <n v="0"/>
    <n v="577.22464771725606"/>
    <n v="0"/>
    <n v="0"/>
    <n v="0"/>
    <n v="0"/>
    <n v="0"/>
    <m/>
    <m/>
    <m/>
    <m/>
    <m/>
    <n v="1004.0887199999996"/>
    <m/>
    <m/>
    <m/>
    <n v="4064.1306179998337"/>
    <m/>
    <m/>
    <m/>
    <m/>
    <m/>
    <m/>
    <m/>
    <m/>
    <m/>
    <m/>
    <m/>
    <m/>
    <n v="7363.9324000000006"/>
    <n v="-3933.7236000000003"/>
    <m/>
    <m/>
    <m/>
    <m/>
    <n v="-5001.7227499999999"/>
    <n v="531.18376999999987"/>
    <n v="31"/>
    <n v="629.18832887525514"/>
    <n v="14.914179385538375"/>
    <n v="46.727376813375656"/>
    <n v="0"/>
    <n v="0"/>
    <n v="0"/>
    <n v="0"/>
    <n v="0"/>
    <n v="1.3082237553981866"/>
    <n v="0"/>
    <n v="0"/>
    <n v="531.25203636716788"/>
    <n v="0"/>
    <n v="0"/>
    <n v="1.4800080860188025"/>
    <n v="88.188803858760593"/>
    <n v="0"/>
    <n v="-47.140814583818496"/>
    <m/>
    <n v="0"/>
    <n v="0"/>
    <n v="0"/>
    <n v="0"/>
    <n v="-6.1831767991371294"/>
    <n v="-1.3583080080508765"/>
    <n v="0"/>
    <n v="0"/>
    <m/>
    <m/>
    <m/>
    <n v="6941.0997441810332"/>
    <n v="0"/>
    <n v="0"/>
    <n v="-5001.722749999999"/>
    <n v="531.1837700000001"/>
    <n v="0"/>
    <n v="0"/>
    <n v="-5099.6941257870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4"/>
    <s v="Refaturamento - Regular"/>
    <s v="Convencional"/>
    <s v="B2"/>
    <s v="Rural"/>
    <s v="Agropecuária rural"/>
    <s v="IRRIG./AQUIC."/>
    <s v="Não se aplica"/>
    <s v="Não se aplica"/>
    <s v="CATIVO"/>
    <x v="3"/>
    <n v="0"/>
    <n v="0"/>
    <n v="-0.63300000000000001"/>
    <n v="-0.63300000000000001"/>
    <n v="-0.63300000000000001"/>
    <n v="-0.63300000000000001"/>
    <m/>
    <n v="571.87"/>
    <n v="216.76"/>
    <m/>
    <n v="-499.20279000000005"/>
    <n v="-499.20279000000005"/>
    <n v="-325.36833000000001"/>
    <n v="0"/>
    <n v="-38.366520588876881"/>
    <n v="0"/>
    <n v="0"/>
    <n v="0"/>
    <n v="-0.52027137178864757"/>
    <n v="-269.90086234207223"/>
    <n v="-135.2097500213616"/>
    <n v="-1.998637198174344"/>
    <n v="0"/>
    <n v="0"/>
    <n v="0"/>
    <n v="0"/>
    <n v="-5.9335101058746638"/>
    <m/>
    <n v="-1.2143912290461973"/>
    <n v="-5.6221146751820976"/>
    <n v="-17.614557537773859"/>
    <n v="0"/>
    <n v="0"/>
    <n v="0"/>
    <n v="0"/>
    <n v="0"/>
    <n v="0"/>
    <n v="0"/>
    <n v="0"/>
    <n v="0"/>
    <n v="0"/>
    <m/>
    <n v="0"/>
    <n v="0"/>
    <n v="-0.37667907065091988"/>
    <n v="0"/>
    <n v="0"/>
    <n v="-22.445064316298485"/>
    <n v="0"/>
    <n v="0"/>
    <n v="0"/>
    <n v="0"/>
    <n v="0"/>
    <m/>
    <m/>
    <m/>
    <m/>
    <m/>
    <n v="-39.04343999999999"/>
    <m/>
    <m/>
    <m/>
    <n v="-158.03149340831101"/>
    <m/>
    <m/>
    <m/>
    <m/>
    <m/>
    <m/>
    <m/>
    <m/>
    <m/>
    <m/>
    <m/>
    <m/>
    <n v="-284.96789999999999"/>
    <n v="154.30410000000006"/>
    <m/>
    <m/>
    <m/>
    <m/>
    <n v="194.48925"/>
    <n v="-20.654789999999998"/>
    <n v="31"/>
    <n v="-24.465643600837609"/>
    <n v="-0.5799296978343742"/>
    <n v="-1.8169684576980636"/>
    <n v="0"/>
    <n v="0"/>
    <n v="0"/>
    <n v="0"/>
    <n v="0"/>
    <n v="-5.0869564295537351E-2"/>
    <n v="0"/>
    <n v="0"/>
    <n v="-20.657444500302063"/>
    <n v="0"/>
    <n v="0"/>
    <n v="-5.7549303916082206E-2"/>
    <n v="-3.4291733425023381"/>
    <n v="0"/>
    <n v="1.8330447589874765"/>
    <m/>
    <n v="0"/>
    <n v="0"/>
    <n v="0"/>
    <n v="0"/>
    <n v="0.24042944369149133"/>
    <n v="5.2817063031894262E-2"/>
    <n v="0"/>
    <n v="0"/>
    <m/>
    <m/>
    <m/>
    <n v="-269.90086234207223"/>
    <n v="0"/>
    <n v="0"/>
    <n v="194.48925000000003"/>
    <n v="-20.654789999999991"/>
    <n v="0"/>
    <n v="0"/>
    <n v="198.29881329462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5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1.141"/>
    <n v="1.141"/>
    <n v="1.141"/>
    <n v="1.141"/>
    <m/>
    <n v="571.87"/>
    <n v="216.76"/>
    <m/>
    <n v="899.82683000000009"/>
    <n v="899.82683000000009"/>
    <n v="586.48541"/>
    <n v="0"/>
    <n v="69.15671404724884"/>
    <n v="0"/>
    <n v="0"/>
    <n v="0"/>
    <n v="0.93780353113877857"/>
    <n v="486.50376608578898"/>
    <n v="243.71931243976869"/>
    <n v="3.6025988042921431"/>
    <n v="0"/>
    <n v="0"/>
    <n v="0"/>
    <n v="0"/>
    <n v="10.695316004428108"/>
    <m/>
    <n v="2.1889737635730033"/>
    <n v="10.13401713172634"/>
    <n v="31.750726936176889"/>
    <n v="0"/>
    <n v="0"/>
    <n v="0"/>
    <n v="0"/>
    <n v="0"/>
    <n v="0"/>
    <n v="0"/>
    <n v="0"/>
    <n v="0"/>
    <n v="0"/>
    <m/>
    <n v="0"/>
    <n v="0"/>
    <n v="0.67897443856666606"/>
    <n v="0"/>
    <n v="0"/>
    <n v="40.457848949283687"/>
    <n v="0"/>
    <n v="0"/>
    <n v="0"/>
    <n v="0"/>
    <n v="0"/>
    <m/>
    <m/>
    <m/>
    <m/>
    <m/>
    <n v="70.376879999999971"/>
    <m/>
    <m/>
    <m/>
    <n v="284.85613582761903"/>
    <m/>
    <m/>
    <m/>
    <m/>
    <m/>
    <m/>
    <m/>
    <m/>
    <m/>
    <m/>
    <m/>
    <m/>
    <n v="515.65620000000001"/>
    <n v="-276.2278"/>
    <m/>
    <m/>
    <m/>
    <m/>
    <n v="-350.57225"/>
    <n v="37.230829999999997"/>
    <n v="31"/>
    <n v="44.099998970862146"/>
    <n v="1.0453393131580118"/>
    <n v="3.2751358771461199"/>
    <n v="0"/>
    <n v="0"/>
    <n v="0"/>
    <n v="0"/>
    <n v="0"/>
    <n v="9.169379598927041E-2"/>
    <n v="0"/>
    <n v="0"/>
    <n v="37.235614810181147"/>
    <n v="0"/>
    <n v="0"/>
    <n v="0.1037342113242492"/>
    <n v="6.1811797532309072"/>
    <n v="0"/>
    <n v="-3.3041138546677757"/>
    <m/>
    <n v="0"/>
    <n v="0"/>
    <n v="0"/>
    <n v="0"/>
    <n v="-0.43338071919746035"/>
    <n v="-9.5204216302355871E-2"/>
    <n v="0"/>
    <n v="0"/>
    <m/>
    <m/>
    <m/>
    <n v="486.50376608578898"/>
    <n v="0"/>
    <n v="0"/>
    <n v="-350.57225000000005"/>
    <n v="37.230829999999997"/>
    <n v="0"/>
    <n v="0"/>
    <n v="-357.43909315824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6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12.356999999999999"/>
    <n v="4.9428000000000001"/>
    <n v="12.356999999999999"/>
    <n v="4.9428000000000001"/>
    <m/>
    <n v="571.87"/>
    <n v="216.76"/>
    <m/>
    <n v="9745.1009099999992"/>
    <n v="9745.1009099999992"/>
    <n v="6351.6215699999993"/>
    <n v="0"/>
    <n v="748.9653948131936"/>
    <n v="0"/>
    <n v="0"/>
    <n v="0"/>
    <n v="10.156387584821987"/>
    <n v="5268.8229951990306"/>
    <n v="2639.4737456776697"/>
    <n v="39.016050328341812"/>
    <n v="0"/>
    <n v="0"/>
    <n v="0"/>
    <n v="0"/>
    <n v="115.82999111894664"/>
    <m/>
    <n v="23.706528305408938"/>
    <n v="109.75113908566378"/>
    <n v="343.85953790564224"/>
    <n v="0"/>
    <n v="0"/>
    <n v="0"/>
    <n v="0"/>
    <n v="0"/>
    <n v="0"/>
    <n v="0"/>
    <n v="0"/>
    <n v="0"/>
    <n v="0"/>
    <m/>
    <n v="0"/>
    <n v="0"/>
    <n v="7.3532753175883361"/>
    <n v="0"/>
    <n v="0"/>
    <n v="438.15744037361827"/>
    <n v="0"/>
    <n v="0"/>
    <n v="0"/>
    <n v="0"/>
    <n v="0"/>
    <m/>
    <m/>
    <m/>
    <m/>
    <m/>
    <m/>
    <n v="4115.844846"/>
    <m/>
    <m/>
    <n v="3084.9844613688761"/>
    <m/>
    <m/>
    <m/>
    <m/>
    <m/>
    <m/>
    <m/>
    <m/>
    <m/>
    <m/>
    <m/>
    <m/>
    <n v="2234.5102000000002"/>
    <n v="-1195.8230000000008"/>
    <m/>
    <m/>
    <m/>
    <m/>
    <n v="-3796.6882499999997"/>
    <n v="403.20890999999995"/>
    <n v="31"/>
    <n v="477.60182934526165"/>
    <n v="11.320997276681467"/>
    <n v="35.469635437243255"/>
    <n v="0"/>
    <n v="0"/>
    <n v="0"/>
    <n v="0"/>
    <n v="0"/>
    <n v="0.99304139968397287"/>
    <n v="0"/>
    <n v="0"/>
    <n v="403.2607293684564"/>
    <n v="0"/>
    <n v="0"/>
    <n v="1.1234387811864579"/>
    <n v="66.942014207427121"/>
    <n v="0"/>
    <n v="-35.783466171892883"/>
    <m/>
    <n v="0"/>
    <n v="0"/>
    <n v="0"/>
    <n v="0"/>
    <n v="-4.6935017941481334"/>
    <n v="-1.03105915937617"/>
    <n v="0"/>
    <n v="0"/>
    <m/>
    <m/>
    <m/>
    <n v="5268.8229951990306"/>
    <n v="0"/>
    <n v="0"/>
    <n v="-3796.6882499999997"/>
    <n v="403.20890999999983"/>
    <n v="0"/>
    <n v="0"/>
    <n v="-3871.0559808557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7"/>
    <s v="Refaturamento - Regular"/>
    <s v="Convencional"/>
    <s v="B2"/>
    <s v="Rural"/>
    <s v="Agropecuária rural"/>
    <s v="IRRIG./AQUIC. PR"/>
    <s v="Não se aplica"/>
    <s v="Não se aplica"/>
    <s v="CATIVO"/>
    <x v="3"/>
    <n v="0"/>
    <n v="0"/>
    <n v="0.218"/>
    <n v="8.72E-2"/>
    <n v="0.218"/>
    <n v="8.72E-2"/>
    <m/>
    <n v="571.87"/>
    <n v="216.76"/>
    <m/>
    <n v="171.92133999999999"/>
    <n v="171.92133999999999"/>
    <n v="112.05418"/>
    <n v="0"/>
    <n v="13.213114515600568"/>
    <n v="0"/>
    <n v="0"/>
    <n v="0"/>
    <n v="0.17917718649277278"/>
    <n v="92.951639795531989"/>
    <n v="46.565127179552647"/>
    <n v="0.6883142325466145"/>
    <n v="0"/>
    <n v="0"/>
    <n v="0"/>
    <n v="0"/>
    <n v="2.0434521375682095"/>
    <m/>
    <n v="0.41822636324181833"/>
    <n v="1.9362101093044191"/>
    <n v="6.0663089150627183"/>
    <n v="0"/>
    <n v="0"/>
    <n v="0"/>
    <n v="0"/>
    <n v="0"/>
    <n v="0"/>
    <n v="0"/>
    <n v="0"/>
    <n v="0"/>
    <n v="0"/>
    <m/>
    <n v="0"/>
    <n v="0"/>
    <n v="0.12972517757014301"/>
    <n v="0"/>
    <n v="0"/>
    <n v="7.7298957676983724"/>
    <n v="0"/>
    <n v="0"/>
    <n v="0"/>
    <n v="0"/>
    <n v="0"/>
    <m/>
    <m/>
    <m/>
    <m/>
    <m/>
    <m/>
    <n v="72.611003999999994"/>
    <m/>
    <m/>
    <n v="54.424748124821164"/>
    <m/>
    <m/>
    <m/>
    <m/>
    <m/>
    <m/>
    <m/>
    <m/>
    <m/>
    <m/>
    <m/>
    <m/>
    <n v="40.709699999999998"/>
    <n v="-19.8371"/>
    <m/>
    <m/>
    <m/>
    <m/>
    <n v="-66.980500000000006"/>
    <n v="7.1133399999999991"/>
    <n v="31"/>
    <n v="8.4257666745380533"/>
    <n v="0.19972302389872598"/>
    <n v="0.6257490107080228"/>
    <n v="0"/>
    <n v="0"/>
    <n v="0"/>
    <n v="0"/>
    <n v="0"/>
    <n v="1.7519060057546804E-2"/>
    <n v="0"/>
    <n v="0"/>
    <n v="7.1142541880977106"/>
    <n v="0"/>
    <n v="0"/>
    <n v="1.9819507509803991E-2"/>
    <n v="1.1809791290134433"/>
    <n v="0"/>
    <n v="-0.63128555680769161"/>
    <m/>
    <n v="0"/>
    <n v="0"/>
    <n v="0"/>
    <n v="0"/>
    <n v="-8.2801925315552971E-2"/>
    <n v="-1.8189762623938288E-2"/>
    <n v="0"/>
    <n v="0"/>
    <m/>
    <m/>
    <m/>
    <n v="92.951639795531989"/>
    <n v="0"/>
    <n v="0"/>
    <n v="-66.980500000000006"/>
    <n v="7.1133400000000009"/>
    <n v="0"/>
    <n v="0"/>
    <n v="-68.29248230367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8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374"/>
    <n v="0.14960000000000001"/>
    <n v="0.374"/>
    <n v="0.14960000000000001"/>
    <m/>
    <n v="571.87"/>
    <n v="216.76"/>
    <m/>
    <n v="294.94762000000003"/>
    <n v="294.94762000000003"/>
    <n v="192.23973999999998"/>
    <n v="0"/>
    <n v="22.668370774470699"/>
    <n v="0"/>
    <n v="0"/>
    <n v="0"/>
    <n v="0.30739572361604134"/>
    <n v="159.46749212627967"/>
    <n v="79.886961308039858"/>
    <n v="1.1808693714331826"/>
    <n v="0"/>
    <n v="0"/>
    <n v="0"/>
    <n v="0"/>
    <n v="3.5057389883050938"/>
    <m/>
    <n v="0.71750761400201857"/>
    <n v="3.3217549581644619"/>
    <n v="10.407337312997509"/>
    <n v="0"/>
    <n v="0"/>
    <n v="0"/>
    <n v="0"/>
    <n v="0"/>
    <n v="0"/>
    <n v="0"/>
    <n v="0"/>
    <n v="0"/>
    <n v="0"/>
    <m/>
    <n v="0"/>
    <n v="0"/>
    <n v="0.22255603858363987"/>
    <n v="0"/>
    <n v="0"/>
    <n v="13.261380812473355"/>
    <n v="0"/>
    <n v="0"/>
    <n v="0"/>
    <n v="0"/>
    <n v="0"/>
    <m/>
    <m/>
    <m/>
    <m/>
    <m/>
    <m/>
    <n v="124.57117199999998"/>
    <m/>
    <m/>
    <n v="93.370898159096839"/>
    <m/>
    <m/>
    <m/>
    <m/>
    <m/>
    <m/>
    <m/>
    <m/>
    <m/>
    <m/>
    <m/>
    <m/>
    <n v="67.849500000000006"/>
    <n v="-36.002900000000025"/>
    <m/>
    <m/>
    <m/>
    <m/>
    <n v="-114.9115"/>
    <n v="12.203619999999999"/>
    <n v="31"/>
    <n v="14.455214386592843"/>
    <n v="0.34264408687212677"/>
    <n v="1.0735327064440376"/>
    <n v="0"/>
    <n v="0"/>
    <n v="0"/>
    <n v="0"/>
    <n v="0"/>
    <n v="3.0055635144598691E-2"/>
    <n v="0"/>
    <n v="0"/>
    <n v="12.205188377745628"/>
    <n v="0"/>
    <n v="0"/>
    <n v="3.4002274351682071E-2"/>
    <n v="2.0260834598670971"/>
    <n v="0"/>
    <n v="-1.0830311846150309"/>
    <m/>
    <n v="0"/>
    <n v="0"/>
    <n v="0"/>
    <n v="0"/>
    <n v="-0.14205467921108683"/>
    <n v="-3.1206290006206006E-2"/>
    <n v="0"/>
    <n v="0"/>
    <m/>
    <m/>
    <m/>
    <n v="159.46749212627967"/>
    <n v="0"/>
    <n v="0"/>
    <n v="-114.91149999999999"/>
    <n v="12.203619999999987"/>
    <n v="0"/>
    <n v="0"/>
    <n v="-117.16233202557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89"/>
    <s v="Regular"/>
    <s v="Verde"/>
    <s v="A4"/>
    <s v="Rural"/>
    <s v="Agropecuária rural"/>
    <s v="Não se aplica"/>
    <s v="Não se aplica"/>
    <s v="Ponta"/>
    <s v="CATIVO"/>
    <x v="3"/>
    <n v="0"/>
    <n v="0"/>
    <n v="0.67700000000000005"/>
    <n v="0.64992000000000005"/>
    <n v="0.67700000000000005"/>
    <n v="0.64992000000000005"/>
    <m/>
    <n v="2592.54"/>
    <n v="216.76"/>
    <m/>
    <n v="1901.8960999999999"/>
    <n v="1901.8960999999999"/>
    <n v="799.67240000000004"/>
    <n v="0"/>
    <n v="35.699047332768714"/>
    <n v="0"/>
    <n v="0"/>
    <n v="0"/>
    <n v="3.423342035184163"/>
    <n v="1550.9335484881628"/>
    <n v="144.6082160576016"/>
    <n v="2.1375630065782478"/>
    <n v="0"/>
    <n v="0"/>
    <n v="0"/>
    <n v="0"/>
    <n v="6.3459499868517346"/>
    <m/>
    <n v="0.92967142703148165"/>
    <n v="30.542768033143673"/>
    <n v="115.9029068863958"/>
    <n v="0"/>
    <n v="0"/>
    <n v="0"/>
    <n v="0"/>
    <n v="0"/>
    <n v="0"/>
    <n v="0"/>
    <n v="0"/>
    <n v="0"/>
    <n v="0"/>
    <m/>
    <n v="0"/>
    <n v="0"/>
    <n v="0.30959121885400526"/>
    <n v="0"/>
    <n v="0"/>
    <n v="11.059578171916236"/>
    <n v="0"/>
    <n v="0"/>
    <n v="0"/>
    <n v="0"/>
    <n v="0"/>
    <m/>
    <m/>
    <m/>
    <m/>
    <m/>
    <n v="31.986895999999987"/>
    <m/>
    <m/>
    <m/>
    <n v="155.97738544837182"/>
    <m/>
    <m/>
    <m/>
    <m/>
    <m/>
    <m/>
    <m/>
    <m/>
    <m/>
    <m/>
    <m/>
    <m/>
    <n v="767.78"/>
    <n v="-1058.070256"/>
    <m/>
    <m/>
    <m/>
    <m/>
    <n v="-1124.31421"/>
    <n v="22.090509999999998"/>
    <n v="31"/>
    <n v="37.267975100391936"/>
    <n v="3.1505330751569147"/>
    <n v="11.955561501699961"/>
    <n v="0"/>
    <n v="0"/>
    <n v="0"/>
    <n v="0"/>
    <n v="0"/>
    <n v="0.33471747093392068"/>
    <n v="0"/>
    <n v="0"/>
    <n v="22.093349015330944"/>
    <n v="0"/>
    <n v="0"/>
    <n v="4.7299572850679816E-2"/>
    <n v="1.6896904420503951"/>
    <n v="0"/>
    <n v="-1.7056003674502449"/>
    <m/>
    <n v="0"/>
    <n v="0"/>
    <n v="0"/>
    <n v="0"/>
    <n v="-0.25714175889279645"/>
    <n v="-4.0433851287808409E-2"/>
    <n v="0"/>
    <n v="0"/>
    <m/>
    <m/>
    <m/>
    <n v="1550.9335484881628"/>
    <n v="0"/>
    <n v="0"/>
    <n v="-1124.31421"/>
    <n v="22.090509999999995"/>
    <n v="0"/>
    <n v="0"/>
    <n v="-1139.4861042505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0"/>
    <s v="Regular"/>
    <s v="Verde"/>
    <s v="A4"/>
    <s v="Rural"/>
    <s v="Agropecuária rural"/>
    <s v="Não se aplica"/>
    <s v="Não se aplica"/>
    <s v="Fora ponta"/>
    <s v="CATIVO"/>
    <x v="3"/>
    <n v="0"/>
    <n v="0"/>
    <n v="48.718000000000004"/>
    <n v="46.769280000000002"/>
    <n v="48.718000000000004"/>
    <n v="46.769280000000002"/>
    <m/>
    <n v="80.27"/>
    <n v="216.76"/>
    <m/>
    <n v="14470.707539999999"/>
    <n v="14470.707539999999"/>
    <n v="16041.37586"/>
    <n v="0"/>
    <n v="2568.9603958018115"/>
    <n v="0"/>
    <n v="0"/>
    <n v="0"/>
    <n v="0"/>
    <n v="0"/>
    <n v="10406.2379171259"/>
    <n v="153.8224439504861"/>
    <n v="0"/>
    <n v="0"/>
    <n v="0"/>
    <n v="0"/>
    <n v="456.66468457820207"/>
    <m/>
    <n v="66.90063896915764"/>
    <n v="0"/>
    <n v="0"/>
    <n v="0"/>
    <n v="0"/>
    <n v="0"/>
    <n v="0"/>
    <n v="0"/>
    <n v="0"/>
    <n v="0"/>
    <n v="0"/>
    <n v="0"/>
    <n v="0"/>
    <m/>
    <n v="0"/>
    <n v="0"/>
    <n v="22.27867799132855"/>
    <n v="0"/>
    <n v="0"/>
    <n v="795.86488830046551"/>
    <n v="0"/>
    <n v="0"/>
    <n v="0"/>
    <n v="0"/>
    <n v="0"/>
    <m/>
    <m/>
    <m/>
    <m/>
    <m/>
    <n v="641.65503440000043"/>
    <m/>
    <m/>
    <m/>
    <n v="11224.381483417694"/>
    <m/>
    <m/>
    <m/>
    <m/>
    <m/>
    <m/>
    <m/>
    <m/>
    <m/>
    <m/>
    <m/>
    <m/>
    <n v="15399.957900000001"/>
    <n v="1508.0486615999998"/>
    <m/>
    <m/>
    <m/>
    <m/>
    <n v="-19.000020000000028"/>
    <n v="1589.6683399999999"/>
    <n v="31"/>
    <n v="1570.717473554836"/>
    <n v="0"/>
    <n v="0"/>
    <n v="0"/>
    <n v="0"/>
    <n v="0"/>
    <n v="0"/>
    <n v="0"/>
    <n v="0"/>
    <n v="0"/>
    <n v="0"/>
    <n v="1589.8726400722207"/>
    <n v="0"/>
    <n v="0"/>
    <n v="3.4037527180789091"/>
    <n v="121.59281972793383"/>
    <n v="0"/>
    <n v="-122.73772334038586"/>
    <m/>
    <n v="0"/>
    <n v="0"/>
    <n v="0"/>
    <n v="0"/>
    <n v="-18.504331181298767"/>
    <n v="-2.9096844417126277"/>
    <n v="0"/>
    <n v="0"/>
    <m/>
    <m/>
    <m/>
    <n v="0"/>
    <n v="0"/>
    <n v="0"/>
    <n v="-19.00001999999995"/>
    <n v="1589.668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1"/>
    <s v="Regular"/>
    <s v="Verde"/>
    <s v="A4"/>
    <s v="Rural"/>
    <s v="Agropecuária rural"/>
    <s v="Não se aplica"/>
    <s v="Não se aplica"/>
    <s v="Não se aplica"/>
    <s v="CATIVO"/>
    <x v="3"/>
    <n v="2263"/>
    <n v="2172.48"/>
    <n v="0"/>
    <n v="0"/>
    <n v="0"/>
    <n v="0"/>
    <n v="32.17"/>
    <m/>
    <m/>
    <n v="72800.710000000006"/>
    <m/>
    <n v="72800.710000000006"/>
    <n v="29260.59"/>
    <n v="0"/>
    <n v="0"/>
    <n v="0"/>
    <n v="0"/>
    <n v="0"/>
    <n v="226.11041747207625"/>
    <n v="60935.202274679657"/>
    <m/>
    <m/>
    <m/>
    <n v="0"/>
    <n v="0"/>
    <n v="0"/>
    <n v="0"/>
    <m/>
    <n v="0"/>
    <n v="3992.884963814271"/>
    <n v="7655.4238694035739"/>
    <n v="0"/>
    <n v="0"/>
    <m/>
    <m/>
    <n v="0"/>
    <n v="0"/>
    <n v="0"/>
    <m/>
    <m/>
    <n v="0"/>
    <m/>
    <n v="0"/>
    <n v="0"/>
    <n v="0"/>
    <n v="0"/>
    <m/>
    <n v="0"/>
    <n v="0"/>
    <n v="392.51"/>
    <n v="1804.06"/>
    <n v="79.55"/>
    <n v="13"/>
    <m/>
    <m/>
    <m/>
    <m/>
    <m/>
    <n v="1170.4235999999999"/>
    <m/>
    <m/>
    <m/>
    <n v="0"/>
    <m/>
    <m/>
    <m/>
    <m/>
    <m/>
    <m/>
    <m/>
    <m/>
    <m/>
    <m/>
    <m/>
    <m/>
    <n v="28090.166399999998"/>
    <n v="-41798.545199999993"/>
    <m/>
    <m/>
    <m/>
    <m/>
    <n v="-43540.12"/>
    <n v="0"/>
    <n v="31"/>
    <n v="1223.6487697188641"/>
    <n v="411.87216987481406"/>
    <n v="789.6686403383319"/>
    <n v="0"/>
    <n v="0"/>
    <m/>
    <m/>
    <m/>
    <n v="22.1079595057165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60935.202274679657"/>
    <m/>
    <n v="0"/>
    <n v="0"/>
    <n v="-43540.12000000001"/>
    <m/>
    <n v="0"/>
    <m/>
    <n v="-44769.69133808264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192"/>
    <s v="Regular"/>
    <s v="Verde"/>
    <s v="A4"/>
    <s v="Rural"/>
    <s v="Agropecuária rural"/>
    <s v="IRRIG./AQUIC. PR"/>
    <s v="Não se aplica"/>
    <s v="Fora ponta"/>
    <s v="CATIVO"/>
    <x v="3"/>
    <n v="0"/>
    <n v="0"/>
    <n v="58.411999999999999"/>
    <n v="17.523599999999998"/>
    <n v="58.411999999999999"/>
    <n v="17.523599999999998"/>
    <m/>
    <n v="80.27"/>
    <n v="216.76"/>
    <m/>
    <n v="17350.11636"/>
    <n v="17350.11636"/>
    <n v="19233.319239999997"/>
    <n v="0"/>
    <n v="3080.1370056154892"/>
    <n v="0"/>
    <n v="0"/>
    <n v="0"/>
    <n v="0"/>
    <n v="0"/>
    <n v="12476.890866110225"/>
    <n v="184.43032546565524"/>
    <n v="0"/>
    <n v="0"/>
    <n v="0"/>
    <n v="0"/>
    <n v="547.53268926437738"/>
    <m/>
    <n v="80.21265494204269"/>
    <n v="0"/>
    <n v="0"/>
    <n v="0"/>
    <n v="0"/>
    <n v="0"/>
    <n v="0"/>
    <n v="0"/>
    <n v="0"/>
    <n v="0"/>
    <n v="0"/>
    <n v="0"/>
    <n v="0"/>
    <m/>
    <n v="0"/>
    <n v="0"/>
    <n v="26.711731574150889"/>
    <n v="0"/>
    <n v="0"/>
    <n v="954.22759258193662"/>
    <n v="0"/>
    <n v="0"/>
    <n v="0"/>
    <n v="0"/>
    <n v="0"/>
    <m/>
    <m/>
    <m/>
    <m/>
    <m/>
    <m/>
    <n v="13463.323468000001"/>
    <m/>
    <m/>
    <n v="13457.830190266312"/>
    <m/>
    <m/>
    <m/>
    <m/>
    <m/>
    <m/>
    <m/>
    <m/>
    <m/>
    <m/>
    <m/>
    <m/>
    <n v="5768.8103999999994"/>
    <n v="563.74549200000001"/>
    <m/>
    <m/>
    <m/>
    <m/>
    <n v="-22.780680000000032"/>
    <n v="1905.9835599999997"/>
    <n v="31"/>
    <n v="1883.2618142223619"/>
    <n v="0"/>
    <n v="0"/>
    <n v="0"/>
    <n v="0"/>
    <n v="0"/>
    <n v="0"/>
    <n v="0"/>
    <n v="0"/>
    <n v="0"/>
    <n v="0"/>
    <n v="1906.2285120879078"/>
    <n v="0"/>
    <n v="0"/>
    <n v="4.0810378867856905"/>
    <n v="145.78758951410293"/>
    <n v="0"/>
    <n v="-147.16030821787899"/>
    <m/>
    <n v="0"/>
    <n v="0"/>
    <n v="0"/>
    <n v="0"/>
    <n v="-22.186358080422451"/>
    <n v="-3.4886589681292008"/>
    <n v="0"/>
    <n v="0"/>
    <m/>
    <m/>
    <m/>
    <n v="0"/>
    <n v="0"/>
    <n v="0"/>
    <n v="-22.780680000000757"/>
    <n v="1905.98356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3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21"/>
    <n v="185.06"/>
    <n v="78.64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194"/>
    <s v="Regular"/>
    <s v="Convencional"/>
    <s v="B2"/>
    <s v="Rural"/>
    <s v="Aquicultura"/>
    <s v="IRRIG./AQUIC."/>
    <s v="Não se aplica"/>
    <s v="Não se aplica"/>
    <s v="CATIVO"/>
    <x v="3"/>
    <n v="0"/>
    <n v="0"/>
    <n v="10.263999999999999"/>
    <n v="10.263999999999999"/>
    <n v="10.263999999999999"/>
    <n v="10.263999999999999"/>
    <m/>
    <n v="571.87"/>
    <n v="216.76"/>
    <m/>
    <n v="8094.4983199999997"/>
    <n v="8094.4983199999997"/>
    <n v="5275.7986399999991"/>
    <n v="0"/>
    <n v="622.10737334001931"/>
    <n v="0"/>
    <n v="0"/>
    <n v="0"/>
    <n v="8.4361222117514654"/>
    <n v="4376.4019764281666"/>
    <n v="2192.4058044537996"/>
    <n v="32.407602214947019"/>
    <n v="0"/>
    <n v="0"/>
    <n v="0"/>
    <n v="0"/>
    <n v="96.210975871560109"/>
    <m/>
    <n v="19.691171524376252"/>
    <n v="91.161745696791542"/>
    <n v="285.61740690001716"/>
    <n v="0"/>
    <n v="0"/>
    <n v="0"/>
    <n v="0"/>
    <n v="0"/>
    <n v="0"/>
    <n v="0"/>
    <n v="0"/>
    <n v="0"/>
    <n v="0"/>
    <m/>
    <n v="0"/>
    <n v="0"/>
    <n v="6.1077945989905871"/>
    <n v="0"/>
    <n v="0"/>
    <n v="363.94334935622061"/>
    <n v="0"/>
    <n v="0"/>
    <n v="0"/>
    <n v="0"/>
    <n v="0"/>
    <m/>
    <m/>
    <m/>
    <m/>
    <m/>
    <n v="633.08351999999968"/>
    <m/>
    <m/>
    <m/>
    <n v="2562.4569484090107"/>
    <m/>
    <m/>
    <m/>
    <m/>
    <m/>
    <m/>
    <m/>
    <m/>
    <m/>
    <m/>
    <m/>
    <m/>
    <n v="4640.9058000000005"/>
    <n v="-2482.3401999999996"/>
    <m/>
    <m/>
    <m/>
    <m/>
    <n v="-3153.6139999999996"/>
    <n v="334.91431999999992"/>
    <n v="31"/>
    <n v="396.70673920852551"/>
    <n v="9.4034730151216763"/>
    <n v="29.461870852785012"/>
    <n v="0"/>
    <n v="0"/>
    <n v="0"/>
    <n v="0"/>
    <n v="0"/>
    <n v="0.8248423505993614"/>
    <n v="0"/>
    <n v="0"/>
    <n v="334.9573623240135"/>
    <n v="0"/>
    <n v="0"/>
    <n v="0.93315332605792634"/>
    <n v="55.603531101807221"/>
    <n v="0"/>
    <n v="-29.722545665477696"/>
    <m/>
    <n v="0"/>
    <n v="0"/>
    <n v="0"/>
    <n v="0"/>
    <n v="-3.8985273460497183"/>
    <n v="-0.85642075033074505"/>
    <n v="0"/>
    <n v="0"/>
    <m/>
    <m/>
    <m/>
    <n v="4376.4019764281666"/>
    <n v="0"/>
    <n v="0"/>
    <n v="-3153.614"/>
    <n v="334.91431999999986"/>
    <n v="0"/>
    <n v="0"/>
    <n v="-3215.3854970869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5"/>
    <s v="Regular"/>
    <s v="Convencional"/>
    <s v="B2"/>
    <s v="Rural"/>
    <s v="Aquicultura"/>
    <s v="IRRIG./AQUIC. PR"/>
    <s v="Não se aplica"/>
    <s v="Não se aplica"/>
    <s v="CATIVO"/>
    <x v="3"/>
    <n v="0"/>
    <n v="0"/>
    <n v="1.042"/>
    <n v="0.4168"/>
    <n v="1.042"/>
    <n v="0.4168"/>
    <m/>
    <n v="571.87"/>
    <n v="216.76"/>
    <m/>
    <n v="821.75246000000004"/>
    <n v="821.75246000000004"/>
    <n v="535.59842000000003"/>
    <n v="0"/>
    <n v="63.156262959888956"/>
    <n v="0"/>
    <n v="0"/>
    <n v="0"/>
    <n v="0.85643407488747358"/>
    <n v="444.29178287589144"/>
    <n v="222.57276385822871"/>
    <n v="3.2900157353833595"/>
    <n v="0"/>
    <n v="0"/>
    <n v="0"/>
    <n v="0"/>
    <n v="9.7673262722297007"/>
    <m/>
    <n v="1.9990452775136454"/>
    <n v="9.2547290545651588"/>
    <n v="28.995843529795199"/>
    <n v="0"/>
    <n v="0"/>
    <n v="0"/>
    <n v="0"/>
    <n v="0"/>
    <n v="0"/>
    <n v="0"/>
    <n v="0"/>
    <n v="0"/>
    <n v="0"/>
    <m/>
    <n v="0"/>
    <n v="0"/>
    <n v="0.62006254600040844"/>
    <n v="0"/>
    <n v="0"/>
    <n v="36.94748344009956"/>
    <n v="0"/>
    <n v="0"/>
    <n v="0"/>
    <n v="0"/>
    <n v="0"/>
    <m/>
    <m/>
    <m/>
    <m/>
    <m/>
    <m/>
    <n v="347.06727599999988"/>
    <m/>
    <m/>
    <n v="260.14030984432867"/>
    <m/>
    <m/>
    <m/>
    <m/>
    <m/>
    <m/>
    <m/>
    <m/>
    <m/>
    <m/>
    <m/>
    <m/>
    <n v="189.9786"/>
    <n v="-99.310599999999994"/>
    <m/>
    <m/>
    <m/>
    <m/>
    <n v="-320.15449999999998"/>
    <n v="34.000459999999997"/>
    <n v="31"/>
    <n v="40.273618692058164"/>
    <n v="0.95463940780950729"/>
    <n v="2.9909654548521054"/>
    <n v="0"/>
    <n v="0"/>
    <n v="0"/>
    <n v="0"/>
    <n v="0"/>
    <n v="8.3737892568641281E-2"/>
    <n v="0"/>
    <n v="0"/>
    <n v="34.004829651366151"/>
    <n v="0"/>
    <n v="0"/>
    <n v="9.4733609289980425E-2"/>
    <n v="5.6448635432660907"/>
    <n v="0"/>
    <n v="-3.0174291293285123"/>
    <m/>
    <n v="0"/>
    <n v="0"/>
    <n v="0"/>
    <n v="0"/>
    <n v="-0.39577800999452606"/>
    <n v="-8.6943727771301216E-2"/>
    <n v="0"/>
    <n v="0"/>
    <m/>
    <m/>
    <m/>
    <n v="444.29178287589144"/>
    <n v="0"/>
    <n v="0"/>
    <n v="-320.15450000000004"/>
    <n v="34.000459999999975"/>
    <n v="0"/>
    <n v="0"/>
    <n v="-326.42553468088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6"/>
    <s v="Regular"/>
    <s v="Convencional"/>
    <s v="B1"/>
    <s v="Residencial"/>
    <s v="Residencial"/>
    <s v="Não se aplica"/>
    <s v="Não se aplica"/>
    <s v="Não se aplica"/>
    <s v="CATIVO"/>
    <x v="4"/>
    <n v="0"/>
    <n v="0"/>
    <n v="777.37900000000002"/>
    <n v="777.37900000000002"/>
    <n v="777.37900000000002"/>
    <n v="777.37900000000002"/>
    <m/>
    <n v="571.87"/>
    <n v="216.76"/>
    <m/>
    <n v="613064.40077000007"/>
    <n v="613064.40077000007"/>
    <n v="399580.57978999999"/>
    <n v="0"/>
    <n v="47117.420867078232"/>
    <n v="0"/>
    <n v="0"/>
    <n v="0"/>
    <n v="638.93844980993219"/>
    <n v="331461.71005784802"/>
    <n v="166049.32110877734"/>
    <n v="2454.5001366185993"/>
    <n v="0"/>
    <n v="0"/>
    <n v="0"/>
    <n v="0"/>
    <n v="7286.8659598653085"/>
    <m/>
    <n v="1491.3779450943189"/>
    <n v="6904.445314499816"/>
    <n v="21632.207147167621"/>
    <n v="0"/>
    <n v="0"/>
    <n v="0"/>
    <n v="0"/>
    <n v="0"/>
    <n v="0"/>
    <n v="0"/>
    <n v="0"/>
    <n v="0"/>
    <n v="0"/>
    <m/>
    <n v="0"/>
    <n v="0"/>
    <n v="462.59462758853311"/>
    <n v="0"/>
    <n v="0"/>
    <n v="27564.489183475198"/>
    <n v="0"/>
    <n v="2730.17"/>
    <n v="12646.53"/>
    <n v="218839.69"/>
    <n v="4492"/>
    <m/>
    <m/>
    <m/>
    <m/>
    <m/>
    <m/>
    <m/>
    <m/>
    <m/>
    <n v="194076.40491984106"/>
    <m/>
    <m/>
    <m/>
    <m/>
    <m/>
    <m/>
    <m/>
    <m/>
    <m/>
    <m/>
    <m/>
    <m/>
    <n v="399581.09380000003"/>
    <n v="-213483.33697000006"/>
    <m/>
    <m/>
    <m/>
    <m/>
    <n v="-238849.69774999999"/>
    <n v="25365.876769999995"/>
    <n v="30"/>
    <n v="30045.936108650174"/>
    <n v="712.20405777691758"/>
    <n v="2231.3951385100518"/>
    <n v="0"/>
    <n v="0"/>
    <n v="0"/>
    <n v="0"/>
    <n v="0"/>
    <n v="62.472244901264617"/>
    <n v="0"/>
    <n v="0"/>
    <n v="25369.136727014731"/>
    <n v="0"/>
    <n v="0"/>
    <n v="70.675545543412397"/>
    <n v="4211.3228180428487"/>
    <n v="0"/>
    <n v="-2251.1382333284782"/>
    <m/>
    <n v="0"/>
    <n v="0"/>
    <n v="0"/>
    <n v="0"/>
    <n v="-295.26824724715334"/>
    <n v="-64.863942563461023"/>
    <n v="0"/>
    <n v="0"/>
    <m/>
    <m/>
    <m/>
    <n v="331461.71005784802"/>
    <n v="0"/>
    <n v="0"/>
    <n v="-238849.69775000002"/>
    <n v="25365.876770000003"/>
    <n v="0"/>
    <n v="0"/>
    <n v="-243528.17248050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7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1.26"/>
    <n v="-1.26"/>
    <n v="-1.26"/>
    <n v="-1.26"/>
    <m/>
    <n v="571.87"/>
    <n v="216.76"/>
    <m/>
    <n v="-993.67380000000003"/>
    <n v="-993.67380000000003"/>
    <n v="-647.65260000000001"/>
    <n v="0"/>
    <n v="-76.369377475489514"/>
    <n v="0"/>
    <n v="0"/>
    <n v="0"/>
    <n v="-1.0356112613802464"/>
    <n v="-537.24342267142345"/>
    <n v="-269.13789103778134"/>
    <n v="-3.978329967929974"/>
    <n v="0"/>
    <n v="0"/>
    <n v="0"/>
    <n v="0"/>
    <n v="-11.810778409797908"/>
    <m/>
    <n v="-2.4172716407554637"/>
    <n v="-11.190939163869578"/>
    <n v="-35.062152444857915"/>
    <n v="0"/>
    <n v="0"/>
    <n v="0"/>
    <n v="0"/>
    <n v="0"/>
    <n v="0"/>
    <n v="0"/>
    <n v="0"/>
    <n v="0"/>
    <n v="0"/>
    <m/>
    <n v="0"/>
    <n v="0"/>
    <n v="-0.74978772357055146"/>
    <n v="0"/>
    <n v="0"/>
    <n v="-44.677379207797934"/>
    <n v="0"/>
    <n v="-5.31"/>
    <n v="-24.41"/>
    <n v="-390.04"/>
    <n v="0"/>
    <m/>
    <m/>
    <m/>
    <m/>
    <m/>
    <m/>
    <m/>
    <m/>
    <m/>
    <n v="-314.56505796914979"/>
    <m/>
    <m/>
    <m/>
    <m/>
    <m/>
    <m/>
    <m/>
    <m/>
    <m/>
    <m/>
    <m/>
    <m/>
    <n v="-647.65260000000001"/>
    <n v="345.99120000000005"/>
    <m/>
    <m/>
    <m/>
    <m/>
    <n v="387.13499999999999"/>
    <n v="-41.113799999999998"/>
    <n v="30"/>
    <n v="-48.699385366596232"/>
    <n v="-1.1543624317082344"/>
    <n v="-3.6167144655601291"/>
    <n v="0"/>
    <n v="0"/>
    <n v="0"/>
    <n v="0"/>
    <n v="0"/>
    <n v="-0.10125695262618795"/>
    <n v="0"/>
    <n v="0"/>
    <n v="-41.119083839463883"/>
    <n v="0"/>
    <n v="0"/>
    <n v="-0.11455311679978442"/>
    <n v="-6.8258426722795278"/>
    <n v="0"/>
    <n v="3.6487146861362021"/>
    <m/>
    <n v="0"/>
    <n v="0"/>
    <n v="0"/>
    <n v="0"/>
    <n v="0.47857993531007814"/>
    <n v="0.10513349039523945"/>
    <n v="0"/>
    <n v="0"/>
    <m/>
    <m/>
    <m/>
    <n v="-537.24342267142345"/>
    <n v="0"/>
    <n v="0"/>
    <n v="387.13499999999999"/>
    <n v="-41.113800000000026"/>
    <n v="0"/>
    <n v="0"/>
    <n v="394.71801698456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8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9.0690000000000008"/>
    <n v="9.0690000000000008"/>
    <n v="9.0690000000000008"/>
    <n v="9.0690000000000008"/>
    <m/>
    <n v="571.87"/>
    <n v="216.76"/>
    <m/>
    <n v="7152.0854700000009"/>
    <n v="7152.0854700000009"/>
    <n v="4661.5566900000003"/>
    <n v="0"/>
    <n v="549.67768597239251"/>
    <n v="0"/>
    <n v="0"/>
    <n v="0"/>
    <n v="7.4539353408392497"/>
    <n v="3866.8734922278886"/>
    <n v="1937.152010969555"/>
    <n v="28.634503554886457"/>
    <n v="0"/>
    <n v="0"/>
    <n v="0"/>
    <n v="0"/>
    <n v="85.009483649569248"/>
    <m/>
    <n v="17.398600404770875"/>
    <n v="80.548116886613656"/>
    <n v="252.36401628763213"/>
    <n v="0"/>
    <n v="0"/>
    <n v="0"/>
    <n v="0"/>
    <n v="0"/>
    <n v="0"/>
    <n v="0"/>
    <n v="0"/>
    <n v="0"/>
    <n v="0"/>
    <m/>
    <n v="0"/>
    <n v="0"/>
    <n v="5.3966864008423263"/>
    <n v="0"/>
    <n v="0"/>
    <n v="321.57075558374567"/>
    <n v="0"/>
    <n v="30.91"/>
    <n v="145.81"/>
    <n v="7236.3"/>
    <n v="140"/>
    <m/>
    <m/>
    <m/>
    <m/>
    <m/>
    <m/>
    <m/>
    <m/>
    <m/>
    <n v="2264.1194529541431"/>
    <m/>
    <m/>
    <m/>
    <m/>
    <m/>
    <m/>
    <m/>
    <m/>
    <m/>
    <m/>
    <m/>
    <m/>
    <n v="4662.0707000000002"/>
    <n v="-2490.0447700000013"/>
    <m/>
    <m/>
    <m/>
    <m/>
    <n v="-2786.4502500000003"/>
    <n v="295.92147"/>
    <n v="30"/>
    <n v="350.51962372195339"/>
    <n v="8.3086610263190295"/>
    <n v="26.031732927114888"/>
    <n v="0"/>
    <n v="0"/>
    <n v="0"/>
    <n v="0"/>
    <n v="0"/>
    <n v="0.72880897092611008"/>
    <n v="0"/>
    <n v="0"/>
    <n v="295.95950106356963"/>
    <n v="0"/>
    <n v="0"/>
    <n v="0.82450969544225838"/>
    <n v="49.12981523405"/>
    <n v="0"/>
    <n v="-26.262058324261375"/>
    <m/>
    <n v="0"/>
    <n v="0"/>
    <n v="0"/>
    <n v="0"/>
    <n v="-3.4446360581961102"/>
    <n v="-0.75671081301144838"/>
    <n v="0"/>
    <n v="0"/>
    <m/>
    <m/>
    <m/>
    <n v="3866.8734922278886"/>
    <n v="0"/>
    <n v="0"/>
    <n v="-2786.4502500000008"/>
    <n v="295.92147000000023"/>
    <n v="0"/>
    <n v="0"/>
    <n v="-2841.0299174865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199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3.39"/>
    <n v="3.39"/>
    <n v="3.39"/>
    <n v="3.39"/>
    <m/>
    <n v="501.89"/>
    <n v="216.76"/>
    <m/>
    <n v="2436.2235000000001"/>
    <n v="2436.2235000000001"/>
    <n v="1516.347"/>
    <n v="0"/>
    <n v="0"/>
    <n v="0"/>
    <n v="0"/>
    <n v="0"/>
    <n v="2.7862874413325676"/>
    <n v="1445.4406371874013"/>
    <n v="724.10908779212605"/>
    <n v="10.703602056573501"/>
    <n v="0"/>
    <n v="0"/>
    <n v="0"/>
    <n v="0"/>
    <n v="0"/>
    <m/>
    <n v="6.5036117953658907"/>
    <n v="30.108955369458627"/>
    <n v="94.333886339736779"/>
    <n v="0"/>
    <n v="0"/>
    <n v="0"/>
    <n v="0"/>
    <n v="0"/>
    <n v="0"/>
    <n v="0"/>
    <n v="0"/>
    <n v="0"/>
    <n v="0"/>
    <m/>
    <n v="0"/>
    <n v="0"/>
    <n v="2.0172860181779124"/>
    <n v="0"/>
    <n v="0"/>
    <n v="120.20342501145635"/>
    <n v="0"/>
    <n v="2.44"/>
    <n v="13.47"/>
    <n v="218.88"/>
    <n v="7"/>
    <m/>
    <m/>
    <m/>
    <m/>
    <m/>
    <m/>
    <m/>
    <n v="985.6085999999998"/>
    <m/>
    <n v="846.32979882176028"/>
    <m/>
    <m/>
    <m/>
    <m/>
    <m/>
    <m/>
    <m/>
    <m/>
    <m/>
    <m/>
    <m/>
    <m/>
    <n v="530.73840000000007"/>
    <n v="-321.97829999999988"/>
    <m/>
    <m/>
    <m/>
    <m/>
    <n v="-1030.4922000000001"/>
    <n v="110.61569999999999"/>
    <n v="30"/>
    <n v="142.12892472973317"/>
    <n v="3.1057846376912011"/>
    <n v="9.7306841573403347"/>
    <n v="0"/>
    <n v="0"/>
    <n v="0"/>
    <n v="0"/>
    <n v="0"/>
    <n v="0.27242942016093474"/>
    <n v="0"/>
    <n v="0"/>
    <n v="110.62991604427179"/>
    <n v="0"/>
    <n v="0"/>
    <n v="0.30820243329465802"/>
    <n v="18.364767189704452"/>
    <n v="0"/>
    <n v="0"/>
    <m/>
    <n v="0"/>
    <n v="0"/>
    <n v="0"/>
    <n v="0"/>
    <n v="0"/>
    <n v="-0.28285915273004925"/>
    <n v="0"/>
    <n v="0"/>
    <m/>
    <m/>
    <m/>
    <n v="1445.4406371874013"/>
    <n v="0"/>
    <n v="0"/>
    <n v="-1030.4922000000001"/>
    <n v="110.61569999999995"/>
    <n v="0"/>
    <n v="0"/>
    <n v="-1061.9794266489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0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7.0469999999999997"/>
    <n v="7.0469999999999997"/>
    <n v="7.0469999999999997"/>
    <n v="7.0469999999999997"/>
    <m/>
    <n v="501.89"/>
    <n v="216.76"/>
    <m/>
    <n v="5064.3265499999998"/>
    <n v="5064.3265499999998"/>
    <n v="3152.1230999999998"/>
    <n v="0"/>
    <n v="0"/>
    <n v="0"/>
    <n v="0"/>
    <n v="0"/>
    <n v="5.7920258404338059"/>
    <n v="3004.7257139408894"/>
    <n v="1505.2497763041629"/>
    <n v="22.250231177779781"/>
    <n v="0"/>
    <n v="0"/>
    <n v="0"/>
    <n v="0"/>
    <n v="0"/>
    <m/>
    <n v="13.5194549622252"/>
    <n v="62.589324037927703"/>
    <n v="196.09760974516962"/>
    <n v="0"/>
    <n v="0"/>
    <n v="0"/>
    <n v="0"/>
    <n v="0"/>
    <n v="0"/>
    <n v="0"/>
    <n v="0"/>
    <n v="0"/>
    <n v="0"/>
    <m/>
    <n v="0"/>
    <n v="0"/>
    <n v="4.1934556253981556"/>
    <n v="0"/>
    <n v="0"/>
    <n v="249.87419942646986"/>
    <n v="0"/>
    <n v="10.19"/>
    <n v="46.84"/>
    <n v="840.75"/>
    <n v="12"/>
    <m/>
    <m/>
    <m/>
    <m/>
    <m/>
    <m/>
    <m/>
    <n v="1260.7787699999999"/>
    <m/>
    <n v="1759.317431356031"/>
    <m/>
    <m/>
    <m/>
    <m/>
    <m/>
    <m/>
    <m/>
    <m/>
    <m/>
    <m/>
    <m/>
    <m/>
    <n v="1892.1495"/>
    <n v="-1146.4764300000006"/>
    <m/>
    <m/>
    <m/>
    <m/>
    <n v="-2142.1470600000002"/>
    <n v="229.94360999999995"/>
    <n v="30"/>
    <n v="295.45207450455155"/>
    <n v="6.4561841716253454"/>
    <n v="20.227767332382712"/>
    <n v="0"/>
    <n v="0"/>
    <n v="0"/>
    <n v="0"/>
    <n v="0"/>
    <n v="0.5663156707593231"/>
    <n v="0"/>
    <n v="0"/>
    <n v="229.973161759287"/>
    <n v="0"/>
    <n v="0"/>
    <n v="0.64067921753022272"/>
    <n v="38.175962945677639"/>
    <n v="0"/>
    <n v="0"/>
    <m/>
    <n v="0"/>
    <n v="0"/>
    <n v="0"/>
    <n v="0"/>
    <n v="0"/>
    <n v="-0.58799659271051752"/>
    <n v="0"/>
    <n v="0"/>
    <m/>
    <m/>
    <m/>
    <n v="3004.7257139408894"/>
    <n v="0"/>
    <n v="0"/>
    <n v="-2142.1470599999998"/>
    <n v="229.94361000000004"/>
    <n v="0"/>
    <n v="0"/>
    <n v="-2207.6014807065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1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7.5049999999999999"/>
    <n v="7.5049999999999999"/>
    <n v="7.5049999999999999"/>
    <n v="7.5049999999999999"/>
    <m/>
    <n v="501.89"/>
    <n v="216.76"/>
    <m/>
    <n v="5393.4682499999999"/>
    <n v="5393.4682499999999"/>
    <n v="3356.9865"/>
    <n v="0"/>
    <n v="0"/>
    <n v="0"/>
    <n v="0"/>
    <n v="0"/>
    <n v="6.1684623148085302"/>
    <n v="3200.0094342452639"/>
    <n v="1603.0792636813883"/>
    <n v="23.696322547074963"/>
    <n v="0"/>
    <n v="0"/>
    <n v="0"/>
    <n v="0"/>
    <n v="0"/>
    <m/>
    <n v="14.39811401894425"/>
    <n v="66.657141607016811"/>
    <n v="208.84242388782434"/>
    <n v="0"/>
    <n v="0"/>
    <n v="0"/>
    <n v="0"/>
    <n v="0"/>
    <n v="0"/>
    <n v="0"/>
    <n v="0"/>
    <n v="0"/>
    <n v="0"/>
    <m/>
    <n v="0"/>
    <n v="0"/>
    <n v="4.4659975122198317"/>
    <n v="0"/>
    <n v="0"/>
    <n v="266.11407218612976"/>
    <n v="0"/>
    <n v="18.48"/>
    <n v="85.32"/>
    <n v="1514.22"/>
    <n v="65"/>
    <m/>
    <m/>
    <m/>
    <m/>
    <m/>
    <m/>
    <m/>
    <n v="335.69864999999993"/>
    <m/>
    <n v="1873.659333379738"/>
    <m/>
    <m/>
    <m/>
    <m/>
    <m/>
    <m/>
    <m/>
    <m/>
    <m/>
    <m/>
    <m/>
    <m/>
    <n v="3023.3006999999998"/>
    <n v="-1830.8132000000005"/>
    <m/>
    <m/>
    <m/>
    <m/>
    <n v="-2281.3699000000001"/>
    <n v="244.88814999999997"/>
    <n v="30"/>
    <n v="314.65415342083952"/>
    <n v="6.8757857539446832"/>
    <n v="21.542414336530754"/>
    <n v="0"/>
    <n v="0"/>
    <n v="0"/>
    <n v="0"/>
    <n v="0"/>
    <n v="0.60312176941233453"/>
    <n v="0"/>
    <n v="0"/>
    <n v="244.91962239299687"/>
    <n v="0"/>
    <n v="0"/>
    <n v="0.6823183663352248"/>
    <n v="40.657102583696712"/>
    <n v="0"/>
    <n v="0"/>
    <m/>
    <n v="0"/>
    <n v="0"/>
    <n v="0"/>
    <n v="0"/>
    <n v="0"/>
    <n v="-0.62621178207640682"/>
    <n v="0"/>
    <n v="0"/>
    <m/>
    <m/>
    <m/>
    <n v="3200.0094342452639"/>
    <n v="0"/>
    <n v="0"/>
    <n v="-2281.3698999999997"/>
    <n v="244.88815"/>
    <n v="0"/>
    <n v="0"/>
    <n v="-2351.0783471977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2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2.7429999999999999"/>
    <n v="2.7429999999999999"/>
    <n v="2.7429999999999999"/>
    <n v="2.7429999999999999"/>
    <m/>
    <n v="501.89"/>
    <n v="216.76"/>
    <m/>
    <n v="1971.25695"/>
    <n v="1971.25695"/>
    <n v="1226.9438999999998"/>
    <n v="0"/>
    <n v="0"/>
    <n v="0"/>
    <n v="0"/>
    <n v="0"/>
    <n v="2.254509277750806"/>
    <n v="1169.5704034823129"/>
    <n v="585.90891675923353"/>
    <n v="8.6607611920888239"/>
    <n v="0"/>
    <n v="0"/>
    <n v="0"/>
    <n v="0"/>
    <n v="0"/>
    <m/>
    <n v="5.2623619925335214"/>
    <n v="24.362496925789088"/>
    <n v="76.32974933035338"/>
    <n v="0"/>
    <n v="0"/>
    <n v="0"/>
    <n v="0"/>
    <n v="0"/>
    <n v="0"/>
    <n v="0"/>
    <n v="0"/>
    <n v="0"/>
    <n v="0"/>
    <m/>
    <n v="0"/>
    <n v="0"/>
    <n v="1.6322759728206526"/>
    <n v="0"/>
    <n v="0"/>
    <n v="97.261945370626762"/>
    <n v="0"/>
    <n v="8.74"/>
    <n v="40.11"/>
    <n v="713.53"/>
    <n v="29"/>
    <m/>
    <m/>
    <m/>
    <m/>
    <m/>
    <m/>
    <m/>
    <m/>
    <m/>
    <n v="684.80313810268103"/>
    <m/>
    <m/>
    <m/>
    <m/>
    <m/>
    <m/>
    <m/>
    <m/>
    <m/>
    <m/>
    <m/>
    <m/>
    <n v="1225.6020000000001"/>
    <n v="-745.68494999999984"/>
    <m/>
    <m/>
    <m/>
    <m/>
    <n v="-833.81713999999999"/>
    <n v="89.504089999999977"/>
    <n v="30"/>
    <n v="115.00284381523852"/>
    <n v="2.5130286906156236"/>
    <n v="7.8735299833582815"/>
    <n v="0"/>
    <n v="0"/>
    <n v="0"/>
    <n v="0"/>
    <n v="0"/>
    <n v="0.22043477861399507"/>
    <n v="0"/>
    <n v="0"/>
    <n v="89.515592834642348"/>
    <n v="0"/>
    <n v="0"/>
    <n v="0.24938031696968954"/>
    <n v="14.859751150843451"/>
    <n v="0"/>
    <n v="0"/>
    <m/>
    <n v="0"/>
    <n v="0"/>
    <n v="0"/>
    <n v="0"/>
    <n v="0"/>
    <n v="-0.22887393980487492"/>
    <n v="0"/>
    <n v="0"/>
    <m/>
    <m/>
    <m/>
    <n v="1169.5704034823129"/>
    <n v="0"/>
    <n v="0"/>
    <n v="-833.81713999999999"/>
    <n v="89.504089999999906"/>
    <n v="0"/>
    <n v="0"/>
    <n v="-859.29485761004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3"/>
    <s v="Regular"/>
    <s v="Convencional"/>
    <s v="B3"/>
    <s v="Industrial"/>
    <s v="Não se aplica"/>
    <s v="Não se aplica"/>
    <s v="Não se aplica"/>
    <s v="Não se aplica"/>
    <s v="CATIVO"/>
    <x v="4"/>
    <n v="0"/>
    <n v="0"/>
    <n v="34.716000000000001"/>
    <n v="34.716000000000001"/>
    <n v="34.716000000000001"/>
    <n v="34.716000000000001"/>
    <m/>
    <n v="571.87"/>
    <n v="216.76"/>
    <m/>
    <n v="27378.07908"/>
    <n v="27378.07908"/>
    <n v="17844.371160000002"/>
    <n v="0"/>
    <n v="2104.1581813008684"/>
    <n v="0"/>
    <n v="0"/>
    <n v="0"/>
    <n v="28.53355599212431"/>
    <n v="14802.335445604076"/>
    <n v="7415.3897025933475"/>
    <n v="109.61246283068013"/>
    <n v="0"/>
    <n v="0"/>
    <n v="0"/>
    <n v="0"/>
    <n v="325.41506609090811"/>
    <m/>
    <n v="66.601589111481488"/>
    <n v="308.33701905785415"/>
    <n v="966.04578117118047"/>
    <n v="0"/>
    <n v="0"/>
    <n v="0"/>
    <n v="0"/>
    <n v="0"/>
    <n v="0"/>
    <n v="0"/>
    <n v="0"/>
    <n v="0"/>
    <n v="0"/>
    <m/>
    <n v="0"/>
    <n v="0"/>
    <n v="20.658436993234336"/>
    <n v="0"/>
    <n v="0"/>
    <n v="1230.9681718872328"/>
    <n v="0"/>
    <n v="125.59"/>
    <n v="577.48"/>
    <n v="4979.76"/>
    <n v="25"/>
    <m/>
    <m/>
    <m/>
    <m/>
    <m/>
    <m/>
    <m/>
    <m/>
    <m/>
    <n v="8667.0163114738152"/>
    <m/>
    <m/>
    <m/>
    <m/>
    <m/>
    <m/>
    <m/>
    <m/>
    <m/>
    <m/>
    <m/>
    <m/>
    <n v="17846.427199999998"/>
    <n v="-9531.6818799999965"/>
    <m/>
    <m/>
    <m/>
    <m/>
    <n v="-10666.491"/>
    <n v="1132.7830799999999"/>
    <n v="30"/>
    <n v="1341.7840177672661"/>
    <n v="31.805433475542145"/>
    <n v="99.649094751099597"/>
    <n v="0"/>
    <n v="0"/>
    <n v="0"/>
    <n v="0"/>
    <n v="0"/>
    <n v="2.7898701328339257"/>
    <n v="0"/>
    <n v="0"/>
    <n v="1132.9286623577991"/>
    <n v="0"/>
    <n v="0"/>
    <n v="3.1562111133502526"/>
    <n v="188.06821762766344"/>
    <n v="0"/>
    <n v="-100.53077701897178"/>
    <m/>
    <n v="0"/>
    <n v="0"/>
    <n v="0"/>
    <n v="0"/>
    <n v="-13.186016693829117"/>
    <n v="-2.8966779782231171"/>
    <n v="0"/>
    <n v="0"/>
    <m/>
    <m/>
    <m/>
    <n v="14802.335445604076"/>
    <n v="0"/>
    <n v="0"/>
    <n v="-10666.490999999998"/>
    <n v="1132.7830800000002"/>
    <n v="0"/>
    <n v="0"/>
    <n v="-10875.42117272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4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1.94"/>
    <n v="1.94"/>
    <n v="1.94"/>
    <n v="1.94"/>
    <m/>
    <n v="571.87"/>
    <n v="216.76"/>
    <m/>
    <n v="1529.9422"/>
    <n v="1529.9422"/>
    <n v="997.17939999999999"/>
    <n v="0"/>
    <n v="117.58459706543624"/>
    <n v="0"/>
    <n v="0"/>
    <n v="0"/>
    <n v="1.594512577045776"/>
    <n v="827.18431744647728"/>
    <n v="414.38691159785384"/>
    <n v="6.125365188717578"/>
    <n v="0"/>
    <n v="0"/>
    <n v="0"/>
    <n v="0"/>
    <n v="18.184849297625352"/>
    <m/>
    <n v="3.7218309389409518"/>
    <n v="17.230493633259506"/>
    <n v="53.984583923035203"/>
    <n v="0"/>
    <n v="0"/>
    <n v="0"/>
    <n v="0"/>
    <n v="0"/>
    <n v="0"/>
    <n v="0"/>
    <n v="0"/>
    <n v="0"/>
    <n v="0"/>
    <m/>
    <n v="0"/>
    <n v="0"/>
    <n v="1.1544350664498966"/>
    <n v="0"/>
    <n v="0"/>
    <n v="68.78898068502221"/>
    <n v="0"/>
    <n v="7.09"/>
    <n v="32.700000000000003"/>
    <n v="845.63"/>
    <n v="4"/>
    <m/>
    <m/>
    <m/>
    <m/>
    <m/>
    <m/>
    <m/>
    <m/>
    <m/>
    <n v="484.3303273493259"/>
    <m/>
    <m/>
    <m/>
    <m/>
    <m/>
    <m/>
    <m/>
    <m/>
    <m/>
    <m/>
    <m/>
    <m/>
    <n v="997.17939999999999"/>
    <n v="-532.79279999999994"/>
    <m/>
    <m/>
    <m/>
    <m/>
    <n v="-596.06499999999994"/>
    <n v="63.302199999999992"/>
    <n v="30"/>
    <n v="74.981593342219639"/>
    <n v="1.7773516805666496"/>
    <n v="5.568592113640193"/>
    <n v="0"/>
    <n v="0"/>
    <n v="0"/>
    <n v="0"/>
    <n v="0"/>
    <n v="0.15590356198000399"/>
    <n v="0"/>
    <n v="0"/>
    <n v="63.310335435364948"/>
    <n v="0"/>
    <n v="0"/>
    <n v="0.17637543380284271"/>
    <n v="10.509630781128806"/>
    <n v="0"/>
    <n v="-5.6178622945271712"/>
    <m/>
    <n v="0"/>
    <n v="0"/>
    <n v="0"/>
    <n v="0"/>
    <n v="-0.73686117023932596"/>
    <n v="-0.16187219949743215"/>
    <n v="0"/>
    <n v="0"/>
    <m/>
    <m/>
    <m/>
    <n v="827.18431744647728"/>
    <n v="0"/>
    <n v="0"/>
    <n v="-596.06499999999994"/>
    <n v="63.302199999999971"/>
    <n v="0"/>
    <n v="0"/>
    <n v="-607.74043884924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5"/>
    <s v="Regular"/>
    <s v="Verde"/>
    <s v="A4"/>
    <s v="Industrial"/>
    <s v="Não se aplica"/>
    <s v="Não se aplica"/>
    <s v="Não se aplica"/>
    <s v="Ponta"/>
    <s v="CATIVO"/>
    <x v="4"/>
    <n v="0"/>
    <n v="0"/>
    <n v="5.8550000000000004"/>
    <n v="5.8550000000000004"/>
    <n v="5.8550000000000004"/>
    <n v="5.8550000000000004"/>
    <m/>
    <n v="2592.54"/>
    <n v="216.76"/>
    <m/>
    <n v="16448.451499999999"/>
    <n v="16448.451499999999"/>
    <n v="6915.9260000000004"/>
    <n v="0"/>
    <n v="308.74139162977968"/>
    <n v="0"/>
    <n v="0"/>
    <n v="0"/>
    <n v="29.606599137375593"/>
    <n v="13413.169758342974"/>
    <n v="1250.636787322389"/>
    <n v="18.486604731928569"/>
    <n v="0"/>
    <n v="0"/>
    <n v="0"/>
    <n v="0"/>
    <n v="54.882625070926004"/>
    <m/>
    <n v="8.0402159605159902"/>
    <n v="264.14757287157488"/>
    <n v="1002.380383781163"/>
    <n v="0"/>
    <n v="0"/>
    <n v="0"/>
    <n v="0"/>
    <n v="0"/>
    <n v="0"/>
    <n v="0"/>
    <n v="0"/>
    <n v="0"/>
    <n v="0"/>
    <m/>
    <n v="0"/>
    <n v="0"/>
    <n v="2.6774838794537676"/>
    <n v="0"/>
    <n v="0"/>
    <n v="95.648198222407032"/>
    <n v="0"/>
    <n v="0"/>
    <n v="0"/>
    <n v="0"/>
    <n v="0"/>
    <m/>
    <m/>
    <m/>
    <m/>
    <m/>
    <m/>
    <m/>
    <m/>
    <m/>
    <n v="1348.9624694242498"/>
    <m/>
    <m/>
    <m/>
    <m/>
    <m/>
    <m/>
    <m/>
    <m/>
    <m/>
    <m/>
    <m/>
    <m/>
    <n v="6921.8320000000003"/>
    <n v="-9526.6494999999977"/>
    <m/>
    <m/>
    <m/>
    <m/>
    <n v="-9723.5741500000004"/>
    <n v="191.04864999999998"/>
    <n v="30"/>
    <n v="322.31018347532563"/>
    <n v="27.247224748956796"/>
    <n v="103.39706439062536"/>
    <n v="0"/>
    <n v="0"/>
    <n v="0"/>
    <n v="0"/>
    <n v="0"/>
    <n v="2.8947869901301395"/>
    <n v="0"/>
    <n v="0"/>
    <n v="191.07320307941336"/>
    <n v="0"/>
    <n v="0"/>
    <n v="0.40906794540728297"/>
    <n v="14.613201681248242"/>
    <n v="0"/>
    <n v="-14.750797860297212"/>
    <m/>
    <n v="0"/>
    <n v="0"/>
    <n v="0"/>
    <n v="0"/>
    <n v="-2.2238773978099289"/>
    <n v="-0.34969010234877196"/>
    <n v="0"/>
    <n v="0"/>
    <m/>
    <m/>
    <m/>
    <n v="13413.169758342974"/>
    <n v="0"/>
    <n v="0"/>
    <n v="-9723.5741500000004"/>
    <n v="191.04865000000018"/>
    <n v="0"/>
    <n v="0"/>
    <n v="-9854.7875042641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6"/>
    <s v="Regular"/>
    <s v="Verde"/>
    <s v="A4"/>
    <s v="Industrial"/>
    <s v="Não se aplica"/>
    <s v="Não se aplica"/>
    <s v="Não se aplica"/>
    <s v="Fora ponta"/>
    <s v="CATIVO"/>
    <x v="4"/>
    <n v="0"/>
    <n v="0"/>
    <n v="122.092"/>
    <n v="122.092"/>
    <n v="122.092"/>
    <n v="122.092"/>
    <m/>
    <n v="80.27"/>
    <n v="216.76"/>
    <m/>
    <n v="36264.98676"/>
    <n v="36264.98676"/>
    <n v="40201.232839999997"/>
    <n v="0"/>
    <n v="6438.0621668425374"/>
    <n v="0"/>
    <n v="0"/>
    <n v="0"/>
    <n v="0"/>
    <n v="0"/>
    <n v="26079.034438559367"/>
    <n v="385.49385908294153"/>
    <n v="0"/>
    <n v="0"/>
    <n v="0"/>
    <n v="0"/>
    <n v="1144.4456806421003"/>
    <m/>
    <n v="167.65944441525502"/>
    <n v="0"/>
    <n v="0"/>
    <n v="0"/>
    <n v="0"/>
    <n v="0"/>
    <n v="0"/>
    <n v="0"/>
    <n v="0"/>
    <n v="0"/>
    <n v="0"/>
    <n v="0"/>
    <n v="0"/>
    <m/>
    <n v="0"/>
    <n v="0"/>
    <n v="55.832512691762489"/>
    <n v="0"/>
    <n v="0"/>
    <n v="1994.514059328799"/>
    <n v="0"/>
    <n v="0"/>
    <n v="0"/>
    <n v="0"/>
    <n v="0"/>
    <m/>
    <m/>
    <m/>
    <m/>
    <m/>
    <m/>
    <m/>
    <m/>
    <m/>
    <n v="28129.381010579928"/>
    <m/>
    <m/>
    <m/>
    <m/>
    <m/>
    <m/>
    <m/>
    <m/>
    <m/>
    <m/>
    <m/>
    <m/>
    <n v="40200.5743"/>
    <n v="3935.5575400000016"/>
    <m/>
    <m/>
    <m/>
    <m/>
    <n v="-47.615880000000068"/>
    <n v="3983.8619599999993"/>
    <n v="30"/>
    <n v="3936.3692635423722"/>
    <n v="0"/>
    <n v="0"/>
    <n v="0"/>
    <n v="0"/>
    <n v="0"/>
    <n v="0"/>
    <n v="0"/>
    <n v="0"/>
    <n v="0"/>
    <n v="0"/>
    <n v="3984.3739556569999"/>
    <n v="0"/>
    <n v="0"/>
    <n v="8.5301321247935107"/>
    <n v="304.7233167663469"/>
    <n v="0"/>
    <n v="-307.59255548410056"/>
    <m/>
    <n v="0"/>
    <n v="0"/>
    <n v="0"/>
    <n v="0"/>
    <n v="-46.373636080855704"/>
    <n v="-7.2919494408140508"/>
    <n v="0"/>
    <n v="0"/>
    <m/>
    <m/>
    <m/>
    <n v="0"/>
    <n v="0"/>
    <n v="0"/>
    <n v="-47.615879999999379"/>
    <n v="3983.86195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7"/>
    <s v="Regular"/>
    <s v="Verde"/>
    <s v="A4"/>
    <s v="Industrial"/>
    <s v="Não se aplica"/>
    <s v="Não se aplica"/>
    <s v="Não se aplica"/>
    <s v="Não se aplica"/>
    <s v="CATIVO"/>
    <x v="4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416.95"/>
    <n v="1915.08"/>
    <n v="16182.19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n v="30"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08"/>
    <s v="Regular"/>
    <s v="Convencional"/>
    <s v="B3"/>
    <s v="Comercial"/>
    <s v="Não se aplica"/>
    <s v="Não se aplica"/>
    <s v="Não se aplica"/>
    <s v="Não se aplica"/>
    <s v="CATIVO"/>
    <x v="4"/>
    <n v="0"/>
    <n v="0"/>
    <n v="262.37599999999998"/>
    <n v="262.37599999999998"/>
    <n v="262.37599999999998"/>
    <n v="262.37599999999998"/>
    <m/>
    <n v="571.87"/>
    <n v="216.76"/>
    <m/>
    <n v="206917.58487999998"/>
    <n v="206917.58487999998"/>
    <n v="134863.88775999998"/>
    <n v="0"/>
    <n v="15902.771257546854"/>
    <n v="0"/>
    <n v="0"/>
    <n v="0"/>
    <n v="215.65042882214561"/>
    <n v="111872.84148161697"/>
    <n v="56043.907380102311"/>
    <n v="828.42722513142439"/>
    <n v="0"/>
    <n v="0"/>
    <n v="0"/>
    <n v="0"/>
    <n v="2459.4165048009017"/>
    <m/>
    <n v="503.36036826575832"/>
    <n v="2330.3443286186061"/>
    <n v="7301.1645316444756"/>
    <n v="0"/>
    <n v="0"/>
    <n v="0"/>
    <n v="0"/>
    <n v="0"/>
    <n v="0"/>
    <n v="0"/>
    <n v="0"/>
    <n v="0"/>
    <n v="0"/>
    <m/>
    <n v="0"/>
    <n v="0"/>
    <n v="156.13198711075157"/>
    <n v="0"/>
    <n v="0"/>
    <n v="9303.3905135120549"/>
    <n v="0"/>
    <n v="936.67"/>
    <n v="4319.37"/>
    <n v="76009.490000000005"/>
    <n v="703"/>
    <m/>
    <m/>
    <m/>
    <m/>
    <m/>
    <m/>
    <m/>
    <m/>
    <m/>
    <n v="65503.429880725118"/>
    <m/>
    <m/>
    <m/>
    <m/>
    <m/>
    <m/>
    <m/>
    <m/>
    <m/>
    <m/>
    <m/>
    <m/>
    <n v="134865.94380000001"/>
    <n v="-72051.67108"/>
    <m/>
    <m/>
    <m/>
    <m/>
    <n v="-80615.025999999998"/>
    <n v="8561.3288799999973"/>
    <n v="30"/>
    <n v="10140.912646782555"/>
    <n v="240.3785693506984"/>
    <n v="753.12624969508306"/>
    <n v="0"/>
    <n v="0"/>
    <n v="0"/>
    <n v="0"/>
    <n v="0"/>
    <n v="21.085233493848193"/>
    <n v="0"/>
    <n v="0"/>
    <n v="8562.429159891406"/>
    <n v="0"/>
    <n v="0"/>
    <n v="23.853959185285902"/>
    <n v="1421.3788071285817"/>
    <n v="0"/>
    <n v="-759.78981308704169"/>
    <m/>
    <n v="0"/>
    <n v="0"/>
    <n v="0"/>
    <n v="0"/>
    <n v="-99.65705484675982"/>
    <n v="-21.892464028524898"/>
    <n v="0"/>
    <n v="0"/>
    <m/>
    <m/>
    <m/>
    <n v="111872.84148161697"/>
    <n v="0"/>
    <n v="0"/>
    <n v="-80615.026000000013"/>
    <n v="8561.3288799999937"/>
    <n v="0"/>
    <n v="0"/>
    <n v="-82194.07493995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09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5.6520000000000001"/>
    <n v="5.6520000000000001"/>
    <n v="5.6520000000000001"/>
    <n v="5.6520000000000001"/>
    <m/>
    <n v="571.87"/>
    <n v="216.76"/>
    <m/>
    <n v="4457.3367600000001"/>
    <n v="4457.3367600000001"/>
    <n v="2905.1845199999998"/>
    <n v="0"/>
    <n v="342.57120753291014"/>
    <n v="0"/>
    <n v="0"/>
    <n v="0"/>
    <n v="4.6454562296199624"/>
    <n v="2409.9204959832423"/>
    <n v="1207.2756826551906"/>
    <n v="17.845651570428739"/>
    <n v="0"/>
    <n v="0"/>
    <n v="0"/>
    <n v="0"/>
    <n v="52.97977743823634"/>
    <m/>
    <n v="10.843189931388794"/>
    <n v="50.199355677929248"/>
    <n v="157.27879810979121"/>
    <n v="0"/>
    <n v="0"/>
    <n v="0"/>
    <n v="0"/>
    <n v="0"/>
    <n v="0"/>
    <n v="0"/>
    <n v="0"/>
    <n v="0"/>
    <n v="0"/>
    <m/>
    <n v="0"/>
    <n v="0"/>
    <n v="3.3633335028736164"/>
    <n v="0"/>
    <n v="0"/>
    <n v="200.40995816069361"/>
    <n v="0"/>
    <n v="19.91"/>
    <n v="91.9"/>
    <n v="3135.48"/>
    <n v="18"/>
    <m/>
    <m/>
    <m/>
    <m/>
    <m/>
    <m/>
    <m/>
    <m/>
    <m/>
    <n v="1411.0489743187579"/>
    <m/>
    <m/>
    <m/>
    <m/>
    <m/>
    <m/>
    <m/>
    <m/>
    <m/>
    <m/>
    <m/>
    <m/>
    <n v="2904.1565000000001"/>
    <n v="-1553.2102600000007"/>
    <m/>
    <m/>
    <m/>
    <m/>
    <n v="-1736.577"/>
    <n v="184.42475999999999"/>
    <n v="30"/>
    <n v="218.45152864444481"/>
    <n v="5.17814005080551"/>
    <n v="16.223547745512576"/>
    <n v="0"/>
    <n v="0"/>
    <n v="0"/>
    <n v="0"/>
    <n v="0"/>
    <n v="0.45420975892318616"/>
    <n v="0"/>
    <n v="0"/>
    <n v="184.44846179416641"/>
    <n v="0"/>
    <n v="0"/>
    <n v="0.51385255250189044"/>
    <n v="30.618779987082462"/>
    <n v="0"/>
    <n v="-16.367091592096699"/>
    <m/>
    <n v="0"/>
    <n v="0"/>
    <n v="0"/>
    <n v="0"/>
    <n v="-2.1467728526766408"/>
    <n v="-0.47159879977293073"/>
    <n v="0"/>
    <n v="0"/>
    <m/>
    <m/>
    <m/>
    <n v="2409.9204959832423"/>
    <n v="0"/>
    <n v="0"/>
    <n v="-1736.577"/>
    <n v="184.42475999999988"/>
    <n v="0"/>
    <n v="0"/>
    <n v="-1770.592247616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0"/>
    <s v="Regular"/>
    <s v="Verde"/>
    <s v="A4"/>
    <s v="Comercial"/>
    <s v="Não se aplica"/>
    <s v="Não se aplica"/>
    <s v="Não se aplica"/>
    <s v="Ponta"/>
    <s v="CATIVO"/>
    <x v="4"/>
    <n v="0"/>
    <n v="0"/>
    <n v="5.8559999999999999"/>
    <n v="5.8559999999999999"/>
    <n v="5.8559999999999999"/>
    <n v="5.8559999999999999"/>
    <m/>
    <n v="2592.54"/>
    <n v="216.76"/>
    <m/>
    <n v="16451.2608"/>
    <n v="16451.2608"/>
    <n v="6917.1071999999986"/>
    <n v="0"/>
    <n v="308.79412286660795"/>
    <n v="0"/>
    <n v="0"/>
    <n v="0"/>
    <n v="29.611655772582655"/>
    <n v="13415.460649847388"/>
    <n v="1250.8503888232124"/>
    <n v="18.489762136665021"/>
    <n v="0"/>
    <n v="0"/>
    <n v="0"/>
    <n v="0"/>
    <n v="54.891998704584566"/>
    <m/>
    <n v="8.0415891827124906"/>
    <n v="264.1926877431157"/>
    <n v="1002.5515845298874"/>
    <n v="0"/>
    <n v="0"/>
    <n v="0"/>
    <n v="0"/>
    <n v="0"/>
    <n v="0"/>
    <n v="0"/>
    <n v="0"/>
    <n v="0"/>
    <n v="0"/>
    <m/>
    <n v="0"/>
    <n v="0"/>
    <n v="2.6779411781522224"/>
    <n v="0"/>
    <n v="0"/>
    <n v="95.66453437923407"/>
    <n v="0"/>
    <n v="0"/>
    <n v="0"/>
    <n v="0"/>
    <n v="0"/>
    <m/>
    <m/>
    <m/>
    <m/>
    <m/>
    <m/>
    <m/>
    <m/>
    <m/>
    <n v="1349.1928643805986"/>
    <m/>
    <m/>
    <m/>
    <m/>
    <m/>
    <m/>
    <m/>
    <m/>
    <m/>
    <m/>
    <m/>
    <m/>
    <n v="6921.8320000000003"/>
    <n v="-9529.4587999999985"/>
    <m/>
    <m/>
    <m/>
    <m/>
    <n v="-9725.23488"/>
    <n v="191.08127999999996"/>
    <n v="30"/>
    <n v="322.36523218300727"/>
    <n v="27.251878416719194"/>
    <n v="103.41472400879616"/>
    <n v="0"/>
    <n v="0"/>
    <n v="0"/>
    <n v="0"/>
    <n v="0"/>
    <n v="2.8952814029380214"/>
    <n v="0"/>
    <n v="0"/>
    <n v="191.1058372729367"/>
    <n v="0"/>
    <n v="0"/>
    <n v="0.40913781183689979"/>
    <n v="14.615697531236506"/>
    <n v="0"/>
    <n v="-14.753317210913849"/>
    <m/>
    <n v="0"/>
    <n v="0"/>
    <n v="0"/>
    <n v="0"/>
    <n v="-2.2242572231554121"/>
    <n v="-0.34974982738760207"/>
    <n v="0"/>
    <n v="0"/>
    <m/>
    <m/>
    <m/>
    <n v="13415.460649847388"/>
    <n v="0"/>
    <n v="0"/>
    <n v="-9725.23488"/>
    <n v="191.08127999999988"/>
    <n v="0"/>
    <n v="0"/>
    <n v="-9856.4706447430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1"/>
    <s v="Regular"/>
    <s v="Verde"/>
    <s v="A4"/>
    <s v="Comercial"/>
    <s v="Não se aplica"/>
    <s v="Não se aplica"/>
    <s v="Não se aplica"/>
    <s v="Fora ponta"/>
    <s v="CATIVO"/>
    <x v="4"/>
    <n v="0"/>
    <n v="0"/>
    <n v="81.64"/>
    <n v="81.64"/>
    <n v="81.64"/>
    <n v="81.64"/>
    <m/>
    <n v="80.27"/>
    <n v="216.76"/>
    <m/>
    <n v="24249.529200000001"/>
    <n v="24249.529200000001"/>
    <n v="26881.602800000001"/>
    <n v="0"/>
    <n v="4304.9781746635717"/>
    <n v="0"/>
    <n v="0"/>
    <n v="0"/>
    <n v="0"/>
    <n v="0"/>
    <n v="17438.426527241645"/>
    <n v="257.77052268397068"/>
    <n v="0"/>
    <n v="0"/>
    <n v="0"/>
    <n v="0"/>
    <n v="765.26345188563596"/>
    <m/>
    <n v="112.10986012237838"/>
    <n v="0"/>
    <n v="0"/>
    <n v="0"/>
    <n v="0"/>
    <n v="0"/>
    <n v="0"/>
    <n v="0"/>
    <n v="0"/>
    <n v="0"/>
    <n v="0"/>
    <n v="0"/>
    <n v="0"/>
    <m/>
    <n v="0"/>
    <n v="0"/>
    <n v="37.33386574186261"/>
    <n v="0"/>
    <n v="0"/>
    <n v="1333.6838433607702"/>
    <n v="0"/>
    <n v="0"/>
    <n v="0"/>
    <n v="0"/>
    <n v="0"/>
    <m/>
    <m/>
    <m/>
    <m/>
    <m/>
    <m/>
    <m/>
    <m/>
    <m/>
    <n v="18809.444236344279"/>
    <m/>
    <m/>
    <m/>
    <m/>
    <m/>
    <m/>
    <m/>
    <m/>
    <m/>
    <m/>
    <m/>
    <m/>
    <n v="26881.602800000001"/>
    <n v="2632.0436000000009"/>
    <m/>
    <m/>
    <m/>
    <m/>
    <n v="-31.839600000000047"/>
    <n v="2663.9131999999995"/>
    <n v="30"/>
    <n v="2632.1559698882738"/>
    <n v="0"/>
    <n v="0"/>
    <n v="0"/>
    <n v="0"/>
    <n v="0"/>
    <n v="0"/>
    <n v="0"/>
    <n v="0"/>
    <n v="0"/>
    <n v="0"/>
    <n v="2664.255559249068"/>
    <n v="0"/>
    <n v="0"/>
    <n v="5.7038953139283635"/>
    <n v="203.76119304135045"/>
    <n v="0"/>
    <n v="-205.67978434067754"/>
    <m/>
    <n v="0"/>
    <n v="0"/>
    <n v="0"/>
    <n v="0"/>
    <n v="-31.008941205329165"/>
    <n v="-4.8759521700689561"/>
    <n v="0"/>
    <n v="0"/>
    <m/>
    <m/>
    <m/>
    <n v="0"/>
    <n v="0"/>
    <n v="0"/>
    <n v="-31.839600000000246"/>
    <n v="2663.9131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2"/>
    <s v="Regular"/>
    <s v="Verde"/>
    <s v="A4"/>
    <s v="Comercial"/>
    <s v="Não se aplica"/>
    <s v="Não se aplica"/>
    <s v="Não se aplica"/>
    <s v="Não se aplica"/>
    <s v="CATIVO"/>
    <x v="4"/>
    <n v="897"/>
    <n v="897"/>
    <n v="0"/>
    <n v="0"/>
    <n v="0"/>
    <n v="0"/>
    <n v="32.17"/>
    <m/>
    <m/>
    <n v="28856.49"/>
    <m/>
    <n v="28856.49"/>
    <n v="11598.21"/>
    <n v="0"/>
    <n v="0"/>
    <n v="0"/>
    <n v="0"/>
    <n v="0"/>
    <n v="89.624853942754044"/>
    <n v="24153.281679358221"/>
    <m/>
    <m/>
    <m/>
    <n v="0"/>
    <n v="0"/>
    <n v="0"/>
    <n v="0"/>
    <m/>
    <n v="0"/>
    <n v="1582.6857324531159"/>
    <n v="3034.4300534047752"/>
    <n v="0"/>
    <n v="0"/>
    <m/>
    <m/>
    <n v="0"/>
    <n v="0"/>
    <n v="0"/>
    <m/>
    <m/>
    <n v="0"/>
    <m/>
    <n v="0"/>
    <n v="0"/>
    <n v="0"/>
    <n v="0"/>
    <m/>
    <n v="0"/>
    <n v="0"/>
    <n v="313.89999999999998"/>
    <n v="1441.86"/>
    <n v="24449.62"/>
    <n v="8"/>
    <m/>
    <m/>
    <m/>
    <m/>
    <m/>
    <m/>
    <m/>
    <m/>
    <m/>
    <n v="0"/>
    <m/>
    <m/>
    <m/>
    <m/>
    <m/>
    <m/>
    <m/>
    <m/>
    <m/>
    <m/>
    <m/>
    <m/>
    <n v="11598.21"/>
    <n v="-17258.309999999998"/>
    <m/>
    <m/>
    <m/>
    <m/>
    <n v="-17258.280000000002"/>
    <n v="0"/>
    <n v="30"/>
    <n v="485.02560602643371"/>
    <n v="163.25644559333091"/>
    <n v="313.00608501258648"/>
    <n v="0"/>
    <n v="0"/>
    <m/>
    <m/>
    <m/>
    <n v="8.76307542051600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153.281679358221"/>
    <m/>
    <n v="0"/>
    <n v="0"/>
    <n v="-17258.280000000002"/>
    <m/>
    <n v="0"/>
    <m/>
    <n v="-17745.653172894446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13"/>
    <s v="Regular"/>
    <s v="Convencional"/>
    <s v="B2"/>
    <s v="Rural"/>
    <s v="Não se aplica"/>
    <s v="Não se aplica"/>
    <s v="Não se aplica"/>
    <s v="Não se aplica"/>
    <s v="CATIVO"/>
    <x v="4"/>
    <n v="0"/>
    <n v="0"/>
    <n v="3702.933"/>
    <n v="3702.933"/>
    <n v="3702.933"/>
    <n v="3702.933"/>
    <m/>
    <n v="571.87"/>
    <n v="216.76"/>
    <m/>
    <n v="2920244.0517899999"/>
    <n v="2920244.0517899999"/>
    <n v="1903344.59133"/>
    <n v="0"/>
    <n v="224437.05400273559"/>
    <n v="0"/>
    <n v="0"/>
    <n v="0"/>
    <n v="3043.4913610607455"/>
    <n v="1578870.1578118745"/>
    <n v="790952.04624936893"/>
    <n v="11691.658192965748"/>
    <n v="0"/>
    <n v="0"/>
    <n v="0"/>
    <n v="0"/>
    <n v="34709.937404228731"/>
    <m/>
    <n v="7103.9642289821841"/>
    <n v="32888.331691178624"/>
    <n v="103041.90582467862"/>
    <n v="0"/>
    <n v="0"/>
    <n v="0"/>
    <n v="0"/>
    <n v="0"/>
    <n v="0"/>
    <n v="0"/>
    <n v="0"/>
    <n v="0"/>
    <n v="0"/>
    <m/>
    <n v="0"/>
    <n v="0"/>
    <n v="2203.5029401621209"/>
    <n v="0"/>
    <n v="0"/>
    <n v="131299.47763656257"/>
    <n v="0"/>
    <n v="11924.22"/>
    <n v="55004.33"/>
    <n v="140877.44"/>
    <n v="10516"/>
    <m/>
    <m/>
    <m/>
    <m/>
    <m/>
    <n v="228396.90743999992"/>
    <m/>
    <m/>
    <m/>
    <n v="924455.02682609356"/>
    <m/>
    <m/>
    <m/>
    <m/>
    <m/>
    <m/>
    <m/>
    <m/>
    <m/>
    <m/>
    <m/>
    <m/>
    <n v="1674946.3269"/>
    <n v="-894889.20509999967"/>
    <m/>
    <m/>
    <m/>
    <m/>
    <n v="-1137726.1642499999"/>
    <n v="120826.70378999999"/>
    <n v="30"/>
    <n v="143119.49297911557"/>
    <n v="3392.4815415338599"/>
    <n v="10628.929639761875"/>
    <n v="0"/>
    <n v="0"/>
    <n v="0"/>
    <n v="0"/>
    <n v="0"/>
    <n v="297.57754869757855"/>
    <n v="0"/>
    <n v="0"/>
    <n v="120842.2321261249"/>
    <n v="0"/>
    <n v="0"/>
    <n v="336.65279083394944"/>
    <n v="20060.03022539051"/>
    <n v="0"/>
    <n v="-10722.973030855879"/>
    <m/>
    <n v="0"/>
    <n v="0"/>
    <n v="0"/>
    <n v="0"/>
    <n v="-1406.4678060298029"/>
    <n v="-308.97005634104426"/>
    <n v="0"/>
    <n v="0"/>
    <m/>
    <m/>
    <m/>
    <n v="1578870.1578118745"/>
    <n v="0"/>
    <n v="0"/>
    <n v="-1137726.1642499999"/>
    <n v="120826.70378999994"/>
    <n v="0"/>
    <n v="0"/>
    <n v="-1160011.4053862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4.4530000000000003"/>
    <n v="-4.4530000000000003"/>
    <n v="-4.4530000000000003"/>
    <n v="-4.4530000000000003"/>
    <m/>
    <n v="571.87"/>
    <n v="216.76"/>
    <m/>
    <n v="-3511.7693900000004"/>
    <n v="-3511.7693900000004"/>
    <n v="-2288.8865300000002"/>
    <n v="0"/>
    <n v="-269.89907769710703"/>
    <n v="0"/>
    <n v="0"/>
    <n v="0"/>
    <n v="-3.659981703909712"/>
    <n v="-1898.6864771078165"/>
    <n v="-951.1674831676512"/>
    <n v="-14.05992329142236"/>
    <n v="0"/>
    <n v="0"/>
    <n v="0"/>
    <n v="0"/>
    <n v="-41.740790681611188"/>
    <m/>
    <n v="-8.5429449335587933"/>
    <n v="-39.550200076754948"/>
    <n v="-123.91409907694627"/>
    <n v="0"/>
    <n v="0"/>
    <n v="0"/>
    <n v="0"/>
    <n v="0"/>
    <n v="0"/>
    <n v="0"/>
    <n v="0"/>
    <n v="0"/>
    <n v="0"/>
    <m/>
    <n v="0"/>
    <n v="0"/>
    <n v="-2.6498450262378297"/>
    <n v="0"/>
    <n v="0"/>
    <n v="-157.89553143835255"/>
    <n v="0"/>
    <n v="-16.5"/>
    <n v="-75.81"/>
    <n v="-1062.71"/>
    <n v="0"/>
    <m/>
    <m/>
    <m/>
    <m/>
    <m/>
    <n v="-274.66103999999996"/>
    <m/>
    <m/>
    <m/>
    <n v="-1111.7128596322416"/>
    <m/>
    <m/>
    <m/>
    <m/>
    <m/>
    <m/>
    <m/>
    <m/>
    <m/>
    <m/>
    <m/>
    <m/>
    <n v="-2012.8685"/>
    <n v="1077.4834999999998"/>
    <m/>
    <m/>
    <m/>
    <m/>
    <n v="1368.18425"/>
    <n v="-145.30139"/>
    <n v="30"/>
    <n v="-172.10981193448629"/>
    <n v="-4.079663419362511"/>
    <n v="-12.781928186618458"/>
    <n v="0"/>
    <n v="0"/>
    <n v="0"/>
    <n v="0"/>
    <n v="0"/>
    <n v="-0.35785492860667922"/>
    <n v="0"/>
    <n v="0"/>
    <n v="-145.32006375962897"/>
    <n v="0"/>
    <n v="0"/>
    <n v="-0.40484526119796849"/>
    <n v="-24.123394777508537"/>
    <n v="0"/>
    <n v="12.895021029654401"/>
    <m/>
    <n v="0"/>
    <n v="0"/>
    <n v="0"/>
    <n v="0"/>
    <n v="1.6913622634410999"/>
    <n v="0.37155510534127068"/>
    <n v="0"/>
    <n v="0"/>
    <m/>
    <m/>
    <m/>
    <n v="-1898.6864771078165"/>
    <n v="0"/>
    <n v="0"/>
    <n v="1368.18425"/>
    <n v="-145.30138999999997"/>
    <n v="0"/>
    <n v="0"/>
    <n v="1394.9835949462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47.308999999999997"/>
    <n v="47.308999999999997"/>
    <n v="47.308999999999997"/>
    <n v="47.308999999999997"/>
    <m/>
    <n v="571.87"/>
    <n v="216.76"/>
    <m/>
    <n v="37309.296669999996"/>
    <n v="37309.296669999996"/>
    <n v="24317.29909"/>
    <n v="0"/>
    <n v="2867.4276817364553"/>
    <n v="0"/>
    <n v="0"/>
    <n v="0"/>
    <n v="38.883915210030217"/>
    <n v="20171.784986636801"/>
    <n v="10105.273402465395"/>
    <n v="149.3736606768247"/>
    <n v="0"/>
    <n v="0"/>
    <n v="0"/>
    <n v="0"/>
    <n v="443.45723475327719"/>
    <m/>
    <n v="90.760876232143033"/>
    <n v="420.18423881230621"/>
    <n v="1316.4725158839549"/>
    <n v="0"/>
    <n v="0"/>
    <n v="0"/>
    <n v="0"/>
    <n v="0"/>
    <n v="0"/>
    <n v="0"/>
    <n v="0"/>
    <n v="0"/>
    <n v="0"/>
    <m/>
    <n v="0"/>
    <n v="0"/>
    <n v="28.152148741586679"/>
    <n v="0"/>
    <n v="0"/>
    <n v="1677.4937563029464"/>
    <n v="0"/>
    <n v="162.03"/>
    <n v="745.7"/>
    <n v="1402.07"/>
    <n v="164"/>
    <m/>
    <m/>
    <m/>
    <m/>
    <m/>
    <n v="2918.019119999999"/>
    <m/>
    <m/>
    <m/>
    <n v="11810.919307509928"/>
    <m/>
    <m/>
    <m/>
    <m/>
    <m/>
    <m/>
    <m/>
    <m/>
    <m/>
    <m/>
    <m/>
    <m/>
    <n v="21399.732300000003"/>
    <n v="-11432.743699999992"/>
    <m/>
    <m/>
    <m/>
    <m/>
    <n v="-14535.69025"/>
    <n v="1543.6926699999997"/>
    <n v="30"/>
    <n v="1828.5073192922973"/>
    <n v="43.342644668003857"/>
    <n v="135.79614654855868"/>
    <n v="0"/>
    <n v="0"/>
    <n v="0"/>
    <n v="0"/>
    <n v="0"/>
    <n v="3.8018771204701025"/>
    <n v="0"/>
    <n v="0"/>
    <n v="1543.8910613977732"/>
    <n v="0"/>
    <n v="0"/>
    <n v="4.3011058751436551"/>
    <n v="256.28872300227954"/>
    <n v="0"/>
    <n v="-136.99765324318878"/>
    <m/>
    <n v="0"/>
    <n v="0"/>
    <n v="0"/>
    <n v="0"/>
    <n v="-17.969157269511527"/>
    <n v="-3.9474288072288743"/>
    <n v="0"/>
    <n v="0"/>
    <m/>
    <m/>
    <m/>
    <n v="20171.784986636801"/>
    <n v="0"/>
    <n v="0"/>
    <n v="-14535.69025"/>
    <n v="1543.6926700000004"/>
    <n v="0"/>
    <n v="0"/>
    <n v="-14820.408464700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37.689"/>
    <n v="37.689"/>
    <n v="37.689"/>
    <n v="37.689"/>
    <m/>
    <n v="571.87"/>
    <n v="216.76"/>
    <m/>
    <n v="29722.676069999998"/>
    <n v="29722.676069999998"/>
    <n v="19372.52289"/>
    <n v="0"/>
    <n v="2284.3535457727971"/>
    <n v="0"/>
    <n v="0"/>
    <n v="0"/>
    <n v="30.977105420761987"/>
    <n v="16069.974092907363"/>
    <n v="8050.4269645420172"/>
    <n v="118.999427112153"/>
    <n v="0"/>
    <n v="0"/>
    <n v="0"/>
    <n v="0"/>
    <n v="353.28287895783603"/>
    <m/>
    <n v="72.305199101930697"/>
    <n v="334.74230646593691"/>
    <n v="1048.7757646779762"/>
    <n v="0"/>
    <n v="0"/>
    <n v="0"/>
    <n v="0"/>
    <n v="0"/>
    <n v="0"/>
    <n v="0"/>
    <n v="0"/>
    <n v="0"/>
    <n v="0"/>
    <m/>
    <n v="0"/>
    <n v="0"/>
    <n v="22.427578979087709"/>
    <n v="0"/>
    <n v="0"/>
    <n v="1336.3855118751558"/>
    <n v="0"/>
    <n v="132.86000000000001"/>
    <n v="613.03"/>
    <n v="9865.98"/>
    <n v="107"/>
    <m/>
    <m/>
    <m/>
    <m/>
    <m/>
    <m/>
    <m/>
    <m/>
    <m/>
    <n v="9409.2400553962616"/>
    <m/>
    <m/>
    <m/>
    <m/>
    <m/>
    <m/>
    <m/>
    <m/>
    <m/>
    <m/>
    <m/>
    <m/>
    <n v="19373.036899999999"/>
    <n v="-10349.669169999994"/>
    <m/>
    <m/>
    <m/>
    <m/>
    <n v="-11579.945250000001"/>
    <n v="1229.7920699999997"/>
    <n v="30"/>
    <n v="1456.6913770489264"/>
    <n v="34.529179117977492"/>
    <n v="108.18281864483765"/>
    <n v="0"/>
    <n v="0"/>
    <n v="0"/>
    <n v="0"/>
    <n v="0"/>
    <n v="3.0287883234352364"/>
    <n v="0"/>
    <n v="0"/>
    <n v="1229.9501197028203"/>
    <n v="0"/>
    <n v="0"/>
    <n v="3.4265019198945055"/>
    <n v="204.17395593297078"/>
    <n v="0"/>
    <n v="-109.14000619506942"/>
    <m/>
    <n v="0"/>
    <n v="0"/>
    <n v="0"/>
    <n v="0"/>
    <n v="-14.315237445953585"/>
    <n v="-3.1447429519890306"/>
    <n v="0"/>
    <n v="0"/>
    <m/>
    <m/>
    <m/>
    <n v="16069.974092907363"/>
    <n v="0"/>
    <n v="0"/>
    <n v="-11579.945249999999"/>
    <n v="1229.7920700000004"/>
    <n v="0"/>
    <n v="0"/>
    <n v="-11806.76773185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7"/>
    <s v="Sistema de Compensação"/>
    <s v="Convencional"/>
    <s v="B3"/>
    <s v="Poder público"/>
    <s v="Não se aplica"/>
    <s v="Não se aplica"/>
    <s v="Não se aplica"/>
    <s v="Não se aplica"/>
    <s v="CATIVO"/>
    <x v="4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35"/>
    <n v="1.62"/>
    <n v="121.71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0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8"/>
    <s v="Regular"/>
    <s v="Verde"/>
    <s v="A4"/>
    <s v="Poder público"/>
    <s v="Não se aplica"/>
    <s v="Não se aplica"/>
    <s v="Não se aplica"/>
    <s v="Ponta"/>
    <s v="CATIVO"/>
    <x v="4"/>
    <n v="0"/>
    <n v="0"/>
    <n v="1.659"/>
    <n v="1.659"/>
    <n v="1.659"/>
    <n v="1.659"/>
    <m/>
    <n v="2592.54"/>
    <n v="216.76"/>
    <m/>
    <n v="4660.6287000000002"/>
    <n v="4660.6287000000002"/>
    <n v="1959.6107999999999"/>
    <n v="0"/>
    <n v="87.481121898173257"/>
    <n v="0"/>
    <n v="0"/>
    <n v="0"/>
    <n v="8.3889578085236725"/>
    <n v="3800.5890058225436"/>
    <n v="354.36488986641211"/>
    <n v="5.2381344577744651"/>
    <n v="0"/>
    <n v="0"/>
    <n v="0"/>
    <n v="0"/>
    <n v="15.550858239567248"/>
    <m/>
    <n v="2.2781756239959057"/>
    <n v="74.845571886241288"/>
    <n v="284.02204213372323"/>
    <n v="0"/>
    <n v="0"/>
    <n v="0"/>
    <n v="0"/>
    <n v="0"/>
    <n v="0"/>
    <n v="0"/>
    <n v="0"/>
    <n v="0"/>
    <n v="0"/>
    <m/>
    <n v="0"/>
    <n v="0"/>
    <n v="0.75865854073677208"/>
    <n v="0"/>
    <n v="0"/>
    <n v="27.101684176084245"/>
    <n v="0"/>
    <n v="0"/>
    <n v="0"/>
    <n v="0"/>
    <n v="0"/>
    <m/>
    <m/>
    <m/>
    <m/>
    <m/>
    <m/>
    <m/>
    <m/>
    <m/>
    <n v="382.22523258323309"/>
    <m/>
    <m/>
    <m/>
    <m/>
    <m/>
    <m/>
    <m/>
    <m/>
    <m/>
    <m/>
    <m/>
    <m/>
    <n v="1960.7919999999999"/>
    <n v="-2699.8667000000009"/>
    <m/>
    <m/>
    <m/>
    <m/>
    <n v="-2755.1510699999999"/>
    <n v="54.133169999999993"/>
    <n v="30"/>
    <n v="91.325806043648754"/>
    <n v="7.7204348178512845"/>
    <n v="29.297306545524691"/>
    <n v="0"/>
    <n v="0"/>
    <n v="0"/>
    <n v="0"/>
    <n v="0"/>
    <n v="0.82023084827086379"/>
    <n v="0"/>
    <n v="0"/>
    <n v="54.140127055294101"/>
    <n v="0"/>
    <n v="0"/>
    <n v="0.11590840673453151"/>
    <n v="4.1406151305193575"/>
    <n v="0"/>
    <n v="-4.179602672968926"/>
    <m/>
    <n v="0"/>
    <n v="0"/>
    <n v="0"/>
    <n v="0"/>
    <n v="-0.63013024815827023"/>
    <n v="-9.9083839418721453E-2"/>
    <n v="0"/>
    <n v="0"/>
    <m/>
    <m/>
    <m/>
    <n v="3800.5890058225436"/>
    <n v="0"/>
    <n v="0"/>
    <n v="-2755.1510700000003"/>
    <n v="54.133170000000007"/>
    <n v="0"/>
    <n v="0"/>
    <n v="-2792.3300545814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19"/>
    <s v="Regular"/>
    <s v="Verde"/>
    <s v="A4"/>
    <s v="Poder público"/>
    <s v="Não se aplica"/>
    <s v="Não se aplica"/>
    <s v="Não se aplica"/>
    <s v="Fora ponta"/>
    <s v="CATIVO"/>
    <x v="4"/>
    <n v="0"/>
    <n v="0"/>
    <n v="14.122999999999999"/>
    <n v="14.122999999999999"/>
    <n v="14.122999999999999"/>
    <n v="14.122999999999999"/>
    <m/>
    <n v="80.27"/>
    <n v="216.76"/>
    <m/>
    <n v="4194.9546899999996"/>
    <n v="4194.9546899999996"/>
    <n v="4650.280209999999"/>
    <n v="0"/>
    <n v="744.72325772628142"/>
    <n v="0"/>
    <n v="0"/>
    <n v="0"/>
    <n v="0"/>
    <n v="0"/>
    <n v="3016.6939961322109"/>
    <n v="44.59202709291668"/>
    <n v="0"/>
    <n v="0"/>
    <n v="0"/>
    <n v="0"/>
    <n v="132.38382815998085"/>
    <m/>
    <n v="19.394017081189975"/>
    <n v="0"/>
    <n v="0"/>
    <n v="0"/>
    <n v="0"/>
    <n v="0"/>
    <n v="0"/>
    <n v="0"/>
    <n v="0"/>
    <n v="0"/>
    <n v="0"/>
    <n v="0"/>
    <n v="0"/>
    <m/>
    <n v="0"/>
    <n v="0"/>
    <n v="6.4584295182793436"/>
    <n v="0"/>
    <n v="0"/>
    <n v="230.71554286849775"/>
    <n v="0"/>
    <n v="0"/>
    <n v="0"/>
    <n v="0"/>
    <n v="0"/>
    <m/>
    <m/>
    <m/>
    <m/>
    <m/>
    <m/>
    <m/>
    <m/>
    <m/>
    <n v="3253.8679685189882"/>
    <m/>
    <m/>
    <m/>
    <m/>
    <m/>
    <m/>
    <m/>
    <m/>
    <m/>
    <m/>
    <m/>
    <m/>
    <n v="4649.2923999999994"/>
    <n v="454.30771000000004"/>
    <m/>
    <m/>
    <m/>
    <m/>
    <n v="-5.5079700000000074"/>
    <n v="460.83348999999993"/>
    <n v="30"/>
    <n v="455.33976926423293"/>
    <n v="0"/>
    <n v="0"/>
    <n v="0"/>
    <n v="0"/>
    <n v="0"/>
    <n v="0"/>
    <n v="0"/>
    <n v="0"/>
    <n v="0"/>
    <n v="0"/>
    <n v="460.89271513075255"/>
    <n v="0"/>
    <n v="0"/>
    <n v="0.98672358548028249"/>
    <n v="35.248889384162084"/>
    <n v="0"/>
    <n v="-35.580788758493213"/>
    <m/>
    <n v="0"/>
    <n v="0"/>
    <n v="0"/>
    <n v="0"/>
    <n v="-5.3642733542732088"/>
    <n v="-0.8434967233939723"/>
    <n v="0"/>
    <n v="0"/>
    <m/>
    <m/>
    <m/>
    <n v="0"/>
    <n v="0"/>
    <n v="0"/>
    <n v="-5.5079700000001139"/>
    <n v="460.8334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20"/>
    <s v="Regular"/>
    <s v="Verde"/>
    <s v="A4"/>
    <s v="Poder público"/>
    <s v="Não se aplica"/>
    <s v="Não se aplica"/>
    <s v="Não se aplica"/>
    <s v="Não se aplica"/>
    <s v="CATIVO"/>
    <x v="4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52.66"/>
    <n v="241.86"/>
    <n v="4301.66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n v="30"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21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72.322000000000003"/>
    <n v="72.322000000000003"/>
    <n v="72.322000000000003"/>
    <n v="72.322000000000003"/>
    <m/>
    <n v="314.52999999999997"/>
    <n v="119.22"/>
    <m/>
    <n v="31369.6675"/>
    <n v="31369.6675"/>
    <n v="20446.152620000001"/>
    <n v="0"/>
    <n v="2410.9145752224545"/>
    <n v="0"/>
    <n v="0"/>
    <n v="0"/>
    <n v="32.693343416704948"/>
    <n v="16960.30583170116"/>
    <n v="8496.448258411865"/>
    <n v="125.59240394233932"/>
    <n v="0"/>
    <n v="0"/>
    <n v="0"/>
    <n v="0"/>
    <n v="372.85596340029537"/>
    <m/>
    <n v="76.311155382138125"/>
    <n v="353.28817953583848"/>
    <n v="1106.8815428685357"/>
    <n v="0"/>
    <n v="0"/>
    <n v="0"/>
    <n v="0"/>
    <n v="0"/>
    <n v="0"/>
    <n v="0"/>
    <n v="0"/>
    <n v="0"/>
    <n v="0"/>
    <m/>
    <n v="0"/>
    <n v="0"/>
    <n v="23.670143856538274"/>
    <n v="0"/>
    <n v="0"/>
    <n v="1410.4258575289705"/>
    <n v="0"/>
    <n v="165.76"/>
    <n v="761.48"/>
    <n v="7910.7"/>
    <n v="10"/>
    <m/>
    <m/>
    <m/>
    <m/>
    <m/>
    <m/>
    <m/>
    <m/>
    <m/>
    <n v="9930.5442597973743"/>
    <m/>
    <m/>
    <m/>
    <m/>
    <m/>
    <m/>
    <m/>
    <m/>
    <m/>
    <m/>
    <m/>
    <m/>
    <n v="20445.587199999998"/>
    <n v="-10924.110299999997"/>
    <m/>
    <m/>
    <m/>
    <m/>
    <n v="-12221.69478"/>
    <n v="1298.1798999999992"/>
    <n v="30"/>
    <n v="1537.3970806869966"/>
    <n v="36.442214192303197"/>
    <n v="114.17651822860012"/>
    <n v="0"/>
    <n v="0"/>
    <n v="0"/>
    <n v="0"/>
    <n v="0"/>
    <n v="3.1965935954818434"/>
    <n v="0"/>
    <n v="0"/>
    <n v="1298.093579198985"/>
    <n v="0"/>
    <n v="0"/>
    <n v="3.6163418906798839"/>
    <n v="215.48589409486112"/>
    <n v="0"/>
    <n v="-115.1867372554816"/>
    <m/>
    <n v="0"/>
    <n v="0"/>
    <n v="0"/>
    <n v="0"/>
    <n v="-15.108350749858857"/>
    <n v="-3.3189725085716049"/>
    <n v="0"/>
    <n v="0"/>
    <m/>
    <m/>
    <m/>
    <n v="16960.30583170116"/>
    <n v="0"/>
    <n v="0"/>
    <n v="-12221.69478"/>
    <n v="1298.1798999999992"/>
    <n v="0"/>
    <n v="0"/>
    <n v="-12460.903201108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22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25.09699999999999"/>
    <n v="117.59117999999999"/>
    <n v="125.09699999999999"/>
    <n v="117.59117999999999"/>
    <m/>
    <n v="571.87"/>
    <n v="216.76"/>
    <m/>
    <n v="98655.247109999997"/>
    <n v="98655.247109999997"/>
    <n v="64301.108970000001"/>
    <n v="0"/>
    <n v="7582.2063603581837"/>
    <n v="0"/>
    <n v="0"/>
    <n v="0"/>
    <n v="102.81893806736878"/>
    <n v="53339.317814227819"/>
    <n v="26720.906948534393"/>
    <n v="394.9818603159809"/>
    <n v="0"/>
    <n v="0"/>
    <n v="0"/>
    <n v="0"/>
    <n v="1172.6134497861024"/>
    <m/>
    <n v="239.99478606633826"/>
    <n v="1111.0737433195179"/>
    <n v="3481.0873685669767"/>
    <n v="0"/>
    <n v="0"/>
    <n v="0"/>
    <n v="0"/>
    <n v="0"/>
    <n v="0"/>
    <n v="0"/>
    <n v="0"/>
    <n v="0"/>
    <n v="0"/>
    <m/>
    <n v="0"/>
    <n v="0"/>
    <n v="74.441424488496239"/>
    <n v="0"/>
    <n v="0"/>
    <n v="4435.7191323475381"/>
    <n v="0"/>
    <n v="421.95"/>
    <n v="1940.35"/>
    <n v="35987.75"/>
    <n v="91"/>
    <m/>
    <m/>
    <m/>
    <m/>
    <n v="3858.0665381999997"/>
    <m/>
    <m/>
    <m/>
    <m/>
    <n v="31231.067505370429"/>
    <m/>
    <m/>
    <m/>
    <m/>
    <m/>
    <m/>
    <m/>
    <m/>
    <m/>
    <m/>
    <m/>
    <m/>
    <n v="60442.435899999997"/>
    <n v="-32293.526383399992"/>
    <m/>
    <m/>
    <m/>
    <m/>
    <n v="-38436.053249999997"/>
    <n v="4081.9151099999995"/>
    <n v="30"/>
    <n v="4835.0373104802275"/>
    <n v="114.60895009476576"/>
    <n v="359.07946785569447"/>
    <n v="0"/>
    <n v="0"/>
    <n v="0"/>
    <n v="0"/>
    <n v="0"/>
    <n v="10.053127779903377"/>
    <n v="0"/>
    <n v="0"/>
    <n v="4082.4397071947678"/>
    <n v="0"/>
    <n v="0"/>
    <n v="11.373215279605276"/>
    <n v="677.69241331281955"/>
    <n v="0"/>
    <n v="-362.2565564218894"/>
    <m/>
    <n v="0"/>
    <n v="0"/>
    <n v="0"/>
    <n v="0"/>
    <n v="-47.515011244035577"/>
    <n v="-10.438003371407348"/>
    <n v="0"/>
    <n v="0"/>
    <m/>
    <m/>
    <m/>
    <n v="53339.317814227819"/>
    <n v="0"/>
    <n v="0"/>
    <n v="-38436.05324999999"/>
    <n v="4081.9151099999981"/>
    <n v="0"/>
    <n v="0"/>
    <n v="-39188.920452950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23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4.6470000000000002"/>
    <n v="4.3681799999999997"/>
    <n v="4.6470000000000002"/>
    <n v="4.3681799999999997"/>
    <m/>
    <n v="2592.54"/>
    <n v="216.76"/>
    <m/>
    <n v="13054.8171"/>
    <n v="13054.8171"/>
    <n v="5489.0364"/>
    <n v="0"/>
    <n v="245.04205754117612"/>
    <n v="0"/>
    <n v="0"/>
    <n v="0"/>
    <n v="23.498183807239005"/>
    <n v="10645.772821011067"/>
    <n v="992.60617432743652"/>
    <n v="14.672459810294118"/>
    <n v="0"/>
    <n v="0"/>
    <n v="0"/>
    <n v="0"/>
    <n v="43.559275611373721"/>
    <m/>
    <n v="6.3813635471422385"/>
    <n v="209.6488080502491"/>
    <n v="795.56987932212883"/>
    <n v="0"/>
    <n v="0"/>
    <n v="0"/>
    <n v="0"/>
    <n v="0"/>
    <n v="0"/>
    <n v="0"/>
    <n v="0"/>
    <n v="0"/>
    <n v="0"/>
    <m/>
    <n v="0"/>
    <n v="0"/>
    <n v="2.1250670517201806"/>
    <n v="0"/>
    <n v="0"/>
    <n v="75.914120775324591"/>
    <n v="0"/>
    <n v="0"/>
    <n v="0"/>
    <n v="0"/>
    <n v="0"/>
    <m/>
    <m/>
    <m/>
    <m/>
    <n v="329.3421840000006"/>
    <m/>
    <m/>
    <m/>
    <m/>
    <n v="1070.6453621544813"/>
    <m/>
    <m/>
    <m/>
    <m/>
    <m/>
    <m/>
    <m/>
    <m/>
    <m/>
    <m/>
    <m/>
    <m/>
    <n v="5161.8440000000001"/>
    <n v="-7109.7140739999986"/>
    <m/>
    <m/>
    <m/>
    <m/>
    <n v="-7717.4123100000006"/>
    <n v="151.63160999999999"/>
    <n v="30"/>
    <n v="255.81134459604436"/>
    <n v="21.625594091955975"/>
    <n v="82.064245640176978"/>
    <n v="0"/>
    <n v="0"/>
    <n v="0"/>
    <n v="0"/>
    <n v="0"/>
    <n v="2.2975363182125967"/>
    <n v="0"/>
    <n v="0"/>
    <n v="151.65109730316544"/>
    <n v="0"/>
    <n v="0"/>
    <n v="0.32466929842999903"/>
    <n v="11.59821489543306"/>
    <n v="0"/>
    <n v="-11.707422315422917"/>
    <m/>
    <n v="0"/>
    <n v="0"/>
    <n v="0"/>
    <n v="0"/>
    <n v="-1.765048380465025"/>
    <n v="-0.27754225544231304"/>
    <n v="0"/>
    <n v="0"/>
    <m/>
    <m/>
    <m/>
    <n v="10645.772821011067"/>
    <n v="0"/>
    <n v="0"/>
    <n v="-7717.4123100000006"/>
    <n v="151.63161000000002"/>
    <n v="0"/>
    <n v="0"/>
    <n v="-7821.5538056900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24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93.045000000000002"/>
    <n v="87.462299999999999"/>
    <n v="93.045000000000002"/>
    <n v="87.462299999999999"/>
    <m/>
    <n v="80.27"/>
    <n v="216.76"/>
    <m/>
    <n v="27637.156349999997"/>
    <n v="27637.156349999997"/>
    <n v="30636.92715"/>
    <n v="0"/>
    <n v="4906.3779306904953"/>
    <n v="0"/>
    <n v="0"/>
    <n v="0"/>
    <n v="0"/>
    <n v="0"/>
    <n v="19874.551644135212"/>
    <n v="293.78072370320984"/>
    <n v="0"/>
    <n v="0"/>
    <n v="0"/>
    <n v="0"/>
    <n v="872.1697437616242"/>
    <m/>
    <n v="127.77145927347742"/>
    <n v="0"/>
    <n v="0"/>
    <n v="0"/>
    <n v="0"/>
    <n v="0"/>
    <n v="0"/>
    <n v="0"/>
    <n v="0"/>
    <n v="0"/>
    <n v="0"/>
    <n v="0"/>
    <n v="0"/>
    <m/>
    <n v="0"/>
    <n v="0"/>
    <n v="42.549357397741382"/>
    <n v="0"/>
    <n v="0"/>
    <n v="1519.9977119733323"/>
    <n v="0"/>
    <n v="0"/>
    <n v="0"/>
    <n v="0"/>
    <n v="0"/>
    <m/>
    <m/>
    <m/>
    <m/>
    <n v="1838.2156290000007"/>
    <m/>
    <m/>
    <m/>
    <m/>
    <n v="21437.098713506286"/>
    <m/>
    <m/>
    <m/>
    <m/>
    <m/>
    <m/>
    <m/>
    <m/>
    <m/>
    <m/>
    <m/>
    <m/>
    <n v="28797.954199999996"/>
    <n v="2818.9972309999976"/>
    <m/>
    <m/>
    <m/>
    <m/>
    <n v="-36.287550000000053"/>
    <n v="3036.0583499999998"/>
    <n v="30"/>
    <n v="2999.8646768526996"/>
    <n v="0"/>
    <n v="0"/>
    <n v="0"/>
    <n v="0"/>
    <n v="0"/>
    <n v="0"/>
    <n v="0"/>
    <n v="0"/>
    <n v="0"/>
    <n v="0"/>
    <n v="3036.4485363832646"/>
    <n v="0"/>
    <n v="0"/>
    <n v="6.5007219437097632"/>
    <n v="232.22636215742841"/>
    <n v="0"/>
    <n v="-234.41297812320317"/>
    <m/>
    <n v="0"/>
    <n v="0"/>
    <n v="0"/>
    <n v="0"/>
    <n v="-35.340849270576427"/>
    <n v="-5.5571162379233954"/>
    <n v="0"/>
    <n v="0"/>
    <m/>
    <m/>
    <m/>
    <n v="0"/>
    <n v="0"/>
    <n v="0"/>
    <n v="-36.28755000000001"/>
    <n v="3036.0583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25"/>
    <s v="Regular"/>
    <s v="Verde"/>
    <s v="A4"/>
    <s v="Serviço público"/>
    <s v="Água, esgoto e saneamento"/>
    <s v="Não se aplica"/>
    <s v="Não se aplica"/>
    <s v="Não se aplica"/>
    <s v="CATIVO"/>
    <x v="4"/>
    <n v="535"/>
    <n v="502.9"/>
    <n v="0"/>
    <n v="0"/>
    <n v="0"/>
    <n v="0"/>
    <n v="32.17"/>
    <m/>
    <m/>
    <n v="17210.95"/>
    <m/>
    <n v="17210.95"/>
    <n v="6917.55"/>
    <n v="0"/>
    <n v="0"/>
    <n v="0"/>
    <n v="0"/>
    <n v="0"/>
    <n v="53.455180445232344"/>
    <n v="14405.803454243754"/>
    <m/>
    <m/>
    <m/>
    <n v="0"/>
    <n v="0"/>
    <n v="0"/>
    <n v="0"/>
    <m/>
    <n v="0"/>
    <n v="943.96529193134563"/>
    <n v="1809.8328635134387"/>
    <n v="0"/>
    <n v="0"/>
    <m/>
    <m/>
    <n v="0"/>
    <n v="0"/>
    <n v="0"/>
    <m/>
    <m/>
    <n v="0"/>
    <m/>
    <n v="0"/>
    <n v="0"/>
    <n v="0"/>
    <n v="0"/>
    <m/>
    <n v="0"/>
    <n v="0"/>
    <n v="293.27999999999997"/>
    <n v="1347.01"/>
    <n v="24249.68"/>
    <n v="2"/>
    <m/>
    <m/>
    <m/>
    <m/>
    <n v="415.05300000000028"/>
    <m/>
    <m/>
    <m/>
    <m/>
    <n v="0"/>
    <m/>
    <m/>
    <m/>
    <m/>
    <m/>
    <m/>
    <m/>
    <m/>
    <m/>
    <m/>
    <m/>
    <m/>
    <n v="6502.4969999999994"/>
    <n v="-9675.8260000000009"/>
    <m/>
    <m/>
    <m/>
    <m/>
    <n v="-10293.400000000001"/>
    <n v="0"/>
    <n v="30"/>
    <n v="289.28506045054837"/>
    <n v="97.371458631473729"/>
    <n v="186.68701837428534"/>
    <n v="0"/>
    <n v="0"/>
    <m/>
    <m/>
    <m/>
    <n v="5.2265834447893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05.803454243754"/>
    <m/>
    <n v="0"/>
    <n v="0"/>
    <n v="-10293.400000000001"/>
    <m/>
    <n v="0"/>
    <m/>
    <n v="-10584.08522575086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26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0.19900000000000001"/>
    <n v="0.19900000000000001"/>
    <n v="0.19900000000000001"/>
    <n v="0.19900000000000001"/>
    <m/>
    <n v="571.87"/>
    <n v="216.76"/>
    <m/>
    <n v="156.93737000000002"/>
    <n v="156.93737000000002"/>
    <n v="102.28799000000001"/>
    <n v="0"/>
    <n v="12.061512791763821"/>
    <n v="0"/>
    <n v="0"/>
    <n v="0"/>
    <n v="0.16356082620211826"/>
    <n v="84.850350088581962"/>
    <n v="42.506698663903563"/>
    <n v="0.62832354255401968"/>
    <n v="0"/>
    <n v="0"/>
    <n v="0"/>
    <n v="0"/>
    <n v="1.8653530980553841"/>
    <m/>
    <n v="0.38177544167487087"/>
    <n v="1.767457852071465"/>
    <n v="5.537593917878354"/>
    <n v="0"/>
    <n v="0"/>
    <n v="0"/>
    <n v="0"/>
    <n v="0"/>
    <n v="0"/>
    <n v="0"/>
    <n v="0"/>
    <n v="0"/>
    <n v="0"/>
    <m/>
    <n v="0"/>
    <n v="0"/>
    <n v="0.11841885475439662"/>
    <n v="0"/>
    <n v="0"/>
    <n v="7.0561892558347532"/>
    <n v="0"/>
    <n v="0.7"/>
    <n v="3.23"/>
    <n v="57.6"/>
    <n v="2"/>
    <m/>
    <m/>
    <m/>
    <m/>
    <m/>
    <m/>
    <m/>
    <m/>
    <m/>
    <n v="49.681306774492711"/>
    <m/>
    <m/>
    <m/>
    <m/>
    <m/>
    <m/>
    <m/>
    <m/>
    <m/>
    <m/>
    <m/>
    <m/>
    <n v="102.80200000000001"/>
    <n v="-54.16537000000001"/>
    <m/>
    <m/>
    <m/>
    <m/>
    <n v="-61.142750000000007"/>
    <n v="6.4933699999999996"/>
    <n v="30"/>
    <n v="7.6914108634544789"/>
    <n v="0.18231597135709432"/>
    <n v="0.57121125289401942"/>
    <n v="0"/>
    <n v="0"/>
    <n v="0"/>
    <n v="0"/>
    <n v="0"/>
    <n v="1.5992169502072578E-2"/>
    <n v="0"/>
    <n v="0"/>
    <n v="6.4942045111534199"/>
    <n v="0"/>
    <n v="0"/>
    <n v="1.809211924060089E-2"/>
    <n v="1.0780497553838311"/>
    <n v="0"/>
    <n v="-0.57626525598500322"/>
    <m/>
    <n v="0"/>
    <n v="0"/>
    <n v="0"/>
    <n v="0"/>
    <n v="-7.5585243751353559E-2"/>
    <n v="-1.6604416340200545E-2"/>
    <n v="0"/>
    <n v="0"/>
    <m/>
    <m/>
    <m/>
    <n v="84.850350088581962"/>
    <n v="0"/>
    <n v="0"/>
    <n v="-61.142749999999999"/>
    <n v="6.4933699999999988"/>
    <n v="0"/>
    <n v="0"/>
    <n v="-62.34038522216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27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0.96"/>
    <n v="740.84"/>
    <n v="979.44"/>
    <n v="12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28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91"/>
    <n v="27.23"/>
    <n v="35.74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29"/>
    <s v="Regular"/>
    <s v="Convencional"/>
    <s v="B2"/>
    <s v="Rural"/>
    <s v="Agropecuária rural"/>
    <s v="IRRIG./AQUIC."/>
    <s v="Não se aplica"/>
    <s v="Não se aplica"/>
    <s v="CATIVO"/>
    <x v="4"/>
    <n v="0"/>
    <n v="0"/>
    <n v="34.040999999999997"/>
    <n v="34.040999999999997"/>
    <n v="34.040999999999997"/>
    <n v="34.040999999999997"/>
    <m/>
    <n v="571.87"/>
    <n v="216.76"/>
    <m/>
    <n v="26845.753829999998"/>
    <n v="26845.753829999998"/>
    <n v="17497.414409999998"/>
    <n v="0"/>
    <n v="2063.2460147961415"/>
    <n v="0"/>
    <n v="0"/>
    <n v="0"/>
    <n v="27.978764244956317"/>
    <n v="14514.526469172955"/>
    <n v="7271.2086895373923"/>
    <n v="107.48121463357478"/>
    <n v="0"/>
    <n v="0"/>
    <n v="0"/>
    <n v="0"/>
    <n v="319.08786337137349"/>
    <m/>
    <n v="65.306622161076774"/>
    <n v="302.3418730772097"/>
    <n v="947.26248521857792"/>
    <n v="0"/>
    <n v="0"/>
    <n v="0"/>
    <n v="0"/>
    <n v="0"/>
    <n v="0"/>
    <n v="0"/>
    <n v="0"/>
    <n v="0"/>
    <n v="0"/>
    <m/>
    <n v="0"/>
    <n v="0"/>
    <n v="20.256764998464394"/>
    <n v="0"/>
    <n v="0"/>
    <n v="1207.0338615973408"/>
    <n v="0"/>
    <n v="0"/>
    <n v="0"/>
    <n v="0"/>
    <n v="0"/>
    <m/>
    <m/>
    <m/>
    <m/>
    <m/>
    <n v="2099.6488799999993"/>
    <m/>
    <m/>
    <m/>
    <n v="8498.4993161331968"/>
    <m/>
    <m/>
    <m/>
    <m/>
    <m/>
    <m/>
    <m/>
    <m/>
    <m/>
    <m/>
    <m/>
    <m/>
    <n v="15397.313200000001"/>
    <n v="-8227.1707999999926"/>
    <m/>
    <m/>
    <m/>
    <m/>
    <n v="-10459.097249999999"/>
    <n v="1110.7578299999998"/>
    <n v="30"/>
    <n v="1315.6950613208755"/>
    <n v="31.18702502998417"/>
    <n v="97.711569144549458"/>
    <n v="0"/>
    <n v="0"/>
    <n v="0"/>
    <n v="0"/>
    <n v="0"/>
    <n v="2.7356253367841816"/>
    <n v="0"/>
    <n v="0"/>
    <n v="1110.9005817295147"/>
    <n v="0"/>
    <n v="0"/>
    <n v="3.0948433722075102"/>
    <n v="184.41151619608513"/>
    <n v="0"/>
    <n v="-98.576108437112907"/>
    <m/>
    <n v="0"/>
    <n v="0"/>
    <n v="0"/>
    <n v="0"/>
    <n v="-12.929634585627298"/>
    <n v="-2.8403564655113911"/>
    <n v="0"/>
    <n v="0"/>
    <m/>
    <m/>
    <m/>
    <n v="14514.526469172955"/>
    <n v="0"/>
    <n v="0"/>
    <n v="-10459.097250000001"/>
    <n v="1110.7578300000005"/>
    <n v="0"/>
    <n v="0"/>
    <n v="-10663.9650921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0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1.5029999999999999"/>
    <n v="1.5029999999999999"/>
    <n v="1.5029999999999999"/>
    <n v="1.5029999999999999"/>
    <m/>
    <n v="571.87"/>
    <n v="216.76"/>
    <m/>
    <n v="1185.3108899999997"/>
    <n v="1185.3108899999997"/>
    <n v="772.55702999999994"/>
    <n v="0"/>
    <n v="91.097757417191062"/>
    <n v="0"/>
    <n v="0"/>
    <n v="0"/>
    <n v="1.2353362903607223"/>
    <n v="640.85465418662648"/>
    <n v="321.04305573792487"/>
    <n v="4.7455793188878967"/>
    <n v="0"/>
    <n v="0"/>
    <n v="0"/>
    <n v="0"/>
    <n v="14.088571388830362"/>
    <m/>
    <n v="2.8834597429011599"/>
    <n v="13.349191716901567"/>
    <n v="41.824138987794797"/>
    <n v="0"/>
    <n v="0"/>
    <n v="0"/>
    <n v="0"/>
    <n v="0"/>
    <n v="0"/>
    <n v="0"/>
    <n v="0"/>
    <n v="0"/>
    <n v="0"/>
    <m/>
    <n v="0"/>
    <n v="0"/>
    <n v="0.89438964168772916"/>
    <n v="0"/>
    <n v="0"/>
    <n v="53.293730912158964"/>
    <n v="0"/>
    <n v="0"/>
    <n v="0"/>
    <n v="0"/>
    <n v="0"/>
    <m/>
    <m/>
    <m/>
    <m/>
    <m/>
    <n v="92.705039999999968"/>
    <m/>
    <m/>
    <m/>
    <n v="375.23117629177159"/>
    <m/>
    <m/>
    <m/>
    <m/>
    <m/>
    <m/>
    <m/>
    <m/>
    <m/>
    <m/>
    <m/>
    <m/>
    <n v="678.495"/>
    <n v="-364.61699999999985"/>
    <m/>
    <m/>
    <m/>
    <m/>
    <n v="-461.79674999999997"/>
    <n v="49.042889999999993"/>
    <n v="30"/>
    <n v="58.091409687296846"/>
    <n v="1.3769894721091074"/>
    <n v="4.3142236839181507"/>
    <n v="0"/>
    <n v="0"/>
    <n v="0"/>
    <n v="0"/>
    <n v="0"/>
    <n v="0.12078507920409565"/>
    <n v="0"/>
    <n v="0"/>
    <n v="49.049192865646148"/>
    <n v="0"/>
    <n v="0"/>
    <n v="0.13664550361117145"/>
    <n v="8.14225518764772"/>
    <n v="0"/>
    <n v="-4.352395375605326"/>
    <m/>
    <n v="0"/>
    <n v="0"/>
    <n v="0"/>
    <n v="0"/>
    <n v="-0.57087749426273504"/>
    <n v="-0.12540923497146395"/>
    <n v="0"/>
    <n v="0"/>
    <m/>
    <m/>
    <m/>
    <n v="640.85465418662648"/>
    <n v="0"/>
    <n v="0"/>
    <n v="-461.79674999999992"/>
    <n v="49.04289"/>
    <n v="0"/>
    <n v="0"/>
    <n v="-470.84220597444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1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37.99"/>
    <n v="15.196"/>
    <n v="37.99"/>
    <n v="15.196"/>
    <m/>
    <n v="571.87"/>
    <n v="216.76"/>
    <m/>
    <n v="29960.0537"/>
    <n v="29960.0537"/>
    <n v="19527.2399"/>
    <n v="0"/>
    <n v="2302.597341503053"/>
    <n v="0"/>
    <n v="0"/>
    <n v="0"/>
    <n v="31.224501444313937"/>
    <n v="16198.315577212205"/>
    <n v="8114.7210162899319"/>
    <n v="119.94980593782516"/>
    <n v="0"/>
    <n v="0"/>
    <n v="0"/>
    <n v="0"/>
    <n v="356.10434268906556"/>
    <m/>
    <n v="72.882658438333394"/>
    <n v="337.41569748841687"/>
    <n v="1057.1517233175812"/>
    <n v="0"/>
    <n v="0"/>
    <n v="0"/>
    <n v="0"/>
    <n v="0"/>
    <n v="0"/>
    <n v="0"/>
    <n v="0"/>
    <n v="0"/>
    <n v="0"/>
    <m/>
    <n v="0"/>
    <n v="0"/>
    <n v="22.606694935274007"/>
    <n v="0"/>
    <n v="0"/>
    <n v="1347.0584413525744"/>
    <n v="0"/>
    <n v="0"/>
    <n v="0"/>
    <n v="0"/>
    <n v="0"/>
    <m/>
    <m/>
    <m/>
    <m/>
    <m/>
    <m/>
    <n v="12653.633220000002"/>
    <m/>
    <m/>
    <n v="9484.3861525777811"/>
    <m/>
    <m/>
    <m/>
    <m/>
    <m/>
    <m/>
    <m/>
    <m/>
    <m/>
    <m/>
    <m/>
    <m/>
    <n v="6875.4160000000002"/>
    <n v="-3670.6379999999999"/>
    <m/>
    <m/>
    <m/>
    <m/>
    <n v="-11672.4275"/>
    <n v="1239.6136999999999"/>
    <n v="30"/>
    <n v="1468.3251191087238"/>
    <n v="34.804943476663368"/>
    <n v="109.04681154494392"/>
    <n v="0"/>
    <n v="0"/>
    <n v="0"/>
    <n v="0"/>
    <n v="0"/>
    <n v="3.0529774843403814"/>
    <n v="0"/>
    <n v="0"/>
    <n v="1239.7730119533589"/>
    <n v="0"/>
    <n v="0"/>
    <n v="3.453867386685566"/>
    <n v="205.804573904682"/>
    <n v="0"/>
    <n v="-110.01164359231279"/>
    <m/>
    <n v="0"/>
    <n v="0"/>
    <n v="0"/>
    <n v="0"/>
    <n v="-14.429564874944333"/>
    <n v="-3.1698581746945678"/>
    <n v="0"/>
    <n v="0"/>
    <m/>
    <m/>
    <m/>
    <n v="16198.315577212205"/>
    <n v="0"/>
    <n v="0"/>
    <n v="-11672.4275"/>
    <n v="1239.6136999999999"/>
    <n v="0"/>
    <n v="0"/>
    <n v="-11901.06148035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2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0.86299999999999999"/>
    <n v="0.34520000000000001"/>
    <n v="0.86299999999999999"/>
    <n v="0.34520000000000001"/>
    <m/>
    <n v="571.87"/>
    <n v="216.76"/>
    <m/>
    <n v="680.58769000000007"/>
    <n v="680.58769000000007"/>
    <n v="443.59063000000003"/>
    <n v="0"/>
    <n v="52.306962509005913"/>
    <n v="0"/>
    <n v="0"/>
    <n v="0"/>
    <n v="0.70931152267551789"/>
    <n v="367.96910616304638"/>
    <n v="184.33809521079786"/>
    <n v="2.7248402875583868"/>
    <n v="0"/>
    <n v="0"/>
    <n v="0"/>
    <n v="0"/>
    <n v="8.0894458473457114"/>
    <m/>
    <n v="1.6556392269618772"/>
    <n v="7.6649051574757499"/>
    <n v="24.014791714216177"/>
    <n v="0"/>
    <n v="0"/>
    <n v="0"/>
    <n v="0"/>
    <n v="0"/>
    <n v="0"/>
    <n v="0"/>
    <n v="0"/>
    <n v="0"/>
    <n v="0"/>
    <m/>
    <n v="0"/>
    <n v="0"/>
    <n v="0.5135450836836396"/>
    <n v="0"/>
    <n v="0"/>
    <n v="30.600458933594933"/>
    <n v="0"/>
    <n v="0"/>
    <n v="0"/>
    <n v="0"/>
    <n v="0"/>
    <m/>
    <m/>
    <m/>
    <m/>
    <m/>
    <m/>
    <n v="287.44631400000003"/>
    <m/>
    <m/>
    <n v="215.45209922807643"/>
    <m/>
    <m/>
    <m/>
    <m/>
    <m/>
    <m/>
    <m/>
    <m/>
    <m/>
    <m/>
    <m/>
    <m/>
    <n v="158.31549999999999"/>
    <n v="-81.283299999999997"/>
    <m/>
    <m/>
    <m/>
    <m/>
    <n v="-265.15674999999999"/>
    <n v="28.159689999999994"/>
    <n v="30"/>
    <n v="33.355213945533762"/>
    <n v="0.79064664965413289"/>
    <n v="2.477162368078087"/>
    <n v="0"/>
    <n v="0"/>
    <n v="0"/>
    <n v="0"/>
    <n v="0"/>
    <n v="6.9352976282857415E-2"/>
    <n v="0"/>
    <n v="0"/>
    <n v="28.163309010680393"/>
    <n v="0"/>
    <n v="0"/>
    <n v="7.8459793490646024E-2"/>
    <n v="4.6751604969660612"/>
    <n v="0"/>
    <n v="-2.4990799794726541"/>
    <m/>
    <n v="0"/>
    <n v="0"/>
    <n v="0"/>
    <n v="0"/>
    <n v="-0.327789273152856"/>
    <n v="-7.2008096992929982E-2"/>
    <n v="0"/>
    <n v="0"/>
    <m/>
    <m/>
    <m/>
    <n v="367.96910616304638"/>
    <n v="0"/>
    <n v="0"/>
    <n v="-265.15674999999999"/>
    <n v="28.159690000000012"/>
    <n v="0"/>
    <n v="0"/>
    <n v="-270.3505148076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3"/>
    <s v="Regular"/>
    <s v="Verde"/>
    <s v="A4"/>
    <s v="Rural"/>
    <s v="Agropecuária rural"/>
    <s v="Não se aplica"/>
    <s v="Não se aplica"/>
    <s v="Ponta"/>
    <s v="CATIVO"/>
    <x v="4"/>
    <n v="0"/>
    <n v="0"/>
    <n v="1.702"/>
    <n v="1.63392"/>
    <n v="1.702"/>
    <n v="1.63392"/>
    <m/>
    <n v="2592.54"/>
    <n v="216.76"/>
    <m/>
    <n v="4781.4285999999993"/>
    <n v="4781.4285999999993"/>
    <n v="2010.4023999999999"/>
    <n v="0"/>
    <n v="89.748565081790773"/>
    <n v="0"/>
    <n v="0"/>
    <n v="0"/>
    <n v="8.6063931224275407"/>
    <n v="3899.0973405123382"/>
    <n v="363.54975440182847"/>
    <n v="5.3739028614419171"/>
    <n v="0"/>
    <n v="0"/>
    <n v="0"/>
    <n v="0"/>
    <n v="15.953924486885747"/>
    <m/>
    <n v="2.3372241784454677"/>
    <n v="76.78551136249709"/>
    <n v="291.38367432887094"/>
    <n v="0"/>
    <n v="0"/>
    <n v="0"/>
    <n v="0"/>
    <n v="0"/>
    <n v="0"/>
    <n v="0"/>
    <n v="0"/>
    <n v="0"/>
    <n v="0"/>
    <m/>
    <n v="0"/>
    <n v="0"/>
    <n v="0.77832238477033511"/>
    <n v="0"/>
    <n v="0"/>
    <n v="27.80413891964761"/>
    <n v="0"/>
    <n v="0"/>
    <n v="0"/>
    <n v="0"/>
    <n v="0"/>
    <m/>
    <m/>
    <m/>
    <m/>
    <m/>
    <n v="80.416095999999897"/>
    <m/>
    <m/>
    <m/>
    <n v="392.13221570624637"/>
    <m/>
    <m/>
    <m/>
    <m/>
    <m/>
    <m/>
    <m/>
    <m/>
    <m/>
    <m/>
    <m/>
    <m/>
    <n v="1925.3559999999998"/>
    <n v="-2664.8454560000009"/>
    <m/>
    <m/>
    <m/>
    <m/>
    <n v="-2826.5624600000001"/>
    <n v="55.536259999999992"/>
    <n v="30"/>
    <n v="93.69290047395441"/>
    <n v="7.9205425316352631"/>
    <n v="30.056670126873485"/>
    <n v="0"/>
    <n v="0"/>
    <n v="0"/>
    <n v="0"/>
    <n v="0"/>
    <n v="0.84149059900964929"/>
    <n v="0"/>
    <n v="0"/>
    <n v="55.543397376799589"/>
    <n v="0"/>
    <n v="0"/>
    <n v="0.11891266320806071"/>
    <n v="4.2479366800144369"/>
    <n v="0"/>
    <n v="-4.2879347494834974"/>
    <m/>
    <n v="0"/>
    <n v="0"/>
    <n v="0"/>
    <n v="0"/>
    <n v="-0.64646273801409038"/>
    <n v="-0.10165201608840491"/>
    <n v="0"/>
    <n v="0"/>
    <m/>
    <m/>
    <m/>
    <n v="3899.0973405123382"/>
    <n v="0"/>
    <n v="0"/>
    <n v="-2826.5624599999996"/>
    <n v="55.536260000000027"/>
    <n v="0"/>
    <n v="0"/>
    <n v="-2864.7050951763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4"/>
    <s v="Regular"/>
    <s v="Verde"/>
    <s v="A4"/>
    <s v="Rural"/>
    <s v="Agropecuária rural"/>
    <s v="Não se aplica"/>
    <s v="Não se aplica"/>
    <s v="Fora ponta"/>
    <s v="CATIVO"/>
    <x v="4"/>
    <n v="0"/>
    <n v="0"/>
    <n v="203.255"/>
    <n v="195.12479999999999"/>
    <n v="203.255"/>
    <n v="195.12479999999999"/>
    <m/>
    <n v="80.27"/>
    <n v="216.76"/>
    <m/>
    <n v="60372.832649999997"/>
    <n v="60372.832649999997"/>
    <n v="66925.773849999998"/>
    <n v="0"/>
    <n v="10717.887541539003"/>
    <n v="0"/>
    <n v="0"/>
    <n v="0"/>
    <n v="0"/>
    <n v="0"/>
    <n v="43415.573049908133"/>
    <n v="641.75829970762447"/>
    <n v="0"/>
    <n v="0"/>
    <n v="0"/>
    <n v="0"/>
    <n v="1905.2379092725985"/>
    <m/>
    <n v="279.11427754990223"/>
    <n v="0"/>
    <n v="0"/>
    <n v="0"/>
    <n v="0"/>
    <n v="0"/>
    <n v="0"/>
    <n v="0"/>
    <n v="0"/>
    <n v="0"/>
    <n v="0"/>
    <n v="0"/>
    <n v="0"/>
    <m/>
    <n v="0"/>
    <n v="0"/>
    <n v="92.948246954462078"/>
    <n v="0"/>
    <n v="0"/>
    <n v="3320.4055558830637"/>
    <n v="0"/>
    <n v="0"/>
    <n v="0"/>
    <n v="0"/>
    <n v="0"/>
    <m/>
    <m/>
    <m/>
    <m/>
    <m/>
    <n v="2677.0309540000007"/>
    <m/>
    <m/>
    <m/>
    <n v="46828.926852745659"/>
    <m/>
    <m/>
    <m/>
    <m/>
    <m/>
    <m/>
    <m/>
    <m/>
    <m/>
    <m/>
    <m/>
    <m/>
    <n v="64247.162399999994"/>
    <n v="6289.2130559999932"/>
    <m/>
    <m/>
    <m/>
    <m/>
    <n v="-79.26945000000012"/>
    <n v="6632.2106499999991"/>
    <n v="30"/>
    <n v="6553.1462721661228"/>
    <n v="0"/>
    <n v="0"/>
    <n v="0"/>
    <n v="0"/>
    <n v="0"/>
    <n v="0"/>
    <n v="0"/>
    <n v="0"/>
    <n v="0"/>
    <n v="0"/>
    <n v="6633.0630045954167"/>
    <n v="0"/>
    <n v="0"/>
    <n v="14.20070115179459"/>
    <n v="507.29398936329881"/>
    <n v="0"/>
    <n v="-512.07060958065085"/>
    <m/>
    <n v="0"/>
    <n v="0"/>
    <n v="0"/>
    <n v="0"/>
    <n v="-77.201400596389021"/>
    <n v="-12.139412767361193"/>
    <n v="0"/>
    <n v="0"/>
    <m/>
    <m/>
    <m/>
    <n v="0"/>
    <n v="0"/>
    <n v="0"/>
    <n v="-79.269449999999779"/>
    <n v="6632.21065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5"/>
    <s v="Regular"/>
    <s v="Verde"/>
    <s v="A4"/>
    <s v="Rural"/>
    <s v="Agropecuária rural"/>
    <s v="Não se aplica"/>
    <s v="Não se aplica"/>
    <s v="Não se aplica"/>
    <s v="CATIVO"/>
    <x v="4"/>
    <n v="2231"/>
    <n v="2141.7600000000002"/>
    <n v="0"/>
    <n v="0"/>
    <n v="0"/>
    <n v="0"/>
    <n v="32.17"/>
    <m/>
    <m/>
    <n v="71771.27"/>
    <m/>
    <n v="71771.27"/>
    <n v="28846.829999999998"/>
    <n v="0"/>
    <n v="0"/>
    <n v="0"/>
    <n v="0"/>
    <n v="0"/>
    <n v="222.91309826787543"/>
    <n v="60073.546740967882"/>
    <m/>
    <m/>
    <m/>
    <n v="0"/>
    <n v="0"/>
    <n v="0"/>
    <n v="0"/>
    <m/>
    <n v="0"/>
    <n v="3936.423488409032"/>
    <n v="7547.1721841093122"/>
    <n v="0"/>
    <n v="0"/>
    <m/>
    <m/>
    <n v="0"/>
    <n v="0"/>
    <n v="0"/>
    <m/>
    <m/>
    <n v="0"/>
    <m/>
    <n v="0"/>
    <n v="0"/>
    <n v="0"/>
    <n v="0"/>
    <m/>
    <n v="0"/>
    <n v="0"/>
    <n v="865.62"/>
    <n v="3975.92"/>
    <n v="78.819999999999993"/>
    <n v="13"/>
    <m/>
    <m/>
    <m/>
    <m/>
    <m/>
    <n v="1153.873199999997"/>
    <m/>
    <m/>
    <m/>
    <n v="0"/>
    <m/>
    <m/>
    <m/>
    <m/>
    <m/>
    <m/>
    <m/>
    <m/>
    <m/>
    <m/>
    <m/>
    <m/>
    <n v="27692.956800000004"/>
    <n v="-41207.492399999988"/>
    <m/>
    <m/>
    <m/>
    <m/>
    <n v="-42924.44"/>
    <n v="0"/>
    <n v="30"/>
    <n v="1206.3457380657474"/>
    <n v="406.04808262956703"/>
    <n v="778.50231400566463"/>
    <n v="0"/>
    <n v="0"/>
    <m/>
    <m/>
    <m/>
    <n v="21.7953414305141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60073.546740967882"/>
    <m/>
    <n v="0"/>
    <n v="0"/>
    <n v="-42924.44"/>
    <m/>
    <n v="0"/>
    <m/>
    <n v="-44136.62455822464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36"/>
    <s v="Regular"/>
    <s v="Verde"/>
    <s v="A4"/>
    <s v="Rural"/>
    <s v="Agropecuária rural"/>
    <s v="IRRIG./AQUIC. PR"/>
    <s v="Não se aplica"/>
    <s v="Fora ponta"/>
    <s v="CATIVO"/>
    <x v="4"/>
    <n v="0"/>
    <n v="0"/>
    <n v="228.31800000000001"/>
    <n v="68.495400000000004"/>
    <n v="228.31800000000001"/>
    <n v="68.495400000000004"/>
    <m/>
    <n v="80.27"/>
    <n v="216.76"/>
    <m/>
    <n v="67817.295539999992"/>
    <n v="67817.295539999992"/>
    <n v="75178.267860000007"/>
    <n v="0"/>
    <n v="12039.490530167042"/>
    <n v="0"/>
    <n v="0"/>
    <n v="0"/>
    <n v="0"/>
    <n v="0"/>
    <n v="48769.067465050925"/>
    <n v="720.89233461732999"/>
    <n v="0"/>
    <n v="0"/>
    <n v="0"/>
    <n v="0"/>
    <n v="2140.1692896573327"/>
    <m/>
    <n v="313.53134546081805"/>
    <n v="0"/>
    <n v="0"/>
    <n v="0"/>
    <n v="0"/>
    <n v="0"/>
    <n v="0"/>
    <n v="0"/>
    <n v="0"/>
    <n v="0"/>
    <n v="0"/>
    <n v="0"/>
    <n v="0"/>
    <m/>
    <n v="0"/>
    <n v="0"/>
    <n v="104.40952423383865"/>
    <n v="0"/>
    <n v="0"/>
    <n v="3729.8386544395435"/>
    <n v="0"/>
    <n v="0"/>
    <n v="0"/>
    <n v="0"/>
    <n v="0"/>
    <m/>
    <m/>
    <m/>
    <m/>
    <m/>
    <m/>
    <n v="52624.787502000006"/>
    <m/>
    <m/>
    <n v="52603.315643724301"/>
    <m/>
    <m/>
    <m/>
    <m/>
    <m/>
    <m/>
    <m/>
    <m/>
    <m/>
    <m/>
    <m/>
    <m/>
    <n v="22554.994999999999"/>
    <n v="2209.7763379999997"/>
    <m/>
    <m/>
    <m/>
    <m/>
    <n v="-89.044020000000131"/>
    <n v="7450.0163399999992"/>
    <n v="30"/>
    <n v="7361.2026792375254"/>
    <n v="0"/>
    <n v="0"/>
    <n v="0"/>
    <n v="0"/>
    <n v="0"/>
    <n v="0"/>
    <n v="0"/>
    <n v="0"/>
    <n v="0"/>
    <n v="0"/>
    <n v="7450.9737968719928"/>
    <n v="0"/>
    <n v="0"/>
    <n v="15.951763477284373"/>
    <n v="569.84747761899871"/>
    <n v="0"/>
    <n v="-575.21309408494199"/>
    <m/>
    <n v="0"/>
    <n v="0"/>
    <n v="0"/>
    <n v="0"/>
    <n v="-86.720963230259258"/>
    <n v="-13.636301415553703"/>
    <n v="0"/>
    <n v="0"/>
    <m/>
    <m/>
    <m/>
    <n v="0"/>
    <n v="0"/>
    <n v="0"/>
    <n v="-89.044019999997545"/>
    <n v="7450.01634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37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99"/>
    <n v="59.76"/>
    <n v="62.61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38"/>
    <s v="Refaturamento - 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34"/>
    <n v="-6.1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39"/>
    <s v="Regular"/>
    <s v="Convencional"/>
    <s v="B2"/>
    <s v="Rural"/>
    <s v="Aquicultura"/>
    <s v="IRRIG./AQUIC."/>
    <s v="Não se aplica"/>
    <s v="Não se aplica"/>
    <s v="CATIVO"/>
    <x v="4"/>
    <n v="0"/>
    <n v="0"/>
    <n v="2.5609999999999999"/>
    <n v="2.5609999999999999"/>
    <n v="2.5609999999999999"/>
    <n v="2.5609999999999999"/>
    <m/>
    <n v="571.87"/>
    <n v="216.76"/>
    <m/>
    <n v="2019.6814300000001"/>
    <n v="2019.6814300000001"/>
    <n v="1316.37961"/>
    <n v="0"/>
    <n v="155.22379024978466"/>
    <n v="0"/>
    <n v="0"/>
    <n v="0"/>
    <n v="2.104920984440326"/>
    <n v="1091.9685757631075"/>
    <n v="547.03344360933181"/>
    <n v="8.0861135300544937"/>
    <n v="0"/>
    <n v="0"/>
    <n v="0"/>
    <n v="0"/>
    <n v="24.005875799597177"/>
    <m/>
    <n v="4.9132005333132875"/>
    <n v="22.746027935452371"/>
    <n v="71.26521619942946"/>
    <n v="0"/>
    <n v="0"/>
    <n v="0"/>
    <n v="0"/>
    <n v="0"/>
    <n v="0"/>
    <n v="0"/>
    <n v="0"/>
    <n v="0"/>
    <n v="0"/>
    <m/>
    <n v="0"/>
    <n v="0"/>
    <n v="1.5239733016382397"/>
    <n v="0"/>
    <n v="0"/>
    <n v="90.808546151722624"/>
    <n v="0"/>
    <n v="0"/>
    <n v="0"/>
    <n v="0"/>
    <n v="0"/>
    <m/>
    <m/>
    <m/>
    <m/>
    <m/>
    <n v="157.96247999999994"/>
    <m/>
    <m/>
    <m/>
    <n v="639.36596306269257"/>
    <m/>
    <m/>
    <m/>
    <m/>
    <m/>
    <m/>
    <m/>
    <m/>
    <m/>
    <m/>
    <m/>
    <m/>
    <n v="1157.9648000000002"/>
    <n v="-619.39919999999961"/>
    <m/>
    <m/>
    <m/>
    <m/>
    <n v="-786.86725000000001"/>
    <n v="83.565429999999992"/>
    <n v="30"/>
    <n v="98.983433272898878"/>
    <n v="2.3462874504799913"/>
    <n v="7.351115671666264"/>
    <n v="0"/>
    <n v="0"/>
    <n v="0"/>
    <n v="0"/>
    <n v="0"/>
    <n v="0.20580877434576772"/>
    <n v="0"/>
    <n v="0"/>
    <n v="83.576169613386355"/>
    <n v="0"/>
    <n v="0"/>
    <n v="0.23283375565416509"/>
    <n v="13.873796098180847"/>
    <n v="0"/>
    <n v="-7.4161573898371671"/>
    <m/>
    <n v="0"/>
    <n v="0"/>
    <n v="0"/>
    <n v="0"/>
    <n v="-0.97273270978500648"/>
    <n v="-0.21368799119222892"/>
    <n v="0"/>
    <n v="0"/>
    <m/>
    <m/>
    <m/>
    <n v="1091.9685757631075"/>
    <n v="0"/>
    <n v="0"/>
    <n v="-786.86725000000001"/>
    <n v="83.565429999999992"/>
    <n v="0"/>
    <n v="0"/>
    <n v="-802.28003293449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0"/>
    <s v="Refaturamento - Regular"/>
    <s v="Convencional"/>
    <s v="B2"/>
    <s v="Rural"/>
    <s v="Aquicultura"/>
    <s v="IRRIG./AQUIC."/>
    <s v="Não se aplica"/>
    <s v="Não se aplica"/>
    <s v="CATIVO"/>
    <x v="4"/>
    <n v="0"/>
    <n v="0"/>
    <n v="-0.66"/>
    <n v="-0.66"/>
    <n v="-0.66"/>
    <n v="-0.66"/>
    <m/>
    <n v="571.87"/>
    <n v="216.76"/>
    <m/>
    <n v="-520.49580000000003"/>
    <n v="-520.49580000000003"/>
    <n v="-339.2466"/>
    <n v="0"/>
    <n v="-40.003007249065938"/>
    <n v="0"/>
    <n v="0"/>
    <n v="0"/>
    <n v="-0.54246304167536719"/>
    <n v="-281.41322139931702"/>
    <n v="-140.97699054359975"/>
    <n v="-2.0838871260585576"/>
    <n v="0"/>
    <n v="0"/>
    <n v="0"/>
    <n v="0"/>
    <n v="-6.1865982146560476"/>
    <m/>
    <n v="-1.2661899070623859"/>
    <n v="-5.8619205144078741"/>
    <n v="-18.365889375877956"/>
    <n v="0"/>
    <n v="0"/>
    <n v="0"/>
    <n v="0"/>
    <n v="0"/>
    <n v="0"/>
    <n v="0"/>
    <n v="0"/>
    <n v="0"/>
    <n v="0"/>
    <m/>
    <n v="0"/>
    <n v="0"/>
    <n v="-0.39274595044171745"/>
    <n v="0"/>
    <n v="0"/>
    <n v="-23.402436727894159"/>
    <n v="0"/>
    <n v="0"/>
    <n v="0"/>
    <n v="0"/>
    <n v="0"/>
    <m/>
    <m/>
    <m/>
    <m/>
    <m/>
    <n v="-40.708799999999982"/>
    <m/>
    <m/>
    <m/>
    <n v="-164.77217322193562"/>
    <m/>
    <m/>
    <m/>
    <m/>
    <m/>
    <m/>
    <m/>
    <m/>
    <m/>
    <m/>
    <m/>
    <m/>
    <n v="-298.5378"/>
    <n v="159.4722000000001"/>
    <m/>
    <m/>
    <m/>
    <m/>
    <n v="202.785"/>
    <n v="-21.535799999999998"/>
    <n v="30"/>
    <n v="-25.509201858693302"/>
    <n v="-0.60466603565669441"/>
    <n v="-1.8944694819600691"/>
    <n v="0"/>
    <n v="0"/>
    <n v="0"/>
    <n v="0"/>
    <n v="0"/>
    <n v="-5.3039356137527083E-2"/>
    <n v="0"/>
    <n v="0"/>
    <n v="-21.538567725433467"/>
    <n v="0"/>
    <n v="0"/>
    <n v="-6.0004013561791858E-2"/>
    <n v="-3.5754413997654666"/>
    <n v="0"/>
    <n v="1.9112315022618205"/>
    <m/>
    <n v="0"/>
    <n v="0"/>
    <n v="0"/>
    <n v="0"/>
    <n v="0.25068472801956432"/>
    <n v="5.5069923540363552E-2"/>
    <n v="0"/>
    <n v="0"/>
    <m/>
    <m/>
    <m/>
    <n v="-281.41322139931702"/>
    <n v="0"/>
    <n v="0"/>
    <n v="202.78500000000003"/>
    <n v="-21.535799999999995"/>
    <n v="0"/>
    <n v="0"/>
    <n v="206.75705651572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1"/>
    <s v="Regular"/>
    <s v="Convencional"/>
    <s v="B2"/>
    <s v="Rural"/>
    <s v="Aquicultura"/>
    <s v="IRRIG./AQUIC. PR"/>
    <s v="Não se aplica"/>
    <s v="Não se aplica"/>
    <s v="CATIVO"/>
    <x v="4"/>
    <n v="0"/>
    <n v="0"/>
    <n v="3.7429999999999999"/>
    <n v="1.4972000000000001"/>
    <n v="3.7429999999999999"/>
    <n v="1.4972000000000001"/>
    <m/>
    <n v="571.87"/>
    <n v="216.76"/>
    <m/>
    <n v="2951.8420900000001"/>
    <n v="2951.8420900000001"/>
    <n v="1923.9394299999999"/>
    <n v="0"/>
    <n v="226.8655395958391"/>
    <n v="0"/>
    <n v="0"/>
    <n v="0"/>
    <n v="3.0764229772589378"/>
    <n v="1595.954072269157"/>
    <n v="799.51041758286954"/>
    <n v="11.818165928541184"/>
    <n v="0"/>
    <n v="0"/>
    <n v="0"/>
    <n v="0"/>
    <n v="35.085510784026646"/>
    <m/>
    <n v="7.1808315486886514"/>
    <n v="33.244194674891929"/>
    <n v="104.15685444531998"/>
    <n v="0"/>
    <n v="0"/>
    <n v="0"/>
    <n v="0"/>
    <n v="0"/>
    <n v="0"/>
    <n v="0"/>
    <n v="0"/>
    <n v="0"/>
    <n v="0"/>
    <m/>
    <n v="0"/>
    <n v="0"/>
    <n v="2.2273455947020429"/>
    <n v="0"/>
    <n v="0"/>
    <n v="132.72018283713305"/>
    <n v="0"/>
    <n v="0"/>
    <n v="0"/>
    <n v="0"/>
    <n v="0"/>
    <m/>
    <m/>
    <m/>
    <m/>
    <m/>
    <m/>
    <n v="1246.7109539999999"/>
    <m/>
    <m/>
    <n v="934.45794601470459"/>
    <m/>
    <m/>
    <m/>
    <m/>
    <m/>
    <m/>
    <m/>
    <m/>
    <m/>
    <m/>
    <m/>
    <m/>
    <n v="678.495"/>
    <n v="-360.59180000000003"/>
    <m/>
    <m/>
    <m/>
    <m/>
    <n v="-1150.03675"/>
    <n v="122.13408999999997"/>
    <n v="30"/>
    <n v="144.6680947834675"/>
    <n v="3.4291893507015203"/>
    <n v="10.743938289358383"/>
    <n v="0"/>
    <n v="0"/>
    <n v="0"/>
    <n v="0"/>
    <n v="0"/>
    <n v="0.30079743942843029"/>
    <n v="0"/>
    <n v="0"/>
    <n v="122.14978635802629"/>
    <n v="0"/>
    <n v="0"/>
    <n v="0.34029548903301032"/>
    <n v="20.27708660503356"/>
    <n v="0"/>
    <n v="-10.838999262069677"/>
    <m/>
    <n v="0"/>
    <n v="0"/>
    <n v="0"/>
    <n v="0"/>
    <n v="-1.4216862681473188"/>
    <n v="-0.31231321789633437"/>
    <n v="0"/>
    <n v="0"/>
    <m/>
    <m/>
    <m/>
    <n v="1595.954072269157"/>
    <n v="0"/>
    <n v="0"/>
    <n v="-1150.0367500000002"/>
    <n v="122.1340899999999"/>
    <n v="0"/>
    <n v="0"/>
    <n v="-1172.5631250581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2"/>
    <s v="Refaturamento - Regular"/>
    <s v="Convencional"/>
    <s v="B2"/>
    <s v="Rural"/>
    <s v="Aquicultura"/>
    <s v="IRRIG./AQUIC. PR"/>
    <s v="Não se aplica"/>
    <s v="Não se aplica"/>
    <s v="CATIVO"/>
    <x v="4"/>
    <n v="0"/>
    <n v="0"/>
    <n v="0.75900000000000001"/>
    <n v="0.30359999999999998"/>
    <n v="0.75900000000000001"/>
    <n v="0.30359999999999998"/>
    <m/>
    <n v="571.87"/>
    <n v="216.76"/>
    <m/>
    <n v="598.57016999999996"/>
    <n v="598.57016999999996"/>
    <n v="390.13359000000003"/>
    <n v="0"/>
    <n v="46.00345833642583"/>
    <n v="0"/>
    <n v="0"/>
    <n v="0"/>
    <n v="0.62383249792667217"/>
    <n v="323.62520460921462"/>
    <n v="162.12353912513973"/>
    <n v="2.3964701949673413"/>
    <n v="0"/>
    <n v="0"/>
    <n v="0"/>
    <n v="0"/>
    <n v="7.1145879468544546"/>
    <m/>
    <n v="1.4561183931217436"/>
    <n v="6.7412085915690554"/>
    <n v="21.12077278225965"/>
    <n v="0"/>
    <n v="0"/>
    <n v="0"/>
    <n v="0"/>
    <n v="0"/>
    <n v="0"/>
    <n v="0"/>
    <n v="0"/>
    <n v="0"/>
    <n v="0"/>
    <m/>
    <n v="0"/>
    <n v="0"/>
    <n v="0.45165784300797501"/>
    <n v="0"/>
    <n v="0"/>
    <n v="26.912802237078282"/>
    <n v="0"/>
    <n v="0"/>
    <n v="0"/>
    <n v="0"/>
    <n v="0"/>
    <m/>
    <m/>
    <m/>
    <m/>
    <m/>
    <m/>
    <n v="252.80620199999998"/>
    <m/>
    <m/>
    <n v="189.487999205226"/>
    <m/>
    <m/>
    <m/>
    <m/>
    <m/>
    <m/>
    <m/>
    <m/>
    <m/>
    <m/>
    <m/>
    <m/>
    <n v="135.69900000000001"/>
    <n v="-75.029399999999953"/>
    <m/>
    <m/>
    <m/>
    <m/>
    <n v="-233.20275000000001"/>
    <n v="24.766169999999995"/>
    <n v="30"/>
    <n v="29.335582137497113"/>
    <n v="0.695365941005198"/>
    <n v="2.1786399042540765"/>
    <n v="0"/>
    <n v="0"/>
    <n v="0"/>
    <n v="0"/>
    <n v="0"/>
    <n v="6.0995259558156212E-2"/>
    <n v="0"/>
    <n v="0"/>
    <n v="24.769352884248462"/>
    <n v="0"/>
    <n v="0"/>
    <n v="6.9004615596060692E-2"/>
    <n v="4.1117576097302866"/>
    <n v="0"/>
    <n v="-2.1979162276010911"/>
    <m/>
    <n v="0"/>
    <n v="0"/>
    <n v="0"/>
    <n v="0"/>
    <n v="-0.2882874372224995"/>
    <n v="-6.3330412071417985E-2"/>
    <n v="0"/>
    <n v="0"/>
    <m/>
    <m/>
    <m/>
    <n v="323.62520460921462"/>
    <n v="0"/>
    <n v="0"/>
    <n v="-233.20274999999998"/>
    <n v="24.766169999999988"/>
    <n v="0"/>
    <n v="0"/>
    <n v="-237.77061499308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3"/>
    <s v="Regular"/>
    <s v="Convencional"/>
    <s v="B1"/>
    <s v="Residencial"/>
    <s v="Residencial"/>
    <s v="Não se aplica"/>
    <s v="Não se aplica"/>
    <s v="Não se aplica"/>
    <s v="CATIVO"/>
    <x v="5"/>
    <n v="0"/>
    <n v="0"/>
    <n v="825.30600000000004"/>
    <n v="825.30600000000004"/>
    <n v="825.30600000000004"/>
    <n v="825.30600000000004"/>
    <m/>
    <n v="571.87"/>
    <n v="216.76"/>
    <m/>
    <n v="650861.07077999995"/>
    <n v="650861.07077999995"/>
    <n v="424215.53706"/>
    <n v="0"/>
    <n v="50022.305910147901"/>
    <n v="0"/>
    <n v="0"/>
    <n v="0"/>
    <n v="678.33030768625838"/>
    <n v="351897.0001517951"/>
    <n v="176286.60023875174"/>
    <n v="2605.8250734225517"/>
    <n v="0"/>
    <n v="0"/>
    <n v="0"/>
    <n v="0"/>
    <n v="7736.1161002195822"/>
    <m/>
    <n v="1583.3244355121658"/>
    <n v="7330.1184425210686"/>
    <n v="22965.876814012627"/>
    <n v="0"/>
    <n v="0"/>
    <n v="0"/>
    <n v="0"/>
    <n v="0"/>
    <n v="0"/>
    <n v="0"/>
    <n v="0"/>
    <n v="0"/>
    <n v="0"/>
    <m/>
    <n v="0"/>
    <n v="0"/>
    <n v="491.11452935644246"/>
    <n v="0"/>
    <n v="0"/>
    <n v="29263.896130532448"/>
    <n v="0"/>
    <n v="2365.77"/>
    <n v="10968.25"/>
    <n v="222930.97"/>
    <n v="4494"/>
    <m/>
    <m/>
    <m/>
    <m/>
    <m/>
    <m/>
    <m/>
    <m/>
    <m/>
    <n v="206041.61089864065"/>
    <m/>
    <m/>
    <m/>
    <m/>
    <m/>
    <m/>
    <m/>
    <m/>
    <m/>
    <m/>
    <m/>
    <m/>
    <n v="424217.59309999994"/>
    <n v="-226643.50768000004"/>
    <m/>
    <m/>
    <m/>
    <m/>
    <n v="-253575.26850000001"/>
    <n v="26929.734779999999"/>
    <m/>
    <n v="31898.329316955467"/>
    <n v="756.11288973285355"/>
    <n v="2368.9651973917171"/>
    <n v="0"/>
    <n v="0"/>
    <n v="0"/>
    <n v="0"/>
    <n v="0"/>
    <n v="66.323786146118096"/>
    <n v="0"/>
    <n v="0"/>
    <n v="26933.195720009971"/>
    <n v="0"/>
    <n v="0"/>
    <n v="75.032836994891284"/>
    <n v="4470.9594543558123"/>
    <n v="0"/>
    <n v="-2389.9254942510524"/>
    <m/>
    <n v="0"/>
    <n v="0"/>
    <n v="0"/>
    <n v="0"/>
    <n v="-313.47213658017426"/>
    <n v="-68.862936844550404"/>
    <n v="0"/>
    <n v="0"/>
    <m/>
    <m/>
    <m/>
    <n v="351897.0001517951"/>
    <n v="0"/>
    <n v="0"/>
    <n v="-253575.26850000001"/>
    <n v="26929.734779999999"/>
    <n v="0"/>
    <n v="0"/>
    <n v="-258542.18073449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107"/>
    <n v="-1.107"/>
    <n v="-1.107"/>
    <n v="-1.107"/>
    <m/>
    <n v="571.87"/>
    <n v="216.76"/>
    <m/>
    <n v="-873.01340999999991"/>
    <n v="-873.01340999999991"/>
    <n v="-569.00907000000007"/>
    <n v="0"/>
    <n v="-67.095953067751509"/>
    <n v="0"/>
    <n v="0"/>
    <n v="0"/>
    <n v="-0.90985846535550208"/>
    <n v="-472.00672134703632"/>
    <n v="-236.45686141176506"/>
    <n v="-3.4952470432527627"/>
    <n v="0"/>
    <n v="0"/>
    <n v="0"/>
    <n v="0"/>
    <n v="-10.376612460036734"/>
    <m/>
    <n v="-2.1237457986637289"/>
    <n v="-9.8320394082568434"/>
    <n v="-30.804605362268024"/>
    <n v="0"/>
    <n v="0"/>
    <n v="0"/>
    <n v="0"/>
    <n v="0"/>
    <n v="0"/>
    <n v="0"/>
    <n v="0"/>
    <n v="0"/>
    <n v="0"/>
    <m/>
    <n v="0"/>
    <n v="0"/>
    <n v="-0.65874207142269869"/>
    <n v="0"/>
    <n v="0"/>
    <n v="-39.252268875422473"/>
    <n v="0"/>
    <n v="-4.0599999999999996"/>
    <n v="-18.68"/>
    <n v="-332.84"/>
    <n v="0"/>
    <m/>
    <m/>
    <m/>
    <m/>
    <m/>
    <m/>
    <m/>
    <m/>
    <m/>
    <n v="-276.36787235861021"/>
    <m/>
    <m/>
    <m/>
    <m/>
    <m/>
    <m/>
    <m/>
    <m/>
    <m/>
    <m/>
    <m/>
    <m/>
    <n v="-570.55110000000002"/>
    <n v="302.43230999999992"/>
    <m/>
    <m/>
    <m/>
    <m/>
    <n v="340.12574999999998"/>
    <n v="-36.121409999999997"/>
    <m/>
    <n v="-42.785888572080978"/>
    <n v="-1.0141898507150913"/>
    <n v="-3.1775419947421106"/>
    <n v="0"/>
    <n v="0"/>
    <n v="0"/>
    <n v="0"/>
    <n v="0"/>
    <n v="-8.8961465521579575E-2"/>
    <n v="0"/>
    <n v="0"/>
    <n v="-36.12605223038608"/>
    <n v="0"/>
    <n v="0"/>
    <n v="-0.10064309547409633"/>
    <n v="-5.9969903477884401"/>
    <n v="0"/>
    <n v="3.2056564742482365"/>
    <m/>
    <n v="0"/>
    <n v="0"/>
    <n v="0"/>
    <n v="0"/>
    <n v="0.4204666574509961"/>
    <n v="9.2367280847246214E-2"/>
    <n v="0"/>
    <n v="0"/>
    <m/>
    <m/>
    <m/>
    <n v="-472.00672134703632"/>
    <n v="0"/>
    <n v="0"/>
    <n v="340.12574999999993"/>
    <n v="-36.121409999999997"/>
    <n v="0"/>
    <n v="0"/>
    <n v="346.7879720650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2.351000000000001"/>
    <n v="12.351000000000001"/>
    <n v="12.351000000000001"/>
    <n v="12.351000000000001"/>
    <m/>
    <n v="571.87"/>
    <n v="216.76"/>
    <m/>
    <n v="9740.369130000001"/>
    <n v="9740.369130000001"/>
    <n v="6348.5375100000001"/>
    <n v="0"/>
    <n v="748.60173111092945"/>
    <n v="0"/>
    <n v="0"/>
    <n v="0"/>
    <n v="10.151456102624939"/>
    <n v="5266.264693186311"/>
    <n v="2638.1921366727283"/>
    <n v="38.997105899923099"/>
    <n v="0"/>
    <n v="0"/>
    <n v="0"/>
    <n v="0"/>
    <n v="115.77374931699522"/>
    <m/>
    <n v="23.695017488072011"/>
    <n v="109.69784889916917"/>
    <n v="343.6925752749525"/>
    <n v="0"/>
    <n v="0"/>
    <n v="0"/>
    <n v="0"/>
    <n v="0"/>
    <n v="0"/>
    <n v="0"/>
    <n v="0"/>
    <n v="0"/>
    <n v="0"/>
    <m/>
    <n v="0"/>
    <n v="0"/>
    <n v="7.3497048998570484"/>
    <n v="0"/>
    <n v="0"/>
    <n v="437.9446909488193"/>
    <n v="0"/>
    <n v="34.770000000000003"/>
    <n v="163.72999999999999"/>
    <n v="8728.65"/>
    <n v="157"/>
    <m/>
    <m/>
    <m/>
    <m/>
    <m/>
    <m/>
    <m/>
    <m/>
    <m/>
    <n v="3083.4865325214046"/>
    <m/>
    <m/>
    <m/>
    <m/>
    <m/>
    <m/>
    <m/>
    <m/>
    <m/>
    <m/>
    <m/>
    <m/>
    <n v="6348.0234999999993"/>
    <n v="-3392.3756300000023"/>
    <m/>
    <m/>
    <m/>
    <m/>
    <n v="-3794.8447500000002"/>
    <n v="403.01312999999999"/>
    <m/>
    <n v="477.36992751018352"/>
    <n v="11.315500312720957"/>
    <n v="35.452412987407229"/>
    <n v="0"/>
    <n v="0"/>
    <n v="0"/>
    <n v="0"/>
    <n v="0"/>
    <n v="0.99255922371908589"/>
    <n v="0"/>
    <n v="0"/>
    <n v="403.06492420731593"/>
    <n v="0"/>
    <n v="0"/>
    <n v="1.122893290154078"/>
    <n v="66.909510194701966"/>
    <n v="0"/>
    <n v="-35.766091340054118"/>
    <m/>
    <n v="0"/>
    <n v="0"/>
    <n v="0"/>
    <n v="0"/>
    <n v="-4.69122284207522"/>
    <n v="-1.0305585237076222"/>
    <n v="0"/>
    <n v="0"/>
    <m/>
    <m/>
    <m/>
    <n v="5266.264693186311"/>
    <n v="0"/>
    <n v="0"/>
    <n v="-3794.8447500000007"/>
    <n v="403.01312999999982"/>
    <n v="0"/>
    <n v="0"/>
    <n v="-3869.1763712510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6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-1.2649999999999999"/>
    <n v="-1.2649999999999999"/>
    <n v="-1.2649999999999999"/>
    <n v="-1.2649999999999999"/>
    <m/>
    <n v="571.87"/>
    <n v="216.76"/>
    <m/>
    <n v="-997.61694999999986"/>
    <n v="-997.61694999999986"/>
    <n v="-650.22264999999993"/>
    <n v="0"/>
    <n v="-76.672430560709714"/>
    <n v="0"/>
    <n v="0"/>
    <n v="0"/>
    <n v="-1.0397208298777869"/>
    <n v="-539.37534101535766"/>
    <n v="-270.2058985418995"/>
    <n v="-3.994116991612235"/>
    <n v="0"/>
    <n v="0"/>
    <n v="0"/>
    <n v="0"/>
    <n v="-11.857646578090757"/>
    <m/>
    <n v="-2.4268639885362391"/>
    <n v="-11.23534765261509"/>
    <n v="-35.201287970432745"/>
    <n v="0"/>
    <n v="0"/>
    <n v="0"/>
    <n v="0"/>
    <n v="0"/>
    <n v="0"/>
    <n v="0"/>
    <n v="0"/>
    <n v="0"/>
    <n v="0"/>
    <m/>
    <n v="0"/>
    <n v="0"/>
    <n v="-0.75276307167995826"/>
    <n v="0"/>
    <n v="0"/>
    <n v="-44.854670395130462"/>
    <n v="0"/>
    <n v="0.35"/>
    <n v="1.63"/>
    <n v="-100.34"/>
    <n v="3"/>
    <m/>
    <m/>
    <m/>
    <m/>
    <m/>
    <m/>
    <m/>
    <m/>
    <m/>
    <n v="-315.81333200870995"/>
    <m/>
    <m/>
    <m/>
    <m/>
    <m/>
    <m/>
    <m/>
    <m/>
    <m/>
    <m/>
    <m/>
    <m/>
    <n v="-652.79269999999997"/>
    <n v="344.79424999999992"/>
    <m/>
    <m/>
    <m/>
    <m/>
    <n v="388.67124999999999"/>
    <n v="-41.276949999999992"/>
    <m/>
    <n v="-48.892636895828673"/>
    <n v="-1.1589432350086639"/>
    <n v="-3.6310665070901251"/>
    <n v="0"/>
    <n v="0"/>
    <n v="0"/>
    <n v="0"/>
    <n v="0"/>
    <n v="-0.10165876593026013"/>
    <n v="0"/>
    <n v="0"/>
    <n v="-41.28225480708079"/>
    <n v="0"/>
    <n v="0"/>
    <n v="-0.11500769266010114"/>
    <n v="-6.8529293495504788"/>
    <n v="0"/>
    <n v="3.6631937126684875"/>
    <m/>
    <n v="0"/>
    <n v="0"/>
    <n v="0"/>
    <n v="0"/>
    <n v="0.48047906203749768"/>
    <n v="0.10555068678569679"/>
    <n v="0"/>
    <n v="0"/>
    <m/>
    <m/>
    <m/>
    <n v="-539.37534101535766"/>
    <n v="0"/>
    <n v="0"/>
    <n v="388.67124999999999"/>
    <n v="-41.276949999999999"/>
    <n v="0"/>
    <n v="0"/>
    <n v="396.28435832180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7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3.48"/>
    <n v="3.48"/>
    <n v="3.48"/>
    <n v="3.48"/>
    <m/>
    <n v="501.89"/>
    <n v="216.76"/>
    <m/>
    <n v="2500.902"/>
    <n v="2500.902"/>
    <n v="1556.6039999999998"/>
    <n v="0"/>
    <n v="0"/>
    <n v="0"/>
    <n v="0"/>
    <n v="0"/>
    <n v="2.8602596742882991"/>
    <n v="1483.8151673782172"/>
    <n v="743.33322286625332"/>
    <n v="10.987768482854213"/>
    <n v="0"/>
    <n v="0"/>
    <n v="0"/>
    <n v="0"/>
    <n v="0"/>
    <m/>
    <n v="6.6762740554198521"/>
    <n v="30.90830816687788"/>
    <n v="96.838325800083766"/>
    <n v="0"/>
    <n v="0"/>
    <n v="0"/>
    <n v="0"/>
    <n v="0"/>
    <n v="0"/>
    <n v="0"/>
    <n v="0"/>
    <n v="0"/>
    <n v="0"/>
    <m/>
    <n v="0"/>
    <n v="0"/>
    <n v="2.0708422841472371"/>
    <n v="0"/>
    <n v="0"/>
    <n v="123.39466638344192"/>
    <n v="0"/>
    <n v="2.3199999999999998"/>
    <n v="11.6"/>
    <n v="226.32"/>
    <n v="4"/>
    <m/>
    <m/>
    <m/>
    <m/>
    <m/>
    <m/>
    <m/>
    <n v="1011.7751999999998"/>
    <m/>
    <n v="868.79873153384256"/>
    <m/>
    <m/>
    <m/>
    <m/>
    <m/>
    <m/>
    <m/>
    <m/>
    <m/>
    <m/>
    <m/>
    <m/>
    <n v="544.8288"/>
    <n v="-330.52559999999994"/>
    <m/>
    <m/>
    <m/>
    <m/>
    <n v="-1057.8504"/>
    <n v="113.55239999999998"/>
    <m/>
    <n v="145.90225901459337"/>
    <n v="3.1882390970989363"/>
    <n v="9.9890209048803484"/>
    <n v="0"/>
    <n v="0"/>
    <n v="0"/>
    <n v="0"/>
    <n v="0"/>
    <n v="0.27966205963423407"/>
    <n v="0"/>
    <n v="0"/>
    <n v="113.56699346137623"/>
    <n v="0"/>
    <n v="0"/>
    <n v="0.31638479878035719"/>
    <n v="18.852327380581556"/>
    <n v="0"/>
    <n v="0"/>
    <m/>
    <n v="0"/>
    <n v="0"/>
    <n v="0"/>
    <n v="0"/>
    <n v="0"/>
    <n v="-0.29036868775828051"/>
    <n v="0"/>
    <n v="0"/>
    <m/>
    <m/>
    <m/>
    <n v="1483.8151673782172"/>
    <n v="0"/>
    <n v="0"/>
    <n v="-1057.8503999999998"/>
    <n v="113.55239999999992"/>
    <n v="0"/>
    <n v="0"/>
    <n v="-1090.1735707192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8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7.2480000000000002"/>
    <n v="7.2480000000000002"/>
    <n v="7.2480000000000002"/>
    <n v="7.2480000000000002"/>
    <m/>
    <n v="501.89"/>
    <n v="216.76"/>
    <m/>
    <n v="5208.7752"/>
    <n v="5208.7752"/>
    <n v="3242.0304000000001"/>
    <n v="0"/>
    <n v="0"/>
    <n v="0"/>
    <n v="0"/>
    <n v="0"/>
    <n v="5.957230494034941"/>
    <n v="3090.4288313670454"/>
    <n v="1548.1836779697137"/>
    <n v="22.884869529806707"/>
    <n v="0"/>
    <n v="0"/>
    <n v="0"/>
    <n v="0"/>
    <n v="0"/>
    <m/>
    <n v="13.905067343012382"/>
    <n v="64.374545285497376"/>
    <n v="201.69085787327791"/>
    <n v="0"/>
    <n v="0"/>
    <n v="0"/>
    <n v="0"/>
    <n v="0"/>
    <n v="0"/>
    <n v="0"/>
    <n v="0"/>
    <n v="0"/>
    <n v="0"/>
    <m/>
    <n v="0"/>
    <n v="0"/>
    <n v="4.3130646193963154"/>
    <n v="0"/>
    <n v="0"/>
    <n v="257.00130515723765"/>
    <n v="0"/>
    <n v="8.77"/>
    <n v="41.07"/>
    <n v="852.04"/>
    <n v="21"/>
    <m/>
    <m/>
    <m/>
    <m/>
    <m/>
    <m/>
    <m/>
    <n v="1296.7396800000001"/>
    <m/>
    <n v="1809.4980477463478"/>
    <m/>
    <m/>
    <m/>
    <m/>
    <m/>
    <m/>
    <m/>
    <m/>
    <m/>
    <m/>
    <m/>
    <m/>
    <n v="1945.8274999999999"/>
    <n v="-1179.4676200000008"/>
    <m/>
    <m/>
    <m/>
    <m/>
    <n v="-2203.2470400000002"/>
    <n v="236.50223999999997"/>
    <m/>
    <n v="303.87918774073887"/>
    <n v="6.6403324643026167"/>
    <n v="20.804719401888747"/>
    <n v="0"/>
    <n v="0"/>
    <n v="0"/>
    <n v="0"/>
    <n v="0"/>
    <n v="0.5824685655830244"/>
    <n v="0"/>
    <n v="0"/>
    <n v="236.53263465748728"/>
    <n v="0"/>
    <n v="0"/>
    <n v="0.65895316711494978"/>
    <n v="39.264847371969836"/>
    <n v="0"/>
    <n v="0"/>
    <m/>
    <n v="0"/>
    <n v="0"/>
    <n v="0"/>
    <n v="0"/>
    <n v="0"/>
    <n v="-0.6047678876069007"/>
    <n v="0"/>
    <n v="0"/>
    <m/>
    <m/>
    <m/>
    <n v="3090.4288313670454"/>
    <n v="0"/>
    <n v="0"/>
    <n v="-2203.2470399999997"/>
    <n v="236.50224000000003"/>
    <n v="0"/>
    <n v="0"/>
    <n v="-2270.5684024635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49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7.6470000000000002"/>
    <n v="7.6470000000000002"/>
    <n v="7.6470000000000002"/>
    <n v="7.6470000000000002"/>
    <m/>
    <n v="501.89"/>
    <n v="216.76"/>
    <m/>
    <n v="5495.5165500000003"/>
    <n v="5495.5165500000003"/>
    <n v="3420.5030999999999"/>
    <n v="0"/>
    <n v="0"/>
    <n v="0"/>
    <n v="0"/>
    <n v="0"/>
    <n v="6.2851740601386856"/>
    <n v="3260.5559152129963"/>
    <n v="1633.4106767983446"/>
    <n v="24.144674019651198"/>
    <n v="0"/>
    <n v="0"/>
    <n v="0"/>
    <n v="0"/>
    <n v="0"/>
    <m/>
    <n v="14.67053669591828"/>
    <n v="67.918342687389412"/>
    <n v="212.79387281414958"/>
    <n v="0"/>
    <n v="0"/>
    <n v="0"/>
    <n v="0"/>
    <n v="0"/>
    <n v="0"/>
    <n v="0"/>
    <n v="0"/>
    <n v="0"/>
    <n v="0"/>
    <m/>
    <n v="0"/>
    <n v="0"/>
    <n v="4.5504973985269892"/>
    <n v="0"/>
    <n v="0"/>
    <n v="271.14914190637364"/>
    <n v="0"/>
    <n v="14.29"/>
    <n v="66.13"/>
    <n v="1380.87"/>
    <n v="62"/>
    <m/>
    <m/>
    <m/>
    <m/>
    <m/>
    <m/>
    <m/>
    <n v="342.05030999999991"/>
    <m/>
    <n v="1909.1103161032452"/>
    <m/>
    <m/>
    <m/>
    <m/>
    <m/>
    <m/>
    <m/>
    <m/>
    <m/>
    <m/>
    <m/>
    <m/>
    <n v="3079.6605"/>
    <n v="-1866.2961600000008"/>
    <m/>
    <m/>
    <m/>
    <m/>
    <n v="-2324.5350600000002"/>
    <n v="249.52160999999998"/>
    <m/>
    <n v="320.60763640361984"/>
    <n v="7.0058805676768827"/>
    <n v="21.950012315982775"/>
    <n v="0"/>
    <n v="0"/>
    <n v="0"/>
    <n v="0"/>
    <n v="0"/>
    <n v="0.6145332672479844"/>
    <n v="0"/>
    <n v="0"/>
    <n v="249.55367787331738"/>
    <n v="0"/>
    <n v="0"/>
    <n v="0.69522832076821572"/>
    <n v="41.426364218191736"/>
    <n v="0"/>
    <n v="0"/>
    <m/>
    <n v="0"/>
    <n v="0"/>
    <n v="0"/>
    <n v="0"/>
    <n v="0"/>
    <n v="-0.63806015956539497"/>
    <n v="0"/>
    <n v="0"/>
    <m/>
    <m/>
    <m/>
    <n v="3260.5559152129963"/>
    <n v="0"/>
    <n v="0"/>
    <n v="-2324.5350600000002"/>
    <n v="249.52161000000001"/>
    <n v="0"/>
    <n v="0"/>
    <n v="-2395.5624411753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0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3.0049999999999999"/>
    <n v="3.0049999999999999"/>
    <n v="3.0049999999999999"/>
    <n v="3.0049999999999999"/>
    <m/>
    <n v="501.89"/>
    <n v="216.76"/>
    <m/>
    <n v="2159.5432499999997"/>
    <n v="2159.5432499999997"/>
    <n v="1344.1364999999998"/>
    <n v="0"/>
    <n v="0"/>
    <n v="0"/>
    <n v="0"/>
    <n v="0"/>
    <n v="2.4698506670219365"/>
    <n v="1281.2829247044663"/>
    <n v="641.87250997502622"/>
    <n v="9.4880012330393413"/>
    <n v="0"/>
    <n v="0"/>
    <n v="0"/>
    <n v="0"/>
    <n v="0"/>
    <m/>
    <n v="5.7650010162461651"/>
    <n v="26.68950173605403"/>
    <n v="83.620450870474627"/>
    <n v="0"/>
    <n v="0"/>
    <n v="0"/>
    <n v="0"/>
    <n v="0"/>
    <n v="0"/>
    <n v="0"/>
    <n v="0"/>
    <n v="0"/>
    <n v="0"/>
    <m/>
    <n v="0"/>
    <n v="0"/>
    <n v="1.7881842137535768"/>
    <n v="0"/>
    <n v="0"/>
    <n v="106.55200358685141"/>
    <n v="0"/>
    <n v="6.36"/>
    <n v="29.48"/>
    <n v="616.09"/>
    <n v="29"/>
    <m/>
    <m/>
    <m/>
    <m/>
    <m/>
    <m/>
    <m/>
    <m/>
    <m/>
    <n v="750.21269777563111"/>
    <m/>
    <m/>
    <m/>
    <m/>
    <m/>
    <m/>
    <m/>
    <m/>
    <m/>
    <m/>
    <m/>
    <m/>
    <n v="1346.3729999999998"/>
    <n v="-813.2002500000001"/>
    <m/>
    <m/>
    <m/>
    <m/>
    <n v="-913.45990000000006"/>
    <n v="98.053149999999988"/>
    <m/>
    <n v="125.98743917783133"/>
    <n v="2.7530627835581321"/>
    <n v="8.6255769595303065"/>
    <n v="0"/>
    <n v="0"/>
    <n v="0"/>
    <n v="0"/>
    <n v="0"/>
    <n v="0.24148979574737739"/>
    <n v="0"/>
    <n v="0"/>
    <n v="98.065751537768847"/>
    <n v="0"/>
    <n v="0"/>
    <n v="0.27320009205027951"/>
    <n v="16.279093039841257"/>
    <n v="0"/>
    <n v="0"/>
    <m/>
    <n v="0"/>
    <n v="0"/>
    <n v="0"/>
    <n v="0"/>
    <n v="0"/>
    <n v="-0.2507350306648366"/>
    <n v="0"/>
    <n v="0"/>
    <m/>
    <m/>
    <m/>
    <n v="1281.2829247044663"/>
    <n v="0"/>
    <n v="0"/>
    <n v="-913.45989999999995"/>
    <n v="98.05314999999996"/>
    <n v="0"/>
    <n v="0"/>
    <n v="-941.37114368143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1"/>
    <s v="Regular"/>
    <s v="Convencional"/>
    <s v="B3"/>
    <s v="Industrial"/>
    <s v="Não se aplica"/>
    <s v="Não se aplica"/>
    <s v="Não se aplica"/>
    <s v="Não se aplica"/>
    <s v="CATIVO"/>
    <x v="5"/>
    <n v="0"/>
    <n v="0"/>
    <n v="34.615000000000002"/>
    <n v="34.615000000000002"/>
    <n v="34.615000000000002"/>
    <n v="34.615000000000002"/>
    <m/>
    <n v="571.87"/>
    <n v="216.76"/>
    <m/>
    <n v="27298.427450000003"/>
    <n v="27298.427450000003"/>
    <n v="17792.456150000002"/>
    <n v="0"/>
    <n v="2098.0365089794204"/>
    <n v="0"/>
    <n v="0"/>
    <n v="0"/>
    <n v="28.450542708473989"/>
    <n v="14759.270695056606"/>
    <n v="7393.8159510101605"/>
    <n v="109.29356495229845"/>
    <n v="0"/>
    <n v="0"/>
    <n v="0"/>
    <n v="0"/>
    <n v="324.4683290913926"/>
    <m/>
    <n v="66.407823686309825"/>
    <n v="307.43996758519478"/>
    <n v="963.23524355456891"/>
    <n v="0"/>
    <n v="0"/>
    <n v="0"/>
    <n v="0"/>
    <n v="0"/>
    <n v="0"/>
    <n v="0"/>
    <n v="0"/>
    <n v="0"/>
    <n v="0"/>
    <m/>
    <n v="0"/>
    <n v="0"/>
    <n v="20.598334961424317"/>
    <n v="0"/>
    <n v="0"/>
    <n v="1227.3868899031156"/>
    <n v="0"/>
    <n v="104.01"/>
    <n v="478.09"/>
    <n v="4778.21"/>
    <n v="25"/>
    <m/>
    <m/>
    <m/>
    <m/>
    <m/>
    <m/>
    <m/>
    <m/>
    <m/>
    <n v="8641.8011758746998"/>
    <m/>
    <m/>
    <m/>
    <m/>
    <m/>
    <m/>
    <m/>
    <m/>
    <m/>
    <m/>
    <m/>
    <m/>
    <n v="17795.0262"/>
    <n v="-9503.4312499999978"/>
    <m/>
    <m/>
    <m/>
    <m/>
    <n v="-10635.45875"/>
    <n v="1129.4874499999999"/>
    <m/>
    <n v="1337.8803368767694"/>
    <n v="31.712901248873436"/>
    <n v="99.359183512193454"/>
    <n v="0"/>
    <n v="0"/>
    <n v="0"/>
    <n v="0"/>
    <n v="0"/>
    <n v="2.7817535040916681"/>
    <n v="0"/>
    <n v="0"/>
    <n v="1129.6326088119376"/>
    <n v="0"/>
    <n v="0"/>
    <n v="3.1470286809718573"/>
    <n v="187.52106674679021"/>
    <n v="0"/>
    <n v="-100.23830068301959"/>
    <m/>
    <n v="0"/>
    <n v="0"/>
    <n v="0"/>
    <n v="0"/>
    <n v="-13.147654333935236"/>
    <n v="-2.8882506111358808"/>
    <n v="0"/>
    <n v="0"/>
    <m/>
    <m/>
    <m/>
    <n v="14759.270695056606"/>
    <n v="0"/>
    <n v="0"/>
    <n v="-10635.45875"/>
    <n v="1129.4874500000005"/>
    <n v="0"/>
    <n v="0"/>
    <n v="-10843.78107771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2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2.8730000000000002"/>
    <n v="2.8730000000000002"/>
    <n v="2.8730000000000002"/>
    <n v="2.8730000000000002"/>
    <m/>
    <n v="571.87"/>
    <n v="216.76"/>
    <m/>
    <n v="2265.7339900000002"/>
    <n v="2265.7339900000002"/>
    <n v="1476.7507300000002"/>
    <n v="0"/>
    <n v="174.13430276752493"/>
    <n v="0"/>
    <n v="0"/>
    <n v="0"/>
    <n v="2.3613580586868634"/>
    <n v="1225.0002804246028"/>
    <n v="613.67711186630629"/>
    <n v="9.0712238078276304"/>
    <n v="0"/>
    <n v="0"/>
    <n v="0"/>
    <n v="0"/>
    <n v="26.930449501070949"/>
    <m/>
    <n v="5.511763034833689"/>
    <n v="25.517117633172457"/>
    <n v="79.947272995299045"/>
    <n v="0"/>
    <n v="0"/>
    <n v="0"/>
    <n v="0"/>
    <n v="0"/>
    <n v="0"/>
    <n v="0"/>
    <n v="0"/>
    <n v="0"/>
    <n v="0"/>
    <m/>
    <n v="0"/>
    <n v="0"/>
    <n v="1.7096350236652336"/>
    <n v="0"/>
    <n v="0"/>
    <n v="101.8715162412726"/>
    <n v="0"/>
    <n v="8.6"/>
    <n v="39.6"/>
    <n v="972.18"/>
    <n v="4"/>
    <m/>
    <m/>
    <m/>
    <m/>
    <m/>
    <m/>
    <m/>
    <m/>
    <m/>
    <n v="717.25826313124412"/>
    <m/>
    <m/>
    <m/>
    <m/>
    <m/>
    <m/>
    <m/>
    <m/>
    <m/>
    <m/>
    <m/>
    <m/>
    <n v="1475.2087000000001"/>
    <n v="-790.55529000000024"/>
    <m/>
    <m/>
    <m/>
    <m/>
    <n v="-882.72925000000009"/>
    <n v="93.745989999999992"/>
    <m/>
    <n v="111.04232869700854"/>
    <n v="2.6321295764267951"/>
    <n v="8.2466830631382919"/>
    <n v="0"/>
    <n v="0"/>
    <n v="0"/>
    <n v="0"/>
    <n v="0"/>
    <n v="0.23088192451987188"/>
    <n v="0"/>
    <n v="0"/>
    <n v="93.758037992682262"/>
    <n v="0"/>
    <n v="0"/>
    <n v="0.26119928933792136"/>
    <n v="15.564004759888164"/>
    <n v="0"/>
    <n v="-8.3196486454518492"/>
    <m/>
    <n v="0"/>
    <n v="0"/>
    <n v="0"/>
    <n v="0"/>
    <n v="-1.0912382175760769"/>
    <n v="-0.23972104595676491"/>
    <n v="0"/>
    <n v="0"/>
    <m/>
    <m/>
    <m/>
    <n v="1225.0002804246028"/>
    <n v="0"/>
    <n v="0"/>
    <n v="-882.72924999999998"/>
    <n v="93.745990000000006"/>
    <n v="0"/>
    <n v="0"/>
    <n v="-900.01973237829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3"/>
    <s v="Regular"/>
    <s v="Verde"/>
    <s v="A4"/>
    <s v="Industrial"/>
    <s v="Não se aplica"/>
    <s v="Não se aplica"/>
    <s v="Não se aplica"/>
    <s v="Ponta"/>
    <s v="CATIVO"/>
    <x v="5"/>
    <n v="0"/>
    <n v="0"/>
    <n v="3.0539999999999998"/>
    <n v="3.0539999999999998"/>
    <n v="3.0539999999999998"/>
    <n v="3.0539999999999998"/>
    <m/>
    <n v="2592.54"/>
    <n v="216.76"/>
    <m/>
    <n v="8579.6021999999994"/>
    <n v="8579.6021999999994"/>
    <n v="3607.3847999999998"/>
    <n v="0"/>
    <n v="161.04119727367157"/>
    <n v="0"/>
    <n v="0"/>
    <n v="0"/>
    <n v="15.442963922381733"/>
    <n v="6996.3826544798358"/>
    <n v="652.33898351538426"/>
    <n v="9.6427140651255066"/>
    <n v="0"/>
    <n v="0"/>
    <n v="0"/>
    <n v="0"/>
    <n v="28.627077193272072"/>
    <m/>
    <n v="4.193820588115428"/>
    <n v="137.78081768570277"/>
    <n v="522.84708660421381"/>
    <n v="0"/>
    <n v="0"/>
    <n v="0"/>
    <n v="0"/>
    <n v="0"/>
    <n v="0"/>
    <n v="0"/>
    <n v="0"/>
    <n v="0"/>
    <n v="0"/>
    <m/>
    <n v="0"/>
    <n v="0"/>
    <n v="1.3965902250814357"/>
    <n v="0"/>
    <n v="0"/>
    <n v="49.890622949825968"/>
    <n v="0"/>
    <n v="0"/>
    <n v="0"/>
    <n v="0"/>
    <n v="0"/>
    <m/>
    <m/>
    <m/>
    <m/>
    <m/>
    <m/>
    <m/>
    <m/>
    <m/>
    <n v="703.62619669029164"/>
    <m/>
    <m/>
    <m/>
    <m/>
    <m/>
    <m/>
    <m/>
    <m/>
    <m/>
    <m/>
    <m/>
    <m/>
    <n v="3602.6599999999994"/>
    <n v="-4976.9722000000002"/>
    <m/>
    <m/>
    <m/>
    <m/>
    <n v="-5071.86942"/>
    <n v="99.652019999999979"/>
    <m/>
    <n v="168.11875325937535"/>
    <n v="14.212301346424255"/>
    <n v="53.932473893931501"/>
    <n v="0"/>
    <n v="0"/>
    <n v="0"/>
    <n v="0"/>
    <n v="0"/>
    <n v="1.509936715261734"/>
    <n v="0"/>
    <n v="0"/>
    <n v="99.664827020414805"/>
    <n v="0"/>
    <n v="0"/>
    <n v="0.21337207605018627"/>
    <n v="7.6223258641387091"/>
    <n v="0"/>
    <n v="-7.6940967831507692"/>
    <m/>
    <n v="0"/>
    <n v="0"/>
    <n v="0"/>
    <n v="0"/>
    <n v="-1.1599866051087133"/>
    <n v="-0.18240026858636238"/>
    <n v="0"/>
    <n v="0"/>
    <m/>
    <m/>
    <m/>
    <n v="6996.3826544798358"/>
    <n v="0"/>
    <n v="0"/>
    <n v="-5071.86942"/>
    <n v="99.652019999999993"/>
    <n v="0"/>
    <n v="0"/>
    <n v="-5140.3110227194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4"/>
    <s v="Regular"/>
    <s v="Verde"/>
    <s v="A4"/>
    <s v="Industrial"/>
    <s v="Não se aplica"/>
    <s v="Não se aplica"/>
    <s v="Não se aplica"/>
    <s v="Fora ponta"/>
    <s v="CATIVO"/>
    <x v="5"/>
    <n v="0"/>
    <n v="0"/>
    <n v="109.98699999999999"/>
    <n v="109.98699999999999"/>
    <n v="109.98699999999999"/>
    <n v="109.98699999999999"/>
    <m/>
    <n v="80.27"/>
    <n v="216.76"/>
    <m/>
    <n v="32669.438609999997"/>
    <n v="32669.438609999997"/>
    <n v="36215.41949"/>
    <n v="0"/>
    <n v="5799.7505450357939"/>
    <n v="0"/>
    <n v="0"/>
    <n v="0"/>
    <n v="0"/>
    <n v="0"/>
    <n v="23493.38827108925"/>
    <n v="347.27347474818572"/>
    <n v="0"/>
    <n v="0"/>
    <n v="0"/>
    <n v="0"/>
    <n v="1030.9778452051132"/>
    <m/>
    <n v="151.03658972660497"/>
    <n v="0"/>
    <n v="0"/>
    <n v="0"/>
    <n v="0"/>
    <n v="0"/>
    <n v="0"/>
    <n v="0"/>
    <n v="0"/>
    <n v="0"/>
    <n v="0"/>
    <n v="0"/>
    <n v="0"/>
    <m/>
    <n v="0"/>
    <n v="0"/>
    <n v="50.296911946965245"/>
    <n v="0"/>
    <n v="0"/>
    <n v="1796.7648809372981"/>
    <n v="0"/>
    <n v="0"/>
    <n v="0"/>
    <n v="0"/>
    <n v="0"/>
    <m/>
    <m/>
    <m/>
    <m/>
    <m/>
    <m/>
    <m/>
    <m/>
    <m/>
    <n v="25340.450063973512"/>
    <m/>
    <m/>
    <m/>
    <m/>
    <m/>
    <m/>
    <m/>
    <m/>
    <m/>
    <m/>
    <m/>
    <m/>
    <n v="36216.407299999992"/>
    <n v="3546.938689999999"/>
    <m/>
    <m/>
    <m/>
    <m/>
    <n v="-42.894930000000059"/>
    <n v="3588.8758099999995"/>
    <m/>
    <n v="3546.0918503197208"/>
    <n v="0"/>
    <n v="0"/>
    <n v="0"/>
    <n v="0"/>
    <n v="0"/>
    <n v="0"/>
    <n v="0"/>
    <n v="0"/>
    <n v="0"/>
    <n v="0"/>
    <n v="3589.3370430564355"/>
    <n v="0"/>
    <n v="0"/>
    <n v="7.6843989942802438"/>
    <n v="274.51105265848855"/>
    <n v="0"/>
    <n v="-277.09581626994168"/>
    <m/>
    <n v="0"/>
    <n v="0"/>
    <n v="0"/>
    <n v="0"/>
    <n v="-41.775850273769606"/>
    <n v="-6.5689778457787327"/>
    <n v="0"/>
    <n v="0"/>
    <m/>
    <m/>
    <m/>
    <n v="0"/>
    <n v="0"/>
    <n v="0"/>
    <n v="-42.894930000000386"/>
    <n v="3588.87581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5"/>
    <s v="Regular"/>
    <s v="Verde"/>
    <s v="A4"/>
    <s v="Industrial"/>
    <s v="Não se aplica"/>
    <s v="Não se aplica"/>
    <s v="Não se aplica"/>
    <s v="Não se aplica"/>
    <s v="CATIVO"/>
    <x v="5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286.93"/>
    <n v="1316.82"/>
    <n v="12995.63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m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56"/>
    <s v="Regular"/>
    <s v="Convencional"/>
    <s v="B3"/>
    <s v="Comercial"/>
    <s v="Não se aplica"/>
    <s v="Não se aplica"/>
    <s v="Não se aplica"/>
    <s v="Não se aplica"/>
    <s v="CATIVO"/>
    <x v="5"/>
    <n v="0"/>
    <n v="0"/>
    <n v="271.91000000000003"/>
    <n v="271.91000000000003"/>
    <n v="271.91000000000003"/>
    <n v="271.91000000000003"/>
    <m/>
    <n v="571.87"/>
    <n v="216.76"/>
    <m/>
    <n v="214436.38330000002"/>
    <n v="214436.38330000002"/>
    <n v="139764.45910000001"/>
    <n v="0"/>
    <n v="16480.632880444729"/>
    <n v="0"/>
    <n v="0"/>
    <n v="0"/>
    <n v="223.4865540332562"/>
    <n v="115937.98337983077"/>
    <n v="58080.384088954874"/>
    <n v="858.52992188876135"/>
    <n v="0"/>
    <n v="0"/>
    <n v="0"/>
    <n v="0"/>
    <n v="2548.7847281017062"/>
    <m/>
    <n v="521.65105701414143"/>
    <n v="2415.0224349585533"/>
    <n v="7566.468151810569"/>
    <n v="0"/>
    <n v="0"/>
    <n v="0"/>
    <n v="0"/>
    <n v="0"/>
    <n v="0"/>
    <n v="0"/>
    <n v="0"/>
    <n v="0"/>
    <n v="0"/>
    <m/>
    <n v="0"/>
    <n v="0"/>
    <n v="161.80538088576878"/>
    <n v="0"/>
    <n v="0"/>
    <n v="9641.4493495177285"/>
    <n v="0"/>
    <n v="801.72"/>
    <n v="3697.97"/>
    <n v="75891.7"/>
    <n v="701"/>
    <m/>
    <m/>
    <m/>
    <m/>
    <m/>
    <m/>
    <m/>
    <m/>
    <m/>
    <n v="67883.63881935837"/>
    <m/>
    <m/>
    <m/>
    <m/>
    <m/>
    <m/>
    <m/>
    <m/>
    <m/>
    <m/>
    <m/>
    <m/>
    <n v="139764.45910000001"/>
    <n v="-74671.954200000037"/>
    <m/>
    <m/>
    <m/>
    <m/>
    <n v="-83544.347500000003"/>
    <n v="8872.4233000000004"/>
    <m/>
    <n v="10509.404662723144"/>
    <n v="249.11324508395728"/>
    <n v="780.49272248448779"/>
    <n v="0"/>
    <n v="0"/>
    <n v="0"/>
    <n v="0"/>
    <n v="0"/>
    <n v="21.851411102053021"/>
    <n v="0"/>
    <n v="0"/>
    <n v="8873.5635609433375"/>
    <n v="0"/>
    <n v="0"/>
    <n v="24.7207444357376"/>
    <n v="1473.0276833488297"/>
    <n v="0"/>
    <n v="-787.39842087880788"/>
    <m/>
    <n v="0"/>
    <n v="0"/>
    <n v="0"/>
    <n v="0"/>
    <n v="-103.27830969060597"/>
    <n v="-22.687974105848866"/>
    <n v="0"/>
    <n v="0"/>
    <m/>
    <m/>
    <m/>
    <n v="115937.98337983077"/>
    <n v="0"/>
    <n v="0"/>
    <n v="-83544.347500000003"/>
    <n v="8872.4233000000022"/>
    <n v="0"/>
    <n v="0"/>
    <n v="-85180.774601803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7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6.9379999999999997"/>
    <n v="6.9379999999999997"/>
    <n v="6.9379999999999997"/>
    <n v="6.9379999999999997"/>
    <m/>
    <n v="571.87"/>
    <n v="216.76"/>
    <m/>
    <n v="5471.51494"/>
    <n v="5471.51494"/>
    <n v="3566.2013799999995"/>
    <n v="0"/>
    <n v="420.51646105154464"/>
    <n v="0"/>
    <n v="0"/>
    <n v="0"/>
    <n v="5.7024372471874196"/>
    <n v="2958.2498940431237"/>
    <n v="1481.9672127143865"/>
    <n v="21.906074061506473"/>
    <n v="0"/>
    <n v="0"/>
    <n v="0"/>
    <n v="0"/>
    <n v="65.03427032315706"/>
    <m/>
    <n v="13.310341780604292"/>
    <n v="61.621218983275497"/>
    <n v="193.06445528763825"/>
    <n v="0"/>
    <n v="0"/>
    <n v="0"/>
    <n v="0"/>
    <n v="0"/>
    <n v="0"/>
    <n v="0"/>
    <n v="0"/>
    <n v="0"/>
    <n v="0"/>
    <m/>
    <n v="0"/>
    <n v="0"/>
    <n v="4.1285930366130836"/>
    <n v="0"/>
    <n v="0"/>
    <n v="246.00925154262069"/>
    <n v="0"/>
    <n v="20"/>
    <n v="92.26"/>
    <n v="3387.12"/>
    <n v="18"/>
    <m/>
    <m/>
    <m/>
    <m/>
    <m/>
    <m/>
    <m/>
    <m/>
    <m/>
    <n v="1732.1050572936201"/>
    <m/>
    <m/>
    <m/>
    <m/>
    <m/>
    <m/>
    <m/>
    <m/>
    <m/>
    <m/>
    <m/>
    <m/>
    <n v="3567.2294000000002"/>
    <n v="-1904.3155400000005"/>
    <m/>
    <m/>
    <m/>
    <m/>
    <n v="-2131.7004999999999"/>
    <n v="226.38693999999995"/>
    <m/>
    <n v="268.15582196305104"/>
    <n v="6.3563226596759677"/>
    <n v="19.914892827028694"/>
    <n v="0"/>
    <n v="0"/>
    <n v="0"/>
    <n v="0"/>
    <n v="0"/>
    <n v="0.55755614073054982"/>
    <n v="0"/>
    <n v="0"/>
    <n v="226.41603466523816"/>
    <n v="0"/>
    <n v="0"/>
    <n v="0.63076946377532117"/>
    <n v="37.585473381170914"/>
    <n v="0"/>
    <n v="-20.091097216200751"/>
    <m/>
    <n v="0"/>
    <n v="0"/>
    <n v="0"/>
    <n v="0"/>
    <n v="-2.6352282469693051"/>
    <n v="-0.57890171139854907"/>
    <n v="0"/>
    <n v="0"/>
    <m/>
    <m/>
    <m/>
    <n v="2958.2498940431237"/>
    <n v="0"/>
    <n v="0"/>
    <n v="-2131.7004999999999"/>
    <n v="226.38693999999987"/>
    <n v="0"/>
    <n v="0"/>
    <n v="-2173.4552395546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8"/>
    <s v="Regular"/>
    <s v="Verde"/>
    <s v="A4"/>
    <s v="Comercial"/>
    <s v="Não se aplica"/>
    <s v="Não se aplica"/>
    <s v="Não se aplica"/>
    <s v="Ponta"/>
    <s v="CATIVO"/>
    <x v="5"/>
    <n v="0"/>
    <n v="0"/>
    <n v="7.4249999999999998"/>
    <n v="7.4249999999999998"/>
    <n v="7.4249999999999998"/>
    <n v="7.4249999999999998"/>
    <m/>
    <n v="2592.54"/>
    <n v="216.76"/>
    <m/>
    <n v="20859.052499999998"/>
    <n v="20859.052499999998"/>
    <n v="8770.41"/>
    <n v="0"/>
    <n v="391.52943345023294"/>
    <n v="0"/>
    <n v="0"/>
    <n v="0"/>
    <n v="37.545516412470327"/>
    <n v="17009.869420272687"/>
    <n v="1585.9911436154973"/>
    <n v="23.443730168158773"/>
    <n v="0"/>
    <n v="0"/>
    <n v="0"/>
    <n v="0"/>
    <n v="69.599229914880539"/>
    <m/>
    <n v="10.196174809023265"/>
    <n v="334.97792119068208"/>
    <n v="1271.1655592784175"/>
    <n v="0"/>
    <n v="0"/>
    <n v="0"/>
    <n v="0"/>
    <n v="0"/>
    <n v="0"/>
    <n v="0"/>
    <n v="0"/>
    <n v="0"/>
    <n v="0"/>
    <m/>
    <n v="0"/>
    <n v="0"/>
    <n v="3.3954428360280482"/>
    <n v="0"/>
    <n v="0"/>
    <n v="121.29596444088337"/>
    <n v="0"/>
    <n v="0"/>
    <n v="0"/>
    <n v="0"/>
    <n v="0"/>
    <m/>
    <m/>
    <m/>
    <m/>
    <m/>
    <m/>
    <m/>
    <m/>
    <m/>
    <n v="1710.6825508924087"/>
    <m/>
    <m/>
    <m/>
    <m/>
    <m/>
    <m/>
    <m/>
    <m/>
    <m/>
    <m/>
    <m/>
    <m/>
    <n v="8776.3159999999989"/>
    <n v="-12082.766499999994"/>
    <m/>
    <m/>
    <m/>
    <m/>
    <n v="-12330.920249999999"/>
    <n v="242.27774999999997"/>
    <m/>
    <n v="408.73665453531703"/>
    <n v="34.553483135952888"/>
    <n v="131.12266491893979"/>
    <n v="0"/>
    <n v="0"/>
    <n v="0"/>
    <n v="0"/>
    <n v="0"/>
    <n v="3.6710150984997867"/>
    <n v="0"/>
    <n v="0"/>
    <n v="242.30888691112614"/>
    <n v="0"/>
    <n v="0"/>
    <n v="0.51875823990590542"/>
    <n v="18.531686162812676"/>
    <n v="0"/>
    <n v="-18.706178328387182"/>
    <m/>
    <n v="0"/>
    <n v="0"/>
    <n v="0"/>
    <n v="0"/>
    <n v="-2.8202031902201128"/>
    <n v="-0.44345841331163705"/>
    <n v="0"/>
    <n v="0"/>
    <m/>
    <m/>
    <m/>
    <n v="17009.869420272687"/>
    <n v="0"/>
    <n v="0"/>
    <n v="-12330.920249999999"/>
    <n v="242.27774999999997"/>
    <n v="0"/>
    <n v="0"/>
    <n v="-12497.318056218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59"/>
    <s v="Regular"/>
    <s v="Verde"/>
    <s v="A4"/>
    <s v="Comercial"/>
    <s v="Não se aplica"/>
    <s v="Não se aplica"/>
    <s v="Não se aplica"/>
    <s v="Fora ponta"/>
    <s v="CATIVO"/>
    <x v="5"/>
    <n v="0"/>
    <n v="0"/>
    <n v="83.787999999999997"/>
    <n v="83.787999999999997"/>
    <n v="83.787999999999997"/>
    <n v="83.787999999999997"/>
    <m/>
    <n v="80.27"/>
    <n v="216.76"/>
    <m/>
    <n v="24887.549639999997"/>
    <n v="24887.549639999997"/>
    <n v="27588.874759999999"/>
    <n v="0"/>
    <n v="4418.24487137079"/>
    <n v="0"/>
    <n v="0"/>
    <n v="0"/>
    <n v="0"/>
    <n v="0"/>
    <n v="17897.242551010811"/>
    <n v="264.55262805787032"/>
    <n v="0"/>
    <n v="0"/>
    <n v="0"/>
    <n v="0"/>
    <n v="785.39801698424378"/>
    <m/>
    <n v="115.05954140046349"/>
    <n v="0"/>
    <n v="0"/>
    <n v="0"/>
    <n v="0"/>
    <n v="0"/>
    <n v="0"/>
    <n v="0"/>
    <n v="0"/>
    <n v="0"/>
    <n v="0"/>
    <n v="0"/>
    <n v="0"/>
    <m/>
    <n v="0"/>
    <n v="0"/>
    <n v="38.316143346143853"/>
    <n v="0"/>
    <n v="0"/>
    <n v="1368.7739082252842"/>
    <n v="0"/>
    <n v="0"/>
    <n v="0"/>
    <n v="0"/>
    <n v="0"/>
    <m/>
    <m/>
    <m/>
    <m/>
    <m/>
    <m/>
    <m/>
    <m/>
    <m/>
    <n v="19304.332602582239"/>
    <m/>
    <m/>
    <m/>
    <m/>
    <m/>
    <m/>
    <m/>
    <m/>
    <m/>
    <m/>
    <m/>
    <m/>
    <n v="27589.533299999999"/>
    <n v="2701.9536600000029"/>
    <m/>
    <m/>
    <m/>
    <m/>
    <n v="-32.677320000000044"/>
    <n v="2734.0024399999993"/>
    <m/>
    <n v="2701.4096570920956"/>
    <n v="0"/>
    <n v="0"/>
    <n v="0"/>
    <n v="0"/>
    <n v="0"/>
    <n v="0"/>
    <n v="0"/>
    <n v="0"/>
    <n v="0"/>
    <n v="0"/>
    <n v="2734.3538069372989"/>
    <n v="0"/>
    <n v="0"/>
    <n v="5.8539684047455864"/>
    <n v="209.12227881612785"/>
    <n v="0"/>
    <n v="-211.09134946517224"/>
    <m/>
    <n v="0"/>
    <n v="0"/>
    <n v="0"/>
    <n v="0"/>
    <n v="-31.824806047429206"/>
    <n v="-5.0042415534754809"/>
    <n v="0"/>
    <n v="0"/>
    <m/>
    <m/>
    <m/>
    <n v="0"/>
    <n v="0"/>
    <n v="0"/>
    <n v="-32.677319999999781"/>
    <n v="2734.0024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0"/>
    <s v="Regular"/>
    <s v="Verde"/>
    <s v="A4"/>
    <s v="Comercial"/>
    <s v="Não se aplica"/>
    <s v="Não se aplica"/>
    <s v="Não se aplica"/>
    <s v="Não se aplica"/>
    <s v="CATIVO"/>
    <x v="5"/>
    <n v="1002"/>
    <n v="1002"/>
    <n v="0"/>
    <n v="0"/>
    <n v="0"/>
    <n v="0"/>
    <n v="32.17"/>
    <m/>
    <m/>
    <n v="32234.34"/>
    <m/>
    <n v="32234.34"/>
    <n v="12955.86"/>
    <n v="0"/>
    <n v="0"/>
    <n v="0"/>
    <n v="0"/>
    <n v="0"/>
    <n v="100.11605758153796"/>
    <n v="26980.588899349987"/>
    <m/>
    <m/>
    <m/>
    <n v="0"/>
    <n v="0"/>
    <n v="0"/>
    <n v="0"/>
    <m/>
    <n v="0"/>
    <n v="1767.9499486265574"/>
    <n v="3389.6308957765714"/>
    <n v="0"/>
    <n v="0"/>
    <m/>
    <m/>
    <n v="0"/>
    <n v="0"/>
    <n v="0"/>
    <m/>
    <m/>
    <n v="0"/>
    <m/>
    <n v="0"/>
    <n v="0"/>
    <n v="0"/>
    <n v="0"/>
    <m/>
    <n v="0"/>
    <n v="0"/>
    <n v="280.2"/>
    <n v="1286.04"/>
    <n v="25863.7"/>
    <n v="8"/>
    <m/>
    <m/>
    <m/>
    <m/>
    <m/>
    <m/>
    <m/>
    <m/>
    <m/>
    <n v="0"/>
    <m/>
    <m/>
    <m/>
    <m/>
    <m/>
    <m/>
    <m/>
    <m/>
    <m/>
    <m/>
    <m/>
    <m/>
    <n v="12955.86"/>
    <n v="-19278.509999999995"/>
    <m/>
    <m/>
    <m/>
    <m/>
    <n v="-19278.480000000003"/>
    <n v="0"/>
    <m/>
    <n v="541.80117863822397"/>
    <n v="182.36673186679786"/>
    <n v="349.64559329165195"/>
    <n v="0"/>
    <n v="0"/>
    <m/>
    <m/>
    <m/>
    <n v="9.7888534797737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980.588899349987"/>
    <m/>
    <n v="0"/>
    <n v="0"/>
    <n v="-19278.48"/>
    <m/>
    <n v="0"/>
    <m/>
    <n v="-19822.90354430349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61"/>
    <s v="Regular"/>
    <s v="Convencional"/>
    <s v="B2"/>
    <s v="Rural"/>
    <s v="Não se aplica"/>
    <s v="Não se aplica"/>
    <s v="Não se aplica"/>
    <s v="Não se aplica"/>
    <s v="CATIVO"/>
    <x v="5"/>
    <n v="0"/>
    <n v="0"/>
    <n v="3930.8789999999999"/>
    <n v="3930.8789999999999"/>
    <n v="3930.8789999999999"/>
    <n v="3930.8789999999999"/>
    <m/>
    <n v="571.87"/>
    <n v="216.76"/>
    <m/>
    <n v="3100009.1057699998"/>
    <n v="3100009.1057699998"/>
    <n v="2020511.11479"/>
    <n v="0"/>
    <n v="238253.00171545616"/>
    <n v="0"/>
    <n v="0"/>
    <n v="0"/>
    <n v="3230.8433012088262"/>
    <n v="1676062.6095771606"/>
    <n v="839641.6539561135"/>
    <n v="12411.375973021117"/>
    <n v="0"/>
    <n v="0"/>
    <n v="0"/>
    <n v="0"/>
    <n v="36846.619702165073"/>
    <m/>
    <n v="7541.2716904295212"/>
    <n v="34912.879166295621"/>
    <n v="109384.98312721479"/>
    <n v="0"/>
    <n v="0"/>
    <n v="0"/>
    <n v="0"/>
    <n v="0"/>
    <n v="0"/>
    <n v="0"/>
    <n v="0"/>
    <n v="0"/>
    <n v="0"/>
    <m/>
    <n v="0"/>
    <n v="0"/>
    <n v="2339.1466801914962"/>
    <n v="0"/>
    <n v="0"/>
    <n v="139382.04103410279"/>
    <n v="0"/>
    <n v="10402.85"/>
    <n v="47980.25"/>
    <n v="140885.53"/>
    <n v="10502"/>
    <m/>
    <m/>
    <m/>
    <m/>
    <m/>
    <n v="242456.6167199999"/>
    <m/>
    <m/>
    <m/>
    <n v="981362.8416704078"/>
    <m/>
    <m/>
    <m/>
    <m/>
    <m/>
    <m/>
    <m/>
    <m/>
    <m/>
    <m/>
    <m/>
    <m/>
    <n v="1778054.9504"/>
    <n v="-949975.10559999989"/>
    <m/>
    <m/>
    <m/>
    <m/>
    <n v="-1207762.5727500001"/>
    <n v="128264.58176999998"/>
    <m/>
    <n v="151929.67559560365"/>
    <n v="3601.3166993577979"/>
    <n v="11283.227731481369"/>
    <n v="0"/>
    <n v="0"/>
    <n v="0"/>
    <n v="0"/>
    <n v="0"/>
    <n v="315.89589577958532"/>
    <n v="0"/>
    <n v="0"/>
    <n v="128281.06600300607"/>
    <n v="0"/>
    <n v="0"/>
    <n v="357.37654064509525"/>
    <n v="21294.890172831336"/>
    <n v="0"/>
    <n v="-11383.060267241584"/>
    <m/>
    <n v="0"/>
    <n v="0"/>
    <n v="0"/>
    <n v="0"/>
    <n v="-1493.0474742315419"/>
    <n v="-327.98970602488043"/>
    <n v="0"/>
    <n v="0"/>
    <m/>
    <m/>
    <m/>
    <n v="1676062.6095771606"/>
    <n v="0"/>
    <n v="0"/>
    <n v="-1207762.5727500001"/>
    <n v="128264.58177000005"/>
    <n v="0"/>
    <n v="0"/>
    <n v="-1231419.6538779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2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2.577"/>
    <n v="-2.577"/>
    <n v="-2.577"/>
    <n v="-2.577"/>
    <m/>
    <n v="571.87"/>
    <n v="216.76"/>
    <m/>
    <n v="-2032.2995100000001"/>
    <n v="-2032.2995100000001"/>
    <n v="-1324.6037699999999"/>
    <n v="0"/>
    <n v="-156.19356012248929"/>
    <n v="0"/>
    <n v="0"/>
    <n v="0"/>
    <n v="-2.1180716036324561"/>
    <n v="-1098.790714463697"/>
    <n v="-550.45106762250998"/>
    <n v="-8.1366320058377326"/>
    <n v="0"/>
    <n v="0"/>
    <n v="0"/>
    <n v="0"/>
    <n v="-24.155853938134296"/>
    <m/>
    <n v="-4.94389604621177"/>
    <n v="-22.888135099438017"/>
    <n v="-71.710449881268929"/>
    <n v="0"/>
    <n v="0"/>
    <n v="0"/>
    <n v="0"/>
    <n v="0"/>
    <n v="0"/>
    <n v="0"/>
    <n v="0"/>
    <n v="0"/>
    <n v="0"/>
    <m/>
    <n v="0"/>
    <n v="0"/>
    <n v="-1.5334944155883421"/>
    <n v="0"/>
    <n v="0"/>
    <n v="-91.375877951186723"/>
    <n v="0"/>
    <n v="-8.5500000000000007"/>
    <n v="-39.35"/>
    <n v="-19.45"/>
    <n v="0"/>
    <m/>
    <m/>
    <m/>
    <m/>
    <m/>
    <n v="-158.94935999999996"/>
    <m/>
    <m/>
    <m/>
    <n v="-643.36043998928506"/>
    <m/>
    <m/>
    <m/>
    <m/>
    <m/>
    <m/>
    <m/>
    <m/>
    <m/>
    <m/>
    <m/>
    <m/>
    <n v="-1167.0114000000001"/>
    <n v="621.39660000000003"/>
    <m/>
    <m/>
    <m/>
    <m/>
    <n v="791.78324999999995"/>
    <n v="-84.08750999999998"/>
    <m/>
    <n v="-99.601838166443031"/>
    <n v="-2.3609460210413644"/>
    <n v="-7.3970422045622541"/>
    <n v="0"/>
    <n v="0"/>
    <n v="0"/>
    <n v="0"/>
    <n v="0"/>
    <n v="-0.20709457691879907"/>
    <n v="0"/>
    <n v="0"/>
    <n v="-84.098316709760525"/>
    <n v="0"/>
    <n v="0"/>
    <n v="-0.23428839840717819"/>
    <n v="-13.96047346544789"/>
    <n v="0"/>
    <n v="7.4624902747404747"/>
    <m/>
    <n v="0"/>
    <n v="0"/>
    <n v="0"/>
    <n v="0"/>
    <n v="0.97880991531275541"/>
    <n v="0.21502301964169224"/>
    <n v="0"/>
    <n v="0"/>
    <m/>
    <m/>
    <m/>
    <n v="-1098.790714463697"/>
    <n v="0"/>
    <n v="0"/>
    <n v="791.78325000000007"/>
    <n v="-84.087509999999952"/>
    <n v="0"/>
    <n v="0"/>
    <n v="807.2923252136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3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57.069000000000003"/>
    <n v="57.069000000000003"/>
    <n v="57.069000000000003"/>
    <n v="57.069000000000003"/>
    <m/>
    <n v="571.87"/>
    <n v="216.76"/>
    <m/>
    <n v="45006.325470000003"/>
    <n v="45006.325470000003"/>
    <n v="29334.036690000001"/>
    <n v="0"/>
    <n v="3458.987304086279"/>
    <n v="0"/>
    <n v="0"/>
    <n v="0"/>
    <n v="46.905792917229583"/>
    <n v="24333.2895939964"/>
    <n v="12190.024050504084"/>
    <n v="180.18993090459975"/>
    <n v="0"/>
    <n v="0"/>
    <n v="0"/>
    <n v="0"/>
    <n v="534.94389926091822"/>
    <m/>
    <n v="109.48513910021711"/>
    <n v="506.86960884354994"/>
    <n v="1588.065061806029"/>
    <n v="0"/>
    <n v="0"/>
    <n v="0"/>
    <n v="0"/>
    <n v="0"/>
    <n v="0"/>
    <n v="0"/>
    <n v="0"/>
    <n v="0"/>
    <n v="0"/>
    <m/>
    <n v="0"/>
    <n v="0"/>
    <n v="33.960028251149048"/>
    <n v="0"/>
    <n v="0"/>
    <n v="2023.5661539760479"/>
    <n v="0"/>
    <n v="164.48"/>
    <n v="759.61"/>
    <n v="1275.67"/>
    <n v="177"/>
    <m/>
    <m/>
    <m/>
    <m/>
    <m/>
    <n v="3520.0159199999989"/>
    <m/>
    <m/>
    <m/>
    <n v="14247.550232731281"/>
    <m/>
    <m/>
    <m/>
    <m/>
    <m/>
    <m/>
    <m/>
    <m/>
    <m/>
    <m/>
    <m/>
    <m/>
    <n v="25814.473099999999"/>
    <n v="-13791.442900000005"/>
    <m/>
    <m/>
    <m/>
    <m/>
    <n v="-17534.450250000002"/>
    <n v="1862.1614699999998"/>
    <m/>
    <n v="2205.734304354195"/>
    <n v="52.284372710442312"/>
    <n v="163.8113316151198"/>
    <n v="0"/>
    <n v="0"/>
    <n v="0"/>
    <n v="0"/>
    <n v="0"/>
    <n v="4.5862166900189933"/>
    <n v="0"/>
    <n v="0"/>
    <n v="1862.4007901860004"/>
    <n v="0"/>
    <n v="0"/>
    <n v="5.1884379544816639"/>
    <n v="309.16191703517484"/>
    <n v="0"/>
    <n v="-165.26071303421168"/>
    <m/>
    <n v="0"/>
    <n v="0"/>
    <n v="0"/>
    <n v="0"/>
    <n v="-21.676252641437259"/>
    <n v="-4.7617961614015201"/>
    <n v="0"/>
    <n v="0"/>
    <m/>
    <m/>
    <m/>
    <n v="24333.2895939964"/>
    <n v="0"/>
    <n v="0"/>
    <n v="-17534.450250000002"/>
    <n v="1862.1614700000009"/>
    <n v="0"/>
    <n v="0"/>
    <n v="-17877.906754993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4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46.895000000000003"/>
    <n v="46.895000000000003"/>
    <n v="46.895000000000003"/>
    <n v="46.895000000000003"/>
    <m/>
    <n v="571.87"/>
    <n v="216.76"/>
    <m/>
    <n v="36982.803850000004"/>
    <n v="36982.803850000004"/>
    <n v="24104.498950000001"/>
    <n v="0"/>
    <n v="2842.3348862802231"/>
    <n v="0"/>
    <n v="0"/>
    <n v="0"/>
    <n v="38.543642938433855"/>
    <n v="19995.262147759051"/>
    <n v="10016.84238112441"/>
    <n v="148.06649511593344"/>
    <n v="0"/>
    <n v="0"/>
    <n v="0"/>
    <n v="0"/>
    <n v="439.57655041862938"/>
    <m/>
    <n v="89.966629835894821"/>
    <n v="416.50721594417769"/>
    <n v="1304.9520943663588"/>
    <n v="0"/>
    <n v="0"/>
    <n v="0"/>
    <n v="0"/>
    <n v="0"/>
    <n v="0"/>
    <n v="0"/>
    <n v="0"/>
    <n v="0"/>
    <n v="0"/>
    <m/>
    <n v="0"/>
    <n v="0"/>
    <n v="27.905789918127788"/>
    <n v="0"/>
    <n v="0"/>
    <n v="1662.8140459918129"/>
    <n v="0"/>
    <n v="136.38999999999999"/>
    <n v="629"/>
    <n v="11942.42"/>
    <n v="107"/>
    <m/>
    <m/>
    <m/>
    <m/>
    <m/>
    <m/>
    <m/>
    <m/>
    <m/>
    <n v="11707.56221703435"/>
    <m/>
    <m/>
    <m/>
    <m/>
    <m/>
    <m/>
    <m/>
    <m/>
    <m/>
    <m/>
    <m/>
    <m/>
    <n v="24107.069"/>
    <n v="-12875.764850000003"/>
    <m/>
    <m/>
    <m/>
    <m/>
    <n v="-14408.48875"/>
    <n v="1530.1838499999999"/>
    <m/>
    <n v="1812.5060926718506"/>
    <n v="42.963354154728279"/>
    <n v="134.60779750987467"/>
    <n v="0"/>
    <n v="0"/>
    <n v="0"/>
    <n v="0"/>
    <n v="0"/>
    <n v="3.768606978892926"/>
    <n v="0"/>
    <n v="0"/>
    <n v="1530.380505279094"/>
    <n v="0"/>
    <n v="0"/>
    <n v="4.2634669939094394"/>
    <n v="254.04594612424489"/>
    <n v="0"/>
    <n v="-135.79878984631523"/>
    <m/>
    <n v="0"/>
    <n v="0"/>
    <n v="0"/>
    <n v="0"/>
    <n v="-17.811909576481071"/>
    <n v="-3.9128849460990125"/>
    <n v="0"/>
    <n v="0"/>
    <m/>
    <m/>
    <m/>
    <n v="19995.262147759051"/>
    <n v="0"/>
    <n v="0"/>
    <n v="-14408.488750000002"/>
    <n v="1530.1838500000013"/>
    <n v="0"/>
    <n v="0"/>
    <n v="-14690.7154019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5"/>
    <s v="Sistema de Compensação"/>
    <s v="Convencional"/>
    <s v="B3"/>
    <s v="Poder público"/>
    <s v="Não se aplica"/>
    <s v="Não se aplica"/>
    <s v="Não se aplica"/>
    <s v="Não se aplica"/>
    <s v="CATIVO"/>
    <x v="5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28000000000000003"/>
    <n v="1.33"/>
    <n v="131.03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m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6"/>
    <s v="Regular"/>
    <s v="Verde"/>
    <s v="A4"/>
    <s v="Poder público"/>
    <s v="Não se aplica"/>
    <s v="Não se aplica"/>
    <s v="Não se aplica"/>
    <s v="Ponta"/>
    <s v="CATIVO"/>
    <x v="5"/>
    <n v="0"/>
    <n v="0"/>
    <n v="1.454"/>
    <n v="1.454"/>
    <n v="1.454"/>
    <n v="1.454"/>
    <m/>
    <n v="2592.54"/>
    <n v="216.76"/>
    <m/>
    <n v="4084.7222000000002"/>
    <n v="4084.7222000000002"/>
    <n v="1717.4647999999997"/>
    <n v="0"/>
    <n v="76.671218348368853"/>
    <n v="0"/>
    <n v="0"/>
    <n v="0"/>
    <n v="7.3523475910749969"/>
    <n v="3330.9562474177083"/>
    <n v="310.57658219756672"/>
    <n v="4.5908664868017315"/>
    <n v="0"/>
    <n v="0"/>
    <n v="0"/>
    <n v="0"/>
    <n v="13.629263339560444"/>
    <m/>
    <n v="1.9966650737131082"/>
    <n v="65.597023220370602"/>
    <n v="248.92588864522816"/>
    <n v="0"/>
    <n v="0"/>
    <n v="0"/>
    <n v="0"/>
    <n v="0"/>
    <n v="0"/>
    <n v="0"/>
    <n v="0"/>
    <n v="0"/>
    <n v="0"/>
    <m/>
    <n v="0"/>
    <n v="0"/>
    <n v="0.66491230755350605"/>
    <n v="0"/>
    <n v="0"/>
    <n v="23.752772026537968"/>
    <n v="0"/>
    <n v="0"/>
    <n v="0"/>
    <n v="0"/>
    <n v="0"/>
    <m/>
    <m/>
    <m/>
    <m/>
    <m/>
    <m/>
    <m/>
    <m/>
    <m/>
    <n v="334.99426653165818"/>
    <m/>
    <m/>
    <m/>
    <m/>
    <m/>
    <m/>
    <m/>
    <m/>
    <m/>
    <m/>
    <m/>
    <m/>
    <n v="1712.7399999999998"/>
    <n v="-2372.012200000001"/>
    <m/>
    <m/>
    <m/>
    <m/>
    <n v="-2414.7014199999999"/>
    <n v="47.444019999999995"/>
    <m/>
    <n v="80.040820968936373"/>
    <n v="6.7664329265556233"/>
    <n v="25.677084820490052"/>
    <n v="0"/>
    <n v="0"/>
    <n v="0"/>
    <n v="0"/>
    <n v="0"/>
    <n v="0.71887622265571594"/>
    <n v="0"/>
    <n v="0"/>
    <n v="47.450117383000361"/>
    <n v="0"/>
    <n v="0"/>
    <n v="0.10158578866305534"/>
    <n v="3.6289658829265505"/>
    <n v="0"/>
    <n v="-3.6631357965622868"/>
    <m/>
    <n v="0"/>
    <n v="0"/>
    <n v="0"/>
    <n v="0"/>
    <n v="-0.55226605233401038"/>
    <n v="-8.6840206458602021E-2"/>
    <n v="0"/>
    <n v="0"/>
    <m/>
    <m/>
    <m/>
    <n v="3330.9562474177083"/>
    <n v="0"/>
    <n v="0"/>
    <n v="-2414.7014200000003"/>
    <n v="47.444019999999966"/>
    <n v="0"/>
    <n v="0"/>
    <n v="-2447.2862563962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7"/>
    <s v="Regular"/>
    <s v="Verde"/>
    <s v="A4"/>
    <s v="Poder público"/>
    <s v="Não se aplica"/>
    <s v="Não se aplica"/>
    <s v="Não se aplica"/>
    <s v="Fora ponta"/>
    <s v="CATIVO"/>
    <x v="5"/>
    <n v="0"/>
    <n v="0"/>
    <n v="12.94"/>
    <n v="12.94"/>
    <n v="12.94"/>
    <n v="12.94"/>
    <m/>
    <n v="80.27"/>
    <n v="216.76"/>
    <m/>
    <n v="3843.5681999999997"/>
    <n v="3843.5681999999997"/>
    <n v="4260.7537999999995"/>
    <n v="0"/>
    <n v="682.34220455838579"/>
    <n v="0"/>
    <n v="0"/>
    <n v="0"/>
    <n v="0"/>
    <n v="0"/>
    <n v="2764.0034206578498"/>
    <n v="40.856817289693538"/>
    <n v="0"/>
    <n v="0"/>
    <n v="0"/>
    <n v="0"/>
    <n v="121.29481954189281"/>
    <m/>
    <n v="17.769495222728761"/>
    <n v="0"/>
    <n v="0"/>
    <n v="0"/>
    <n v="0"/>
    <n v="0"/>
    <n v="0"/>
    <n v="0"/>
    <n v="0"/>
    <n v="0"/>
    <n v="0"/>
    <n v="0"/>
    <n v="0"/>
    <m/>
    <n v="0"/>
    <n v="0"/>
    <n v="5.9174451580071308"/>
    <n v="0"/>
    <n v="0"/>
    <n v="211.38986934209169"/>
    <n v="0"/>
    <n v="0"/>
    <n v="0"/>
    <n v="0"/>
    <n v="0"/>
    <m/>
    <m/>
    <m/>
    <m/>
    <m/>
    <m/>
    <m/>
    <m/>
    <m/>
    <n v="2981.3107351579483"/>
    <m/>
    <m/>
    <m/>
    <m/>
    <m/>
    <m/>
    <m/>
    <m/>
    <m/>
    <m/>
    <m/>
    <m/>
    <n v="4260.7537999999995"/>
    <n v="417.15559999999959"/>
    <m/>
    <m/>
    <m/>
    <m/>
    <n v="-5.0466000000000069"/>
    <n v="422.23219999999992"/>
    <m/>
    <n v="417.1986556878287"/>
    <n v="0"/>
    <n v="0"/>
    <n v="0"/>
    <n v="0"/>
    <n v="0"/>
    <n v="0"/>
    <n v="0"/>
    <n v="0"/>
    <n v="0"/>
    <n v="0"/>
    <n v="422.28646419258894"/>
    <n v="0"/>
    <n v="0"/>
    <n v="0.90407159924342295"/>
    <n v="32.29629884805334"/>
    <n v="0"/>
    <n v="-32.600396979034372"/>
    <m/>
    <n v="0"/>
    <n v="0"/>
    <n v="0"/>
    <n v="0"/>
    <n v="-4.9149399705653991"/>
    <n v="-0.77284200245825829"/>
    <n v="0"/>
    <n v="0"/>
    <m/>
    <m/>
    <m/>
    <n v="0"/>
    <n v="0"/>
    <n v="0"/>
    <n v="-5.0466000000001259"/>
    <n v="422.23219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68"/>
    <s v="Regular"/>
    <s v="Verde"/>
    <s v="A4"/>
    <s v="Poder público"/>
    <s v="Não se aplica"/>
    <s v="Não se aplica"/>
    <s v="Não se aplica"/>
    <s v="Não se aplica"/>
    <s v="CATIVO"/>
    <x v="5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37.869999999999997"/>
    <n v="173.77"/>
    <n v="3518.23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m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69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74.731999999999999"/>
    <n v="74.731999999999999"/>
    <n v="74.731999999999999"/>
    <n v="74.731999999999999"/>
    <m/>
    <n v="314.52999999999997"/>
    <n v="119.22"/>
    <m/>
    <n v="32415.004999999997"/>
    <n v="32415.004999999997"/>
    <n v="21127.483719999997"/>
    <n v="0"/>
    <n v="2491.2539481143285"/>
    <n v="0"/>
    <n v="0"/>
    <n v="0"/>
    <n v="33.782790025402974"/>
    <n v="17525.477384678117"/>
    <n v="8779.5770477535953"/>
    <n v="129.77754392050693"/>
    <n v="0"/>
    <n v="0"/>
    <n v="0"/>
    <n v="0"/>
    <n v="385.28071481472955"/>
    <m/>
    <n v="78.854086778821738"/>
    <n v="365.06086990227425"/>
    <n v="1143.7663706984238"/>
    <n v="0"/>
    <n v="0"/>
    <n v="0"/>
    <n v="0"/>
    <n v="0"/>
    <n v="0"/>
    <n v="0"/>
    <n v="0"/>
    <n v="0"/>
    <n v="0"/>
    <m/>
    <n v="0"/>
    <n v="0"/>
    <n v="24.458908640342059"/>
    <n v="0"/>
    <n v="0"/>
    <n v="1457.4257512908246"/>
    <n v="0"/>
    <n v="129.5"/>
    <n v="594.44000000000005"/>
    <n v="7236.17"/>
    <n v="10"/>
    <m/>
    <m/>
    <m/>
    <m/>
    <m/>
    <m/>
    <m/>
    <m/>
    <m/>
    <n v="10261.461707684761"/>
    <m/>
    <m/>
    <m/>
    <m/>
    <m/>
    <m/>
    <m/>
    <m/>
    <m/>
    <m/>
    <m/>
    <m/>
    <n v="21126.918299999998"/>
    <n v="-11288.116699999995"/>
    <m/>
    <m/>
    <m/>
    <m/>
    <n v="-12628.960679999998"/>
    <n v="1341.4393999999991"/>
    <m/>
    <n v="1588.6280610865415"/>
    <n v="37.656585147247085"/>
    <n v="117.98124443820325"/>
    <n v="0"/>
    <n v="0"/>
    <n v="0"/>
    <n v="0"/>
    <n v="0"/>
    <n v="3.3031143023913785"/>
    <n v="0"/>
    <n v="0"/>
    <n v="1341.3502027142295"/>
    <n v="0"/>
    <n v="0"/>
    <n v="3.7368499512498126"/>
    <n v="222.66657223939001"/>
    <n v="0"/>
    <n v="-119.0251271891907"/>
    <m/>
    <n v="0"/>
    <n v="0"/>
    <n v="0"/>
    <n v="0"/>
    <n v="-15.611809245298105"/>
    <n v="-3.429571271681823"/>
    <n v="0"/>
    <n v="0"/>
    <m/>
    <m/>
    <m/>
    <n v="17525.477384678117"/>
    <n v="0"/>
    <n v="0"/>
    <n v="-12628.96068"/>
    <n v="1341.4393999999993"/>
    <n v="0"/>
    <n v="0"/>
    <n v="-12876.140289610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70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34.12899999999999"/>
    <n v="126.08126"/>
    <n v="134.12899999999999"/>
    <n v="126.08126"/>
    <m/>
    <n v="571.87"/>
    <n v="216.76"/>
    <m/>
    <n v="105778.15327"/>
    <n v="105778.15327"/>
    <n v="68943.647289999994"/>
    <n v="0"/>
    <n v="8129.6414534999467"/>
    <n v="0"/>
    <n v="0"/>
    <n v="0"/>
    <n v="110.24246260132622"/>
    <n v="57190.415110710594"/>
    <n v="28650.155703973473"/>
    <n v="423.49953989561857"/>
    <n v="0"/>
    <n v="0"/>
    <n v="0"/>
    <n v="0"/>
    <n v="1257.2761089903045"/>
    <m/>
    <n v="257.32240309753138"/>
    <n v="1191.2932373894146"/>
    <n v="3732.421781965355"/>
    <n v="0"/>
    <n v="0"/>
    <n v="0"/>
    <n v="0"/>
    <n v="0"/>
    <n v="0"/>
    <n v="0"/>
    <n v="0"/>
    <n v="0"/>
    <n v="0"/>
    <m/>
    <n v="0"/>
    <n v="0"/>
    <n v="79.816093313328949"/>
    <n v="0"/>
    <n v="0"/>
    <n v="4755.9779331450227"/>
    <n v="0"/>
    <n v="377.68"/>
    <n v="1734.96"/>
    <n v="37696.519999999997"/>
    <n v="92"/>
    <m/>
    <m/>
    <m/>
    <m/>
    <n v="4136.6188373999948"/>
    <m/>
    <m/>
    <m/>
    <m/>
    <n v="33485.949730431821"/>
    <m/>
    <m/>
    <m/>
    <m/>
    <m/>
    <m/>
    <m/>
    <m/>
    <m/>
    <m/>
    <m/>
    <m/>
    <n v="64806.380799999999"/>
    <n v="-34625.113273799987"/>
    <m/>
    <m/>
    <m/>
    <m/>
    <n v="-41211.135249999999"/>
    <n v="4376.6292699999995"/>
    <m/>
    <n v="5184.1268728858486"/>
    <n v="122.88371317666179"/>
    <n v="385.00499567548741"/>
    <n v="0"/>
    <n v="0"/>
    <n v="0"/>
    <n v="0"/>
    <n v="0"/>
    <n v="10.778963332379348"/>
    <n v="0"/>
    <n v="0"/>
    <n v="4377.1917430979702"/>
    <n v="0"/>
    <n v="0"/>
    <n v="12.194361113681182"/>
    <n v="726.62178713506455"/>
    <n v="0"/>
    <n v="-388.41146994981136"/>
    <m/>
    <n v="0"/>
    <n v="0"/>
    <n v="0"/>
    <n v="0"/>
    <n v="-50.945593764448859"/>
    <n v="-11.191626931129406"/>
    <n v="0"/>
    <n v="0"/>
    <m/>
    <m/>
    <m/>
    <n v="57190.415110710594"/>
    <n v="0"/>
    <n v="0"/>
    <n v="-41211.135249999999"/>
    <n v="4376.6292699999976"/>
    <n v="0"/>
    <n v="0"/>
    <n v="-42018.35944454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71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6.1449999999999996"/>
    <n v="5.7763"/>
    <n v="6.1449999999999996"/>
    <n v="5.7763"/>
    <m/>
    <n v="2592.54"/>
    <n v="216.76"/>
    <m/>
    <n v="17263.148499999999"/>
    <n v="17263.148499999999"/>
    <n v="7258.4739999999993"/>
    <n v="0"/>
    <n v="324.03345030999077"/>
    <n v="0"/>
    <n v="0"/>
    <n v="0"/>
    <n v="31.073023347424932"/>
    <n v="14077.528294622984"/>
    <n v="1312.5812225612431"/>
    <n v="19.402252105499752"/>
    <n v="0"/>
    <n v="0"/>
    <n v="0"/>
    <n v="0"/>
    <n v="57.600978831911227"/>
    <m/>
    <n v="8.4384503975014091"/>
    <n v="277.23088561841632"/>
    <n v="1052.028600911229"/>
    <n v="0"/>
    <n v="0"/>
    <n v="0"/>
    <n v="0"/>
    <n v="0"/>
    <n v="0"/>
    <n v="0"/>
    <n v="0"/>
    <n v="0"/>
    <n v="0"/>
    <m/>
    <n v="0"/>
    <n v="0"/>
    <n v="2.8101005020057044"/>
    <n v="0"/>
    <n v="0"/>
    <n v="100.38568370225296"/>
    <n v="0"/>
    <n v="0"/>
    <n v="0"/>
    <n v="0"/>
    <n v="0"/>
    <m/>
    <m/>
    <m/>
    <m/>
    <n v="435.5084399999995"/>
    <m/>
    <m/>
    <m/>
    <m/>
    <n v="1415.7770067655017"/>
    <m/>
    <m/>
    <m/>
    <m/>
    <m/>
    <m/>
    <m/>
    <m/>
    <m/>
    <m/>
    <m/>
    <m/>
    <n v="6827.3359999999993"/>
    <n v="-9400.0535900000013"/>
    <m/>
    <m/>
    <m/>
    <m/>
    <n v="-10205.18585"/>
    <n v="200.51134999999996"/>
    <m/>
    <n v="338.27430870296757"/>
    <n v="28.59678840005796"/>
    <n v="108.51835366018668"/>
    <n v="0"/>
    <n v="0"/>
    <n v="0"/>
    <n v="0"/>
    <n v="0"/>
    <n v="3.03816670441498"/>
    <n v="0"/>
    <n v="0"/>
    <n v="200.53711920119463"/>
    <n v="0"/>
    <n v="0"/>
    <n v="0.4293292099962005"/>
    <n v="15.336998177842958"/>
    <n v="0"/>
    <n v="-15.481409539116385"/>
    <m/>
    <n v="0"/>
    <n v="0"/>
    <n v="0"/>
    <n v="0"/>
    <n v="-2.3340267480003405"/>
    <n v="-0.36701036360942751"/>
    <n v="0"/>
    <n v="0"/>
    <m/>
    <m/>
    <m/>
    <n v="14077.528294622984"/>
    <n v="0"/>
    <n v="0"/>
    <n v="-10205.18585"/>
    <n v="200.51134999999977"/>
    <n v="0"/>
    <n v="0"/>
    <n v="-10342.898243160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72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10.89100000000001"/>
    <n v="104.23754"/>
    <n v="110.89100000000001"/>
    <n v="104.23754"/>
    <m/>
    <n v="80.27"/>
    <n v="216.76"/>
    <m/>
    <n v="32937.953730000001"/>
    <n v="32937.953730000001"/>
    <n v="36513.079570000002"/>
    <n v="0"/>
    <n v="5847.4195831285906"/>
    <n v="0"/>
    <n v="0"/>
    <n v="0"/>
    <n v="0"/>
    <n v="0"/>
    <n v="23686.48402783382"/>
    <n v="350.12776862993866"/>
    <n v="0"/>
    <n v="0"/>
    <n v="0"/>
    <n v="0"/>
    <n v="1039.4516100324604"/>
    <m/>
    <n v="152.2779825922423"/>
    <n v="0"/>
    <n v="0"/>
    <n v="0"/>
    <n v="0"/>
    <n v="0"/>
    <n v="0"/>
    <n v="0"/>
    <n v="0"/>
    <n v="0"/>
    <n v="0"/>
    <n v="0"/>
    <n v="0"/>
    <m/>
    <n v="0"/>
    <n v="0"/>
    <n v="50.710309970368527"/>
    <n v="0"/>
    <n v="0"/>
    <n v="1811.5327667089559"/>
    <n v="0"/>
    <n v="0"/>
    <n v="0"/>
    <n v="0"/>
    <n v="0"/>
    <m/>
    <m/>
    <m/>
    <m/>
    <n v="2190.7847742000031"/>
    <m/>
    <m/>
    <m/>
    <m/>
    <n v="25548.727104513142"/>
    <m/>
    <m/>
    <m/>
    <m/>
    <m/>
    <m/>
    <m/>
    <m/>
    <m/>
    <m/>
    <m/>
    <m/>
    <n v="34323.104799999994"/>
    <n v="3361.3982938000008"/>
    <m/>
    <m/>
    <m/>
    <m/>
    <n v="-43.247490000000063"/>
    <n v="3618.3733299999999"/>
    <m/>
    <n v="3575.2377224017764"/>
    <n v="0"/>
    <n v="0"/>
    <n v="0"/>
    <n v="0"/>
    <n v="0"/>
    <n v="0"/>
    <n v="0"/>
    <n v="0"/>
    <n v="0"/>
    <n v="0"/>
    <n v="3618.8383540015748"/>
    <n v="0"/>
    <n v="0"/>
    <n v="7.7475582466539734"/>
    <n v="276.76730104787384"/>
    <n v="0"/>
    <n v="-279.37330922736419"/>
    <m/>
    <n v="0"/>
    <n v="0"/>
    <n v="0"/>
    <n v="0"/>
    <n v="-42.11921238608727"/>
    <n v="-6.6229692808809091"/>
    <n v="0"/>
    <n v="0"/>
    <m/>
    <m/>
    <m/>
    <n v="0"/>
    <n v="0"/>
    <n v="0"/>
    <n v="-43.247489999999743"/>
    <n v="3618.37332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73"/>
    <s v="Regular"/>
    <s v="Verde"/>
    <s v="A4"/>
    <s v="Serviço público"/>
    <s v="Água, esgoto e saneamento"/>
    <s v="Não se aplica"/>
    <s v="Não se aplica"/>
    <s v="Não se aplica"/>
    <s v="CATIVO"/>
    <x v="5"/>
    <n v="547"/>
    <n v="514.17999999999995"/>
    <n v="0"/>
    <n v="0"/>
    <n v="0"/>
    <n v="0"/>
    <n v="32.17"/>
    <m/>
    <m/>
    <n v="17596.990000000002"/>
    <m/>
    <n v="17596.990000000002"/>
    <n v="7072.71"/>
    <n v="0"/>
    <n v="0"/>
    <n v="0"/>
    <n v="0"/>
    <n v="0"/>
    <n v="54.654175146807646"/>
    <n v="14728.92427938567"/>
    <m/>
    <m/>
    <m/>
    <n v="0"/>
    <n v="0"/>
    <n v="0"/>
    <n v="0"/>
    <m/>
    <n v="0"/>
    <n v="965.1383452083104"/>
    <n v="1850.427245498787"/>
    <n v="0"/>
    <n v="0"/>
    <m/>
    <m/>
    <n v="0"/>
    <n v="0"/>
    <n v="0"/>
    <m/>
    <m/>
    <n v="0"/>
    <m/>
    <n v="0"/>
    <n v="0"/>
    <n v="0"/>
    <n v="0"/>
    <m/>
    <n v="0"/>
    <n v="0"/>
    <n v="271.72000000000003"/>
    <n v="1246.9000000000001"/>
    <n v="26573.27"/>
    <n v="2"/>
    <m/>
    <m/>
    <m/>
    <m/>
    <n v="424.36260000000061"/>
    <m/>
    <m/>
    <m/>
    <m/>
    <n v="0"/>
    <m/>
    <m/>
    <m/>
    <m/>
    <m/>
    <m/>
    <m/>
    <m/>
    <m/>
    <m/>
    <m/>
    <m/>
    <n v="6648.3473999999997"/>
    <n v="-9892.8531999999941"/>
    <m/>
    <m/>
    <m/>
    <m/>
    <n v="-10524.28"/>
    <n v="0"/>
    <m/>
    <n v="295.77369732046691"/>
    <n v="99.555491348441478"/>
    <n v="190.87439074903546"/>
    <n v="0"/>
    <n v="0"/>
    <m/>
    <m/>
    <m/>
    <n v="5.34381522299025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728.92427938567"/>
    <m/>
    <n v="0"/>
    <n v="0"/>
    <n v="-10524.280000000002"/>
    <m/>
    <n v="0"/>
    <m/>
    <n v="-10821.48526819761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74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0.24399999999999999"/>
    <n v="0.24399999999999999"/>
    <n v="0.24399999999999999"/>
    <n v="0.24399999999999999"/>
    <m/>
    <n v="571.87"/>
    <n v="216.76"/>
    <m/>
    <n v="192.42572000000001"/>
    <n v="192.42572000000001"/>
    <n v="125.41843999999999"/>
    <n v="0"/>
    <n v="14.788990558745589"/>
    <n v="0"/>
    <n v="0"/>
    <n v="0"/>
    <n v="0.20054694267998419"/>
    <n v="104.03761518398993"/>
    <n v="52.118766200967187"/>
    <n v="0.77040675569437589"/>
    <n v="0"/>
    <n v="0"/>
    <n v="0"/>
    <n v="0"/>
    <n v="2.2871666126910237"/>
    <m/>
    <n v="0.46810657170185171"/>
    <n v="2.1671342507810927"/>
    <n v="6.7898136480518501"/>
    <n v="0"/>
    <n v="0"/>
    <n v="0"/>
    <n v="0"/>
    <n v="0"/>
    <n v="0"/>
    <n v="0"/>
    <n v="0"/>
    <n v="0"/>
    <n v="0"/>
    <m/>
    <n v="0"/>
    <n v="0"/>
    <n v="0.14519698773905915"/>
    <n v="0"/>
    <n v="0"/>
    <n v="8.6518099418275369"/>
    <n v="0"/>
    <n v="0.71"/>
    <n v="3.29"/>
    <n v="68.790000000000006"/>
    <n v="2"/>
    <m/>
    <m/>
    <m/>
    <m/>
    <m/>
    <m/>
    <m/>
    <m/>
    <m/>
    <n v="60.915773130533786"/>
    <m/>
    <m/>
    <m/>
    <m/>
    <m/>
    <m/>
    <m/>
    <m/>
    <m/>
    <m/>
    <m/>
    <m/>
    <n v="123.36239999999999"/>
    <n v="-69.093319999999991"/>
    <m/>
    <m/>
    <m/>
    <m/>
    <n v="-74.968999999999994"/>
    <n v="7.9617199999999988"/>
    <m/>
    <n v="9.4306746265472157"/>
    <n v="0.22354320106095971"/>
    <n v="0.70037962666402453"/>
    <n v="0"/>
    <n v="0"/>
    <n v="0"/>
    <n v="0"/>
    <n v="0"/>
    <n v="1.960848923872216E-2"/>
    <n v="0"/>
    <n v="0"/>
    <n v="7.9627432197056933"/>
    <n v="0"/>
    <n v="0"/>
    <n v="2.2183301983450338E-2"/>
    <n v="1.3218298508223842"/>
    <n v="0"/>
    <n v="-0.70657649477558238"/>
    <m/>
    <n v="0"/>
    <n v="0"/>
    <n v="0"/>
    <n v="0"/>
    <n v="-9.2677384298142318E-2"/>
    <n v="-2.0359183854316232E-2"/>
    <n v="0"/>
    <n v="0"/>
    <m/>
    <m/>
    <m/>
    <n v="104.03761518398993"/>
    <n v="0"/>
    <n v="0"/>
    <n v="-74.969000000000008"/>
    <n v="7.9617199999999997"/>
    <n v="0"/>
    <n v="0"/>
    <n v="-76.4374572573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75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30.98"/>
    <n v="1522.17"/>
    <n v="1004.78"/>
    <n v="12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76"/>
    <s v="Refaturamento - 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8.02"/>
    <n v="-82.67"/>
    <n v="-4.610000000000000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77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1900000000000004"/>
    <n v="19.329999999999998"/>
    <n v="28.09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78"/>
    <s v="Regular"/>
    <s v="Convencional"/>
    <s v="B2"/>
    <s v="Rural"/>
    <s v="Agropecuária rural"/>
    <s v="IRRIG./AQUIC."/>
    <s v="Não se aplica"/>
    <s v="Não se aplica"/>
    <s v="CATIVO"/>
    <x v="5"/>
    <n v="0"/>
    <n v="0"/>
    <n v="75.697000000000003"/>
    <n v="75.697000000000003"/>
    <n v="75.697000000000003"/>
    <n v="75.697000000000003"/>
    <m/>
    <n v="571.87"/>
    <n v="216.76"/>
    <m/>
    <n v="59696.925109999996"/>
    <n v="59696.925109999996"/>
    <n v="38909.014970000004"/>
    <n v="0"/>
    <n v="4588.0418783826435"/>
    <n v="0"/>
    <n v="0"/>
    <n v="0"/>
    <n v="62.21640131166707"/>
    <n v="32275.96457615773"/>
    <n v="16168.992807846775"/>
    <n v="239.00606633523432"/>
    <n v="0"/>
    <n v="0"/>
    <n v="0"/>
    <n v="0"/>
    <n v="709.55594705275587"/>
    <m/>
    <n v="145.22238999227488"/>
    <n v="672.31787451383764"/>
    <n v="2106.4283758876268"/>
    <n v="0"/>
    <n v="0"/>
    <n v="0"/>
    <n v="0"/>
    <n v="0"/>
    <n v="0"/>
    <n v="0"/>
    <n v="0"/>
    <n v="0"/>
    <n v="0"/>
    <m/>
    <n v="0"/>
    <n v="0"/>
    <n v="45.044985167555581"/>
    <n v="0"/>
    <n v="0"/>
    <n v="2684.0822015021272"/>
    <n v="0"/>
    <n v="0"/>
    <n v="0"/>
    <n v="0"/>
    <n v="0"/>
    <m/>
    <m/>
    <m/>
    <m/>
    <m/>
    <n v="4668.9909599999992"/>
    <m/>
    <m/>
    <m/>
    <n v="18898.119994516455"/>
    <m/>
    <m/>
    <m/>
    <m/>
    <m/>
    <m/>
    <m/>
    <m/>
    <m/>
    <m/>
    <m/>
    <m/>
    <n v="34241.381000000001"/>
    <n v="-18292.367000000013"/>
    <m/>
    <m/>
    <m/>
    <m/>
    <n v="-23257.903249999999"/>
    <n v="2469.9931099999999"/>
    <m/>
    <n v="2925.7122016628782"/>
    <n v="69.350613486522434"/>
    <n v="217.28129753928943"/>
    <n v="0"/>
    <n v="0"/>
    <n v="0"/>
    <n v="0"/>
    <n v="0"/>
    <n v="6.0832123356702823"/>
    <n v="0"/>
    <n v="0"/>
    <n v="2470.3105471395975"/>
    <n v="0"/>
    <n v="0"/>
    <n v="6.8820057796772076"/>
    <n v="410.0760418758282"/>
    <n v="0"/>
    <n v="-219.20377428289885"/>
    <m/>
    <n v="0"/>
    <n v="0"/>
    <n v="0"/>
    <n v="0"/>
    <n v="-28.751639177116658"/>
    <n v="-6.3161030336892452"/>
    <n v="0"/>
    <n v="0"/>
    <m/>
    <m/>
    <m/>
    <n v="32275.96457615773"/>
    <n v="0"/>
    <n v="0"/>
    <n v="-23257.903249999999"/>
    <n v="2469.9931100000031"/>
    <n v="0"/>
    <n v="0"/>
    <n v="-23713.468041016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79"/>
    <s v="Refaturamento - Regular"/>
    <s v="Convencional"/>
    <s v="B2"/>
    <s v="Rural"/>
    <s v="Agropecuária rural"/>
    <s v="IRRIG./AQUIC."/>
    <s v="Não se aplica"/>
    <s v="Não se aplica"/>
    <s v="CATIVO"/>
    <x v="5"/>
    <n v="0"/>
    <n v="0"/>
    <n v="-4.4850000000000003"/>
    <n v="-4.4850000000000003"/>
    <n v="-4.4850000000000003"/>
    <n v="-4.4850000000000003"/>
    <m/>
    <n v="571.87"/>
    <n v="216.76"/>
    <m/>
    <n v="-3537.0055500000003"/>
    <n v="-3537.0055500000003"/>
    <n v="-2305.3348500000002"/>
    <n v="0"/>
    <n v="-271.83861744251629"/>
    <n v="0"/>
    <n v="0"/>
    <n v="0"/>
    <n v="-3.686282942293972"/>
    <n v="-1912.3307545089954"/>
    <n v="-958.00273119400754"/>
    <n v="-14.160960242988835"/>
    <n v="0"/>
    <n v="0"/>
    <n v="0"/>
    <n v="0"/>
    <n v="-42.040746958685418"/>
    <m/>
    <n v="-8.6043359593557582"/>
    <n v="-39.834414404726239"/>
    <n v="-124.80456644062521"/>
    <n v="0"/>
    <n v="0"/>
    <n v="0"/>
    <n v="0"/>
    <n v="0"/>
    <n v="0"/>
    <n v="0"/>
    <n v="0"/>
    <n v="0"/>
    <n v="0"/>
    <m/>
    <n v="0"/>
    <n v="0"/>
    <n v="-2.6688872541380344"/>
    <n v="0"/>
    <n v="0"/>
    <n v="-159.03019503728075"/>
    <n v="0"/>
    <n v="0"/>
    <n v="0"/>
    <n v="0"/>
    <n v="0"/>
    <m/>
    <m/>
    <m/>
    <m/>
    <m/>
    <n v="-276.63479999999993"/>
    <m/>
    <m/>
    <m/>
    <n v="-1119.7018134854263"/>
    <m/>
    <m/>
    <m/>
    <m/>
    <m/>
    <m/>
    <m/>
    <m/>
    <m/>
    <m/>
    <m/>
    <m/>
    <n v="-2030.9617000000001"/>
    <n v="1081.5982999999994"/>
    <m/>
    <m/>
    <m/>
    <m/>
    <n v="1378.0162500000001"/>
    <n v="-146.34555"/>
    <m/>
    <n v="-173.34662172157505"/>
    <n v="-4.1089805604852643"/>
    <n v="-12.873781252410438"/>
    <n v="0"/>
    <n v="0"/>
    <n v="0"/>
    <n v="0"/>
    <n v="0"/>
    <n v="-0.36042653375274103"/>
    <n v="0"/>
    <n v="0"/>
    <n v="-146.3643579523773"/>
    <n v="0"/>
    <n v="0"/>
    <n v="-0.40775454670399469"/>
    <n v="-24.296749512042624"/>
    <n v="0"/>
    <n v="12.987686799461017"/>
    <m/>
    <n v="0"/>
    <n v="0"/>
    <n v="0"/>
    <n v="0"/>
    <n v="1.7035166744965906"/>
    <n v="0.37422516224019731"/>
    <n v="0"/>
    <n v="0"/>
    <m/>
    <m/>
    <m/>
    <n v="-1912.3307545089954"/>
    <n v="0"/>
    <n v="0"/>
    <n v="1378.0162500000001"/>
    <n v="-146.34554999999989"/>
    <n v="0"/>
    <n v="0"/>
    <n v="1405.0081795045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0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1.5860000000000001"/>
    <n v="1.5860000000000001"/>
    <n v="1.5860000000000001"/>
    <n v="1.5860000000000001"/>
    <m/>
    <n v="571.87"/>
    <n v="216.76"/>
    <m/>
    <n v="1250.7671800000001"/>
    <n v="1250.7671800000001"/>
    <n v="815.21985999999993"/>
    <n v="0"/>
    <n v="96.128438631846336"/>
    <n v="0"/>
    <n v="0"/>
    <n v="0"/>
    <n v="1.3035551274198973"/>
    <n v="676.24449869593457"/>
    <n v="338.77198030628671"/>
    <n v="5.0076439120134433"/>
    <n v="0"/>
    <n v="0"/>
    <n v="0"/>
    <n v="0"/>
    <n v="14.866582982491655"/>
    <m/>
    <n v="3.0426927160620361"/>
    <n v="14.086372630077104"/>
    <n v="44.133788712337029"/>
    <n v="0"/>
    <n v="0"/>
    <n v="0"/>
    <n v="0"/>
    <n v="0"/>
    <n v="0"/>
    <n v="0"/>
    <n v="0"/>
    <n v="0"/>
    <n v="0"/>
    <m/>
    <n v="0"/>
    <n v="0"/>
    <n v="0.94378042030388465"/>
    <n v="0"/>
    <n v="0"/>
    <n v="56.23676462187899"/>
    <n v="0"/>
    <n v="0"/>
    <n v="0"/>
    <n v="0"/>
    <n v="0"/>
    <m/>
    <m/>
    <m/>
    <m/>
    <m/>
    <n v="97.824479999999966"/>
    <m/>
    <m/>
    <m/>
    <n v="395.95252534846958"/>
    <m/>
    <m/>
    <m/>
    <m/>
    <m/>
    <m/>
    <m/>
    <m/>
    <m/>
    <m/>
    <m/>
    <m/>
    <n v="719.2047"/>
    <n v="-381.50929999999994"/>
    <m/>
    <m/>
    <m/>
    <m/>
    <n v="-487.29850000000005"/>
    <n v="51.751179999999998"/>
    <m/>
    <n v="61.299385072556788"/>
    <n v="1.453030806896237"/>
    <n v="4.5524675733161573"/>
    <n v="0"/>
    <n v="0"/>
    <n v="0"/>
    <n v="0"/>
    <n v="0"/>
    <n v="0.12745518005169387"/>
    <n v="0"/>
    <n v="0"/>
    <n v="51.75783092808706"/>
    <n v="0"/>
    <n v="0"/>
    <n v="0.14419146289242701"/>
    <n v="8.5918940303455003"/>
    <n v="0"/>
    <n v="-4.592747216041289"/>
    <m/>
    <n v="0"/>
    <n v="0"/>
    <n v="0"/>
    <n v="0"/>
    <n v="-0.60240299793792396"/>
    <n v="-0.13233469505305528"/>
    <n v="0"/>
    <n v="0"/>
    <m/>
    <m/>
    <m/>
    <n v="676.24449869593457"/>
    <n v="0"/>
    <n v="0"/>
    <n v="-487.2985000000001"/>
    <n v="51.751179999999977"/>
    <n v="0"/>
    <n v="0"/>
    <n v="-496.8434721726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97.798000000000002"/>
    <n v="39.119199999999999"/>
    <n v="97.798000000000002"/>
    <n v="39.119199999999999"/>
    <m/>
    <n v="571.87"/>
    <n v="216.76"/>
    <m/>
    <n v="77126.436740000005"/>
    <n v="77126.436740000005"/>
    <n v="50269.149980000002"/>
    <n v="0"/>
    <n v="5927.5971256729554"/>
    <n v="0"/>
    <n v="0"/>
    <n v="0"/>
    <n v="80.381515984496289"/>
    <n v="41699.470040015767"/>
    <n v="20889.799577549955"/>
    <n v="308.78786841556791"/>
    <n v="0"/>
    <n v="0"/>
    <n v="0"/>
    <n v="0"/>
    <n v="916.72262454080635"/>
    <m/>
    <n v="187.62248565285941"/>
    <n v="868.61227646675945"/>
    <n v="2721.4352260335036"/>
    <n v="0"/>
    <n v="0"/>
    <n v="0"/>
    <n v="0"/>
    <n v="0"/>
    <n v="0"/>
    <n v="0"/>
    <n v="0"/>
    <n v="0"/>
    <n v="0"/>
    <m/>
    <n v="0"/>
    <n v="0"/>
    <n v="58.196618880756184"/>
    <n v="0"/>
    <n v="0"/>
    <n v="3467.744707749383"/>
    <n v="0"/>
    <n v="0"/>
    <n v="0"/>
    <n v="0"/>
    <n v="0"/>
    <m/>
    <m/>
    <m/>
    <m/>
    <m/>
    <m/>
    <n v="32574.362243999996"/>
    <m/>
    <m/>
    <n v="24415.740904180093"/>
    <m/>
    <m/>
    <m/>
    <m/>
    <m/>
    <m/>
    <m/>
    <m/>
    <m/>
    <m/>
    <m/>
    <m/>
    <n v="17695.149600000001"/>
    <n v="-9453.6051999999909"/>
    <m/>
    <m/>
    <m/>
    <m/>
    <n v="-30048.4355"/>
    <n v="3191.1487399999996"/>
    <m/>
    <n v="3779.9226111764874"/>
    <n v="89.598680235080906"/>
    <n v="280.72019151019776"/>
    <n v="0"/>
    <n v="0"/>
    <n v="0"/>
    <n v="0"/>
    <n v="0"/>
    <n v="7.8593075023301111"/>
    <n v="0"/>
    <n v="0"/>
    <n v="3191.5588581999073"/>
    <n v="0"/>
    <n v="0"/>
    <n v="8.8913219974486637"/>
    <n v="529.8045727488834"/>
    <n v="0"/>
    <n v="-283.20396736091152"/>
    <m/>
    <n v="0"/>
    <n v="0"/>
    <n v="0"/>
    <n v="0"/>
    <n v="-37.146159137662721"/>
    <n v="-8.1601945187886145"/>
    <n v="0"/>
    <n v="0"/>
    <m/>
    <m/>
    <m/>
    <n v="41699.470040015767"/>
    <n v="0"/>
    <n v="0"/>
    <n v="-30048.4355"/>
    <n v="3191.1487400000005"/>
    <n v="0"/>
    <n v="0"/>
    <n v="-30637.010019885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2"/>
    <s v="Refaturamento - Regular"/>
    <s v="Convencional"/>
    <s v="B2"/>
    <s v="Rural"/>
    <s v="Agropecuária rural"/>
    <s v="IRRIG./AQUIC. PR"/>
    <s v="Não se aplica"/>
    <s v="Não se aplica"/>
    <s v="CATIVO"/>
    <x v="5"/>
    <n v="0"/>
    <n v="0"/>
    <n v="-2.8180000000000001"/>
    <n v="-1.1272"/>
    <n v="-2.8180000000000001"/>
    <n v="-1.1272"/>
    <m/>
    <n v="571.87"/>
    <n v="216.76"/>
    <m/>
    <n v="-2222.35934"/>
    <n v="-2222.35934"/>
    <n v="-1448.48018"/>
    <n v="0"/>
    <n v="-170.80071883010277"/>
    <n v="0"/>
    <n v="0"/>
    <n v="0"/>
    <n v="-2.3161528052139158"/>
    <n v="-1201.5491786413263"/>
    <n v="-601.92902932100628"/>
    <n v="-8.8975665473227501"/>
    <n v="0"/>
    <n v="0"/>
    <n v="0"/>
    <n v="0"/>
    <n v="-26.414899649849609"/>
    <m/>
    <n v="-5.4062472092451559"/>
    <n v="-25.028624256971803"/>
    <n v="-78.416782213975878"/>
    <n v="0"/>
    <n v="0"/>
    <n v="0"/>
    <n v="0"/>
    <n v="0"/>
    <n v="0"/>
    <n v="0"/>
    <n v="0"/>
    <n v="0"/>
    <n v="0"/>
    <m/>
    <n v="0"/>
    <n v="0"/>
    <n v="-1.6769061944617571"/>
    <n v="0"/>
    <n v="0"/>
    <n v="-99.921313180614746"/>
    <n v="0"/>
    <n v="0"/>
    <n v="0"/>
    <n v="0"/>
    <n v="0"/>
    <m/>
    <m/>
    <m/>
    <m/>
    <m/>
    <m/>
    <n v="-938.61380400000007"/>
    <m/>
    <m/>
    <n v="-703.52724869608278"/>
    <m/>
    <m/>
    <m/>
    <m/>
    <m/>
    <m/>
    <m/>
    <m/>
    <m/>
    <m/>
    <m/>
    <m/>
    <n v="-511.13289999999995"/>
    <n v="271.11389999999994"/>
    <m/>
    <m/>
    <m/>
    <m/>
    <n v="865.83050000000003"/>
    <n v="-91.951339999999988"/>
    <m/>
    <n v="-108.91656187545038"/>
    <n v="-2.5817407401220649"/>
    <n v="-8.0888106063082859"/>
    <n v="0"/>
    <n v="0"/>
    <n v="0"/>
    <n v="0"/>
    <n v="0"/>
    <n v="-0.22646197817507785"/>
    <n v="0"/>
    <n v="0"/>
    <n v="-91.963157348896061"/>
    <n v="0"/>
    <n v="0"/>
    <n v="-0.25619895487443856"/>
    <n v="-15.266051309907709"/>
    <n v="0"/>
    <n v="8.16037935359671"/>
    <m/>
    <n v="0"/>
    <n v="0"/>
    <n v="0"/>
    <n v="0"/>
    <n v="1.0703478235744441"/>
    <n v="0.23513188566173326"/>
    <n v="0"/>
    <n v="0"/>
    <m/>
    <m/>
    <m/>
    <n v="-1201.5491786413263"/>
    <n v="0"/>
    <n v="0"/>
    <n v="865.83050000000014"/>
    <n v="-91.951340000000073"/>
    <n v="0"/>
    <n v="0"/>
    <n v="882.7899776686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3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0.10299999999999999"/>
    <n v="4.1200000000000001E-2"/>
    <n v="0.10299999999999999"/>
    <n v="4.1200000000000001E-2"/>
    <m/>
    <n v="571.87"/>
    <n v="216.76"/>
    <m/>
    <n v="81.228889999999993"/>
    <n v="81.228889999999993"/>
    <n v="52.943029999999993"/>
    <n v="0"/>
    <n v="6.2428935555360479"/>
    <n v="0"/>
    <n v="0"/>
    <n v="0"/>
    <n v="8.4657111049337583E-2"/>
    <n v="43.91751788504493"/>
    <n v="22.000954584834506"/>
    <n v="0.32521268785459306"/>
    <n v="0"/>
    <n v="0"/>
    <n v="0"/>
    <n v="0"/>
    <n v="0.96548426683268618"/>
    <m/>
    <n v="0.19760236428397837"/>
    <n v="0.91481486815759239"/>
    <n v="2.8661918268415594"/>
    <n v="0"/>
    <n v="0"/>
    <n v="0"/>
    <n v="0"/>
    <n v="0"/>
    <n v="0"/>
    <n v="0"/>
    <n v="0"/>
    <n v="0"/>
    <n v="0"/>
    <m/>
    <n v="0"/>
    <n v="0"/>
    <n v="6.1292171053783165E-2"/>
    <n v="0"/>
    <n v="0"/>
    <n v="3.6521984590501484"/>
    <n v="0"/>
    <n v="0"/>
    <n v="0"/>
    <n v="0"/>
    <n v="0"/>
    <m/>
    <m/>
    <m/>
    <m/>
    <m/>
    <m/>
    <n v="34.307033999999987"/>
    <m/>
    <m/>
    <n v="25.714445214938436"/>
    <m/>
    <m/>
    <m/>
    <m/>
    <m/>
    <m/>
    <m/>
    <m/>
    <m/>
    <m/>
    <m/>
    <m/>
    <n v="18.093200000000003"/>
    <n v="-10.529600000000006"/>
    <m/>
    <m/>
    <m/>
    <m/>
    <n v="-31.646749999999997"/>
    <n v="3.3608899999999995"/>
    <m/>
    <n v="3.980981502190005"/>
    <n v="9.4364547988847636E-2"/>
    <n v="0.29565205551801066"/>
    <n v="0"/>
    <n v="0"/>
    <n v="0"/>
    <n v="0"/>
    <n v="0"/>
    <n v="8.2773540638868132E-3"/>
    <n v="0"/>
    <n v="0"/>
    <n v="3.3613219329085524"/>
    <n v="0"/>
    <n v="0"/>
    <n v="9.3642627225220681E-3"/>
    <n v="0.55798555178158082"/>
    <n v="0"/>
    <n v="-0.2982679465651028"/>
    <m/>
    <n v="0"/>
    <n v="0"/>
    <n v="0"/>
    <n v="0"/>
    <n v="-3.9122010584871525E-2"/>
    <n v="-8.5942456434203729E-3"/>
    <n v="0"/>
    <n v="0"/>
    <m/>
    <m/>
    <m/>
    <n v="43.91751788504493"/>
    <n v="0"/>
    <n v="0"/>
    <n v="-31.646749999999997"/>
    <n v="3.3608900000000013"/>
    <n v="0"/>
    <n v="0"/>
    <n v="-32.266631547150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4"/>
    <s v="Regular"/>
    <s v="Verde"/>
    <s v="A4"/>
    <s v="Rural"/>
    <s v="Agropecuária rural"/>
    <s v="Não se aplica"/>
    <s v="Não se aplica"/>
    <s v="Ponta"/>
    <s v="CATIVO"/>
    <x v="5"/>
    <n v="0"/>
    <n v="0"/>
    <n v="1.823"/>
    <n v="1.7500800000000001"/>
    <n v="1.823"/>
    <n v="1.7500800000000001"/>
    <m/>
    <n v="2592.54"/>
    <n v="216.76"/>
    <m/>
    <n v="5121.3539000000001"/>
    <n v="5121.3539000000001"/>
    <n v="2153.3275999999996"/>
    <n v="0"/>
    <n v="96.129044738016788"/>
    <n v="0"/>
    <n v="0"/>
    <n v="0"/>
    <n v="9.2182459824826122"/>
    <n v="4176.2952125464117"/>
    <n v="389.39553600148844"/>
    <n v="5.7559488345526519"/>
    <n v="0"/>
    <n v="0"/>
    <n v="0"/>
    <n v="0"/>
    <n v="17.088134159572689"/>
    <m/>
    <n v="2.5033840642221432"/>
    <n v="82.244410818937837"/>
    <n v="312.09896492451924"/>
    <n v="0"/>
    <n v="0"/>
    <n v="0"/>
    <n v="0"/>
    <n v="0"/>
    <n v="0"/>
    <n v="0"/>
    <n v="0"/>
    <n v="0"/>
    <n v="0"/>
    <m/>
    <n v="0"/>
    <n v="0"/>
    <n v="0.83365552728338477"/>
    <n v="0"/>
    <n v="0"/>
    <n v="29.780813895721263"/>
    <n v="0"/>
    <n v="0"/>
    <n v="0"/>
    <n v="0"/>
    <n v="0"/>
    <m/>
    <m/>
    <m/>
    <m/>
    <m/>
    <n v="86.133103999999847"/>
    <m/>
    <m/>
    <m/>
    <n v="420.0100054244931"/>
    <m/>
    <m/>
    <m/>
    <m/>
    <m/>
    <m/>
    <m/>
    <m/>
    <m/>
    <m/>
    <m/>
    <m/>
    <n v="2067.1"/>
    <n v="-2849.4297440000005"/>
    <m/>
    <m/>
    <m/>
    <m/>
    <n v="-3027.5107899999998"/>
    <n v="59.484489999999987"/>
    <m/>
    <n v="100.35379410341909"/>
    <n v="8.4836363308878191"/>
    <n v="32.193483925552471"/>
    <n v="0"/>
    <n v="0"/>
    <n v="0"/>
    <n v="0"/>
    <n v="0"/>
    <n v="0.90131454876297923"/>
    <n v="0"/>
    <n v="0"/>
    <n v="59.492134793129026"/>
    <n v="0"/>
    <n v="0"/>
    <n v="0.12736650119171256"/>
    <n v="4.5499345285936066"/>
    <n v="0"/>
    <n v="-4.5927761740942543"/>
    <m/>
    <n v="0"/>
    <n v="0"/>
    <n v="0"/>
    <n v="0"/>
    <n v="-0.69242160481767812"/>
    <n v="-0.10887874578681656"/>
    <n v="0"/>
    <n v="0"/>
    <m/>
    <m/>
    <m/>
    <n v="4176.2952125464117"/>
    <n v="0"/>
    <n v="0"/>
    <n v="-3027.5107900000003"/>
    <n v="59.484489999999994"/>
    <n v="0"/>
    <n v="0"/>
    <n v="-3068.365093129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5"/>
    <s v="Regular"/>
    <s v="Verde"/>
    <s v="A4"/>
    <s v="Rural"/>
    <s v="Agropecuária rural"/>
    <s v="Não se aplica"/>
    <s v="Não se aplica"/>
    <s v="Fora ponta"/>
    <s v="CATIVO"/>
    <x v="5"/>
    <n v="0"/>
    <n v="0"/>
    <n v="259.827"/>
    <n v="249.43392"/>
    <n v="259.827"/>
    <n v="249.43392"/>
    <m/>
    <n v="80.27"/>
    <n v="216.76"/>
    <m/>
    <n v="77176.413809999998"/>
    <n v="77176.413809999998"/>
    <n v="85553.236290000001"/>
    <n v="0"/>
    <n v="13700.999071390394"/>
    <n v="0"/>
    <n v="0"/>
    <n v="0"/>
    <n v="0"/>
    <n v="0"/>
    <n v="55499.43715450287"/>
    <n v="820.37900045820732"/>
    <n v="0"/>
    <n v="0"/>
    <n v="0"/>
    <n v="0"/>
    <n v="2435.5231126052076"/>
    <m/>
    <n v="356.80020365038223"/>
    <n v="0"/>
    <n v="0"/>
    <n v="0"/>
    <n v="0"/>
    <n v="0"/>
    <n v="0"/>
    <n v="0"/>
    <n v="0"/>
    <n v="0"/>
    <n v="0"/>
    <n v="0"/>
    <n v="0"/>
    <m/>
    <n v="0"/>
    <n v="0"/>
    <n v="118.81854892345585"/>
    <n v="0"/>
    <n v="0"/>
    <n v="4244.5746199032192"/>
    <n v="0"/>
    <n v="0"/>
    <n v="0"/>
    <n v="0"/>
    <n v="0"/>
    <m/>
    <m/>
    <m/>
    <m/>
    <m/>
    <n v="3422.1294515999989"/>
    <m/>
    <m/>
    <m/>
    <n v="59862.830323329545"/>
    <m/>
    <m/>
    <m/>
    <m/>
    <m/>
    <m/>
    <m/>
    <m/>
    <m/>
    <m/>
    <m/>
    <m/>
    <n v="82129.816099999996"/>
    <n v="8040.4288424000115"/>
    <m/>
    <m/>
    <m/>
    <m/>
    <n v="-101.33253000000015"/>
    <n v="8478.1550099999986"/>
    <m/>
    <n v="8377.0846299382538"/>
    <n v="0"/>
    <n v="0"/>
    <n v="0"/>
    <n v="0"/>
    <n v="0"/>
    <n v="0"/>
    <n v="0"/>
    <n v="0"/>
    <n v="0"/>
    <n v="0"/>
    <n v="8479.2446006002938"/>
    <n v="0"/>
    <n v="0"/>
    <n v="18.153184808085072"/>
    <n v="648.48921489900749"/>
    <n v="0"/>
    <n v="-654.59531266395243"/>
    <m/>
    <n v="0"/>
    <n v="0"/>
    <n v="0"/>
    <n v="0"/>
    <n v="-98.688880041120683"/>
    <n v="-15.518177664043435"/>
    <n v="0"/>
    <n v="0"/>
    <m/>
    <m/>
    <m/>
    <n v="0"/>
    <n v="0"/>
    <n v="0"/>
    <n v="-101.33252999999968"/>
    <n v="8478.15500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6"/>
    <s v="Regular"/>
    <s v="Verde"/>
    <s v="A4"/>
    <s v="Rural"/>
    <s v="Agropecuária rural"/>
    <s v="Não se aplica"/>
    <s v="Não se aplica"/>
    <s v="Não se aplica"/>
    <s v="CATIVO"/>
    <x v="5"/>
    <n v="2376"/>
    <n v="2280.96"/>
    <n v="0"/>
    <n v="0"/>
    <n v="0"/>
    <n v="0"/>
    <n v="32.17"/>
    <m/>
    <m/>
    <n v="76435.92"/>
    <m/>
    <n v="76435.92"/>
    <n v="30721.68"/>
    <n v="0"/>
    <n v="0"/>
    <n v="0"/>
    <n v="0"/>
    <n v="0"/>
    <n v="237.40095091191037"/>
    <n v="63977.923378099367"/>
    <m/>
    <m/>
    <m/>
    <n v="0"/>
    <n v="0"/>
    <n v="0"/>
    <n v="0"/>
    <m/>
    <n v="0"/>
    <n v="4192.2645488390226"/>
    <n v="8037.6876330989362"/>
    <n v="0"/>
    <n v="0"/>
    <m/>
    <m/>
    <n v="0"/>
    <n v="0"/>
    <n v="0"/>
    <m/>
    <m/>
    <n v="0"/>
    <m/>
    <n v="0"/>
    <n v="0"/>
    <n v="0"/>
    <n v="0"/>
    <m/>
    <n v="0"/>
    <n v="0"/>
    <n v="865.92"/>
    <n v="3973.72"/>
    <n v="64.959999999999994"/>
    <n v="12"/>
    <m/>
    <m/>
    <m/>
    <m/>
    <m/>
    <n v="1228.8671999999995"/>
    <m/>
    <m/>
    <m/>
    <n v="0"/>
    <m/>
    <m/>
    <m/>
    <m/>
    <m/>
    <m/>
    <m/>
    <m/>
    <m/>
    <m/>
    <m/>
    <m/>
    <n v="29492.8128"/>
    <n v="-43885.700399999987"/>
    <m/>
    <m/>
    <m/>
    <m/>
    <n v="-45714.240000000005"/>
    <n v="0"/>
    <m/>
    <n v="1284.7501002439312"/>
    <n v="432.43847795959209"/>
    <n v="829.0997302005635"/>
    <n v="0"/>
    <n v="0"/>
    <m/>
    <m/>
    <m/>
    <n v="23.211892083774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977.923378099367"/>
    <m/>
    <n v="0"/>
    <n v="0"/>
    <n v="-45714.239999999998"/>
    <m/>
    <n v="0"/>
    <m/>
    <n v="-47005.208404456193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287"/>
    <s v="Regular"/>
    <s v="Verde"/>
    <s v="A4"/>
    <s v="Rural"/>
    <s v="Agropecuária rural"/>
    <s v="IRRIG./AQUIC. PR"/>
    <s v="Não se aplica"/>
    <s v="Fora ponta"/>
    <s v="CATIVO"/>
    <x v="5"/>
    <n v="0"/>
    <n v="0"/>
    <n v="339.60599999999999"/>
    <n v="101.8818"/>
    <n v="339.60599999999999"/>
    <n v="101.8818"/>
    <m/>
    <n v="80.27"/>
    <n v="216.76"/>
    <m/>
    <n v="100873.17018"/>
    <n v="100873.17018"/>
    <n v="111822.06761999999"/>
    <n v="0"/>
    <n v="17907.844414316474"/>
    <n v="0"/>
    <n v="0"/>
    <n v="0"/>
    <n v="0"/>
    <n v="0"/>
    <n v="72540.351288711725"/>
    <n v="1072.2735929276403"/>
    <n v="0"/>
    <n v="0"/>
    <n v="0"/>
    <n v="0"/>
    <n v="3183.3422322522451"/>
    <m/>
    <n v="466.35449726507142"/>
    <n v="0"/>
    <n v="0"/>
    <n v="0"/>
    <n v="0"/>
    <n v="0"/>
    <n v="0"/>
    <n v="0"/>
    <n v="0"/>
    <n v="0"/>
    <n v="0"/>
    <n v="0"/>
    <n v="0"/>
    <m/>
    <n v="0"/>
    <n v="0"/>
    <n v="155.3013817874938"/>
    <n v="0"/>
    <n v="0"/>
    <n v="5547.8568754088401"/>
    <n v="0"/>
    <n v="0"/>
    <n v="0"/>
    <n v="0"/>
    <n v="0"/>
    <m/>
    <m/>
    <m/>
    <m/>
    <m/>
    <m/>
    <n v="78275.447333999997"/>
    <m/>
    <m/>
    <n v="78243.509545908048"/>
    <m/>
    <m/>
    <m/>
    <m/>
    <m/>
    <m/>
    <m/>
    <m/>
    <m/>
    <m/>
    <m/>
    <m/>
    <n v="33546.027599999994"/>
    <n v="3284.0465459999978"/>
    <m/>
    <m/>
    <m/>
    <m/>
    <n v="-132.44634000000019"/>
    <n v="11081.343779999997"/>
    <m/>
    <n v="10949.240082188611"/>
    <n v="0"/>
    <n v="0"/>
    <n v="0"/>
    <n v="0"/>
    <n v="0"/>
    <n v="0"/>
    <n v="0"/>
    <n v="0"/>
    <n v="0"/>
    <n v="0"/>
    <n v="11082.767925702341"/>
    <n v="0"/>
    <n v="0"/>
    <n v="23.727058696496272"/>
    <n v="847.60563111221018"/>
    <n v="0"/>
    <n v="-855.58658550710607"/>
    <m/>
    <n v="0"/>
    <n v="0"/>
    <n v="0"/>
    <n v="0"/>
    <n v="-128.99096627850349"/>
    <n v="-20.282981536850059"/>
    <n v="0"/>
    <n v="0"/>
    <m/>
    <m/>
    <m/>
    <n v="0"/>
    <n v="0"/>
    <n v="0"/>
    <n v="-132.4463399999986"/>
    <n v="11081.34377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88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27"/>
    <n v="61.14"/>
    <n v="59.15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289"/>
    <s v="Regular"/>
    <s v="Convencional"/>
    <s v="B2"/>
    <s v="Rural"/>
    <s v="Aquicultura"/>
    <s v="IRRIG./AQUIC."/>
    <s v="Não se aplica"/>
    <s v="Não se aplica"/>
    <s v="CATIVO"/>
    <x v="5"/>
    <n v="0"/>
    <n v="0"/>
    <n v="4.0990000000000002"/>
    <n v="4.0990000000000002"/>
    <n v="4.0990000000000002"/>
    <n v="4.0990000000000002"/>
    <m/>
    <n v="571.87"/>
    <n v="216.76"/>
    <m/>
    <n v="3232.5943700000003"/>
    <n v="3232.5943700000003"/>
    <n v="2106.9269899999999"/>
    <n v="0"/>
    <n v="248.4429192635171"/>
    <n v="0"/>
    <n v="0"/>
    <n v="0"/>
    <n v="3.3690242542838331"/>
    <n v="1747.7466583572736"/>
    <n v="875.55255187608407"/>
    <n v="12.942202014718225"/>
    <n v="0"/>
    <n v="0"/>
    <n v="0"/>
    <n v="0"/>
    <n v="38.422524366477489"/>
    <m/>
    <n v="7.8638067106798779"/>
    <n v="36.406079073572542"/>
    <n v="114.06330386624809"/>
    <n v="0"/>
    <n v="0"/>
    <n v="0"/>
    <n v="0"/>
    <n v="0"/>
    <n v="0"/>
    <n v="0"/>
    <n v="0"/>
    <n v="0"/>
    <n v="0"/>
    <m/>
    <n v="0"/>
    <n v="0"/>
    <n v="2.439190380091818"/>
    <n v="0"/>
    <n v="0"/>
    <n v="145.34331537520933"/>
    <n v="0"/>
    <n v="0"/>
    <n v="0"/>
    <n v="0"/>
    <n v="0"/>
    <m/>
    <m/>
    <m/>
    <m/>
    <m/>
    <n v="252.8263199999999"/>
    <m/>
    <m/>
    <m/>
    <n v="1023.3350576313853"/>
    <m/>
    <m/>
    <m/>
    <m/>
    <m/>
    <m/>
    <m/>
    <m/>
    <m/>
    <m/>
    <m/>
    <m/>
    <n v="1854.5529999999999"/>
    <n v="-990.1830000000009"/>
    <m/>
    <m/>
    <m/>
    <m/>
    <n v="-1259.4177500000001"/>
    <n v="133.75036999999998"/>
    <m/>
    <n v="158.42760366482321"/>
    <n v="3.7553425456921019"/>
    <n v="11.765803646294415"/>
    <n v="0"/>
    <n v="0"/>
    <n v="0"/>
    <n v="0"/>
    <n v="0"/>
    <n v="0.32940654667836888"/>
    <n v="0"/>
    <n v="0"/>
    <n v="133.76755925235102"/>
    <n v="0"/>
    <n v="0"/>
    <n v="0.37266129028755257"/>
    <n v="22.205658026725217"/>
    <n v="0"/>
    <n v="-11.869905951168477"/>
    <m/>
    <n v="0"/>
    <n v="0"/>
    <n v="0"/>
    <n v="0"/>
    <n v="-1.5569040911396925"/>
    <n v="-0.34201760089689426"/>
    <n v="0"/>
    <n v="0"/>
    <m/>
    <m/>
    <m/>
    <n v="1747.7466583572736"/>
    <n v="0"/>
    <n v="0"/>
    <n v="-1259.4177500000001"/>
    <n v="133.75036999999998"/>
    <n v="0"/>
    <n v="0"/>
    <n v="-1284.0866282696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0"/>
    <s v="Regular"/>
    <s v="Convencional"/>
    <s v="B2"/>
    <s v="Rural"/>
    <s v="Aquicultura"/>
    <s v="IRRIG./AQUIC. PR"/>
    <s v="Não se aplica"/>
    <s v="Não se aplica"/>
    <s v="CATIVO"/>
    <x v="5"/>
    <n v="0"/>
    <n v="0"/>
    <n v="2.3439999999999999"/>
    <n v="0.93759999999999999"/>
    <n v="2.3439999999999999"/>
    <n v="0.93759999999999999"/>
    <m/>
    <n v="571.87"/>
    <n v="216.76"/>
    <m/>
    <n v="1848.5487199999998"/>
    <n v="1848.5487199999998"/>
    <n v="1204.83944"/>
    <n v="0"/>
    <n v="142.07128635122811"/>
    <n v="0"/>
    <n v="0"/>
    <n v="0"/>
    <n v="1.9265657116470611"/>
    <n v="999.44331963636228"/>
    <n v="500.68191793060276"/>
    <n v="7.4009567022443319"/>
    <n v="0"/>
    <n v="0"/>
    <n v="0"/>
    <n v="0"/>
    <n v="21.971797295687537"/>
    <m/>
    <n v="4.4968926396276245"/>
    <n v="20.818699523897052"/>
    <n v="65.226734389481706"/>
    <n v="0"/>
    <n v="0"/>
    <n v="0"/>
    <n v="0"/>
    <n v="0"/>
    <n v="0"/>
    <n v="0"/>
    <n v="0"/>
    <n v="0"/>
    <n v="0"/>
    <m/>
    <n v="0"/>
    <n v="0"/>
    <n v="1.3948431936899781"/>
    <n v="0"/>
    <n v="0"/>
    <n v="83.114108621490757"/>
    <n v="0"/>
    <n v="0"/>
    <n v="0"/>
    <n v="0"/>
    <n v="0"/>
    <m/>
    <m/>
    <m/>
    <m/>
    <m/>
    <m/>
    <n v="780.73483199999987"/>
    <m/>
    <m/>
    <n v="585.19086974578352"/>
    <m/>
    <m/>
    <m/>
    <m/>
    <m/>
    <m/>
    <m/>
    <m/>
    <m/>
    <m/>
    <m/>
    <m/>
    <n v="425.1902"/>
    <n v="-225.53419999999994"/>
    <m/>
    <m/>
    <m/>
    <m/>
    <n v="-720.19399999999996"/>
    <n v="76.484719999999982"/>
    <m/>
    <n v="90.596316904207356"/>
    <n v="2.1474805872413505"/>
    <n v="6.7282370692642388"/>
    <n v="0"/>
    <n v="0"/>
    <n v="0"/>
    <n v="0"/>
    <n v="0"/>
    <n v="0.18837007694903574"/>
    <n v="0"/>
    <n v="0"/>
    <n v="76.494549618812073"/>
    <n v="0"/>
    <n v="0"/>
    <n v="0.21310516331642448"/>
    <n v="12.698234304621593"/>
    <n v="0"/>
    <n v="-6.7877676383359073"/>
    <m/>
    <n v="0"/>
    <n v="0"/>
    <n v="0"/>
    <n v="0"/>
    <n v="-0.89031060981493937"/>
    <n v="-0.19558166784638242"/>
    <n v="0"/>
    <n v="0"/>
    <m/>
    <m/>
    <m/>
    <n v="999.44331963636228"/>
    <n v="0"/>
    <n v="0"/>
    <n v="-720.19399999999996"/>
    <n v="76.484720000000038"/>
    <n v="0"/>
    <n v="0"/>
    <n v="-734.30081889826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1"/>
    <s v="Regular"/>
    <s v="Convencional"/>
    <s v="B1"/>
    <s v="Residencial"/>
    <s v="Residencial"/>
    <s v="Não se aplica"/>
    <s v="Não se aplica"/>
    <s v="Não se aplica"/>
    <s v="CATIVO"/>
    <x v="6"/>
    <n v="0"/>
    <n v="0"/>
    <n v="1170.7660000000001"/>
    <n v="1170.7660000000001"/>
    <n v="1170.7660000000001"/>
    <n v="1170.7660000000001"/>
    <m/>
    <n v="571.87"/>
    <n v="216.76"/>
    <m/>
    <n v="923301.19058000017"/>
    <n v="923301.19058000017"/>
    <n v="601785.43166"/>
    <n v="0"/>
    <n v="70960.849674181722"/>
    <n v="0"/>
    <n v="0"/>
    <n v="0"/>
    <n v="962.26861431833765"/>
    <n v="499195.5023708982"/>
    <n v="250077.37471328504"/>
    <n v="3696.5821136773839"/>
    <n v="0"/>
    <n v="0"/>
    <n v="0"/>
    <n v="0"/>
    <n v="10974.331583909096"/>
    <m/>
    <n v="2246.078928381517"/>
    <n v="10398.389746926136"/>
    <n v="32579.028547028989"/>
    <n v="0"/>
    <n v="0"/>
    <n v="0"/>
    <n v="0"/>
    <n v="0"/>
    <n v="0"/>
    <n v="0"/>
    <n v="0"/>
    <n v="0"/>
    <n v="0"/>
    <m/>
    <n v="0"/>
    <n v="0"/>
    <n v="696.68728093158745"/>
    <n v="0"/>
    <n v="0"/>
    <n v="41513.298845711717"/>
    <n v="0"/>
    <n v="2774.67"/>
    <n v="12839.09"/>
    <n v="257982.82"/>
    <n v="4515"/>
    <m/>
    <m/>
    <m/>
    <m/>
    <m/>
    <m/>
    <m/>
    <m/>
    <m/>
    <n v="292287.36083992838"/>
    <m/>
    <m/>
    <m/>
    <m/>
    <m/>
    <m/>
    <m/>
    <m/>
    <m/>
    <m/>
    <m/>
    <m/>
    <n v="601787.48769999994"/>
    <n v="-321513.73288000026"/>
    <m/>
    <m/>
    <m/>
    <m/>
    <n v="-359717.85350000003"/>
    <n v="38202.094579999997"/>
    <n v="31"/>
    <n v="45250.463974689133"/>
    <n v="1072.6097513661298"/>
    <n v="3360.5764507825152"/>
    <n v="0"/>
    <n v="0"/>
    <n v="0"/>
    <n v="0"/>
    <n v="0"/>
    <n v="94.085870951072934"/>
    <n v="0"/>
    <n v="0"/>
    <n v="38207.004214598186"/>
    <n v="0"/>
    <n v="0"/>
    <n v="106.44039233588614"/>
    <n v="6342.4321603603239"/>
    <n v="0"/>
    <n v="-3390.3103954197868"/>
    <m/>
    <n v="0"/>
    <n v="0"/>
    <n v="0"/>
    <n v="0"/>
    <n v="-444.68660043114323"/>
    <n v="-97.687869854026303"/>
    <n v="0"/>
    <n v="0"/>
    <m/>
    <m/>
    <m/>
    <n v="499195.5023708982"/>
    <n v="0"/>
    <n v="0"/>
    <n v="-359717.85350000008"/>
    <n v="38202.094579999975"/>
    <n v="0"/>
    <n v="0"/>
    <n v="-366763.836407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2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1.2749999999999999"/>
    <n v="-1.2749999999999999"/>
    <n v="-1.2749999999999999"/>
    <n v="-1.2749999999999999"/>
    <m/>
    <n v="571.87"/>
    <n v="216.76"/>
    <m/>
    <n v="-1005.50325"/>
    <n v="-1005.50325"/>
    <n v="-655.36275000000001"/>
    <n v="0"/>
    <n v="-77.278536731150098"/>
    <n v="0"/>
    <n v="0"/>
    <n v="0"/>
    <n v="-1.0479399668728682"/>
    <n v="-543.6391777032261"/>
    <n v="-272.34191355013587"/>
    <n v="-4.0256910389767588"/>
    <n v="0"/>
    <n v="0"/>
    <n v="0"/>
    <n v="0"/>
    <n v="-11.951382914676454"/>
    <m/>
    <n v="-2.4460486840977906"/>
    <n v="-11.32416463010612"/>
    <n v="-35.479559021582411"/>
    <n v="0"/>
    <n v="0"/>
    <n v="0"/>
    <n v="0"/>
    <n v="0"/>
    <n v="0"/>
    <n v="0"/>
    <n v="0"/>
    <n v="0"/>
    <n v="0"/>
    <m/>
    <n v="0"/>
    <n v="0"/>
    <n v="-0.75871376789877221"/>
    <n v="0"/>
    <n v="0"/>
    <n v="-45.209252769795526"/>
    <n v="0"/>
    <n v="-3.66"/>
    <n v="-16.739999999999998"/>
    <n v="-386.84"/>
    <n v="0"/>
    <m/>
    <m/>
    <m/>
    <m/>
    <m/>
    <m/>
    <m/>
    <m/>
    <m/>
    <n v="-318.30988008783015"/>
    <m/>
    <m/>
    <m/>
    <m/>
    <m/>
    <m/>
    <m/>
    <m/>
    <m/>
    <m/>
    <m/>
    <m/>
    <n v="-657.93280000000004"/>
    <n v="347.54044999999996"/>
    <m/>
    <m/>
    <m/>
    <m/>
    <n v="391.74374999999998"/>
    <n v="-41.603249999999989"/>
    <n v="31"/>
    <n v="-49.279139954293726"/>
    <n v="-1.168104841609523"/>
    <n v="-3.6597705901501314"/>
    <n v="0"/>
    <n v="0"/>
    <n v="0"/>
    <n v="0"/>
    <n v="0"/>
    <n v="-0.10246239253840472"/>
    <n v="0"/>
    <n v="0"/>
    <n v="-41.608596742314603"/>
    <n v="0"/>
    <n v="0"/>
    <n v="-0.11591684438073424"/>
    <n v="-6.9071027040923809"/>
    <n v="0"/>
    <n v="3.6921517657330583"/>
    <m/>
    <n v="0"/>
    <n v="0"/>
    <n v="0"/>
    <n v="0"/>
    <n v="0.48427731549234032"/>
    <n v="0.10638507956661147"/>
    <n v="0"/>
    <n v="0"/>
    <m/>
    <m/>
    <m/>
    <n v="-543.6391777032261"/>
    <n v="0"/>
    <n v="0"/>
    <n v="391.74374999999998"/>
    <n v="-41.603250000000003"/>
    <n v="0"/>
    <n v="0"/>
    <n v="399.41704099628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3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2.908000000000001"/>
    <n v="22.908000000000001"/>
    <n v="22.908000000000001"/>
    <n v="22.908000000000001"/>
    <m/>
    <n v="571.87"/>
    <n v="216.76"/>
    <m/>
    <n v="18065.936040000001"/>
    <n v="18065.936040000001"/>
    <n v="11774.941080000001"/>
    <n v="0"/>
    <n v="1388.4680152448525"/>
    <n v="0"/>
    <n v="0"/>
    <n v="0"/>
    <n v="18.828399028332289"/>
    <n v="9767.5970845690226"/>
    <n v="4893.1831808678535"/>
    <n v="72.329827702650675"/>
    <n v="0"/>
    <n v="0"/>
    <n v="0"/>
    <n v="0"/>
    <n v="214.73119985051628"/>
    <m/>
    <n v="43.948300592401722"/>
    <n v="203.46193203644785"/>
    <n v="637.46332397365484"/>
    <n v="0"/>
    <n v="0"/>
    <n v="0"/>
    <n v="0"/>
    <n v="0"/>
    <n v="0"/>
    <n v="0"/>
    <n v="0"/>
    <n v="0"/>
    <n v="0"/>
    <m/>
    <n v="0"/>
    <n v="0"/>
    <n v="13.631854898058883"/>
    <n v="0"/>
    <n v="0"/>
    <n v="812.2773038827263"/>
    <n v="0"/>
    <n v="53.85"/>
    <n v="251.29"/>
    <n v="12461.29"/>
    <n v="162"/>
    <m/>
    <m/>
    <m/>
    <m/>
    <m/>
    <m/>
    <m/>
    <m/>
    <m/>
    <n v="5719.0923396486387"/>
    <m/>
    <m/>
    <m/>
    <m/>
    <m/>
    <m/>
    <m/>
    <m/>
    <m/>
    <m/>
    <m/>
    <m/>
    <n v="11775.969099999998"/>
    <n v="-6289.9969400000009"/>
    <m/>
    <m/>
    <m/>
    <m/>
    <n v="-7038.4830000000002"/>
    <n v="747.48803999999996"/>
    <n v="31"/>
    <n v="885.40120633173319"/>
    <n v="20.987408401247819"/>
    <n v="65.755313473850379"/>
    <n v="0"/>
    <n v="0"/>
    <n v="0"/>
    <n v="0"/>
    <n v="0"/>
    <n v="1.8409478339370757"/>
    <n v="0"/>
    <n v="0"/>
    <n v="747.58410523368093"/>
    <n v="0"/>
    <n v="0"/>
    <n v="2.0826847616265578"/>
    <n v="124.10032058458683"/>
    <n v="0"/>
    <n v="-66.337107960324147"/>
    <m/>
    <n v="0"/>
    <n v="0"/>
    <n v="0"/>
    <n v="0"/>
    <n v="-8.7010390143518066"/>
    <n v="-1.911426982519167"/>
    <n v="0"/>
    <n v="0"/>
    <m/>
    <m/>
    <m/>
    <n v="9767.5970845690226"/>
    <n v="0"/>
    <n v="0"/>
    <n v="-7038.4830000000002"/>
    <n v="747.48804000000018"/>
    <n v="0"/>
    <n v="0"/>
    <n v="-7176.3494707002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4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3.54"/>
    <n v="3.54"/>
    <n v="3.54"/>
    <n v="3.54"/>
    <m/>
    <n v="501.89"/>
    <n v="216.76"/>
    <m/>
    <n v="2544.0209999999997"/>
    <n v="2544.0209999999997"/>
    <n v="1583.442"/>
    <n v="0"/>
    <n v="0"/>
    <n v="0"/>
    <n v="0"/>
    <n v="0"/>
    <n v="2.9095744962587871"/>
    <n v="1509.3981875054278"/>
    <n v="756.14931291567143"/>
    <n v="11.177212767041356"/>
    <n v="0"/>
    <n v="0"/>
    <n v="0"/>
    <n v="0"/>
    <n v="0"/>
    <m/>
    <n v="6.7913822287891596"/>
    <n v="31.441210031824053"/>
    <n v="98.507952106981762"/>
    <n v="0"/>
    <n v="0"/>
    <n v="0"/>
    <n v="0"/>
    <n v="0"/>
    <n v="0"/>
    <n v="0"/>
    <n v="0"/>
    <n v="0"/>
    <n v="0"/>
    <m/>
    <n v="0"/>
    <n v="0"/>
    <n v="2.1065464614601206"/>
    <n v="0"/>
    <n v="0"/>
    <n v="125.5221606314323"/>
    <n v="0"/>
    <n v="2.29"/>
    <n v="8.33"/>
    <n v="182"/>
    <n v="2"/>
    <m/>
    <m/>
    <m/>
    <m/>
    <m/>
    <m/>
    <m/>
    <n v="1029.2195999999999"/>
    <m/>
    <n v="883.77802000856377"/>
    <m/>
    <m/>
    <m/>
    <m/>
    <m/>
    <m/>
    <m/>
    <m/>
    <m/>
    <m/>
    <m/>
    <m/>
    <n v="554.22240000000011"/>
    <n v="-336.22379999999998"/>
    <m/>
    <m/>
    <m/>
    <m/>
    <n v="-1076.0892000000001"/>
    <n v="115.51019999999998"/>
    <n v="31"/>
    <n v="148.41781520450013"/>
    <n v="3.2432087367040872"/>
    <n v="10.161245403240358"/>
    <n v="0"/>
    <n v="0"/>
    <n v="0"/>
    <n v="0"/>
    <n v="0"/>
    <n v="0.28448381928309985"/>
    <n v="0"/>
    <n v="0"/>
    <n v="115.52504507277933"/>
    <n v="0"/>
    <n v="0"/>
    <n v="0.32183970910415649"/>
    <n v="19.177367507832955"/>
    <n v="0"/>
    <n v="0"/>
    <m/>
    <n v="0"/>
    <n v="0"/>
    <n v="0"/>
    <n v="0"/>
    <n v="0"/>
    <n v="-0.29537504444376772"/>
    <n v="0"/>
    <n v="0"/>
    <m/>
    <m/>
    <m/>
    <n v="1509.3981875054278"/>
    <n v="0"/>
    <n v="0"/>
    <n v="-1076.0891999999999"/>
    <n v="115.51020000000005"/>
    <n v="0"/>
    <n v="0"/>
    <n v="-1108.9696667661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5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7.6020000000000003"/>
    <n v="7.6020000000000003"/>
    <n v="7.6020000000000003"/>
    <n v="7.6020000000000003"/>
    <m/>
    <n v="501.89"/>
    <n v="216.76"/>
    <m/>
    <n v="5463.1773000000003"/>
    <n v="5463.1773000000003"/>
    <n v="3400.3746000000001"/>
    <n v="0"/>
    <n v="0"/>
    <n v="0"/>
    <n v="0"/>
    <n v="0"/>
    <n v="6.2481879436608194"/>
    <n v="3241.368650117588"/>
    <n v="1623.7986092612809"/>
    <n v="24.002590806510842"/>
    <n v="0"/>
    <n v="0"/>
    <n v="0"/>
    <n v="0"/>
    <n v="0"/>
    <m/>
    <n v="14.584205565891299"/>
    <n v="67.518666288679782"/>
    <n v="211.54165308397609"/>
    <n v="0"/>
    <n v="0"/>
    <n v="0"/>
    <n v="0"/>
    <n v="0"/>
    <n v="0"/>
    <n v="0"/>
    <n v="0"/>
    <n v="0"/>
    <n v="0"/>
    <m/>
    <n v="0"/>
    <n v="0"/>
    <n v="4.5237192655423266"/>
    <n v="0"/>
    <n v="0"/>
    <n v="269.5535212203809"/>
    <n v="0"/>
    <n v="7.42"/>
    <n v="34.020000000000003"/>
    <n v="691.58"/>
    <n v="19"/>
    <m/>
    <m/>
    <m/>
    <m/>
    <m/>
    <m/>
    <m/>
    <n v="1360.0738200000001"/>
    <m/>
    <n v="1897.875849747204"/>
    <m/>
    <m/>
    <m/>
    <m/>
    <m/>
    <m/>
    <m/>
    <m/>
    <m/>
    <m/>
    <m/>
    <m/>
    <n v="2039.7639999999999"/>
    <n v="-1238.1723800000007"/>
    <m/>
    <m/>
    <m/>
    <m/>
    <n v="-2310.8559600000003"/>
    <n v="248.05325999999997"/>
    <n v="31"/>
    <n v="318.72096926118957"/>
    <n v="6.9646533379730187"/>
    <n v="21.820843942212775"/>
    <n v="0"/>
    <n v="0"/>
    <n v="0"/>
    <n v="0"/>
    <n v="0"/>
    <n v="0.61091694751133474"/>
    <n v="0"/>
    <n v="0"/>
    <n v="248.08513916476522"/>
    <n v="0"/>
    <n v="0"/>
    <n v="0.69113713802536658"/>
    <n v="41.182584122753155"/>
    <n v="0"/>
    <n v="0"/>
    <m/>
    <n v="0"/>
    <n v="0"/>
    <n v="0"/>
    <n v="0"/>
    <n v="0"/>
    <n v="-0.63430539205127801"/>
    <n v="0"/>
    <n v="0"/>
    <m/>
    <m/>
    <m/>
    <n v="3241.368650117588"/>
    <n v="0"/>
    <n v="0"/>
    <n v="-2310.8559599999999"/>
    <n v="248.05325999999991"/>
    <n v="0"/>
    <n v="0"/>
    <n v="-2381.46536914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6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8.7110000000000003"/>
    <n v="8.7110000000000003"/>
    <n v="8.7110000000000003"/>
    <n v="8.7110000000000003"/>
    <m/>
    <n v="501.89"/>
    <n v="216.76"/>
    <m/>
    <n v="6260.1601499999997"/>
    <n v="6260.1601499999997"/>
    <n v="3896.4303"/>
    <n v="0"/>
    <n v="0"/>
    <n v="0"/>
    <n v="0"/>
    <n v="0"/>
    <n v="7.1596902364153383"/>
    <n v="3714.2281388021984"/>
    <n v="1860.6826736746932"/>
    <n v="27.50415265923651"/>
    <n v="0"/>
    <n v="0"/>
    <n v="0"/>
    <n v="0"/>
    <n v="0"/>
    <m/>
    <n v="16.711788303667337"/>
    <n v="77.368469092434836"/>
    <n v="242.40191265647405"/>
    <n v="0"/>
    <n v="0"/>
    <n v="0"/>
    <n v="0"/>
    <n v="0"/>
    <n v="0"/>
    <n v="0"/>
    <n v="0"/>
    <n v="0"/>
    <n v="0"/>
    <m/>
    <n v="0"/>
    <n v="0"/>
    <n v="5.1836514762087882"/>
    <n v="0"/>
    <n v="0"/>
    <n v="308.87670657073636"/>
    <n v="0"/>
    <n v="12.53"/>
    <n v="60.48"/>
    <n v="1213.55"/>
    <n v="55"/>
    <m/>
    <m/>
    <m/>
    <m/>
    <m/>
    <m/>
    <m/>
    <n v="389.64302999999995"/>
    <m/>
    <n v="2174.7430317216385"/>
    <m/>
    <m/>
    <m/>
    <m/>
    <m/>
    <m/>
    <m/>
    <m/>
    <m/>
    <m/>
    <m/>
    <m/>
    <n v="3506.3847000000005"/>
    <n v="-2127.7458800000004"/>
    <m/>
    <m/>
    <m/>
    <m/>
    <n v="-2647.9697800000004"/>
    <n v="284.23992999999996"/>
    <n v="31"/>
    <n v="365.21683283796756"/>
    <n v="7.9806755100082825"/>
    <n v="25.004126753566879"/>
    <n v="0"/>
    <n v="0"/>
    <n v="0"/>
    <n v="0"/>
    <n v="0"/>
    <n v="0.70003913835454323"/>
    <n v="0"/>
    <n v="0"/>
    <n v="284.27645978219812"/>
    <n v="0"/>
    <n v="0"/>
    <n v="0.7919620638435898"/>
    <n v="47.190409141450004"/>
    <n v="0"/>
    <n v="0"/>
    <m/>
    <n v="0"/>
    <n v="0"/>
    <n v="0"/>
    <n v="0"/>
    <n v="0"/>
    <n v="-0.72683955145470591"/>
    <n v="0"/>
    <n v="0"/>
    <m/>
    <m/>
    <m/>
    <n v="3714.2281388021984"/>
    <n v="0"/>
    <n v="0"/>
    <n v="-2647.9697799999994"/>
    <n v="284.23993000000019"/>
    <n v="0"/>
    <n v="0"/>
    <n v="-2728.879877740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7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4.9169999999999998"/>
    <n v="4.9169999999999998"/>
    <n v="4.9169999999999998"/>
    <n v="4.9169999999999998"/>
    <m/>
    <n v="501.89"/>
    <n v="216.76"/>
    <m/>
    <n v="3533.60205"/>
    <n v="3533.60205"/>
    <n v="2199.3741"/>
    <n v="0"/>
    <n v="0"/>
    <n v="0"/>
    <n v="0"/>
    <n v="0"/>
    <n v="4.0413496604814849"/>
    <n v="2096.5284994249118"/>
    <n v="1050.2785795498182"/>
    <n v="15.524959089136255"/>
    <n v="0"/>
    <n v="0"/>
    <n v="0"/>
    <n v="0"/>
    <n v="0"/>
    <m/>
    <n v="9.4331148076147731"/>
    <n v="43.671307832338663"/>
    <n v="136.82587585029077"/>
    <n v="0"/>
    <n v="0"/>
    <n v="0"/>
    <n v="0"/>
    <n v="0"/>
    <n v="0"/>
    <n v="0"/>
    <n v="0"/>
    <n v="0"/>
    <n v="0"/>
    <m/>
    <n v="0"/>
    <n v="0"/>
    <n v="2.9259573307907947"/>
    <n v="0"/>
    <n v="0"/>
    <n v="174.34815362281145"/>
    <n v="0"/>
    <n v="7.98"/>
    <n v="38.74"/>
    <n v="783.92"/>
    <n v="42"/>
    <m/>
    <m/>
    <m/>
    <m/>
    <m/>
    <m/>
    <m/>
    <m/>
    <m/>
    <n v="1227.5526905034205"/>
    <m/>
    <m/>
    <m/>
    <m/>
    <m/>
    <m/>
    <m/>
    <m/>
    <m/>
    <m/>
    <m/>
    <m/>
    <n v="2200.7159999999999"/>
    <n v="-1332.9160500000007"/>
    <m/>
    <m/>
    <m/>
    <m/>
    <n v="-1494.66966"/>
    <n v="160.44170999999997"/>
    <n v="31"/>
    <n v="206.14982976286046"/>
    <n v="4.5047619656423663"/>
    <n v="14.113797640602485"/>
    <n v="0"/>
    <n v="0"/>
    <n v="0"/>
    <n v="0"/>
    <n v="0"/>
    <n v="0.39514320322457674"/>
    <n v="0"/>
    <n v="0"/>
    <n v="160.46232955447908"/>
    <n v="0"/>
    <n v="0"/>
    <n v="0.44702990103534912"/>
    <n v="26.637038428252737"/>
    <n v="0"/>
    <n v="0"/>
    <m/>
    <n v="0"/>
    <n v="0"/>
    <n v="0"/>
    <n v="0"/>
    <n v="0"/>
    <n v="-0.41027093037570772"/>
    <n v="0"/>
    <n v="0"/>
    <m/>
    <m/>
    <m/>
    <n v="2096.5284994249118"/>
    <n v="0"/>
    <n v="0"/>
    <n v="-1494.66966"/>
    <n v="160.44170999999983"/>
    <n v="0"/>
    <n v="0"/>
    <n v="-1540.340071042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8"/>
    <s v="Regular"/>
    <s v="Convencional"/>
    <s v="B3"/>
    <s v="Industrial"/>
    <s v="Não se aplica"/>
    <s v="Não se aplica"/>
    <s v="Não se aplica"/>
    <s v="Não se aplica"/>
    <s v="CATIVO"/>
    <x v="6"/>
    <n v="0"/>
    <n v="0"/>
    <n v="40.28"/>
    <n v="40.28"/>
    <n v="40.28"/>
    <n v="40.28"/>
    <m/>
    <n v="571.87"/>
    <n v="216.76"/>
    <m/>
    <n v="31766.0164"/>
    <n v="31766.0164"/>
    <n v="20704.322800000002"/>
    <n v="0"/>
    <n v="2441.3956545339033"/>
    <n v="0"/>
    <n v="0"/>
    <n v="0"/>
    <n v="33.106683816187555"/>
    <n v="17174.734178734077"/>
    <n v="8603.8684531760591"/>
    <n v="127.18026278430106"/>
    <n v="0"/>
    <n v="0"/>
    <n v="0"/>
    <n v="0"/>
    <n v="377.5699637671903"/>
    <m/>
    <n v="77.27595372192863"/>
    <n v="357.7547853338624"/>
    <n v="1120.8757940308546"/>
    <n v="0"/>
    <n v="0"/>
    <n v="0"/>
    <n v="0"/>
    <n v="0"/>
    <n v="0"/>
    <n v="0"/>
    <n v="0"/>
    <n v="0"/>
    <n v="0"/>
    <m/>
    <n v="0"/>
    <n v="0"/>
    <n v="23.969404369382389"/>
    <n v="0"/>
    <n v="0"/>
    <n v="1428.2578051508738"/>
    <n v="0"/>
    <n v="107.39"/>
    <n v="493.66"/>
    <n v="5547.64"/>
    <n v="28"/>
    <m/>
    <m/>
    <m/>
    <m/>
    <m/>
    <m/>
    <m/>
    <m/>
    <m/>
    <n v="10056.095662696314"/>
    <m/>
    <m/>
    <m/>
    <m/>
    <m/>
    <m/>
    <m/>
    <m/>
    <m/>
    <m/>
    <m/>
    <m/>
    <n v="20704.322800000002"/>
    <n v="-11061.723599999994"/>
    <m/>
    <m/>
    <m/>
    <m/>
    <n v="-12376.03"/>
    <n v="1314.3363999999999"/>
    <n v="31"/>
    <n v="1556.8343194972185"/>
    <n v="36.902951388260021"/>
    <n v="115.62004656568411"/>
    <n v="0"/>
    <n v="0"/>
    <n v="0"/>
    <n v="0"/>
    <n v="0"/>
    <n v="3.2370079776054439"/>
    <n v="0"/>
    <n v="0"/>
    <n v="1314.5053151219072"/>
    <n v="0"/>
    <n v="0"/>
    <n v="3.6620631307105711"/>
    <n v="218.21027209477734"/>
    <n v="0"/>
    <n v="-116.64303774410064"/>
    <m/>
    <n v="0"/>
    <n v="0"/>
    <n v="0"/>
    <n v="0"/>
    <n v="-15.299364916103116"/>
    <n v="-3.3609341215239965"/>
    <n v="0"/>
    <n v="0"/>
    <m/>
    <m/>
    <m/>
    <n v="17174.734178734077"/>
    <n v="0"/>
    <n v="0"/>
    <n v="-12376.03"/>
    <n v="1314.3364000000001"/>
    <n v="0"/>
    <n v="0"/>
    <n v="-12618.445812808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29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2.7519999999999998"/>
    <n v="2.7519999999999998"/>
    <n v="2.7519999999999998"/>
    <n v="2.7519999999999998"/>
    <m/>
    <n v="571.87"/>
    <n v="216.76"/>
    <m/>
    <n v="2170.3097600000001"/>
    <n v="2170.3097600000001"/>
    <n v="1414.5555199999999"/>
    <n v="0"/>
    <n v="166.80041810519614"/>
    <n v="0"/>
    <n v="0"/>
    <n v="0"/>
    <n v="2.2619065010463788"/>
    <n v="1173.4078565013947"/>
    <n v="587.83133026664621"/>
    <n v="8.6891778347168938"/>
    <n v="0"/>
    <n v="0"/>
    <n v="0"/>
    <n v="0"/>
    <n v="25.796239828384003"/>
    <m/>
    <n v="5.2796282185389174"/>
    <n v="24.442432205531013"/>
    <n v="76.580193276388073"/>
    <n v="0"/>
    <n v="0"/>
    <n v="0"/>
    <n v="0"/>
    <n v="0"/>
    <n v="0"/>
    <n v="0"/>
    <n v="0"/>
    <n v="0"/>
    <n v="0"/>
    <m/>
    <n v="0"/>
    <n v="0"/>
    <n v="1.6376315994175852"/>
    <n v="0"/>
    <n v="0"/>
    <n v="97.581069507825319"/>
    <n v="0"/>
    <n v="6.79"/>
    <n v="31.22"/>
    <n v="904.01"/>
    <n v="4"/>
    <m/>
    <m/>
    <m/>
    <m/>
    <m/>
    <m/>
    <m/>
    <m/>
    <m/>
    <n v="687.05003137388906"/>
    <m/>
    <m/>
    <m/>
    <m/>
    <m/>
    <m/>
    <m/>
    <m/>
    <m/>
    <m/>
    <m/>
    <m/>
    <n v="1413.5275000000001"/>
    <n v="-756.8122599999997"/>
    <m/>
    <m/>
    <m/>
    <m/>
    <n v="-845.55199999999991"/>
    <n v="89.797759999999982"/>
    <n v="31"/>
    <n v="106.36564168958182"/>
    <n v="2.5212741365563964"/>
    <n v="7.8993636581122786"/>
    <n v="0"/>
    <n v="0"/>
    <n v="0"/>
    <n v="0"/>
    <n v="0"/>
    <n v="0.2211580425613251"/>
    <n v="0"/>
    <n v="0"/>
    <n v="89.809300576352825"/>
    <n v="0"/>
    <n v="0"/>
    <n v="0.25019855351825937"/>
    <n v="14.908507169931156"/>
    <n v="0"/>
    <n v="-7.9692562033704917"/>
    <m/>
    <n v="0"/>
    <n v="0"/>
    <n v="0"/>
    <n v="0"/>
    <n v="-1.0452793507724891"/>
    <n v="-0.22962489330769831"/>
    <n v="0"/>
    <n v="0"/>
    <m/>
    <m/>
    <m/>
    <n v="1173.4078565013947"/>
    <n v="0"/>
    <n v="0"/>
    <n v="-845.55199999999991"/>
    <n v="89.797759999999926"/>
    <n v="0"/>
    <n v="0"/>
    <n v="-862.11427201707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0"/>
    <s v="Regular"/>
    <s v="Verde"/>
    <s v="A4"/>
    <s v="Industrial"/>
    <s v="Não se aplica"/>
    <s v="Não se aplica"/>
    <s v="Não se aplica"/>
    <s v="Ponta"/>
    <s v="CATIVO"/>
    <x v="6"/>
    <n v="0"/>
    <n v="0"/>
    <n v="3.444"/>
    <n v="3.444"/>
    <n v="3.444"/>
    <n v="3.444"/>
    <m/>
    <n v="2592.54"/>
    <n v="216.76"/>
    <m/>
    <n v="9675.2291999999998"/>
    <n v="9675.2291999999998"/>
    <n v="4068.0527999999995"/>
    <n v="0"/>
    <n v="181.60637963671411"/>
    <n v="0"/>
    <n v="0"/>
    <n v="0"/>
    <n v="17.415051653137752"/>
    <n v="7889.8303412012301"/>
    <n v="735.64356883660241"/>
    <n v="10.874101912341928"/>
    <n v="0"/>
    <n v="0"/>
    <n v="0"/>
    <n v="0"/>
    <n v="32.282794320114284"/>
    <m/>
    <n v="4.7293772447509932"/>
    <n v="155.37561758662747"/>
    <n v="589.61537860671649"/>
    <n v="0"/>
    <n v="0"/>
    <n v="0"/>
    <n v="0"/>
    <n v="0"/>
    <n v="0"/>
    <n v="0"/>
    <n v="0"/>
    <n v="0"/>
    <n v="0"/>
    <m/>
    <n v="0"/>
    <n v="0"/>
    <n v="1.5749367174788684"/>
    <n v="0"/>
    <n v="0"/>
    <n v="56.261724112377415"/>
    <n v="0"/>
    <n v="0"/>
    <n v="0"/>
    <n v="0"/>
    <n v="0"/>
    <m/>
    <m/>
    <m/>
    <m/>
    <m/>
    <m/>
    <m/>
    <m/>
    <m/>
    <n v="793.48022966645874"/>
    <m/>
    <m/>
    <m/>
    <m/>
    <m/>
    <m/>
    <m/>
    <m/>
    <m/>
    <m/>
    <m/>
    <m/>
    <n v="4063.3279999999995"/>
    <n v="-5611.9312000000009"/>
    <m/>
    <m/>
    <m/>
    <m/>
    <n v="-5719.5541199999998"/>
    <n v="112.37771999999998"/>
    <n v="31"/>
    <n v="189.58774925516991"/>
    <n v="16.027231773767255"/>
    <n v="60.819724980583032"/>
    <n v="0"/>
    <n v="0"/>
    <n v="0"/>
    <n v="0"/>
    <n v="0"/>
    <n v="1.7027577103344491"/>
    <n v="0"/>
    <n v="0"/>
    <n v="112.39216249453443"/>
    <n v="0"/>
    <n v="0"/>
    <n v="0.24061998360079984"/>
    <n v="8.595707359559178"/>
    <n v="0"/>
    <n v="-8.6766435236316966"/>
    <m/>
    <n v="0"/>
    <n v="0"/>
    <n v="0"/>
    <n v="0"/>
    <n v="-1.3081184898475477"/>
    <n v="-0.20569303373000292"/>
    <n v="0"/>
    <n v="0"/>
    <m/>
    <m/>
    <m/>
    <n v="7889.8303412012301"/>
    <n v="0"/>
    <n v="0"/>
    <n v="-5719.5541199999998"/>
    <n v="112.37771999999995"/>
    <n v="0"/>
    <n v="0"/>
    <n v="-5796.735809510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1"/>
    <s v="Regular"/>
    <s v="Verde"/>
    <s v="A4"/>
    <s v="Industrial"/>
    <s v="Não se aplica"/>
    <s v="Não se aplica"/>
    <s v="Não se aplica"/>
    <s v="Fora ponta"/>
    <s v="CATIVO"/>
    <x v="6"/>
    <n v="0"/>
    <n v="0"/>
    <n v="120.05800000000001"/>
    <n v="120.05800000000001"/>
    <n v="120.05800000000001"/>
    <n v="120.05800000000001"/>
    <m/>
    <n v="80.27"/>
    <n v="216.76"/>
    <m/>
    <n v="35660.827740000001"/>
    <n v="35660.827740000001"/>
    <n v="39531.497660000001"/>
    <n v="0"/>
    <n v="6330.8068311337465"/>
    <n v="0"/>
    <n v="0"/>
    <n v="0"/>
    <n v="0"/>
    <n v="0"/>
    <n v="25644.568985884092"/>
    <n v="379.07169784899747"/>
    <n v="0"/>
    <n v="0"/>
    <n v="0"/>
    <n v="0"/>
    <n v="1125.3797097805693"/>
    <m/>
    <n v="164.86631046757108"/>
    <n v="0"/>
    <n v="0"/>
    <n v="0"/>
    <n v="0"/>
    <n v="0"/>
    <n v="0"/>
    <n v="0"/>
    <n v="0"/>
    <n v="0"/>
    <n v="0"/>
    <n v="0"/>
    <n v="0"/>
    <m/>
    <n v="0"/>
    <n v="0"/>
    <n v="54.90236713910511"/>
    <n v="0"/>
    <n v="0"/>
    <n v="1961.2863163425693"/>
    <n v="0"/>
    <n v="0"/>
    <n v="0"/>
    <n v="0"/>
    <n v="0"/>
    <m/>
    <m/>
    <m/>
    <m/>
    <m/>
    <m/>
    <m/>
    <m/>
    <m/>
    <n v="27660.757669365765"/>
    <m/>
    <m/>
    <m/>
    <m/>
    <m/>
    <m/>
    <m/>
    <m/>
    <m/>
    <m/>
    <m/>
    <m/>
    <n v="39532.156199999998"/>
    <n v="3871.2984599999982"/>
    <m/>
    <m/>
    <m/>
    <m/>
    <n v="-46.822620000000072"/>
    <n v="3917.4925399999997"/>
    <n v="31"/>
    <n v="3870.7910513577444"/>
    <n v="0"/>
    <n v="0"/>
    <n v="0"/>
    <n v="0"/>
    <n v="0"/>
    <n v="0"/>
    <n v="0"/>
    <n v="0"/>
    <n v="0"/>
    <n v="0"/>
    <n v="3917.9960060304365"/>
    <n v="0"/>
    <n v="0"/>
    <n v="8.3880238069526172"/>
    <n v="299.6467578902309"/>
    <n v="0"/>
    <n v="-302.46819632989991"/>
    <m/>
    <n v="0"/>
    <n v="0"/>
    <n v="0"/>
    <n v="0"/>
    <n v="-45.601071328140733"/>
    <n v="-7.1704687118341326"/>
    <n v="0"/>
    <n v="0"/>
    <m/>
    <m/>
    <m/>
    <n v="0"/>
    <n v="0"/>
    <n v="0"/>
    <n v="-46.822620000000825"/>
    <n v="3917.4925400000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2"/>
    <s v="Regular"/>
    <s v="Verde"/>
    <s v="A4"/>
    <s v="Industrial"/>
    <s v="Não se aplica"/>
    <s v="Não se aplica"/>
    <s v="Não se aplica"/>
    <s v="Não se aplica"/>
    <s v="CATIVO"/>
    <x v="6"/>
    <n v="932"/>
    <n v="932"/>
    <n v="0"/>
    <n v="0"/>
    <n v="0"/>
    <n v="0"/>
    <n v="32.17"/>
    <m/>
    <m/>
    <n v="29982.440000000002"/>
    <m/>
    <n v="29982.440000000002"/>
    <n v="12050.76"/>
    <n v="0"/>
    <n v="0"/>
    <n v="0"/>
    <n v="0"/>
    <n v="0"/>
    <n v="93.121921822348682"/>
    <n v="25095.717419355475"/>
    <m/>
    <m/>
    <m/>
    <n v="0"/>
    <n v="0"/>
    <n v="0"/>
    <n v="0"/>
    <m/>
    <n v="0"/>
    <n v="1644.4404711775965"/>
    <n v="3152.8303341953738"/>
    <n v="0"/>
    <n v="0"/>
    <m/>
    <m/>
    <n v="0"/>
    <n v="0"/>
    <n v="0"/>
    <m/>
    <m/>
    <n v="0"/>
    <m/>
    <n v="0"/>
    <n v="0"/>
    <n v="0"/>
    <n v="0"/>
    <m/>
    <n v="0"/>
    <n v="0"/>
    <n v="266.3"/>
    <n v="1223.0999999999999"/>
    <n v="14789.93"/>
    <n v="6"/>
    <m/>
    <m/>
    <m/>
    <m/>
    <m/>
    <m/>
    <m/>
    <m/>
    <m/>
    <n v="0"/>
    <m/>
    <m/>
    <m/>
    <m/>
    <m/>
    <m/>
    <m/>
    <m/>
    <m/>
    <m/>
    <m/>
    <m/>
    <n v="12050.76"/>
    <n v="-17931.71"/>
    <m/>
    <m/>
    <m/>
    <m/>
    <n v="-17931.68"/>
    <n v="0"/>
    <n v="31"/>
    <n v="503.95079689703016"/>
    <n v="169.62654101781982"/>
    <n v="325.21925443894179"/>
    <n v="0"/>
    <n v="0"/>
    <m/>
    <m/>
    <m/>
    <n v="9.10500144026858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095.717419355475"/>
    <m/>
    <n v="0"/>
    <n v="0"/>
    <n v="-17931.68"/>
    <m/>
    <n v="0"/>
    <m/>
    <n v="-18438.06996336412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03"/>
    <s v="Regular"/>
    <s v="Convencional"/>
    <s v="B3"/>
    <s v="Comercial"/>
    <s v="Não se aplica"/>
    <s v="Não se aplica"/>
    <s v="Não se aplica"/>
    <s v="Não se aplica"/>
    <s v="CATIVO"/>
    <x v="6"/>
    <n v="0"/>
    <n v="0"/>
    <n v="357.93099999999998"/>
    <n v="357.93099999999998"/>
    <n v="357.93099999999998"/>
    <n v="357.93099999999998"/>
    <m/>
    <n v="571.87"/>
    <n v="216.76"/>
    <m/>
    <n v="282275.12452999997"/>
    <n v="282275.12452999997"/>
    <n v="183980.11330999999"/>
    <n v="0"/>
    <n v="21694.41876919003"/>
    <n v="0"/>
    <n v="0"/>
    <n v="0"/>
    <n v="294.18839237864518"/>
    <n v="152615.93295254387"/>
    <n v="76454.598791304859"/>
    <n v="1130.1330347231296"/>
    <n v="0"/>
    <n v="0"/>
    <n v="0"/>
    <n v="0"/>
    <n v="3355.1140690455359"/>
    <m/>
    <n v="686.67972670416179"/>
    <n v="3179.0349570341282"/>
    <n v="9960.1835609051086"/>
    <n v="0"/>
    <n v="0"/>
    <n v="0"/>
    <n v="0"/>
    <n v="0"/>
    <n v="0"/>
    <n v="0"/>
    <n v="0"/>
    <n v="0"/>
    <n v="0"/>
    <m/>
    <n v="0"/>
    <n v="0"/>
    <n v="212.9938648296278"/>
    <n v="0"/>
    <n v="0"/>
    <n v="12691.602394624066"/>
    <n v="0"/>
    <n v="874.33"/>
    <n v="4030.47"/>
    <n v="79896.740000000005"/>
    <n v="714"/>
    <m/>
    <m/>
    <m/>
    <m/>
    <m/>
    <m/>
    <m/>
    <m/>
    <m/>
    <n v="89359.195050758542"/>
    <m/>
    <m/>
    <m/>
    <m/>
    <m/>
    <m/>
    <m/>
    <m/>
    <m/>
    <m/>
    <m/>
    <m/>
    <n v="183979.5993"/>
    <n v="-98295.555229999998"/>
    <m/>
    <m/>
    <m/>
    <m/>
    <n v="-109974.29974999999"/>
    <n v="11679.288529999998"/>
    <n v="31"/>
    <n v="13834.142621945313"/>
    <n v="327.92230122520641"/>
    <n v="1027.408115374923"/>
    <n v="0"/>
    <n v="0"/>
    <n v="0"/>
    <n v="0"/>
    <n v="0"/>
    <n v="28.764287547971549"/>
    <n v="0"/>
    <n v="0"/>
    <n v="11680.789522018356"/>
    <n v="0"/>
    <n v="0"/>
    <n v="32.541358451796555"/>
    <n v="1939.0322964537172"/>
    <n v="0"/>
    <n v="-1036.4984891455679"/>
    <m/>
    <n v="0"/>
    <n v="0"/>
    <n v="0"/>
    <n v="0"/>
    <n v="-135.95126573450125"/>
    <n v="-29.865504246554337"/>
    <n v="0"/>
    <n v="0"/>
    <m/>
    <m/>
    <m/>
    <n v="152615.93295254387"/>
    <n v="0"/>
    <n v="0"/>
    <n v="-109974.29974999999"/>
    <n v="11679.288530000005"/>
    <n v="0"/>
    <n v="0"/>
    <n v="-112128.42423595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0.766999999999999"/>
    <n v="10.766999999999999"/>
    <n v="10.766999999999999"/>
    <n v="10.766999999999999"/>
    <m/>
    <n v="571.87"/>
    <n v="216.76"/>
    <m/>
    <n v="8491.1792099999984"/>
    <n v="8491.1792099999984"/>
    <n v="5534.3456699999997"/>
    <n v="0"/>
    <n v="652.59451371317118"/>
    <n v="0"/>
    <n v="0"/>
    <n v="0"/>
    <n v="8.849544802604056"/>
    <n v="4590.8729618279494"/>
    <n v="2299.8473593680887"/>
    <n v="33.995776797382561"/>
    <n v="0"/>
    <n v="0"/>
    <n v="0"/>
    <n v="0"/>
    <n v="100.9259136018207"/>
    <m/>
    <n v="20.656161711122284"/>
    <n v="95.629239664590273"/>
    <n v="299.61444077284534"/>
    <n v="0"/>
    <n v="0"/>
    <n v="0"/>
    <n v="0"/>
    <n v="0"/>
    <n v="0"/>
    <n v="0"/>
    <n v="0"/>
    <n v="0"/>
    <n v="0"/>
    <m/>
    <n v="0"/>
    <n v="0"/>
    <n v="6.4071146187969257"/>
    <n v="0"/>
    <n v="0"/>
    <n v="381.77884280187328"/>
    <n v="0"/>
    <n v="25.57"/>
    <n v="118.09"/>
    <n v="4374.93"/>
    <n v="18"/>
    <m/>
    <m/>
    <m/>
    <m/>
    <m/>
    <m/>
    <m/>
    <m/>
    <m/>
    <n v="2688.0333167887593"/>
    <m/>
    <m/>
    <m/>
    <m/>
    <m/>
    <m/>
    <m/>
    <m/>
    <m/>
    <m/>
    <m/>
    <m/>
    <n v="5535.8876999999993"/>
    <n v="-2955.3215099999998"/>
    <m/>
    <m/>
    <m/>
    <m/>
    <n v="-3308.16075"/>
    <n v="351.32720999999992"/>
    <n v="31"/>
    <n v="416.14784304931709"/>
    <n v="9.8643018271448852"/>
    <n v="30.905686230703111"/>
    <n v="0"/>
    <n v="0"/>
    <n v="0"/>
    <n v="0"/>
    <n v="0"/>
    <n v="0.8652647689890216"/>
    <n v="0"/>
    <n v="0"/>
    <n v="351.37236166627554"/>
    <n v="0"/>
    <n v="0"/>
    <n v="0.97888365760577756"/>
    <n v="58.328450835264846"/>
    <n v="0"/>
    <n v="-31.179135734625902"/>
    <m/>
    <n v="0"/>
    <n v="0"/>
    <n v="0"/>
    <n v="0"/>
    <n v="-4.0895794948282571"/>
    <n v="-0.89839070721074776"/>
    <n v="0"/>
    <n v="0"/>
    <m/>
    <m/>
    <m/>
    <n v="4590.8729618279494"/>
    <n v="0"/>
    <n v="0"/>
    <n v="-3308.1607499999996"/>
    <n v="351.32720999999992"/>
    <n v="0"/>
    <n v="0"/>
    <n v="-3372.9594356133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5"/>
    <s v="Regular"/>
    <s v="Verde"/>
    <s v="A4"/>
    <s v="Comercial"/>
    <s v="Não se aplica"/>
    <s v="Não se aplica"/>
    <s v="Não se aplica"/>
    <s v="Ponta"/>
    <s v="CATIVO"/>
    <x v="6"/>
    <n v="0"/>
    <n v="0"/>
    <n v="9.1349999999999998"/>
    <n v="9.1349999999999998"/>
    <n v="9.1349999999999998"/>
    <n v="9.1349999999999998"/>
    <m/>
    <n v="2592.54"/>
    <n v="216.76"/>
    <m/>
    <n v="25662.955499999996"/>
    <n v="25662.955499999996"/>
    <n v="10790.261999999999"/>
    <n v="0"/>
    <n v="481.69984842665025"/>
    <n v="0"/>
    <n v="0"/>
    <n v="0"/>
    <n v="46.192362616554398"/>
    <n v="20927.293892820333"/>
    <n v="1951.2497100239148"/>
    <n v="28.84289226749231"/>
    <n v="0"/>
    <n v="0"/>
    <n v="0"/>
    <n v="0"/>
    <n v="85.628143471034846"/>
    <m/>
    <n v="12.544384765040745"/>
    <n v="412.1243515255058"/>
    <n v="1563.9188395970834"/>
    <n v="0"/>
    <n v="0"/>
    <n v="0"/>
    <n v="0"/>
    <n v="0"/>
    <n v="0"/>
    <n v="0"/>
    <n v="0"/>
    <n v="0"/>
    <n v="0"/>
    <m/>
    <n v="0"/>
    <n v="0"/>
    <n v="4.1774236103860227"/>
    <n v="0"/>
    <n v="0"/>
    <n v="149.23079261514741"/>
    <n v="0"/>
    <n v="0"/>
    <n v="0"/>
    <n v="0"/>
    <n v="0"/>
    <m/>
    <m/>
    <m/>
    <m/>
    <m/>
    <m/>
    <m/>
    <m/>
    <m/>
    <n v="2104.6579262494483"/>
    <m/>
    <m/>
    <m/>
    <m/>
    <m/>
    <m/>
    <m/>
    <m/>
    <m/>
    <m/>
    <m/>
    <m/>
    <n v="10796.168"/>
    <n v="-14866.817499999992"/>
    <m/>
    <m/>
    <m/>
    <m/>
    <n v="-15170.768550000001"/>
    <n v="298.07504999999998"/>
    <n v="31"/>
    <n v="502.86994467072509"/>
    <n v="42.511255009687488"/>
    <n v="161.32061199118039"/>
    <n v="0"/>
    <n v="0"/>
    <n v="0"/>
    <n v="0"/>
    <n v="0"/>
    <n v="4.5164609999724732"/>
    <n v="0"/>
    <n v="0"/>
    <n v="298.11335783611275"/>
    <n v="0"/>
    <n v="0"/>
    <n v="0.6382298345509021"/>
    <n v="22.799589642733196"/>
    <n v="0"/>
    <n v="-23.014267882803608"/>
    <m/>
    <n v="0"/>
    <n v="0"/>
    <n v="0"/>
    <n v="0"/>
    <n v="-3.4697045309980723"/>
    <n v="-0.54558822971067933"/>
    <n v="0"/>
    <n v="0"/>
    <m/>
    <m/>
    <m/>
    <n v="20927.293892820333"/>
    <n v="0"/>
    <n v="0"/>
    <n v="-15170.768549999999"/>
    <n v="298.07504999999969"/>
    <n v="0"/>
    <n v="0"/>
    <n v="-15375.48827522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6"/>
    <s v="Regular"/>
    <s v="Verde"/>
    <s v="A4"/>
    <s v="Comercial"/>
    <s v="Não se aplica"/>
    <s v="Não se aplica"/>
    <s v="Não se aplica"/>
    <s v="Fora ponta"/>
    <s v="CATIVO"/>
    <x v="6"/>
    <n v="0"/>
    <n v="0"/>
    <n v="116.414"/>
    <n v="116.414"/>
    <n v="116.414"/>
    <n v="116.414"/>
    <m/>
    <n v="80.27"/>
    <n v="216.76"/>
    <m/>
    <n v="34578.450420000001"/>
    <n v="34578.450420000001"/>
    <n v="38331.637779999997"/>
    <n v="0"/>
    <n v="6138.6542041313696"/>
    <n v="0"/>
    <n v="0"/>
    <n v="0"/>
    <n v="0"/>
    <n v="0"/>
    <n v="24866.20511688276"/>
    <n v="367.56611498936508"/>
    <n v="0"/>
    <n v="0"/>
    <n v="0"/>
    <n v="0"/>
    <n v="1091.2221887287412"/>
    <m/>
    <n v="159.8622887835198"/>
    <n v="0"/>
    <n v="0"/>
    <n v="0"/>
    <n v="0"/>
    <n v="0"/>
    <n v="0"/>
    <n v="0"/>
    <n v="0"/>
    <n v="0"/>
    <n v="0"/>
    <n v="0"/>
    <n v="0"/>
    <m/>
    <n v="0"/>
    <n v="0"/>
    <n v="53.23597068193525"/>
    <n v="0"/>
    <n v="0"/>
    <n v="1901.7573608647808"/>
    <n v="0"/>
    <n v="0"/>
    <n v="0"/>
    <n v="0"/>
    <n v="0"/>
    <m/>
    <m/>
    <m/>
    <m/>
    <m/>
    <m/>
    <m/>
    <m/>
    <m/>
    <n v="26821.198448429477"/>
    <m/>
    <m/>
    <m/>
    <m/>
    <m/>
    <m/>
    <m/>
    <m/>
    <m/>
    <m/>
    <m/>
    <m/>
    <n v="38330.320699999997"/>
    <n v="3751.8402799999967"/>
    <m/>
    <m/>
    <m/>
    <m/>
    <n v="-45.401460000000064"/>
    <n v="3798.5888199999995"/>
    <n v="31"/>
    <n v="3753.3048147791997"/>
    <n v="0"/>
    <n v="0"/>
    <n v="0"/>
    <n v="0"/>
    <n v="0"/>
    <n v="0"/>
    <n v="0"/>
    <n v="0"/>
    <n v="0"/>
    <n v="0"/>
    <n v="3799.0770048312261"/>
    <n v="0"/>
    <n v="0"/>
    <n v="8.1334305374284241"/>
    <n v="290.55188053302027"/>
    <n v="0"/>
    <n v="-293.28768268294425"/>
    <m/>
    <n v="0"/>
    <n v="0"/>
    <n v="0"/>
    <n v="0"/>
    <n v="-44.216987769196521"/>
    <n v="-6.9528306703381588"/>
    <n v="0"/>
    <n v="0"/>
    <m/>
    <m/>
    <m/>
    <n v="0"/>
    <n v="0"/>
    <n v="0"/>
    <n v="-45.401460000000952"/>
    <n v="3798.58882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7"/>
    <s v="Regular"/>
    <s v="Verde"/>
    <s v="A4"/>
    <s v="Comercial"/>
    <s v="Não se aplica"/>
    <s v="Não se aplica"/>
    <s v="Não se aplica"/>
    <s v="Não se aplica"/>
    <s v="CATIVO"/>
    <x v="6"/>
    <n v="1044"/>
    <n v="1044"/>
    <n v="0"/>
    <n v="0"/>
    <n v="0"/>
    <n v="0"/>
    <n v="32.17"/>
    <m/>
    <m/>
    <n v="33585.480000000003"/>
    <m/>
    <n v="33585.480000000003"/>
    <n v="13498.92"/>
    <n v="0"/>
    <n v="0"/>
    <n v="0"/>
    <n v="0"/>
    <n v="0"/>
    <n v="104.31253903705152"/>
    <n v="28111.511787346692"/>
    <m/>
    <m/>
    <m/>
    <n v="0"/>
    <n v="0"/>
    <n v="0"/>
    <n v="0"/>
    <m/>
    <n v="0"/>
    <n v="1842.0556350959341"/>
    <n v="3531.7112327252898"/>
    <n v="0"/>
    <n v="0"/>
    <m/>
    <m/>
    <n v="0"/>
    <n v="0"/>
    <n v="0"/>
    <m/>
    <m/>
    <n v="0"/>
    <m/>
    <n v="0"/>
    <n v="0"/>
    <n v="0"/>
    <n v="0"/>
    <m/>
    <n v="0"/>
    <n v="0"/>
    <n v="307.89"/>
    <n v="1414.01"/>
    <n v="28056.74"/>
    <n v="8"/>
    <m/>
    <m/>
    <m/>
    <m/>
    <m/>
    <m/>
    <m/>
    <m/>
    <m/>
    <n v="0"/>
    <m/>
    <m/>
    <m/>
    <m/>
    <m/>
    <m/>
    <m/>
    <m/>
    <m/>
    <m/>
    <m/>
    <m/>
    <n v="13498.92"/>
    <n v="-20086.590000000011"/>
    <m/>
    <m/>
    <m/>
    <m/>
    <n v="-20086.560000000001"/>
    <n v="0"/>
    <n v="31"/>
    <n v="564.51140768293953"/>
    <n v="190.01084637618465"/>
    <n v="364.30139660327814"/>
    <n v="0"/>
    <n v="0"/>
    <m/>
    <m/>
    <m/>
    <n v="10.1991647034768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111.511787346692"/>
    <m/>
    <n v="0"/>
    <n v="0"/>
    <n v="-20086.560000000005"/>
    <m/>
    <n v="0"/>
    <m/>
    <n v="-20653.803692867114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08"/>
    <s v="Regular"/>
    <s v="Convencional"/>
    <s v="B2"/>
    <s v="Rural"/>
    <s v="Não se aplica"/>
    <s v="Não se aplica"/>
    <s v="Não se aplica"/>
    <s v="Não se aplica"/>
    <s v="CATIVO"/>
    <x v="6"/>
    <n v="0"/>
    <n v="0"/>
    <n v="4950.54"/>
    <n v="4950.54"/>
    <n v="4950.54"/>
    <n v="4950.54"/>
    <m/>
    <n v="571.87"/>
    <n v="216.76"/>
    <m/>
    <n v="3904144.3602"/>
    <n v="3904144.3602"/>
    <n v="2544627.0653999997"/>
    <n v="0"/>
    <n v="300055.28410119831"/>
    <n v="0"/>
    <n v="0"/>
    <n v="0"/>
    <n v="4068.9166459629878"/>
    <n v="2110829.4076760225"/>
    <n v="1057442.7738874429"/>
    <n v="15630.858443996867"/>
    <n v="0"/>
    <n v="0"/>
    <n v="0"/>
    <n v="0"/>
    <n v="46404.548372095982"/>
    <m/>
    <n v="9497.4602765282161"/>
    <n v="43969.19997484357"/>
    <n v="137759.19695584674"/>
    <n v="0"/>
    <n v="0"/>
    <n v="0"/>
    <n v="0"/>
    <n v="0"/>
    <n v="0"/>
    <n v="0"/>
    <n v="0"/>
    <n v="0"/>
    <n v="0"/>
    <m/>
    <n v="0"/>
    <n v="0"/>
    <n v="2945.9159659086963"/>
    <n v="0"/>
    <n v="0"/>
    <n v="175537.42290743807"/>
    <n v="0"/>
    <n v="10761.63"/>
    <n v="49656.15"/>
    <n v="145051.26"/>
    <n v="10480"/>
    <m/>
    <m/>
    <m/>
    <m/>
    <m/>
    <n v="305349.30719999992"/>
    <m/>
    <m/>
    <m/>
    <n v="1235926.1127607897"/>
    <m/>
    <m/>
    <m/>
    <m/>
    <m/>
    <m/>
    <m/>
    <m/>
    <m/>
    <m/>
    <m/>
    <m/>
    <n v="2239277.7582"/>
    <n v="-1196397.0317999991"/>
    <m/>
    <m/>
    <m/>
    <m/>
    <n v="-1521053.415"/>
    <n v="161536.12019999998"/>
    <n v="31"/>
    <n v="191339.88510535681"/>
    <n v="4535.4899941816548"/>
    <n v="14210.071135185746"/>
    <n v="0"/>
    <n v="0"/>
    <n v="0"/>
    <n v="0"/>
    <n v="0"/>
    <n v="397.83856686829313"/>
    <n v="0"/>
    <n v="0"/>
    <n v="161556.8804052535"/>
    <n v="0"/>
    <n v="0"/>
    <n v="450.07919590635311"/>
    <n v="26818.735859386274"/>
    <n v="0"/>
    <n v="-14335.800001829164"/>
    <m/>
    <n v="0"/>
    <n v="0"/>
    <n v="0"/>
    <n v="0"/>
    <n v="-1880.3405658332922"/>
    <n v="-413.06948376289438"/>
    <n v="0"/>
    <n v="0"/>
    <m/>
    <m/>
    <m/>
    <n v="2110829.4076760225"/>
    <n v="0"/>
    <n v="0"/>
    <n v="-1521053.4149999998"/>
    <n v="161536.1202"/>
    <n v="0"/>
    <n v="0"/>
    <n v="-1550847.0887323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09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2.1840000000000002"/>
    <n v="-2.1840000000000002"/>
    <n v="-2.1840000000000002"/>
    <n v="-2.1840000000000002"/>
    <m/>
    <n v="571.87"/>
    <n v="216.76"/>
    <m/>
    <n v="-1722.3679200000001"/>
    <n v="-1722.3679200000001"/>
    <n v="-1122.5978400000001"/>
    <n v="0"/>
    <n v="-132.37358762418185"/>
    <n v="0"/>
    <n v="0"/>
    <n v="0"/>
    <n v="-1.7950595197257604"/>
    <n v="-931.22193263046734"/>
    <n v="-466.50567779882107"/>
    <n v="-6.8957719444119547"/>
    <n v="0"/>
    <n v="0"/>
    <n v="0"/>
    <n v="0"/>
    <n v="-20.472015910316376"/>
    <m/>
    <n v="-4.1899375106428041"/>
    <n v="-19.397627884040602"/>
    <n v="-60.774397571087057"/>
    <n v="0"/>
    <n v="0"/>
    <n v="0"/>
    <n v="0"/>
    <n v="0"/>
    <n v="0"/>
    <n v="0"/>
    <n v="0"/>
    <n v="0"/>
    <n v="0"/>
    <m/>
    <n v="0"/>
    <n v="0"/>
    <n v="-1.2996320541889559"/>
    <n v="0"/>
    <n v="0"/>
    <n v="-77.440790626849761"/>
    <n v="0"/>
    <n v="-6.05"/>
    <n v="-27.7"/>
    <n v="-104.86"/>
    <n v="0"/>
    <m/>
    <m/>
    <m/>
    <m/>
    <m/>
    <n v="-134.70911999999996"/>
    <m/>
    <m/>
    <m/>
    <n v="-545.24610047985982"/>
    <m/>
    <m/>
    <m/>
    <m/>
    <m/>
    <m/>
    <m/>
    <m/>
    <m/>
    <m/>
    <m/>
    <m/>
    <n v="-986.07940000000008"/>
    <n v="529.58660000000009"/>
    <m/>
    <m/>
    <m/>
    <m/>
    <n v="671.03400000000011"/>
    <n v="-71.263919999999999"/>
    <n v="31"/>
    <n v="-84.412267968766628"/>
    <n v="-2.0008948816276053"/>
    <n v="-6.2689717403042167"/>
    <n v="0"/>
    <n v="0"/>
    <n v="0"/>
    <n v="0"/>
    <n v="0"/>
    <n v="-0.17551205121872604"/>
    <n v="0"/>
    <n v="0"/>
    <n v="-71.273078655070606"/>
    <n v="0"/>
    <n v="0"/>
    <n v="-0.19855873578629302"/>
    <n v="-11.831460631951188"/>
    <n v="0"/>
    <n v="6.3244387893027607"/>
    <m/>
    <n v="0"/>
    <n v="0"/>
    <n v="0"/>
    <n v="0"/>
    <n v="0.82953855453746783"/>
    <n v="0.18223138335174838"/>
    <n v="0"/>
    <n v="0"/>
    <m/>
    <m/>
    <m/>
    <n v="-931.22193263046734"/>
    <n v="0"/>
    <n v="0"/>
    <n v="671.03400000000011"/>
    <n v="-71.263920000000041"/>
    <n v="0"/>
    <n v="0"/>
    <n v="684.17789610657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0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74.7"/>
    <n v="74.7"/>
    <n v="74.7"/>
    <n v="74.7"/>
    <m/>
    <n v="571.87"/>
    <n v="216.76"/>
    <m/>
    <n v="58910.661"/>
    <n v="58910.661"/>
    <n v="38396.547000000006"/>
    <n v="0"/>
    <n v="4527.613093189736"/>
    <n v="0"/>
    <n v="0"/>
    <n v="0"/>
    <n v="61.396953353257459"/>
    <n v="31850.86005837725"/>
    <n v="15956.03211152561"/>
    <n v="235.8581338129913"/>
    <n v="0"/>
    <n v="0"/>
    <n v="0"/>
    <n v="0"/>
    <n v="700.2104342951618"/>
    <m/>
    <n v="143.30967584478822"/>
    <n v="663.46282185798214"/>
    <n v="2078.6847520880051"/>
    <n v="0"/>
    <n v="0"/>
    <n v="0"/>
    <n v="0"/>
    <n v="0"/>
    <n v="0"/>
    <n v="0"/>
    <n v="0"/>
    <n v="0"/>
    <n v="0"/>
    <m/>
    <n v="0"/>
    <n v="0"/>
    <n v="44.451700754539836"/>
    <n v="0"/>
    <n v="0"/>
    <n v="2648.7303387480206"/>
    <n v="0"/>
    <n v="197.55"/>
    <n v="912.45"/>
    <n v="2022.92"/>
    <n v="197"/>
    <m/>
    <m/>
    <m/>
    <m/>
    <m/>
    <n v="4607.4959999999983"/>
    <m/>
    <m/>
    <m/>
    <n v="18649.214151028173"/>
    <m/>
    <m/>
    <m/>
    <m/>
    <m/>
    <m/>
    <m/>
    <m/>
    <m/>
    <m/>
    <m/>
    <m/>
    <n v="33789.051000000007"/>
    <n v="-18052.779000000002"/>
    <m/>
    <m/>
    <m/>
    <m/>
    <n v="-22951.575000000001"/>
    <n v="2437.4609999999998"/>
    <n v="31"/>
    <n v="2887.1778467339245"/>
    <n v="68.437201308416775"/>
    <n v="214.41950045820749"/>
    <n v="0"/>
    <n v="0"/>
    <n v="0"/>
    <n v="0"/>
    <n v="0"/>
    <n v="6.0030907628382977"/>
    <n v="0"/>
    <n v="0"/>
    <n v="2437.7742561967843"/>
    <n v="0"/>
    <n v="0"/>
    <n v="6.7913633531300803"/>
    <n v="404.67495842800054"/>
    <n v="0"/>
    <n v="-216.31665639236053"/>
    <m/>
    <n v="0"/>
    <n v="0"/>
    <n v="0"/>
    <n v="0"/>
    <n v="-28.372953307668922"/>
    <n v="-6.2329140734320561"/>
    <n v="0"/>
    <n v="0"/>
    <m/>
    <m/>
    <m/>
    <n v="31850.86005837725"/>
    <n v="0"/>
    <n v="0"/>
    <n v="-22951.574999999997"/>
    <n v="2437.4610000000011"/>
    <n v="0"/>
    <n v="0"/>
    <n v="-23401.139578370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1"/>
    <s v="Regular"/>
    <s v="Verde"/>
    <s v="A4"/>
    <s v="Rural"/>
    <s v="Não se aplica"/>
    <s v="Não se aplica"/>
    <s v="Não se aplica"/>
    <s v="Ponta"/>
    <s v="CATIVO"/>
    <x v="6"/>
    <n v="0"/>
    <n v="0"/>
    <n v="5.9119999999999999"/>
    <n v="5.6755199999999997"/>
    <n v="5.9119999999999999"/>
    <n v="5.6755199999999997"/>
    <m/>
    <n v="2592.54"/>
    <n v="216.76"/>
    <m/>
    <n v="16608.581600000001"/>
    <n v="16608.581600000001"/>
    <n v="6983.2543999999998"/>
    <n v="0"/>
    <n v="311.74707212899358"/>
    <n v="0"/>
    <n v="0"/>
    <n v="0"/>
    <n v="29.894827344178392"/>
    <n v="13543.750574094562"/>
    <n v="1262.8120728693361"/>
    <n v="18.666576801906352"/>
    <n v="0"/>
    <n v="0"/>
    <n v="0"/>
    <n v="0"/>
    <n v="55.416922189464472"/>
    <m/>
    <n v="8.1184896257165722"/>
    <n v="266.71912054940236"/>
    <n v="1012.1388264584518"/>
    <n v="0"/>
    <n v="0"/>
    <n v="0"/>
    <n v="0"/>
    <n v="0"/>
    <n v="0"/>
    <n v="0"/>
    <n v="0"/>
    <n v="0"/>
    <n v="0"/>
    <m/>
    <n v="0"/>
    <n v="0"/>
    <n v="2.7035499052656999"/>
    <n v="0"/>
    <n v="0"/>
    <n v="96.579359161549149"/>
    <n v="0"/>
    <n v="0"/>
    <n v="0"/>
    <n v="0"/>
    <n v="0"/>
    <m/>
    <m/>
    <m/>
    <m/>
    <m/>
    <n v="279.33017600000028"/>
    <m/>
    <m/>
    <m/>
    <n v="1362.0949819361508"/>
    <m/>
    <m/>
    <m/>
    <m/>
    <m/>
    <m/>
    <m/>
    <m/>
    <m/>
    <m/>
    <m/>
    <m/>
    <n v="6709.2159999999985"/>
    <n v="-9235.0523360000007"/>
    <m/>
    <m/>
    <m/>
    <m/>
    <n v="-9818.2357599999996"/>
    <n v="192.90855999999997"/>
    <n v="31"/>
    <n v="325.44795981317156"/>
    <n v="27.512483811414597"/>
    <n v="104.40366262636667"/>
    <n v="0"/>
    <n v="0"/>
    <n v="0"/>
    <n v="0"/>
    <n v="0"/>
    <n v="2.9229685201792286"/>
    <n v="0"/>
    <n v="0"/>
    <n v="192.93335211024601"/>
    <n v="0"/>
    <n v="0"/>
    <n v="0.41305033189544949"/>
    <n v="14.755465130578941"/>
    <n v="0"/>
    <n v="-14.894400845444466"/>
    <m/>
    <n v="0"/>
    <n v="0"/>
    <n v="0"/>
    <n v="0"/>
    <n v="-2.2455274425025209"/>
    <n v="-0.35309442956207349"/>
    <n v="0"/>
    <n v="0"/>
    <m/>
    <m/>
    <m/>
    <n v="13543.750574094562"/>
    <n v="0"/>
    <n v="0"/>
    <n v="-9818.2357599999996"/>
    <n v="192.90856000000008"/>
    <n v="0"/>
    <n v="0"/>
    <n v="-9950.72651156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2"/>
    <s v="Regular"/>
    <s v="Verde"/>
    <s v="A4"/>
    <s v="Rural"/>
    <s v="Não se aplica"/>
    <s v="Não se aplica"/>
    <s v="Não se aplica"/>
    <s v="Fora ponta"/>
    <s v="CATIVO"/>
    <x v="6"/>
    <n v="0"/>
    <n v="0"/>
    <n v="50.784999999999997"/>
    <n v="48.753599999999999"/>
    <n v="50.784999999999997"/>
    <n v="48.753599999999999"/>
    <m/>
    <n v="80.27"/>
    <n v="216.76"/>
    <m/>
    <n v="15084.668549999999"/>
    <n v="15084.668549999999"/>
    <n v="16721.976949999997"/>
    <n v="0"/>
    <n v="2677.9558623259368"/>
    <n v="0"/>
    <n v="0"/>
    <n v="0"/>
    <n v="0"/>
    <n v="0"/>
    <n v="10847.752219328353"/>
    <n v="160.3487995407331"/>
    <n v="0"/>
    <n v="0"/>
    <n v="0"/>
    <n v="0"/>
    <n v="476.03998535046571"/>
    <m/>
    <n v="69.739089249326128"/>
    <n v="0"/>
    <n v="0"/>
    <n v="0"/>
    <n v="0"/>
    <n v="0"/>
    <n v="0"/>
    <n v="0"/>
    <n v="0"/>
    <n v="0"/>
    <n v="0"/>
    <n v="0"/>
    <n v="0"/>
    <m/>
    <n v="0"/>
    <n v="0"/>
    <n v="23.223914401034939"/>
    <n v="0"/>
    <n v="0"/>
    <n v="829.63172446198814"/>
    <n v="0"/>
    <n v="0"/>
    <n v="0"/>
    <n v="0"/>
    <n v="0"/>
    <m/>
    <m/>
    <m/>
    <m/>
    <m/>
    <n v="668.87907799999925"/>
    <m/>
    <m/>
    <m/>
    <n v="11700.607858191375"/>
    <m/>
    <m/>
    <m/>
    <m/>
    <m/>
    <m/>
    <m/>
    <m/>
    <m/>
    <m/>
    <m/>
    <m/>
    <n v="16051.912499999999"/>
    <n v="1570.6006919999982"/>
    <m/>
    <m/>
    <m/>
    <m/>
    <n v="-19.806150000000027"/>
    <n v="1657.1145499999996"/>
    <n v="31"/>
    <n v="1637.3596390344919"/>
    <n v="0"/>
    <n v="0"/>
    <n v="0"/>
    <n v="0"/>
    <n v="0"/>
    <n v="0"/>
    <n v="0"/>
    <n v="0"/>
    <n v="0"/>
    <n v="0"/>
    <n v="1657.327518085056"/>
    <n v="0"/>
    <n v="0"/>
    <n v="3.5481666280971602"/>
    <n v="126.75174165366218"/>
    <n v="0"/>
    <n v="-127.94522106493514"/>
    <m/>
    <n v="0"/>
    <n v="0"/>
    <n v="0"/>
    <n v="0"/>
    <n v="-19.289430170414562"/>
    <n v="-3.0331360969739336"/>
    <n v="0"/>
    <n v="0"/>
    <m/>
    <m/>
    <m/>
    <n v="0"/>
    <n v="0"/>
    <n v="0"/>
    <n v="-19.806150000000343"/>
    <n v="1657.114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3"/>
    <s v="Regular"/>
    <s v="Verde"/>
    <s v="A4"/>
    <s v="Rural"/>
    <s v="Não se aplica"/>
    <s v="Não se aplica"/>
    <s v="Não se aplica"/>
    <s v="Não se aplica"/>
    <s v="CATIVO"/>
    <x v="6"/>
    <n v="149"/>
    <n v="143.04"/>
    <n v="0"/>
    <n v="0"/>
    <n v="0"/>
    <n v="0"/>
    <n v="32.17"/>
    <m/>
    <m/>
    <n v="4793.33"/>
    <m/>
    <n v="4793.33"/>
    <n v="1926.57"/>
    <n v="0"/>
    <n v="0"/>
    <n v="0"/>
    <n v="0"/>
    <n v="0"/>
    <n v="14.887517544560035"/>
    <n v="4012.0835788454569"/>
    <m/>
    <m/>
    <m/>
    <n v="0"/>
    <n v="0"/>
    <n v="0"/>
    <n v="0"/>
    <m/>
    <n v="0"/>
    <n v="262.89874485564576"/>
    <n v="504.04690965140634"/>
    <n v="0"/>
    <n v="0"/>
    <m/>
    <m/>
    <n v="0"/>
    <n v="0"/>
    <n v="0"/>
    <m/>
    <m/>
    <n v="0"/>
    <m/>
    <n v="0"/>
    <n v="0"/>
    <n v="0"/>
    <n v="0"/>
    <m/>
    <n v="0"/>
    <n v="0"/>
    <n v="118.85"/>
    <n v="545.75"/>
    <n v="7.73"/>
    <n v="1"/>
    <m/>
    <m/>
    <m/>
    <m/>
    <m/>
    <n v="77.062800000000095"/>
    <m/>
    <m/>
    <m/>
    <n v="0"/>
    <m/>
    <m/>
    <m/>
    <m/>
    <m/>
    <m/>
    <m/>
    <m/>
    <m/>
    <m/>
    <m/>
    <m/>
    <n v="1849.5071999999998"/>
    <n v="-2752.1196000000009"/>
    <m/>
    <m/>
    <m/>
    <m/>
    <n v="-2866.76"/>
    <n v="0"/>
    <n v="31"/>
    <n v="80.567241134825622"/>
    <n v="27.118406235681505"/>
    <n v="51.993206986483131"/>
    <n v="0"/>
    <n v="0"/>
    <m/>
    <m/>
    <m/>
    <n v="1.4556279126609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12.0835788454569"/>
    <m/>
    <n v="0"/>
    <n v="0"/>
    <n v="-2866.76"/>
    <m/>
    <n v="0"/>
    <m/>
    <n v="-2947.717193713792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14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49.322000000000003"/>
    <n v="49.322000000000003"/>
    <n v="49.322000000000003"/>
    <n v="49.322000000000003"/>
    <m/>
    <n v="571.87"/>
    <n v="216.76"/>
    <m/>
    <n v="38896.808860000005"/>
    <n v="38896.808860000005"/>
    <n v="25352.001220000002"/>
    <n v="0"/>
    <n v="2989.4368538461067"/>
    <n v="0"/>
    <n v="0"/>
    <n v="0"/>
    <n v="40.53842748714009"/>
    <n v="21030.095311904723"/>
    <n v="10535.253223623375"/>
    <n v="155.72951641130331"/>
    <n v="0"/>
    <n v="0"/>
    <n v="0"/>
    <n v="0"/>
    <n v="462.32635930797818"/>
    <m/>
    <n v="94.622755448683321"/>
    <n v="438.06309638125026"/>
    <n v="1372.4884784803826"/>
    <n v="0"/>
    <n v="0"/>
    <n v="0"/>
    <n v="0"/>
    <n v="0"/>
    <n v="0"/>
    <n v="0"/>
    <n v="0"/>
    <n v="0"/>
    <n v="0"/>
    <m/>
    <n v="0"/>
    <n v="0"/>
    <n v="29.350023890433921"/>
    <n v="0"/>
    <n v="0"/>
    <n v="1748.8711883230237"/>
    <n v="0"/>
    <n v="117.31"/>
    <n v="540.78"/>
    <n v="10216.19"/>
    <n v="107"/>
    <m/>
    <m/>
    <m/>
    <m/>
    <m/>
    <m/>
    <m/>
    <m/>
    <m/>
    <n v="12313.474435836833"/>
    <m/>
    <m/>
    <m/>
    <m/>
    <m/>
    <m/>
    <m/>
    <m/>
    <m/>
    <m/>
    <m/>
    <m/>
    <n v="25350.9732"/>
    <n v="-13545.865659999996"/>
    <m/>
    <m/>
    <m/>
    <m/>
    <n v="-15154.184500000001"/>
    <n v="1609.3768599999999"/>
    <n v="31"/>
    <n v="1906.3103849613181"/>
    <n v="45.186876076756789"/>
    <n v="141.57427846853716"/>
    <n v="0"/>
    <n v="0"/>
    <n v="0"/>
    <n v="0"/>
    <n v="0"/>
    <n v="3.9636471566895608"/>
    <n v="0"/>
    <n v="0"/>
    <n v="1609.5836929603465"/>
    <n v="0"/>
    <n v="0"/>
    <n v="4.4841181165071156"/>
    <n v="267.19381927156428"/>
    <n v="0"/>
    <n v="-142.8269093250874"/>
    <m/>
    <n v="0"/>
    <n v="0"/>
    <n v="0"/>
    <n v="0"/>
    <n v="-18.733745689971158"/>
    <n v="-4.1153920740269854"/>
    <n v="0"/>
    <n v="0"/>
    <m/>
    <m/>
    <m/>
    <n v="21030.095311904723"/>
    <n v="0"/>
    <n v="0"/>
    <n v="-15154.184499999999"/>
    <n v="1609.3768600000003"/>
    <n v="0"/>
    <n v="0"/>
    <n v="-15451.017487073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5"/>
    <s v="Sistema de Compensação"/>
    <s v="Convencional"/>
    <s v="B3"/>
    <s v="Poder público"/>
    <s v="Não se aplica"/>
    <s v="Não se aplica"/>
    <s v="Não se aplica"/>
    <s v="Não se aplica"/>
    <s v="CATIVO"/>
    <x v="6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23"/>
    <n v="1.1000000000000001"/>
    <n v="93.61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1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6"/>
    <s v="Sistema de Compensação"/>
    <s v="Verde"/>
    <s v="A4"/>
    <s v="Poder público"/>
    <s v="Não se aplica"/>
    <s v="Não se aplica"/>
    <s v="Não se aplica"/>
    <s v="Não se aplica"/>
    <s v="CATIVO"/>
    <x v="6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6.16"/>
    <n v="28.31"/>
    <n v="858.86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n v="31"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17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74.731999999999999"/>
    <n v="74.731999999999999"/>
    <n v="74.731999999999999"/>
    <n v="74.731999999999999"/>
    <m/>
    <n v="314.52999999999997"/>
    <n v="119.22"/>
    <m/>
    <n v="32415.004999999997"/>
    <n v="32415.004999999997"/>
    <n v="21127.483719999997"/>
    <n v="0"/>
    <n v="2491.2539481143285"/>
    <n v="0"/>
    <n v="0"/>
    <n v="0"/>
    <n v="33.782790025402974"/>
    <n v="17525.477384678117"/>
    <n v="8779.5770477535953"/>
    <n v="129.77754392050693"/>
    <n v="0"/>
    <n v="0"/>
    <n v="0"/>
    <n v="0"/>
    <n v="385.28071481472955"/>
    <m/>
    <n v="78.854086778821738"/>
    <n v="365.06086990227425"/>
    <n v="1143.7663706984238"/>
    <n v="0"/>
    <n v="0"/>
    <n v="0"/>
    <n v="0"/>
    <n v="0"/>
    <n v="0"/>
    <n v="0"/>
    <n v="0"/>
    <n v="0"/>
    <n v="0"/>
    <m/>
    <n v="0"/>
    <n v="0"/>
    <n v="24.458908640342059"/>
    <n v="0"/>
    <n v="0"/>
    <n v="1457.4257512908246"/>
    <n v="0"/>
    <n v="115.46"/>
    <n v="530.41999999999996"/>
    <n v="8096.24"/>
    <n v="10"/>
    <m/>
    <m/>
    <m/>
    <m/>
    <m/>
    <m/>
    <m/>
    <m/>
    <m/>
    <n v="10261.461707684761"/>
    <m/>
    <m/>
    <m/>
    <m/>
    <m/>
    <m/>
    <m/>
    <m/>
    <m/>
    <m/>
    <m/>
    <m/>
    <n v="21126.918299999998"/>
    <n v="-11288.116699999995"/>
    <m/>
    <m/>
    <m/>
    <m/>
    <n v="-12628.960679999998"/>
    <n v="1341.4393999999991"/>
    <n v="31"/>
    <n v="1588.6280610865415"/>
    <n v="37.656585147247085"/>
    <n v="117.98124443820325"/>
    <n v="0"/>
    <n v="0"/>
    <n v="0"/>
    <n v="0"/>
    <n v="0"/>
    <n v="3.3031143023913785"/>
    <n v="0"/>
    <n v="0"/>
    <n v="1341.3502027142295"/>
    <n v="0"/>
    <n v="0"/>
    <n v="3.7368499512498126"/>
    <n v="222.66657223939001"/>
    <n v="0"/>
    <n v="-119.0251271891907"/>
    <m/>
    <n v="0"/>
    <n v="0"/>
    <n v="0"/>
    <n v="0"/>
    <n v="-15.611809245298105"/>
    <n v="-3.429571271681823"/>
    <n v="0"/>
    <n v="0"/>
    <m/>
    <m/>
    <m/>
    <n v="17525.477384678117"/>
    <n v="0"/>
    <n v="0"/>
    <n v="-12628.96068"/>
    <n v="1341.4393999999993"/>
    <n v="0"/>
    <n v="0"/>
    <n v="-12876.140289610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8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67.392"/>
    <n v="157.34848"/>
    <n v="167.392"/>
    <n v="157.34848"/>
    <m/>
    <n v="571.87"/>
    <n v="216.76"/>
    <m/>
    <n v="132010.35295999999"/>
    <n v="132010.35295999999"/>
    <n v="86041.161919999999"/>
    <n v="0"/>
    <n v="10145.732408235826"/>
    <n v="0"/>
    <n v="0"/>
    <n v="0"/>
    <n v="137.58177798806523"/>
    <n v="71373.215085567383"/>
    <n v="35755.18242587008"/>
    <n v="528.52429364423347"/>
    <n v="0"/>
    <n v="0"/>
    <n v="0"/>
    <n v="0"/>
    <n v="1569.0712853753107"/>
    <m/>
    <n v="321.13645594391949"/>
    <n v="1486.7251496178224"/>
    <n v="4658.0347794044892"/>
    <n v="0"/>
    <n v="0"/>
    <n v="0"/>
    <n v="0"/>
    <n v="0"/>
    <n v="0"/>
    <n v="0"/>
    <n v="0"/>
    <n v="0"/>
    <n v="0"/>
    <m/>
    <n v="0"/>
    <n v="0"/>
    <n v="99.609894145969633"/>
    <n v="0"/>
    <n v="0"/>
    <n v="5935.4252859934222"/>
    <n v="0"/>
    <n v="383.1"/>
    <n v="1761.44"/>
    <n v="37089.480000000003"/>
    <n v="93"/>
    <m/>
    <m/>
    <m/>
    <m/>
    <n v="5162.4697152000008"/>
    <m/>
    <m/>
    <m/>
    <m/>
    <n v="41790.217606009472"/>
    <m/>
    <m/>
    <m/>
    <m/>
    <m/>
    <m/>
    <m/>
    <m/>
    <m/>
    <m/>
    <m/>
    <m/>
    <n v="80879.473499999993"/>
    <n v="-43210.288282399983"/>
    <m/>
    <m/>
    <m/>
    <m/>
    <n v="-51431.191999999995"/>
    <n v="5462.0009599999994"/>
    <n v="31"/>
    <n v="6469.7519962581573"/>
    <n v="153.35796521309908"/>
    <n v="480.48338715796854"/>
    <n v="0"/>
    <n v="0"/>
    <n v="0"/>
    <n v="0"/>
    <n v="0"/>
    <n v="13.452066519049907"/>
    <n v="0"/>
    <n v="0"/>
    <n v="5462.7029222662895"/>
    <n v="0"/>
    <n v="0"/>
    <n v="15.218472482023429"/>
    <n v="906.81861634778943"/>
    <n v="0"/>
    <n v="-484.73464185850025"/>
    <m/>
    <n v="0"/>
    <n v="0"/>
    <n v="0"/>
    <n v="0"/>
    <n v="-63.579724231289219"/>
    <n v="-13.967067638285641"/>
    <n v="0"/>
    <n v="0"/>
    <m/>
    <m/>
    <m/>
    <n v="71373.215085567383"/>
    <n v="0"/>
    <n v="0"/>
    <n v="-51431.192000000003"/>
    <n v="5462.0009600000049"/>
    <n v="0"/>
    <n v="0"/>
    <n v="-52438.60182466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19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7.7309999999999999"/>
    <n v="7.2671400000000004"/>
    <n v="7.7309999999999999"/>
    <n v="7.2671400000000004"/>
    <m/>
    <n v="2592.54"/>
    <n v="216.76"/>
    <m/>
    <n v="21718.6983"/>
    <n v="21718.6983"/>
    <n v="9131.8571999999986"/>
    <n v="0"/>
    <n v="407.66519191969707"/>
    <n v="0"/>
    <n v="0"/>
    <n v="0"/>
    <n v="39.092846785832741"/>
    <n v="17710.882220623316"/>
    <n v="1651.3532028675299"/>
    <n v="24.409896017513194"/>
    <n v="0"/>
    <n v="0"/>
    <n v="0"/>
    <n v="0"/>
    <n v="72.467561814402885"/>
    <m/>
    <n v="10.61638080115271"/>
    <n v="348.78307188217684"/>
    <n v="1323.5529883880736"/>
    <n v="0"/>
    <n v="0"/>
    <n v="0"/>
    <n v="0"/>
    <n v="0"/>
    <n v="0"/>
    <n v="0"/>
    <n v="0"/>
    <n v="0"/>
    <n v="0"/>
    <m/>
    <n v="0"/>
    <n v="0"/>
    <n v="3.5353762377552651"/>
    <n v="0"/>
    <n v="0"/>
    <n v="126.29482842996219"/>
    <n v="0"/>
    <n v="0"/>
    <n v="0"/>
    <n v="0"/>
    <n v="0"/>
    <m/>
    <m/>
    <m/>
    <m/>
    <n v="547.91143199999931"/>
    <m/>
    <m/>
    <m/>
    <m/>
    <n v="1781.1834075352476"/>
    <m/>
    <m/>
    <m/>
    <m/>
    <m/>
    <m/>
    <m/>
    <m/>
    <m/>
    <m/>
    <m/>
    <m/>
    <n v="8587.3239999999987"/>
    <n v="-11828.282401999999"/>
    <m/>
    <m/>
    <m/>
    <m/>
    <n v="-12839.10363"/>
    <n v="252.26252999999997"/>
    <n v="31"/>
    <n v="425.58155908586468"/>
    <n v="35.977505471252755"/>
    <n v="136.52650807923555"/>
    <n v="0"/>
    <n v="0"/>
    <n v="0"/>
    <n v="0"/>
    <n v="0"/>
    <n v="3.8223054177106874"/>
    <n v="0"/>
    <n v="0"/>
    <n v="252.29495012928169"/>
    <n v="0"/>
    <n v="0"/>
    <n v="0.54013736736869378"/>
    <n v="19.295416259219508"/>
    <n v="0"/>
    <n v="-19.477099617072213"/>
    <m/>
    <n v="0"/>
    <n v="0"/>
    <n v="0"/>
    <n v="0"/>
    <n v="-2.9364297459382698"/>
    <n v="-0.46173427519357091"/>
    <n v="0"/>
    <n v="0"/>
    <m/>
    <m/>
    <m/>
    <n v="17710.882220623316"/>
    <n v="0"/>
    <n v="0"/>
    <n v="-12839.10363"/>
    <n v="252.26252999999997"/>
    <n v="0"/>
    <n v="0"/>
    <n v="-13012.359042778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20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12.72499999999999"/>
    <n v="105.9615"/>
    <n v="112.72499999999999"/>
    <n v="105.9615"/>
    <m/>
    <n v="80.27"/>
    <n v="216.76"/>
    <m/>
    <n v="33482.706749999998"/>
    <n v="33482.706749999998"/>
    <n v="37116.960749999998"/>
    <n v="0"/>
    <n v="5944.128671471718"/>
    <n v="0"/>
    <n v="0"/>
    <n v="0"/>
    <n v="0"/>
    <n v="0"/>
    <n v="24078.229180344366"/>
    <n v="355.9184489165923"/>
    <n v="0"/>
    <n v="0"/>
    <n v="0"/>
    <n v="0"/>
    <n v="1056.6428541622772"/>
    <m/>
    <n v="154.79647210062595"/>
    <n v="0"/>
    <n v="0"/>
    <n v="0"/>
    <n v="0"/>
    <n v="0"/>
    <n v="0"/>
    <n v="0"/>
    <n v="0"/>
    <n v="0"/>
    <n v="0"/>
    <n v="0"/>
    <n v="0"/>
    <m/>
    <n v="0"/>
    <n v="0"/>
    <n v="51.548995783334917"/>
    <n v="0"/>
    <n v="0"/>
    <n v="1841.4932783297747"/>
    <n v="0"/>
    <n v="0"/>
    <n v="0"/>
    <n v="0"/>
    <n v="0"/>
    <m/>
    <m/>
    <m/>
    <m/>
    <n v="2227.0176449999976"/>
    <m/>
    <m/>
    <m/>
    <m/>
    <n v="25971.271454457474"/>
    <m/>
    <m/>
    <m/>
    <m/>
    <m/>
    <m/>
    <m/>
    <m/>
    <m/>
    <m/>
    <m/>
    <m/>
    <n v="34889.449199999995"/>
    <n v="3415.6748549999975"/>
    <m/>
    <m/>
    <m/>
    <m/>
    <n v="-43.962750000000064"/>
    <n v="3678.2167499999991"/>
    <n v="31"/>
    <n v="3634.3677327983241"/>
    <n v="0"/>
    <n v="0"/>
    <n v="0"/>
    <n v="0"/>
    <n v="0"/>
    <n v="0"/>
    <n v="0"/>
    <n v="0"/>
    <n v="0"/>
    <n v="0"/>
    <n v="3678.6894649234637"/>
    <n v="0"/>
    <n v="0"/>
    <n v="7.8756932785714682"/>
    <n v="281.34468992633788"/>
    <n v="0"/>
    <n v="-283.99379825824144"/>
    <m/>
    <n v="0"/>
    <n v="0"/>
    <n v="0"/>
    <n v="0"/>
    <n v="-42.815812069705203"/>
    <n v="-6.7325050020948538"/>
    <n v="0"/>
    <n v="0"/>
    <m/>
    <m/>
    <m/>
    <n v="0"/>
    <n v="0"/>
    <n v="0"/>
    <n v="-43.962750000000597"/>
    <n v="3678.2167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21"/>
    <s v="Regular"/>
    <s v="Verde"/>
    <s v="A4"/>
    <s v="Serviço público"/>
    <s v="Água, esgoto e saneamento"/>
    <s v="Não se aplica"/>
    <s v="Não se aplica"/>
    <s v="Não se aplica"/>
    <s v="CATIVO"/>
    <x v="6"/>
    <n v="399"/>
    <n v="375.06"/>
    <n v="0"/>
    <n v="0"/>
    <n v="0"/>
    <n v="0"/>
    <n v="32.17"/>
    <m/>
    <m/>
    <n v="12835.83"/>
    <m/>
    <n v="12835.83"/>
    <n v="5159.07"/>
    <n v="0"/>
    <n v="0"/>
    <n v="0"/>
    <n v="0"/>
    <n v="0"/>
    <n v="39.866573827378886"/>
    <n v="10743.767435968706"/>
    <m/>
    <m/>
    <m/>
    <n v="0"/>
    <n v="0"/>
    <n v="0"/>
    <n v="0"/>
    <m/>
    <n v="0"/>
    <n v="704.00402145907833"/>
    <n v="1349.7632010128264"/>
    <n v="0"/>
    <n v="0"/>
    <m/>
    <m/>
    <n v="0"/>
    <n v="0"/>
    <n v="0"/>
    <m/>
    <m/>
    <n v="0"/>
    <m/>
    <n v="0"/>
    <n v="0"/>
    <n v="0"/>
    <n v="0"/>
    <m/>
    <n v="0"/>
    <n v="0"/>
    <n v="238.11"/>
    <n v="1093.3900000000001"/>
    <n v="23205.53"/>
    <n v="2"/>
    <m/>
    <m/>
    <m/>
    <m/>
    <n v="309.54419999999999"/>
    <m/>
    <m/>
    <m/>
    <m/>
    <n v="0"/>
    <m/>
    <m/>
    <m/>
    <m/>
    <m/>
    <m/>
    <m/>
    <m/>
    <m/>
    <m/>
    <m/>
    <m/>
    <n v="4849.5258000000003"/>
    <n v="-7216.184400000001"/>
    <m/>
    <m/>
    <m/>
    <m/>
    <n v="-7676.7600000000011"/>
    <n v="0"/>
    <n v="31"/>
    <n v="215.74717592480101"/>
    <n v="72.619087839173972"/>
    <n v="139.23013146044809"/>
    <n v="0"/>
    <n v="0"/>
    <m/>
    <m/>
    <m/>
    <n v="3.89795662517936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43.767435968706"/>
    <m/>
    <n v="0"/>
    <n v="0"/>
    <n v="-7676.76"/>
    <m/>
    <n v="0"/>
    <m/>
    <n v="-7893.55141135438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22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0.35"/>
    <n v="0.35"/>
    <n v="0.35"/>
    <n v="0.35"/>
    <m/>
    <n v="571.87"/>
    <n v="216.76"/>
    <m/>
    <n v="276.02049999999997"/>
    <n v="276.02049999999997"/>
    <n v="179.90349999999998"/>
    <n v="0"/>
    <n v="21.213715965413755"/>
    <n v="0"/>
    <n v="0"/>
    <n v="0"/>
    <n v="0.28766979482784616"/>
    <n v="149.23428407539538"/>
    <n v="74.760525288272589"/>
    <n v="1.1050916577583259"/>
    <n v="0"/>
    <n v="0"/>
    <n v="0"/>
    <n v="0"/>
    <n v="3.280771780499419"/>
    <m/>
    <n v="0.67146434465429539"/>
    <n v="3.1085942121859937"/>
    <n v="9.7394867902383098"/>
    <n v="0"/>
    <n v="0"/>
    <n v="0"/>
    <n v="0"/>
    <n v="0"/>
    <n v="0"/>
    <n v="0"/>
    <n v="0"/>
    <n v="0"/>
    <n v="0"/>
    <m/>
    <n v="0"/>
    <n v="0"/>
    <n v="0.2082743676584865"/>
    <n v="0"/>
    <n v="0"/>
    <n v="12.410383113277204"/>
    <n v="0"/>
    <n v="0.82"/>
    <n v="3.83"/>
    <n v="78.05"/>
    <n v="3"/>
    <m/>
    <m/>
    <m/>
    <m/>
    <m/>
    <m/>
    <m/>
    <m/>
    <m/>
    <n v="87.379182769208285"/>
    <m/>
    <m/>
    <m/>
    <m/>
    <m/>
    <m/>
    <m/>
    <m/>
    <m/>
    <m/>
    <m/>
    <m/>
    <n v="179.90349999999998"/>
    <n v="-96.146999999999963"/>
    <m/>
    <m/>
    <m/>
    <m/>
    <n v="-107.53749999999999"/>
    <n v="11.420499999999997"/>
    <n v="31"/>
    <n v="13.527607046276671"/>
    <n v="0.32065623103006491"/>
    <n v="1.0046429071000347"/>
    <n v="0"/>
    <n v="0"/>
    <n v="0"/>
    <n v="0"/>
    <n v="0"/>
    <n v="2.8126931285052281E-2"/>
    <n v="0"/>
    <n v="0"/>
    <n v="11.421967733184403"/>
    <n v="0"/>
    <n v="0"/>
    <n v="3.1820310222162335E-2"/>
    <n v="1.8960674089665339"/>
    <n v="0"/>
    <n v="-1.0135318572600589"/>
    <m/>
    <n v="0"/>
    <n v="0"/>
    <n v="0"/>
    <n v="0"/>
    <n v="-0.1329388709194661"/>
    <n v="-2.9203747332010921E-2"/>
    <n v="0"/>
    <n v="0"/>
    <m/>
    <m/>
    <m/>
    <n v="149.23428407539538"/>
    <n v="0"/>
    <n v="0"/>
    <n v="-107.53749999999999"/>
    <n v="11.420500000000004"/>
    <n v="0"/>
    <n v="0"/>
    <n v="-109.6438936068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23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55.12"/>
    <n v="2092.48"/>
    <n v="1044.31"/>
    <n v="12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24"/>
    <s v="Refaturamento - 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9.65"/>
    <n v="-44.2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25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.37"/>
    <n v="66.14"/>
    <n v="37.770000000000003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26"/>
    <s v="Regular"/>
    <s v="Convencional"/>
    <s v="B2"/>
    <s v="Rural"/>
    <s v="Agropecuária rural"/>
    <s v="IRRIG./AQUIC."/>
    <s v="Não se aplica"/>
    <s v="Não se aplica"/>
    <s v="CATIVO"/>
    <x v="6"/>
    <n v="0"/>
    <n v="0"/>
    <n v="130.48699999999999"/>
    <n v="130.48699999999999"/>
    <n v="130.48699999999999"/>
    <n v="130.48699999999999"/>
    <m/>
    <n v="571.87"/>
    <n v="216.76"/>
    <m/>
    <n v="102905.96281"/>
    <n v="102905.96281"/>
    <n v="67071.622869999992"/>
    <n v="0"/>
    <n v="7908.8975862255556"/>
    <n v="0"/>
    <n v="0"/>
    <n v="0"/>
    <n v="107.24905290771761"/>
    <n v="55637.525788988911"/>
    <n v="27872.219037973791"/>
    <n v="412.00027184545911"/>
    <n v="0"/>
    <n v="0"/>
    <n v="0"/>
    <n v="0"/>
    <n v="1223.1373352057935"/>
    <m/>
    <n v="250.33533697401444"/>
    <n v="1158.9460941871821"/>
    <n v="3631.0754651366465"/>
    <n v="0"/>
    <n v="0"/>
    <n v="0"/>
    <n v="0"/>
    <n v="0"/>
    <n v="0"/>
    <n v="0"/>
    <n v="0"/>
    <n v="0"/>
    <n v="0"/>
    <m/>
    <n v="0"/>
    <n v="0"/>
    <n v="77.648849750436938"/>
    <n v="0"/>
    <n v="0"/>
    <n v="4626.8390322920068"/>
    <n v="0"/>
    <n v="0"/>
    <n v="0"/>
    <n v="0"/>
    <n v="0"/>
    <m/>
    <m/>
    <m/>
    <m/>
    <m/>
    <n v="8048.438159999997"/>
    <m/>
    <m/>
    <m/>
    <n v="32576.706920016233"/>
    <m/>
    <m/>
    <m/>
    <m/>
    <m/>
    <m/>
    <m/>
    <m/>
    <m/>
    <m/>
    <m/>
    <m/>
    <n v="59024.541700000002"/>
    <n v="-31533.466299999985"/>
    <m/>
    <m/>
    <m/>
    <m/>
    <n v="-40092.130749999997"/>
    <n v="4257.7908099999995"/>
    <n v="31"/>
    <n v="5043.3624589928804"/>
    <n v="119.54705605262893"/>
    <n v="374.55096862503524"/>
    <n v="0"/>
    <n v="0"/>
    <n v="0"/>
    <n v="0"/>
    <n v="0"/>
    <n v="10.486282521693184"/>
    <n v="0"/>
    <n v="0"/>
    <n v="4258.3380102858064"/>
    <n v="0"/>
    <n v="0"/>
    <n v="11.863248057026567"/>
    <n v="706.89185141090366"/>
    <n v="0"/>
    <n v="-377.86494702369419"/>
    <m/>
    <n v="0"/>
    <n v="0"/>
    <n v="0"/>
    <n v="0"/>
    <n v="-49.562269856195371"/>
    <n v="-10.887741080320325"/>
    <n v="0"/>
    <n v="0"/>
    <m/>
    <m/>
    <m/>
    <n v="55637.525788988911"/>
    <n v="0"/>
    <n v="0"/>
    <n v="-40092.130749999989"/>
    <n v="4257.7908099999986"/>
    <n v="0"/>
    <n v="0"/>
    <n v="-40877.436414495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27"/>
    <s v="Refaturamento - Regular"/>
    <s v="Convencional"/>
    <s v="B2"/>
    <s v="Rural"/>
    <s v="Agropecuária rural"/>
    <s v="IRRIG./AQUIC."/>
    <s v="Não se aplica"/>
    <s v="Não se aplica"/>
    <s v="CATIVO"/>
    <x v="6"/>
    <n v="0"/>
    <n v="0"/>
    <n v="-9.2999999999999999E-2"/>
    <n v="-9.2999999999999999E-2"/>
    <n v="-9.2999999999999999E-2"/>
    <n v="-9.2999999999999999E-2"/>
    <m/>
    <n v="571.87"/>
    <n v="216.76"/>
    <m/>
    <n v="-73.342590000000001"/>
    <n v="-73.342590000000001"/>
    <n v="-47.802930000000003"/>
    <n v="0"/>
    <n v="-5.6367873850956549"/>
    <n v="0"/>
    <n v="0"/>
    <n v="0"/>
    <n v="-7.6437974054256272E-2"/>
    <n v="-39.653681197176489"/>
    <n v="-19.864939576598147"/>
    <n v="-0.29363864049006949"/>
    <n v="0"/>
    <n v="0"/>
    <n v="0"/>
    <n v="0"/>
    <n v="-0.87174793024698849"/>
    <m/>
    <n v="-0.17841766872242709"/>
    <n v="-0.82599789066656404"/>
    <n v="-2.5879207756918938"/>
    <n v="0"/>
    <n v="0"/>
    <n v="0"/>
    <n v="0"/>
    <n v="0"/>
    <n v="0"/>
    <n v="0"/>
    <n v="0"/>
    <n v="0"/>
    <n v="0"/>
    <m/>
    <n v="0"/>
    <n v="0"/>
    <n v="-5.5341474834969269E-2"/>
    <n v="0"/>
    <n v="0"/>
    <n v="-3.2976160843850857"/>
    <n v="0"/>
    <n v="0"/>
    <n v="0"/>
    <n v="0"/>
    <n v="0"/>
    <m/>
    <m/>
    <m/>
    <m/>
    <m/>
    <n v="-5.7362399999999978"/>
    <m/>
    <m/>
    <m/>
    <n v="-23.217897135818202"/>
    <m/>
    <m/>
    <m/>
    <m/>
    <m/>
    <m/>
    <m/>
    <m/>
    <m/>
    <m/>
    <m/>
    <m/>
    <n v="-40.709699999999998"/>
    <n v="23.802300000000002"/>
    <m/>
    <m/>
    <m/>
    <m/>
    <n v="28.574249999999999"/>
    <n v="-3.0345899999999997"/>
    <n v="31"/>
    <n v="-3.5944784437249595"/>
    <n v="-8.5202941387988784E-2"/>
    <n v="-0.26694797245800927"/>
    <n v="0"/>
    <n v="0"/>
    <n v="0"/>
    <n v="0"/>
    <n v="0"/>
    <n v="-7.4737274557424571E-3"/>
    <n v="0"/>
    <n v="0"/>
    <n v="-3.0349799976747143"/>
    <n v="0"/>
    <n v="0"/>
    <n v="-8.4551110018888584E-3"/>
    <n v="-0.50381219723967918"/>
    <n v="0"/>
    <n v="0.26930989350052936"/>
    <m/>
    <n v="0"/>
    <n v="0"/>
    <n v="0"/>
    <n v="0"/>
    <n v="3.5323757130029554E-2"/>
    <n v="7.7598528625057728E-3"/>
    <n v="0"/>
    <n v="0"/>
    <m/>
    <m/>
    <m/>
    <n v="-39.653681197176489"/>
    <n v="0"/>
    <n v="0"/>
    <n v="28.574249999999996"/>
    <n v="-3.0345899999999979"/>
    <n v="0"/>
    <n v="0"/>
    <n v="29.13394887267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28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5.4820000000000002"/>
    <n v="5.4820000000000002"/>
    <n v="5.4820000000000002"/>
    <n v="5.4820000000000002"/>
    <m/>
    <n v="571.87"/>
    <n v="216.76"/>
    <m/>
    <n v="4323.2696599999999"/>
    <n v="4323.2696599999999"/>
    <n v="2817.8028199999999"/>
    <n v="0"/>
    <n v="332.26740263542348"/>
    <n v="0"/>
    <n v="0"/>
    <n v="0"/>
    <n v="4.50573090070358"/>
    <n v="2337.4352722894787"/>
    <n v="1170.9634275151725"/>
    <n v="17.308892765231839"/>
    <n v="0"/>
    <n v="0"/>
    <n v="0"/>
    <n v="0"/>
    <n v="51.386259716279476"/>
    <m/>
    <n v="10.517050106842422"/>
    <n v="48.689467060581769"/>
    <n v="152.5481902402469"/>
    <n v="0"/>
    <n v="0"/>
    <n v="0"/>
    <n v="0"/>
    <n v="0"/>
    <n v="0"/>
    <n v="0"/>
    <n v="0"/>
    <n v="0"/>
    <n v="0"/>
    <m/>
    <n v="0"/>
    <n v="0"/>
    <n v="3.2621716671537802"/>
    <n v="0"/>
    <n v="0"/>
    <n v="194.38205779138752"/>
    <n v="0"/>
    <n v="0"/>
    <n v="0"/>
    <n v="0"/>
    <n v="0"/>
    <m/>
    <m/>
    <m/>
    <m/>
    <m/>
    <n v="338.12975999999992"/>
    <m/>
    <m/>
    <m/>
    <n v="1368.6076569737138"/>
    <m/>
    <m/>
    <m/>
    <m/>
    <m/>
    <m/>
    <m/>
    <m/>
    <m/>
    <m/>
    <m/>
    <m/>
    <n v="2478.7683999999999"/>
    <n v="-1325.7696000000005"/>
    <m/>
    <m/>
    <m/>
    <m/>
    <n v="-1684.3445000000002"/>
    <n v="178.87765999999999"/>
    <n v="31"/>
    <n v="211.88097665053988"/>
    <n v="5.0223927385909022"/>
    <n v="15.735578333492555"/>
    <n v="0"/>
    <n v="0"/>
    <n v="0"/>
    <n v="0"/>
    <n v="0"/>
    <n v="0.44054810658473276"/>
    <n v="0"/>
    <n v="0"/>
    <n v="178.90064889519113"/>
    <n v="0"/>
    <n v="0"/>
    <n v="0.49839697325112597"/>
    <n v="29.697832959870141"/>
    <n v="0"/>
    <n v="-15.874804689998939"/>
    <m/>
    <n v="0"/>
    <n v="0"/>
    <n v="0"/>
    <n v="0"/>
    <n v="-2.0822025439443266"/>
    <n v="-0.45741412249738289"/>
    <n v="0"/>
    <n v="0"/>
    <m/>
    <m/>
    <m/>
    <n v="2337.4352722894787"/>
    <n v="0"/>
    <n v="0"/>
    <n v="-1684.3444999999999"/>
    <n v="178.87766000000011"/>
    <n v="0"/>
    <n v="0"/>
    <n v="-1717.336642150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29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144.81700000000001"/>
    <n v="57.9268"/>
    <n v="144.81700000000001"/>
    <n v="57.9268"/>
    <m/>
    <n v="571.87"/>
    <n v="216.76"/>
    <m/>
    <n v="114207.03071000001"/>
    <n v="114207.03071000001"/>
    <n v="74437.386170000012"/>
    <n v="0"/>
    <n v="8777.4477284666391"/>
    <n v="0"/>
    <n v="0"/>
    <n v="0"/>
    <n v="119.02707622166915"/>
    <n v="61747.603762704392"/>
    <n v="30933.128544776497"/>
    <n v="457.24588171882147"/>
    <n v="0"/>
    <n v="0"/>
    <n v="0"/>
    <n v="0"/>
    <n v="1357.4615055330983"/>
    <m/>
    <n v="277.82700571371748"/>
    <n v="1286.220822931826"/>
    <n v="4029.8378814341181"/>
    <n v="0"/>
    <n v="0"/>
    <n v="0"/>
    <n v="0"/>
    <n v="0"/>
    <n v="0"/>
    <n v="0"/>
    <n v="0"/>
    <n v="0"/>
    <n v="0"/>
    <m/>
    <n v="0"/>
    <n v="0"/>
    <n v="86.176197431997267"/>
    <n v="0"/>
    <n v="0"/>
    <n v="5134.955575187043"/>
    <n v="0"/>
    <n v="0"/>
    <n v="0"/>
    <n v="0"/>
    <n v="0"/>
    <m/>
    <m/>
    <m/>
    <m/>
    <m/>
    <m/>
    <n v="48235.356726000005"/>
    <m/>
    <m/>
    <n v="36154.260317395536"/>
    <m/>
    <m/>
    <m/>
    <m/>
    <m/>
    <m/>
    <m/>
    <m/>
    <m/>
    <m/>
    <m/>
    <m/>
    <n v="26203.476900000001"/>
    <n v="-13997.7523"/>
    <m/>
    <m/>
    <m/>
    <m/>
    <n v="-44495.023250000006"/>
    <n v="4725.37871"/>
    <n v="31"/>
    <n v="5597.2213417732928"/>
    <n v="132.6756383116599"/>
    <n v="415.68391965001638"/>
    <n v="0"/>
    <n v="0"/>
    <n v="0"/>
    <n v="0"/>
    <n v="0"/>
    <n v="11.637879451164054"/>
    <n v="0"/>
    <n v="0"/>
    <n v="4725.986003475904"/>
    <n v="0"/>
    <n v="0"/>
    <n v="13.166062472693952"/>
    <n v="784.52226846944814"/>
    <n v="0"/>
    <n v="-419.36183706522752"/>
    <m/>
    <n v="0"/>
    <n v="0"/>
    <n v="0"/>
    <n v="0"/>
    <n v="-55.005167056983737"/>
    <n v="-12.08342593537094"/>
    <n v="0"/>
    <n v="0"/>
    <m/>
    <m/>
    <m/>
    <n v="61747.603762704392"/>
    <n v="0"/>
    <n v="0"/>
    <n v="-44495.023250000006"/>
    <n v="4725.3787100000009"/>
    <n v="0"/>
    <n v="0"/>
    <n v="-45366.570687026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0"/>
    <s v="Refaturamento - Regular"/>
    <s v="Convencional"/>
    <s v="B2"/>
    <s v="Rural"/>
    <s v="Agropecuária rural"/>
    <s v="IRRIG./AQUIC. PR"/>
    <s v="Não se aplica"/>
    <s v="Não se aplica"/>
    <s v="CATIVO"/>
    <x v="6"/>
    <n v="0"/>
    <n v="0"/>
    <n v="-9.1720000000000006"/>
    <n v="-3.6688000000000001"/>
    <n v="-9.1720000000000006"/>
    <n v="-3.6688000000000001"/>
    <m/>
    <n v="571.87"/>
    <n v="216.76"/>
    <m/>
    <n v="-7233.3143600000003"/>
    <n v="-7233.3143600000003"/>
    <n v="-4714.4997199999998"/>
    <n v="0"/>
    <n v="-555.92057952792845"/>
    <n v="0"/>
    <n v="0"/>
    <n v="0"/>
    <n v="-7.5385924518885874"/>
    <n v="-3910.7910101129332"/>
    <n v="-1959.1529655543895"/>
    <n v="-28.959716242741049"/>
    <n v="0"/>
    <n v="0"/>
    <n v="0"/>
    <n v="0"/>
    <n v="-85.974967916401923"/>
    <m/>
    <n v="-17.596202769054852"/>
    <n v="-81.462931754771247"/>
    <n v="-255.23020811447367"/>
    <n v="0"/>
    <n v="0"/>
    <n v="0"/>
    <n v="0"/>
    <n v="0"/>
    <n v="0"/>
    <n v="0"/>
    <n v="0"/>
    <n v="0"/>
    <n v="0"/>
    <m/>
    <n v="0"/>
    <n v="0"/>
    <n v="-5.4579785718961098"/>
    <n v="0"/>
    <n v="0"/>
    <n v="-325.22295404279578"/>
    <n v="0"/>
    <n v="0"/>
    <n v="0"/>
    <n v="0"/>
    <n v="0"/>
    <m/>
    <m/>
    <m/>
    <m/>
    <m/>
    <m/>
    <n v="-3054.9914159999998"/>
    <m/>
    <m/>
    <n v="-2289.8338981690813"/>
    <m/>
    <m/>
    <m/>
    <m/>
    <m/>
    <m/>
    <m/>
    <m/>
    <m/>
    <m/>
    <m/>
    <m/>
    <n v="-1660.0511000000001"/>
    <n v="886.06609999999955"/>
    <m/>
    <m/>
    <m/>
    <m/>
    <n v="2818.0970000000002"/>
    <n v="-299.28235999999998"/>
    <n v="31"/>
    <n v="-354.50060522414378"/>
    <n v="-8.4030255743078754"/>
    <n v="-26.327384982632907"/>
    <n v="0"/>
    <n v="0"/>
    <n v="0"/>
    <n v="0"/>
    <n v="0"/>
    <n v="-0.73708632498999815"/>
    <n v="0"/>
    <n v="0"/>
    <n v="-299.320822996478"/>
    <n v="0"/>
    <n v="0"/>
    <n v="-0.83387395816478005"/>
    <n v="-49.687800785831598"/>
    <n v="0"/>
    <n v="26.560326270826295"/>
    <m/>
    <n v="0"/>
    <n v="0"/>
    <n v="0"/>
    <n v="0"/>
    <n v="3.4837580687809719"/>
    <n v="0.76530505865487086"/>
    <n v="0"/>
    <n v="0"/>
    <m/>
    <m/>
    <m/>
    <n v="-3910.7910101129332"/>
    <n v="0"/>
    <n v="0"/>
    <n v="2818.0969999999998"/>
    <n v="-299.28235999999993"/>
    <n v="0"/>
    <n v="0"/>
    <n v="2873.2965490336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1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2.9420000000000002"/>
    <n v="1.1768000000000001"/>
    <n v="2.9420000000000002"/>
    <n v="1.1768000000000001"/>
    <m/>
    <n v="571.87"/>
    <n v="216.76"/>
    <m/>
    <n v="2320.1494600000001"/>
    <n v="2320.1494600000001"/>
    <n v="1512.2174199999999"/>
    <n v="0"/>
    <n v="178.31643534356363"/>
    <n v="0"/>
    <n v="0"/>
    <n v="0"/>
    <n v="2.4180701039529242"/>
    <n v="1254.4207535708952"/>
    <n v="628.41561542313718"/>
    <n v="9.2890847346428433"/>
    <n v="0"/>
    <n v="0"/>
    <n v="0"/>
    <n v="0"/>
    <n v="27.577230223512263"/>
    <m/>
    <n v="5.6441374342083925"/>
    <n v="26.129954777860554"/>
    <n v="81.867343248231734"/>
    <n v="0"/>
    <n v="0"/>
    <n v="0"/>
    <n v="0"/>
    <n v="0"/>
    <n v="0"/>
    <n v="0"/>
    <n v="0"/>
    <n v="0"/>
    <n v="0"/>
    <m/>
    <n v="0"/>
    <n v="0"/>
    <n v="1.7506948275750496"/>
    <n v="0"/>
    <n v="0"/>
    <n v="104.31813462646153"/>
    <n v="0"/>
    <n v="0"/>
    <n v="0"/>
    <n v="0"/>
    <n v="0"/>
    <m/>
    <m/>
    <m/>
    <m/>
    <m/>
    <m/>
    <n v="979.91547600000001"/>
    <m/>
    <m/>
    <n v="734.48444487717381"/>
    <m/>
    <m/>
    <m/>
    <m/>
    <m/>
    <m/>
    <m/>
    <m/>
    <m/>
    <m/>
    <m/>
    <m/>
    <n v="533.74940000000004"/>
    <n v="-282.97979999999995"/>
    <m/>
    <m/>
    <m/>
    <m/>
    <n v="-903.92950000000008"/>
    <n v="95.99745999999999"/>
    <n v="31"/>
    <n v="113.70919980041731"/>
    <n v="2.6953446619727188"/>
    <n v="8.4447412362522982"/>
    <n v="0"/>
    <n v="0"/>
    <n v="0"/>
    <n v="0"/>
    <n v="0"/>
    <n v="0.23642694811606813"/>
    <n v="0"/>
    <n v="0"/>
    <n v="96.009797345795732"/>
    <n v="0"/>
    <n v="0"/>
    <n v="0.26747243621029027"/>
    <n v="15.937800906227281"/>
    <n v="0"/>
    <n v="-8.5194592115973933"/>
    <m/>
    <n v="0"/>
    <n v="0"/>
    <n v="0"/>
    <n v="0"/>
    <n v="-1.117446166414485"/>
    <n v="-0.24547835614507463"/>
    <n v="0"/>
    <n v="0"/>
    <m/>
    <m/>
    <m/>
    <n v="1254.4207535708952"/>
    <n v="0"/>
    <n v="0"/>
    <n v="-903.92949999999996"/>
    <n v="95.997459999999933"/>
    <n v="0"/>
    <n v="0"/>
    <n v="-921.63524283220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2"/>
    <s v="Regular"/>
    <s v="Verde"/>
    <s v="A4"/>
    <s v="Rural"/>
    <s v="Agropecuária rural"/>
    <s v="Não se aplica"/>
    <s v="Não se aplica"/>
    <s v="Ponta"/>
    <s v="CATIVO"/>
    <x v="6"/>
    <n v="0"/>
    <n v="0"/>
    <n v="2.363"/>
    <n v="2.2684799999999998"/>
    <n v="2.363"/>
    <n v="2.2684799999999998"/>
    <m/>
    <n v="2592.54"/>
    <n v="216.76"/>
    <m/>
    <n v="6638.3759"/>
    <n v="6638.3759"/>
    <n v="2791.1755999999996"/>
    <n v="0"/>
    <n v="124.60391262530646"/>
    <n v="0"/>
    <n v="0"/>
    <n v="0"/>
    <n v="11.948828994298637"/>
    <n v="5413.3766249298797"/>
    <n v="504.74034644625186"/>
    <n v="7.4609473922369265"/>
    <n v="0"/>
    <n v="0"/>
    <n v="0"/>
    <n v="0"/>
    <n v="22.149896335200363"/>
    <m/>
    <n v="3.2449240503329264"/>
    <n v="106.60644145098743"/>
    <n v="404.54736923567685"/>
    <n v="0"/>
    <n v="0"/>
    <n v="0"/>
    <n v="0"/>
    <n v="0"/>
    <n v="0"/>
    <n v="0"/>
    <n v="0"/>
    <n v="0"/>
    <n v="0"/>
    <m/>
    <n v="0"/>
    <n v="0"/>
    <n v="1.0805968244490611"/>
    <n v="0"/>
    <n v="0"/>
    <n v="38.602338582330965"/>
    <n v="0"/>
    <n v="0"/>
    <n v="0"/>
    <n v="0"/>
    <n v="0"/>
    <m/>
    <m/>
    <m/>
    <m/>
    <m/>
    <n v="111.64702400000019"/>
    <m/>
    <m/>
    <m/>
    <n v="544.42328185303188"/>
    <m/>
    <m/>
    <m/>
    <m/>
    <m/>
    <m/>
    <m/>
    <m/>
    <m/>
    <m/>
    <m/>
    <m/>
    <n v="2681.3239999999996"/>
    <n v="-3691.5468640000008"/>
    <m/>
    <m/>
    <m/>
    <m/>
    <n v="-3924.3049900000001"/>
    <n v="77.104689999999991"/>
    <n v="31"/>
    <n v="130.08009625144223"/>
    <n v="10.996616922593489"/>
    <n v="41.72967773783904"/>
    <n v="0"/>
    <n v="0"/>
    <n v="0"/>
    <n v="0"/>
    <n v="0"/>
    <n v="1.1682974650175098"/>
    <n v="0"/>
    <n v="0"/>
    <n v="77.114599295756364"/>
    <n v="0"/>
    <n v="0"/>
    <n v="0.16509437318486908"/>
    <n v="5.8976935222527089"/>
    <n v="0"/>
    <n v="-5.9532255070678701"/>
    <m/>
    <n v="0"/>
    <n v="0"/>
    <n v="0"/>
    <n v="0"/>
    <n v="-0.89752729137913789"/>
    <n v="-0.1411302667549359"/>
    <n v="0"/>
    <n v="0"/>
    <m/>
    <m/>
    <m/>
    <n v="5413.3766249298797"/>
    <n v="0"/>
    <n v="0"/>
    <n v="-3924.3049900000001"/>
    <n v="77.104689999999891"/>
    <n v="0"/>
    <n v="0"/>
    <n v="-3977.2609517636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3"/>
    <s v="Regular"/>
    <s v="Verde"/>
    <s v="A4"/>
    <s v="Rural"/>
    <s v="Agropecuária rural"/>
    <s v="Não se aplica"/>
    <s v="Não se aplica"/>
    <s v="Fora ponta"/>
    <s v="CATIVO"/>
    <x v="6"/>
    <n v="0"/>
    <n v="0"/>
    <n v="189.11099999999999"/>
    <n v="181.54656"/>
    <n v="189.11099999999999"/>
    <n v="181.54656"/>
    <m/>
    <n v="80.27"/>
    <n v="216.76"/>
    <m/>
    <n v="56171.640329999995"/>
    <n v="56171.640329999995"/>
    <n v="62268.578969999995"/>
    <n v="0"/>
    <n v="9972.0569278393268"/>
    <n v="0"/>
    <n v="0"/>
    <n v="0"/>
    <n v="0"/>
    <n v="0"/>
    <n v="40394.393422258625"/>
    <n v="597.09996711524218"/>
    <n v="0"/>
    <n v="0"/>
    <n v="0"/>
    <n v="0"/>
    <n v="1772.6572348057875"/>
    <m/>
    <n v="259.69142280258569"/>
    <n v="0"/>
    <n v="0"/>
    <n v="0"/>
    <n v="0"/>
    <n v="0"/>
    <n v="0"/>
    <n v="0"/>
    <n v="0"/>
    <n v="0"/>
    <n v="0"/>
    <n v="0"/>
    <n v="0"/>
    <m/>
    <n v="0"/>
    <n v="0"/>
    <n v="86.480214163515186"/>
    <n v="0"/>
    <n v="0"/>
    <n v="3089.3469537211977"/>
    <n v="0"/>
    <n v="0"/>
    <n v="0"/>
    <n v="0"/>
    <n v="0"/>
    <m/>
    <m/>
    <m/>
    <m/>
    <m/>
    <n v="2490.7431587999968"/>
    <m/>
    <m/>
    <m/>
    <n v="43570.220590143341"/>
    <m/>
    <m/>
    <m/>
    <m/>
    <m/>
    <m/>
    <m/>
    <m/>
    <m/>
    <m/>
    <m/>
    <m/>
    <n v="59778.968500000003"/>
    <n v="5854.1637832000051"/>
    <m/>
    <m/>
    <m/>
    <m/>
    <n v="-73.753290000000106"/>
    <n v="6170.691929999999"/>
    <n v="31"/>
    <n v="6097.1294417141107"/>
    <n v="0"/>
    <n v="0"/>
    <n v="0"/>
    <n v="0"/>
    <n v="0"/>
    <n v="0"/>
    <n v="0"/>
    <n v="0"/>
    <n v="0"/>
    <n v="0"/>
    <n v="6171.4849714006705"/>
    <n v="0"/>
    <n v="0"/>
    <n v="13.212510371292339"/>
    <n v="471.99268712938328"/>
    <n v="0"/>
    <n v="-476.43691445920922"/>
    <m/>
    <n v="0"/>
    <n v="0"/>
    <n v="0"/>
    <n v="0"/>
    <n v="-71.829150909860573"/>
    <n v="-11.294661818151781"/>
    <n v="0"/>
    <n v="0"/>
    <m/>
    <m/>
    <m/>
    <n v="0"/>
    <n v="0"/>
    <n v="0"/>
    <n v="-73.753289999998742"/>
    <n v="6170.6919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4"/>
    <s v="Regular"/>
    <s v="Verde"/>
    <s v="A4"/>
    <s v="Rural"/>
    <s v="Agropecuária rural"/>
    <s v="Não se aplica"/>
    <s v="Não se aplica"/>
    <s v="Não se aplica"/>
    <s v="CATIVO"/>
    <x v="6"/>
    <n v="2767"/>
    <n v="2656.32"/>
    <n v="0"/>
    <n v="0"/>
    <n v="0"/>
    <n v="0"/>
    <n v="32.17"/>
    <m/>
    <m/>
    <n v="89014.39"/>
    <m/>
    <n v="89014.39"/>
    <n v="35777.31"/>
    <n v="0"/>
    <n v="0"/>
    <n v="0"/>
    <n v="0"/>
    <n v="0"/>
    <n v="276.46819493823904"/>
    <n v="74506.276930640131"/>
    <m/>
    <m/>
    <m/>
    <n v="0"/>
    <n v="0"/>
    <n v="0"/>
    <n v="0"/>
    <m/>
    <n v="0"/>
    <n v="4882.1532014467912"/>
    <n v="9360.3879127881974"/>
    <n v="0"/>
    <n v="0"/>
    <m/>
    <m/>
    <n v="0"/>
    <n v="0"/>
    <n v="0"/>
    <m/>
    <m/>
    <n v="0"/>
    <m/>
    <n v="0"/>
    <n v="0"/>
    <n v="0"/>
    <n v="0"/>
    <m/>
    <n v="0"/>
    <n v="0"/>
    <n v="592.28"/>
    <n v="2719.82"/>
    <n v="82.2"/>
    <n v="13"/>
    <m/>
    <m/>
    <m/>
    <m/>
    <m/>
    <n v="1431.092399999998"/>
    <m/>
    <m/>
    <m/>
    <n v="0"/>
    <m/>
    <m/>
    <m/>
    <m/>
    <m/>
    <m/>
    <m/>
    <m/>
    <m/>
    <m/>
    <m/>
    <m/>
    <n v="34346.217600000004"/>
    <n v="-51107.626799999984"/>
    <m/>
    <m/>
    <m/>
    <m/>
    <n v="-53237.080000000009"/>
    <n v="0"/>
    <n v="31"/>
    <n v="1496.1715182554544"/>
    <n v="503.60154398745453"/>
    <n v="965.53828007784432"/>
    <n v="0"/>
    <n v="0"/>
    <m/>
    <m/>
    <m/>
    <n v="27.0316941901536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4506.276930640131"/>
    <m/>
    <n v="0"/>
    <n v="0"/>
    <n v="-53237.08"/>
    <m/>
    <n v="0"/>
    <m/>
    <n v="-54740.49312084607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35"/>
    <s v="Regular"/>
    <s v="Verde"/>
    <s v="A4"/>
    <s v="Rural"/>
    <s v="Agropecuária rural"/>
    <s v="IRRIG./AQUIC. PR"/>
    <s v="Não se aplica"/>
    <s v="Fora ponta"/>
    <s v="CATIVO"/>
    <x v="6"/>
    <n v="0"/>
    <n v="0"/>
    <n v="250.30099999999999"/>
    <n v="75.090299999999999"/>
    <n v="250.30099999999999"/>
    <n v="75.090299999999999"/>
    <m/>
    <n v="80.27"/>
    <n v="216.76"/>
    <m/>
    <n v="74346.906029999984"/>
    <n v="74346.906029999984"/>
    <n v="82416.61026999999"/>
    <n v="0"/>
    <n v="13198.681309363872"/>
    <n v="0"/>
    <n v="0"/>
    <n v="0"/>
    <n v="0"/>
    <n v="0"/>
    <n v="53464.669257656911"/>
    <n v="790.30156293876212"/>
    <n v="0"/>
    <n v="0"/>
    <n v="0"/>
    <n v="0"/>
    <n v="2346.2298783736719"/>
    <m/>
    <n v="343.71888900650941"/>
    <n v="0"/>
    <n v="0"/>
    <n v="0"/>
    <n v="0"/>
    <n v="0"/>
    <n v="0"/>
    <n v="0"/>
    <n v="0"/>
    <n v="0"/>
    <n v="0"/>
    <n v="0"/>
    <n v="0"/>
    <m/>
    <n v="0"/>
    <n v="0"/>
    <n v="114.46232152197395"/>
    <n v="0"/>
    <n v="0"/>
    <n v="4088.9563899686932"/>
    <n v="0"/>
    <n v="0"/>
    <n v="0"/>
    <n v="0"/>
    <n v="0"/>
    <m/>
    <m/>
    <m/>
    <m/>
    <m/>
    <m/>
    <n v="57691.627188999984"/>
    <m/>
    <m/>
    <n v="57668.087969147578"/>
    <m/>
    <m/>
    <m/>
    <m/>
    <m/>
    <m/>
    <m/>
    <m/>
    <m/>
    <m/>
    <m/>
    <m/>
    <n v="24724.884300000002"/>
    <n v="2420.7824910000054"/>
    <m/>
    <m/>
    <m/>
    <m/>
    <n v="-97.617390000000142"/>
    <n v="8167.3216299999985"/>
    <n v="31"/>
    <n v="8069.9567787727137"/>
    <n v="0"/>
    <n v="0"/>
    <n v="0"/>
    <n v="0"/>
    <n v="0"/>
    <n v="0"/>
    <n v="0"/>
    <n v="0"/>
    <n v="0"/>
    <n v="0"/>
    <n v="8168.3712730965417"/>
    <n v="0"/>
    <n v="0"/>
    <n v="17.48763719955393"/>
    <n v="624.71374791086555"/>
    <n v="0"/>
    <n v="-630.5959786900512"/>
    <m/>
    <n v="0"/>
    <n v="0"/>
    <n v="0"/>
    <n v="0"/>
    <n v="-95.070663800038346"/>
    <n v="-14.9492369441503"/>
    <n v="0"/>
    <n v="0"/>
    <m/>
    <m/>
    <m/>
    <n v="0"/>
    <n v="0"/>
    <n v="0"/>
    <n v="-97.617389999999432"/>
    <n v="8167.32162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6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61"/>
    <n v="16.79"/>
    <n v="66.569999999999993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37"/>
    <s v="Regular"/>
    <s v="Convencional"/>
    <s v="B2"/>
    <s v="Rural"/>
    <s v="Aquicultura"/>
    <s v="IRRIG./AQUIC."/>
    <s v="Não se aplica"/>
    <s v="Não se aplica"/>
    <s v="CATIVO"/>
    <x v="6"/>
    <n v="0"/>
    <n v="0"/>
    <n v="0.78400000000000003"/>
    <n v="0.78400000000000003"/>
    <n v="0.78400000000000003"/>
    <n v="0.78400000000000003"/>
    <m/>
    <n v="571.87"/>
    <n v="216.76"/>
    <m/>
    <n v="618.28592000000003"/>
    <n v="618.28592000000003"/>
    <n v="402.98383999999999"/>
    <n v="0"/>
    <n v="47.518723762526811"/>
    <n v="0"/>
    <n v="0"/>
    <n v="0"/>
    <n v="0.64438034041437553"/>
    <n v="334.2847963288857"/>
    <n v="167.46357664573063"/>
    <n v="2.4754053133786504"/>
    <n v="0"/>
    <n v="0"/>
    <n v="0"/>
    <n v="0"/>
    <n v="7.3489287883186991"/>
    <m/>
    <n v="1.5040801320256219"/>
    <n v="6.9632510352966266"/>
    <n v="21.816450410133815"/>
    <n v="0"/>
    <n v="0"/>
    <n v="0"/>
    <n v="0"/>
    <n v="0"/>
    <n v="0"/>
    <n v="0"/>
    <n v="0"/>
    <n v="0"/>
    <n v="0"/>
    <m/>
    <n v="0"/>
    <n v="0"/>
    <n v="0.46653458355500976"/>
    <n v="0"/>
    <n v="0"/>
    <n v="27.799258173740938"/>
    <n v="0"/>
    <n v="0"/>
    <n v="0"/>
    <n v="0"/>
    <n v="0"/>
    <m/>
    <m/>
    <m/>
    <m/>
    <m/>
    <n v="48.357119999999981"/>
    <m/>
    <m/>
    <m/>
    <n v="195.72936940302657"/>
    <m/>
    <m/>
    <m/>
    <m/>
    <m/>
    <m/>
    <m/>
    <m/>
    <m/>
    <m/>
    <m/>
    <m/>
    <n v="352.81740000000002"/>
    <n v="-191.30859999999996"/>
    <m/>
    <m/>
    <m/>
    <m/>
    <n v="-240.88400000000001"/>
    <n v="25.581919999999997"/>
    <n v="31"/>
    <n v="30.301839783659887"/>
    <n v="0.71826995750734568"/>
    <n v="2.250400111904078"/>
    <n v="0"/>
    <n v="0"/>
    <n v="0"/>
    <n v="0"/>
    <n v="0"/>
    <n v="6.3004326078517026E-2"/>
    <n v="0"/>
    <n v="0"/>
    <n v="25.585207722333053"/>
    <n v="0"/>
    <n v="0"/>
    <n v="7.1277494897643678E-2"/>
    <n v="4.2471909960850383"/>
    <n v="0"/>
    <n v="-2.2703113602625251"/>
    <m/>
    <n v="0"/>
    <n v="0"/>
    <n v="0"/>
    <n v="0"/>
    <n v="-0.29778307085960432"/>
    <n v="-6.5416394023704472E-2"/>
    <n v="0"/>
    <n v="0"/>
    <m/>
    <m/>
    <m/>
    <n v="334.2847963288857"/>
    <n v="0"/>
    <n v="0"/>
    <n v="-240.88400000000001"/>
    <n v="25.581919999999997"/>
    <n v="0"/>
    <n v="0"/>
    <n v="-245.60232167928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8"/>
    <s v="Regular"/>
    <s v="Convencional"/>
    <s v="B2"/>
    <s v="Rural"/>
    <s v="Aquicultura"/>
    <s v="IRRIG./AQUIC. PR"/>
    <s v="Não se aplica"/>
    <s v="Não se aplica"/>
    <s v="CATIVO"/>
    <x v="6"/>
    <n v="0"/>
    <n v="0"/>
    <n v="2.266"/>
    <n v="0.90639999999999998"/>
    <n v="2.266"/>
    <n v="0.90639999999999998"/>
    <m/>
    <n v="571.87"/>
    <n v="216.76"/>
    <m/>
    <n v="1787.03558"/>
    <n v="1787.03558"/>
    <n v="1164.74666"/>
    <n v="0"/>
    <n v="137.34365822179305"/>
    <n v="0"/>
    <n v="0"/>
    <n v="0"/>
    <n v="1.8624564430854271"/>
    <n v="966.18539347098852"/>
    <n v="484.0210008663592"/>
    <n v="7.1546791328010482"/>
    <n v="0"/>
    <n v="0"/>
    <n v="0"/>
    <n v="0"/>
    <n v="21.240653870319097"/>
    <m/>
    <n v="4.3472520142475242"/>
    <n v="20.125927099467035"/>
    <n v="63.056220190514317"/>
    <n v="0"/>
    <n v="0"/>
    <n v="0"/>
    <n v="0"/>
    <n v="0"/>
    <n v="0"/>
    <n v="0"/>
    <n v="0"/>
    <n v="0"/>
    <n v="0"/>
    <m/>
    <n v="0"/>
    <n v="0"/>
    <n v="1.3484277631832298"/>
    <n v="0"/>
    <n v="0"/>
    <n v="80.348366099103274"/>
    <n v="0"/>
    <n v="0"/>
    <n v="0"/>
    <n v="0"/>
    <n v="0"/>
    <m/>
    <m/>
    <m/>
    <m/>
    <m/>
    <m/>
    <n v="754.75474799999995"/>
    <m/>
    <m/>
    <n v="565.71779472864569"/>
    <m/>
    <m/>
    <m/>
    <m/>
    <m/>
    <m/>
    <m/>
    <m/>
    <m/>
    <m/>
    <m/>
    <m/>
    <n v="411.62030000000004"/>
    <n v="-217.45129999999995"/>
    <m/>
    <m/>
    <m/>
    <m/>
    <n v="-696.22850000000005"/>
    <n v="73.939579999999992"/>
    <n v="31"/>
    <n v="87.581593048180025"/>
    <n v="2.0760200557546504"/>
    <n v="6.5043452213962283"/>
    <n v="0"/>
    <n v="0"/>
    <n v="0"/>
    <n v="0"/>
    <n v="0"/>
    <n v="0.18210178940550947"/>
    <n v="0"/>
    <n v="0"/>
    <n v="73.949082523988125"/>
    <n v="0"/>
    <n v="0"/>
    <n v="0.20601377989548531"/>
    <n v="12.275682139194771"/>
    <n v="0"/>
    <n v="-6.5618948244322439"/>
    <m/>
    <n v="0"/>
    <n v="0"/>
    <n v="0"/>
    <n v="0"/>
    <n v="-0.86068423286717177"/>
    <n v="-0.18907340415524754"/>
    <n v="0"/>
    <n v="0"/>
    <m/>
    <m/>
    <m/>
    <n v="966.18539347098852"/>
    <n v="0"/>
    <n v="0"/>
    <n v="-696.22850000000005"/>
    <n v="73.939580000000035"/>
    <n v="0"/>
    <n v="0"/>
    <n v="-709.865894037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39"/>
    <s v="Regular"/>
    <s v="Convencional"/>
    <s v="B1"/>
    <s v="Residencial"/>
    <s v="Residencial"/>
    <s v="Não se aplica"/>
    <s v="Não se aplica"/>
    <s v="Não se aplica"/>
    <s v="CATIVO"/>
    <x v="7"/>
    <n v="0"/>
    <n v="0"/>
    <n v="1134.336"/>
    <n v="1134.336"/>
    <n v="1134.336"/>
    <n v="1134.336"/>
    <m/>
    <n v="571.87"/>
    <n v="216.76"/>
    <m/>
    <n v="894571.39968000003"/>
    <n v="894571.39968000003"/>
    <n v="583060.04735999997"/>
    <n v="0"/>
    <n v="68752.804895267371"/>
    <n v="0"/>
    <n v="0"/>
    <n v="0"/>
    <n v="932.32629824525645"/>
    <n v="483662.34531699348"/>
    <n v="242295.87203827998"/>
    <n v="3581.5578591284243"/>
    <n v="0"/>
    <n v="0"/>
    <n v="0"/>
    <n v="0"/>
    <n v="10632.850109727398"/>
    <m/>
    <n v="2176.1890824507855"/>
    <n v="10074.829497926319"/>
    <n v="31565.287107690754"/>
    <n v="0"/>
    <n v="0"/>
    <n v="0"/>
    <n v="0"/>
    <n v="0"/>
    <n v="0"/>
    <n v="0"/>
    <n v="0"/>
    <n v="0"/>
    <n v="0"/>
    <m/>
    <n v="0"/>
    <n v="0"/>
    <n v="675.00889460644839"/>
    <n v="0"/>
    <n v="0"/>
    <n v="40221.555254806888"/>
    <n v="0"/>
    <n v="1942.57"/>
    <n v="9065.9699999999993"/>
    <n v="248461.98"/>
    <n v="4536"/>
    <m/>
    <m/>
    <m/>
    <m/>
    <m/>
    <m/>
    <m/>
    <m/>
    <m/>
    <n v="283192.43618769333"/>
    <m/>
    <m/>
    <m/>
    <m/>
    <m/>
    <m/>
    <m/>
    <m/>
    <m/>
    <m/>
    <m/>
    <m/>
    <n v="583062.10339999991"/>
    <n v="-311509.32628000015"/>
    <m/>
    <m/>
    <m/>
    <m/>
    <n v="-348524.73599999998"/>
    <n v="37013.383679999992"/>
    <n v="29"/>
    <n v="43842.433332700981"/>
    <n v="1039.2340185191988"/>
    <n v="3256.007476194929"/>
    <n v="0"/>
    <n v="0"/>
    <n v="0"/>
    <n v="0"/>
    <n v="0"/>
    <n v="91.158259217602904"/>
    <n v="0"/>
    <n v="0"/>
    <n v="37018.140544541326"/>
    <n v="0"/>
    <n v="0"/>
    <n v="103.12835261761927"/>
    <n v="6145.0786297641826"/>
    <n v="0"/>
    <n v="-3284.8162081055561"/>
    <m/>
    <n v="0"/>
    <n v="0"/>
    <n v="0"/>
    <n v="0"/>
    <n v="-430.84956309515292"/>
    <n v="-94.648176953154234"/>
    <n v="0"/>
    <n v="0"/>
    <m/>
    <m/>
    <m/>
    <n v="483662.34531699348"/>
    <n v="0"/>
    <n v="0"/>
    <n v="-348524.73599999998"/>
    <n v="37013.383680000028"/>
    <n v="0"/>
    <n v="0"/>
    <n v="-355351.4734239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0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1.5629999999999999"/>
    <n v="-1.5629999999999999"/>
    <n v="-1.5629999999999999"/>
    <n v="-1.5629999999999999"/>
    <m/>
    <n v="571.87"/>
    <n v="216.76"/>
    <m/>
    <n v="-1232.62869"/>
    <n v="-1232.62869"/>
    <n v="-803.39762999999994"/>
    <n v="0"/>
    <n v="-94.734394439833423"/>
    <n v="0"/>
    <n v="0"/>
    <n v="0"/>
    <n v="-1.2846511123312103"/>
    <n v="-666.43767431383719"/>
    <n v="-333.85914578734304"/>
    <n v="-4.935023603075039"/>
    <n v="0"/>
    <n v="0"/>
    <n v="0"/>
    <n v="0"/>
    <n v="-14.650989408344548"/>
    <m/>
    <n v="-2.9985679162704679"/>
    <n v="-13.882093581847737"/>
    <n v="-43.493765294692793"/>
    <n v="0"/>
    <n v="0"/>
    <n v="0"/>
    <n v="0"/>
    <n v="0"/>
    <n v="0"/>
    <n v="0"/>
    <n v="0"/>
    <n v="0"/>
    <n v="0"/>
    <m/>
    <n v="0"/>
    <n v="0"/>
    <n v="-0.9300938190006125"/>
    <n v="0"/>
    <n v="0"/>
    <n v="-55.421225160149341"/>
    <n v="0"/>
    <n v="-4.43"/>
    <n v="-20.440000000000001"/>
    <n v="-389.52"/>
    <n v="0"/>
    <m/>
    <m/>
    <m/>
    <m/>
    <m/>
    <m/>
    <m/>
    <m/>
    <m/>
    <n v="-390.21046476649298"/>
    <m/>
    <m/>
    <m/>
    <m/>
    <m/>
    <m/>
    <m/>
    <m/>
    <m/>
    <m/>
    <m/>
    <m/>
    <n v="-801.85560000000009"/>
    <n v="430.74308999999994"/>
    <m/>
    <m/>
    <m/>
    <m/>
    <n v="480.23174999999998"/>
    <n v="-51.000689999999992"/>
    <n v="29"/>
    <n v="-60.410428038086934"/>
    <n v="-1.4319591117142618"/>
    <n v="-4.4864481822781599"/>
    <n v="0"/>
    <n v="0"/>
    <n v="0"/>
    <n v="0"/>
    <n v="0"/>
    <n v="-0.12560683885296187"/>
    <n v="0"/>
    <n v="0"/>
    <n v="-51.007244477049198"/>
    <n v="0"/>
    <n v="0"/>
    <n v="-0.14210041393497086"/>
    <n v="-8.4672953148991255"/>
    <n v="0"/>
    <n v="4.5261436939927648"/>
    <m/>
    <n v="0"/>
    <n v="0"/>
    <n v="0"/>
    <n v="0"/>
    <n v="0.59366701499178731"/>
    <n v="0.1304155916569516"/>
    <n v="0"/>
    <n v="0"/>
    <m/>
    <m/>
    <m/>
    <n v="-666.43767431383719"/>
    <n v="0"/>
    <n v="0"/>
    <n v="480.23174999999998"/>
    <n v="-51.00069000000002"/>
    <n v="0"/>
    <n v="0"/>
    <n v="489.63830202132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22.532"/>
    <n v="22.532"/>
    <n v="22.532"/>
    <n v="22.532"/>
    <m/>
    <n v="571.87"/>
    <n v="216.76"/>
    <m/>
    <n v="17769.41116"/>
    <n v="17769.41116"/>
    <n v="11581.67332"/>
    <n v="0"/>
    <n v="1365.6784232362936"/>
    <n v="0"/>
    <n v="0"/>
    <n v="0"/>
    <n v="18.519359477317231"/>
    <n v="9607.2768251051693"/>
    <n v="4812.8690165581665"/>
    <n v="71.142643521744574"/>
    <n v="0"/>
    <n v="0"/>
    <n v="0"/>
    <n v="0"/>
    <n v="211.20671359489404"/>
    <m/>
    <n v="43.226956039287387"/>
    <n v="200.12241368278518"/>
    <n v="627.00033245042744"/>
    <n v="0"/>
    <n v="0"/>
    <n v="0"/>
    <n v="0"/>
    <n v="0"/>
    <n v="0"/>
    <n v="0"/>
    <n v="0"/>
    <n v="0"/>
    <n v="0"/>
    <m/>
    <n v="0"/>
    <n v="0"/>
    <n v="13.40810872023148"/>
    <n v="0"/>
    <n v="0"/>
    <n v="798.94500659531991"/>
    <n v="0"/>
    <n v="39.06"/>
    <n v="183.52"/>
    <n v="10664.25"/>
    <n v="173"/>
    <m/>
    <m/>
    <m/>
    <m/>
    <m/>
    <m/>
    <m/>
    <m/>
    <m/>
    <n v="5625.2221318737174"/>
    <m/>
    <m/>
    <m/>
    <m/>
    <m/>
    <m/>
    <m/>
    <m/>
    <m/>
    <m/>
    <m/>
    <m/>
    <n v="11580.6453"/>
    <n v="-6188.7958599999984"/>
    <m/>
    <m/>
    <m/>
    <m/>
    <n v="-6922.9570000000003"/>
    <n v="735.21915999999987"/>
    <n v="29"/>
    <n v="870.86869133344771"/>
    <n v="20.642931993055498"/>
    <n v="64.676039950794234"/>
    <n v="0"/>
    <n v="0"/>
    <n v="0"/>
    <n v="0"/>
    <n v="0"/>
    <n v="1.8107314734708488"/>
    <n v="0"/>
    <n v="0"/>
    <n v="735.31364846888846"/>
    <n v="0"/>
    <n v="0"/>
    <n v="2.0485006569307487"/>
    <n v="122.06340245381136"/>
    <n v="0"/>
    <n v="-65.248285165096149"/>
    <m/>
    <n v="0"/>
    <n v="0"/>
    <n v="0"/>
    <n v="0"/>
    <n v="-8.5582246844497547"/>
    <n v="-1.8800538139567706"/>
    <n v="0"/>
    <n v="0"/>
    <m/>
    <m/>
    <m/>
    <n v="9607.2768251051693"/>
    <n v="0"/>
    <n v="0"/>
    <n v="-6922.9570000000003"/>
    <n v="735.21915999999965"/>
    <n v="0"/>
    <n v="0"/>
    <n v="-7058.5606021398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2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3.6"/>
    <n v="3.6"/>
    <n v="3.6"/>
    <n v="3.6"/>
    <m/>
    <n v="501.89"/>
    <n v="216.76"/>
    <m/>
    <n v="2587.1400000000003"/>
    <n v="2587.1400000000003"/>
    <n v="1610.28"/>
    <n v="0"/>
    <n v="0"/>
    <n v="0"/>
    <n v="0"/>
    <n v="0"/>
    <n v="2.958889318229275"/>
    <n v="1534.9812076326384"/>
    <n v="768.96540296508965"/>
    <n v="11.366657051228497"/>
    <n v="0"/>
    <n v="0"/>
    <n v="0"/>
    <n v="0"/>
    <n v="0"/>
    <m/>
    <n v="6.9064904021584681"/>
    <n v="31.974111896770221"/>
    <n v="100.17757841387976"/>
    <n v="0"/>
    <n v="0"/>
    <n v="0"/>
    <n v="0"/>
    <n v="0"/>
    <n v="0"/>
    <n v="0"/>
    <n v="0"/>
    <n v="0"/>
    <n v="0"/>
    <m/>
    <n v="0"/>
    <n v="0"/>
    <n v="2.142250638773004"/>
    <n v="0"/>
    <n v="0"/>
    <n v="127.64965487942267"/>
    <n v="0"/>
    <n v="1.2"/>
    <n v="6"/>
    <n v="182.08"/>
    <n v="4"/>
    <m/>
    <m/>
    <m/>
    <m/>
    <m/>
    <m/>
    <m/>
    <n v="1046.664"/>
    <m/>
    <n v="898.75730848328533"/>
    <m/>
    <m/>
    <m/>
    <m/>
    <m/>
    <m/>
    <m/>
    <m/>
    <m/>
    <m/>
    <m/>
    <m/>
    <n v="563.61599999999999"/>
    <n v="-341.92200000000003"/>
    <m/>
    <m/>
    <m/>
    <m/>
    <n v="-1094.3280000000002"/>
    <n v="117.46799999999999"/>
    <n v="29"/>
    <n v="150.933371394407"/>
    <n v="3.2981783763092416"/>
    <n v="10.333469901600367"/>
    <n v="0"/>
    <n v="0"/>
    <n v="0"/>
    <n v="0"/>
    <n v="0"/>
    <n v="0.28930557893196607"/>
    <n v="0"/>
    <n v="0"/>
    <n v="117.48309668418233"/>
    <n v="0"/>
    <n v="0"/>
    <n v="0.32729461942795579"/>
    <n v="19.502407635084367"/>
    <n v="0"/>
    <n v="0"/>
    <m/>
    <n v="0"/>
    <n v="0"/>
    <n v="0"/>
    <n v="0"/>
    <n v="0"/>
    <n v="-0.30038140112925582"/>
    <n v="0"/>
    <n v="0"/>
    <m/>
    <m/>
    <m/>
    <n v="1534.9812076326384"/>
    <n v="0"/>
    <n v="0"/>
    <n v="-1094.328"/>
    <n v="117.46799999999996"/>
    <n v="0"/>
    <n v="0"/>
    <n v="-1127.7657628130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3"/>
    <s v="Refaturamento - 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1"/>
    <n v="0.01"/>
    <n v="-1.3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44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7.6890000000000001"/>
    <n v="7.6890000000000001"/>
    <n v="7.6890000000000001"/>
    <n v="7.6890000000000001"/>
    <m/>
    <n v="501.89"/>
    <n v="216.76"/>
    <m/>
    <n v="5525.69985"/>
    <n v="5525.69985"/>
    <n v="3439.2897000000003"/>
    <n v="0"/>
    <n v="0"/>
    <n v="0"/>
    <n v="0"/>
    <n v="0"/>
    <n v="6.3196944355180271"/>
    <n v="3278.4640293020434"/>
    <n v="1642.3819398329372"/>
    <n v="24.277285018582198"/>
    <n v="0"/>
    <n v="0"/>
    <n v="0"/>
    <n v="0"/>
    <n v="0"/>
    <m/>
    <n v="14.751112417276794"/>
    <n v="68.291373992851732"/>
    <n v="213.96261122897818"/>
    <n v="0"/>
    <n v="0"/>
    <n v="0"/>
    <n v="0"/>
    <n v="0"/>
    <n v="0"/>
    <n v="0"/>
    <n v="0"/>
    <n v="0"/>
    <n v="0"/>
    <m/>
    <n v="0"/>
    <n v="0"/>
    <n v="4.575490322646008"/>
    <n v="0"/>
    <n v="0"/>
    <n v="272.6383878799669"/>
    <n v="0"/>
    <n v="5.44"/>
    <n v="25.38"/>
    <n v="694.62"/>
    <n v="13"/>
    <m/>
    <m/>
    <m/>
    <m/>
    <m/>
    <m/>
    <m/>
    <n v="1375.6389899999999"/>
    <m/>
    <n v="1919.5958180355501"/>
    <m/>
    <m/>
    <m/>
    <m/>
    <m/>
    <m/>
    <m/>
    <m/>
    <m/>
    <m/>
    <m/>
    <m/>
    <n v="2063.9191000000001"/>
    <n v="-1251.5308100000007"/>
    <m/>
    <m/>
    <m/>
    <m/>
    <n v="-2337.30222"/>
    <n v="250.89206999999996"/>
    <n v="29"/>
    <n v="322.36852573655415"/>
    <n v="7.0443593154004844"/>
    <n v="22.07056946483479"/>
    <n v="0"/>
    <n v="0"/>
    <n v="0"/>
    <n v="0"/>
    <n v="0"/>
    <n v="0.61790849900219058"/>
    <n v="0"/>
    <n v="0"/>
    <n v="250.92431400129954"/>
    <n v="0"/>
    <n v="0"/>
    <n v="0.69904675799487492"/>
    <n v="41.653892307267711"/>
    <n v="0"/>
    <n v="0"/>
    <m/>
    <n v="0"/>
    <n v="0"/>
    <n v="0"/>
    <n v="0"/>
    <n v="0"/>
    <n v="-0.64156460924523451"/>
    <n v="0"/>
    <n v="0"/>
    <m/>
    <m/>
    <m/>
    <n v="3278.4640293020434"/>
    <n v="0"/>
    <n v="0"/>
    <n v="-2337.3022199999996"/>
    <n v="250.8920700000001"/>
    <n v="0"/>
    <n v="0"/>
    <n v="-2408.7197084081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5"/>
    <s v="Refaturamento - 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-7.0000000000000007E-2"/>
    <n v="-7.0000000000000007E-2"/>
    <n v="-7.0000000000000007E-2"/>
    <n v="-7.0000000000000007E-2"/>
    <m/>
    <n v="501.89"/>
    <n v="216.76"/>
    <m/>
    <n v="-50.305500000000002"/>
    <n v="-50.305500000000002"/>
    <n v="-31.311"/>
    <n v="0"/>
    <n v="0"/>
    <n v="0"/>
    <n v="0"/>
    <n v="0"/>
    <n v="-5.7533958965569246E-2"/>
    <n v="-29.846856815079082"/>
    <n v="-14.952105057654521"/>
    <n v="-0.22101833155166523"/>
    <n v="0"/>
    <n v="0"/>
    <n v="0"/>
    <n v="0"/>
    <n v="0"/>
    <m/>
    <n v="-0.13429286893085912"/>
    <n v="-0.62171884243719877"/>
    <n v="-1.9478973580476622"/>
    <n v="0"/>
    <n v="0"/>
    <n v="0"/>
    <n v="0"/>
    <n v="0"/>
    <n v="0"/>
    <n v="0"/>
    <n v="0"/>
    <n v="0"/>
    <n v="0"/>
    <m/>
    <n v="0"/>
    <n v="0"/>
    <n v="-4.1654873531697306E-2"/>
    <n v="0"/>
    <n v="0"/>
    <n v="-2.4820766226554412"/>
    <n v="0"/>
    <n v="-7.0000000000000007E-2"/>
    <n v="-0.31"/>
    <n v="-8.2100000000000009"/>
    <n v="0"/>
    <m/>
    <m/>
    <m/>
    <m/>
    <m/>
    <m/>
    <m/>
    <n v="-12.523700000000002"/>
    <m/>
    <n v="-17.47583655384166"/>
    <m/>
    <m/>
    <m/>
    <m/>
    <m/>
    <m/>
    <m/>
    <m/>
    <m/>
    <m/>
    <m/>
    <m/>
    <n v="-18.787300000000002"/>
    <n v="11.365999999999996"/>
    <m/>
    <m/>
    <m/>
    <m/>
    <n v="21.278600000000004"/>
    <n v="-2.2841"/>
    <n v="29"/>
    <n v="-2.934815554891248"/>
    <n v="-6.4131246206013071E-2"/>
    <n v="-0.20092858142000725"/>
    <n v="0"/>
    <n v="0"/>
    <n v="0"/>
    <n v="0"/>
    <n v="0"/>
    <n v="-5.6253862570104507E-3"/>
    <n v="0"/>
    <n v="0"/>
    <n v="-2.2843935466368812"/>
    <n v="0"/>
    <n v="0"/>
    <n v="-6.3640620444324683E-3"/>
    <n v="-0.37921348179330705"/>
    <n v="0"/>
    <n v="0"/>
    <m/>
    <n v="0"/>
    <n v="0"/>
    <n v="0"/>
    <n v="0"/>
    <n v="0"/>
    <n v="5.8407494664022008E-3"/>
    <n v="0"/>
    <n v="0"/>
    <m/>
    <m/>
    <m/>
    <n v="-29.846856815079082"/>
    <n v="0"/>
    <n v="0"/>
    <n v="21.278599999999997"/>
    <n v="-2.2840999999999987"/>
    <n v="0"/>
    <n v="0"/>
    <n v="21.928778721364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6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9.4149999999999991"/>
    <n v="9.4149999999999991"/>
    <n v="9.4149999999999991"/>
    <n v="9.4149999999999991"/>
    <m/>
    <n v="501.89"/>
    <n v="216.76"/>
    <m/>
    <n v="6766.0897499999992"/>
    <n v="6766.0897499999992"/>
    <n v="4211.3294999999998"/>
    <n v="0"/>
    <n v="0"/>
    <n v="0"/>
    <n v="0"/>
    <n v="0"/>
    <n v="7.7383174808690622"/>
    <n v="4014.4022416281359"/>
    <n v="2011.0581302545327"/>
    <n v="29.726965593698967"/>
    <n v="0"/>
    <n v="0"/>
    <n v="0"/>
    <n v="0"/>
    <n v="0"/>
    <m/>
    <n v="18.062390871200545"/>
    <n v="83.621184307803219"/>
    <n v="261.99219465741049"/>
    <n v="0"/>
    <n v="0"/>
    <n v="0"/>
    <n v="0"/>
    <n v="0"/>
    <n v="0"/>
    <n v="0"/>
    <n v="0"/>
    <n v="0"/>
    <n v="0"/>
    <m/>
    <n v="0"/>
    <n v="0"/>
    <n v="5.6025804900132865"/>
    <n v="0"/>
    <n v="0"/>
    <n v="333.83930574715674"/>
    <n v="0"/>
    <n v="9.89"/>
    <n v="46.58"/>
    <n v="1282"/>
    <n v="52"/>
    <m/>
    <m/>
    <m/>
    <m/>
    <m/>
    <m/>
    <m/>
    <n v="421.13294999999982"/>
    <m/>
    <n v="2350.5000164917028"/>
    <m/>
    <m/>
    <m/>
    <m/>
    <m/>
    <m/>
    <m/>
    <m/>
    <m/>
    <m/>
    <m/>
    <m/>
    <n v="3792.2093999999997"/>
    <n v="-2297.2543000000005"/>
    <m/>
    <m/>
    <m/>
    <m/>
    <n v="-2861.9717000000001"/>
    <n v="307.21144999999996"/>
    <n v="29"/>
    <n v="394.73269213287313"/>
    <n v="8.6256526147087556"/>
    <n v="27.024894200990957"/>
    <n v="0"/>
    <n v="0"/>
    <n v="0"/>
    <n v="0"/>
    <n v="0"/>
    <n v="0.75661445156790563"/>
    <n v="0"/>
    <n v="0"/>
    <n v="307.25093202266021"/>
    <n v="0"/>
    <n v="0"/>
    <n v="0.85596634497616719"/>
    <n v="51.004213301199798"/>
    <n v="0"/>
    <n v="0"/>
    <m/>
    <n v="0"/>
    <n v="0"/>
    <n v="0"/>
    <n v="0"/>
    <n v="0"/>
    <n v="-0.78558080323109181"/>
    <n v="0"/>
    <n v="0"/>
    <m/>
    <m/>
    <m/>
    <n v="4014.4022416281359"/>
    <n v="0"/>
    <n v="0"/>
    <n v="-2861.9716999999991"/>
    <n v="307.21145000000001"/>
    <n v="0"/>
    <n v="0"/>
    <n v="-2949.420738023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7"/>
    <s v="Refaturamento - 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-0.16200000000000001"/>
    <n v="-0.16200000000000001"/>
    <n v="-0.16200000000000001"/>
    <n v="-0.16200000000000001"/>
    <m/>
    <n v="501.89"/>
    <n v="216.76"/>
    <m/>
    <n v="-116.4213"/>
    <n v="-116.4213"/>
    <n v="-72.462599999999995"/>
    <n v="0"/>
    <n v="0"/>
    <n v="0"/>
    <n v="0"/>
    <n v="0"/>
    <n v="-0.13315001932031739"/>
    <n v="-69.074154343468734"/>
    <n v="-34.603443133429032"/>
    <n v="-0.51149956730528234"/>
    <n v="0"/>
    <n v="0"/>
    <n v="0"/>
    <n v="0"/>
    <n v="0"/>
    <m/>
    <n v="-0.31079206809713106"/>
    <n v="-1.43883503535466"/>
    <n v="-4.5079910286245894"/>
    <n v="0"/>
    <n v="0"/>
    <n v="0"/>
    <n v="0"/>
    <n v="0"/>
    <n v="0"/>
    <n v="0"/>
    <n v="0"/>
    <n v="0"/>
    <n v="0"/>
    <m/>
    <n v="0"/>
    <n v="0"/>
    <n v="-9.6401278744785185E-2"/>
    <n v="0"/>
    <n v="0"/>
    <n v="-5.7442344695740202"/>
    <n v="0"/>
    <n v="-0.25"/>
    <n v="-1.23"/>
    <n v="-27.64"/>
    <n v="0"/>
    <m/>
    <m/>
    <m/>
    <m/>
    <m/>
    <m/>
    <m/>
    <n v="-7.2462599999999995"/>
    <m/>
    <n v="-40.444078881747835"/>
    <m/>
    <m/>
    <m/>
    <m/>
    <m/>
    <m/>
    <m/>
    <m/>
    <m/>
    <m/>
    <m/>
    <m/>
    <n v="-64.411200000000008"/>
    <n v="40.337159999999969"/>
    <m/>
    <m/>
    <m/>
    <m/>
    <n v="49.244760000000007"/>
    <n v="-5.2860599999999991"/>
    <n v="29"/>
    <n v="-6.7920017127483305"/>
    <n v="-0.14841802693391593"/>
    <n v="-0.46500614557201647"/>
    <n v="0"/>
    <n v="0"/>
    <n v="0"/>
    <n v="0"/>
    <n v="0"/>
    <n v="-1.3018751051938449E-2"/>
    <n v="0"/>
    <n v="0"/>
    <n v="-5.2867393507882099"/>
    <n v="0"/>
    <n v="0"/>
    <n v="-1.4728257874258008E-2"/>
    <n v="-0.87760834357879691"/>
    <n v="0"/>
    <n v="0"/>
    <m/>
    <n v="0"/>
    <n v="0"/>
    <n v="0"/>
    <n v="0"/>
    <n v="0"/>
    <n v="1.3517163050816516E-2"/>
    <n v="0"/>
    <n v="0"/>
    <m/>
    <m/>
    <m/>
    <n v="-69.074154343468734"/>
    <n v="0"/>
    <n v="0"/>
    <n v="49.244759999999999"/>
    <n v="-5.2860599999999991"/>
    <n v="0"/>
    <n v="0"/>
    <n v="50.74945932658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8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6.7270000000000003"/>
    <n v="6.7270000000000003"/>
    <n v="6.7270000000000003"/>
    <n v="6.7270000000000003"/>
    <m/>
    <n v="501.89"/>
    <n v="216.76"/>
    <m/>
    <n v="4834.3585499999999"/>
    <n v="4834.3585499999999"/>
    <n v="3008.9871000000003"/>
    <n v="0"/>
    <n v="0"/>
    <n v="0"/>
    <n v="0"/>
    <n v="0"/>
    <n v="5.5290134565912039"/>
    <n v="2868.2829399290995"/>
    <n v="1436.8972960405995"/>
    <n v="21.239861662115029"/>
    <n v="0"/>
    <n v="0"/>
    <n v="0"/>
    <n v="0"/>
    <n v="0"/>
    <m/>
    <n v="12.90554470425556"/>
    <n v="59.747180758214803"/>
    <n v="187.19293610838031"/>
    <n v="0"/>
    <n v="0"/>
    <n v="0"/>
    <n v="0"/>
    <n v="0"/>
    <n v="0"/>
    <n v="0"/>
    <n v="0"/>
    <n v="0"/>
    <n v="0"/>
    <m/>
    <n v="0"/>
    <n v="0"/>
    <n v="4.0030333463961112"/>
    <n v="0"/>
    <n v="0"/>
    <n v="238.52756343718787"/>
    <n v="0"/>
    <n v="7.75"/>
    <n v="36.76"/>
    <n v="1017.76"/>
    <n v="51"/>
    <m/>
    <m/>
    <m/>
    <m/>
    <m/>
    <m/>
    <m/>
    <m/>
    <m/>
    <n v="1679.4278928241833"/>
    <m/>
    <m/>
    <m/>
    <m/>
    <m/>
    <m/>
    <m/>
    <m/>
    <m/>
    <m/>
    <m/>
    <m/>
    <n v="3010.3290000000002"/>
    <n v="-1824.0595500000004"/>
    <m/>
    <m/>
    <m/>
    <m/>
    <n v="-2044.8734600000003"/>
    <n v="219.50200999999998"/>
    <n v="29"/>
    <n v="282.03577482504897"/>
    <n v="6.1630127603978551"/>
    <n v="19.309236674462682"/>
    <n v="0"/>
    <n v="0"/>
    <n v="0"/>
    <n v="0"/>
    <n v="0"/>
    <n v="0.54059961929870415"/>
    <n v="0"/>
    <n v="0"/>
    <n v="219.53021983180406"/>
    <n v="0"/>
    <n v="0"/>
    <n v="0.61158636246995979"/>
    <n v="36.44241560033683"/>
    <n v="0"/>
    <n v="0"/>
    <m/>
    <n v="0"/>
    <n v="0"/>
    <n v="0"/>
    <n v="0"/>
    <n v="0"/>
    <n v="-0.5612960237212512"/>
    <n v="0"/>
    <n v="0"/>
    <m/>
    <m/>
    <m/>
    <n v="2868.2829399290995"/>
    <n v="0"/>
    <n v="0"/>
    <n v="-2044.87346"/>
    <n v="219.50200999999993"/>
    <n v="0"/>
    <n v="0"/>
    <n v="-2107.3556351231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49"/>
    <s v="Regular"/>
    <s v="Convencional"/>
    <s v="B3"/>
    <s v="Industrial"/>
    <s v="Não se aplica"/>
    <s v="Não se aplica"/>
    <s v="Não se aplica"/>
    <s v="Não se aplica"/>
    <s v="CATIVO"/>
    <x v="7"/>
    <n v="0"/>
    <n v="0"/>
    <n v="34.375"/>
    <n v="34.375"/>
    <n v="34.375"/>
    <n v="34.375"/>
    <m/>
    <n v="571.87"/>
    <n v="216.76"/>
    <m/>
    <n v="27109.15625"/>
    <n v="27109.15625"/>
    <n v="17669.09375"/>
    <n v="0"/>
    <n v="2083.4899608888509"/>
    <n v="0"/>
    <n v="0"/>
    <n v="0"/>
    <n v="28.253283420592037"/>
    <n v="14656.938614547762"/>
    <n v="7342.5515908124871"/>
    <n v="108.53578781554988"/>
    <n v="0"/>
    <n v="0"/>
    <n v="0"/>
    <n v="0"/>
    <n v="322.21865701333581"/>
    <m/>
    <n v="65.947390992832595"/>
    <n v="305.3083601254101"/>
    <n v="956.55673832697687"/>
    <n v="0"/>
    <n v="0"/>
    <n v="0"/>
    <n v="0"/>
    <n v="0"/>
    <n v="0"/>
    <n v="0"/>
    <n v="0"/>
    <n v="0"/>
    <n v="0"/>
    <m/>
    <n v="0"/>
    <n v="0"/>
    <n v="20.45551825217278"/>
    <n v="0"/>
    <n v="0"/>
    <n v="1218.876912911154"/>
    <n v="0"/>
    <n v="68.09"/>
    <n v="313.2"/>
    <n v="4736.32"/>
    <n v="27"/>
    <m/>
    <m/>
    <m/>
    <m/>
    <m/>
    <m/>
    <m/>
    <m/>
    <m/>
    <n v="8581.8840219758131"/>
    <m/>
    <m/>
    <m/>
    <m/>
    <m/>
    <m/>
    <m/>
    <m/>
    <m/>
    <m/>
    <m/>
    <m/>
    <n v="17671.663800000002"/>
    <n v="-9437.5224499999931"/>
    <m/>
    <m/>
    <m/>
    <m/>
    <n v="-10561.71875"/>
    <n v="1121.6562499999998"/>
    <n v="29"/>
    <n v="1328.6042634736077"/>
    <n v="31.49302269045279"/>
    <n v="98.670285518753531"/>
    <n v="0"/>
    <n v="0"/>
    <n v="0"/>
    <n v="0"/>
    <n v="0"/>
    <n v="2.7624664654962032"/>
    <n v="0"/>
    <n v="0"/>
    <n v="1121.8004023663252"/>
    <n v="0"/>
    <n v="0"/>
    <n v="3.1252090396766619"/>
    <n v="186.22090623778467"/>
    <n v="0"/>
    <n v="-99.543307409469662"/>
    <m/>
    <n v="0"/>
    <n v="0"/>
    <n v="0"/>
    <n v="0"/>
    <n v="-13.056496251018984"/>
    <n v="-2.8682251843939355"/>
    <n v="0"/>
    <n v="0"/>
    <m/>
    <m/>
    <m/>
    <n v="14656.938614547762"/>
    <n v="0"/>
    <n v="0"/>
    <n v="-10561.71875"/>
    <n v="1121.65625"/>
    <n v="0"/>
    <n v="0"/>
    <n v="-10768.596693527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0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2.4849999999999999"/>
    <n v="2.4849999999999999"/>
    <n v="2.4849999999999999"/>
    <n v="2.4849999999999999"/>
    <m/>
    <n v="571.87"/>
    <n v="216.76"/>
    <m/>
    <n v="1959.7455499999999"/>
    <n v="1959.7455499999999"/>
    <n v="1277.3148499999998"/>
    <n v="0"/>
    <n v="150.61738335443766"/>
    <n v="0"/>
    <n v="0"/>
    <n v="0"/>
    <n v="2.0424555432777081"/>
    <n v="1059.5634169353073"/>
    <n v="530.79972954673542"/>
    <n v="7.8461507700841144"/>
    <n v="0"/>
    <n v="0"/>
    <n v="0"/>
    <n v="0"/>
    <n v="23.293479641545876"/>
    <m/>
    <n v="4.7673968470454975"/>
    <n v="22.071018906520553"/>
    <n v="69.150356210691996"/>
    <n v="0"/>
    <n v="0"/>
    <n v="0"/>
    <n v="0"/>
    <n v="0"/>
    <n v="0"/>
    <n v="0"/>
    <n v="0"/>
    <n v="0"/>
    <n v="0"/>
    <m/>
    <n v="0"/>
    <n v="0"/>
    <n v="1.4787480103752542"/>
    <n v="0"/>
    <n v="0"/>
    <n v="88.11372010426814"/>
    <n v="0"/>
    <n v="4.5"/>
    <n v="20.72"/>
    <n v="958.09"/>
    <n v="4"/>
    <m/>
    <m/>
    <m/>
    <m/>
    <m/>
    <m/>
    <m/>
    <m/>
    <m/>
    <n v="620.39219766137887"/>
    <m/>
    <m/>
    <m/>
    <m/>
    <m/>
    <m/>
    <m/>
    <m/>
    <m/>
    <m/>
    <m/>
    <m/>
    <n v="1279.8849"/>
    <n v="-679.89064999999982"/>
    <m/>
    <m/>
    <m/>
    <m/>
    <n v="-763.51625000000001"/>
    <n v="81.085549999999984"/>
    <n v="29"/>
    <n v="96.046010028564524"/>
    <n v="2.2766592403134638"/>
    <n v="7.1329646404102505"/>
    <n v="0"/>
    <n v="0"/>
    <n v="0"/>
    <n v="0"/>
    <n v="0"/>
    <n v="0.1997012121238706"/>
    <n v="0"/>
    <n v="0"/>
    <n v="81.095970905609306"/>
    <n v="0"/>
    <n v="0"/>
    <n v="0.22592420257735268"/>
    <n v="13.462078603662405"/>
    <n v="0"/>
    <n v="-7.1960761865464065"/>
    <m/>
    <n v="0"/>
    <n v="0"/>
    <n v="0"/>
    <n v="0"/>
    <n v="-0.94386598352820883"/>
    <n v="-0.2073466060572775"/>
    <n v="0"/>
    <n v="0"/>
    <m/>
    <m/>
    <m/>
    <n v="1059.5634169353073"/>
    <n v="0"/>
    <n v="0"/>
    <n v="-763.5162499999999"/>
    <n v="81.085549999999898"/>
    <n v="0"/>
    <n v="0"/>
    <n v="-778.47164460844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1"/>
    <s v="Regular"/>
    <s v="Verde"/>
    <s v="A4"/>
    <s v="Industrial"/>
    <s v="Não se aplica"/>
    <s v="Não se aplica"/>
    <s v="Não se aplica"/>
    <s v="Ponta"/>
    <s v="CATIVO"/>
    <x v="7"/>
    <n v="0"/>
    <n v="0"/>
    <n v="1.855"/>
    <n v="1.855"/>
    <n v="1.855"/>
    <n v="1.855"/>
    <m/>
    <n v="2592.54"/>
    <n v="216.76"/>
    <m/>
    <n v="5211.2514999999994"/>
    <n v="5211.2514999999994"/>
    <n v="2191.1259999999997"/>
    <n v="0"/>
    <n v="97.816444316522848"/>
    <n v="0"/>
    <n v="0"/>
    <n v="0"/>
    <n v="9.3800583091087475"/>
    <n v="4249.603740687654"/>
    <n v="396.23078402784478"/>
    <n v="5.8569857861191279"/>
    <n v="0"/>
    <n v="0"/>
    <n v="0"/>
    <n v="0"/>
    <n v="17.388090436646923"/>
    <m/>
    <n v="2.5473271745101895"/>
    <n v="83.688086708244484"/>
    <n v="317.57738888369892"/>
    <n v="0"/>
    <n v="0"/>
    <n v="0"/>
    <n v="0"/>
    <n v="0"/>
    <n v="0"/>
    <n v="0"/>
    <n v="0"/>
    <n v="0"/>
    <n v="0"/>
    <m/>
    <n v="0"/>
    <n v="0"/>
    <n v="0.84828908563394345"/>
    <n v="0"/>
    <n v="0"/>
    <n v="30.303570914187024"/>
    <n v="0"/>
    <n v="0"/>
    <n v="0"/>
    <n v="0"/>
    <n v="0"/>
    <m/>
    <m/>
    <m/>
    <m/>
    <m/>
    <m/>
    <m/>
    <m/>
    <m/>
    <n v="427.38264402766578"/>
    <m/>
    <m/>
    <m/>
    <m/>
    <m/>
    <m/>
    <m/>
    <m/>
    <m/>
    <m/>
    <m/>
    <m/>
    <n v="2197.0320000000002"/>
    <n v="-3014.2494999999999"/>
    <m/>
    <m/>
    <m/>
    <m/>
    <n v="-3080.6541499999998"/>
    <n v="60.528649999999992"/>
    <n v="29"/>
    <n v="102.11535274922767"/>
    <n v="8.6325536992851966"/>
    <n v="32.758591707021367"/>
    <n v="0"/>
    <n v="0"/>
    <n v="0"/>
    <n v="0"/>
    <n v="0"/>
    <n v="0.91713575861509966"/>
    <n v="0"/>
    <n v="0"/>
    <n v="60.536428985877308"/>
    <n v="0"/>
    <n v="0"/>
    <n v="0.12960222693945511"/>
    <n v="4.6298017282178456"/>
    <n v="0"/>
    <n v="-4.6733953938260271"/>
    <m/>
    <n v="0"/>
    <n v="0"/>
    <n v="0"/>
    <n v="0"/>
    <n v="-0.70457601587317242"/>
    <n v="-0.11078994702937184"/>
    <n v="0"/>
    <n v="0"/>
    <m/>
    <m/>
    <m/>
    <n v="4249.603740687654"/>
    <n v="0"/>
    <n v="0"/>
    <n v="-3080.6541499999998"/>
    <n v="60.528650000000027"/>
    <n v="0"/>
    <n v="0"/>
    <n v="-3122.2255884560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2"/>
    <s v="Regular"/>
    <s v="Verde"/>
    <s v="A4"/>
    <s v="Industrial"/>
    <s v="Não se aplica"/>
    <s v="Não se aplica"/>
    <s v="Não se aplica"/>
    <s v="Fora ponta"/>
    <s v="CATIVO"/>
    <x v="7"/>
    <n v="0"/>
    <n v="0"/>
    <n v="110.783"/>
    <n v="110.783"/>
    <n v="110.783"/>
    <n v="110.783"/>
    <m/>
    <n v="80.27"/>
    <n v="216.76"/>
    <m/>
    <n v="32905.874490000002"/>
    <n v="32905.874490000002"/>
    <n v="36477.518410000004"/>
    <n v="0"/>
    <n v="5841.7246095511327"/>
    <n v="0"/>
    <n v="0"/>
    <n v="0"/>
    <n v="0"/>
    <n v="0"/>
    <n v="23663.415065744866"/>
    <n v="349.78676891840183"/>
    <n v="0"/>
    <n v="0"/>
    <n v="0"/>
    <n v="0"/>
    <n v="1038.4392575973347"/>
    <m/>
    <n v="152.12967459502013"/>
    <n v="0"/>
    <n v="0"/>
    <n v="0"/>
    <n v="0"/>
    <n v="0"/>
    <n v="0"/>
    <n v="0"/>
    <n v="0"/>
    <n v="0"/>
    <n v="0"/>
    <n v="0"/>
    <n v="0"/>
    <m/>
    <n v="0"/>
    <n v="0"/>
    <n v="50.660921710935391"/>
    <n v="0"/>
    <n v="0"/>
    <n v="1809.7684617716341"/>
    <n v="0"/>
    <n v="0"/>
    <n v="0"/>
    <n v="0"/>
    <n v="0"/>
    <m/>
    <m/>
    <m/>
    <m/>
    <m/>
    <m/>
    <m/>
    <m/>
    <m/>
    <n v="25523.844449227436"/>
    <m/>
    <m/>
    <m/>
    <m/>
    <m/>
    <m/>
    <m/>
    <m/>
    <m/>
    <m/>
    <m/>
    <m/>
    <n v="36476.530599999998"/>
    <n v="3570.6261099999974"/>
    <m/>
    <m/>
    <m/>
    <m/>
    <n v="-43.205370000000066"/>
    <n v="3614.8492899999997"/>
    <n v="29"/>
    <n v="3571.7556934362146"/>
    <n v="0"/>
    <n v="0"/>
    <n v="0"/>
    <n v="0"/>
    <n v="0"/>
    <n v="0"/>
    <n v="0"/>
    <n v="0"/>
    <n v="0"/>
    <n v="0"/>
    <n v="3615.3138611010509"/>
    <n v="0"/>
    <n v="0"/>
    <n v="7.7400126722553466"/>
    <n v="276.49774924914163"/>
    <n v="0"/>
    <n v="-279.1012193607703"/>
    <m/>
    <n v="0"/>
    <n v="0"/>
    <n v="0"/>
    <n v="0"/>
    <n v="-42.078191248774942"/>
    <n v="-6.6165189766872743"/>
    <n v="0"/>
    <n v="0"/>
    <m/>
    <m/>
    <m/>
    <n v="0"/>
    <n v="0"/>
    <n v="0"/>
    <n v="-43.205369999999675"/>
    <n v="3614.84929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3"/>
    <s v="Regular"/>
    <s v="Verde"/>
    <s v="A4"/>
    <s v="Industrial"/>
    <s v="Não se aplica"/>
    <s v="Não se aplica"/>
    <s v="Não se aplica"/>
    <s v="Não se aplica"/>
    <s v="CATIVO"/>
    <x v="7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175.76"/>
    <n v="811.32"/>
    <n v="13232.45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n v="29"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54"/>
    <s v="Regular"/>
    <s v="Convencional"/>
    <s v="B3"/>
    <s v="Comercial"/>
    <s v="Não se aplica"/>
    <s v="Não se aplica"/>
    <s v="Não se aplica"/>
    <s v="Não se aplica"/>
    <s v="CATIVO"/>
    <x v="7"/>
    <n v="0"/>
    <n v="0"/>
    <n v="344.67099999999999"/>
    <n v="344.67099999999999"/>
    <n v="344.67099999999999"/>
    <n v="344.67099999999999"/>
    <m/>
    <n v="571.87"/>
    <n v="216.76"/>
    <m/>
    <n v="271817.89072999998"/>
    <n v="271817.89072999998"/>
    <n v="177164.34070999999"/>
    <n v="0"/>
    <n v="20890.721987186069"/>
    <n v="0"/>
    <n v="0"/>
    <n v="0"/>
    <n v="283.28981672316735"/>
    <n v="146962.08550443032"/>
    <n v="73622.242890383437"/>
    <n v="1088.2658479177715"/>
    <n v="0"/>
    <n v="0"/>
    <n v="0"/>
    <n v="0"/>
    <n v="3230.8196867329007"/>
    <m/>
    <n v="661.24082038954475"/>
    <n v="3061.2636448810244"/>
    <n v="9591.1961470806527"/>
    <n v="0"/>
    <n v="0"/>
    <n v="0"/>
    <n v="0"/>
    <n v="0"/>
    <n v="0"/>
    <n v="0"/>
    <n v="0"/>
    <n v="0"/>
    <n v="0"/>
    <m/>
    <n v="0"/>
    <n v="0"/>
    <n v="205.10324164348057"/>
    <n v="0"/>
    <n v="0"/>
    <n v="12221.426165818191"/>
    <n v="0"/>
    <n v="616.88"/>
    <n v="2855.86"/>
    <n v="76521.17"/>
    <n v="708"/>
    <m/>
    <m/>
    <m/>
    <m/>
    <m/>
    <m/>
    <m/>
    <m/>
    <m/>
    <n v="86048.772297845106"/>
    <m/>
    <m/>
    <m/>
    <m/>
    <m/>
    <m/>
    <m/>
    <m/>
    <m/>
    <m/>
    <m/>
    <m/>
    <n v="177163.82670000001"/>
    <n v="-94654.094030000007"/>
    <m/>
    <m/>
    <m/>
    <m/>
    <n v="-105900.16475"/>
    <n v="11246.614729999998"/>
    <n v="29"/>
    <n v="13321.639566420694"/>
    <n v="315.77401087246744"/>
    <n v="989.34650123735992"/>
    <n v="0"/>
    <n v="0"/>
    <n v="0"/>
    <n v="0"/>
    <n v="0"/>
    <n v="27.698678665572118"/>
    <n v="0"/>
    <n v="0"/>
    <n v="11248.06011589829"/>
    <n v="0"/>
    <n v="0"/>
    <n v="31.335823270236915"/>
    <n v="1867.1984283311576"/>
    <n v="0"/>
    <n v="-998.10011078194657"/>
    <m/>
    <n v="0"/>
    <n v="0"/>
    <n v="0"/>
    <n v="0"/>
    <n v="-130.91478165338094"/>
    <n v="-28.759099419061499"/>
    <n v="0"/>
    <n v="0"/>
    <m/>
    <m/>
    <m/>
    <n v="146962.08550443032"/>
    <n v="0"/>
    <n v="0"/>
    <n v="-105900.16475"/>
    <n v="11246.614729999987"/>
    <n v="0"/>
    <n v="0"/>
    <n v="-107974.48700959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5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1.0349999999999999"/>
    <n v="-1.0349999999999999"/>
    <n v="-1.0349999999999999"/>
    <n v="-1.0349999999999999"/>
    <m/>
    <n v="571.87"/>
    <n v="216.76"/>
    <m/>
    <n v="-816.23204999999996"/>
    <n v="-816.23204999999996"/>
    <n v="-532.00034999999991"/>
    <n v="0"/>
    <n v="-62.731988640580674"/>
    <n v="0"/>
    <n v="0"/>
    <n v="0"/>
    <n v="-0.85068067899091648"/>
    <n v="-441.30709719438352"/>
    <n v="-221.07755335246324"/>
    <n v="-3.2679139022281922"/>
    <n v="0"/>
    <n v="0"/>
    <n v="0"/>
    <n v="0"/>
    <n v="-9.7017108366197107"/>
    <m/>
    <n v="-1.9856159906205593"/>
    <n v="-9.1925571703214377"/>
    <n v="-28.801053793990427"/>
    <n v="0"/>
    <n v="0"/>
    <n v="0"/>
    <n v="0"/>
    <n v="0"/>
    <n v="0"/>
    <n v="0"/>
    <n v="0"/>
    <n v="0"/>
    <n v="0"/>
    <m/>
    <n v="0"/>
    <n v="0"/>
    <n v="-0.61589705864723865"/>
    <n v="0"/>
    <n v="0"/>
    <n v="-36.699275777834018"/>
    <n v="0"/>
    <n v="-2.4700000000000002"/>
    <n v="-11.35"/>
    <n v="-230.93"/>
    <n v="0"/>
    <m/>
    <m/>
    <m/>
    <m/>
    <m/>
    <m/>
    <m/>
    <m/>
    <m/>
    <n v="-258.39272618894449"/>
    <m/>
    <m/>
    <m/>
    <m/>
    <m/>
    <m/>
    <m/>
    <m/>
    <m/>
    <m/>
    <m/>
    <m/>
    <n v="-534.57040000000006"/>
    <n v="281.63164999999992"/>
    <m/>
    <m/>
    <m/>
    <m/>
    <n v="318.00374999999997"/>
    <n v="-33.772049999999993"/>
    <n v="29"/>
    <n v="-40.00306655113252"/>
    <n v="-0.948226283188907"/>
    <n v="-2.9708725967101053"/>
    <n v="0"/>
    <n v="0"/>
    <n v="0"/>
    <n v="0"/>
    <n v="0"/>
    <n v="-8.3175353942940289E-2"/>
    <n v="0"/>
    <n v="0"/>
    <n v="-33.776390296702431"/>
    <n v="0"/>
    <n v="0"/>
    <n v="-9.4097203085537151E-2"/>
    <n v="-5.6069421950867522"/>
    <n v="0"/>
    <n v="2.9971584921833099"/>
    <m/>
    <n v="0"/>
    <n v="0"/>
    <n v="0"/>
    <n v="0"/>
    <n v="0.39311923257613657"/>
    <n v="8.6359652824660849E-2"/>
    <n v="0"/>
    <n v="0"/>
    <m/>
    <m/>
    <m/>
    <n v="-441.30709719438352"/>
    <n v="0"/>
    <n v="0"/>
    <n v="318.00375000000003"/>
    <n v="-33.772049999999979"/>
    <n v="0"/>
    <n v="0"/>
    <n v="324.23265680874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6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12.598000000000001"/>
    <n v="12.598000000000001"/>
    <n v="12.598000000000001"/>
    <n v="12.598000000000001"/>
    <m/>
    <n v="571.87"/>
    <n v="216.76"/>
    <m/>
    <n v="9935.1607399999994"/>
    <n v="9935.1607399999994"/>
    <n v="6475.4979800000001"/>
    <n v="0"/>
    <n v="763.57255352080722"/>
    <n v="0"/>
    <n v="0"/>
    <n v="0"/>
    <n v="10.354468786403448"/>
    <n v="5371.5814593766609"/>
    <n v="2690.9517073761667"/>
    <n v="39.776984869826833"/>
    <n v="0"/>
    <n v="0"/>
    <n v="0"/>
    <n v="0"/>
    <n v="118.08903683066195"/>
    <m/>
    <n v="24.168879468442327"/>
    <n v="111.89162824319757"/>
    <n v="350.56587023834925"/>
    <n v="0"/>
    <n v="0"/>
    <n v="0"/>
    <n v="0"/>
    <n v="0"/>
    <n v="0"/>
    <n v="0"/>
    <n v="0"/>
    <n v="0"/>
    <n v="0"/>
    <m/>
    <n v="0"/>
    <n v="0"/>
    <n v="7.496687096461752"/>
    <n v="0"/>
    <n v="0"/>
    <n v="446.70287560304638"/>
    <n v="0"/>
    <n v="21.72"/>
    <n v="100.64"/>
    <n v="4182.8"/>
    <n v="19"/>
    <m/>
    <m/>
    <m/>
    <m/>
    <m/>
    <m/>
    <m/>
    <m/>
    <m/>
    <n v="3145.1512700756748"/>
    <m/>
    <m/>
    <m/>
    <m/>
    <m/>
    <m/>
    <m/>
    <m/>
    <m/>
    <m/>
    <m/>
    <m/>
    <n v="6476.5259999999998"/>
    <n v="-3458.6647400000002"/>
    <m/>
    <m/>
    <m/>
    <m/>
    <n v="-3870.7355000000002"/>
    <n v="411.07273999999995"/>
    <n v="29"/>
    <n v="486.91655305427048"/>
    <n v="11.541791995762168"/>
    <n v="36.161403838989258"/>
    <n v="0"/>
    <n v="0"/>
    <n v="0"/>
    <n v="0"/>
    <n v="0"/>
    <n v="1.0124088009402517"/>
    <n v="0"/>
    <n v="0"/>
    <n v="411.12557000759125"/>
    <n v="0"/>
    <n v="0"/>
    <n v="1.1453493376537178"/>
    <n v="68.247592051886897"/>
    <n v="0"/>
    <n v="-36.481355250749175"/>
    <m/>
    <n v="0"/>
    <n v="0"/>
    <n v="0"/>
    <n v="0"/>
    <n v="-4.7850397024098044"/>
    <n v="-1.0511680253962119"/>
    <n v="0"/>
    <n v="0"/>
    <m/>
    <m/>
    <m/>
    <n v="5371.5814593766609"/>
    <n v="0"/>
    <n v="0"/>
    <n v="-3870.7355000000002"/>
    <n v="411.07274000000007"/>
    <n v="0"/>
    <n v="0"/>
    <n v="-3946.553633310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7"/>
    <s v="Regular"/>
    <s v="Verde"/>
    <s v="A4"/>
    <s v="Comercial"/>
    <s v="Não se aplica"/>
    <s v="Não se aplica"/>
    <s v="Não se aplica"/>
    <s v="Ponta"/>
    <s v="CATIVO"/>
    <x v="7"/>
    <n v="0"/>
    <n v="0"/>
    <n v="4.66"/>
    <n v="4.66"/>
    <n v="4.66"/>
    <n v="4.66"/>
    <m/>
    <n v="2592.54"/>
    <n v="216.76"/>
    <m/>
    <n v="13091.338"/>
    <n v="13091.338"/>
    <n v="5504.3919999999998"/>
    <n v="0"/>
    <n v="245.72756361994419"/>
    <n v="0"/>
    <n v="0"/>
    <n v="0"/>
    <n v="23.563920064930873"/>
    <n v="10675.554410568448"/>
    <n v="995.38299383814376"/>
    <n v="14.713506071867998"/>
    <n v="0"/>
    <n v="0"/>
    <n v="0"/>
    <n v="0"/>
    <n v="43.681132848935128"/>
    <m/>
    <n v="6.3992154356967568"/>
    <n v="210.23530138027994"/>
    <n v="797.79548905554566"/>
    <n v="0"/>
    <n v="0"/>
    <n v="0"/>
    <n v="0"/>
    <n v="0"/>
    <n v="0"/>
    <n v="0"/>
    <n v="0"/>
    <n v="0"/>
    <n v="0"/>
    <m/>
    <n v="0"/>
    <n v="0"/>
    <n v="2.1310119348000951"/>
    <n v="0"/>
    <n v="0"/>
    <n v="76.126490814076305"/>
    <n v="0"/>
    <n v="0"/>
    <n v="0"/>
    <n v="0"/>
    <n v="0"/>
    <m/>
    <m/>
    <m/>
    <m/>
    <m/>
    <m/>
    <m/>
    <m/>
    <m/>
    <n v="1073.6404965870202"/>
    <m/>
    <m/>
    <m/>
    <m/>
    <m/>
    <m/>
    <m/>
    <m/>
    <m/>
    <m/>
    <m/>
    <m/>
    <n v="5504.3919999999998"/>
    <n v="-7586.9760000000006"/>
    <m/>
    <m/>
    <m/>
    <m/>
    <n v="-7739.0018"/>
    <n v="152.05579999999998"/>
    <n v="29"/>
    <n v="256.52697779590335"/>
    <n v="21.6860917728674"/>
    <n v="82.293820676398582"/>
    <n v="0"/>
    <n v="0"/>
    <n v="0"/>
    <n v="0"/>
    <n v="0"/>
    <n v="2.3039636847150184"/>
    <n v="0"/>
    <n v="0"/>
    <n v="152.07534181896938"/>
    <n v="0"/>
    <n v="0"/>
    <n v="0.32557756201501942"/>
    <n v="11.630660945280411"/>
    <n v="0"/>
    <n v="-11.740173873438948"/>
    <m/>
    <n v="0"/>
    <n v="0"/>
    <n v="0"/>
    <n v="0"/>
    <n v="-1.7699861099563208"/>
    <n v="-0.27831868094710099"/>
    <n v="0"/>
    <n v="0"/>
    <m/>
    <m/>
    <m/>
    <n v="10675.554410568448"/>
    <n v="0"/>
    <n v="0"/>
    <n v="-7739.0018"/>
    <n v="152.05580000000009"/>
    <n v="0"/>
    <n v="0"/>
    <n v="-7843.434631916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8"/>
    <s v="Regular"/>
    <s v="Verde"/>
    <s v="A4"/>
    <s v="Comercial"/>
    <s v="Não se aplica"/>
    <s v="Não se aplica"/>
    <s v="Não se aplica"/>
    <s v="Fora ponta"/>
    <s v="CATIVO"/>
    <x v="7"/>
    <n v="0"/>
    <n v="0"/>
    <n v="51.225000000000001"/>
    <n v="51.225000000000001"/>
    <n v="51.225000000000001"/>
    <n v="51.225000000000001"/>
    <m/>
    <n v="80.27"/>
    <n v="216.76"/>
    <m/>
    <n v="15215.36175"/>
    <n v="15215.36175"/>
    <n v="16866.855749999999"/>
    <n v="0"/>
    <n v="2701.1576065303952"/>
    <n v="0"/>
    <n v="0"/>
    <n v="0"/>
    <n v="0"/>
    <n v="0"/>
    <n v="10941.736879690754"/>
    <n v="161.73805762477215"/>
    <n v="0"/>
    <n v="0"/>
    <n v="0"/>
    <n v="0"/>
    <n v="480.16438416023647"/>
    <m/>
    <n v="70.343307015786777"/>
    <n v="0"/>
    <n v="0"/>
    <n v="0"/>
    <n v="0"/>
    <n v="0"/>
    <n v="0"/>
    <n v="0"/>
    <n v="0"/>
    <n v="0"/>
    <n v="0"/>
    <n v="0"/>
    <n v="0"/>
    <m/>
    <n v="0"/>
    <n v="0"/>
    <n v="23.425125828355124"/>
    <n v="0"/>
    <n v="0"/>
    <n v="836.81963346589237"/>
    <n v="0"/>
    <n v="0"/>
    <n v="0"/>
    <n v="0"/>
    <n v="0"/>
    <m/>
    <m/>
    <m/>
    <m/>
    <m/>
    <m/>
    <m/>
    <m/>
    <m/>
    <n v="11801.981638985002"/>
    <m/>
    <m/>
    <m/>
    <m/>
    <m/>
    <m/>
    <m/>
    <m/>
    <m/>
    <m/>
    <m/>
    <m/>
    <n v="16868.502099999998"/>
    <n v="1653.1103499999972"/>
    <m/>
    <m/>
    <m/>
    <m/>
    <n v="-19.977750000000029"/>
    <n v="1671.4717499999997"/>
    <n v="29"/>
    <n v="1651.5456829682353"/>
    <n v="0"/>
    <n v="0"/>
    <n v="0"/>
    <n v="0"/>
    <n v="0"/>
    <n v="0"/>
    <n v="0"/>
    <n v="0"/>
    <n v="0"/>
    <n v="0"/>
    <n v="1671.6865632353456"/>
    <n v="0"/>
    <n v="0"/>
    <n v="3.5789078571286161"/>
    <n v="127.84991564849554"/>
    <n v="0"/>
    <n v="-129.05373533624697"/>
    <m/>
    <n v="0"/>
    <n v="0"/>
    <n v="0"/>
    <n v="0"/>
    <n v="-19.456553322427624"/>
    <n v="-3.059415114059064"/>
    <n v="0"/>
    <n v="0"/>
    <m/>
    <m/>
    <m/>
    <n v="0"/>
    <n v="0"/>
    <n v="0"/>
    <n v="-19.977750000000015"/>
    <n v="1671.47175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59"/>
    <s v="Regular"/>
    <s v="Verde"/>
    <s v="A4"/>
    <s v="Comercial"/>
    <s v="Não se aplica"/>
    <s v="Não se aplica"/>
    <s v="Não se aplica"/>
    <s v="Não se aplica"/>
    <s v="CATIVO"/>
    <x v="7"/>
    <n v="890"/>
    <n v="890"/>
    <n v="0"/>
    <n v="0"/>
    <n v="0"/>
    <n v="0"/>
    <n v="32.17"/>
    <m/>
    <m/>
    <n v="28631.300000000003"/>
    <m/>
    <n v="28631.300000000003"/>
    <n v="11507.699999999999"/>
    <n v="0"/>
    <n v="0"/>
    <n v="0"/>
    <n v="0"/>
    <n v="0"/>
    <n v="88.925440366835105"/>
    <n v="23964.79453135877"/>
    <m/>
    <m/>
    <m/>
    <n v="0"/>
    <n v="0"/>
    <n v="0"/>
    <n v="0"/>
    <m/>
    <n v="0"/>
    <n v="1570.3347847082198"/>
    <n v="3010.7499972466553"/>
    <n v="0"/>
    <n v="0"/>
    <m/>
    <m/>
    <n v="0"/>
    <n v="0"/>
    <n v="0"/>
    <m/>
    <m/>
    <n v="0"/>
    <m/>
    <n v="0"/>
    <n v="0"/>
    <n v="0"/>
    <n v="0"/>
    <m/>
    <n v="0"/>
    <n v="0"/>
    <n v="110.78"/>
    <n v="511.39"/>
    <n v="12985.54"/>
    <n v="8"/>
    <m/>
    <m/>
    <m/>
    <m/>
    <m/>
    <m/>
    <m/>
    <m/>
    <m/>
    <n v="0"/>
    <m/>
    <m/>
    <m/>
    <m/>
    <m/>
    <m/>
    <m/>
    <m/>
    <m/>
    <m/>
    <m/>
    <m/>
    <n v="11507.699999999999"/>
    <n v="-17123.629999999997"/>
    <m/>
    <m/>
    <m/>
    <m/>
    <n v="-17123.600000000002"/>
    <n v="0"/>
    <n v="29"/>
    <n v="481.2405678523146"/>
    <n v="161.98242650843326"/>
    <n v="310.5634511273156"/>
    <n v="0"/>
    <n v="0"/>
    <m/>
    <m/>
    <m/>
    <n v="8.69469021656550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964.79453135877"/>
    <m/>
    <n v="0"/>
    <n v="0"/>
    <n v="-17123.600000000006"/>
    <m/>
    <n v="0"/>
    <m/>
    <n v="-17607.16981480050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60"/>
    <s v="Regular"/>
    <s v="Convencional"/>
    <s v="B2"/>
    <s v="Rural"/>
    <s v="Não se aplica"/>
    <s v="Não se aplica"/>
    <s v="Não se aplica"/>
    <s v="Não se aplica"/>
    <s v="CATIVO"/>
    <x v="7"/>
    <n v="0"/>
    <n v="0"/>
    <n v="5049.5609999999997"/>
    <n v="5049.5609999999997"/>
    <n v="5049.5609999999997"/>
    <n v="5049.5609999999997"/>
    <m/>
    <n v="571.87"/>
    <n v="216.76"/>
    <m/>
    <n v="3982235.2914299993"/>
    <n v="3982235.2914299993"/>
    <n v="2595524.8496099999"/>
    <n v="0"/>
    <n v="306057.00801151613"/>
    <n v="0"/>
    <n v="0"/>
    <n v="0"/>
    <n v="4150.3033624019818"/>
    <n v="2153050.3449429646"/>
    <n v="1078593.8081005001"/>
    <n v="15943.507818405114"/>
    <n v="0"/>
    <n v="0"/>
    <n v="0"/>
    <n v="0"/>
    <n v="47332.734950601218"/>
    <m/>
    <n v="9687.4290504482542"/>
    <n v="44848.674567657479"/>
    <n v="140514.66473143586"/>
    <n v="0"/>
    <n v="0"/>
    <n v="0"/>
    <n v="0"/>
    <n v="0"/>
    <n v="0"/>
    <n v="0"/>
    <n v="0"/>
    <n v="0"/>
    <n v="0"/>
    <m/>
    <n v="0"/>
    <n v="0"/>
    <n v="3004.8403549370132"/>
    <n v="0"/>
    <n v="0"/>
    <n v="179048.533039609"/>
    <n v="0"/>
    <n v="7968.97"/>
    <n v="37010.83"/>
    <n v="145268.41"/>
    <n v="10456"/>
    <m/>
    <m/>
    <m/>
    <m/>
    <m/>
    <n v="311456.92247999983"/>
    <m/>
    <m/>
    <m/>
    <n v="1260647.1814950462"/>
    <m/>
    <m/>
    <m/>
    <m/>
    <m/>
    <m/>
    <m/>
    <m/>
    <m/>
    <m/>
    <m/>
    <m/>
    <n v="2284067.4748"/>
    <n v="-1220327.8891999992"/>
    <m/>
    <m/>
    <m/>
    <m/>
    <n v="-1551477.6172499999"/>
    <n v="164767.17542999997"/>
    <n v="29"/>
    <n v="195167.07704058313"/>
    <n v="4626.2091389040215"/>
    <n v="14494.301836054161"/>
    <n v="0"/>
    <n v="0"/>
    <n v="0"/>
    <n v="0"/>
    <n v="0"/>
    <n v="405.79615790479966"/>
    <n v="0"/>
    <n v="0"/>
    <n v="164788.35088213254"/>
    <n v="0"/>
    <n v="0"/>
    <n v="459.08170715923552"/>
    <n v="27355.165833395615"/>
    <n v="0"/>
    <n v="-14622.545539079874"/>
    <m/>
    <n v="0"/>
    <n v="0"/>
    <n v="0"/>
    <n v="0"/>
    <n v="-1917.9512513684822"/>
    <n v="-421.33172451879182"/>
    <n v="0"/>
    <n v="0"/>
    <m/>
    <m/>
    <m/>
    <n v="2153050.3449429646"/>
    <n v="0"/>
    <n v="0"/>
    <n v="-1551477.6172499997"/>
    <n v="164767.17543000006"/>
    <n v="0"/>
    <n v="0"/>
    <n v="-1581867.2258433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1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1.0860000000000001"/>
    <n v="-1.0860000000000001"/>
    <n v="-1.0860000000000001"/>
    <n v="-1.0860000000000001"/>
    <m/>
    <n v="571.87"/>
    <n v="216.76"/>
    <m/>
    <n v="-856.45218"/>
    <n v="-856.45218"/>
    <n v="-558.21486000000004"/>
    <n v="0"/>
    <n v="-65.823130109826693"/>
    <n v="0"/>
    <n v="0"/>
    <n v="0"/>
    <n v="-0.89259827766583144"/>
    <n v="-463.0526643025126"/>
    <n v="-231.97122989446871"/>
    <n v="-3.4289415437872632"/>
    <n v="0"/>
    <n v="0"/>
    <n v="0"/>
    <n v="0"/>
    <n v="-10.179766153206771"/>
    <m/>
    <n v="-2.0834579379844711"/>
    <n v="-9.6455237555256836"/>
    <n v="-30.22023615485373"/>
    <n v="0"/>
    <n v="0"/>
    <n v="0"/>
    <n v="0"/>
    <n v="0"/>
    <n v="0"/>
    <n v="0"/>
    <n v="0"/>
    <n v="0"/>
    <n v="0"/>
    <m/>
    <n v="0"/>
    <n v="0"/>
    <n v="-0.64624560936318964"/>
    <n v="0"/>
    <n v="0"/>
    <n v="-38.507645888625838"/>
    <n v="0"/>
    <n v="-2.42"/>
    <n v="-11.24"/>
    <n v="-7.32"/>
    <n v="0"/>
    <m/>
    <m/>
    <m/>
    <m/>
    <m/>
    <n v="-66.984479999999991"/>
    <m/>
    <m/>
    <m/>
    <n v="-271.12512139245774"/>
    <m/>
    <m/>
    <m/>
    <m/>
    <m/>
    <m/>
    <m/>
    <m/>
    <m/>
    <m/>
    <m/>
    <m/>
    <n v="-493.03970000000004"/>
    <n v="260.61429999999996"/>
    <m/>
    <m/>
    <m/>
    <m/>
    <n v="333.67350000000005"/>
    <n v="-35.43618"/>
    <n v="29"/>
    <n v="-41.974232149304214"/>
    <n v="-0.99495047685328863"/>
    <n v="-3.1172634203161067"/>
    <n v="0"/>
    <n v="0"/>
    <n v="0"/>
    <n v="0"/>
    <n v="0"/>
    <n v="-8.7273849644476376E-2"/>
    <n v="0"/>
    <n v="0"/>
    <n v="-35.440734166395032"/>
    <n v="0"/>
    <n v="0"/>
    <n v="-9.8733876860766623E-2"/>
    <n v="-5.8832263032504528"/>
    <n v="0"/>
    <n v="3.1448445628126365"/>
    <m/>
    <n v="0"/>
    <n v="0"/>
    <n v="0"/>
    <n v="0"/>
    <n v="0.4124903251958294"/>
    <n v="9.0615056007325334E-2"/>
    <n v="0"/>
    <n v="0"/>
    <m/>
    <m/>
    <m/>
    <n v="-463.0526643025126"/>
    <n v="0"/>
    <n v="0"/>
    <n v="333.67350000000005"/>
    <n v="-35.436179999999979"/>
    <n v="0"/>
    <n v="0"/>
    <n v="340.2093384485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2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88.099000000000004"/>
    <n v="88.099000000000004"/>
    <n v="88.099000000000004"/>
    <n v="88.099000000000004"/>
    <m/>
    <n v="571.87"/>
    <n v="216.76"/>
    <m/>
    <n v="69477.514370000004"/>
    <n v="69477.514370000004"/>
    <n v="45283.766990000004"/>
    <n v="0"/>
    <n v="5339.7347509628189"/>
    <n v="0"/>
    <n v="0"/>
    <n v="0"/>
    <n v="72.409775012966918"/>
    <n v="37563.974836452173"/>
    <n v="18818.078621061508"/>
    <n v="278.16419987671651"/>
    <n v="0"/>
    <n v="0"/>
    <n v="0"/>
    <n v="0"/>
    <n v="825.80775168633818"/>
    <m/>
    <n v="169.01524942771078"/>
    <n v="782.46868999821106"/>
    <n v="2451.5401335234424"/>
    <n v="0"/>
    <n v="0"/>
    <n v="0"/>
    <n v="0"/>
    <n v="0"/>
    <n v="0"/>
    <n v="0"/>
    <n v="0"/>
    <n v="0"/>
    <n v="0"/>
    <m/>
    <n v="0"/>
    <n v="0"/>
    <n v="52.425038618128582"/>
    <n v="0"/>
    <n v="0"/>
    <n v="3123.8352625617385"/>
    <n v="0"/>
    <n v="159.46"/>
    <n v="738.96"/>
    <n v="1929.03"/>
    <n v="218"/>
    <m/>
    <m/>
    <m/>
    <m/>
    <m/>
    <n v="5433.9463199999982"/>
    <m/>
    <m/>
    <m/>
    <n v="21994.338922241375"/>
    <m/>
    <m/>
    <m/>
    <m/>
    <m/>
    <m/>
    <m/>
    <m/>
    <m/>
    <m/>
    <m/>
    <m/>
    <n v="39850.273000000001"/>
    <n v="-21290.463000000011"/>
    <m/>
    <m/>
    <m/>
    <m/>
    <n v="-27068.417750000001"/>
    <n v="2874.6703699999998"/>
    <n v="29"/>
    <n v="3405.0532947712381"/>
    <n v="80.712837992907794"/>
    <n v="252.88010135030299"/>
    <n v="0"/>
    <n v="0"/>
    <n v="0"/>
    <n v="0"/>
    <n v="0"/>
    <n v="7.0798700550909075"/>
    <n v="0"/>
    <n v="0"/>
    <n v="2875.039815216609"/>
    <n v="0"/>
    <n v="0"/>
    <n v="8.0095357436065129"/>
    <n v="477.26183617869356"/>
    <n v="0"/>
    <n v="-255.11755169358275"/>
    <m/>
    <n v="0"/>
    <n v="0"/>
    <n v="0"/>
    <n v="0"/>
    <n v="-33.462233111811656"/>
    <n v="-7.350916960579525"/>
    <n v="0"/>
    <n v="0"/>
    <m/>
    <m/>
    <m/>
    <n v="37563.974836452173"/>
    <n v="0"/>
    <n v="0"/>
    <n v="-27068.417750000001"/>
    <n v="2874.6703699999998"/>
    <n v="0"/>
    <n v="0"/>
    <n v="-27598.621093907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3"/>
    <s v="Regular"/>
    <s v="Verde"/>
    <s v="A4"/>
    <s v="Rural"/>
    <s v="Não se aplica"/>
    <s v="Não se aplica"/>
    <s v="Não se aplica"/>
    <s v="Ponta"/>
    <s v="CATIVO"/>
    <x v="7"/>
    <n v="0"/>
    <n v="0"/>
    <n v="0.11700000000000001"/>
    <n v="0.11232"/>
    <n v="0.11700000000000001"/>
    <n v="0.11232"/>
    <m/>
    <n v="2592.54"/>
    <n v="216.76"/>
    <m/>
    <n v="328.68810000000002"/>
    <n v="328.68810000000002"/>
    <n v="138.2004"/>
    <n v="0"/>
    <n v="6.169554708912762"/>
    <n v="0"/>
    <n v="0"/>
    <n v="0"/>
    <n v="0.5916263192268052"/>
    <n v="268.0343060164181"/>
    <n v="24.991375596365415"/>
    <n v="0.36941635416492613"/>
    <n v="0"/>
    <n v="0"/>
    <n v="0"/>
    <n v="0"/>
    <n v="1.096715138052663"/>
    <m/>
    <n v="0.16066699699066966"/>
    <n v="5.2784399702774145"/>
    <n v="20.030487600750824"/>
    <n v="0"/>
    <n v="0"/>
    <n v="0"/>
    <n v="0"/>
    <n v="0"/>
    <n v="0"/>
    <n v="0"/>
    <n v="0"/>
    <n v="0"/>
    <n v="0"/>
    <m/>
    <n v="0"/>
    <n v="0"/>
    <n v="5.3503947719229859E-2"/>
    <n v="0"/>
    <n v="0"/>
    <n v="1.9113303487654349"/>
    <n v="0"/>
    <n v="0"/>
    <n v="0"/>
    <n v="0"/>
    <n v="0"/>
    <m/>
    <m/>
    <m/>
    <m/>
    <m/>
    <n v="5.5280160000000045"/>
    <m/>
    <m/>
    <m/>
    <n v="26.95620989285008"/>
    <m/>
    <m/>
    <m/>
    <m/>
    <m/>
    <m/>
    <m/>
    <m/>
    <m/>
    <m/>
    <m/>
    <m/>
    <n v="129.93199999999999"/>
    <n v="-185.63857600000003"/>
    <m/>
    <m/>
    <m/>
    <m/>
    <n v="-194.30541000000002"/>
    <n v="3.8177099999999995"/>
    <n v="29"/>
    <n v="6.4406987987383602"/>
    <n v="0.54447912820289446"/>
    <n v="2.0661753259954168"/>
    <n v="0"/>
    <n v="0"/>
    <n v="0"/>
    <n v="0"/>
    <n v="0"/>
    <n v="5.7846298521814887E-2"/>
    <n v="0"/>
    <n v="0"/>
    <n v="3.8182006422359258"/>
    <n v="0"/>
    <n v="0"/>
    <n v="8.1743722651839573E-3"/>
    <n v="0.29201444862613912"/>
    <n v="0"/>
    <n v="-0.29476402214428266"/>
    <m/>
    <n v="0"/>
    <n v="0"/>
    <n v="0"/>
    <n v="0"/>
    <n v="-4.4439565421650062E-2"/>
    <n v="-6.9878295430924608E-3"/>
    <n v="0"/>
    <n v="0"/>
    <m/>
    <m/>
    <m/>
    <n v="268.0343060164181"/>
    <n v="0"/>
    <n v="0"/>
    <n v="-194.30540999999999"/>
    <n v="3.8177100000000017"/>
    <n v="0"/>
    <n v="0"/>
    <n v="-196.92743603738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4"/>
    <s v="Regular"/>
    <s v="Verde"/>
    <s v="A4"/>
    <s v="Rural"/>
    <s v="Não se aplica"/>
    <s v="Não se aplica"/>
    <s v="Não se aplica"/>
    <s v="Fora ponta"/>
    <s v="CATIVO"/>
    <x v="7"/>
    <n v="0"/>
    <n v="0"/>
    <n v="28.526"/>
    <n v="27.38496"/>
    <n v="28.526"/>
    <n v="27.38496"/>
    <m/>
    <n v="80.27"/>
    <n v="216.76"/>
    <m/>
    <n v="8473.0777799999996"/>
    <n v="8473.0777799999996"/>
    <n v="9392.7560199999989"/>
    <n v="0"/>
    <n v="1504.2112617644909"/>
    <n v="0"/>
    <n v="0"/>
    <n v="0"/>
    <n v="0"/>
    <n v="0"/>
    <n v="6093.1964124950409"/>
    <n v="90.068127512040022"/>
    <n v="0"/>
    <n v="0"/>
    <n v="0"/>
    <n v="0"/>
    <n v="267.39227374436126"/>
    <m/>
    <n v="39.172536377400363"/>
    <n v="0"/>
    <n v="0"/>
    <n v="0"/>
    <n v="0"/>
    <n v="0"/>
    <n v="0"/>
    <n v="0"/>
    <n v="0"/>
    <n v="0"/>
    <n v="0"/>
    <n v="0"/>
    <n v="0"/>
    <m/>
    <n v="0"/>
    <n v="0"/>
    <n v="13.044902672126076"/>
    <n v="0"/>
    <n v="0"/>
    <n v="466.00520964857094"/>
    <n v="0"/>
    <n v="0"/>
    <n v="0"/>
    <n v="0"/>
    <n v="0"/>
    <m/>
    <m/>
    <m/>
    <m/>
    <m/>
    <n v="375.71024080000007"/>
    <m/>
    <m/>
    <m/>
    <n v="6572.2465248157378"/>
    <m/>
    <m/>
    <m/>
    <m/>
    <m/>
    <m/>
    <m/>
    <m/>
    <m/>
    <m/>
    <m/>
    <m/>
    <n v="9015.4125999999997"/>
    <n v="881.22793119999915"/>
    <m/>
    <m/>
    <m/>
    <m/>
    <n v="-11.125140000000016"/>
    <n v="930.80337999999983"/>
    <n v="29"/>
    <n v="919.70702103176336"/>
    <n v="0"/>
    <n v="0"/>
    <n v="0"/>
    <n v="0"/>
    <n v="0"/>
    <n v="0"/>
    <n v="0"/>
    <n v="0"/>
    <n v="0"/>
    <n v="0"/>
    <n v="930.92300444805187"/>
    <n v="0"/>
    <n v="0"/>
    <n v="1.9930097712533126"/>
    <n v="71.19661676503631"/>
    <n v="0"/>
    <n v="-71.866995689639452"/>
    <m/>
    <n v="0"/>
    <n v="0"/>
    <n v="0"/>
    <n v="0"/>
    <n v="-10.834897805282026"/>
    <n v="-1.7037164576603061"/>
    <n v="0"/>
    <n v="0"/>
    <m/>
    <m/>
    <m/>
    <n v="0"/>
    <n v="0"/>
    <n v="0"/>
    <n v="-11.125139999999647"/>
    <n v="930.8033799999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5"/>
    <s v="Regular"/>
    <s v="Verde"/>
    <s v="A4"/>
    <s v="Rural"/>
    <s v="Não se aplica"/>
    <s v="Não se aplica"/>
    <s v="Não se aplica"/>
    <s v="Não se aplica"/>
    <s v="CATIVO"/>
    <x v="7"/>
    <n v="99"/>
    <n v="95.04"/>
    <n v="0"/>
    <n v="0"/>
    <n v="0"/>
    <n v="0"/>
    <n v="32.17"/>
    <m/>
    <m/>
    <n v="3184.8300000000004"/>
    <m/>
    <n v="3184.8300000000004"/>
    <n v="1280.07"/>
    <n v="0"/>
    <n v="0"/>
    <n v="0"/>
    <n v="0"/>
    <n v="0"/>
    <n v="9.8917062879962643"/>
    <n v="2665.7468074208068"/>
    <m/>
    <m/>
    <m/>
    <n v="0"/>
    <n v="0"/>
    <n v="0"/>
    <n v="0"/>
    <m/>
    <n v="0"/>
    <n v="174.67768953495928"/>
    <n v="334.90365137912232"/>
    <n v="0"/>
    <n v="0"/>
    <m/>
    <m/>
    <n v="0"/>
    <n v="0"/>
    <n v="0"/>
    <m/>
    <m/>
    <n v="0"/>
    <m/>
    <n v="0"/>
    <n v="0"/>
    <n v="0"/>
    <n v="0"/>
    <m/>
    <n v="0"/>
    <n v="0"/>
    <n v="38.11"/>
    <n v="175.93"/>
    <n v="6.51"/>
    <n v="1"/>
    <m/>
    <m/>
    <m/>
    <m/>
    <m/>
    <n v="51.202799999999918"/>
    <m/>
    <m/>
    <m/>
    <n v="0"/>
    <m/>
    <m/>
    <m/>
    <m/>
    <m/>
    <m/>
    <m/>
    <m/>
    <m/>
    <m/>
    <m/>
    <m/>
    <n v="1228.8672000000001"/>
    <n v="-1828.5996000000009"/>
    <m/>
    <m/>
    <m/>
    <m/>
    <n v="-1904.7600000000002"/>
    <n v="0"/>
    <n v="29"/>
    <n v="53.53125417683043"/>
    <n v="18.018269914982994"/>
    <n v="34.545822091690127"/>
    <n v="0"/>
    <n v="0"/>
    <m/>
    <m/>
    <m/>
    <n v="0.967162170157287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65.7468074208068"/>
    <m/>
    <n v="0"/>
    <n v="0"/>
    <n v="-1904.7600000000004"/>
    <m/>
    <n v="0"/>
    <m/>
    <n v="-1958.550350185674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66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38.625"/>
    <n v="38.625"/>
    <n v="38.625"/>
    <n v="38.625"/>
    <m/>
    <n v="571.87"/>
    <n v="216.76"/>
    <m/>
    <n v="30460.833749999998"/>
    <n v="30460.833749999998"/>
    <n v="19853.63625"/>
    <n v="0"/>
    <n v="2341.0850833260179"/>
    <n v="0"/>
    <n v="0"/>
    <n v="0"/>
    <n v="31.746416643501597"/>
    <n v="16469.069206891851"/>
    <n v="8250.3579693129413"/>
    <n v="121.95475794547241"/>
    <n v="0"/>
    <n v="0"/>
    <n v="0"/>
    <n v="0"/>
    <n v="362.05660006225736"/>
    <m/>
    <n v="74.100886606491898"/>
    <n v="343.05557555909718"/>
    <n v="1074.821935065585"/>
    <n v="0"/>
    <n v="0"/>
    <n v="0"/>
    <n v="0"/>
    <n v="0"/>
    <n v="0"/>
    <n v="0"/>
    <n v="0"/>
    <n v="0"/>
    <n v="0"/>
    <m/>
    <n v="0"/>
    <n v="0"/>
    <n v="22.98456414516869"/>
    <n v="0"/>
    <n v="0"/>
    <n v="1369.5744221438058"/>
    <n v="0"/>
    <n v="66.459999999999994"/>
    <n v="308.55"/>
    <n v="7985.57"/>
    <n v="104"/>
    <m/>
    <m/>
    <m/>
    <m/>
    <m/>
    <m/>
    <m/>
    <m/>
    <m/>
    <n v="9642.9169556019151"/>
    <m/>
    <m/>
    <m/>
    <m/>
    <m/>
    <m/>
    <m/>
    <m/>
    <m/>
    <m/>
    <m/>
    <m/>
    <n v="19856.206300000002"/>
    <n v="-10604.657449999992"/>
    <m/>
    <m/>
    <m/>
    <m/>
    <n v="-11867.53125"/>
    <n v="1260.3337499999998"/>
    <n v="29"/>
    <n v="1492.8680633212534"/>
    <n v="35.386705495817864"/>
    <n v="110.86952081925392"/>
    <n v="0"/>
    <n v="0"/>
    <n v="0"/>
    <n v="0"/>
    <n v="0"/>
    <n v="3.1040077739575551"/>
    <n v="0"/>
    <n v="0"/>
    <n v="1260.4957248407063"/>
    <n v="0"/>
    <n v="0"/>
    <n v="3.5115985209457712"/>
    <n v="209.24458191809254"/>
    <n v="0"/>
    <n v="-111.85047996191315"/>
    <m/>
    <n v="0"/>
    <n v="0"/>
    <n v="0"/>
    <n v="0"/>
    <n v="-14.670753969326825"/>
    <n v="-3.2228421162826493"/>
    <n v="0"/>
    <n v="0"/>
    <m/>
    <m/>
    <m/>
    <n v="16469.069206891851"/>
    <n v="0"/>
    <n v="0"/>
    <n v="-11867.531249999998"/>
    <n v="1260.3337499999998"/>
    <n v="0"/>
    <n v="0"/>
    <n v="-12099.986830181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7"/>
    <s v="Sistema de Compensação"/>
    <s v="Convencional"/>
    <s v="B3"/>
    <s v="Poder público"/>
    <s v="Não se aplica"/>
    <s v="Não se aplica"/>
    <s v="Não se aplica"/>
    <s v="Não se aplica"/>
    <s v="CATIVO"/>
    <x v="7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17"/>
    <n v="0.8"/>
    <n v="66.37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29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8"/>
    <s v="Sistema de Compensação"/>
    <s v="Verde"/>
    <s v="A4"/>
    <s v="Poder público"/>
    <s v="Não se aplica"/>
    <s v="Não se aplica"/>
    <s v="Não se aplica"/>
    <s v="Ponta"/>
    <s v="CATIVO"/>
    <x v="7"/>
    <n v="0"/>
    <n v="0"/>
    <n v="2.3570000000000002"/>
    <n v="2.3570000000000002"/>
    <n v="2.3570000000000002"/>
    <n v="2.3570000000000002"/>
    <m/>
    <n v="2592.54"/>
    <n v="216.76"/>
    <m/>
    <n v="6621.5201000000006"/>
    <n v="6621.5201000000006"/>
    <n v="2784.0884000000001"/>
    <n v="0"/>
    <n v="124.28752520433659"/>
    <n v="0"/>
    <n v="0"/>
    <n v="0"/>
    <n v="11.918489183056238"/>
    <n v="5399.6312759033972"/>
    <n v="503.45873744131012"/>
    <n v="7.4420029638182132"/>
    <n v="0"/>
    <n v="0"/>
    <n v="0"/>
    <n v="0"/>
    <n v="22.093654533248948"/>
    <m/>
    <n v="3.2366847171539179"/>
    <n v="106.33575222174245"/>
    <n v="403.52016474333072"/>
    <n v="0"/>
    <n v="0"/>
    <n v="0"/>
    <n v="0"/>
    <n v="0"/>
    <n v="0"/>
    <n v="0"/>
    <n v="0"/>
    <n v="0"/>
    <n v="0"/>
    <m/>
    <n v="0"/>
    <n v="0"/>
    <n v="1.0778530322583315"/>
    <n v="0"/>
    <n v="0"/>
    <n v="38.504321641368634"/>
    <n v="0"/>
    <n v="0"/>
    <n v="0"/>
    <n v="0"/>
    <n v="0"/>
    <m/>
    <m/>
    <m/>
    <m/>
    <m/>
    <m/>
    <m/>
    <m/>
    <m/>
    <n v="543.0409121149371"/>
    <m/>
    <m/>
    <m/>
    <m/>
    <m/>
    <m/>
    <m/>
    <m/>
    <m/>
    <m/>
    <m/>
    <m/>
    <n v="2787.6319999999996"/>
    <n v="-3833.9181000000017"/>
    <m/>
    <m/>
    <m/>
    <m/>
    <n v="-3914.3406100000002"/>
    <n v="76.908909999999992"/>
    <n v="29"/>
    <n v="129.74980400535287"/>
    <n v="10.96869491601899"/>
    <n v="41.623720028813636"/>
    <n v="0"/>
    <n v="0"/>
    <n v="0"/>
    <n v="0"/>
    <n v="0"/>
    <n v="1.1653309881702363"/>
    <n v="0"/>
    <n v="0"/>
    <n v="76.918794134616121"/>
    <n v="0"/>
    <n v="0"/>
    <n v="0.16467517460716752"/>
    <n v="5.8827184223231654"/>
    <n v="0"/>
    <n v="-5.9381094033681592"/>
    <m/>
    <n v="0"/>
    <n v="0"/>
    <n v="0"/>
    <n v="0"/>
    <n v="-0.89524833930623515"/>
    <n v="-0.14077191652195653"/>
    <n v="0"/>
    <n v="0"/>
    <m/>
    <m/>
    <m/>
    <n v="5399.6312759033972"/>
    <n v="0"/>
    <n v="0"/>
    <n v="-3914.3406100000002"/>
    <n v="76.908909999999992"/>
    <n v="0"/>
    <n v="0"/>
    <n v="-3967.1621088899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69"/>
    <s v="Sistema de Compensação"/>
    <s v="Verde"/>
    <s v="A4"/>
    <s v="Poder público"/>
    <s v="Não se aplica"/>
    <s v="Não se aplica"/>
    <s v="Não se aplica"/>
    <s v="Fora ponta"/>
    <s v="CATIVO"/>
    <x v="7"/>
    <n v="0"/>
    <n v="0"/>
    <n v="3.5009999999999999"/>
    <n v="3.5009999999999999"/>
    <n v="3.5009999999999999"/>
    <n v="3.5009999999999999"/>
    <m/>
    <n v="80.27"/>
    <n v="216.76"/>
    <m/>
    <n v="1039.90203"/>
    <n v="1039.90203"/>
    <n v="1152.7742699999999"/>
    <n v="0"/>
    <n v="184.612060135928"/>
    <n v="0"/>
    <n v="0"/>
    <n v="0"/>
    <n v="0"/>
    <n v="0"/>
    <n v="747.81885438354959"/>
    <n v="11.054073982319712"/>
    <n v="0"/>
    <n v="0"/>
    <n v="0"/>
    <n v="0"/>
    <n v="32.81709143865276"/>
    <m/>
    <n v="4.8076509099515761"/>
    <n v="0"/>
    <n v="0"/>
    <n v="0"/>
    <n v="0"/>
    <n v="0"/>
    <n v="0"/>
    <n v="0"/>
    <n v="0"/>
    <n v="0"/>
    <n v="0"/>
    <n v="0"/>
    <n v="0"/>
    <m/>
    <n v="0"/>
    <n v="0"/>
    <n v="1.6010027432908009"/>
    <n v="0"/>
    <n v="0"/>
    <n v="57.192885051519553"/>
    <n v="0"/>
    <n v="0"/>
    <n v="0"/>
    <n v="0"/>
    <n v="0"/>
    <m/>
    <m/>
    <m/>
    <m/>
    <m/>
    <m/>
    <m/>
    <m/>
    <m/>
    <n v="806.61274217835989"/>
    <m/>
    <m/>
    <m/>
    <m/>
    <m/>
    <m/>
    <m/>
    <m/>
    <m/>
    <m/>
    <m/>
    <m/>
    <n v="1152.4449999999999"/>
    <n v="112.51297"/>
    <m/>
    <m/>
    <m/>
    <m/>
    <n v="-1.3653900000000019"/>
    <n v="114.23762999999998"/>
    <n v="29"/>
    <n v="112.87577230008446"/>
    <n v="0"/>
    <n v="0"/>
    <n v="0"/>
    <n v="0"/>
    <n v="0"/>
    <n v="0"/>
    <n v="0"/>
    <n v="0"/>
    <n v="0"/>
    <n v="0"/>
    <n v="114.25231152536742"/>
    <n v="0"/>
    <n v="0"/>
    <n v="0.24460237008896635"/>
    <n v="8.7379708088898553"/>
    <n v="0"/>
    <n v="-8.8202465087788937"/>
    <m/>
    <n v="0"/>
    <n v="0"/>
    <n v="0"/>
    <n v="0"/>
    <n v="-1.3297685345401433"/>
    <n v="-0.20909736094330533"/>
    <n v="0"/>
    <n v="0"/>
    <m/>
    <m/>
    <m/>
    <n v="0"/>
    <n v="0"/>
    <n v="0"/>
    <n v="-1.3653899999999908"/>
    <n v="114.2376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70"/>
    <s v="Sistema de Compensação"/>
    <s v="Verde"/>
    <s v="A4"/>
    <s v="Poder público"/>
    <s v="Não se aplica"/>
    <s v="Não se aplica"/>
    <s v="Não se aplica"/>
    <s v="Não se aplica"/>
    <s v="CATIVO"/>
    <x v="7"/>
    <n v="122"/>
    <n v="122"/>
    <n v="0"/>
    <n v="0"/>
    <n v="0"/>
    <n v="0"/>
    <n v="32.17"/>
    <m/>
    <m/>
    <n v="3924.7400000000002"/>
    <m/>
    <n v="3924.7400000000002"/>
    <n v="1577.46"/>
    <n v="0"/>
    <n v="0"/>
    <n v="0"/>
    <n v="0"/>
    <n v="0"/>
    <n v="12.189779466015599"/>
    <n v="3285.0617222761462"/>
    <m/>
    <m/>
    <m/>
    <n v="0"/>
    <n v="0"/>
    <n v="0"/>
    <n v="0"/>
    <m/>
    <n v="0"/>
    <n v="215.25937498247507"/>
    <n v="412.70955018437297"/>
    <n v="0"/>
    <n v="0"/>
    <m/>
    <m/>
    <n v="0"/>
    <n v="0"/>
    <n v="0"/>
    <m/>
    <m/>
    <n v="0"/>
    <m/>
    <n v="0"/>
    <n v="0"/>
    <n v="0"/>
    <n v="0"/>
    <m/>
    <n v="0"/>
    <n v="0"/>
    <n v="20.88"/>
    <n v="96.38"/>
    <n v="2869.49"/>
    <n v="1"/>
    <m/>
    <m/>
    <m/>
    <m/>
    <m/>
    <m/>
    <m/>
    <m/>
    <m/>
    <n v="0"/>
    <m/>
    <m/>
    <m/>
    <m/>
    <m/>
    <m/>
    <m/>
    <m/>
    <m/>
    <m/>
    <m/>
    <m/>
    <n v="1577.46"/>
    <n v="-2347.3100000000009"/>
    <m/>
    <m/>
    <m/>
    <m/>
    <n v="-2347.2800000000002"/>
    <n v="0"/>
    <n v="29"/>
    <n v="65.967808177508232"/>
    <n v="22.204332622504324"/>
    <n v="42.571619143294924"/>
    <n v="0"/>
    <n v="0"/>
    <m/>
    <m/>
    <m/>
    <n v="1.19185641170897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85.0617222761462"/>
    <m/>
    <n v="0"/>
    <n v="0"/>
    <n v="-2347.2800000000002"/>
    <m/>
    <n v="0"/>
    <m/>
    <n v="-2413.5670982086094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71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67.509"/>
    <n v="67.509"/>
    <n v="67.509"/>
    <n v="67.509"/>
    <m/>
    <n v="314.52999999999997"/>
    <n v="119.22"/>
    <m/>
    <n v="29282.028749999998"/>
    <n v="29282.028749999998"/>
    <n v="19085.469389999998"/>
    <n v="0"/>
    <n v="2250.469180314326"/>
    <n v="0"/>
    <n v="0"/>
    <n v="0"/>
    <n v="30.517614567051993"/>
    <n v="15831.604302872065"/>
    <n v="7931.0130455065764"/>
    <n v="117.23427999423944"/>
    <n v="0"/>
    <n v="0"/>
    <n v="0"/>
    <n v="0"/>
    <n v="348.04254906101238"/>
    <m/>
    <n v="71.232678696562076"/>
    <n v="329.77699333930087"/>
    <n v="1033.2190215634521"/>
    <n v="0"/>
    <n v="0"/>
    <n v="0"/>
    <n v="0"/>
    <n v="0"/>
    <n v="0"/>
    <n v="0"/>
    <n v="0"/>
    <n v="0"/>
    <n v="0"/>
    <m/>
    <n v="0"/>
    <n v="0"/>
    <n v="22.094905306974951"/>
    <n v="0"/>
    <n v="0"/>
    <n v="1316.5625842195079"/>
    <n v="0"/>
    <n v="75.59"/>
    <n v="349.17"/>
    <n v="7274.05"/>
    <n v="10"/>
    <m/>
    <m/>
    <m/>
    <m/>
    <m/>
    <m/>
    <m/>
    <m/>
    <m/>
    <n v="9269.6705350330594"/>
    <m/>
    <m/>
    <m/>
    <m/>
    <m/>
    <m/>
    <m/>
    <m/>
    <m/>
    <m/>
    <m/>
    <m/>
    <n v="19085.752099999998"/>
    <n v="-10196.306649999995"/>
    <m/>
    <m/>
    <m/>
    <m/>
    <n v="-11408.345909999998"/>
    <n v="1211.7865499999994"/>
    <n v="29"/>
    <n v="1435.0839235654221"/>
    <n v="34.016999500956786"/>
    <n v="106.57811688137144"/>
    <n v="0"/>
    <n v="0"/>
    <n v="0"/>
    <n v="0"/>
    <n v="0"/>
    <n v="2.9838615779069144"/>
    <n v="0"/>
    <n v="0"/>
    <n v="1211.7059738135586"/>
    <n v="0"/>
    <n v="0"/>
    <n v="3.3756757929524674"/>
    <n v="201.1453945473022"/>
    <n v="0"/>
    <n v="-107.5211062384933"/>
    <m/>
    <n v="0"/>
    <n v="0"/>
    <n v="0"/>
    <n v="0"/>
    <n v="-14.102896086560349"/>
    <n v="-3.098096223571801"/>
    <n v="0"/>
    <n v="0"/>
    <m/>
    <m/>
    <m/>
    <n v="15831.604302872065"/>
    <n v="0"/>
    <n v="0"/>
    <n v="-11408.345909999998"/>
    <n v="1211.7865499999998"/>
    <n v="0"/>
    <n v="0"/>
    <n v="-11631.635106933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72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66.267"/>
    <n v="156.29097999999999"/>
    <n v="166.267"/>
    <n v="156.29097999999999"/>
    <m/>
    <n v="571.87"/>
    <n v="216.76"/>
    <m/>
    <n v="131123.14421"/>
    <n v="131123.14421"/>
    <n v="85462.900670000003"/>
    <n v="0"/>
    <n v="10077.545464061282"/>
    <n v="0"/>
    <n v="0"/>
    <n v="0"/>
    <n v="136.65712507611858"/>
    <n v="70893.533458182195"/>
    <n v="35514.880737443484"/>
    <n v="524.9722133157245"/>
    <n v="0"/>
    <n v="0"/>
    <n v="0"/>
    <n v="0"/>
    <n v="1558.5259475094199"/>
    <m/>
    <n v="318.97817769324496"/>
    <n v="1476.7332396500817"/>
    <n v="4626.7292861501519"/>
    <n v="0"/>
    <n v="0"/>
    <n v="0"/>
    <n v="0"/>
    <n v="0"/>
    <n v="0"/>
    <n v="0"/>
    <n v="0"/>
    <n v="0"/>
    <n v="0"/>
    <m/>
    <n v="0"/>
    <n v="0"/>
    <n v="98.940440821353064"/>
    <n v="0"/>
    <n v="0"/>
    <n v="5895.5347688436023"/>
    <n v="0"/>
    <n v="276.83"/>
    <n v="1278.78"/>
    <n v="36635.11"/>
    <n v="94"/>
    <m/>
    <m/>
    <m/>
    <m/>
    <n v="5127.7740402000027"/>
    <m/>
    <m/>
    <m/>
    <m/>
    <n v="41509.355947108437"/>
    <m/>
    <m/>
    <m/>
    <m/>
    <m/>
    <m/>
    <m/>
    <m/>
    <m/>
    <m/>
    <m/>
    <m/>
    <n v="80334.622899999988"/>
    <n v="-42921.162657399997"/>
    <m/>
    <m/>
    <m/>
    <m/>
    <n v="-51085.535749999995"/>
    <n v="5425.2922099999987"/>
    <n v="29"/>
    <n v="6426.2704021808313"/>
    <n v="152.32728447050249"/>
    <n v="477.25417781371834"/>
    <n v="0"/>
    <n v="0"/>
    <n v="0"/>
    <n v="0"/>
    <n v="0"/>
    <n v="13.361658525633658"/>
    <n v="0"/>
    <n v="0"/>
    <n v="5425.9894545524876"/>
    <n v="0"/>
    <n v="0"/>
    <n v="15.116192913452196"/>
    <n v="900.72411396182542"/>
    <n v="0"/>
    <n v="-481.47686088873706"/>
    <m/>
    <n v="0"/>
    <n v="0"/>
    <n v="0"/>
    <n v="0"/>
    <n v="-63.152420717619862"/>
    <n v="-13.873198450432767"/>
    <n v="0"/>
    <n v="0"/>
    <m/>
    <m/>
    <m/>
    <n v="70893.533458182195"/>
    <n v="0"/>
    <n v="0"/>
    <n v="-51085.535749999995"/>
    <n v="5425.2922099999996"/>
    <n v="0"/>
    <n v="0"/>
    <n v="-52086.17502378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73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9.9610000000000003"/>
    <n v="9.3633400000000009"/>
    <n v="9.9610000000000003"/>
    <n v="9.3633400000000009"/>
    <m/>
    <n v="2592.54"/>
    <n v="216.76"/>
    <m/>
    <n v="27983.437299999998"/>
    <n v="27983.437299999998"/>
    <n v="11765.933199999999"/>
    <n v="0"/>
    <n v="525.25585004683774"/>
    <n v="0"/>
    <n v="0"/>
    <n v="0"/>
    <n v="50.369143297591506"/>
    <n v="22819.570275466158"/>
    <n v="2127.6845497042382"/>
    <n v="31.450908579801961"/>
    <n v="0"/>
    <n v="0"/>
    <n v="0"/>
    <n v="0"/>
    <n v="93.370764873013471"/>
    <m/>
    <n v="13.678666299350944"/>
    <n v="449.38923541823357"/>
    <n v="1705.3306580434098"/>
    <n v="0"/>
    <n v="0"/>
    <n v="0"/>
    <n v="0"/>
    <n v="0"/>
    <n v="0"/>
    <n v="0"/>
    <n v="0"/>
    <n v="0"/>
    <n v="0"/>
    <m/>
    <n v="0"/>
    <n v="0"/>
    <n v="4.5551523353098169"/>
    <n v="0"/>
    <n v="0"/>
    <n v="162.72445815429487"/>
    <n v="0"/>
    <n v="0"/>
    <n v="0"/>
    <n v="0"/>
    <n v="0"/>
    <m/>
    <m/>
    <m/>
    <m/>
    <n v="705.95599199999924"/>
    <m/>
    <m/>
    <m/>
    <m/>
    <n v="2294.9641601938429"/>
    <m/>
    <m/>
    <m/>
    <m/>
    <m/>
    <m/>
    <m/>
    <m/>
    <m/>
    <m/>
    <m/>
    <m/>
    <n v="11056.031999999999"/>
    <n v="-15248.429061999999"/>
    <m/>
    <m/>
    <m/>
    <m/>
    <n v="-16542.53153"/>
    <n v="325.02742999999998"/>
    <n v="29"/>
    <n v="548.34017721566488"/>
    <n v="46.355184581444689"/>
    <n v="175.90745660034486"/>
    <n v="0"/>
    <n v="0"/>
    <n v="0"/>
    <n v="0"/>
    <n v="0"/>
    <n v="4.9248459792803274"/>
    <n v="0"/>
    <n v="0"/>
    <n v="325.06920168642819"/>
    <n v="0"/>
    <n v="0"/>
    <n v="0.69593950541450855"/>
    <n v="24.861161733033953"/>
    <n v="0"/>
    <n v="-25.095251492129876"/>
    <m/>
    <n v="0"/>
    <n v="0"/>
    <n v="0"/>
    <n v="0"/>
    <n v="-3.7834402663680038"/>
    <n v="-0.59492111178413687"/>
    <n v="0"/>
    <n v="0"/>
    <m/>
    <m/>
    <m/>
    <n v="22819.570275466158"/>
    <n v="0"/>
    <n v="0"/>
    <n v="-16542.53153"/>
    <n v="325.02742999999964"/>
    <n v="0"/>
    <n v="0"/>
    <n v="-16765.762310841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74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04.042"/>
    <n v="97.799480000000003"/>
    <n v="104.042"/>
    <n v="97.799480000000003"/>
    <m/>
    <n v="80.27"/>
    <n v="216.76"/>
    <m/>
    <n v="30903.595259999998"/>
    <n v="30903.595259999998"/>
    <n v="34257.909339999998"/>
    <n v="0"/>
    <n v="5486.2633420914663"/>
    <n v="0"/>
    <n v="0"/>
    <n v="0"/>
    <n v="0"/>
    <n v="0"/>
    <n v="22223.527348692736"/>
    <n v="328.50270358997648"/>
    <n v="0"/>
    <n v="0"/>
    <n v="0"/>
    <n v="0"/>
    <n v="975.25159310491597"/>
    <m/>
    <n v="142.87278376840385"/>
    <n v="0"/>
    <n v="0"/>
    <n v="0"/>
    <n v="0"/>
    <n v="0"/>
    <n v="0"/>
    <n v="0"/>
    <n v="0"/>
    <n v="0"/>
    <n v="0"/>
    <n v="0"/>
    <n v="0"/>
    <m/>
    <n v="0"/>
    <n v="0"/>
    <n v="47.578271184650532"/>
    <n v="0"/>
    <n v="0"/>
    <n v="1699.6464286004564"/>
    <n v="0"/>
    <n v="0"/>
    <n v="0"/>
    <n v="0"/>
    <n v="0"/>
    <m/>
    <m/>
    <m/>
    <m/>
    <n v="2055.4745603999995"/>
    <m/>
    <m/>
    <m/>
    <m/>
    <n v="23970.752048477843"/>
    <m/>
    <m/>
    <m/>
    <m/>
    <m/>
    <m/>
    <m/>
    <m/>
    <m/>
    <m/>
    <m/>
    <m/>
    <n v="32202.605999999996"/>
    <n v="3153.1964555999984"/>
    <m/>
    <m/>
    <m/>
    <m/>
    <n v="-40.576380000000057"/>
    <n v="3394.8904599999996"/>
    <n v="29"/>
    <n v="3354.4190521694618"/>
    <n v="0"/>
    <n v="0"/>
    <n v="0"/>
    <n v="0"/>
    <n v="0"/>
    <n v="0"/>
    <n v="0"/>
    <n v="0"/>
    <n v="0"/>
    <n v="0"/>
    <n v="3395.3267625599183"/>
    <n v="0"/>
    <n v="0"/>
    <n v="7.269043070207438"/>
    <n v="259.67322447829702"/>
    <n v="0"/>
    <n v="-262.11827685414937"/>
    <m/>
    <n v="0"/>
    <n v="0"/>
    <n v="0"/>
    <n v="0"/>
    <n v="-39.517788594866033"/>
    <n v="-6.2139124899352396"/>
    <n v="0"/>
    <n v="0"/>
    <m/>
    <m/>
    <m/>
    <n v="0"/>
    <n v="0"/>
    <n v="0"/>
    <n v="-40.576380000000427"/>
    <n v="3394.89045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75"/>
    <s v="Regular"/>
    <s v="Verde"/>
    <s v="A4"/>
    <s v="Serviço público"/>
    <s v="Água, esgoto e saneamento"/>
    <s v="Não se aplica"/>
    <s v="Não se aplica"/>
    <s v="Não se aplica"/>
    <s v="CATIVO"/>
    <x v="7"/>
    <n v="399"/>
    <n v="375.06"/>
    <n v="0"/>
    <n v="0"/>
    <n v="0"/>
    <n v="0"/>
    <n v="32.17"/>
    <m/>
    <m/>
    <n v="12835.83"/>
    <m/>
    <n v="12835.83"/>
    <n v="5159.07"/>
    <n v="0"/>
    <n v="0"/>
    <n v="0"/>
    <n v="0"/>
    <n v="0"/>
    <n v="39.866573827378886"/>
    <n v="10743.767435968706"/>
    <m/>
    <m/>
    <m/>
    <n v="0"/>
    <n v="0"/>
    <n v="0"/>
    <n v="0"/>
    <m/>
    <n v="0"/>
    <n v="704.00402145907833"/>
    <n v="1349.7632010128264"/>
    <n v="0"/>
    <n v="0"/>
    <m/>
    <m/>
    <n v="0"/>
    <n v="0"/>
    <n v="0"/>
    <m/>
    <m/>
    <n v="0"/>
    <m/>
    <n v="0"/>
    <n v="0"/>
    <n v="0"/>
    <n v="0"/>
    <m/>
    <n v="0"/>
    <n v="0"/>
    <n v="169.65"/>
    <n v="783.03"/>
    <n v="22658.6"/>
    <n v="2"/>
    <m/>
    <m/>
    <m/>
    <m/>
    <n v="309.54419999999999"/>
    <m/>
    <m/>
    <m/>
    <m/>
    <n v="0"/>
    <m/>
    <m/>
    <m/>
    <m/>
    <m/>
    <m/>
    <m/>
    <m/>
    <m/>
    <m/>
    <m/>
    <m/>
    <n v="4849.5258000000003"/>
    <n v="-7216.184400000001"/>
    <m/>
    <m/>
    <m/>
    <m/>
    <n v="-7676.7600000000011"/>
    <n v="0"/>
    <n v="29"/>
    <n v="215.74717592480101"/>
    <n v="72.619087839173972"/>
    <n v="139.23013146044809"/>
    <n v="0"/>
    <n v="0"/>
    <m/>
    <m/>
    <m/>
    <n v="3.89795662517936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43.767435968706"/>
    <m/>
    <n v="0"/>
    <n v="0"/>
    <n v="-7676.76"/>
    <m/>
    <n v="0"/>
    <m/>
    <n v="-7893.55141135438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76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53300000000000003"/>
    <n v="0.53300000000000003"/>
    <n v="0.53300000000000003"/>
    <n v="0.53300000000000003"/>
    <m/>
    <n v="571.87"/>
    <n v="216.76"/>
    <m/>
    <n v="420.33978999999999"/>
    <n v="420.33978999999999"/>
    <n v="273.96733"/>
    <n v="0"/>
    <n v="32.305458884472948"/>
    <n v="0"/>
    <n v="0"/>
    <n v="0"/>
    <n v="0.43808000183783435"/>
    <n v="227.26249546338786"/>
    <n v="113.849599938998"/>
    <n v="1.682896724529108"/>
    <n v="0"/>
    <n v="0"/>
    <n v="0"/>
    <n v="0"/>
    <n v="4.9961467400176875"/>
    <m/>
    <n v="1.0225442734306842"/>
    <n v="4.7339449002718137"/>
    <n v="14.831847026277199"/>
    <n v="0"/>
    <n v="0"/>
    <n v="0"/>
    <n v="0"/>
    <n v="0"/>
    <n v="0"/>
    <n v="0"/>
    <n v="0"/>
    <n v="0"/>
    <n v="0"/>
    <m/>
    <n v="0"/>
    <n v="0"/>
    <n v="0.31717210846278088"/>
    <n v="0"/>
    <n v="0"/>
    <n v="18.899240569647858"/>
    <n v="0"/>
    <n v="0.91"/>
    <n v="4.25"/>
    <n v="118.24"/>
    <n v="3"/>
    <m/>
    <m/>
    <m/>
    <m/>
    <m/>
    <m/>
    <m/>
    <m/>
    <m/>
    <n v="133.06601261710864"/>
    <m/>
    <m/>
    <m/>
    <m/>
    <m/>
    <m/>
    <m/>
    <m/>
    <m/>
    <m/>
    <m/>
    <m/>
    <n v="272.42529999999999"/>
    <n v="-147.94448999999997"/>
    <m/>
    <m/>
    <m/>
    <m/>
    <n v="-163.76425"/>
    <n v="17.39179"/>
    <n v="29"/>
    <n v="20.600613016187054"/>
    <n v="0.48831363182578436"/>
    <n v="1.5299276270980542"/>
    <n v="0"/>
    <n v="0"/>
    <n v="0"/>
    <n v="0"/>
    <n v="0"/>
    <n v="4.2833298214093873E-2"/>
    <n v="0"/>
    <n v="0"/>
    <n v="17.39402514796366"/>
    <n v="0"/>
    <n v="0"/>
    <n v="4.8457786709750095E-2"/>
    <n v="2.8874397970833243"/>
    <n v="0"/>
    <n v="-1.5434642283417439"/>
    <m/>
    <n v="0"/>
    <n v="0"/>
    <n v="0"/>
    <n v="0"/>
    <n v="-0.20244690914307295"/>
    <n v="-4.4473135222747984E-2"/>
    <n v="0"/>
    <n v="0"/>
    <m/>
    <m/>
    <m/>
    <n v="227.26249546338786"/>
    <n v="0"/>
    <n v="0"/>
    <n v="-163.76425"/>
    <n v="17.39179"/>
    <n v="0"/>
    <n v="0"/>
    <n v="-166.97198654981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77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93.38"/>
    <n v="1805.16"/>
    <n v="1026.52"/>
    <n v="12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78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5.17"/>
    <n v="-23.7"/>
    <n v="-4.559999999999999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79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25"/>
    <n v="24.44"/>
    <n v="53.83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80"/>
    <s v="Regular"/>
    <s v="Convencional"/>
    <s v="B2"/>
    <s v="Rural"/>
    <s v="Agropecuária rural"/>
    <s v="IRRIG./AQUIC."/>
    <s v="Não se aplica"/>
    <s v="Não se aplica"/>
    <s v="CATIVO"/>
    <x v="7"/>
    <n v="0"/>
    <n v="0"/>
    <n v="145.35400000000001"/>
    <n v="145.35400000000001"/>
    <n v="145.35400000000001"/>
    <n v="145.35400000000001"/>
    <m/>
    <n v="571.87"/>
    <n v="216.76"/>
    <m/>
    <n v="114630.52502000002"/>
    <n v="114630.52502000002"/>
    <n v="74713.409540000008"/>
    <n v="0"/>
    <n v="8809.9956298192901"/>
    <n v="0"/>
    <n v="0"/>
    <n v="0"/>
    <n v="119.46844387830502"/>
    <n v="61976.571792842929"/>
    <n v="31047.832550718791"/>
    <n v="458.94140806229638"/>
    <n v="0"/>
    <n v="0"/>
    <n v="0"/>
    <n v="0"/>
    <n v="1362.4951468077504"/>
    <m/>
    <n v="278.85722386537276"/>
    <n v="1290.9902946230943"/>
    <n v="4044.7810368808555"/>
    <n v="0"/>
    <n v="0"/>
    <n v="0"/>
    <n v="0"/>
    <n v="0"/>
    <n v="0"/>
    <n v="0"/>
    <n v="0"/>
    <n v="0"/>
    <n v="0"/>
    <m/>
    <n v="0"/>
    <n v="0"/>
    <n v="86.495749818947573"/>
    <n v="0"/>
    <n v="0"/>
    <n v="5153.9966487065567"/>
    <n v="0"/>
    <n v="0"/>
    <n v="0"/>
    <n v="0"/>
    <n v="0"/>
    <m/>
    <m/>
    <m/>
    <m/>
    <m/>
    <n v="8965.4347199999975"/>
    <m/>
    <m/>
    <m/>
    <n v="36288.324949244292"/>
    <m/>
    <m/>
    <m/>
    <m/>
    <m/>
    <m/>
    <m/>
    <m/>
    <m/>
    <m/>
    <m/>
    <m/>
    <n v="65746.165500000003"/>
    <n v="-35129.540499999988"/>
    <m/>
    <m/>
    <m/>
    <m/>
    <n v="-44660.016500000005"/>
    <n v="4742.9010199999993"/>
    <n v="29"/>
    <n v="5617.9765560128726"/>
    <n v="133.16761658612586"/>
    <n v="417.2253289103387"/>
    <n v="0"/>
    <n v="0"/>
    <n v="0"/>
    <n v="0"/>
    <n v="0"/>
    <n v="11.681034200021386"/>
    <n v="0"/>
    <n v="0"/>
    <n v="4743.5105653979554"/>
    <n v="0"/>
    <n v="0"/>
    <n v="13.214883920091964"/>
    <n v="787.43137760834816"/>
    <n v="0"/>
    <n v="-420.91688451479604"/>
    <m/>
    <n v="0"/>
    <n v="0"/>
    <n v="0"/>
    <n v="0"/>
    <n v="-55.209133267508832"/>
    <n v="-12.128232827706029"/>
    <n v="0"/>
    <n v="0"/>
    <m/>
    <m/>
    <m/>
    <n v="61976.571792842929"/>
    <n v="0"/>
    <n v="0"/>
    <n v="-44660.016500000005"/>
    <n v="4742.9010200000012"/>
    <n v="0"/>
    <n v="0"/>
    <n v="-45534.79574664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1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-2.387"/>
    <n v="-2.387"/>
    <n v="-2.387"/>
    <n v="-2.387"/>
    <m/>
    <n v="571.87"/>
    <n v="216.76"/>
    <m/>
    <n v="-1882.4598099999998"/>
    <n v="-1882.4598099999998"/>
    <n v="-1226.9418700000001"/>
    <n v="0"/>
    <n v="-144.67754288412181"/>
    <n v="0"/>
    <n v="0"/>
    <n v="0"/>
    <n v="-1.9619080007259111"/>
    <n v="-1017.7778173941966"/>
    <n v="-509.86678246601912"/>
    <n v="-7.5367251059117839"/>
    <n v="0"/>
    <n v="0"/>
    <n v="0"/>
    <n v="0"/>
    <n v="-22.37486354300604"/>
    <m/>
    <n v="-4.5793868305422949"/>
    <n v="-21.200612527108479"/>
    <n v="-66.423299909425268"/>
    <n v="0"/>
    <n v="0"/>
    <n v="0"/>
    <n v="0"/>
    <n v="0"/>
    <n v="0"/>
    <n v="0"/>
    <n v="0"/>
    <n v="0"/>
    <n v="0"/>
    <m/>
    <n v="0"/>
    <n v="0"/>
    <n v="-1.4204311874308779"/>
    <n v="0"/>
    <n v="0"/>
    <n v="-84.638812832550528"/>
    <n v="0"/>
    <n v="0"/>
    <n v="0"/>
    <n v="0"/>
    <n v="0"/>
    <m/>
    <m/>
    <m/>
    <m/>
    <m/>
    <n v="-147.23015999999996"/>
    <m/>
    <m/>
    <m/>
    <n v="-595.92602648600052"/>
    <m/>
    <m/>
    <m/>
    <m/>
    <m/>
    <m/>
    <m/>
    <m/>
    <m/>
    <m/>
    <m/>
    <m/>
    <n v="-1081.0687000000003"/>
    <n v="575.47929999999974"/>
    <m/>
    <m/>
    <m/>
    <m/>
    <n v="733.40575000000001"/>
    <n v="-77.887809999999988"/>
    <n v="29"/>
    <n v="-92.258280055607315"/>
    <n v="-2.186875495625042"/>
    <n v="-6.8516646264222487"/>
    <n v="0"/>
    <n v="0"/>
    <n v="0"/>
    <n v="0"/>
    <n v="0"/>
    <n v="-0.19182567136405648"/>
    <n v="0"/>
    <n v="0"/>
    <n v="-77.897819940317618"/>
    <n v="0"/>
    <n v="0"/>
    <n v="-0.21701451571514729"/>
    <n v="-12.931179729151779"/>
    <n v="0"/>
    <n v="6.9122872665135731"/>
    <m/>
    <n v="0"/>
    <n v="0"/>
    <n v="0"/>
    <n v="0"/>
    <n v="0.90664309967075951"/>
    <n v="0.19916955680431414"/>
    <n v="0"/>
    <n v="0"/>
    <m/>
    <m/>
    <m/>
    <n v="-1017.7778173941966"/>
    <n v="0"/>
    <n v="0"/>
    <n v="733.4057499999999"/>
    <n v="-77.887809999999945"/>
    <n v="0"/>
    <n v="0"/>
    <n v="747.7713543985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2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2.7360000000000002"/>
    <n v="2.7360000000000002"/>
    <n v="2.7360000000000002"/>
    <n v="2.7360000000000002"/>
    <m/>
    <n v="571.87"/>
    <n v="216.76"/>
    <m/>
    <n v="2157.6916799999999"/>
    <n v="2157.6916799999999"/>
    <n v="1406.3313600000001"/>
    <n v="0"/>
    <n v="165.83064823249154"/>
    <n v="0"/>
    <n v="0"/>
    <n v="0"/>
    <n v="2.2487558818542492"/>
    <n v="1166.5857178008052"/>
    <n v="584.41370625346815"/>
    <n v="8.6386593589336584"/>
    <n v="0"/>
    <n v="0"/>
    <n v="0"/>
    <n v="0"/>
    <n v="25.646261689846892"/>
    <m/>
    <n v="5.2489327056404358"/>
    <n v="24.300325041545371"/>
    <n v="76.134959594548619"/>
    <n v="0"/>
    <n v="0"/>
    <n v="0"/>
    <n v="0"/>
    <n v="0"/>
    <n v="0"/>
    <n v="0"/>
    <n v="0"/>
    <n v="0"/>
    <n v="0"/>
    <m/>
    <n v="0"/>
    <n v="0"/>
    <n v="1.6281104854674833"/>
    <n v="0"/>
    <n v="0"/>
    <n v="97.013737708361234"/>
    <n v="0"/>
    <n v="0"/>
    <n v="0"/>
    <n v="0"/>
    <n v="0"/>
    <m/>
    <m/>
    <m/>
    <m/>
    <m/>
    <n v="168.75647999999995"/>
    <m/>
    <m/>
    <m/>
    <n v="683.0555544472968"/>
    <m/>
    <m/>
    <m/>
    <m/>
    <m/>
    <m/>
    <m/>
    <m/>
    <m/>
    <m/>
    <m/>
    <m/>
    <n v="1239.3842"/>
    <n v="-659.42980000000011"/>
    <m/>
    <m/>
    <m/>
    <m/>
    <n v="-840.63600000000008"/>
    <n v="89.275679999999994"/>
    <n v="29"/>
    <n v="105.74723679603767"/>
    <n v="2.5066155659950233"/>
    <n v="7.8534371252162742"/>
    <n v="0"/>
    <n v="0"/>
    <n v="0"/>
    <n v="0"/>
    <n v="0"/>
    <n v="0.21987223998829419"/>
    <n v="0"/>
    <n v="0"/>
    <n v="89.287153479978656"/>
    <n v="0"/>
    <n v="0"/>
    <n v="0.24874391076524627"/>
    <n v="14.821829802664126"/>
    <n v="0"/>
    <n v="-7.9229233184671841"/>
    <m/>
    <n v="0"/>
    <n v="0"/>
    <n v="0"/>
    <n v="0"/>
    <n v="-1.0392021452447437"/>
    <n v="-0.2282898648582341"/>
    <n v="0"/>
    <n v="0"/>
    <m/>
    <m/>
    <m/>
    <n v="1166.5857178008052"/>
    <n v="0"/>
    <n v="0"/>
    <n v="-840.63599999999997"/>
    <n v="89.275679999999966"/>
    <n v="0"/>
    <n v="0"/>
    <n v="-857.10197973790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3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162.83000000000001"/>
    <n v="65.132000000000005"/>
    <n v="162.83000000000001"/>
    <n v="65.132000000000005"/>
    <m/>
    <n v="571.87"/>
    <n v="216.76"/>
    <m/>
    <n v="128412.62290000002"/>
    <n v="128412.62290000002"/>
    <n v="83696.248300000007"/>
    <n v="0"/>
    <n v="9869.2267732809196"/>
    <n v="0"/>
    <n v="0"/>
    <n v="0"/>
    <n v="133.83220769090914"/>
    <n v="69428.052788561807"/>
    <n v="34780.732379112655"/>
    <n v="514.12021323653778"/>
    <n v="0"/>
    <n v="0"/>
    <n v="0"/>
    <n v="0"/>
    <n v="1526.3087686249157"/>
    <m/>
    <n v="312.38439782873985"/>
    <n v="1446.2068444864153"/>
    <n v="4531.0875258700116"/>
    <n v="0"/>
    <n v="0"/>
    <n v="0"/>
    <n v="0"/>
    <n v="0"/>
    <n v="0"/>
    <n v="0"/>
    <n v="0"/>
    <n v="0"/>
    <n v="0"/>
    <m/>
    <n v="0"/>
    <n v="0"/>
    <n v="96.895186530946745"/>
    <n v="0"/>
    <n v="0"/>
    <n v="5773.6648066712205"/>
    <n v="0"/>
    <n v="0"/>
    <n v="0"/>
    <n v="0"/>
    <n v="0"/>
    <m/>
    <m/>
    <m/>
    <m/>
    <m/>
    <m/>
    <n v="54235.09074"/>
    <m/>
    <m/>
    <n v="40651.292372314827"/>
    <m/>
    <m/>
    <m/>
    <m/>
    <m/>
    <m/>
    <m/>
    <m/>
    <m/>
    <m/>
    <m/>
    <m/>
    <n v="29460.252899999999"/>
    <n v="-15741.385100000014"/>
    <m/>
    <m/>
    <m/>
    <m/>
    <n v="-50029.517500000002"/>
    <n v="5313.1428999999998"/>
    <n v="29"/>
    <n v="6293.4293009863832"/>
    <n v="149.17844028178729"/>
    <n v="467.38858446599625"/>
    <n v="0"/>
    <n v="0"/>
    <n v="0"/>
    <n v="0"/>
    <n v="0"/>
    <n v="13.08545206041444"/>
    <n v="0"/>
    <n v="0"/>
    <n v="5313.8257314126167"/>
    <n v="0"/>
    <n v="0"/>
    <n v="14.803717467070555"/>
    <n v="882.10473200577508"/>
    <n v="0"/>
    <n v="-471.52397805044166"/>
    <m/>
    <n v="0"/>
    <n v="0"/>
    <n v="0"/>
    <n v="0"/>
    <n v="-61.846961005190678"/>
    <n v="-13.586417651632416"/>
    <n v="0"/>
    <n v="0"/>
    <m/>
    <m/>
    <m/>
    <n v="69428.052788561807"/>
    <n v="0"/>
    <n v="0"/>
    <n v="-50029.517500000002"/>
    <n v="5313.1428999999989"/>
    <n v="0"/>
    <n v="0"/>
    <n v="-51009.471988568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4"/>
    <s v="Sistema de Compensação"/>
    <s v="Convencional"/>
    <s v="B2"/>
    <s v="Rural"/>
    <s v="Agropecuária rural"/>
    <s v="IRRIG./AQUIC. PR"/>
    <s v="Não se aplica"/>
    <s v="Não se aplica"/>
    <s v="CATIVO"/>
    <x v="7"/>
    <n v="0"/>
    <n v="0"/>
    <n v="1.5960000000000001"/>
    <n v="0.63839999999999997"/>
    <n v="1.5960000000000001"/>
    <n v="0.63839999999999997"/>
    <m/>
    <n v="571.87"/>
    <n v="216.76"/>
    <m/>
    <n v="1258.6534799999999"/>
    <n v="1258.6534799999999"/>
    <n v="820.35996"/>
    <n v="0"/>
    <n v="96.734544802286734"/>
    <n v="0"/>
    <n v="0"/>
    <n v="0"/>
    <n v="1.3117742644149788"/>
    <n v="680.508335383803"/>
    <n v="340.90799531452308"/>
    <n v="5.0392179593779671"/>
    <n v="0"/>
    <n v="0"/>
    <n v="0"/>
    <n v="0"/>
    <n v="14.960319319077353"/>
    <m/>
    <n v="3.0618774116235876"/>
    <n v="14.175189607568132"/>
    <n v="44.412059763486695"/>
    <n v="0"/>
    <n v="0"/>
    <n v="0"/>
    <n v="0"/>
    <n v="0"/>
    <n v="0"/>
    <n v="0"/>
    <n v="0"/>
    <n v="0"/>
    <n v="0"/>
    <m/>
    <n v="0"/>
    <n v="0"/>
    <n v="0.94973111652269848"/>
    <n v="0"/>
    <n v="0"/>
    <n v="56.591346996544054"/>
    <n v="0"/>
    <n v="0"/>
    <n v="0"/>
    <n v="0"/>
    <n v="0"/>
    <m/>
    <m/>
    <m/>
    <m/>
    <m/>
    <m/>
    <n v="531.592488"/>
    <m/>
    <m/>
    <n v="398.44907342758984"/>
    <m/>
    <m/>
    <m/>
    <m/>
    <m/>
    <m/>
    <m/>
    <m/>
    <m/>
    <m/>
    <m/>
    <m/>
    <n v="289.49120000000005"/>
    <n v="-153.58839999999987"/>
    <m/>
    <m/>
    <m/>
    <m/>
    <n v="-490.37100000000004"/>
    <n v="52.077479999999994"/>
    <n v="29"/>
    <n v="61.685888131021784"/>
    <n v="1.4621924134970961"/>
    <n v="4.5811716563761635"/>
    <n v="0"/>
    <n v="0"/>
    <n v="0"/>
    <n v="0"/>
    <n v="0"/>
    <n v="0.12825880665983824"/>
    <n v="0"/>
    <n v="0"/>
    <n v="52.084172863320873"/>
    <n v="0"/>
    <n v="0"/>
    <n v="0.14510061461306045"/>
    <n v="8.6460673848874094"/>
    <n v="0"/>
    <n v="-4.6217052691058598"/>
    <m/>
    <n v="0"/>
    <n v="0"/>
    <n v="0"/>
    <n v="0"/>
    <n v="-0.60620125139276659"/>
    <n v="-0.13316908783396997"/>
    <n v="0"/>
    <n v="0"/>
    <m/>
    <m/>
    <m/>
    <n v="680.508335383803"/>
    <n v="0"/>
    <n v="0"/>
    <n v="-490.37099999999998"/>
    <n v="52.07747999999998"/>
    <n v="0"/>
    <n v="0"/>
    <n v="-499.9761548471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5"/>
    <s v="Regular"/>
    <s v="Verde"/>
    <s v="A4"/>
    <s v="Rural"/>
    <s v="Agropecuária rural"/>
    <s v="Não se aplica"/>
    <s v="Não se aplica"/>
    <s v="Ponta"/>
    <s v="CATIVO"/>
    <x v="7"/>
    <n v="0"/>
    <n v="0"/>
    <n v="1.3220000000000001"/>
    <n v="1.26912"/>
    <n v="1.3220000000000001"/>
    <n v="1.26912"/>
    <m/>
    <n v="2592.54"/>
    <n v="216.76"/>
    <m/>
    <n v="3713.8946000000001"/>
    <n v="3713.8946000000001"/>
    <n v="1561.5464000000002"/>
    <n v="0"/>
    <n v="69.710695087031382"/>
    <n v="0"/>
    <n v="0"/>
    <n v="0"/>
    <n v="6.6848717437421916"/>
    <n v="3028.558568835083"/>
    <n v="282.38118408884679"/>
    <n v="4.1740890615900206"/>
    <n v="0"/>
    <n v="0"/>
    <n v="0"/>
    <n v="0"/>
    <n v="12.391943696629236"/>
    <m/>
    <n v="1.815399743774917"/>
    <n v="59.641860176980707"/>
    <n v="226.32738981361189"/>
    <n v="0"/>
    <n v="0"/>
    <n v="0"/>
    <n v="0"/>
    <n v="0"/>
    <n v="0"/>
    <n v="0"/>
    <n v="0"/>
    <n v="0"/>
    <n v="0"/>
    <m/>
    <n v="0"/>
    <n v="0"/>
    <n v="0.60454887935745194"/>
    <n v="0"/>
    <n v="0"/>
    <n v="21.596399325366711"/>
    <n v="0"/>
    <n v="0"/>
    <n v="0"/>
    <n v="0"/>
    <n v="0"/>
    <m/>
    <m/>
    <m/>
    <m/>
    <m/>
    <n v="62.46185600000004"/>
    <m/>
    <m/>
    <m/>
    <n v="304.58213229357091"/>
    <m/>
    <m/>
    <m/>
    <m/>
    <m/>
    <m/>
    <m/>
    <m/>
    <m/>
    <m/>
    <m/>
    <m/>
    <n v="1500.124"/>
    <n v="-2065.2448160000004"/>
    <m/>
    <m/>
    <m/>
    <m/>
    <n v="-2195.48506"/>
    <n v="43.136859999999999"/>
    <n v="29"/>
    <n v="72.774391554975182"/>
    <n v="6.1521487819164591"/>
    <n v="23.346015221931083"/>
    <n v="0"/>
    <n v="0"/>
    <n v="0"/>
    <n v="0"/>
    <n v="0"/>
    <n v="0.65361373201572093"/>
    <n v="0"/>
    <n v="0"/>
    <n v="43.142403837913662"/>
    <n v="0"/>
    <n v="0"/>
    <n v="9.2363419953617076E-2"/>
    <n v="3.2995136844765476"/>
    <n v="0"/>
    <n v="-3.3305815151687312"/>
    <m/>
    <n v="0"/>
    <n v="0"/>
    <n v="0"/>
    <n v="0"/>
    <n v="-0.50212910673009858"/>
    <n v="-7.8956501333061757E-2"/>
    <n v="0"/>
    <n v="0"/>
    <m/>
    <m/>
    <m/>
    <n v="3028.558568835083"/>
    <n v="0"/>
    <n v="0"/>
    <n v="-2195.48506"/>
    <n v="43.136860000000013"/>
    <n v="0"/>
    <n v="0"/>
    <n v="-2225.1117131745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6"/>
    <s v="Regular"/>
    <s v="Verde"/>
    <s v="A4"/>
    <s v="Rural"/>
    <s v="Agropecuária rural"/>
    <s v="Não se aplica"/>
    <s v="Não se aplica"/>
    <s v="Fora ponta"/>
    <s v="CATIVO"/>
    <x v="7"/>
    <n v="0"/>
    <n v="0"/>
    <n v="116.24"/>
    <n v="111.5904"/>
    <n v="116.24"/>
    <n v="111.5904"/>
    <m/>
    <n v="80.27"/>
    <n v="216.76"/>
    <m/>
    <n v="34526.767199999995"/>
    <n v="34526.767199999995"/>
    <n v="38274.344799999992"/>
    <n v="0"/>
    <n v="6129.478968923243"/>
    <n v="0"/>
    <n v="0"/>
    <n v="0"/>
    <n v="0"/>
    <n v="0"/>
    <n v="24829.038455739446"/>
    <n v="367.01672656522231"/>
    <n v="0"/>
    <n v="0"/>
    <n v="0"/>
    <n v="0"/>
    <n v="1089.59117647215"/>
    <m/>
    <n v="159.62334812132855"/>
    <n v="0"/>
    <n v="0"/>
    <n v="0"/>
    <n v="0"/>
    <n v="0"/>
    <n v="0"/>
    <n v="0"/>
    <n v="0"/>
    <n v="0"/>
    <n v="0"/>
    <n v="0"/>
    <n v="0"/>
    <m/>
    <n v="0"/>
    <n v="0"/>
    <n v="53.156400708404085"/>
    <n v="0"/>
    <n v="0"/>
    <n v="1898.9148695768731"/>
    <n v="0"/>
    <n v="0"/>
    <n v="0"/>
    <n v="0"/>
    <n v="0"/>
    <m/>
    <m/>
    <m/>
    <m/>
    <m/>
    <n v="1530.9737919999975"/>
    <m/>
    <m/>
    <m/>
    <n v="26781.109726024726"/>
    <m/>
    <m/>
    <m/>
    <m/>
    <m/>
    <m/>
    <m/>
    <m/>
    <m/>
    <m/>
    <m/>
    <m/>
    <n v="36743.239300000001"/>
    <n v="3597.512788"/>
    <m/>
    <m/>
    <m/>
    <m/>
    <n v="-45.333600000000061"/>
    <n v="3792.9111999999991"/>
    <n v="29"/>
    <n v="3747.6948792235708"/>
    <n v="0"/>
    <n v="0"/>
    <n v="0"/>
    <n v="0"/>
    <n v="0"/>
    <n v="0"/>
    <n v="0"/>
    <n v="0"/>
    <n v="0"/>
    <n v="0"/>
    <n v="3793.3986551581584"/>
    <n v="0"/>
    <n v="0"/>
    <n v="8.1212737786750751"/>
    <n v="290.11760263506312"/>
    <n v="0"/>
    <n v="-292.84931567565309"/>
    <m/>
    <n v="0"/>
    <n v="0"/>
    <n v="0"/>
    <n v="0"/>
    <n v="-44.150898159082089"/>
    <n v="-6.9424385135817772"/>
    <n v="0"/>
    <n v="0"/>
    <m/>
    <m/>
    <m/>
    <n v="0"/>
    <n v="0"/>
    <n v="0"/>
    <n v="-45.333599999999933"/>
    <n v="3792.9111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7"/>
    <s v="Regular"/>
    <s v="Verde"/>
    <s v="A4"/>
    <s v="Rural"/>
    <s v="Agropecuária rural"/>
    <s v="Não se aplica"/>
    <s v="Não se aplica"/>
    <s v="Não se aplica"/>
    <s v="CATIVO"/>
    <x v="7"/>
    <n v="2409"/>
    <n v="2312.64"/>
    <n v="0"/>
    <n v="0"/>
    <n v="0"/>
    <n v="0"/>
    <n v="32.17"/>
    <m/>
    <m/>
    <n v="77497.53"/>
    <m/>
    <n v="77497.53"/>
    <n v="31148.37"/>
    <n v="0"/>
    <n v="0"/>
    <n v="0"/>
    <n v="0"/>
    <n v="0"/>
    <n v="240.69818634124246"/>
    <n v="64866.505647239639"/>
    <m/>
    <m/>
    <m/>
    <n v="0"/>
    <n v="0"/>
    <n v="0"/>
    <n v="0"/>
    <m/>
    <n v="0"/>
    <n v="4250.4904453506761"/>
    <n v="8149.3221835586437"/>
    <n v="0"/>
    <n v="0"/>
    <m/>
    <m/>
    <n v="0"/>
    <n v="0"/>
    <n v="0"/>
    <m/>
    <m/>
    <n v="0"/>
    <m/>
    <n v="0"/>
    <n v="0"/>
    <n v="0"/>
    <n v="0"/>
    <m/>
    <n v="0"/>
    <n v="0"/>
    <n v="279.73"/>
    <n v="1291.49"/>
    <n v="74.83"/>
    <n v="13"/>
    <m/>
    <m/>
    <m/>
    <m/>
    <m/>
    <n v="1245.9348000000016"/>
    <m/>
    <m/>
    <m/>
    <n v="0"/>
    <m/>
    <m/>
    <m/>
    <m/>
    <m/>
    <m/>
    <m/>
    <m/>
    <m/>
    <m/>
    <m/>
    <m/>
    <n v="29902.435199999996"/>
    <n v="-44495.223599999998"/>
    <m/>
    <m/>
    <m/>
    <m/>
    <n v="-46349.16"/>
    <n v="0"/>
    <n v="29"/>
    <n v="1302.5938516362075"/>
    <n v="438.444567931253"/>
    <n v="840.61500423112648"/>
    <n v="0"/>
    <n v="0"/>
    <m/>
    <m/>
    <m/>
    <n v="23.5342794738272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64866.505647239639"/>
    <m/>
    <n v="0"/>
    <n v="0"/>
    <n v="-46349.16"/>
    <m/>
    <n v="0"/>
    <m/>
    <n v="-47658.058521184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388"/>
    <s v="Regular"/>
    <s v="Verde"/>
    <s v="A4"/>
    <s v="Rural"/>
    <s v="Agropecuária rural"/>
    <s v="IRRIG./AQUIC. PR"/>
    <s v="Não se aplica"/>
    <s v="Fora ponta"/>
    <s v="CATIVO"/>
    <x v="7"/>
    <n v="0"/>
    <n v="0"/>
    <n v="140.73699999999999"/>
    <n v="42.2211"/>
    <n v="140.73699999999999"/>
    <n v="42.2211"/>
    <m/>
    <n v="80.27"/>
    <n v="216.76"/>
    <m/>
    <n v="41803.111109999998"/>
    <n v="41803.111109999998"/>
    <n v="46340.471989999991"/>
    <n v="0"/>
    <n v="7421.2360775064553"/>
    <n v="0"/>
    <n v="0"/>
    <n v="0"/>
    <n v="0"/>
    <n v="0"/>
    <n v="30061.63442141606"/>
    <n v="444.36367039409578"/>
    <n v="0"/>
    <n v="0"/>
    <n v="0"/>
    <n v="0"/>
    <n v="1319.2170802061335"/>
    <m/>
    <n v="193.26317226902455"/>
    <n v="0"/>
    <n v="0"/>
    <n v="0"/>
    <n v="0"/>
    <n v="0"/>
    <n v="0"/>
    <n v="0"/>
    <n v="0"/>
    <n v="0"/>
    <n v="0"/>
    <n v="0"/>
    <n v="0"/>
    <m/>
    <n v="0"/>
    <n v="0"/>
    <n v="64.358846924455136"/>
    <n v="0"/>
    <n v="0"/>
    <n v="2299.1017033692392"/>
    <n v="0"/>
    <n v="0"/>
    <n v="0"/>
    <n v="0"/>
    <n v="0"/>
    <m/>
    <m/>
    <m/>
    <m/>
    <m/>
    <m/>
    <n v="32438.330392999997"/>
    <m/>
    <m/>
    <n v="32425.094971709757"/>
    <m/>
    <m/>
    <m/>
    <m/>
    <m/>
    <m/>
    <m/>
    <m/>
    <m/>
    <m/>
    <m/>
    <m/>
    <n v="13901.779399999999"/>
    <n v="1360.8160669999979"/>
    <m/>
    <m/>
    <m/>
    <m/>
    <n v="-54.88743000000008"/>
    <n v="4592.248309999999"/>
    <n v="29"/>
    <n v="4537.5028752347571"/>
    <n v="0"/>
    <n v="0"/>
    <n v="0"/>
    <n v="0"/>
    <n v="0"/>
    <n v="0"/>
    <n v="0"/>
    <n v="0"/>
    <n v="0"/>
    <n v="0"/>
    <n v="4592.8384939004936"/>
    <n v="0"/>
    <n v="0"/>
    <n v="9.832791705001668"/>
    <n v="351.25843979741012"/>
    <n v="0"/>
    <n v="-354.56584773093891"/>
    <m/>
    <n v="0"/>
    <n v="0"/>
    <n v="0"/>
    <n v="0"/>
    <n v="-53.45547964740831"/>
    <n v="-8.4055227897966063"/>
    <n v="0"/>
    <n v="0"/>
    <m/>
    <m/>
    <m/>
    <n v="0"/>
    <n v="0"/>
    <n v="0"/>
    <n v="-54.887430000000677"/>
    <n v="4592.248309999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89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91"/>
    <n v="18.34"/>
    <n v="61.66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90"/>
    <s v="Regular"/>
    <s v="Convencional"/>
    <s v="B2"/>
    <s v="Rural"/>
    <s v="Aquicultura"/>
    <s v="IRRIG./AQUIC."/>
    <s v="Não se aplica"/>
    <s v="Não se aplica"/>
    <s v="CATIVO"/>
    <x v="7"/>
    <n v="0"/>
    <n v="0"/>
    <n v="1.2050000000000001"/>
    <n v="1.2050000000000001"/>
    <n v="1.2050000000000001"/>
    <n v="1.2050000000000001"/>
    <m/>
    <n v="571.87"/>
    <n v="216.76"/>
    <m/>
    <n v="950.29915000000005"/>
    <n v="950.29915000000005"/>
    <n v="619.38205000000005"/>
    <n v="0"/>
    <n v="73.035793538067367"/>
    <n v="0"/>
    <n v="0"/>
    <n v="0"/>
    <n v="0.99040600790729905"/>
    <n v="513.79232088814706"/>
    <n v="257.38980849248139"/>
    <n v="3.8046727074250941"/>
    <n v="0"/>
    <n v="0"/>
    <n v="0"/>
    <n v="0"/>
    <n v="11.295228558576573"/>
    <m/>
    <n v="2.3117558151669315"/>
    <n v="10.702445787668921"/>
    <n v="33.531661663534756"/>
    <n v="0"/>
    <n v="0"/>
    <n v="0"/>
    <n v="0"/>
    <n v="0"/>
    <n v="0"/>
    <n v="0"/>
    <n v="0"/>
    <n v="0"/>
    <n v="0"/>
    <m/>
    <n v="0"/>
    <n v="0"/>
    <n v="0.71705889436707504"/>
    <n v="0"/>
    <n v="0"/>
    <n v="42.727176147140092"/>
    <n v="0"/>
    <n v="0"/>
    <n v="0"/>
    <n v="0"/>
    <n v="0"/>
    <m/>
    <m/>
    <m/>
    <m/>
    <m/>
    <n v="74.324399999999983"/>
    <m/>
    <m/>
    <m/>
    <n v="300.83404353398856"/>
    <m/>
    <m/>
    <m/>
    <m/>
    <m/>
    <m/>
    <m/>
    <m/>
    <m/>
    <m/>
    <m/>
    <m/>
    <n v="547.3193"/>
    <n v="-288.98069999999996"/>
    <m/>
    <m/>
    <m/>
    <m/>
    <n v="-370.23625000000004"/>
    <n v="39.319149999999993"/>
    <n v="29"/>
    <n v="46.5736185450383"/>
    <n v="1.1039735954035113"/>
    <n v="3.458842008730123"/>
    <n v="0"/>
    <n v="0"/>
    <n v="0"/>
    <n v="0"/>
    <n v="0"/>
    <n v="9.6837006281394244E-2"/>
    <n v="0"/>
    <n v="0"/>
    <n v="39.32420319567774"/>
    <n v="0"/>
    <n v="0"/>
    <n v="0.10955278233630183"/>
    <n v="6.5278892222990734"/>
    <n v="0"/>
    <n v="-3.4894453942810628"/>
    <m/>
    <n v="0"/>
    <n v="0"/>
    <n v="0"/>
    <n v="0"/>
    <n v="-0.45768954130844897"/>
    <n v="-0.10054433010020913"/>
    <n v="0"/>
    <n v="0"/>
    <m/>
    <m/>
    <m/>
    <n v="513.79232088814706"/>
    <n v="0"/>
    <n v="0"/>
    <n v="-370.23625000000004"/>
    <n v="39.319149999999979"/>
    <n v="0"/>
    <n v="0"/>
    <n v="-377.4882622749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1"/>
    <s v="Regular"/>
    <s v="Convencional"/>
    <s v="B2"/>
    <s v="Rural"/>
    <s v="Aquicultura"/>
    <s v="IRRIG./AQUIC. PR"/>
    <s v="Não se aplica"/>
    <s v="Não se aplica"/>
    <s v="CATIVO"/>
    <x v="7"/>
    <n v="0"/>
    <n v="0"/>
    <n v="3.3130000000000002"/>
    <n v="1.3251999999999999"/>
    <n v="3.3130000000000002"/>
    <n v="1.3251999999999999"/>
    <m/>
    <n v="571.87"/>
    <n v="216.76"/>
    <m/>
    <n v="2612.7311900000004"/>
    <n v="2612.7311900000004"/>
    <n v="1702.9151300000001"/>
    <n v="0"/>
    <n v="200.80297426690223"/>
    <n v="0"/>
    <n v="0"/>
    <n v="0"/>
    <n v="2.7230000864704413"/>
    <n v="1412.6090946908143"/>
    <n v="707.66177222870613"/>
    <n v="10.460481891866669"/>
    <n v="0"/>
    <n v="0"/>
    <n v="0"/>
    <n v="0"/>
    <n v="31.054848310841646"/>
    <m/>
    <n v="6.355889639541946"/>
    <n v="29.425064642777709"/>
    <n v="92.191199245884349"/>
    <n v="0"/>
    <n v="0"/>
    <n v="0"/>
    <n v="0"/>
    <n v="0"/>
    <n v="0"/>
    <n v="0"/>
    <n v="0"/>
    <n v="0"/>
    <n v="0"/>
    <m/>
    <n v="0"/>
    <n v="0"/>
    <n v="1.9714656572930451"/>
    <n v="0"/>
    <n v="0"/>
    <n v="117.47314072653536"/>
    <n v="0"/>
    <n v="0"/>
    <n v="0"/>
    <n v="0"/>
    <n v="0"/>
    <m/>
    <m/>
    <m/>
    <m/>
    <m/>
    <m/>
    <n v="1103.4874140000002"/>
    <m/>
    <m/>
    <n v="827.10637861253451"/>
    <m/>
    <m/>
    <m/>
    <m/>
    <m/>
    <m/>
    <m/>
    <m/>
    <m/>
    <m/>
    <m/>
    <m/>
    <n v="601.59890000000007"/>
    <n v="-318.1198999999998"/>
    <m/>
    <m/>
    <m/>
    <m/>
    <n v="-1017.91925"/>
    <n v="108.10318999999998"/>
    <n v="29"/>
    <n v="128.04846326947109"/>
    <n v="3.0352402668645873"/>
    <n v="9.5096627177783404"/>
    <n v="0"/>
    <n v="0"/>
    <n v="0"/>
    <n v="0"/>
    <n v="0"/>
    <n v="0.26624149527822327"/>
    <n v="0"/>
    <n v="0"/>
    <n v="108.11708314297118"/>
    <n v="0"/>
    <n v="0"/>
    <n v="0.30120196504578267"/>
    <n v="17.947632359731827"/>
    <n v="0"/>
    <n v="-9.5938029802930487"/>
    <m/>
    <n v="0"/>
    <n v="0"/>
    <n v="0"/>
    <n v="0"/>
    <n v="-1.2583613695891174"/>
    <n v="-0.27643432831700654"/>
    <n v="0"/>
    <n v="0"/>
    <m/>
    <m/>
    <m/>
    <n v="1412.6090946908143"/>
    <n v="0"/>
    <n v="0"/>
    <n v="-1017.91925"/>
    <n v="108.10318999999993"/>
    <n v="0"/>
    <n v="0"/>
    <n v="-1037.857770055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2"/>
    <s v="Regular"/>
    <s v="Convencional"/>
    <s v="B1"/>
    <s v="Residencial"/>
    <s v="Residencial"/>
    <s v="Não se aplica"/>
    <s v="Não se aplica"/>
    <s v="Não se aplica"/>
    <s v="CATIVO"/>
    <x v="8"/>
    <n v="0"/>
    <n v="0"/>
    <n v="930.29"/>
    <n v="930.29"/>
    <n v="930.29"/>
    <n v="930.29"/>
    <m/>
    <n v="571.87"/>
    <n v="216.76"/>
    <m/>
    <n v="733654.60269999993"/>
    <n v="733654.60269999993"/>
    <n v="478178.36289999995"/>
    <n v="0"/>
    <n v="56385.450929899322"/>
    <n v="0"/>
    <n v="0"/>
    <n v="0"/>
    <n v="764.61809551542012"/>
    <n v="396660.46323571308"/>
    <n v="198711.34020122033"/>
    <n v="2937.3020522742659"/>
    <n v="0"/>
    <n v="0"/>
    <n v="0"/>
    <n v="0"/>
    <n v="8720.1976562308701"/>
    <m/>
    <n v="1784.7330433955558"/>
    <n v="8262.5545990128794"/>
    <n v="25887.277617402277"/>
    <n v="0"/>
    <n v="0"/>
    <n v="0"/>
    <n v="0"/>
    <n v="0"/>
    <n v="0"/>
    <n v="0"/>
    <n v="0"/>
    <n v="0"/>
    <n v="0"/>
    <m/>
    <n v="0"/>
    <n v="0"/>
    <n v="553.58731854003827"/>
    <n v="0"/>
    <n v="0"/>
    <n v="32986.443732716143"/>
    <n v="0"/>
    <n v="777.21"/>
    <n v="3631.66"/>
    <n v="201359.96"/>
    <n v="4482"/>
    <m/>
    <m/>
    <m/>
    <m/>
    <m/>
    <m/>
    <m/>
    <m/>
    <m/>
    <n v="232251.3712524765"/>
    <m/>
    <m/>
    <m/>
    <m/>
    <m/>
    <m/>
    <m/>
    <m/>
    <m/>
    <m/>
    <m/>
    <m/>
    <n v="478178.36289999995"/>
    <n v="-255476.26980000001"/>
    <m/>
    <m/>
    <m/>
    <m/>
    <n v="-285831.60249999998"/>
    <n v="30355.362699999994"/>
    <n v="31"/>
    <n v="35955.993025945034"/>
    <n v="852.29510047131225"/>
    <n v="2670.3121429888342"/>
    <n v="0"/>
    <n v="0"/>
    <n v="0"/>
    <n v="0"/>
    <n v="0"/>
    <n v="74.760579729060623"/>
    <n v="0"/>
    <n v="0"/>
    <n v="30359.263892868912"/>
    <n v="0"/>
    <n v="0"/>
    <n v="84.577475418786889"/>
    <n v="5039.6929996785111"/>
    <n v="0"/>
    <n v="-2693.9387185441665"/>
    <m/>
    <n v="0"/>
    <n v="0"/>
    <n v="0"/>
    <n v="0"/>
    <n v="-353.34772065048674"/>
    <n v="-77.622726015704302"/>
    <n v="0"/>
    <n v="0"/>
    <m/>
    <m/>
    <m/>
    <n v="396660.46323571308"/>
    <n v="0"/>
    <n v="0"/>
    <n v="-285831.60250000004"/>
    <n v="30355.362699999998"/>
    <n v="0"/>
    <n v="0"/>
    <n v="-291430.33652426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3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32100000000000001"/>
    <n v="-0.32100000000000001"/>
    <n v="-0.32100000000000001"/>
    <n v="-0.32100000000000001"/>
    <m/>
    <n v="571.87"/>
    <n v="216.76"/>
    <m/>
    <n v="-253.15022999999999"/>
    <n v="-253.15022999999999"/>
    <n v="-164.99721"/>
    <n v="0"/>
    <n v="-19.456008071136615"/>
    <n v="0"/>
    <n v="0"/>
    <n v="0"/>
    <n v="-0.26383429754211035"/>
    <n v="-136.86915768057693"/>
    <n v="-68.566081764387164"/>
    <n v="-1.0135269204012076"/>
    <n v="0"/>
    <n v="0"/>
    <n v="0"/>
    <n v="0"/>
    <n v="-3.0089364044008962"/>
    <m/>
    <n v="-0.61582872752579676"/>
    <n v="-2.8510249774620116"/>
    <n v="-8.9325007419042795"/>
    <n v="0"/>
    <n v="0"/>
    <n v="0"/>
    <n v="0"/>
    <n v="0"/>
    <n v="0"/>
    <n v="0"/>
    <n v="0"/>
    <n v="0"/>
    <n v="0"/>
    <m/>
    <n v="0"/>
    <n v="0"/>
    <n v="-0.19101734862392619"/>
    <n v="0"/>
    <n v="0"/>
    <n v="-11.382094226748521"/>
    <n v="0"/>
    <n v="-0.55000000000000004"/>
    <n v="-2.56"/>
    <n v="-79.08"/>
    <n v="0"/>
    <m/>
    <m/>
    <m/>
    <m/>
    <m/>
    <m/>
    <m/>
    <m/>
    <m/>
    <n v="-80.139193339759615"/>
    <m/>
    <m/>
    <m/>
    <m/>
    <m/>
    <m/>
    <m/>
    <m/>
    <m/>
    <m/>
    <m/>
    <m/>
    <n v="-164.48320000000001"/>
    <n v="88.63703000000001"/>
    <m/>
    <m/>
    <m/>
    <m/>
    <n v="98.627250000000004"/>
    <n v="-10.474229999999999"/>
    <n v="31"/>
    <n v="-12.406748176728073"/>
    <n v="-0.29408757188757395"/>
    <n v="-0.92140106622603213"/>
    <n v="0"/>
    <n v="0"/>
    <n v="0"/>
    <n v="0"/>
    <n v="0"/>
    <n v="-2.5796414121433631E-2"/>
    <n v="0"/>
    <n v="0"/>
    <n v="-10.475576121006256"/>
    <n v="0"/>
    <n v="0"/>
    <n v="-2.9183770232326045E-2"/>
    <n v="-1.7389646807950232"/>
    <n v="0"/>
    <n v="0.92955350337279441"/>
    <m/>
    <n v="0"/>
    <n v="0"/>
    <n v="0"/>
    <n v="0"/>
    <n v="0.12192393590042494"/>
    <n v="2.6784008267358717E-2"/>
    <n v="0"/>
    <n v="0"/>
    <m/>
    <m/>
    <m/>
    <n v="-136.86915768057693"/>
    <n v="0"/>
    <n v="0"/>
    <n v="98.627249999999989"/>
    <n v="-10.474229999999991"/>
    <n v="0"/>
    <n v="0"/>
    <n v="100.55911385082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4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23.16"/>
    <n v="23.16"/>
    <n v="23.16"/>
    <n v="23.16"/>
    <m/>
    <n v="571.87"/>
    <n v="216.76"/>
    <m/>
    <n v="18264.6708"/>
    <n v="18264.6708"/>
    <n v="11904.471600000001"/>
    <n v="0"/>
    <n v="1403.7418907399501"/>
    <n v="0"/>
    <n v="0"/>
    <n v="0"/>
    <n v="19.035521280608336"/>
    <n v="9875.0457691033062"/>
    <n v="4947.0107590754096"/>
    <n v="73.12549369623666"/>
    <n v="0"/>
    <n v="0"/>
    <n v="0"/>
    <n v="0"/>
    <n v="217.09335553247587"/>
    <m/>
    <n v="44.431754920552812"/>
    <n v="205.70011986922177"/>
    <n v="644.47575446262647"/>
    <n v="0"/>
    <n v="0"/>
    <n v="0"/>
    <n v="0"/>
    <n v="0"/>
    <n v="0"/>
    <n v="0"/>
    <n v="0"/>
    <n v="0"/>
    <n v="0"/>
    <m/>
    <n v="0"/>
    <n v="0"/>
    <n v="13.781812442772992"/>
    <n v="0"/>
    <n v="0"/>
    <n v="821.21277972428584"/>
    <n v="0"/>
    <n v="18.940000000000001"/>
    <n v="90.27"/>
    <n v="10076.129999999999"/>
    <n v="190"/>
    <m/>
    <m/>
    <m/>
    <m/>
    <m/>
    <m/>
    <m/>
    <m/>
    <m/>
    <n v="5782.0053512424684"/>
    <m/>
    <m/>
    <m/>
    <m/>
    <m/>
    <m/>
    <m/>
    <m/>
    <m/>
    <m/>
    <m/>
    <m/>
    <n v="11904.471600000001"/>
    <n v="-6360.2291999999979"/>
    <m/>
    <m/>
    <m/>
    <m/>
    <n v="-7115.91"/>
    <n v="755.71079999999995"/>
    <n v="31"/>
    <n v="895.14108340505481"/>
    <n v="21.21828088758943"/>
    <n v="66.478656366962355"/>
    <n v="0"/>
    <n v="0"/>
    <n v="0"/>
    <n v="0"/>
    <n v="0"/>
    <n v="1.8611992244623146"/>
    <n v="0"/>
    <n v="0"/>
    <n v="755.80792200157339"/>
    <n v="0"/>
    <n v="0"/>
    <n v="2.1055953849865148"/>
    <n v="125.46548911904279"/>
    <n v="0"/>
    <n v="-67.066850897551149"/>
    <m/>
    <n v="0"/>
    <n v="0"/>
    <n v="0"/>
    <n v="0"/>
    <n v="-8.7967550014138283"/>
    <n v="-1.9324536805982149"/>
    <n v="0"/>
    <n v="0"/>
    <m/>
    <m/>
    <m/>
    <n v="9875.0457691033062"/>
    <n v="0"/>
    <n v="0"/>
    <n v="-7115.91"/>
    <n v="755.71079999999984"/>
    <n v="0"/>
    <n v="0"/>
    <n v="-7255.2930740971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5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-0.05"/>
    <n v="-0.05"/>
    <n v="-0.05"/>
    <n v="-0.05"/>
    <m/>
    <n v="571.87"/>
    <n v="216.76"/>
    <m/>
    <n v="-39.4315"/>
    <n v="-39.4315"/>
    <n v="-25.700500000000002"/>
    <n v="0"/>
    <n v="-3.0305308522019652"/>
    <n v="0"/>
    <n v="0"/>
    <n v="0"/>
    <n v="-4.1095684975406603E-2"/>
    <n v="-21.319183439342201"/>
    <n v="-10.680075041181802"/>
    <n v="-0.15787023682261803"/>
    <n v="0"/>
    <n v="0"/>
    <n v="0"/>
    <n v="0"/>
    <n v="-0.4686816829284885"/>
    <m/>
    <n v="-9.5923477807756508E-2"/>
    <n v="-0.44408488745514196"/>
    <n v="-1.39135525574833"/>
    <n v="0"/>
    <n v="0"/>
    <n v="0"/>
    <n v="0"/>
    <n v="0"/>
    <n v="0"/>
    <n v="0"/>
    <n v="0"/>
    <n v="0"/>
    <n v="0"/>
    <m/>
    <n v="0"/>
    <n v="0"/>
    <n v="-2.97534810940695E-2"/>
    <n v="0"/>
    <n v="0"/>
    <n v="-1.7729118733253149"/>
    <n v="0"/>
    <n v="-0.85"/>
    <n v="-3.9"/>
    <n v="-69.790000000000006"/>
    <n v="2"/>
    <m/>
    <m/>
    <m/>
    <m/>
    <m/>
    <m/>
    <m/>
    <m/>
    <m/>
    <n v="-12.482740395601185"/>
    <m/>
    <m/>
    <m/>
    <m/>
    <m/>
    <m/>
    <m/>
    <m/>
    <m/>
    <m/>
    <m/>
    <m/>
    <n v="-25.700500000000002"/>
    <n v="13.701000000000004"/>
    <m/>
    <m/>
    <m/>
    <m/>
    <n v="15.362500000000001"/>
    <n v="-1.6315"/>
    <n v="31"/>
    <n v="-1.9325152923252453"/>
    <n v="-4.5808033004295035E-2"/>
    <n v="-0.14352041530000514"/>
    <n v="0"/>
    <n v="0"/>
    <n v="0"/>
    <n v="0"/>
    <n v="0"/>
    <n v="-4.0181330407217455E-3"/>
    <n v="0"/>
    <n v="0"/>
    <n v="-1.6317096761691996"/>
    <n v="0"/>
    <n v="0"/>
    <n v="-4.5457586031660488E-3"/>
    <n v="-0.2708667727095051"/>
    <n v="0"/>
    <n v="0.14479026532286499"/>
    <m/>
    <n v="0"/>
    <n v="0"/>
    <n v="0"/>
    <n v="0"/>
    <n v="1.8991267274209467E-2"/>
    <n v="4.1719639045730006E-3"/>
    <n v="0"/>
    <n v="0"/>
    <m/>
    <m/>
    <m/>
    <n v="-21.319183439342201"/>
    <n v="0"/>
    <n v="0"/>
    <n v="15.362500000000001"/>
    <n v="-1.6314999999999991"/>
    <n v="0"/>
    <n v="0"/>
    <n v="15.663413372403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6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5.46"/>
    <n v="5.46"/>
    <n v="5.46"/>
    <n v="5.46"/>
    <m/>
    <n v="501.89"/>
    <n v="216.76"/>
    <m/>
    <n v="3923.8289999999997"/>
    <n v="3923.8289999999997"/>
    <n v="2442.2579999999998"/>
    <n v="0"/>
    <n v="0"/>
    <n v="0"/>
    <n v="0"/>
    <n v="0"/>
    <n v="4.4876487993144005"/>
    <n v="2328.054831576168"/>
    <n v="1166.2641944970526"/>
    <n v="17.239429861029887"/>
    <n v="0"/>
    <n v="0"/>
    <n v="0"/>
    <n v="0"/>
    <n v="0"/>
    <m/>
    <n v="10.47484377660701"/>
    <n v="48.494069710101499"/>
    <n v="151.93599392771762"/>
    <n v="0"/>
    <n v="0"/>
    <n v="0"/>
    <n v="0"/>
    <n v="0"/>
    <n v="0"/>
    <n v="0"/>
    <n v="0"/>
    <n v="0"/>
    <n v="0"/>
    <m/>
    <n v="0"/>
    <n v="0"/>
    <n v="3.2490801354723895"/>
    <n v="0"/>
    <n v="0"/>
    <n v="193.60197656712438"/>
    <n v="0"/>
    <n v="1.2"/>
    <n v="4.26"/>
    <n v="272.72000000000003"/>
    <n v="7"/>
    <m/>
    <m/>
    <m/>
    <m/>
    <m/>
    <m/>
    <m/>
    <n v="1587.4403999999997"/>
    <m/>
    <n v="1363.1152511996495"/>
    <m/>
    <m/>
    <m/>
    <m/>
    <m/>
    <m/>
    <m/>
    <m/>
    <m/>
    <m/>
    <m/>
    <m/>
    <n v="854.81759999999997"/>
    <n v="-518.56620000000009"/>
    <m/>
    <m/>
    <m/>
    <m/>
    <n v="-1659.7308"/>
    <n v="178.15979999999996"/>
    <n v="31"/>
    <n v="228.91561328151693"/>
    <n v="5.0022372040690186"/>
    <n v="15.672429350760552"/>
    <n v="0"/>
    <n v="0"/>
    <n v="0"/>
    <n v="0"/>
    <n v="0"/>
    <n v="0.43878012804681532"/>
    <n v="0"/>
    <n v="0"/>
    <n v="178.1826966376766"/>
    <n v="0"/>
    <n v="0"/>
    <n v="0.49639683946573276"/>
    <n v="29.578651579877942"/>
    <n v="0"/>
    <n v="0"/>
    <m/>
    <n v="0"/>
    <n v="0"/>
    <n v="0"/>
    <n v="0"/>
    <n v="0"/>
    <n v="-0.45557845837937094"/>
    <n v="0"/>
    <n v="0"/>
    <m/>
    <m/>
    <m/>
    <n v="2328.054831576168"/>
    <n v="0"/>
    <n v="0"/>
    <n v="-1659.7307999999998"/>
    <n v="178.15980000000013"/>
    <n v="0"/>
    <n v="0"/>
    <n v="-1710.4447402664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7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6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398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1.36"/>
    <n v="11.36"/>
    <n v="11.36"/>
    <n v="11.36"/>
    <m/>
    <n v="501.89"/>
    <n v="216.76"/>
    <m/>
    <n v="8163.8639999999996"/>
    <n v="8163.8639999999996"/>
    <n v="5081.3279999999995"/>
    <n v="0"/>
    <n v="0"/>
    <n v="0"/>
    <n v="0"/>
    <n v="0"/>
    <n v="9.336939626412379"/>
    <n v="4843.718477418548"/>
    <n v="2426.5130493565048"/>
    <n v="35.868117806098809"/>
    <n v="0"/>
    <n v="0"/>
    <n v="0"/>
    <n v="0"/>
    <n v="0"/>
    <m/>
    <n v="21.793814157922274"/>
    <n v="100.89608642980825"/>
    <n v="316.11591410602057"/>
    <n v="0"/>
    <n v="0"/>
    <n v="0"/>
    <n v="0"/>
    <n v="0"/>
    <n v="0"/>
    <n v="0"/>
    <n v="0"/>
    <n v="0"/>
    <n v="0"/>
    <m/>
    <n v="0"/>
    <n v="0"/>
    <n v="6.7599909045725903"/>
    <n v="0"/>
    <n v="0"/>
    <n v="402.8055776195115"/>
    <n v="0"/>
    <n v="3.55"/>
    <n v="19.09"/>
    <n v="1018.44"/>
    <n v="27"/>
    <m/>
    <m/>
    <m/>
    <m/>
    <m/>
    <m/>
    <m/>
    <n v="2032.4175999999998"/>
    <m/>
    <n v="2836.0786178805888"/>
    <m/>
    <m/>
    <m/>
    <m/>
    <m/>
    <m/>
    <m/>
    <m/>
    <m/>
    <m/>
    <m/>
    <m/>
    <n v="3048.9103999999998"/>
    <n v="-1849.4380000000001"/>
    <m/>
    <m/>
    <m/>
    <m/>
    <n v="-3453.2128000000002"/>
    <n v="370.67679999999996"/>
    <n v="31"/>
    <n v="476.27863862235108"/>
    <n v="10.407585098575822"/>
    <n v="32.607838356161153"/>
    <n v="0"/>
    <n v="0"/>
    <n v="0"/>
    <n v="0"/>
    <n v="0"/>
    <n v="0.91291982685198114"/>
    <n v="0"/>
    <n v="0"/>
    <n v="370.72443842564235"/>
    <n v="0"/>
    <n v="0"/>
    <n v="1.0327963546393262"/>
    <n v="61.540930759599576"/>
    <n v="0"/>
    <n v="0"/>
    <m/>
    <n v="0"/>
    <n v="0"/>
    <n v="0"/>
    <n v="0"/>
    <n v="0"/>
    <n v="-0.9478701991189844"/>
    <n v="0"/>
    <n v="0"/>
    <m/>
    <m/>
    <m/>
    <n v="4843.718477418548"/>
    <n v="0"/>
    <n v="0"/>
    <n v="-3453.2127999999993"/>
    <n v="370.67679999999973"/>
    <n v="0"/>
    <n v="0"/>
    <n v="-3558.7275182100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399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7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00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2.417"/>
    <n v="12.417"/>
    <n v="12.417"/>
    <n v="12.417"/>
    <m/>
    <n v="501.89"/>
    <n v="216.76"/>
    <m/>
    <n v="8923.4770499999995"/>
    <n v="8923.4770499999995"/>
    <n v="5554.1240999999991"/>
    <n v="0"/>
    <n v="0"/>
    <n v="0"/>
    <n v="0"/>
    <n v="0"/>
    <n v="10.205702406792474"/>
    <n v="5294.4060153262417"/>
    <n v="2652.2898357270883"/>
    <n v="39.205494612528952"/>
    <n v="0"/>
    <n v="0"/>
    <n v="0"/>
    <n v="0"/>
    <n v="0"/>
    <m/>
    <n v="23.821636478778249"/>
    <n v="110.28404095060995"/>
    <n v="345.52916421254025"/>
    <n v="0"/>
    <n v="0"/>
    <n v="0"/>
    <n v="0"/>
    <n v="0"/>
    <n v="0"/>
    <n v="0"/>
    <n v="0"/>
    <n v="0"/>
    <n v="0"/>
    <m/>
    <n v="0"/>
    <n v="0"/>
    <n v="7.3889794949012195"/>
    <n v="0"/>
    <n v="0"/>
    <n v="440.28493462160867"/>
    <n v="0"/>
    <n v="6.17"/>
    <n v="29.67"/>
    <n v="1678.47"/>
    <n v="87"/>
    <m/>
    <m/>
    <m/>
    <m/>
    <m/>
    <m/>
    <m/>
    <n v="555.41240999999991"/>
    <m/>
    <n v="3099.9637498435982"/>
    <m/>
    <m/>
    <m/>
    <m/>
    <m/>
    <m/>
    <m/>
    <m/>
    <m/>
    <m/>
    <m/>
    <m/>
    <n v="4999.9193999999998"/>
    <n v="-3031.1778600000007"/>
    <m/>
    <m/>
    <m/>
    <m/>
    <n v="-3774.5196600000004"/>
    <n v="405.16670999999991"/>
    <n v="31"/>
    <n v="520.59435350120839"/>
    <n v="11.375966916286629"/>
    <n v="35.641859935603236"/>
    <n v="0"/>
    <n v="0"/>
    <n v="0"/>
    <n v="0"/>
    <n v="0"/>
    <n v="0.99786315933283909"/>
    <n v="0"/>
    <n v="0"/>
    <n v="405.21878097985882"/>
    <n v="0"/>
    <n v="0"/>
    <n v="1.1288936915102568"/>
    <n v="67.267054334678505"/>
    <n v="0"/>
    <n v="0"/>
    <m/>
    <n v="0"/>
    <n v="0"/>
    <n v="0"/>
    <n v="0"/>
    <n v="0"/>
    <n v="-1.0360655160616581"/>
    <n v="0"/>
    <n v="0"/>
    <m/>
    <m/>
    <m/>
    <n v="5294.4060153262417"/>
    <n v="0"/>
    <n v="0"/>
    <n v="-3774.5196599999995"/>
    <n v="405.16670999999997"/>
    <n v="0"/>
    <n v="0"/>
    <n v="-3889.8520769026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01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1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02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6.0110000000000001"/>
    <n v="6.0110000000000001"/>
    <n v="6.0110000000000001"/>
    <n v="6.0110000000000001"/>
    <m/>
    <n v="501.89"/>
    <n v="216.76"/>
    <m/>
    <n v="4319.8051500000001"/>
    <n v="4319.8051500000001"/>
    <n v="2688.7203"/>
    <n v="0"/>
    <n v="0"/>
    <n v="0"/>
    <n v="0"/>
    <n v="0"/>
    <n v="4.9405232477433811"/>
    <n v="2562.9922330777194"/>
    <n v="1283.9586214508761"/>
    <n v="18.979159870815138"/>
    <n v="0"/>
    <n v="0"/>
    <n v="0"/>
    <n v="0"/>
    <n v="0"/>
    <m/>
    <n v="11.531920502048486"/>
    <n v="53.387885169857171"/>
    <n v="167.26872884606422"/>
    <n v="0"/>
    <n v="0"/>
    <n v="0"/>
    <n v="0"/>
    <n v="0"/>
    <n v="0"/>
    <n v="0"/>
    <n v="0"/>
    <n v="0"/>
    <n v="0"/>
    <m/>
    <n v="0"/>
    <n v="0"/>
    <n v="3.5769634971290354"/>
    <n v="0"/>
    <n v="0"/>
    <n v="213.13946541116937"/>
    <n v="0"/>
    <n v="3.31"/>
    <n v="15.93"/>
    <n v="902.61"/>
    <n v="61"/>
    <m/>
    <m/>
    <m/>
    <m/>
    <m/>
    <m/>
    <m/>
    <m/>
    <m/>
    <n v="1500.6750503591745"/>
    <m/>
    <m/>
    <m/>
    <m/>
    <m/>
    <m/>
    <m/>
    <m/>
    <m/>
    <m/>
    <m/>
    <m/>
    <n v="2688.2729999999997"/>
    <n v="-1631.5621500000011"/>
    <m/>
    <m/>
    <m/>
    <m/>
    <n v="-1827.22378"/>
    <n v="196.13892999999999"/>
    <n v="31"/>
    <n v="252.01680429216117"/>
    <n v="5.5070417277763468"/>
    <n v="17.254024327366608"/>
    <n v="0"/>
    <n v="0"/>
    <n v="0"/>
    <n v="0"/>
    <n v="0"/>
    <n v="0.48305995415556868"/>
    <n v="0"/>
    <n v="0"/>
    <n v="196.16413726906126"/>
    <n v="0"/>
    <n v="0"/>
    <n v="0.54649109927262218"/>
    <n v="32.563603415136697"/>
    <n v="0"/>
    <n v="0"/>
    <m/>
    <n v="0"/>
    <n v="0"/>
    <n v="0"/>
    <n v="0"/>
    <n v="0"/>
    <n v="-0.50155350060776449"/>
    <n v="0"/>
    <n v="0"/>
    <m/>
    <m/>
    <m/>
    <n v="2562.9922330777194"/>
    <n v="0"/>
    <n v="0"/>
    <n v="-1827.2237800000003"/>
    <n v="196.13893000000007"/>
    <n v="0"/>
    <n v="0"/>
    <n v="-1883.0555556303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03"/>
    <s v="Sistema de Compensação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8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04"/>
    <s v="Regular"/>
    <s v="Convencional"/>
    <s v="B3"/>
    <s v="Industrial"/>
    <s v="Não se aplica"/>
    <s v="Não se aplica"/>
    <s v="Não se aplica"/>
    <s v="Não se aplica"/>
    <s v="CATIVO"/>
    <x v="8"/>
    <n v="0"/>
    <n v="0"/>
    <n v="34.796999999999997"/>
    <n v="34.796999999999997"/>
    <n v="34.796999999999997"/>
    <n v="34.796999999999997"/>
    <m/>
    <n v="571.87"/>
    <n v="216.76"/>
    <m/>
    <n v="27441.958109999996"/>
    <n v="27441.958109999996"/>
    <n v="17886.005969999998"/>
    <n v="0"/>
    <n v="2109.0676412814355"/>
    <n v="0"/>
    <n v="0"/>
    <n v="0"/>
    <n v="28.600131001784465"/>
    <n v="14836.87252277581"/>
    <n v="7432.6914241600616"/>
    <n v="109.86821261433276"/>
    <n v="0"/>
    <n v="0"/>
    <n v="0"/>
    <n v="0"/>
    <n v="326.17433041725224"/>
    <m/>
    <n v="66.756985145530052"/>
    <n v="309.05643657553145"/>
    <n v="968.2997766854927"/>
    <n v="0"/>
    <n v="0"/>
    <n v="0"/>
    <n v="0"/>
    <n v="0"/>
    <n v="0"/>
    <n v="0"/>
    <n v="0"/>
    <n v="0"/>
    <n v="0"/>
    <m/>
    <n v="0"/>
    <n v="0"/>
    <n v="20.706637632606725"/>
    <n v="0"/>
    <n v="0"/>
    <n v="1233.8402891220196"/>
    <n v="0"/>
    <n v="42.39"/>
    <n v="195.06"/>
    <n v="4759.1099999999997"/>
    <n v="28"/>
    <m/>
    <m/>
    <m/>
    <m/>
    <m/>
    <m/>
    <m/>
    <m/>
    <m/>
    <n v="8687.2383509146875"/>
    <m/>
    <m/>
    <m/>
    <m/>
    <m/>
    <m/>
    <m/>
    <m/>
    <m/>
    <m/>
    <m/>
    <m/>
    <n v="17887.547999999999"/>
    <n v="-9554.4401099999923"/>
    <m/>
    <m/>
    <m/>
    <m/>
    <n v="-10691.37825"/>
    <n v="1135.4261099999997"/>
    <n v="31"/>
    <n v="1344.9146925408313"/>
    <n v="31.879642489009086"/>
    <n v="99.8815978238855"/>
    <n v="0"/>
    <n v="0"/>
    <n v="0"/>
    <n v="0"/>
    <n v="0"/>
    <n v="2.7963795083598946"/>
    <n v="0"/>
    <n v="0"/>
    <n v="1135.572032033192"/>
    <n v="0"/>
    <n v="0"/>
    <n v="3.1635752422873828"/>
    <n v="188.50702179945279"/>
    <n v="0"/>
    <n v="-100.76533724879505"/>
    <m/>
    <n v="0"/>
    <n v="0"/>
    <n v="0"/>
    <n v="0"/>
    <n v="-13.216782546813306"/>
    <n v="-2.9034365597485348"/>
    <n v="0"/>
    <n v="0"/>
    <m/>
    <m/>
    <m/>
    <n v="14836.87252277581"/>
    <n v="0"/>
    <n v="0"/>
    <n v="-10691.378249999998"/>
    <n v="1135.4261099999994"/>
    <n v="0"/>
    <n v="0"/>
    <n v="-10900.79590239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05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2.8719999999999999"/>
    <n v="2.8719999999999999"/>
    <n v="2.8719999999999999"/>
    <n v="2.8719999999999999"/>
    <m/>
    <n v="571.87"/>
    <n v="216.76"/>
    <m/>
    <n v="2264.9453600000002"/>
    <n v="2264.9453600000002"/>
    <n v="1476.2367199999999"/>
    <n v="0"/>
    <n v="174.07369215048087"/>
    <n v="0"/>
    <n v="0"/>
    <n v="0"/>
    <n v="2.3605361449873548"/>
    <n v="1224.5738967558159"/>
    <n v="613.46351036548253"/>
    <n v="9.0680664030911782"/>
    <n v="0"/>
    <n v="0"/>
    <n v="0"/>
    <n v="0"/>
    <n v="26.921075867412377"/>
    <m/>
    <n v="5.5098445652775325"/>
    <n v="25.508235935423354"/>
    <n v="79.919445890184065"/>
    <n v="0"/>
    <n v="0"/>
    <n v="0"/>
    <n v="0"/>
    <n v="0"/>
    <n v="0"/>
    <n v="0"/>
    <n v="0"/>
    <n v="0"/>
    <n v="0"/>
    <m/>
    <n v="0"/>
    <n v="0"/>
    <n v="1.7090399540433521"/>
    <n v="0"/>
    <n v="0"/>
    <n v="101.83605800380609"/>
    <n v="0"/>
    <n v="2.86"/>
    <n v="13.13"/>
    <n v="1016.64"/>
    <n v="4"/>
    <m/>
    <m/>
    <m/>
    <m/>
    <m/>
    <m/>
    <m/>
    <m/>
    <m/>
    <n v="717.00860832333194"/>
    <m/>
    <m/>
    <m/>
    <m/>
    <m/>
    <m/>
    <m/>
    <m/>
    <m/>
    <m/>
    <m/>
    <m/>
    <n v="1475.2087000000001"/>
    <n v="-789.76666000000023"/>
    <m/>
    <m/>
    <m/>
    <m/>
    <n v="-882.42199999999991"/>
    <n v="93.71335999999998"/>
    <n v="31"/>
    <n v="111.00367839116234"/>
    <n v="2.6312134157667053"/>
    <n v="8.243812654832297"/>
    <n v="0"/>
    <n v="0"/>
    <n v="0"/>
    <n v="0"/>
    <n v="0"/>
    <n v="0.23080156185905754"/>
    <n v="0"/>
    <n v="0"/>
    <n v="93.725403799158926"/>
    <n v="0"/>
    <n v="0"/>
    <n v="0.26110837416585797"/>
    <n v="15.558587424433966"/>
    <n v="0"/>
    <n v="-8.3167528401453694"/>
    <m/>
    <n v="0"/>
    <n v="0"/>
    <n v="0"/>
    <n v="0"/>
    <n v="-1.0908583922305901"/>
    <n v="-0.23963760667867273"/>
    <n v="0"/>
    <n v="0"/>
    <m/>
    <m/>
    <m/>
    <n v="1224.5738967558159"/>
    <n v="0"/>
    <n v="0"/>
    <n v="-882.42200000000003"/>
    <n v="93.713359999999966"/>
    <n v="0"/>
    <n v="0"/>
    <n v="-899.70646411084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06"/>
    <s v="Regular"/>
    <s v="Verde"/>
    <s v="A4"/>
    <s v="Industrial"/>
    <s v="Não se aplica"/>
    <s v="Não se aplica"/>
    <s v="Não se aplica"/>
    <s v="Ponta"/>
    <s v="CATIVO"/>
    <x v="8"/>
    <n v="0"/>
    <n v="0"/>
    <n v="2.5659999999999998"/>
    <n v="2.5659999999999998"/>
    <n v="2.5659999999999998"/>
    <n v="2.5659999999999998"/>
    <m/>
    <n v="2592.54"/>
    <n v="216.76"/>
    <m/>
    <n v="7208.6637999999994"/>
    <n v="7208.6637999999994"/>
    <n v="3030.9591999999993"/>
    <n v="0"/>
    <n v="135.30835370145422"/>
    <n v="0"/>
    <n v="0"/>
    <n v="0"/>
    <n v="12.975325941333178"/>
    <n v="5878.4276003258865"/>
    <n v="548.10145111344991"/>
    <n v="8.1019005537367548"/>
    <n v="0"/>
    <n v="0"/>
    <n v="0"/>
    <n v="0"/>
    <n v="24.052743967890027"/>
    <m/>
    <n v="3.5236881562227205"/>
    <n v="115.76476037377645"/>
    <n v="439.30112122672313"/>
    <n v="0"/>
    <n v="0"/>
    <n v="0"/>
    <n v="0"/>
    <n v="0"/>
    <n v="0"/>
    <n v="0"/>
    <n v="0"/>
    <n v="0"/>
    <n v="0"/>
    <m/>
    <n v="0"/>
    <n v="0"/>
    <n v="1.173428460235417"/>
    <n v="0"/>
    <n v="0"/>
    <n v="41.918578418223127"/>
    <n v="0"/>
    <n v="0"/>
    <n v="0"/>
    <n v="0"/>
    <n v="0"/>
    <m/>
    <m/>
    <m/>
    <m/>
    <m/>
    <m/>
    <m/>
    <m/>
    <m/>
    <n v="591.19345799190842"/>
    <m/>
    <m/>
    <m/>
    <m/>
    <m/>
    <m/>
    <m/>
    <m/>
    <m/>
    <m/>
    <m/>
    <m/>
    <n v="3035.6839999999997"/>
    <n v="-4173.0097999999998"/>
    <m/>
    <m/>
    <m/>
    <m/>
    <n v="-4261.43318"/>
    <n v="83.72857999999998"/>
    <n v="31"/>
    <n v="141.25498391079145"/>
    <n v="11.941311478364312"/>
    <n v="45.314580226531973"/>
    <n v="0"/>
    <n v="0"/>
    <n v="0"/>
    <n v="0"/>
    <n v="0"/>
    <n v="1.2686632650168974"/>
    <n v="0"/>
    <n v="0"/>
    <n v="83.739340581003376"/>
    <n v="0"/>
    <n v="0"/>
    <n v="0.17927725839711162"/>
    <n v="6.4043510698690014"/>
    <n v="0"/>
    <n v="-6.4646536822412486"/>
    <m/>
    <n v="0"/>
    <n v="0"/>
    <n v="0"/>
    <n v="0"/>
    <n v="-0.97463183651242957"/>
    <n v="-0.15325444963739532"/>
    <n v="0"/>
    <n v="0"/>
    <m/>
    <m/>
    <m/>
    <n v="5878.4276003258865"/>
    <n v="0"/>
    <n v="0"/>
    <n v="-4261.43318"/>
    <n v="83.728579999999965"/>
    <n v="0"/>
    <n v="0"/>
    <n v="-4318.9384689909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07"/>
    <s v="Regular"/>
    <s v="Verde"/>
    <s v="A4"/>
    <s v="Industrial"/>
    <s v="Não se aplica"/>
    <s v="Não se aplica"/>
    <s v="Não se aplica"/>
    <s v="Fora ponta"/>
    <s v="CATIVO"/>
    <x v="8"/>
    <n v="0"/>
    <n v="0"/>
    <n v="127.657"/>
    <n v="127.657"/>
    <n v="127.657"/>
    <n v="127.657"/>
    <m/>
    <n v="80.27"/>
    <n v="216.76"/>
    <m/>
    <n v="37917.958709999999"/>
    <n v="37917.958709999999"/>
    <n v="42033.620389999996"/>
    <n v="0"/>
    <n v="6731.5114997921055"/>
    <n v="0"/>
    <n v="0"/>
    <n v="0"/>
    <n v="0"/>
    <n v="0"/>
    <n v="27267.726790642901"/>
    <n v="403.06481644129894"/>
    <n v="0"/>
    <n v="0"/>
    <n v="0"/>
    <n v="0"/>
    <n v="1196.609951952041"/>
    <m/>
    <n v="175.3014259387856"/>
    <n v="0"/>
    <n v="0"/>
    <n v="0"/>
    <n v="0"/>
    <n v="0"/>
    <n v="0"/>
    <n v="0"/>
    <n v="0"/>
    <n v="0"/>
    <n v="0"/>
    <n v="0"/>
    <n v="0"/>
    <m/>
    <n v="0"/>
    <n v="0"/>
    <n v="58.37737994866432"/>
    <n v="0"/>
    <n v="0"/>
    <n v="2085.4247720713602"/>
    <n v="0"/>
    <n v="0"/>
    <n v="0"/>
    <n v="0"/>
    <n v="0"/>
    <m/>
    <m/>
    <m/>
    <m/>
    <m/>
    <m/>
    <m/>
    <m/>
    <m/>
    <n v="29411.528942662924"/>
    <m/>
    <m/>
    <m/>
    <m/>
    <m/>
    <m/>
    <m/>
    <m/>
    <m/>
    <m/>
    <m/>
    <m/>
    <n v="42034.608199999995"/>
    <n v="4116.6194899999973"/>
    <m/>
    <m/>
    <m/>
    <m/>
    <n v="-49.786230000000074"/>
    <n v="4165.447909999999"/>
    <n v="31"/>
    <n v="4115.7904782952828"/>
    <n v="0"/>
    <n v="0"/>
    <n v="0"/>
    <n v="0"/>
    <n v="0"/>
    <n v="0"/>
    <n v="0"/>
    <n v="0"/>
    <n v="0"/>
    <n v="0"/>
    <n v="4165.9832426146313"/>
    <n v="0"/>
    <n v="0"/>
    <n v="8.9189388056118659"/>
    <n v="318.61272195100037"/>
    <n v="0"/>
    <n v="-321.61274166557814"/>
    <m/>
    <n v="0"/>
    <n v="0"/>
    <n v="0"/>
    <n v="0"/>
    <n v="-48.487364128475065"/>
    <n v="-7.6243192819021601"/>
    <n v="0"/>
    <n v="0"/>
    <m/>
    <m/>
    <m/>
    <n v="0"/>
    <n v="0"/>
    <n v="0"/>
    <n v="-49.786229999999705"/>
    <n v="4165.447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08"/>
    <s v="Regular"/>
    <s v="Verde"/>
    <s v="A4"/>
    <s v="Industrial"/>
    <s v="Não se aplica"/>
    <s v="Não se aplica"/>
    <s v="Não se aplica"/>
    <s v="Não se aplica"/>
    <s v="CATIVO"/>
    <x v="8"/>
    <n v="925"/>
    <n v="925"/>
    <n v="0"/>
    <n v="0"/>
    <n v="0"/>
    <n v="0"/>
    <n v="32.17"/>
    <m/>
    <m/>
    <n v="29757.25"/>
    <m/>
    <n v="29757.25"/>
    <n v="11960.25"/>
    <n v="0"/>
    <n v="0"/>
    <n v="0"/>
    <n v="0"/>
    <n v="0"/>
    <n v="92.422508246429743"/>
    <n v="24907.230271356024"/>
    <m/>
    <m/>
    <m/>
    <n v="0"/>
    <n v="0"/>
    <n v="0"/>
    <n v="0"/>
    <m/>
    <n v="0"/>
    <n v="1632.0895234327004"/>
    <n v="3129.1502780372539"/>
    <n v="0"/>
    <n v="0"/>
    <m/>
    <m/>
    <n v="0"/>
    <n v="0"/>
    <n v="0"/>
    <m/>
    <m/>
    <n v="0"/>
    <m/>
    <n v="0"/>
    <n v="0"/>
    <n v="0"/>
    <n v="0"/>
    <m/>
    <n v="0"/>
    <n v="0"/>
    <n v="98.87"/>
    <n v="448.78"/>
    <n v="14963.15"/>
    <n v="6"/>
    <m/>
    <m/>
    <m/>
    <m/>
    <m/>
    <m/>
    <m/>
    <m/>
    <m/>
    <n v="0"/>
    <m/>
    <m/>
    <m/>
    <m/>
    <m/>
    <m/>
    <m/>
    <m/>
    <m/>
    <m/>
    <m/>
    <m/>
    <n v="11960.25"/>
    <n v="-17797.029999999995"/>
    <m/>
    <m/>
    <m/>
    <m/>
    <n v="-17797.000000000004"/>
    <n v="0"/>
    <n v="31"/>
    <n v="500.16575872291105"/>
    <n v="168.35252193292195"/>
    <n v="322.77662055367091"/>
    <n v="0"/>
    <n v="0"/>
    <m/>
    <m/>
    <m/>
    <n v="9.03661623631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907.230271356024"/>
    <m/>
    <n v="0"/>
    <n v="0"/>
    <n v="-17797"/>
    <m/>
    <n v="0"/>
    <m/>
    <n v="-18299.58660527018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09"/>
    <s v="Regular"/>
    <s v="Convencional"/>
    <s v="B3"/>
    <s v="Comercial"/>
    <s v="Não se aplica"/>
    <s v="Não se aplica"/>
    <s v="Não se aplica"/>
    <s v="Não se aplica"/>
    <s v="CATIVO"/>
    <x v="8"/>
    <n v="0"/>
    <n v="0"/>
    <n v="301.95800000000003"/>
    <n v="301.95800000000003"/>
    <n v="301.95800000000003"/>
    <n v="301.95800000000003"/>
    <m/>
    <n v="571.87"/>
    <n v="216.76"/>
    <m/>
    <n v="238133.13754000003"/>
    <n v="238133.13754000003"/>
    <n v="155209.43158"/>
    <n v="0"/>
    <n v="18301.860701384023"/>
    <n v="0"/>
    <n v="0"/>
    <n v="0"/>
    <n v="248.18341687607654"/>
    <n v="128749.95985953785"/>
    <n v="64498.681985703486"/>
    <n v="953.40361940968182"/>
    <n v="0"/>
    <n v="0"/>
    <n v="0"/>
    <n v="0"/>
    <n v="2830.4436722744108"/>
    <m/>
    <n v="579.29723023749079"/>
    <n v="2681.8996889235955"/>
    <n v="8402.6170063050849"/>
    <n v="0"/>
    <n v="0"/>
    <n v="0"/>
    <n v="0"/>
    <n v="0"/>
    <n v="0"/>
    <n v="0"/>
    <n v="0"/>
    <n v="0"/>
    <n v="0"/>
    <m/>
    <n v="0"/>
    <n v="0"/>
    <n v="179.68603288406078"/>
    <n v="0"/>
    <n v="0"/>
    <n v="10706.898468911309"/>
    <n v="0"/>
    <n v="275.62"/>
    <n v="1271.6199999999999"/>
    <n v="66539.38"/>
    <n v="706"/>
    <m/>
    <m/>
    <m/>
    <m/>
    <m/>
    <m/>
    <m/>
    <m/>
    <m/>
    <n v="75385.266487498855"/>
    <m/>
    <m/>
    <m/>
    <m/>
    <m/>
    <m/>
    <m/>
    <m/>
    <m/>
    <m/>
    <m/>
    <m/>
    <n v="155210.4596"/>
    <n v="-82922.707940000051"/>
    <m/>
    <m/>
    <m/>
    <m/>
    <n v="-92776.59550000001"/>
    <n v="9852.8895400000001"/>
    <n v="31"/>
    <n v="11670.769052798918"/>
    <n v="276.64204059821805"/>
    <n v="866.74275126317843"/>
    <n v="0"/>
    <n v="0"/>
    <n v="0"/>
    <n v="0"/>
    <n v="0"/>
    <n v="24.266148334205184"/>
    <n v="0"/>
    <n v="0"/>
    <n v="9854.1558079339884"/>
    <n v="0"/>
    <n v="0"/>
    <n v="27.452563525896295"/>
    <n v="1635.8077790763346"/>
    <n v="0"/>
    <n v="-874.41157872723852"/>
    <m/>
    <n v="0"/>
    <n v="0"/>
    <n v="0"/>
    <n v="0"/>
    <n v="-114.69130167171488"/>
    <n v="-25.195157533941028"/>
    <n v="0"/>
    <n v="0"/>
    <m/>
    <m/>
    <m/>
    <n v="128749.95985953785"/>
    <n v="0"/>
    <n v="0"/>
    <n v="-92776.595500000025"/>
    <n v="9852.8895399999965"/>
    <n v="0"/>
    <n v="0"/>
    <n v="-94593.859502082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0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1.692"/>
    <n v="11.692"/>
    <n v="11.692"/>
    <n v="11.692"/>
    <m/>
    <n v="571.87"/>
    <n v="216.76"/>
    <m/>
    <n v="9220.6619599999995"/>
    <n v="9220.6619599999995"/>
    <n v="6009.8049200000005"/>
    <n v="0"/>
    <n v="708.65933447890757"/>
    <n v="0"/>
    <n v="0"/>
    <n v="0"/>
    <n v="9.6098149746490797"/>
    <n v="4985.2778554557799"/>
    <n v="2497.4287476299523"/>
    <n v="36.916376178600991"/>
    <n v="0"/>
    <n v="0"/>
    <n v="0"/>
    <n v="0"/>
    <n v="109.59652473599775"/>
    <m/>
    <n v="22.43074605056578"/>
    <n v="103.84481008251039"/>
    <n v="325.35451300418947"/>
    <n v="0"/>
    <n v="0"/>
    <n v="0"/>
    <n v="0"/>
    <n v="0"/>
    <n v="0"/>
    <n v="0"/>
    <n v="0"/>
    <n v="0"/>
    <n v="0"/>
    <m/>
    <n v="0"/>
    <n v="0"/>
    <n v="6.9575540190372118"/>
    <n v="0"/>
    <n v="0"/>
    <n v="414.57771245839166"/>
    <n v="0"/>
    <n v="9.93"/>
    <n v="45.58"/>
    <n v="3873.06"/>
    <n v="20"/>
    <m/>
    <m/>
    <m/>
    <m/>
    <m/>
    <m/>
    <m/>
    <m/>
    <m/>
    <n v="2918.964014107381"/>
    <m/>
    <m/>
    <m/>
    <m/>
    <m/>
    <m/>
    <m/>
    <m/>
    <m/>
    <m/>
    <m/>
    <m/>
    <n v="6008.7768999999998"/>
    <n v="-3211.9150600000003"/>
    <m/>
    <m/>
    <m/>
    <m/>
    <n v="-3592.3670000000002"/>
    <n v="381.50995999999998"/>
    <n v="31"/>
    <n v="451.899375957335"/>
    <n v="10.711750437724348"/>
    <n v="33.560813913753179"/>
    <n v="0"/>
    <n v="0"/>
    <n v="0"/>
    <n v="0"/>
    <n v="0"/>
    <n v="0.93960023024237316"/>
    <n v="0"/>
    <n v="0"/>
    <n v="381.55899067540577"/>
    <n v="0"/>
    <n v="0"/>
    <n v="1.0629801917643489"/>
    <n v="63.33948613039064"/>
    <n v="0"/>
    <n v="-33.857755643098812"/>
    <m/>
    <n v="0"/>
    <n v="0"/>
    <n v="0"/>
    <n v="0"/>
    <n v="-4.440917939401146"/>
    <n v="-0.97557203944534976"/>
    <n v="0"/>
    <n v="0"/>
    <m/>
    <m/>
    <m/>
    <n v="4985.2778554557799"/>
    <n v="0"/>
    <n v="0"/>
    <n v="-3592.3669999999997"/>
    <n v="381.50995999999986"/>
    <n v="0"/>
    <n v="0"/>
    <n v="-3662.7325830027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1"/>
    <s v="Regular"/>
    <s v="Verde"/>
    <s v="A4"/>
    <s v="Comercial"/>
    <s v="Não se aplica"/>
    <s v="Não se aplica"/>
    <s v="Não se aplica"/>
    <s v="Ponta"/>
    <s v="CATIVO"/>
    <x v="8"/>
    <n v="0"/>
    <n v="0"/>
    <n v="5.6970000000000001"/>
    <n v="5.6970000000000001"/>
    <n v="5.6970000000000001"/>
    <n v="5.6970000000000001"/>
    <m/>
    <n v="2592.54"/>
    <n v="216.76"/>
    <m/>
    <n v="16004.5821"/>
    <n v="16004.5821"/>
    <n v="6729.2963999999993"/>
    <n v="0"/>
    <n v="300.40985621090601"/>
    <n v="0"/>
    <n v="0"/>
    <n v="0"/>
    <n v="28.807650774659049"/>
    <n v="13051.208900645588"/>
    <n v="1216.8877501922543"/>
    <n v="17.987734783569095"/>
    <n v="0"/>
    <n v="0"/>
    <n v="0"/>
    <n v="0"/>
    <n v="53.401590952871977"/>
    <m/>
    <n v="7.8232468534687607"/>
    <n v="257.01942316812335"/>
    <n v="975.33066548271313"/>
    <n v="0"/>
    <n v="0"/>
    <n v="0"/>
    <n v="0"/>
    <n v="0"/>
    <n v="0"/>
    <n v="0"/>
    <n v="0"/>
    <n v="0"/>
    <n v="0"/>
    <m/>
    <n v="0"/>
    <n v="0"/>
    <n v="2.6052306850978844"/>
    <n v="0"/>
    <n v="0"/>
    <n v="93.067085443732338"/>
    <n v="0"/>
    <n v="0"/>
    <n v="0"/>
    <n v="0"/>
    <n v="0"/>
    <m/>
    <m/>
    <m/>
    <m/>
    <m/>
    <m/>
    <m/>
    <m/>
    <m/>
    <n v="1312.5600663210846"/>
    <m/>
    <m/>
    <m/>
    <m/>
    <m/>
    <m/>
    <m/>
    <m/>
    <m/>
    <m/>
    <m/>
    <m/>
    <n v="6732.84"/>
    <n v="-9271.7721000000001"/>
    <m/>
    <m/>
    <m/>
    <m/>
    <n v="-9461.1788099999994"/>
    <n v="185.89310999999998"/>
    <n v="31"/>
    <n v="313.61248766164408"/>
    <n v="26.511945242494733"/>
    <n v="100.60684471962304"/>
    <n v="0"/>
    <n v="0"/>
    <n v="0"/>
    <n v="0"/>
    <n v="0"/>
    <n v="2.8166697664852975"/>
    <n v="0"/>
    <n v="0"/>
    <n v="185.91700050271857"/>
    <n v="0"/>
    <n v="0"/>
    <n v="0.39802904952780382"/>
    <n v="14.21885738310354"/>
    <n v="0"/>
    <n v="-14.352740462871623"/>
    <m/>
    <n v="0"/>
    <n v="0"/>
    <n v="0"/>
    <n v="0"/>
    <n v="-2.1638649932234273"/>
    <n v="-0.34025354621365622"/>
    <n v="0"/>
    <n v="0"/>
    <m/>
    <m/>
    <m/>
    <n v="13051.208900645588"/>
    <n v="0"/>
    <n v="0"/>
    <n v="-9461.1788100000012"/>
    <n v="185.89310999999998"/>
    <n v="0"/>
    <n v="0"/>
    <n v="-9588.851308589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2"/>
    <s v="Regular"/>
    <s v="Verde"/>
    <s v="A4"/>
    <s v="Comercial"/>
    <s v="Não se aplica"/>
    <s v="Não se aplica"/>
    <s v="Não se aplica"/>
    <s v="Fora ponta"/>
    <s v="CATIVO"/>
    <x v="8"/>
    <n v="0"/>
    <n v="0"/>
    <n v="76.408000000000001"/>
    <n v="76.408000000000001"/>
    <n v="76.408000000000001"/>
    <n v="76.408000000000001"/>
    <m/>
    <n v="80.27"/>
    <n v="216.76"/>
    <m/>
    <n v="22695.468239999998"/>
    <n v="22695.468239999998"/>
    <n v="25158.862160000001"/>
    <n v="0"/>
    <n v="4029.0883435778314"/>
    <n v="0"/>
    <n v="0"/>
    <n v="0"/>
    <n v="0"/>
    <n v="0"/>
    <n v="16320.863474932379"/>
    <n v="241.25098110285194"/>
    <n v="0"/>
    <n v="0"/>
    <n v="0"/>
    <n v="0"/>
    <n v="716.22060058399893"/>
    <m/>
    <n v="104.92516159028278"/>
    <n v="0"/>
    <n v="0"/>
    <n v="0"/>
    <n v="0"/>
    <n v="0"/>
    <n v="0"/>
    <n v="0"/>
    <n v="0"/>
    <n v="0"/>
    <n v="0"/>
    <n v="0"/>
    <n v="0"/>
    <m/>
    <n v="0"/>
    <n v="0"/>
    <n v="34.94127895154628"/>
    <n v="0"/>
    <n v="0"/>
    <n v="1248.2130708416184"/>
    <n v="0"/>
    <n v="0"/>
    <n v="0"/>
    <n v="0"/>
    <n v="0"/>
    <m/>
    <m/>
    <m/>
    <m/>
    <m/>
    <m/>
    <m/>
    <m/>
    <m/>
    <n v="17604.017824725543"/>
    <m/>
    <m/>
    <m/>
    <m/>
    <m/>
    <m/>
    <m/>
    <m/>
    <m/>
    <m/>
    <m/>
    <m/>
    <n v="25159.520699999997"/>
    <n v="2464.0224600000001"/>
    <m/>
    <m/>
    <m/>
    <m/>
    <n v="-29.799120000000045"/>
    <n v="2493.1930399999997"/>
    <n v="31"/>
    <n v="2463.4710111124841"/>
    <n v="0"/>
    <n v="0"/>
    <n v="0"/>
    <n v="0"/>
    <n v="0"/>
    <n v="0"/>
    <n v="0"/>
    <n v="0"/>
    <n v="0"/>
    <n v="0"/>
    <n v="2493.5134587347238"/>
    <n v="0"/>
    <n v="0"/>
    <n v="5.3383541541724426"/>
    <n v="190.7029059027866"/>
    <n v="0"/>
    <n v="-192.49854191453278"/>
    <m/>
    <n v="0"/>
    <n v="0"/>
    <n v="0"/>
    <n v="0"/>
    <n v="-29.021694997755958"/>
    <n v="-4.5634707669111805"/>
    <n v="0"/>
    <n v="0"/>
    <m/>
    <m/>
    <m/>
    <n v="0"/>
    <n v="0"/>
    <n v="0"/>
    <n v="-29.799120000000585"/>
    <n v="2493.19304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3"/>
    <s v="Regular"/>
    <s v="Verde"/>
    <s v="A4"/>
    <s v="Comercial"/>
    <s v="Não se aplica"/>
    <s v="Não se aplica"/>
    <s v="Não se aplica"/>
    <s v="Não se aplica"/>
    <s v="CATIVO"/>
    <x v="8"/>
    <n v="883"/>
    <n v="883"/>
    <n v="0"/>
    <n v="0"/>
    <n v="0"/>
    <n v="0"/>
    <n v="32.17"/>
    <m/>
    <m/>
    <n v="28406.11"/>
    <m/>
    <n v="28406.11"/>
    <n v="11417.19"/>
    <n v="0"/>
    <n v="0"/>
    <n v="0"/>
    <n v="0"/>
    <n v="0"/>
    <n v="88.22602679091618"/>
    <n v="23776.307383359319"/>
    <m/>
    <m/>
    <m/>
    <n v="0"/>
    <n v="0"/>
    <n v="0"/>
    <n v="0"/>
    <m/>
    <n v="0"/>
    <n v="1557.9838369633237"/>
    <n v="2987.0699410885354"/>
    <n v="0"/>
    <n v="0"/>
    <m/>
    <m/>
    <n v="0"/>
    <n v="0"/>
    <n v="0"/>
    <m/>
    <m/>
    <n v="0"/>
    <m/>
    <n v="0"/>
    <n v="0"/>
    <n v="0"/>
    <n v="0"/>
    <m/>
    <n v="0"/>
    <n v="0"/>
    <n v="71.92"/>
    <n v="326.66000000000003"/>
    <n v="17069.3"/>
    <n v="8"/>
    <m/>
    <m/>
    <m/>
    <m/>
    <m/>
    <m/>
    <m/>
    <m/>
    <m/>
    <n v="0"/>
    <m/>
    <m/>
    <m/>
    <m/>
    <m/>
    <m/>
    <m/>
    <m/>
    <m/>
    <m/>
    <m/>
    <m/>
    <n v="11417.19"/>
    <n v="-16988.949999999997"/>
    <m/>
    <m/>
    <m/>
    <m/>
    <n v="-16988.920000000002"/>
    <n v="0"/>
    <n v="31"/>
    <n v="477.45552967819458"/>
    <n v="160.70840742353539"/>
    <n v="308.12081724204472"/>
    <n v="0"/>
    <n v="0"/>
    <m/>
    <m/>
    <m/>
    <n v="8.62630501261499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776.307383359319"/>
    <m/>
    <n v="0"/>
    <n v="0"/>
    <n v="-16988.919999999998"/>
    <m/>
    <n v="0"/>
    <m/>
    <n v="-17468.68645670657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14"/>
    <s v="Regular"/>
    <s v="Convencional"/>
    <s v="B2"/>
    <s v="Rural"/>
    <s v="Não se aplica"/>
    <s v="Não se aplica"/>
    <s v="Não se aplica"/>
    <s v="Não se aplica"/>
    <s v="CATIVO"/>
    <x v="8"/>
    <n v="0"/>
    <n v="0"/>
    <n v="4285.1490000000003"/>
    <n v="4285.1490000000003"/>
    <n v="4285.1490000000003"/>
    <n v="4285.1490000000003"/>
    <m/>
    <n v="571.87"/>
    <n v="216.76"/>
    <m/>
    <n v="3379397.0558700003"/>
    <n v="3379397.0558700003"/>
    <n v="2202609.4374900004"/>
    <n v="0"/>
    <n v="259725.52501564799"/>
    <n v="0"/>
    <n v="0"/>
    <n v="0"/>
    <n v="3522.0226675335725"/>
    <n v="1827117.5519182759"/>
    <n v="915314.25765290309"/>
    <n v="13529.949749004096"/>
    <n v="0"/>
    <n v="0"/>
    <n v="0"/>
    <n v="0"/>
    <n v="40167.416898386589"/>
    <m/>
    <n v="8220.9279000885999"/>
    <n v="38059.398227870282"/>
    <n v="119243.29165629402"/>
    <n v="0"/>
    <n v="0"/>
    <n v="0"/>
    <n v="0"/>
    <n v="0"/>
    <n v="0"/>
    <n v="0"/>
    <n v="0"/>
    <n v="0"/>
    <n v="0"/>
    <m/>
    <n v="0"/>
    <n v="0"/>
    <n v="2549.9619951354166"/>
    <n v="0"/>
    <n v="0"/>
    <n v="151943.830821362"/>
    <n v="0"/>
    <n v="3386.13"/>
    <n v="15614.71"/>
    <n v="135361.65"/>
    <n v="10430"/>
    <m/>
    <m/>
    <m/>
    <m/>
    <m/>
    <n v="264307.99031999992"/>
    <m/>
    <m/>
    <m/>
    <n v="1069808.0504694006"/>
    <m/>
    <m/>
    <m/>
    <m/>
    <m/>
    <m/>
    <m/>
    <m/>
    <m/>
    <m/>
    <m/>
    <m/>
    <n v="1938301.8994999998"/>
    <n v="-1035591.5364999999"/>
    <m/>
    <m/>
    <m/>
    <m/>
    <n v="-1316612.0302500001"/>
    <n v="139824.41186999998"/>
    <n v="31"/>
    <n v="165622.31944784499"/>
    <n v="3925.8849364064372"/>
    <n v="12300.127282048023"/>
    <n v="0"/>
    <n v="0"/>
    <n v="0"/>
    <n v="0"/>
    <n v="0"/>
    <n v="344.3659756263155"/>
    <n v="0"/>
    <n v="0"/>
    <n v="139842.38174253551"/>
    <n v="0"/>
    <n v="0"/>
    <n v="389.58505865196821"/>
    <n v="23214.089604187262"/>
    <n v="0"/>
    <n v="-12408.957213160204"/>
    <m/>
    <n v="0"/>
    <n v="0"/>
    <n v="0"/>
    <n v="0"/>
    <n v="-1627.6081993762273"/>
    <n v="-357.54973907434214"/>
    <n v="0"/>
    <n v="0"/>
    <m/>
    <m/>
    <m/>
    <n v="1827117.5519182759"/>
    <n v="0"/>
    <n v="0"/>
    <n v="-1316612.0302500003"/>
    <n v="139824.41186999995"/>
    <n v="0"/>
    <n v="0"/>
    <n v="-1342401.2029868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5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1.0720000000000001"/>
    <n v="-1.0720000000000001"/>
    <n v="-1.0720000000000001"/>
    <n v="-1.0720000000000001"/>
    <m/>
    <n v="571.87"/>
    <n v="216.76"/>
    <m/>
    <n v="-845.41136000000006"/>
    <n v="-845.41136000000006"/>
    <n v="-551.01872000000003"/>
    <n v="0"/>
    <n v="-64.974581471210129"/>
    <n v="0"/>
    <n v="0"/>
    <n v="0"/>
    <n v="-0.88109148587271757"/>
    <n v="-457.0832929394968"/>
    <n v="-228.98080888293779"/>
    <n v="-3.3847378774769301"/>
    <n v="0"/>
    <n v="0"/>
    <n v="0"/>
    <n v="0"/>
    <n v="-10.048535281986794"/>
    <m/>
    <n v="-2.0565993641982994"/>
    <n v="-9.521179987038245"/>
    <n v="-29.830656683244197"/>
    <n v="0"/>
    <n v="0"/>
    <n v="0"/>
    <n v="0"/>
    <n v="0"/>
    <n v="0"/>
    <n v="0"/>
    <n v="0"/>
    <n v="0"/>
    <n v="0"/>
    <m/>
    <n v="0"/>
    <n v="0"/>
    <n v="-0.63791463465685017"/>
    <n v="0"/>
    <n v="0"/>
    <n v="-38.011230564094753"/>
    <n v="0"/>
    <n v="-1.69"/>
    <n v="-7.74"/>
    <n v="-1.81"/>
    <n v="0"/>
    <m/>
    <m/>
    <m/>
    <m/>
    <m/>
    <n v="-66.120959999999982"/>
    <m/>
    <m/>
    <m/>
    <n v="-267.62995408168939"/>
    <m/>
    <m/>
    <m/>
    <m/>
    <m/>
    <m/>
    <m/>
    <m/>
    <m/>
    <m/>
    <m/>
    <m/>
    <n v="-483.99310000000003"/>
    <n v="259.94490000000008"/>
    <m/>
    <m/>
    <m/>
    <m/>
    <n v="329.37200000000001"/>
    <n v="-34.97936"/>
    <n v="31"/>
    <n v="-41.433127867453265"/>
    <n v="-0.98212422761208451"/>
    <n v="-3.07707770403211"/>
    <n v="0"/>
    <n v="0"/>
    <n v="0"/>
    <n v="0"/>
    <n v="0"/>
    <n v="-8.614877239307428E-2"/>
    <n v="0"/>
    <n v="0"/>
    <n v="-34.983855457067676"/>
    <n v="0"/>
    <n v="0"/>
    <n v="-9.7461064451880075E-2"/>
    <n v="-5.8073836068917899"/>
    <n v="0"/>
    <n v="3.1043032885222246"/>
    <m/>
    <n v="0"/>
    <n v="0"/>
    <n v="0"/>
    <n v="0"/>
    <n v="0.40717277035905219"/>
    <n v="8.9446906114045044E-2"/>
    <n v="0"/>
    <n v="0"/>
    <m/>
    <m/>
    <m/>
    <n v="-457.0832929394968"/>
    <n v="0"/>
    <n v="0"/>
    <n v="329.37200000000007"/>
    <n v="-34.979360000000014"/>
    <n v="0"/>
    <n v="0"/>
    <n v="335.8235827043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76.356999999999999"/>
    <n v="76.356999999999999"/>
    <n v="76.356999999999999"/>
    <n v="76.356999999999999"/>
    <m/>
    <n v="571.87"/>
    <n v="216.76"/>
    <m/>
    <n v="60217.420910000001"/>
    <n v="60217.420910000001"/>
    <n v="39248.261570000002"/>
    <n v="0"/>
    <n v="4628.0448856317089"/>
    <n v="0"/>
    <n v="0"/>
    <n v="0"/>
    <n v="62.758864353342432"/>
    <n v="32557.377797557048"/>
    <n v="16309.969798390373"/>
    <n v="241.08995346129285"/>
    <n v="0"/>
    <n v="0"/>
    <n v="0"/>
    <n v="0"/>
    <n v="715.74254526741186"/>
    <m/>
    <n v="146.48857989933725"/>
    <n v="678.17979502824551"/>
    <n v="2124.7942652635047"/>
    <n v="0"/>
    <n v="0"/>
    <n v="0"/>
    <n v="0"/>
    <n v="0"/>
    <n v="0"/>
    <n v="0"/>
    <n v="0"/>
    <n v="0"/>
    <n v="0"/>
    <m/>
    <n v="0"/>
    <n v="0"/>
    <n v="45.437731117997295"/>
    <n v="0"/>
    <n v="0"/>
    <n v="2707.4846382300211"/>
    <n v="0"/>
    <n v="78.7"/>
    <n v="368.08"/>
    <n v="1982.67"/>
    <n v="243"/>
    <m/>
    <m/>
    <m/>
    <m/>
    <m/>
    <n v="4709.6997599999977"/>
    <m/>
    <m/>
    <m/>
    <n v="19062.892167738391"/>
    <m/>
    <m/>
    <m/>
    <m/>
    <m/>
    <m/>
    <m/>
    <m/>
    <m/>
    <m/>
    <m/>
    <m/>
    <n v="34539.918799999999"/>
    <n v="-18451.869200000008"/>
    <m/>
    <m/>
    <m/>
    <m/>
    <n v="-23460.688249999999"/>
    <n v="2491.5289099999995"/>
    <n v="31"/>
    <n v="2951.2214035215802"/>
    <n v="69.955279522179012"/>
    <n v="219.17576702124961"/>
    <n v="0"/>
    <n v="0"/>
    <n v="0"/>
    <n v="0"/>
    <n v="0"/>
    <n v="6.1362516918078143"/>
    <n v="0"/>
    <n v="0"/>
    <n v="2491.8491148650337"/>
    <n v="0"/>
    <n v="0"/>
    <n v="6.9420097932390021"/>
    <n v="413.65148327559382"/>
    <n v="0"/>
    <n v="-221.11500578516006"/>
    <m/>
    <n v="0"/>
    <n v="0"/>
    <n v="0"/>
    <n v="0"/>
    <n v="-29.002323905136222"/>
    <n v="-6.3711729572295894"/>
    <n v="0"/>
    <n v="0"/>
    <m/>
    <m/>
    <m/>
    <n v="32557.377797557048"/>
    <n v="0"/>
    <n v="0"/>
    <n v="-23460.688249999999"/>
    <n v="2491.5289100000009"/>
    <n v="0"/>
    <n v="0"/>
    <n v="-23920.2250975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7"/>
    <s v="Regular"/>
    <s v="Verde"/>
    <s v="A4"/>
    <s v="Rural"/>
    <s v="Não se aplica"/>
    <s v="Não se aplica"/>
    <s v="Não se aplica"/>
    <s v="Ponta"/>
    <s v="CATIVO"/>
    <x v="8"/>
    <n v="0"/>
    <n v="0"/>
    <n v="0.112"/>
    <n v="0.10752"/>
    <n v="0.112"/>
    <n v="0.10752"/>
    <m/>
    <n v="2592.54"/>
    <n v="216.76"/>
    <m/>
    <n v="314.64160000000004"/>
    <n v="314.64160000000004"/>
    <n v="132.2944"/>
    <n v="0"/>
    <n v="5.9058985247711906"/>
    <n v="0"/>
    <n v="0"/>
    <n v="0"/>
    <n v="0.56634314319147161"/>
    <n v="256.57984849434894"/>
    <n v="23.923368092247234"/>
    <n v="0.35362933048266432"/>
    <n v="0"/>
    <n v="0"/>
    <n v="0"/>
    <n v="0"/>
    <n v="1.0498469697598143"/>
    <m/>
    <n v="0.15380088600816239"/>
    <n v="5.0528656125732514"/>
    <n v="19.174483857128994"/>
    <n v="0"/>
    <n v="0"/>
    <n v="0"/>
    <n v="0"/>
    <n v="0"/>
    <n v="0"/>
    <n v="0"/>
    <n v="0"/>
    <n v="0"/>
    <n v="0"/>
    <m/>
    <n v="0"/>
    <n v="0"/>
    <n v="5.1217454226955075E-2"/>
    <n v="0"/>
    <n v="0"/>
    <n v="1.82964956463016"/>
    <n v="0"/>
    <n v="0"/>
    <n v="0"/>
    <n v="0"/>
    <n v="0"/>
    <m/>
    <m/>
    <m/>
    <m/>
    <m/>
    <n v="5.2917759999999978"/>
    <m/>
    <m/>
    <m/>
    <n v="25.804235111104347"/>
    <m/>
    <m/>
    <m/>
    <m/>
    <m/>
    <m/>
    <m/>
    <m/>
    <m/>
    <m/>
    <m/>
    <m/>
    <n v="129.93199999999999"/>
    <n v="-172.15393600000002"/>
    <m/>
    <m/>
    <m/>
    <m/>
    <n v="-186.00176000000002"/>
    <n v="3.6545599999999996"/>
    <n v="31"/>
    <n v="6.1654552603307451"/>
    <n v="0.52121078939080423"/>
    <n v="1.9778772351409089"/>
    <n v="0"/>
    <n v="0"/>
    <n v="0"/>
    <n v="0"/>
    <n v="0"/>
    <n v="5.537423448242107E-2"/>
    <n v="0"/>
    <n v="0"/>
    <n v="3.6550296746190085"/>
    <n v="0"/>
    <n v="0"/>
    <n v="7.825040117099176E-3"/>
    <n v="0.2795351986848511"/>
    <n v="0"/>
    <n v="-0.28216726906119316"/>
    <m/>
    <n v="0"/>
    <n v="0"/>
    <n v="0"/>
    <n v="0"/>
    <n v="-4.2540438694229188E-2"/>
    <n v="-6.6892043489431841E-3"/>
    <n v="0"/>
    <n v="0"/>
    <m/>
    <m/>
    <m/>
    <n v="256.57984849434894"/>
    <n v="0"/>
    <n v="0"/>
    <n v="-186.00176000000002"/>
    <n v="3.65456"/>
    <n v="0"/>
    <n v="0"/>
    <n v="-188.51173364262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8"/>
    <s v="Refaturamento - Regular"/>
    <s v="Verde"/>
    <s v="A4"/>
    <s v="Rural"/>
    <s v="Não se aplica"/>
    <s v="Não se aplica"/>
    <s v="Não se aplica"/>
    <s v="Ponta"/>
    <s v="CATIVO"/>
    <x v="8"/>
    <n v="0"/>
    <n v="0"/>
    <n v="-1.9710000000000001"/>
    <n v="-1.8921600000000001"/>
    <n v="-1.9710000000000001"/>
    <n v="-1.8921600000000001"/>
    <m/>
    <n v="2592.54"/>
    <n v="216.76"/>
    <m/>
    <n v="-5537.1303000000007"/>
    <n v="-5537.1303000000007"/>
    <n v="-2328.1451999999999"/>
    <n v="0"/>
    <n v="-103.9332677886073"/>
    <n v="0"/>
    <n v="0"/>
    <n v="0"/>
    <n v="-9.9666279931284869"/>
    <n v="-4515.347155199659"/>
    <n v="-421.00855812338659"/>
    <n v="-6.2232447355476017"/>
    <n v="0"/>
    <n v="0"/>
    <n v="0"/>
    <n v="0"/>
    <n v="-18.475431941041016"/>
    <m/>
    <n v="-2.7066209493043578"/>
    <n v="-88.92141180698107"/>
    <n v="-337.43667573572543"/>
    <n v="0"/>
    <n v="0"/>
    <n v="0"/>
    <n v="0"/>
    <n v="0"/>
    <n v="0"/>
    <n v="0"/>
    <n v="0"/>
    <n v="0"/>
    <n v="0"/>
    <m/>
    <n v="0"/>
    <n v="0"/>
    <n v="-0.90133573465471839"/>
    <n v="0"/>
    <n v="0"/>
    <n v="-32.198565106125407"/>
    <n v="0"/>
    <n v="0"/>
    <n v="0"/>
    <n v="0"/>
    <n v="0"/>
    <m/>
    <m/>
    <m/>
    <m/>
    <m/>
    <n v="-93.125808000000021"/>
    <m/>
    <m/>
    <m/>
    <n v="-454.10845896416669"/>
    <m/>
    <m/>
    <m/>
    <m/>
    <m/>
    <m/>
    <m/>
    <m/>
    <m/>
    <m/>
    <m/>
    <m/>
    <n v="-2232.4679999999998"/>
    <n v="3083.1470879999997"/>
    <m/>
    <m/>
    <m/>
    <m/>
    <n v="3273.2988300000002"/>
    <n v="-64.313729999999993"/>
    <n v="31"/>
    <n v="-108.5010028402844"/>
    <n v="-9.172379159725665"/>
    <n v="-34.807107414845802"/>
    <n v="0"/>
    <n v="0"/>
    <n v="0"/>
    <n v="0"/>
    <n v="0"/>
    <n v="-0.97448764432903623"/>
    <n v="0"/>
    <n v="0"/>
    <n v="-64.321995434589837"/>
    <n v="0"/>
    <n v="0"/>
    <n v="-0.1377067327750221"/>
    <n v="-4.9193203268557255"/>
    <n v="0"/>
    <n v="4.9656400653536821"/>
    <m/>
    <n v="0"/>
    <n v="0"/>
    <n v="0"/>
    <n v="0"/>
    <n v="0.74863575594933707"/>
    <n v="0.11771805153363424"/>
    <n v="0"/>
    <n v="0"/>
    <m/>
    <m/>
    <m/>
    <n v="-4515.347155199659"/>
    <n v="0"/>
    <n v="0"/>
    <n v="3273.2988300000002"/>
    <n v="-64.313729999999964"/>
    <n v="0"/>
    <n v="0"/>
    <n v="3317.4698840144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19"/>
    <s v="Regular"/>
    <s v="Verde"/>
    <s v="A4"/>
    <s v="Rural"/>
    <s v="Não se aplica"/>
    <s v="Não se aplica"/>
    <s v="Não se aplica"/>
    <s v="Fora ponta"/>
    <s v="CATIVO"/>
    <x v="8"/>
    <n v="0"/>
    <n v="0"/>
    <n v="30.422999999999998"/>
    <n v="29.20608"/>
    <n v="30.422999999999998"/>
    <n v="29.20608"/>
    <m/>
    <n v="80.27"/>
    <n v="216.76"/>
    <m/>
    <n v="9036.5436899999986"/>
    <n v="9036.5436899999986"/>
    <n v="10017.38121"/>
    <n v="0"/>
    <n v="1604.2424180278028"/>
    <n v="0"/>
    <n v="0"/>
    <n v="0"/>
    <n v="0"/>
    <n v="0"/>
    <n v="6498.3984595574775"/>
    <n v="96.057724297090147"/>
    <n v="0"/>
    <n v="0"/>
    <n v="0"/>
    <n v="0"/>
    <n v="285.17405679466805"/>
    <m/>
    <n v="41.777538884163611"/>
    <n v="0"/>
    <n v="0"/>
    <n v="0"/>
    <n v="0"/>
    <n v="0"/>
    <n v="0"/>
    <n v="0"/>
    <n v="0"/>
    <n v="0"/>
    <n v="0"/>
    <n v="0"/>
    <n v="0"/>
    <m/>
    <n v="0"/>
    <n v="0"/>
    <n v="13.912398303095125"/>
    <n v="0"/>
    <n v="0"/>
    <n v="496.99489914949424"/>
    <n v="0"/>
    <n v="0"/>
    <n v="0"/>
    <n v="0"/>
    <n v="0"/>
    <m/>
    <m/>
    <m/>
    <m/>
    <m/>
    <n v="400.6952483999994"/>
    <m/>
    <m/>
    <m/>
    <n v="7009.3057570100664"/>
    <m/>
    <m/>
    <m/>
    <m/>
    <m/>
    <m/>
    <m/>
    <m/>
    <m/>
    <m/>
    <m/>
    <m/>
    <n v="9617.9766999999993"/>
    <n v="942.86475759999848"/>
    <m/>
    <m/>
    <m/>
    <m/>
    <n v="-11.864970000000017"/>
    <n v="992.70248999999978"/>
    <n v="31"/>
    <n v="980.86821499156031"/>
    <n v="0"/>
    <n v="0"/>
    <n v="0"/>
    <n v="0"/>
    <n v="0"/>
    <n v="0"/>
    <n v="0"/>
    <n v="0"/>
    <n v="0"/>
    <n v="0"/>
    <n v="992.83006956191184"/>
    <n v="0"/>
    <n v="0"/>
    <n v="2.1255463882366801"/>
    <n v="75.931244192760914"/>
    <n v="0"/>
    <n v="-76.646203809363215"/>
    <m/>
    <n v="0"/>
    <n v="0"/>
    <n v="0"/>
    <n v="0"/>
    <n v="-11.555426485665464"/>
    <n v="-1.8170148563205331"/>
    <n v="0"/>
    <n v="0"/>
    <m/>
    <m/>
    <m/>
    <n v="0"/>
    <n v="0"/>
    <n v="0"/>
    <n v="-11.864970000000085"/>
    <n v="992.70248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20"/>
    <s v="Refaturamento - Regular"/>
    <s v="Verde"/>
    <s v="A4"/>
    <s v="Rural"/>
    <s v="Não se aplica"/>
    <s v="Não se aplica"/>
    <s v="Não se aplica"/>
    <s v="Fora ponta"/>
    <s v="CATIVO"/>
    <x v="8"/>
    <n v="0"/>
    <n v="0"/>
    <n v="-16.928000000000001"/>
    <n v="-16.250879999999999"/>
    <n v="-16.928000000000001"/>
    <n v="-16.250879999999999"/>
    <m/>
    <n v="80.27"/>
    <n v="216.76"/>
    <m/>
    <n v="-5028.1238400000002"/>
    <n v="-5028.1238400000002"/>
    <n v="-5573.88256"/>
    <n v="0"/>
    <n v="-892.63437702970282"/>
    <n v="0"/>
    <n v="0"/>
    <n v="0"/>
    <n v="0"/>
    <n v="0"/>
    <n v="-3615.8462059425106"/>
    <n v="-53.448547378665552"/>
    <n v="0"/>
    <n v="0"/>
    <n v="0"/>
    <n v="0"/>
    <n v="-158.67687057226905"/>
    <m/>
    <n v="-23.245905342376545"/>
    <n v="0"/>
    <n v="0"/>
    <n v="0"/>
    <n v="0"/>
    <n v="0"/>
    <n v="0"/>
    <n v="0"/>
    <n v="0"/>
    <n v="0"/>
    <n v="0"/>
    <n v="0"/>
    <n v="0"/>
    <m/>
    <n v="0"/>
    <n v="0"/>
    <n v="-7.7411523674454958"/>
    <n v="0"/>
    <n v="0"/>
    <n v="-276.53846276838703"/>
    <n v="0"/>
    <n v="0"/>
    <n v="0"/>
    <n v="0"/>
    <n v="0"/>
    <m/>
    <m/>
    <m/>
    <m/>
    <m/>
    <n v="-222.9553024000007"/>
    <m/>
    <m/>
    <m/>
    <n v="-3900.1258210783431"/>
    <m/>
    <m/>
    <m/>
    <m/>
    <m/>
    <m/>
    <m/>
    <m/>
    <m/>
    <m/>
    <m/>
    <m/>
    <n v="-5350.6374999999998"/>
    <n v="-523.66861360000075"/>
    <m/>
    <m/>
    <m/>
    <m/>
    <n v="6.6019200000000096"/>
    <n v="-552.36063999999999"/>
    <n v="31"/>
    <n v="-545.77579934185087"/>
    <n v="0"/>
    <n v="0"/>
    <n v="0"/>
    <n v="0"/>
    <n v="0"/>
    <n v="0"/>
    <n v="0"/>
    <n v="0"/>
    <n v="0"/>
    <n v="0"/>
    <n v="-552.43162796384468"/>
    <n v="0"/>
    <n v="0"/>
    <n v="-1.1826989205558469"/>
    <n v="-42.249748601224667"/>
    <n v="0"/>
    <n v="42.647567238106035"/>
    <m/>
    <n v="0"/>
    <n v="0"/>
    <n v="0"/>
    <n v="0"/>
    <n v="6.429683448356343"/>
    <n v="1.0110254573116997"/>
    <n v="0"/>
    <n v="0"/>
    <m/>
    <m/>
    <m/>
    <n v="0"/>
    <n v="0"/>
    <n v="0"/>
    <n v="6.6019199999998364"/>
    <n v="-552.360640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21"/>
    <s v="Regular"/>
    <s v="Verde"/>
    <s v="A4"/>
    <s v="Rural"/>
    <s v="Não se aplica"/>
    <s v="Não se aplica"/>
    <s v="Não se aplica"/>
    <s v="Não se aplica"/>
    <s v="CATIVO"/>
    <x v="8"/>
    <n v="92"/>
    <n v="88.32"/>
    <n v="0"/>
    <n v="0"/>
    <n v="0"/>
    <n v="0"/>
    <n v="32.17"/>
    <m/>
    <m/>
    <n v="2959.6400000000003"/>
    <m/>
    <n v="2959.6400000000003"/>
    <n v="1189.56"/>
    <n v="0"/>
    <n v="0"/>
    <n v="0"/>
    <n v="0"/>
    <n v="0"/>
    <n v="9.1922927120773377"/>
    <n v="2477.259659421356"/>
    <m/>
    <m/>
    <m/>
    <n v="0"/>
    <n v="0"/>
    <n v="0"/>
    <n v="0"/>
    <m/>
    <n v="0"/>
    <n v="162.32674179006315"/>
    <n v="311.22359522100254"/>
    <n v="0"/>
    <n v="0"/>
    <m/>
    <m/>
    <n v="0"/>
    <n v="0"/>
    <n v="0"/>
    <m/>
    <m/>
    <n v="0"/>
    <m/>
    <n v="0"/>
    <n v="0"/>
    <n v="0"/>
    <n v="0"/>
    <m/>
    <n v="0"/>
    <n v="0"/>
    <n v="19.920000000000002"/>
    <n v="90.46"/>
    <n v="6.46"/>
    <n v="1"/>
    <m/>
    <m/>
    <m/>
    <m/>
    <m/>
    <n v="47.582400000000085"/>
    <m/>
    <m/>
    <m/>
    <n v="0"/>
    <m/>
    <m/>
    <m/>
    <m/>
    <m/>
    <m/>
    <m/>
    <m/>
    <m/>
    <m/>
    <m/>
    <m/>
    <n v="1141.9775999999999"/>
    <n v="-1699.3068000000005"/>
    <m/>
    <m/>
    <m/>
    <m/>
    <n v="-1770.0800000000002"/>
    <n v="0"/>
    <n v="31"/>
    <n v="49.746216002711094"/>
    <n v="16.744250830085235"/>
    <n v="32.103188206419134"/>
    <n v="0"/>
    <n v="0"/>
    <m/>
    <m/>
    <m/>
    <n v="0.8987769662067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77.259659421356"/>
    <m/>
    <n v="0"/>
    <n v="0"/>
    <n v="-1770.0800000000004"/>
    <m/>
    <n v="0"/>
    <m/>
    <n v="-1820.06699209173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22"/>
    <s v="Refaturamento - Regular"/>
    <s v="Verde"/>
    <s v="A4"/>
    <s v="Rural"/>
    <s v="Não se aplica"/>
    <s v="Não se aplica"/>
    <s v="Não se aplica"/>
    <s v="Não se aplica"/>
    <s v="CATIVO"/>
    <x v="8"/>
    <n v="-50"/>
    <n v="-48"/>
    <n v="0"/>
    <n v="0"/>
    <n v="0"/>
    <n v="0"/>
    <n v="32.17"/>
    <m/>
    <m/>
    <n v="-1608.5"/>
    <m/>
    <n v="-1608.5"/>
    <n v="-646.5"/>
    <n v="0"/>
    <n v="0"/>
    <n v="0"/>
    <n v="0"/>
    <n v="0"/>
    <n v="-4.99581125656377"/>
    <n v="-1346.3367714246499"/>
    <m/>
    <m/>
    <m/>
    <n v="0"/>
    <n v="0"/>
    <n v="0"/>
    <n v="0"/>
    <m/>
    <n v="0"/>
    <n v="-88.221055320686503"/>
    <n v="-169.14325827228402"/>
    <n v="0"/>
    <n v="0"/>
    <m/>
    <m/>
    <n v="0"/>
    <n v="0"/>
    <n v="0"/>
    <m/>
    <m/>
    <n v="0"/>
    <m/>
    <n v="0"/>
    <n v="0"/>
    <n v="0"/>
    <n v="0"/>
    <m/>
    <n v="0"/>
    <n v="0"/>
    <n v="-39.590000000000003"/>
    <n v="-182.03"/>
    <n v="0"/>
    <n v="0"/>
    <m/>
    <m/>
    <m/>
    <m/>
    <m/>
    <n v="-25.86"/>
    <m/>
    <m/>
    <m/>
    <n v="0"/>
    <m/>
    <m/>
    <m/>
    <m/>
    <m/>
    <m/>
    <m/>
    <m/>
    <m/>
    <m/>
    <m/>
    <m/>
    <n v="-620.64"/>
    <n v="923.49000000000012"/>
    <m/>
    <m/>
    <m/>
    <m/>
    <n v="962.00000000000011"/>
    <n v="0"/>
    <n v="31"/>
    <n v="-27.035986957995192"/>
    <n v="-9.1001363206984962"/>
    <n v="-17.447384894793004"/>
    <n v="0"/>
    <n v="0"/>
    <m/>
    <m/>
    <m/>
    <n v="-0.488465742503680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346.3367714246499"/>
    <m/>
    <n v="0"/>
    <n v="0"/>
    <n v="962"/>
    <m/>
    <n v="0"/>
    <m/>
    <n v="989.16684352811842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23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52.892000000000003"/>
    <n v="52.892000000000003"/>
    <n v="52.892000000000003"/>
    <n v="52.892000000000003"/>
    <m/>
    <n v="571.87"/>
    <n v="216.76"/>
    <m/>
    <n v="41712.217960000002"/>
    <n v="41712.217960000002"/>
    <n v="27187.016920000002"/>
    <n v="0"/>
    <n v="3205.8167566933271"/>
    <n v="0"/>
    <n v="0"/>
    <n v="0"/>
    <n v="43.472659394384117"/>
    <n v="22552.285009473755"/>
    <n v="11297.810581563755"/>
    <n v="167.00145132043824"/>
    <n v="0"/>
    <n v="0"/>
    <n v="0"/>
    <n v="0"/>
    <n v="495.79023146907224"/>
    <m/>
    <n v="101.47169176415714"/>
    <n v="469.77075734554739"/>
    <n v="1471.8312437408135"/>
    <n v="0"/>
    <n v="0"/>
    <n v="0"/>
    <n v="0"/>
    <n v="0"/>
    <n v="0"/>
    <n v="0"/>
    <n v="0"/>
    <n v="0"/>
    <n v="0"/>
    <m/>
    <n v="0"/>
    <n v="0"/>
    <n v="31.474422440550484"/>
    <n v="0"/>
    <n v="0"/>
    <n v="1875.4570960784513"/>
    <n v="0"/>
    <n v="44.87"/>
    <n v="206.34"/>
    <n v="10641.86"/>
    <n v="104"/>
    <m/>
    <m/>
    <m/>
    <m/>
    <m/>
    <m/>
    <m/>
    <m/>
    <m/>
    <n v="13204.742100082758"/>
    <m/>
    <m/>
    <m/>
    <m/>
    <m/>
    <m/>
    <m/>
    <m/>
    <m/>
    <m/>
    <m/>
    <m/>
    <n v="27185.9889"/>
    <n v="-14526.25906"/>
    <m/>
    <m/>
    <m/>
    <m/>
    <n v="-16251.067000000001"/>
    <n v="1725.8659599999999"/>
    <n v="31"/>
    <n v="2044.2919768333304"/>
    <n v="48.457569633263461"/>
    <n v="151.82163612095724"/>
    <n v="0"/>
    <n v="0"/>
    <n v="0"/>
    <n v="0"/>
    <n v="0"/>
    <n v="4.2505418557970955"/>
    <n v="0"/>
    <n v="0"/>
    <n v="1726.0877638388265"/>
    <n v="0"/>
    <n v="0"/>
    <n v="4.8086852807731759"/>
    <n v="286.53370684302263"/>
    <n v="0"/>
    <n v="-153.16493426913985"/>
    <m/>
    <n v="0"/>
    <n v="0"/>
    <n v="0"/>
    <n v="0"/>
    <n v="-20.089722173349685"/>
    <n v="-4.4132702968135078"/>
    <n v="0"/>
    <n v="0"/>
    <m/>
    <m/>
    <m/>
    <n v="22552.285009473755"/>
    <n v="0"/>
    <n v="0"/>
    <n v="-16251.066999999999"/>
    <n v="1725.8659599999992"/>
    <n v="0"/>
    <n v="0"/>
    <n v="-16569.385201863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24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08"/>
    <n v="0.39"/>
    <n v="126.36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1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25"/>
    <s v="Sistema de Compensação"/>
    <s v="Verde"/>
    <s v="A4"/>
    <s v="Poder público"/>
    <s v="Não se aplica"/>
    <s v="Não se aplica"/>
    <s v="Não se aplica"/>
    <s v="Ponta"/>
    <s v="CATIVO"/>
    <x v="8"/>
    <n v="0"/>
    <n v="0"/>
    <n v="4.1859999999999999"/>
    <n v="4.1859999999999999"/>
    <n v="4.1859999999999999"/>
    <n v="4.1859999999999999"/>
    <m/>
    <n v="2592.54"/>
    <n v="216.76"/>
    <m/>
    <n v="11759.729799999999"/>
    <n v="11759.729799999999"/>
    <n v="4944.5031999999992"/>
    <n v="0"/>
    <n v="220.73295736332324"/>
    <n v="0"/>
    <n v="0"/>
    <n v="0"/>
    <n v="21.167074976781251"/>
    <n v="9589.6718374762913"/>
    <n v="894.1358824477403"/>
    <n v="13.216896226789579"/>
    <n v="0"/>
    <n v="0"/>
    <n v="0"/>
    <n v="0"/>
    <n v="39.238030494773056"/>
    <m/>
    <n v="5.7483081145550692"/>
    <n v="188.85085226992527"/>
    <n v="716.64633416019615"/>
    <n v="0"/>
    <n v="0"/>
    <n v="0"/>
    <n v="0"/>
    <n v="0"/>
    <n v="0"/>
    <n v="0"/>
    <n v="0"/>
    <n v="0"/>
    <n v="0"/>
    <m/>
    <n v="0"/>
    <n v="0"/>
    <n v="1.9142523517324459"/>
    <n v="0"/>
    <n v="0"/>
    <n v="68.383152478052224"/>
    <n v="0"/>
    <n v="0"/>
    <n v="0"/>
    <n v="0"/>
    <n v="0"/>
    <m/>
    <m/>
    <m/>
    <m/>
    <m/>
    <m/>
    <m/>
    <m/>
    <m/>
    <n v="964.43328727752498"/>
    <m/>
    <m/>
    <m/>
    <m/>
    <m/>
    <m/>
    <m/>
    <m/>
    <m/>
    <m/>
    <m/>
    <m/>
    <n v="4949.2280000000001"/>
    <n v="-6810.5317999999997"/>
    <m/>
    <m/>
    <m/>
    <m/>
    <n v="-6951.8157799999999"/>
    <n v="136.58917999999997"/>
    <n v="31"/>
    <n v="230.43389035486143"/>
    <n v="19.480253253481322"/>
    <n v="73.923161663391511"/>
    <n v="0"/>
    <n v="0"/>
    <n v="0"/>
    <n v="0"/>
    <n v="0"/>
    <n v="2.069612013780489"/>
    <n v="0"/>
    <n v="0"/>
    <n v="136.60673408888545"/>
    <n v="0"/>
    <n v="0"/>
    <n v="0.29246087437658175"/>
    <n v="10.447628050846319"/>
    <n v="0"/>
    <n v="-10.546001681162096"/>
    <m/>
    <n v="0"/>
    <n v="0"/>
    <n v="0"/>
    <n v="0"/>
    <n v="-1.589948896196816"/>
    <n v="-0.25000901254175201"/>
    <n v="0"/>
    <n v="0"/>
    <m/>
    <m/>
    <m/>
    <n v="9589.6718374762913"/>
    <n v="0"/>
    <n v="0"/>
    <n v="-6951.815779999999"/>
    <n v="136.58917999999994"/>
    <n v="0"/>
    <n v="0"/>
    <n v="-7045.6260448931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26"/>
    <s v="Sistema de Compensação"/>
    <s v="Verde"/>
    <s v="A4"/>
    <s v="Poder público"/>
    <s v="Não se aplica"/>
    <s v="Não se aplica"/>
    <s v="Não se aplica"/>
    <s v="Fora ponta"/>
    <s v="CATIVO"/>
    <x v="8"/>
    <n v="0"/>
    <n v="0"/>
    <n v="11.318"/>
    <n v="11.318"/>
    <n v="11.318"/>
    <n v="11.318"/>
    <m/>
    <n v="80.27"/>
    <n v="216.76"/>
    <m/>
    <n v="3361.7855399999999"/>
    <n v="3361.7855399999999"/>
    <n v="3726.6778599999998"/>
    <n v="0"/>
    <n v="596.81213842286013"/>
    <n v="0"/>
    <n v="0"/>
    <n v="0"/>
    <n v="0"/>
    <n v="0"/>
    <n v="2417.5417863219122"/>
    <n v="35.735506807167809"/>
    <n v="0"/>
    <n v="0"/>
    <n v="0"/>
    <n v="0"/>
    <n v="106.09078574769265"/>
    <m/>
    <n v="15.542128820003409"/>
    <n v="0"/>
    <n v="0"/>
    <n v="0"/>
    <n v="0"/>
    <n v="0"/>
    <n v="0"/>
    <n v="0"/>
    <n v="0"/>
    <n v="0"/>
    <n v="0"/>
    <n v="0"/>
    <n v="0"/>
    <m/>
    <n v="0"/>
    <n v="0"/>
    <n v="5.1757066691131923"/>
    <n v="0"/>
    <n v="0"/>
    <n v="184.89262296860846"/>
    <n v="0"/>
    <n v="0"/>
    <n v="0"/>
    <n v="0"/>
    <n v="0"/>
    <m/>
    <m/>
    <m/>
    <m/>
    <m/>
    <m/>
    <m/>
    <m/>
    <m/>
    <n v="2607.6101159596337"/>
    <m/>
    <m/>
    <m/>
    <m/>
    <m/>
    <m/>
    <m/>
    <m/>
    <m/>
    <m/>
    <m/>
    <m/>
    <n v="3727.3363999999997"/>
    <n v="365.52085999999963"/>
    <m/>
    <m/>
    <m/>
    <m/>
    <n v="-4.414020000000006"/>
    <n v="369.30633999999992"/>
    <n v="31"/>
    <n v="364.90373918661771"/>
    <n v="0"/>
    <n v="0"/>
    <n v="0"/>
    <n v="0"/>
    <n v="0"/>
    <n v="0"/>
    <n v="0"/>
    <n v="0"/>
    <n v="0"/>
    <n v="0"/>
    <n v="369.35380229765997"/>
    <n v="0"/>
    <n v="0"/>
    <n v="0.79074825040471808"/>
    <n v="28.248030167099529"/>
    <n v="0"/>
    <n v="-28.514010278880278"/>
    <m/>
    <n v="0"/>
    <n v="0"/>
    <n v="0"/>
    <n v="0"/>
    <n v="-4.2988632601900605"/>
    <n v="-0.67596798947624137"/>
    <n v="0"/>
    <n v="0"/>
    <m/>
    <m/>
    <m/>
    <n v="0"/>
    <n v="0"/>
    <n v="0"/>
    <n v="-4.4140199999999368"/>
    <n v="369.30634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27"/>
    <s v="Sistema de Compensação"/>
    <s v="Verde"/>
    <s v="A4"/>
    <s v="Poder público"/>
    <s v="Não se aplica"/>
    <s v="Não se aplica"/>
    <s v="Não se aplica"/>
    <s v="Não se aplica"/>
    <s v="CATIVO"/>
    <x v="8"/>
    <n v="128"/>
    <n v="128"/>
    <n v="0"/>
    <n v="0"/>
    <n v="0"/>
    <n v="0"/>
    <n v="32.17"/>
    <m/>
    <m/>
    <n v="4117.76"/>
    <m/>
    <n v="4117.76"/>
    <n v="1655.04"/>
    <n v="0"/>
    <n v="0"/>
    <n v="0"/>
    <n v="0"/>
    <n v="0"/>
    <n v="12.789276816803252"/>
    <n v="3446.622134847104"/>
    <m/>
    <m/>
    <m/>
    <n v="0"/>
    <n v="0"/>
    <n v="0"/>
    <n v="0"/>
    <m/>
    <n v="0"/>
    <n v="225.84590162095745"/>
    <n v="433.00674117704705"/>
    <n v="0"/>
    <n v="0"/>
    <m/>
    <m/>
    <n v="0"/>
    <n v="0"/>
    <n v="0"/>
    <m/>
    <m/>
    <n v="0"/>
    <m/>
    <n v="0"/>
    <n v="0"/>
    <n v="0"/>
    <n v="0"/>
    <m/>
    <n v="0"/>
    <n v="0"/>
    <n v="18.649999999999999"/>
    <n v="84.69"/>
    <n v="4882.9799999999996"/>
    <n v="1"/>
    <m/>
    <m/>
    <m/>
    <m/>
    <m/>
    <m/>
    <m/>
    <m/>
    <m/>
    <n v="0"/>
    <m/>
    <m/>
    <m/>
    <m/>
    <m/>
    <m/>
    <m/>
    <m/>
    <m/>
    <m/>
    <m/>
    <m/>
    <n v="1655.04"/>
    <n v="-2462.7500000000009"/>
    <m/>
    <m/>
    <m/>
    <m/>
    <n v="-2462.7200000000003"/>
    <n v="0"/>
    <n v="31"/>
    <n v="69.212126612467614"/>
    <n v="23.296348980988142"/>
    <n v="44.665305330670094"/>
    <n v="0"/>
    <n v="0"/>
    <m/>
    <m/>
    <m/>
    <n v="1.25047230080942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46.622134847104"/>
    <m/>
    <n v="0"/>
    <n v="0"/>
    <n v="-2462.7200000000003"/>
    <m/>
    <n v="0"/>
    <m/>
    <n v="-2532.2671194319832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2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74.837999999999994"/>
    <n v="74.837999999999994"/>
    <n v="74.837999999999994"/>
    <n v="74.837999999999994"/>
    <m/>
    <n v="314.52999999999997"/>
    <n v="119.22"/>
    <m/>
    <n v="32460.982499999995"/>
    <n v="32460.982499999995"/>
    <n v="21157.450979999994"/>
    <n v="0"/>
    <n v="2494.7875470879958"/>
    <n v="0"/>
    <n v="0"/>
    <n v="0"/>
    <n v="33.830707594084295"/>
    <n v="17550.335552568391"/>
    <n v="8792.030015251612"/>
    <n v="129.96162061664208"/>
    <n v="0"/>
    <n v="0"/>
    <n v="0"/>
    <n v="0"/>
    <n v="385.82719765702416"/>
    <m/>
    <n v="78.965933553945575"/>
    <n v="365.57867288104694"/>
    <n v="1145.3886909266264"/>
    <n v="0"/>
    <n v="0"/>
    <n v="0"/>
    <n v="0"/>
    <n v="0"/>
    <n v="0"/>
    <n v="0"/>
    <n v="0"/>
    <n v="0"/>
    <n v="0"/>
    <m/>
    <n v="0"/>
    <n v="0"/>
    <n v="24.493601199297743"/>
    <n v="0"/>
    <n v="0"/>
    <n v="1459.4929665351217"/>
    <n v="0"/>
    <n v="41.57"/>
    <n v="188.9"/>
    <n v="8003.64"/>
    <n v="10"/>
    <m/>
    <m/>
    <m/>
    <m/>
    <m/>
    <m/>
    <m/>
    <m/>
    <m/>
    <n v="10276.016582986031"/>
    <m/>
    <m/>
    <m/>
    <m/>
    <m/>
    <m/>
    <m/>
    <m/>
    <m/>
    <m/>
    <m/>
    <m/>
    <n v="21158.0164"/>
    <n v="-11302.996099999989"/>
    <m/>
    <m/>
    <m/>
    <m/>
    <n v="-12646.873619999997"/>
    <n v="1343.3420999999989"/>
    <n v="31"/>
    <n v="1590.8813739173911"/>
    <n v="37.709997313730071"/>
    <n v="118.14858924244299"/>
    <n v="0"/>
    <n v="0"/>
    <n v="0"/>
    <n v="0"/>
    <n v="0"/>
    <n v="3.3077994455168636"/>
    <n v="0"/>
    <n v="0"/>
    <n v="1343.252776196643"/>
    <n v="0"/>
    <n v="0"/>
    <n v="3.7421503057811059"/>
    <n v="222.98240289636919"/>
    <n v="0"/>
    <n v="-119.19395263855722"/>
    <m/>
    <n v="0"/>
    <n v="0"/>
    <n v="0"/>
    <n v="0"/>
    <n v="-15.633953062939838"/>
    <n v="-3.4344357815945443"/>
    <n v="0"/>
    <n v="0"/>
    <m/>
    <m/>
    <m/>
    <n v="17550.335552568391"/>
    <n v="0"/>
    <n v="0"/>
    <n v="-12646.873619999997"/>
    <n v="1343.342099999998"/>
    <n v="0"/>
    <n v="0"/>
    <n v="-12894.40382960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2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56.197"/>
    <n v="146.82517999999999"/>
    <n v="156.197"/>
    <n v="146.82517999999999"/>
    <m/>
    <n v="571.87"/>
    <n v="216.76"/>
    <m/>
    <n v="123181.64011000001"/>
    <n v="123181.64011000001"/>
    <n v="80286.819970000011"/>
    <n v="0"/>
    <n v="9467.1965504278069"/>
    <n v="0"/>
    <n v="0"/>
    <n v="0"/>
    <n v="128.38045412207168"/>
    <n v="66599.849913498678"/>
    <n v="33363.913624149471"/>
    <n v="493.1771476196493"/>
    <n v="0"/>
    <n v="0"/>
    <n v="0"/>
    <n v="0"/>
    <n v="1464.1334565676223"/>
    <m/>
    <n v="299.65918926276282"/>
    <n v="1387.2945433166162"/>
    <n v="4346.5103376424377"/>
    <n v="0"/>
    <n v="0"/>
    <n v="0"/>
    <n v="0"/>
    <n v="0"/>
    <n v="0"/>
    <n v="0"/>
    <n v="0"/>
    <n v="0"/>
    <n v="0"/>
    <m/>
    <n v="0"/>
    <n v="0"/>
    <n v="92.948089729007478"/>
    <n v="0"/>
    <n v="0"/>
    <n v="5538.4703175558843"/>
    <n v="0"/>
    <n v="132.9"/>
    <n v="605.99"/>
    <n v="34160.769999999997"/>
    <n v="94"/>
    <m/>
    <m/>
    <m/>
    <m/>
    <n v="4817.2091982000074"/>
    <m/>
    <m/>
    <m/>
    <m/>
    <n v="38995.332031434358"/>
    <m/>
    <m/>
    <m/>
    <m/>
    <m/>
    <m/>
    <m/>
    <m/>
    <m/>
    <m/>
    <m/>
    <m/>
    <n v="75472.088300000003"/>
    <n v="-40318.683403399977"/>
    <m/>
    <m/>
    <m/>
    <m/>
    <n v="-47991.528250000003"/>
    <n v="5096.7081099999996"/>
    <n v="31"/>
    <n v="6037.0618223065321"/>
    <n v="143.10154662343734"/>
    <n v="448.34916617229828"/>
    <n v="0"/>
    <n v="0"/>
    <n v="0"/>
    <n v="0"/>
    <n v="0"/>
    <n v="12.552406531232322"/>
    <n v="0"/>
    <n v="0"/>
    <n v="5097.3631257720117"/>
    <n v="0"/>
    <n v="0"/>
    <n v="14.200677130774551"/>
    <n v="846.1715459381312"/>
    <n v="0"/>
    <n v="-452.31610145271225"/>
    <m/>
    <n v="0"/>
    <n v="0"/>
    <n v="0"/>
    <n v="0"/>
    <n v="-59.327579488593983"/>
    <n v="-13.032964920051768"/>
    <n v="0"/>
    <n v="0"/>
    <m/>
    <m/>
    <m/>
    <n v="66599.849913498678"/>
    <n v="0"/>
    <n v="0"/>
    <n v="-47991.528249999996"/>
    <n v="5096.7081099999996"/>
    <n v="0"/>
    <n v="0"/>
    <n v="-48931.563570585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30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8.9700000000000006"/>
    <n v="8.4318000000000008"/>
    <n v="8.9700000000000006"/>
    <n v="8.4318000000000008"/>
    <m/>
    <n v="2592.54"/>
    <n v="216.76"/>
    <m/>
    <n v="25199.421000000002"/>
    <n v="25199.421000000002"/>
    <n v="10595.364"/>
    <n v="0"/>
    <n v="472.99919434997844"/>
    <n v="0"/>
    <n v="0"/>
    <n v="0"/>
    <n v="45.358017807388393"/>
    <n v="20549.296794592054"/>
    <n v="1916.0054623880151"/>
    <n v="28.321920485977671"/>
    <n v="0"/>
    <n v="0"/>
    <n v="0"/>
    <n v="0"/>
    <n v="84.081493917370835"/>
    <m/>
    <n v="12.317803102618006"/>
    <n v="404.68039772126849"/>
    <n v="1535.6707160575631"/>
    <n v="0"/>
    <n v="0"/>
    <n v="0"/>
    <n v="0"/>
    <n v="0"/>
    <n v="0"/>
    <n v="0"/>
    <n v="0"/>
    <n v="0"/>
    <n v="0"/>
    <m/>
    <n v="0"/>
    <n v="0"/>
    <n v="4.1019693251409555"/>
    <n v="0"/>
    <n v="0"/>
    <n v="146.53532673868335"/>
    <n v="0"/>
    <n v="0"/>
    <n v="0"/>
    <n v="0"/>
    <n v="0"/>
    <m/>
    <m/>
    <m/>
    <m/>
    <n v="635.7218399999997"/>
    <m/>
    <m/>
    <m/>
    <m/>
    <n v="2066.6427584518397"/>
    <m/>
    <m/>
    <m/>
    <m/>
    <m/>
    <m/>
    <m/>
    <m/>
    <m/>
    <m/>
    <m/>
    <m/>
    <n v="9957.5159999999996"/>
    <n v="-13729.969739999997"/>
    <m/>
    <m/>
    <m/>
    <m/>
    <n v="-14896.748100000001"/>
    <n v="292.69110000000001"/>
    <n v="31"/>
    <n v="493.78690790327255"/>
    <n v="41.743399828888528"/>
    <n v="158.40677499298181"/>
    <n v="0"/>
    <n v="0"/>
    <n v="0"/>
    <n v="0"/>
    <n v="0"/>
    <n v="4.434882886672483"/>
    <n v="0"/>
    <n v="0"/>
    <n v="292.72871590475461"/>
    <n v="0"/>
    <n v="0"/>
    <n v="0.62670187366410435"/>
    <n v="22.387774394670686"/>
    <n v="0"/>
    <n v="-22.598575031061671"/>
    <m/>
    <n v="0"/>
    <n v="0"/>
    <n v="0"/>
    <n v="0"/>
    <n v="-3.4070333489931812"/>
    <n v="-0.53573359830375367"/>
    <n v="0"/>
    <n v="0"/>
    <m/>
    <m/>
    <m/>
    <n v="20549.296794592054"/>
    <n v="0"/>
    <n v="0"/>
    <n v="-14896.748100000001"/>
    <n v="292.69109999999978"/>
    <n v="0"/>
    <n v="0"/>
    <n v="-15097.7700961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31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14.496"/>
    <n v="107.62624"/>
    <n v="114.496"/>
    <n v="107.62624"/>
    <m/>
    <n v="80.27"/>
    <n v="216.76"/>
    <m/>
    <n v="34008.746879999999"/>
    <n v="34008.746879999999"/>
    <n v="37700.097919999993"/>
    <n v="0"/>
    <n v="6037.5156918946623"/>
    <n v="0"/>
    <n v="0"/>
    <n v="0"/>
    <n v="0"/>
    <n v="0"/>
    <n v="24456.517438303028"/>
    <n v="361.51021270484938"/>
    <n v="0"/>
    <n v="0"/>
    <n v="0"/>
    <n v="0"/>
    <n v="1073.2435593716043"/>
    <m/>
    <n v="157.22844861063001"/>
    <n v="0"/>
    <n v="0"/>
    <n v="0"/>
    <n v="0"/>
    <n v="0"/>
    <n v="0"/>
    <n v="0"/>
    <n v="0"/>
    <n v="0"/>
    <n v="0"/>
    <n v="0"/>
    <n v="0"/>
    <m/>
    <n v="0"/>
    <n v="0"/>
    <n v="52.358871778298642"/>
    <n v="0"/>
    <n v="0"/>
    <n v="1870.424612070489"/>
    <n v="0"/>
    <n v="0"/>
    <n v="0"/>
    <n v="0"/>
    <n v="0"/>
    <m/>
    <m/>
    <m/>
    <m/>
    <n v="2262.0058751999995"/>
    <m/>
    <m/>
    <m/>
    <m/>
    <n v="26379.300922151815"/>
    <m/>
    <m/>
    <m/>
    <m/>
    <m/>
    <m/>
    <m/>
    <m/>
    <m/>
    <m/>
    <m/>
    <m/>
    <n v="35439.330099999999"/>
    <n v="3471.0780328000037"/>
    <m/>
    <m/>
    <m/>
    <m/>
    <n v="-44.65344000000006"/>
    <n v="3736.0044799999991"/>
    <n v="31"/>
    <n v="3691.4665596316481"/>
    <n v="0"/>
    <n v="0"/>
    <n v="0"/>
    <n v="0"/>
    <n v="0"/>
    <n v="0"/>
    <n v="0"/>
    <n v="0"/>
    <n v="0"/>
    <n v="0"/>
    <n v="3736.4846216533733"/>
    <n v="0"/>
    <n v="0"/>
    <n v="7.9994267254230991"/>
    <n v="285.76484025554214"/>
    <n v="0"/>
    <n v="-288.45556820027105"/>
    <m/>
    <n v="0"/>
    <n v="0"/>
    <n v="0"/>
    <n v="0"/>
    <n v="-43.488482756557687"/>
    <n v="-6.8382780458625234"/>
    <n v="0"/>
    <n v="0"/>
    <m/>
    <m/>
    <m/>
    <n v="0"/>
    <n v="0"/>
    <n v="0"/>
    <n v="-44.653440000000046"/>
    <n v="3736.00447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32"/>
    <s v="Regular"/>
    <s v="Verde"/>
    <s v="A4"/>
    <s v="Serviço público"/>
    <s v="Água, esgoto e saneamento"/>
    <s v="Não se aplica"/>
    <s v="Não se aplica"/>
    <s v="Não se aplica"/>
    <s v="CATIVO"/>
    <x v="8"/>
    <n v="399"/>
    <n v="375.06"/>
    <n v="0"/>
    <n v="0"/>
    <n v="0"/>
    <n v="0"/>
    <n v="32.17"/>
    <m/>
    <m/>
    <n v="12835.83"/>
    <m/>
    <n v="12835.83"/>
    <n v="5159.07"/>
    <n v="0"/>
    <n v="0"/>
    <n v="0"/>
    <n v="0"/>
    <n v="0"/>
    <n v="39.866573827378886"/>
    <n v="10743.767435968706"/>
    <m/>
    <m/>
    <m/>
    <n v="0"/>
    <n v="0"/>
    <n v="0"/>
    <n v="0"/>
    <m/>
    <n v="0"/>
    <n v="704.00402145907833"/>
    <n v="1349.7632010128264"/>
    <n v="0"/>
    <n v="0"/>
    <m/>
    <m/>
    <n v="0"/>
    <n v="0"/>
    <n v="0"/>
    <m/>
    <m/>
    <n v="0"/>
    <m/>
    <n v="0"/>
    <n v="0"/>
    <n v="0"/>
    <n v="0"/>
    <m/>
    <n v="0"/>
    <n v="0"/>
    <n v="88.75"/>
    <n v="402.79"/>
    <n v="23725.279999999999"/>
    <n v="2"/>
    <m/>
    <m/>
    <m/>
    <m/>
    <n v="309.54419999999999"/>
    <m/>
    <m/>
    <m/>
    <m/>
    <n v="0"/>
    <m/>
    <m/>
    <m/>
    <m/>
    <m/>
    <m/>
    <m/>
    <m/>
    <m/>
    <m/>
    <m/>
    <m/>
    <n v="4849.5258000000003"/>
    <n v="-7216.184400000001"/>
    <m/>
    <m/>
    <m/>
    <m/>
    <n v="-7676.7600000000011"/>
    <n v="0"/>
    <n v="31"/>
    <n v="215.74717592480101"/>
    <n v="72.619087839173972"/>
    <n v="139.23013146044809"/>
    <n v="0"/>
    <n v="0"/>
    <m/>
    <m/>
    <m/>
    <n v="3.89795662517936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43.767435968706"/>
    <m/>
    <n v="0"/>
    <n v="0"/>
    <n v="-7676.76"/>
    <m/>
    <n v="0"/>
    <m/>
    <n v="-7893.55141135438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3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41599999999999998"/>
    <n v="0.41599999999999998"/>
    <n v="0.41599999999999998"/>
    <n v="0.41599999999999998"/>
    <m/>
    <n v="571.87"/>
    <n v="216.76"/>
    <m/>
    <n v="328.07007999999996"/>
    <n v="328.07007999999996"/>
    <n v="213.82815999999997"/>
    <n v="0"/>
    <n v="25.214016690320349"/>
    <n v="0"/>
    <n v="0"/>
    <n v="0"/>
    <n v="0.34191609899538289"/>
    <n v="177.37560621532708"/>
    <n v="88.858224342632568"/>
    <n v="1.3134803703641817"/>
    <n v="0"/>
    <n v="0"/>
    <n v="0"/>
    <n v="0"/>
    <n v="3.8994316019650239"/>
    <m/>
    <n v="0.798083335360534"/>
    <n v="3.694786263626781"/>
    <n v="11.576075727826105"/>
    <n v="0"/>
    <n v="0"/>
    <n v="0"/>
    <n v="0"/>
    <n v="0"/>
    <n v="0"/>
    <n v="0"/>
    <n v="0"/>
    <n v="0"/>
    <n v="0"/>
    <m/>
    <n v="0"/>
    <n v="0"/>
    <n v="0.24754896270265822"/>
    <n v="0"/>
    <n v="0"/>
    <n v="14.750626786066618"/>
    <n v="0"/>
    <n v="0.34"/>
    <n v="1.62"/>
    <n v="91.59"/>
    <n v="3"/>
    <m/>
    <m/>
    <m/>
    <m/>
    <m/>
    <m/>
    <m/>
    <m/>
    <m/>
    <n v="103.85640009140184"/>
    <m/>
    <m/>
    <m/>
    <m/>
    <m/>
    <m/>
    <m/>
    <m/>
    <m/>
    <m/>
    <m/>
    <m/>
    <n v="215.88419999999999"/>
    <n v="-112.21587999999994"/>
    <m/>
    <m/>
    <m/>
    <m/>
    <n v="-127.81599999999999"/>
    <n v="13.574079999999997"/>
    <n v="31"/>
    <n v="16.078527232146087"/>
    <n v="0.38112283459573471"/>
    <n v="1.1940898552960419"/>
    <n v="0"/>
    <n v="0"/>
    <n v="0"/>
    <n v="0"/>
    <n v="0"/>
    <n v="3.3430866898804978E-2"/>
    <n v="0"/>
    <n v="0"/>
    <n v="13.575824505727752"/>
    <n v="0"/>
    <n v="0"/>
    <n v="3.782071157834152E-2"/>
    <n v="2.2536115489430841"/>
    <n v="0"/>
    <n v="-1.2046550074862417"/>
    <m/>
    <n v="0"/>
    <n v="0"/>
    <n v="0"/>
    <n v="0"/>
    <n v="-0.15800734372142289"/>
    <n v="-3.4710739686047321E-2"/>
    <n v="0"/>
    <n v="0"/>
    <m/>
    <m/>
    <m/>
    <n v="177.37560621532708"/>
    <n v="0"/>
    <n v="0"/>
    <n v="-127.816"/>
    <n v="13.574079999999995"/>
    <n v="0"/>
    <n v="0"/>
    <n v="-130.3195992583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3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3.19"/>
    <n v="660.15"/>
    <n v="1018.33"/>
    <n v="12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35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3.54"/>
    <n v="-16.3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36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7"/>
    <n v="1.44"/>
    <n v="36.68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37"/>
    <s v="Regular"/>
    <s v="Convencional"/>
    <s v="B2"/>
    <s v="Rural"/>
    <s v="Agropecuária rural"/>
    <s v="IRRIG./AQUIC."/>
    <s v="Não se aplica"/>
    <s v="Não se aplica"/>
    <s v="CATIVO"/>
    <x v="8"/>
    <n v="0"/>
    <n v="0"/>
    <n v="89.528000000000006"/>
    <n v="89.528000000000006"/>
    <n v="89.528000000000006"/>
    <n v="89.528000000000006"/>
    <m/>
    <n v="571.87"/>
    <n v="216.76"/>
    <m/>
    <n v="70604.466639999999"/>
    <n v="70604.466639999999"/>
    <n v="46018.287280000004"/>
    <n v="0"/>
    <n v="5426.3473227187505"/>
    <n v="0"/>
    <n v="0"/>
    <n v="0"/>
    <n v="73.584289689564045"/>
    <n v="38173.277099148574"/>
    <n v="19123.315165738484"/>
    <n v="282.67613124510689"/>
    <n v="0"/>
    <n v="0"/>
    <n v="0"/>
    <n v="0"/>
    <n v="839.20267418443439"/>
    <m/>
    <n v="171.75674242345647"/>
    <n v="795.16063608167906"/>
    <n v="2491.3050667327298"/>
    <n v="0"/>
    <n v="0"/>
    <n v="0"/>
    <n v="0"/>
    <n v="0"/>
    <n v="0"/>
    <n v="0"/>
    <n v="0"/>
    <n v="0"/>
    <n v="0"/>
    <m/>
    <n v="0"/>
    <n v="0"/>
    <n v="53.275393107797086"/>
    <n v="0"/>
    <n v="0"/>
    <n v="3174.5050839013761"/>
    <n v="0"/>
    <n v="0"/>
    <n v="0"/>
    <n v="0"/>
    <n v="0"/>
    <m/>
    <m/>
    <m/>
    <m/>
    <m/>
    <n v="5522.0870399999985"/>
    <m/>
    <m/>
    <m/>
    <n v="22351.095642747656"/>
    <m/>
    <m/>
    <m/>
    <m/>
    <m/>
    <m/>
    <m/>
    <m/>
    <m/>
    <m/>
    <m/>
    <m/>
    <n v="40497.104899999998"/>
    <n v="-21635.357100000008"/>
    <m/>
    <m/>
    <m/>
    <m/>
    <n v="-27507.478000000003"/>
    <n v="2921.29864"/>
    <n v="31"/>
    <n v="3460.2845818258975"/>
    <n v="82.022031576170434"/>
    <n v="256.98191481957701"/>
    <n v="0"/>
    <n v="0"/>
    <n v="0"/>
    <n v="0"/>
    <n v="0"/>
    <n v="7.1947082973947403"/>
    <n v="0"/>
    <n v="0"/>
    <n v="2921.6740777615232"/>
    <n v="0"/>
    <n v="0"/>
    <n v="8.1394535244850061"/>
    <n v="485.0032085427315"/>
    <n v="0"/>
    <n v="-259.25565747650944"/>
    <m/>
    <n v="0"/>
    <n v="0"/>
    <n v="0"/>
    <n v="0"/>
    <n v="-34.005003530508475"/>
    <n v="-7.4701516889722086"/>
    <n v="0"/>
    <n v="0"/>
    <m/>
    <m/>
    <m/>
    <n v="38173.277099148574"/>
    <n v="0"/>
    <n v="0"/>
    <n v="-27507.478000000003"/>
    <n v="2921.2986400000009"/>
    <n v="0"/>
    <n v="0"/>
    <n v="-28046.28144809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38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-1.8919999999999999"/>
    <n v="-1.8919999999999999"/>
    <n v="-1.8919999999999999"/>
    <n v="-1.8919999999999999"/>
    <m/>
    <n v="571.87"/>
    <n v="216.76"/>
    <m/>
    <n v="-1492.0879599999998"/>
    <n v="-1492.0879599999998"/>
    <n v="-972.50691999999992"/>
    <n v="0"/>
    <n v="-114.67528744732235"/>
    <n v="0"/>
    <n v="0"/>
    <n v="0"/>
    <n v="-1.5550607194693857"/>
    <n v="-806.71790134470882"/>
    <n v="-404.13403955831927"/>
    <n v="-5.9738097613678649"/>
    <n v="0"/>
    <n v="0"/>
    <n v="0"/>
    <n v="0"/>
    <n v="-17.734914882014003"/>
    <m/>
    <n v="-3.6297444002455057"/>
    <n v="-16.804172141302573"/>
    <n v="-52.648882877516805"/>
    <n v="0"/>
    <n v="0"/>
    <n v="0"/>
    <n v="0"/>
    <n v="0"/>
    <n v="0"/>
    <n v="0"/>
    <n v="0"/>
    <n v="0"/>
    <n v="0"/>
    <m/>
    <n v="0"/>
    <n v="0"/>
    <n v="-1.12587172459959"/>
    <n v="0"/>
    <n v="0"/>
    <n v="-67.086985286629911"/>
    <n v="0"/>
    <n v="0"/>
    <n v="0"/>
    <n v="0"/>
    <n v="0"/>
    <m/>
    <m/>
    <m/>
    <m/>
    <m/>
    <n v="-116.69855999999996"/>
    <m/>
    <m/>
    <m/>
    <n v="-472.34689656954873"/>
    <m/>
    <m/>
    <m/>
    <m/>
    <m/>
    <m/>
    <m/>
    <m/>
    <m/>
    <m/>
    <m/>
    <m/>
    <n v="-854.90369999999996"/>
    <n v="458.11430000000007"/>
    <m/>
    <m/>
    <m/>
    <m/>
    <n v="581.31700000000001"/>
    <n v="-61.735959999999992"/>
    <n v="31"/>
    <n v="-73.126378661587296"/>
    <n v="-1.7333759688825232"/>
    <n v="-5.4308125149521871"/>
    <n v="0"/>
    <n v="0"/>
    <n v="0"/>
    <n v="0"/>
    <n v="0"/>
    <n v="-0.15204615426091084"/>
    <n v="0"/>
    <n v="0"/>
    <n v="-61.743894146242553"/>
    <n v="0"/>
    <n v="0"/>
    <n v="-0.17201150554380318"/>
    <n v="-10.249598679327676"/>
    <n v="0"/>
    <n v="5.4788636398172201"/>
    <m/>
    <n v="0"/>
    <n v="0"/>
    <n v="0"/>
    <n v="0"/>
    <n v="0.71862955365608627"/>
    <n v="0.1578671141490422"/>
    <n v="0"/>
    <n v="0"/>
    <m/>
    <m/>
    <m/>
    <n v="-806.71790134470882"/>
    <n v="0"/>
    <n v="0"/>
    <n v="581.31700000000001"/>
    <n v="-61.735959999999977"/>
    <n v="0"/>
    <n v="0"/>
    <n v="592.70356201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39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4"/>
    <n v="0.4"/>
    <n v="0.4"/>
    <n v="0.4"/>
    <m/>
    <n v="571.87"/>
    <n v="216.76"/>
    <m/>
    <n v="315.452"/>
    <n v="315.452"/>
    <n v="205.60400000000001"/>
    <n v="0"/>
    <n v="24.244246817615721"/>
    <n v="0"/>
    <n v="0"/>
    <n v="0"/>
    <n v="0.32876547980325282"/>
    <n v="170.5534675147376"/>
    <n v="85.440600329454412"/>
    <n v="1.2629618945809442"/>
    <n v="0"/>
    <n v="0"/>
    <n v="0"/>
    <n v="0"/>
    <n v="3.749453463427908"/>
    <m/>
    <n v="0.76738782246205206"/>
    <n v="3.5526790996411357"/>
    <n v="11.13084204598664"/>
    <n v="0"/>
    <n v="0"/>
    <n v="0"/>
    <n v="0"/>
    <n v="0"/>
    <n v="0"/>
    <n v="0"/>
    <n v="0"/>
    <n v="0"/>
    <n v="0"/>
    <m/>
    <n v="0"/>
    <n v="0"/>
    <n v="0.238027848752556"/>
    <n v="0"/>
    <n v="0"/>
    <n v="14.183294986602519"/>
    <n v="0"/>
    <n v="0"/>
    <n v="0"/>
    <n v="0"/>
    <n v="0"/>
    <m/>
    <m/>
    <m/>
    <m/>
    <m/>
    <n v="24.671999999999993"/>
    <m/>
    <m/>
    <m/>
    <n v="99.861923164809483"/>
    <m/>
    <m/>
    <m/>
    <m/>
    <m/>
    <m/>
    <m/>
    <m/>
    <m/>
    <m/>
    <m/>
    <m/>
    <n v="180.93200000000002"/>
    <n v="-96.697999999999979"/>
    <m/>
    <m/>
    <m/>
    <m/>
    <n v="-122.9"/>
    <n v="13.052"/>
    <n v="31"/>
    <n v="15.460122338601963"/>
    <n v="0.36646426403436028"/>
    <n v="1.1481633224000412"/>
    <n v="0"/>
    <n v="0"/>
    <n v="0"/>
    <n v="0"/>
    <n v="0"/>
    <n v="3.2145064325773964E-2"/>
    <n v="0"/>
    <n v="0"/>
    <n v="13.053677409353597"/>
    <n v="0"/>
    <n v="0"/>
    <n v="3.636606882532839E-2"/>
    <n v="2.1669341816760408"/>
    <n v="0"/>
    <n v="-1.1583221225829199"/>
    <m/>
    <n v="0"/>
    <n v="0"/>
    <n v="0"/>
    <n v="0"/>
    <n v="-0.15193013819367573"/>
    <n v="-3.3375711236584005E-2"/>
    <n v="0"/>
    <n v="0"/>
    <m/>
    <m/>
    <m/>
    <n v="170.5534675147376"/>
    <n v="0"/>
    <n v="0"/>
    <n v="-122.9"/>
    <n v="13.051999999999992"/>
    <n v="0"/>
    <n v="0"/>
    <n v="-125.3073069792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96.337000000000003"/>
    <n v="38.534799999999997"/>
    <n v="96.337000000000003"/>
    <n v="38.534799999999997"/>
    <m/>
    <n v="571.87"/>
    <n v="216.76"/>
    <m/>
    <n v="75974.248309999995"/>
    <n v="75974.248309999995"/>
    <n v="49518.181370000006"/>
    <n v="0"/>
    <n v="5839.0450141716146"/>
    <n v="0"/>
    <n v="0"/>
    <n v="0"/>
    <n v="79.180700069514913"/>
    <n v="41076.523499918192"/>
    <n v="20577.727784846622"/>
    <n v="304.17490009561101"/>
    <n v="0"/>
    <n v="0"/>
    <n v="0"/>
    <n v="0"/>
    <n v="903.02774576563593"/>
    <m/>
    <n v="184.81960163131677"/>
    <n v="855.63611605532026"/>
    <n v="2680.7798254605373"/>
    <n v="0"/>
    <n v="0"/>
    <n v="0"/>
    <n v="0"/>
    <n v="0"/>
    <n v="0"/>
    <n v="0"/>
    <n v="0"/>
    <n v="0"/>
    <n v="0"/>
    <m/>
    <n v="0"/>
    <n v="0"/>
    <n v="57.327222163187471"/>
    <n v="0"/>
    <n v="0"/>
    <n v="3415.9402228108174"/>
    <n v="0"/>
    <n v="0"/>
    <n v="0"/>
    <n v="0"/>
    <n v="0"/>
    <m/>
    <m/>
    <m/>
    <m/>
    <m/>
    <m/>
    <n v="32087.735286000003"/>
    <m/>
    <m/>
    <n v="24050.995229820626"/>
    <m/>
    <m/>
    <m/>
    <m/>
    <m/>
    <m/>
    <m/>
    <m/>
    <m/>
    <m/>
    <m/>
    <m/>
    <n v="17428.2749"/>
    <n v="-9314.9062999999951"/>
    <m/>
    <m/>
    <m/>
    <m/>
    <n v="-29599.543250000002"/>
    <n v="3143.4763099999996"/>
    <n v="31"/>
    <n v="3723.4545143347495"/>
    <n v="88.260169510695391"/>
    <n v="276.52652497513191"/>
    <n v="0"/>
    <n v="0"/>
    <n v="0"/>
    <n v="0"/>
    <n v="0"/>
    <n v="7.7418976548802192"/>
    <n v="0"/>
    <n v="0"/>
    <n v="3143.8803014622463"/>
    <n v="0"/>
    <n v="0"/>
    <n v="8.7584949310641491"/>
    <n v="521.8898456503116"/>
    <n v="0"/>
    <n v="-278.97319580817748"/>
    <m/>
    <n v="0"/>
    <n v="0"/>
    <n v="0"/>
    <n v="0"/>
    <n v="-36.591234307910327"/>
    <n v="-8.0382897334969812"/>
    <n v="0"/>
    <n v="0"/>
    <m/>
    <m/>
    <m/>
    <n v="41076.523499918192"/>
    <n v="0"/>
    <n v="0"/>
    <n v="-29599.543250000002"/>
    <n v="3143.4763100000018"/>
    <n v="0"/>
    <n v="0"/>
    <n v="-30179.32508114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41"/>
    <s v="Refaturamento - Regular"/>
    <s v="Convencional"/>
    <s v="B2"/>
    <s v="Rural"/>
    <s v="Agropecuária rural"/>
    <s v="IRRIG./AQUIC. PR"/>
    <s v="Não se aplica"/>
    <s v="Não se aplica"/>
    <s v="CATIVO"/>
    <x v="8"/>
    <n v="0"/>
    <n v="0"/>
    <n v="-0.90900000000000003"/>
    <n v="-0.36359999999999998"/>
    <n v="-0.90900000000000003"/>
    <n v="-0.36359999999999998"/>
    <m/>
    <n v="571.87"/>
    <n v="216.76"/>
    <m/>
    <n v="-716.86467000000005"/>
    <n v="-716.86467000000005"/>
    <n v="-467.23509000000001"/>
    <n v="0"/>
    <n v="-55.095050893031726"/>
    <n v="0"/>
    <n v="0"/>
    <n v="0"/>
    <n v="-0.747119552852892"/>
    <n v="-387.58275492724118"/>
    <n v="-194.16376424868514"/>
    <n v="-2.8700809054351955"/>
    <n v="0"/>
    <n v="0"/>
    <n v="0"/>
    <n v="0"/>
    <n v="-8.5206329956399198"/>
    <m/>
    <n v="-1.7438888265450132"/>
    <n v="-8.0734632539344808"/>
    <n v="-25.29483854950464"/>
    <n v="0"/>
    <n v="0"/>
    <n v="0"/>
    <n v="0"/>
    <n v="0"/>
    <n v="0"/>
    <n v="0"/>
    <n v="0"/>
    <n v="0"/>
    <n v="0"/>
    <m/>
    <n v="0"/>
    <n v="0"/>
    <n v="-0.54091828629018357"/>
    <n v="0"/>
    <n v="0"/>
    <n v="-32.231537857054228"/>
    <n v="0"/>
    <n v="0"/>
    <n v="0"/>
    <n v="0"/>
    <n v="0"/>
    <m/>
    <m/>
    <m/>
    <m/>
    <m/>
    <m/>
    <n v="-302.76790200000005"/>
    <m/>
    <m/>
    <n v="-226.93622039202955"/>
    <m/>
    <m/>
    <m/>
    <m/>
    <m/>
    <m/>
    <m/>
    <m/>
    <m/>
    <m/>
    <m/>
    <m/>
    <n v="-162.83879999999999"/>
    <n v="89.469600000000014"/>
    <m/>
    <m/>
    <m/>
    <m/>
    <n v="279.29025000000001"/>
    <n v="-29.660669999999996"/>
    <n v="31"/>
    <n v="-35.133128014472959"/>
    <n v="-0.8327900400180841"/>
    <n v="-2.6092011501540924"/>
    <n v="0"/>
    <n v="0"/>
    <n v="0"/>
    <n v="0"/>
    <n v="0"/>
    <n v="-7.3049658680321428E-2"/>
    <n v="0"/>
    <n v="0"/>
    <n v="-29.66448191275606"/>
    <n v="0"/>
    <n v="0"/>
    <n v="-8.2641891405558776E-2"/>
    <n v="-4.9243579278588001"/>
    <n v="0"/>
    <n v="2.6322870235696882"/>
    <m/>
    <n v="0"/>
    <n v="0"/>
    <n v="0"/>
    <n v="0"/>
    <n v="0.34526123904512751"/>
    <n v="7.5846303785137126E-2"/>
    <n v="0"/>
    <n v="0"/>
    <m/>
    <m/>
    <m/>
    <n v="-387.58275492724118"/>
    <n v="0"/>
    <n v="0"/>
    <n v="279.29025000000001"/>
    <n v="-29.660669999999982"/>
    <n v="0"/>
    <n v="0"/>
    <n v="284.7608551102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Ponta"/>
    <s v="CATIVO"/>
    <x v="8"/>
    <n v="0"/>
    <n v="0"/>
    <n v="0.74099999999999999"/>
    <n v="0.71135999999999999"/>
    <n v="0.74099999999999999"/>
    <n v="0.71135999999999999"/>
    <m/>
    <n v="2592.54"/>
    <n v="216.76"/>
    <m/>
    <n v="2081.6913"/>
    <n v="2081.6913"/>
    <n v="875.26919999999996"/>
    <n v="0"/>
    <n v="39.07384648978082"/>
    <n v="0"/>
    <n v="0"/>
    <n v="0"/>
    <n v="3.7469666884364323"/>
    <n v="1697.5506047706479"/>
    <n v="158.27871211031427"/>
    <n v="2.3396369097111989"/>
    <n v="0"/>
    <n v="0"/>
    <n v="0"/>
    <n v="0"/>
    <n v="6.9458625410001993"/>
    <m/>
    <n v="1.0175576476075745"/>
    <n v="33.43011981175696"/>
    <n v="126.85975480475521"/>
    <n v="0"/>
    <n v="0"/>
    <n v="0"/>
    <n v="0"/>
    <n v="0"/>
    <n v="0"/>
    <n v="0"/>
    <n v="0"/>
    <n v="0"/>
    <n v="0"/>
    <m/>
    <n v="0"/>
    <n v="0"/>
    <n v="0.3388583355551224"/>
    <n v="0"/>
    <n v="0"/>
    <n v="12.105092208847754"/>
    <n v="0"/>
    <n v="0"/>
    <n v="0"/>
    <n v="0"/>
    <n v="0"/>
    <m/>
    <m/>
    <m/>
    <m/>
    <m/>
    <n v="35.010767999999999"/>
    <m/>
    <m/>
    <m/>
    <n v="170.72266265471717"/>
    <m/>
    <m/>
    <m/>
    <m/>
    <m/>
    <m/>
    <m/>
    <m/>
    <m/>
    <m/>
    <m/>
    <m/>
    <n v="838.65199999999982"/>
    <n v="-1159.8016480000001"/>
    <m/>
    <m/>
    <m/>
    <m/>
    <n v="-1230.6009300000001"/>
    <n v="24.178829999999998"/>
    <n v="31"/>
    <n v="40.791092392009546"/>
    <n v="3.4483678119516625"/>
    <n v="13.085777064637639"/>
    <n v="0"/>
    <n v="0"/>
    <n v="0"/>
    <n v="0"/>
    <n v="0"/>
    <n v="0.3663598906381611"/>
    <n v="0"/>
    <n v="0"/>
    <n v="24.181937400827536"/>
    <n v="0"/>
    <n v="0"/>
    <n v="5.1771024346165095E-2"/>
    <n v="1.8494248412988821"/>
    <n v="0"/>
    <n v="-1.8668388069137833"/>
    <m/>
    <n v="0"/>
    <n v="0"/>
    <n v="0"/>
    <n v="0"/>
    <n v="-0.28145058100378417"/>
    <n v="-4.4256253772918974E-2"/>
    <n v="0"/>
    <n v="0"/>
    <m/>
    <m/>
    <m/>
    <n v="1697.5506047706479"/>
    <n v="0"/>
    <n v="0"/>
    <n v="-1230.6009300000001"/>
    <n v="24.178830000000005"/>
    <n v="0"/>
    <n v="0"/>
    <n v="-1247.2070949034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Fora ponta"/>
    <s v="CATIVO"/>
    <x v="8"/>
    <n v="0"/>
    <n v="0"/>
    <n v="45.284999999999997"/>
    <n v="43.473599999999998"/>
    <n v="45.284999999999997"/>
    <n v="43.473599999999998"/>
    <m/>
    <n v="80.27"/>
    <n v="216.76"/>
    <m/>
    <n v="13451.003549999998"/>
    <n v="13451.003549999998"/>
    <n v="14910.991949999998"/>
    <n v="0"/>
    <n v="2387.9340597702085"/>
    <n v="0"/>
    <n v="0"/>
    <n v="0"/>
    <n v="0"/>
    <n v="0"/>
    <n v="9672.9439647983563"/>
    <n v="142.98307349024512"/>
    <n v="0"/>
    <n v="0"/>
    <n v="0"/>
    <n v="0"/>
    <n v="424.48500022833196"/>
    <m/>
    <n v="62.186367168568154"/>
    <n v="0"/>
    <n v="0"/>
    <n v="0"/>
    <n v="0"/>
    <n v="0"/>
    <n v="0"/>
    <n v="0"/>
    <n v="0"/>
    <n v="0"/>
    <n v="0"/>
    <n v="0"/>
    <n v="0"/>
    <m/>
    <n v="0"/>
    <n v="0"/>
    <n v="20.708771559532682"/>
    <n v="0"/>
    <n v="0"/>
    <n v="739.78286191318557"/>
    <n v="0"/>
    <n v="0"/>
    <n v="0"/>
    <n v="0"/>
    <n v="0"/>
    <m/>
    <m/>
    <m/>
    <m/>
    <m/>
    <n v="596.43967799999962"/>
    <m/>
    <m/>
    <m/>
    <n v="10433.435598271075"/>
    <m/>
    <m/>
    <m/>
    <m/>
    <m/>
    <m/>
    <m/>
    <m/>
    <m/>
    <m/>
    <m/>
    <m/>
    <n v="14313.366899999999"/>
    <n v="1400.3734919999988"/>
    <m/>
    <m/>
    <m/>
    <m/>
    <n v="-17.661150000000024"/>
    <n v="1477.6495499999996"/>
    <n v="31"/>
    <n v="1460.0340898626928"/>
    <n v="0"/>
    <n v="0"/>
    <n v="0"/>
    <n v="0"/>
    <n v="0"/>
    <n v="0"/>
    <n v="0"/>
    <n v="0"/>
    <n v="0"/>
    <n v="0"/>
    <n v="1477.8394537064432"/>
    <n v="0"/>
    <n v="0"/>
    <n v="3.1639012652038936"/>
    <n v="113.02456671824541"/>
    <n v="0"/>
    <n v="-114.08879267353723"/>
    <m/>
    <n v="0"/>
    <n v="0"/>
    <n v="0"/>
    <n v="0"/>
    <n v="-17.200390770251488"/>
    <n v="-2.7046483834097543"/>
    <n v="0"/>
    <n v="0"/>
    <m/>
    <m/>
    <m/>
    <n v="0"/>
    <n v="0"/>
    <n v="0"/>
    <n v="-17.661149999999907"/>
    <n v="1477.649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45"/>
    <s v="Regular"/>
    <s v="Verde"/>
    <s v="A4"/>
    <s v="Rural"/>
    <s v="Agropecuária rural"/>
    <s v="Não se aplica"/>
    <s v="Não se aplica"/>
    <s v="Não se aplica"/>
    <s v="CATIVO"/>
    <x v="8"/>
    <n v="1649"/>
    <n v="1583.04"/>
    <n v="0"/>
    <n v="0"/>
    <n v="0"/>
    <n v="0"/>
    <n v="32.17"/>
    <m/>
    <m/>
    <n v="53048.33"/>
    <m/>
    <n v="53048.33"/>
    <n v="21321.57"/>
    <n v="0"/>
    <n v="0"/>
    <n v="0"/>
    <n v="0"/>
    <n v="0"/>
    <n v="164.76185524147314"/>
    <n v="44402.186721584956"/>
    <m/>
    <m/>
    <m/>
    <n v="0"/>
    <n v="0"/>
    <n v="0"/>
    <n v="0"/>
    <m/>
    <n v="0"/>
    <n v="2909.5304044762411"/>
    <n v="5578.3446578199264"/>
    <n v="0"/>
    <n v="0"/>
    <m/>
    <m/>
    <n v="0"/>
    <n v="0"/>
    <n v="0"/>
    <m/>
    <m/>
    <n v="0"/>
    <m/>
    <n v="0"/>
    <n v="0"/>
    <n v="0"/>
    <n v="0"/>
    <m/>
    <n v="0"/>
    <n v="0"/>
    <n v="65.180000000000007"/>
    <n v="296.07"/>
    <n v="78.849999999999994"/>
    <n v="13"/>
    <m/>
    <m/>
    <m/>
    <m/>
    <m/>
    <n v="852.86280000000045"/>
    <m/>
    <m/>
    <m/>
    <n v="0"/>
    <m/>
    <m/>
    <m/>
    <m/>
    <m/>
    <m/>
    <m/>
    <m/>
    <m/>
    <m/>
    <m/>
    <m/>
    <n v="20468.707200000001"/>
    <n v="-30457.719600000008"/>
    <m/>
    <m/>
    <m/>
    <m/>
    <n v="-31726.760000000002"/>
    <n v="0"/>
    <n v="31"/>
    <n v="891.64684987468172"/>
    <n v="300.12249585663631"/>
    <n v="575.41475383027318"/>
    <n v="0"/>
    <n v="0"/>
    <m/>
    <m/>
    <m/>
    <n v="16.1096001877713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402.186721584956"/>
    <m/>
    <n v="0"/>
    <n v="0"/>
    <n v="-31726.760000000002"/>
    <m/>
    <n v="0"/>
    <m/>
    <n v="-32622.72249955734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46"/>
    <s v="Regular"/>
    <s v="Verde"/>
    <s v="A4"/>
    <s v="Rural"/>
    <s v="Agropecuária rural"/>
    <s v="IRRIG./AQUIC. PR"/>
    <s v="Não se aplica"/>
    <s v="Fora ponta"/>
    <s v="CATIVO"/>
    <x v="8"/>
    <n v="0"/>
    <n v="0"/>
    <n v="49.633000000000003"/>
    <n v="14.889900000000001"/>
    <n v="49.633000000000003"/>
    <n v="14.889900000000001"/>
    <m/>
    <n v="80.27"/>
    <n v="216.76"/>
    <m/>
    <n v="14742.48999"/>
    <n v="14742.48999"/>
    <n v="16342.65791"/>
    <n v="0"/>
    <n v="2617.209477499719"/>
    <n v="0"/>
    <n v="0"/>
    <n v="0"/>
    <n v="0"/>
    <n v="0"/>
    <n v="10601.683290379526"/>
    <n v="156.71146928433998"/>
    <n v="0"/>
    <n v="0"/>
    <n v="0"/>
    <n v="0"/>
    <n v="465.24155937579337"/>
    <m/>
    <n v="68.157137278956469"/>
    <n v="0"/>
    <n v="0"/>
    <n v="0"/>
    <n v="0"/>
    <n v="0"/>
    <n v="0"/>
    <n v="0"/>
    <n v="0"/>
    <n v="0"/>
    <n v="0"/>
    <n v="0"/>
    <n v="0"/>
    <m/>
    <n v="0"/>
    <n v="0"/>
    <n v="22.697106300414834"/>
    <n v="0"/>
    <n v="0"/>
    <n v="810.81247179722084"/>
    <n v="0"/>
    <n v="0"/>
    <n v="0"/>
    <n v="0"/>
    <n v="0"/>
    <m/>
    <m/>
    <m/>
    <m/>
    <m/>
    <m/>
    <n v="11439.860536999997"/>
    <m/>
    <m/>
    <n v="11435.192868477161"/>
    <m/>
    <m/>
    <m/>
    <m/>
    <m/>
    <m/>
    <m/>
    <m/>
    <m/>
    <m/>
    <m/>
    <m/>
    <n v="4902.8302999999996"/>
    <n v="480.05330299999878"/>
    <m/>
    <m/>
    <m/>
    <m/>
    <n v="-19.356870000000029"/>
    <n v="1619.5247899999999"/>
    <n v="31"/>
    <n v="1600.2179967352367"/>
    <n v="0"/>
    <n v="0"/>
    <n v="0"/>
    <n v="0"/>
    <n v="0"/>
    <n v="0"/>
    <n v="0"/>
    <n v="0"/>
    <n v="0"/>
    <n v="0"/>
    <n v="1619.7329271461185"/>
    <n v="0"/>
    <n v="0"/>
    <n v="3.4676805011784246"/>
    <n v="123.87652246718949"/>
    <n v="0"/>
    <n v="-125.04292915459155"/>
    <m/>
    <n v="0"/>
    <n v="0"/>
    <n v="0"/>
    <n v="0"/>
    <n v="-18.851871372416724"/>
    <n v="-2.9643328522419523"/>
    <n v="0"/>
    <n v="0"/>
    <m/>
    <m/>
    <m/>
    <n v="0"/>
    <n v="0"/>
    <n v="0"/>
    <n v="-19.356870000000072"/>
    <n v="1619.5247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47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48"/>
    <n v="16.02"/>
    <n v="61.2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48"/>
    <s v="Regular"/>
    <s v="Convencional"/>
    <s v="B2"/>
    <s v="Rural"/>
    <s v="Aquicultura"/>
    <s v="IRRIG./AQUIC."/>
    <s v="Não se aplica"/>
    <s v="Não se aplica"/>
    <s v="CATIVO"/>
    <x v="8"/>
    <n v="0"/>
    <n v="0"/>
    <n v="3.1640000000000001"/>
    <n v="3.1640000000000001"/>
    <n v="3.1640000000000001"/>
    <n v="3.1640000000000001"/>
    <m/>
    <n v="571.87"/>
    <n v="216.76"/>
    <m/>
    <n v="2495.22532"/>
    <n v="2495.22532"/>
    <n v="1626.32764"/>
    <n v="0"/>
    <n v="191.77199232734037"/>
    <n v="0"/>
    <n v="0"/>
    <n v="0"/>
    <n v="2.6005349452437296"/>
    <n v="1349.0779280415745"/>
    <n v="675.83514860598439"/>
    <n v="9.9900285861352671"/>
    <n v="0"/>
    <n v="0"/>
    <n v="0"/>
    <n v="0"/>
    <n v="29.65817689571475"/>
    <m/>
    <n v="6.0700376756748318"/>
    <n v="28.101691678161384"/>
    <n v="88.044960583754317"/>
    <n v="0"/>
    <n v="0"/>
    <n v="0"/>
    <n v="0"/>
    <n v="0"/>
    <n v="0"/>
    <n v="0"/>
    <n v="0"/>
    <n v="0"/>
    <n v="0"/>
    <m/>
    <n v="0"/>
    <n v="0"/>
    <n v="1.882800283632718"/>
    <n v="0"/>
    <n v="0"/>
    <n v="112.18986334402592"/>
    <n v="0"/>
    <n v="0"/>
    <n v="0"/>
    <n v="0"/>
    <n v="0"/>
    <m/>
    <m/>
    <m/>
    <m/>
    <m/>
    <n v="195.15551999999994"/>
    <m/>
    <m/>
    <m/>
    <n v="789.90781223364297"/>
    <m/>
    <m/>
    <m/>
    <m/>
    <m/>
    <m/>
    <m/>
    <m/>
    <m/>
    <m/>
    <m/>
    <m/>
    <n v="1429.3628000000001"/>
    <n v="-766.48320000000035"/>
    <m/>
    <m/>
    <m/>
    <m/>
    <n v="-972.13900000000001"/>
    <n v="103.24131999999999"/>
    <n v="31"/>
    <n v="122.28956769834144"/>
    <n v="2.898732328511791"/>
    <n v="9.0819718801843266"/>
    <n v="0"/>
    <n v="0"/>
    <n v="0"/>
    <n v="0"/>
    <n v="0"/>
    <n v="0.25426745881687252"/>
    <n v="0"/>
    <n v="0"/>
    <n v="103.25458830798698"/>
    <n v="0"/>
    <n v="0"/>
    <n v="0.28765560440834759"/>
    <n v="17.140449377057479"/>
    <n v="0"/>
    <n v="-9.1623279896309384"/>
    <m/>
    <n v="0"/>
    <n v="0"/>
    <n v="0"/>
    <n v="0"/>
    <n v="-1.2017673931119717"/>
    <n v="-0.26400187588137936"/>
    <n v="0"/>
    <n v="0"/>
    <m/>
    <m/>
    <m/>
    <n v="1349.0779280415745"/>
    <n v="0"/>
    <n v="0"/>
    <n v="-972.13900000000001"/>
    <n v="103.24132000000009"/>
    <n v="0"/>
    <n v="0"/>
    <n v="-991.1807982056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49"/>
    <s v="Regular"/>
    <s v="Convencional"/>
    <s v="B2"/>
    <s v="Rural"/>
    <s v="Aquicultura"/>
    <s v="IRRIG./AQUIC. PR"/>
    <s v="Não se aplica"/>
    <s v="Não se aplica"/>
    <s v="CATIVO"/>
    <x v="8"/>
    <n v="0"/>
    <n v="0"/>
    <n v="3.4329999999999998"/>
    <n v="1.3732"/>
    <n v="3.4329999999999998"/>
    <n v="1.3732"/>
    <m/>
    <n v="571.87"/>
    <n v="216.76"/>
    <m/>
    <n v="2707.36679"/>
    <n v="2707.36679"/>
    <n v="1764.5963299999999"/>
    <n v="0"/>
    <n v="208.07624831218692"/>
    <n v="0"/>
    <n v="0"/>
    <n v="0"/>
    <n v="2.8216297304114168"/>
    <n v="1463.7751349452353"/>
    <n v="733.29395232754234"/>
    <n v="10.839370460240952"/>
    <n v="0"/>
    <n v="0"/>
    <n v="0"/>
    <n v="0"/>
    <n v="32.179684349870016"/>
    <m/>
    <n v="6.5861059862805611"/>
    <n v="30.490868372670047"/>
    <n v="95.530451859680326"/>
    <n v="0"/>
    <n v="0"/>
    <n v="0"/>
    <n v="0"/>
    <n v="0"/>
    <n v="0"/>
    <n v="0"/>
    <n v="0"/>
    <n v="0"/>
    <n v="0"/>
    <m/>
    <n v="0"/>
    <n v="0"/>
    <n v="2.042874011918812"/>
    <n v="0"/>
    <n v="0"/>
    <n v="121.72812922251612"/>
    <n v="0"/>
    <n v="0"/>
    <n v="0"/>
    <n v="0"/>
    <n v="0"/>
    <m/>
    <m/>
    <m/>
    <m/>
    <m/>
    <m/>
    <n v="1143.456774"/>
    <m/>
    <m/>
    <n v="857.06495556197729"/>
    <m/>
    <m/>
    <m/>
    <m/>
    <m/>
    <m/>
    <m/>
    <m/>
    <m/>
    <m/>
    <m/>
    <m/>
    <n v="619.69209999999998"/>
    <n v="-333.33870000000002"/>
    <m/>
    <m/>
    <m/>
    <m/>
    <n v="-1054.78925"/>
    <n v="112.01878999999998"/>
    <n v="31"/>
    <n v="132.68649997105126"/>
    <n v="3.1451795460748961"/>
    <n v="9.8541117144983446"/>
    <n v="0"/>
    <n v="0"/>
    <n v="0"/>
    <n v="0"/>
    <n v="0"/>
    <n v="0.27588501457595527"/>
    <n v="0"/>
    <n v="0"/>
    <n v="112.03318636577728"/>
    <n v="0"/>
    <n v="0"/>
    <n v="0.31211178569338083"/>
    <n v="18.597712614234609"/>
    <n v="0"/>
    <n v="-9.9412996170679264"/>
    <m/>
    <n v="0"/>
    <n v="0"/>
    <n v="0"/>
    <n v="0"/>
    <n v="-1.3039404110472219"/>
    <n v="-0.28644704168798185"/>
    <n v="0"/>
    <n v="0"/>
    <m/>
    <m/>
    <m/>
    <n v="1463.7751349452353"/>
    <n v="0"/>
    <n v="0"/>
    <n v="-1054.7892499999998"/>
    <n v="112.01878999999997"/>
    <n v="0"/>
    <n v="0"/>
    <n v="-1075.4499621492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0"/>
    <s v="Regular"/>
    <s v="Convencional"/>
    <s v="B1"/>
    <s v="Residencial"/>
    <s v="Residencial"/>
    <s v="Não se aplica"/>
    <s v="Não se aplica"/>
    <s v="Não se aplica"/>
    <s v="CATIVO"/>
    <x v="9"/>
    <n v="0"/>
    <n v="0"/>
    <n v="716.21900000000005"/>
    <n v="716.21900000000005"/>
    <n v="716.21900000000005"/>
    <n v="716.21900000000005"/>
    <m/>
    <n v="571.87"/>
    <n v="216.76"/>
    <m/>
    <n v="564831.78997000004"/>
    <n v="564831.78997000004"/>
    <n v="368143.72819000005"/>
    <n v="0"/>
    <n v="43410.475528664785"/>
    <n v="0"/>
    <n v="0"/>
    <n v="0"/>
    <n v="588.67020794801476"/>
    <n v="305384.08487484464"/>
    <n v="152985.45331840377"/>
    <n v="2261.3932629371729"/>
    <n v="0"/>
    <n v="0"/>
    <n v="0"/>
    <n v="0"/>
    <n v="6713.5745253071818"/>
    <m/>
    <n v="1374.0443470398711"/>
    <n v="6361.2406801646866"/>
    <n v="19930.301398336265"/>
    <n v="0"/>
    <n v="0"/>
    <n v="0"/>
    <n v="0"/>
    <n v="0"/>
    <n v="0"/>
    <n v="0"/>
    <n v="0"/>
    <n v="0"/>
    <n v="0"/>
    <m/>
    <n v="0"/>
    <n v="0"/>
    <n v="426.20016951426732"/>
    <n v="0"/>
    <n v="0"/>
    <n v="25395.863380023675"/>
    <n v="0"/>
    <n v="1383.01"/>
    <n v="6425.26"/>
    <n v="151396.89000000001"/>
    <n v="4448"/>
    <m/>
    <m/>
    <m/>
    <m/>
    <m/>
    <m/>
    <m/>
    <m/>
    <m/>
    <n v="178807.51686794171"/>
    <m/>
    <m/>
    <m/>
    <m/>
    <m/>
    <m/>
    <m/>
    <m/>
    <m/>
    <m/>
    <m/>
    <m/>
    <n v="368144.24219999998"/>
    <n v="-196687.57777000009"/>
    <m/>
    <m/>
    <m/>
    <m/>
    <n v="-220058.28775000002"/>
    <n v="23370.22597"/>
    <n v="30"/>
    <n v="27682.083403077908"/>
    <n v="656.17167180606339"/>
    <n v="2055.8409665150866"/>
    <n v="0"/>
    <n v="0"/>
    <n v="0"/>
    <n v="0"/>
    <n v="0"/>
    <n v="57.55726456585387"/>
    <n v="0"/>
    <n v="0"/>
    <n v="23373.229451124556"/>
    <n v="0"/>
    <n v="0"/>
    <n v="65.115173620019675"/>
    <n v="3879.9985816645822"/>
    <n v="0"/>
    <n v="-2074.0307807855424"/>
    <m/>
    <n v="0"/>
    <n v="0"/>
    <n v="0"/>
    <n v="0"/>
    <n v="-272.03812911733985"/>
    <n v="-59.760796315387324"/>
    <n v="0"/>
    <n v="0"/>
    <m/>
    <m/>
    <m/>
    <n v="305384.08487484464"/>
    <n v="0"/>
    <n v="0"/>
    <n v="-220058.28774999999"/>
    <n v="23370.22597"/>
    <n v="0"/>
    <n v="0"/>
    <n v="-224368.68524338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1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52"/>
    <n v="-0.152"/>
    <n v="-0.152"/>
    <n v="-0.152"/>
    <m/>
    <n v="571.87"/>
    <n v="216.76"/>
    <m/>
    <n v="-119.87175999999999"/>
    <n v="-119.87175999999999"/>
    <n v="-78.129519999999999"/>
    <n v="0"/>
    <n v="-9.2128137906939731"/>
    <n v="0"/>
    <n v="0"/>
    <n v="0"/>
    <n v="-0.12493088232523605"/>
    <n v="-64.810317655600286"/>
    <n v="-32.467428125192669"/>
    <n v="-0.47992551994075872"/>
    <n v="0"/>
    <n v="0"/>
    <n v="0"/>
    <n v="0"/>
    <n v="-1.4247923161026048"/>
    <m/>
    <n v="-0.29160737253557972"/>
    <n v="-1.3500180578636316"/>
    <n v="-4.2297199774749226"/>
    <n v="0"/>
    <n v="0"/>
    <n v="0"/>
    <n v="0"/>
    <n v="0"/>
    <n v="0"/>
    <n v="0"/>
    <n v="0"/>
    <n v="0"/>
    <n v="0"/>
    <m/>
    <n v="0"/>
    <n v="0"/>
    <n v="-9.0450582525971282E-2"/>
    <n v="0"/>
    <n v="0"/>
    <n v="-5.389652094908957"/>
    <n v="0"/>
    <n v="-0.13"/>
    <n v="-0.59"/>
    <n v="-33.47"/>
    <n v="0"/>
    <m/>
    <m/>
    <m/>
    <m/>
    <m/>
    <m/>
    <m/>
    <m/>
    <m/>
    <n v="-37.947530802627597"/>
    <m/>
    <m/>
    <m/>
    <m/>
    <m/>
    <m/>
    <m/>
    <m/>
    <m/>
    <m/>
    <m/>
    <m/>
    <n v="-77.101499999999987"/>
    <n v="42.740259999999992"/>
    <m/>
    <m/>
    <m/>
    <m/>
    <n v="46.701999999999998"/>
    <n v="-4.9597599999999993"/>
    <n v="30"/>
    <n v="-5.8748464886687444"/>
    <n v="-0.13925642033305685"/>
    <n v="-0.43630206251201553"/>
    <n v="0"/>
    <n v="0"/>
    <n v="0"/>
    <n v="0"/>
    <n v="0"/>
    <n v="-1.2215124443794134E-2"/>
    <n v="0"/>
    <n v="0"/>
    <n v="-4.9603974155543682"/>
    <n v="0"/>
    <n v="0"/>
    <n v="-1.3819106153624791E-2"/>
    <n v="-0.82343498903689571"/>
    <n v="0"/>
    <n v="0.44016240658151062"/>
    <m/>
    <n v="0"/>
    <n v="0"/>
    <n v="0"/>
    <n v="0"/>
    <n v="5.7733452513596628E-2"/>
    <n v="1.2682770269901888E-2"/>
    <n v="0"/>
    <n v="0"/>
    <m/>
    <m/>
    <m/>
    <n v="-64.810317655600286"/>
    <n v="0"/>
    <n v="0"/>
    <n v="46.701999999999998"/>
    <n v="-4.9597600000000028"/>
    <n v="0"/>
    <n v="0"/>
    <n v="47.616776652105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2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14.683999999999999"/>
    <n v="14.683999999999999"/>
    <n v="14.683999999999999"/>
    <n v="14.683999999999999"/>
    <m/>
    <n v="571.87"/>
    <n v="216.76"/>
    <m/>
    <n v="11580.242919999999"/>
    <n v="11580.242919999999"/>
    <n v="7547.7228400000004"/>
    <n v="0"/>
    <n v="890.00630067467307"/>
    <n v="0"/>
    <n v="0"/>
    <n v="0"/>
    <n v="12.068980763577409"/>
    <n v="6261.0177924660165"/>
    <n v="3136.5244380942709"/>
    <n v="46.36333115006645"/>
    <n v="0"/>
    <n v="0"/>
    <n v="0"/>
    <n v="0"/>
    <n v="137.6424366424385"/>
    <m/>
    <n v="28.170806962581928"/>
    <n v="130.41884974782607"/>
    <n v="408.61321150816951"/>
    <n v="0"/>
    <n v="0"/>
    <n v="0"/>
    <n v="0"/>
    <n v="0"/>
    <n v="0"/>
    <n v="0"/>
    <n v="0"/>
    <n v="0"/>
    <n v="0"/>
    <m/>
    <n v="0"/>
    <n v="0"/>
    <n v="8.7380023277063312"/>
    <n v="0"/>
    <n v="0"/>
    <n v="520.66875895817839"/>
    <n v="0"/>
    <n v="27.42"/>
    <n v="131.66999999999999"/>
    <n v="7333.4"/>
    <n v="202"/>
    <m/>
    <m/>
    <m/>
    <m/>
    <m/>
    <m/>
    <m/>
    <m/>
    <m/>
    <n v="3665.9311993801557"/>
    <m/>
    <m/>
    <m/>
    <m/>
    <m/>
    <m/>
    <m/>
    <m/>
    <m/>
    <m/>
    <m/>
    <m/>
    <n v="7545.6667999999991"/>
    <n v="-4034.6061200000004"/>
    <m/>
    <m/>
    <m/>
    <m/>
    <n v="-4511.6589999999997"/>
    <n v="479.13891999999993"/>
    <n v="30"/>
    <n v="567.54109105007774"/>
    <n v="13.45290313270138"/>
    <n v="42.149075565305509"/>
    <n v="0"/>
    <n v="0"/>
    <n v="0"/>
    <n v="0"/>
    <n v="0"/>
    <n v="1.180045311399164"/>
    <n v="0"/>
    <n v="0"/>
    <n v="479.20049769737079"/>
    <n v="0"/>
    <n v="0"/>
    <n v="1.334998386577805"/>
    <n v="79.548153809327459"/>
    <n v="0"/>
    <n v="-42.522005120019116"/>
    <m/>
    <n v="0"/>
    <n v="0"/>
    <n v="0"/>
    <n v="0"/>
    <n v="-5.5773553730898584"/>
    <n v="-1.2252223594949996"/>
    <n v="0"/>
    <n v="0"/>
    <m/>
    <m/>
    <m/>
    <n v="6261.0177924660165"/>
    <n v="0"/>
    <n v="0"/>
    <n v="-4511.6589999999997"/>
    <n v="479.13892000000033"/>
    <n v="0"/>
    <n v="0"/>
    <n v="-4600.0312392073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3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7.68"/>
    <n v="7.68"/>
    <n v="7.68"/>
    <n v="7.68"/>
    <m/>
    <n v="501.89"/>
    <n v="216.76"/>
    <m/>
    <n v="5519.232"/>
    <n v="5519.232"/>
    <n v="3435.2639999999997"/>
    <n v="0"/>
    <n v="0"/>
    <n v="0"/>
    <n v="0"/>
    <n v="0"/>
    <n v="6.312297212222453"/>
    <n v="3274.6265762829617"/>
    <n v="1640.4595263255244"/>
    <n v="24.248868375954125"/>
    <n v="0"/>
    <n v="0"/>
    <n v="0"/>
    <n v="0"/>
    <n v="0"/>
    <m/>
    <n v="14.733846191271397"/>
    <n v="68.2114387131098"/>
    <n v="213.71216728294348"/>
    <n v="0"/>
    <n v="0"/>
    <n v="0"/>
    <n v="0"/>
    <n v="0"/>
    <n v="0"/>
    <n v="0"/>
    <n v="0"/>
    <n v="0"/>
    <n v="0"/>
    <m/>
    <n v="0"/>
    <n v="0"/>
    <n v="4.5701346960490747"/>
    <n v="0"/>
    <n v="0"/>
    <n v="272.31926374276833"/>
    <n v="0"/>
    <n v="2.58"/>
    <n v="17.850000000000001"/>
    <n v="376"/>
    <n v="19"/>
    <m/>
    <m/>
    <m/>
    <m/>
    <m/>
    <m/>
    <m/>
    <n v="2232.8831999999993"/>
    <m/>
    <n v="1917.3489247643417"/>
    <m/>
    <m/>
    <m/>
    <m/>
    <m/>
    <m/>
    <m/>
    <m/>
    <m/>
    <m/>
    <m/>
    <m/>
    <n v="1202.3807999999999"/>
    <n v="-729.39959999999996"/>
    <m/>
    <m/>
    <m/>
    <m/>
    <n v="-2334.5664000000002"/>
    <n v="250.59839999999997"/>
    <n v="30"/>
    <n v="321.99119230806809"/>
    <n v="7.0361138694597116"/>
    <n v="22.044735790080779"/>
    <n v="0"/>
    <n v="0"/>
    <n v="0"/>
    <n v="0"/>
    <n v="0"/>
    <n v="0.617185235054861"/>
    <n v="0"/>
    <n v="0"/>
    <n v="250.63060625958906"/>
    <n v="0"/>
    <n v="0"/>
    <n v="0.69822852144630598"/>
    <n v="41.605136288180006"/>
    <n v="0"/>
    <n v="0"/>
    <m/>
    <n v="0"/>
    <n v="0"/>
    <n v="0"/>
    <n v="0"/>
    <n v="0"/>
    <n v="-0.64081365574241111"/>
    <n v="0"/>
    <n v="0"/>
    <m/>
    <m/>
    <m/>
    <n v="3274.6265762829617"/>
    <n v="0"/>
    <n v="0"/>
    <n v="-2334.5663999999997"/>
    <n v="250.59839999999986"/>
    <n v="0"/>
    <n v="0"/>
    <n v="-2405.900294001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4"/>
    <s v="Refaturamento - 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1"/>
    <n v="0.01"/>
    <n v="-0.9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55"/>
    <s v="Sistema de Compensação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6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56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5.093999999999999"/>
    <n v="15.093999999999999"/>
    <n v="15.093999999999999"/>
    <n v="15.093999999999999"/>
    <m/>
    <n v="501.89"/>
    <n v="216.76"/>
    <m/>
    <n v="10847.303099999999"/>
    <n v="10847.303099999999"/>
    <n v="6751.5461999999989"/>
    <n v="0"/>
    <n v="0"/>
    <n v="0"/>
    <n v="0"/>
    <n v="0"/>
    <n v="12.405965380375743"/>
    <n v="6435.835096668623"/>
    <n v="3224.1010534319616"/>
    <n v="47.657867092011919"/>
    <n v="0"/>
    <n v="0"/>
    <n v="0"/>
    <n v="0"/>
    <n v="0"/>
    <m/>
    <n v="28.957379480605532"/>
    <n v="134.06034582495826"/>
    <n v="420.02232460530581"/>
    <n v="0"/>
    <n v="0"/>
    <n v="0"/>
    <n v="0"/>
    <n v="0"/>
    <n v="0"/>
    <n v="0"/>
    <n v="0"/>
    <n v="0"/>
    <n v="0"/>
    <m/>
    <n v="0"/>
    <n v="0"/>
    <n v="8.9819808726777008"/>
    <n v="0"/>
    <n v="0"/>
    <n v="535.20663631944603"/>
    <n v="0"/>
    <n v="12.51"/>
    <n v="56.13"/>
    <n v="1362.29"/>
    <n v="45"/>
    <m/>
    <m/>
    <m/>
    <m/>
    <m/>
    <m/>
    <m/>
    <n v="2700.4675399999996"/>
    <m/>
    <n v="3768.2896706240854"/>
    <m/>
    <m/>
    <m/>
    <m/>
    <m/>
    <m/>
    <m/>
    <m/>
    <m/>
    <m/>
    <m/>
    <m/>
    <n v="4050.0050999999999"/>
    <n v="-2458.4067600000003"/>
    <m/>
    <m/>
    <m/>
    <m/>
    <n v="-4588.27412"/>
    <n v="492.5172199999999"/>
    <n v="30"/>
    <n v="632.83008550754857"/>
    <n v="13.82852900333657"/>
    <n v="43.325942970765539"/>
    <n v="0"/>
    <n v="0"/>
    <n v="0"/>
    <n v="0"/>
    <n v="0"/>
    <n v="1.2129940023330814"/>
    <n v="0"/>
    <n v="0"/>
    <n v="492.58051704195805"/>
    <n v="0"/>
    <n v="0"/>
    <n v="1.3722736071237662"/>
    <n v="81.769261345545374"/>
    <n v="0"/>
    <n v="0"/>
    <m/>
    <n v="0"/>
    <n v="0"/>
    <n v="0"/>
    <n v="0"/>
    <n v="0"/>
    <n v="-1.2594324635124963"/>
    <n v="0"/>
    <n v="0"/>
    <m/>
    <m/>
    <m/>
    <n v="6435.835096668623"/>
    <n v="0"/>
    <n v="0"/>
    <n v="-4588.27412"/>
    <n v="492.51721999999972"/>
    <n v="0"/>
    <n v="0"/>
    <n v="-4728.471228861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7"/>
    <s v="Refaturamento - 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-7.0000000000000007E-2"/>
    <n v="-7.0000000000000007E-2"/>
    <n v="-7.0000000000000007E-2"/>
    <n v="-7.0000000000000007E-2"/>
    <m/>
    <n v="501.89"/>
    <n v="216.76"/>
    <m/>
    <n v="-50.305500000000002"/>
    <n v="-50.305500000000002"/>
    <n v="-31.311"/>
    <n v="0"/>
    <n v="0"/>
    <n v="0"/>
    <n v="0"/>
    <n v="0"/>
    <n v="-5.7533958965569246E-2"/>
    <n v="-29.846856815079082"/>
    <n v="-14.952105057654521"/>
    <n v="-0.22101833155166523"/>
    <n v="0"/>
    <n v="0"/>
    <n v="0"/>
    <n v="0"/>
    <n v="0"/>
    <m/>
    <n v="-0.13429286893085912"/>
    <n v="-0.62171884243719877"/>
    <n v="-1.9478973580476622"/>
    <n v="0"/>
    <n v="0"/>
    <n v="0"/>
    <n v="0"/>
    <n v="0"/>
    <n v="0"/>
    <n v="0"/>
    <n v="0"/>
    <n v="0"/>
    <n v="0"/>
    <m/>
    <n v="0"/>
    <n v="0"/>
    <n v="-4.1654873531697306E-2"/>
    <n v="0"/>
    <n v="0"/>
    <n v="-2.4820766226554412"/>
    <n v="0"/>
    <n v="-0.02"/>
    <n v="-0.12"/>
    <n v="-6.3"/>
    <n v="0"/>
    <m/>
    <m/>
    <m/>
    <m/>
    <m/>
    <m/>
    <m/>
    <n v="-12.523700000000002"/>
    <m/>
    <n v="-17.47583655384166"/>
    <m/>
    <m/>
    <m/>
    <m/>
    <m/>
    <m/>
    <m/>
    <m/>
    <m/>
    <m/>
    <m/>
    <m/>
    <n v="-18.787300000000002"/>
    <n v="11.365999999999996"/>
    <m/>
    <m/>
    <m/>
    <m/>
    <n v="21.278600000000004"/>
    <n v="-2.2841"/>
    <n v="30"/>
    <n v="-2.934815554891248"/>
    <n v="-6.4131246206013071E-2"/>
    <n v="-0.20092858142000725"/>
    <n v="0"/>
    <n v="0"/>
    <n v="0"/>
    <n v="0"/>
    <n v="0"/>
    <n v="-5.6253862570104507E-3"/>
    <n v="0"/>
    <n v="0"/>
    <n v="-2.2843935466368812"/>
    <n v="0"/>
    <n v="0"/>
    <n v="-6.3640620444324683E-3"/>
    <n v="-0.37921348179330705"/>
    <n v="0"/>
    <n v="0"/>
    <m/>
    <n v="0"/>
    <n v="0"/>
    <n v="0"/>
    <n v="0"/>
    <n v="0"/>
    <n v="5.8407494664022008E-3"/>
    <n v="0"/>
    <n v="0"/>
    <m/>
    <m/>
    <m/>
    <n v="-29.846856815079082"/>
    <n v="0"/>
    <n v="0"/>
    <n v="21.278599999999997"/>
    <n v="-2.2840999999999987"/>
    <n v="0"/>
    <n v="0"/>
    <n v="21.928778721364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58"/>
    <s v="Sistema de Compensação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7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59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5.271000000000001"/>
    <n v="15.271000000000001"/>
    <n v="15.271000000000001"/>
    <n v="15.271000000000001"/>
    <m/>
    <n v="501.89"/>
    <n v="216.76"/>
    <m/>
    <n v="10974.504150000001"/>
    <n v="10974.504150000001"/>
    <n v="6830.7183000000005"/>
    <n v="0"/>
    <n v="0"/>
    <n v="0"/>
    <n v="0"/>
    <n v="0"/>
    <n v="12.551444105188684"/>
    <n v="6511.3050060438954"/>
    <n v="3261.9085190777455"/>
    <n v="48.216727730363992"/>
    <n v="0"/>
    <n v="0"/>
    <n v="0"/>
    <n v="0"/>
    <n v="0"/>
    <m/>
    <n v="29.296948592044991"/>
    <n v="135.63240632654947"/>
    <n v="424.94772221065494"/>
    <n v="0"/>
    <n v="0"/>
    <n v="0"/>
    <n v="0"/>
    <n v="0"/>
    <n v="0"/>
    <n v="0"/>
    <n v="0"/>
    <n v="0"/>
    <n v="0"/>
    <m/>
    <n v="0"/>
    <n v="0"/>
    <n v="9.0873081957507065"/>
    <n v="0"/>
    <n v="0"/>
    <n v="541.48274435101769"/>
    <n v="0"/>
    <n v="18.670000000000002"/>
    <n v="85.46"/>
    <n v="2083.33"/>
    <n v="129"/>
    <m/>
    <m/>
    <m/>
    <m/>
    <m/>
    <m/>
    <m/>
    <n v="683.07182999999986"/>
    <m/>
    <n v="3812.4785716245137"/>
    <m/>
    <m/>
    <m/>
    <m/>
    <m/>
    <m/>
    <m/>
    <m/>
    <m/>
    <m/>
    <m/>
    <m/>
    <n v="6147.2438999999995"/>
    <n v="-3729.7634800000014"/>
    <m/>
    <m/>
    <m/>
    <m/>
    <n v="-4642.0785800000003"/>
    <n v="498.29272999999995"/>
    <n v="30"/>
    <n v="640.25097626777551"/>
    <n v="13.990689440171764"/>
    <n v="43.834005240927581"/>
    <n v="0"/>
    <n v="0"/>
    <n v="0"/>
    <n v="0"/>
    <n v="0"/>
    <n v="1.2272181932972366"/>
    <n v="0"/>
    <n v="0"/>
    <n v="498.35676929559713"/>
    <n v="0"/>
    <n v="0"/>
    <n v="1.3883655925789764"/>
    <n v="82.72812972093709"/>
    <n v="0"/>
    <n v="0"/>
    <m/>
    <n v="0"/>
    <n v="0"/>
    <n v="0"/>
    <n v="0"/>
    <n v="0"/>
    <n v="-1.2742012157346849"/>
    <n v="0"/>
    <n v="0"/>
    <m/>
    <m/>
    <m/>
    <n v="6511.3050060438954"/>
    <n v="0"/>
    <n v="0"/>
    <n v="-4642.0785799999994"/>
    <n v="498.29273000000012"/>
    <n v="0"/>
    <n v="0"/>
    <n v="-4783.9197121994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0"/>
    <s v="Refaturamento - 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-0.12"/>
    <n v="-0.12"/>
    <n v="-0.12"/>
    <n v="-0.12"/>
    <m/>
    <n v="501.89"/>
    <n v="216.76"/>
    <m/>
    <n v="-86.238"/>
    <n v="-86.238"/>
    <n v="-53.675999999999995"/>
    <n v="0"/>
    <n v="0"/>
    <n v="0"/>
    <n v="0"/>
    <n v="0"/>
    <n v="-9.8629643940975828E-2"/>
    <n v="-51.166040254421276"/>
    <n v="-25.632180098836319"/>
    <n v="-0.3788885683742832"/>
    <n v="0"/>
    <n v="0"/>
    <n v="0"/>
    <n v="0"/>
    <n v="0"/>
    <m/>
    <n v="-0.23021634673861557"/>
    <n v="-1.0658037298923406"/>
    <n v="-3.3392526137959919"/>
    <n v="0"/>
    <n v="0"/>
    <n v="0"/>
    <n v="0"/>
    <n v="0"/>
    <n v="0"/>
    <n v="0"/>
    <n v="0"/>
    <n v="0"/>
    <n v="0"/>
    <m/>
    <n v="0"/>
    <n v="0"/>
    <n v="-7.1408354625766793E-2"/>
    <n v="0"/>
    <n v="0"/>
    <n v="-4.2549884959807551"/>
    <n v="0"/>
    <n v="-0.06"/>
    <n v="-0.28999999999999998"/>
    <n v="-16.22"/>
    <n v="0"/>
    <m/>
    <m/>
    <m/>
    <m/>
    <m/>
    <m/>
    <m/>
    <n v="-5.3675999999999986"/>
    <m/>
    <n v="-29.95857694944284"/>
    <m/>
    <m/>
    <m/>
    <m/>
    <m/>
    <m/>
    <m/>
    <m/>
    <m/>
    <m/>
    <m/>
    <m/>
    <n v="-48.308399999999999"/>
    <n v="29.275199999999991"/>
    <m/>
    <m/>
    <m/>
    <m/>
    <n v="36.477600000000002"/>
    <n v="-3.9155999999999995"/>
    <n v="30"/>
    <n v="-5.031112379813564"/>
    <n v="-0.10993927921030799"/>
    <n v="-0.34444899672001217"/>
    <n v="0"/>
    <n v="0"/>
    <n v="0"/>
    <n v="0"/>
    <n v="0"/>
    <n v="-9.6435192977322032E-3"/>
    <n v="0"/>
    <n v="0"/>
    <n v="-3.916103222806079"/>
    <n v="0"/>
    <n v="0"/>
    <n v="-1.0909820647598531E-2"/>
    <n v="-0.65008025450281259"/>
    <n v="0"/>
    <n v="0"/>
    <m/>
    <n v="0"/>
    <n v="0"/>
    <n v="0"/>
    <n v="0"/>
    <n v="0"/>
    <n v="1.0012713370975174E-2"/>
    <n v="0"/>
    <n v="0"/>
    <m/>
    <m/>
    <m/>
    <n v="-51.166040254421276"/>
    <n v="0"/>
    <n v="0"/>
    <n v="36.477599999999995"/>
    <n v="-3.9155999999999977"/>
    <n v="0"/>
    <n v="0"/>
    <n v="37.5921920937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1"/>
    <s v="Sistema de Compensação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.7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62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6.0650000000000004"/>
    <n v="6.0650000000000004"/>
    <n v="6.0650000000000004"/>
    <n v="6.0650000000000004"/>
    <m/>
    <n v="501.89"/>
    <n v="216.76"/>
    <m/>
    <n v="4358.6122500000001"/>
    <n v="4358.6122500000001"/>
    <n v="2712.8744999999999"/>
    <n v="0"/>
    <n v="0"/>
    <n v="0"/>
    <n v="0"/>
    <n v="0"/>
    <n v="4.9849065875168206"/>
    <n v="2586.016951192209"/>
    <n v="1295.4931024953523"/>
    <n v="19.149659726583565"/>
    <n v="0"/>
    <n v="0"/>
    <n v="0"/>
    <n v="0"/>
    <n v="0"/>
    <m/>
    <n v="11.635517858080863"/>
    <n v="53.867496848308726"/>
    <n v="168.77139252227244"/>
    <n v="0"/>
    <n v="0"/>
    <n v="0"/>
    <n v="0"/>
    <n v="0"/>
    <n v="0"/>
    <n v="0"/>
    <n v="0"/>
    <n v="0"/>
    <n v="0"/>
    <m/>
    <n v="0"/>
    <n v="0"/>
    <n v="3.6090972567106308"/>
    <n v="0"/>
    <n v="0"/>
    <n v="215.05421023436071"/>
    <n v="0"/>
    <n v="8.3000000000000007"/>
    <n v="38.4"/>
    <n v="919.98"/>
    <n v="63"/>
    <m/>
    <m/>
    <m/>
    <m/>
    <m/>
    <m/>
    <m/>
    <m/>
    <m/>
    <n v="1514.1564099864236"/>
    <m/>
    <m/>
    <m/>
    <m/>
    <m/>
    <m/>
    <m/>
    <m/>
    <m/>
    <m/>
    <m/>
    <m/>
    <n v="2715.1109999999999"/>
    <n v="-1643.5312500000009"/>
    <m/>
    <m/>
    <m/>
    <m/>
    <n v="-1843.6387000000002"/>
    <n v="197.90094999999999"/>
    <n v="30"/>
    <n v="254.28080486307772"/>
    <n v="5.5565144034209837"/>
    <n v="17.409026375890619"/>
    <n v="0"/>
    <n v="0"/>
    <n v="0"/>
    <n v="0"/>
    <n v="0"/>
    <n v="0.48739953783954881"/>
    <n v="0"/>
    <n v="0"/>
    <n v="197.92638371932412"/>
    <n v="0"/>
    <n v="0"/>
    <n v="0.5514005185640416"/>
    <n v="32.856139529662954"/>
    <n v="0"/>
    <n v="0"/>
    <m/>
    <n v="0"/>
    <n v="0"/>
    <n v="0"/>
    <n v="0"/>
    <n v="0"/>
    <n v="-0.50605922162470307"/>
    <n v="0"/>
    <n v="0"/>
    <m/>
    <m/>
    <m/>
    <n v="2586.016951192209"/>
    <n v="0"/>
    <n v="0"/>
    <n v="-1843.6386999999997"/>
    <n v="197.90094999999997"/>
    <n v="0"/>
    <n v="0"/>
    <n v="-1899.9720420725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3"/>
    <s v="Refaturamento - 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-0.129"/>
    <n v="-0.129"/>
    <n v="-0.129"/>
    <n v="-0.129"/>
    <m/>
    <n v="501.89"/>
    <n v="216.76"/>
    <m/>
    <n v="-92.705849999999998"/>
    <n v="-92.705849999999998"/>
    <n v="-57.701700000000002"/>
    <n v="0"/>
    <n v="0"/>
    <n v="0"/>
    <n v="0"/>
    <n v="0"/>
    <n v="-0.10602686723654903"/>
    <n v="-55.003493273502876"/>
    <n v="-27.554593606249046"/>
    <n v="-0.40730521100235445"/>
    <n v="0"/>
    <n v="0"/>
    <n v="0"/>
    <n v="0"/>
    <n v="0"/>
    <m/>
    <n v="-0.24748257274401178"/>
    <n v="-1.1457390096342663"/>
    <n v="-3.5896965598306916"/>
    <n v="0"/>
    <n v="0"/>
    <n v="0"/>
    <n v="0"/>
    <n v="0"/>
    <n v="0"/>
    <n v="0"/>
    <n v="0"/>
    <n v="0"/>
    <n v="0"/>
    <m/>
    <n v="0"/>
    <n v="0"/>
    <n v="-7.6763981222699312E-2"/>
    <n v="0"/>
    <n v="0"/>
    <n v="-4.574112633179312"/>
    <n v="0"/>
    <n v="-0.09"/>
    <n v="-0.39"/>
    <n v="-19.399999999999999"/>
    <n v="0"/>
    <m/>
    <m/>
    <m/>
    <m/>
    <m/>
    <m/>
    <m/>
    <m/>
    <m/>
    <n v="-32.205470220651058"/>
    <m/>
    <m/>
    <m/>
    <m/>
    <m/>
    <m/>
    <m/>
    <m/>
    <m/>
    <m/>
    <m/>
    <m/>
    <n v="-58.149000000000001"/>
    <n v="34.526849999999982"/>
    <m/>
    <m/>
    <m/>
    <m/>
    <n v="39.213420000000006"/>
    <n v="-4.2092699999999992"/>
    <n v="30"/>
    <n v="-5.4084458082995752"/>
    <n v="-0.11818472515108103"/>
    <n v="-0.37028267147401284"/>
    <n v="0"/>
    <n v="0"/>
    <n v="0"/>
    <n v="0"/>
    <n v="0"/>
    <n v="-1.0366783245062114E-2"/>
    <n v="0"/>
    <n v="0"/>
    <n v="-4.2098109645165351"/>
    <n v="0"/>
    <n v="0"/>
    <n v="-1.1728057196168415E-2"/>
    <n v="-0.69883627359052358"/>
    <n v="0"/>
    <n v="0"/>
    <m/>
    <n v="0"/>
    <n v="0"/>
    <n v="0"/>
    <n v="0"/>
    <n v="0"/>
    <n v="1.0763666873798344E-2"/>
    <n v="0"/>
    <n v="0"/>
    <m/>
    <m/>
    <m/>
    <n v="-55.003493273502876"/>
    <n v="0"/>
    <n v="0"/>
    <n v="39.213419999999999"/>
    <n v="-4.2092700000000001"/>
    <n v="0"/>
    <n v="0"/>
    <n v="40.411606500800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4"/>
    <s v="Regular"/>
    <s v="Convencional"/>
    <s v="B3"/>
    <s v="Industrial"/>
    <s v="Não se aplica"/>
    <s v="Não se aplica"/>
    <s v="Não se aplica"/>
    <s v="Não se aplica"/>
    <s v="CATIVO"/>
    <x v="9"/>
    <n v="0"/>
    <n v="0"/>
    <n v="38.319000000000003"/>
    <n v="38.319000000000003"/>
    <n v="38.319000000000003"/>
    <n v="38.319000000000003"/>
    <m/>
    <n v="571.87"/>
    <n v="216.76"/>
    <m/>
    <n v="30219.512970000003"/>
    <n v="30219.512970000003"/>
    <n v="19696.349190000001"/>
    <n v="0"/>
    <n v="2322.5382345105422"/>
    <n v="0"/>
    <n v="0"/>
    <n v="0"/>
    <n v="31.49491105145211"/>
    <n v="16338.595804243076"/>
    <n v="8184.9959100609085"/>
    <n v="120.988592096118"/>
    <n v="0"/>
    <n v="0"/>
    <n v="0"/>
    <n v="0"/>
    <n v="359.18826816273503"/>
    <m/>
    <n v="73.513834922308433"/>
    <n v="340.33777604787173"/>
    <n v="1066.3068409004052"/>
    <n v="0"/>
    <n v="0"/>
    <n v="0"/>
    <n v="0"/>
    <n v="0"/>
    <n v="0"/>
    <n v="0"/>
    <n v="0"/>
    <n v="0"/>
    <n v="0"/>
    <m/>
    <n v="0"/>
    <n v="0"/>
    <n v="22.802472840872987"/>
    <n v="0"/>
    <n v="0"/>
    <n v="1358.724201479055"/>
    <n v="0"/>
    <n v="53.13"/>
    <n v="243.11"/>
    <n v="5209.3100000000004"/>
    <n v="28"/>
    <m/>
    <m/>
    <m/>
    <m/>
    <m/>
    <m/>
    <m/>
    <m/>
    <m/>
    <n v="9566.5225843808366"/>
    <m/>
    <m/>
    <m/>
    <m/>
    <m/>
    <m/>
    <m/>
    <m/>
    <m/>
    <m/>
    <m/>
    <m/>
    <n v="19696.8632"/>
    <n v="-10522.679769999999"/>
    <m/>
    <m/>
    <m/>
    <m/>
    <n v="-11773.512750000002"/>
    <n v="1250.34897"/>
    <n v="30"/>
    <n v="1481.0410697322186"/>
    <n v="35.106360333831617"/>
    <n v="109.99117587761793"/>
    <n v="0"/>
    <n v="0"/>
    <n v="0"/>
    <n v="0"/>
    <n v="0"/>
    <n v="3.0794167997483335"/>
    <n v="0"/>
    <n v="0"/>
    <n v="1250.509661622551"/>
    <n v="0"/>
    <n v="0"/>
    <n v="3.483778478294397"/>
    <n v="207.58687726911057"/>
    <n v="0"/>
    <n v="-110.9643635381376"/>
    <m/>
    <n v="0"/>
    <n v="0"/>
    <n v="0"/>
    <n v="0"/>
    <n v="-14.554527413608639"/>
    <n v="-3.1973096971866539"/>
    <n v="0"/>
    <n v="0"/>
    <m/>
    <m/>
    <m/>
    <n v="16338.595804243076"/>
    <n v="0"/>
    <n v="0"/>
    <n v="-11773.512750000002"/>
    <n v="1250.3489700000009"/>
    <n v="0"/>
    <n v="0"/>
    <n v="-12004.126740342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5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2.4790000000000001"/>
    <n v="2.4790000000000001"/>
    <n v="2.4790000000000001"/>
    <n v="2.4790000000000001"/>
    <m/>
    <n v="571.87"/>
    <n v="216.76"/>
    <m/>
    <n v="1955.01377"/>
    <n v="1955.01377"/>
    <n v="1274.2307900000001"/>
    <n v="0"/>
    <n v="150.25371965217343"/>
    <n v="0"/>
    <n v="0"/>
    <n v="0"/>
    <n v="2.0375240610806591"/>
    <n v="1057.0051149225862"/>
    <n v="529.51812054179368"/>
    <n v="7.8272063416654012"/>
    <n v="0"/>
    <n v="0"/>
    <n v="0"/>
    <n v="0"/>
    <n v="23.23723783959446"/>
    <m/>
    <n v="4.7558860297085674"/>
    <n v="22.017728720025939"/>
    <n v="68.9833935800022"/>
    <n v="0"/>
    <n v="0"/>
    <n v="0"/>
    <n v="0"/>
    <n v="0"/>
    <n v="0"/>
    <n v="0"/>
    <n v="0"/>
    <n v="0"/>
    <n v="0"/>
    <m/>
    <n v="0"/>
    <n v="0"/>
    <n v="1.4751775926439659"/>
    <n v="0"/>
    <n v="0"/>
    <n v="87.900970679469111"/>
    <n v="0"/>
    <n v="4.41"/>
    <n v="20.27"/>
    <n v="1092.98"/>
    <n v="4"/>
    <m/>
    <m/>
    <m/>
    <m/>
    <m/>
    <m/>
    <m/>
    <m/>
    <m/>
    <n v="618.89426881390671"/>
    <m/>
    <m/>
    <m/>
    <m/>
    <m/>
    <m/>
    <m/>
    <m/>
    <m/>
    <m/>
    <m/>
    <m/>
    <n v="1274.7447999999999"/>
    <n v="-680.29897000000005"/>
    <m/>
    <m/>
    <m/>
    <m/>
    <n v="-761.67275000000006"/>
    <n v="80.889769999999999"/>
    <n v="30"/>
    <n v="95.814108193485595"/>
    <n v="2.2711622763529462"/>
    <n v="7.1157421905742524"/>
    <n v="0"/>
    <n v="0"/>
    <n v="0"/>
    <n v="0"/>
    <n v="0"/>
    <n v="0.19921903615898451"/>
    <n v="0"/>
    <n v="0"/>
    <n v="80.90016574446895"/>
    <n v="0"/>
    <n v="0"/>
    <n v="0.2253787115449728"/>
    <n v="13.429574590937264"/>
    <n v="0"/>
    <n v="-7.1787013547076697"/>
    <m/>
    <n v="0"/>
    <n v="0"/>
    <n v="0"/>
    <n v="0"/>
    <n v="-0.94158703145530609"/>
    <n v="-0.20684597038872887"/>
    <n v="0"/>
    <n v="0"/>
    <m/>
    <m/>
    <m/>
    <n v="1057.0051149225862"/>
    <n v="0"/>
    <n v="0"/>
    <n v="-761.67275000000018"/>
    <n v="80.889769999999999"/>
    <n v="0"/>
    <n v="0"/>
    <n v="-776.59203500375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6"/>
    <s v="Regular"/>
    <s v="Verde"/>
    <s v="A4"/>
    <s v="Industrial"/>
    <s v="Não se aplica"/>
    <s v="Não se aplica"/>
    <s v="Não se aplica"/>
    <s v="Ponta"/>
    <s v="CATIVO"/>
    <x v="9"/>
    <n v="0"/>
    <n v="0"/>
    <n v="0.80800000000000005"/>
    <n v="0.80800000000000005"/>
    <n v="0.80800000000000005"/>
    <n v="0.80800000000000005"/>
    <m/>
    <n v="2592.54"/>
    <n v="216.76"/>
    <m/>
    <n v="2269.9144000000001"/>
    <n v="2269.9144000000001"/>
    <n v="954.40959999999995"/>
    <n v="0"/>
    <n v="42.606839357277877"/>
    <n v="0"/>
    <n v="0"/>
    <n v="0"/>
    <n v="4.0857612473099021"/>
    <n v="1851.0403355663746"/>
    <n v="172.59001266549791"/>
    <n v="2.551183027053507"/>
    <n v="0"/>
    <n v="0"/>
    <n v="0"/>
    <n v="0"/>
    <n v="7.5738959961243744"/>
    <m/>
    <n v="1.1095635347731716"/>
    <n v="36.452816204992743"/>
    <n v="138.33020496928773"/>
    <n v="0"/>
    <n v="0"/>
    <n v="0"/>
    <n v="0"/>
    <n v="0"/>
    <n v="0"/>
    <n v="0"/>
    <n v="0"/>
    <n v="0"/>
    <n v="0"/>
    <m/>
    <n v="0"/>
    <n v="0"/>
    <n v="0.36949734835160447"/>
    <n v="0"/>
    <n v="0"/>
    <n v="13.19961471626044"/>
    <n v="0"/>
    <n v="0"/>
    <n v="0"/>
    <n v="0"/>
    <n v="0"/>
    <m/>
    <m/>
    <m/>
    <m/>
    <m/>
    <m/>
    <m/>
    <m/>
    <m/>
    <n v="186.15912473010997"/>
    <m/>
    <m/>
    <m/>
    <m/>
    <m/>
    <m/>
    <m/>
    <m/>
    <m/>
    <m/>
    <m/>
    <m/>
    <n v="956.77200000000005"/>
    <n v="-1313.1724000000008"/>
    <m/>
    <m/>
    <m/>
    <m/>
    <n v="-1341.8698400000001"/>
    <n v="26.365039999999997"/>
    <n v="30"/>
    <n v="44.479355806671776"/>
    <n v="3.76016355203366"/>
    <n v="14.268971482088006"/>
    <n v="0"/>
    <n v="0"/>
    <n v="0"/>
    <n v="0"/>
    <n v="0"/>
    <n v="0.39948554876603826"/>
    <n v="0"/>
    <n v="0"/>
    <n v="26.368428366894278"/>
    <n v="0"/>
    <n v="0"/>
    <n v="5.6452075130501211E-2"/>
    <n v="2.0166467905121408"/>
    <n v="0"/>
    <n v="-2.0356352982271844"/>
    <m/>
    <n v="0"/>
    <n v="0"/>
    <n v="0"/>
    <n v="0"/>
    <n v="-0.30689887915122505"/>
    <n v="-4.8257831374518778E-2"/>
    <n v="0"/>
    <n v="0"/>
    <m/>
    <m/>
    <m/>
    <n v="1851.0403355663746"/>
    <n v="0"/>
    <n v="0"/>
    <n v="-1341.8698400000001"/>
    <n v="26.365040000000022"/>
    <n v="0"/>
    <n v="0"/>
    <n v="-1359.9775069932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7"/>
    <s v="Regular"/>
    <s v="Verde"/>
    <s v="A4"/>
    <s v="Industrial"/>
    <s v="Não se aplica"/>
    <s v="Não se aplica"/>
    <s v="Não se aplica"/>
    <s v="Fora ponta"/>
    <s v="CATIVO"/>
    <x v="9"/>
    <n v="0"/>
    <n v="0"/>
    <n v="51.093000000000004"/>
    <n v="51.093000000000004"/>
    <n v="51.093000000000004"/>
    <n v="51.093000000000004"/>
    <m/>
    <n v="80.27"/>
    <n v="216.76"/>
    <m/>
    <n v="15176.15379"/>
    <n v="15176.15379"/>
    <n v="16823.392110000001"/>
    <n v="0"/>
    <n v="2694.1970832690577"/>
    <n v="0"/>
    <n v="0"/>
    <n v="0"/>
    <n v="0"/>
    <n v="0"/>
    <n v="10913.541481582035"/>
    <n v="161.32128019956045"/>
    <n v="0"/>
    <n v="0"/>
    <n v="0"/>
    <n v="0"/>
    <n v="478.92706451730527"/>
    <m/>
    <n v="70.162041685848592"/>
    <n v="0"/>
    <n v="0"/>
    <n v="0"/>
    <n v="0"/>
    <n v="0"/>
    <n v="0"/>
    <n v="0"/>
    <n v="0"/>
    <n v="0"/>
    <n v="0"/>
    <n v="0"/>
    <n v="0"/>
    <m/>
    <n v="0"/>
    <n v="0"/>
    <n v="23.364762400159069"/>
    <n v="0"/>
    <n v="0"/>
    <n v="834.66326076472114"/>
    <n v="0"/>
    <n v="0"/>
    <n v="0"/>
    <n v="0"/>
    <n v="0"/>
    <m/>
    <m/>
    <m/>
    <m/>
    <m/>
    <m/>
    <m/>
    <m/>
    <m/>
    <n v="11771.569504746914"/>
    <m/>
    <m/>
    <m/>
    <m/>
    <m/>
    <m/>
    <m/>
    <m/>
    <m/>
    <m/>
    <m/>
    <m/>
    <n v="16822.404300000002"/>
    <n v="1646.220510000001"/>
    <m/>
    <m/>
    <m/>
    <m/>
    <n v="-19.926270000000031"/>
    <n v="1667.1645899999999"/>
    <n v="30"/>
    <n v="1647.2898697881101"/>
    <n v="0"/>
    <n v="0"/>
    <n v="0"/>
    <n v="0"/>
    <n v="0"/>
    <n v="0"/>
    <n v="0"/>
    <n v="0"/>
    <n v="0"/>
    <n v="0"/>
    <n v="1667.378849690258"/>
    <n v="0"/>
    <n v="0"/>
    <n v="3.5696854884191822"/>
    <n v="127.52046345004555"/>
    <n v="0"/>
    <n v="-128.72118105485333"/>
    <m/>
    <n v="0"/>
    <n v="0"/>
    <n v="0"/>
    <n v="0"/>
    <n v="-19.406416376823699"/>
    <n v="-3.0515314089335277"/>
    <n v="0"/>
    <n v="0"/>
    <m/>
    <m/>
    <m/>
    <n v="0"/>
    <n v="0"/>
    <n v="0"/>
    <n v="-19.926270000000386"/>
    <n v="1667.1645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68"/>
    <s v="Regular"/>
    <s v="Verde"/>
    <s v="A4"/>
    <s v="Industrial"/>
    <s v="Não se aplica"/>
    <s v="Não se aplica"/>
    <s v="Não se aplica"/>
    <s v="Não se aplica"/>
    <s v="CATIVO"/>
    <x v="9"/>
    <n v="425"/>
    <n v="425"/>
    <n v="0"/>
    <n v="0"/>
    <n v="0"/>
    <n v="0"/>
    <n v="32.17"/>
    <m/>
    <m/>
    <n v="13672.25"/>
    <m/>
    <n v="13672.25"/>
    <n v="5495.25"/>
    <n v="0"/>
    <n v="0"/>
    <n v="0"/>
    <n v="0"/>
    <n v="0"/>
    <n v="42.464395680792045"/>
    <n v="11443.862557109525"/>
    <m/>
    <m/>
    <m/>
    <n v="0"/>
    <n v="0"/>
    <n v="0"/>
    <n v="0"/>
    <m/>
    <n v="0"/>
    <n v="749.87897022583525"/>
    <n v="1437.717695314414"/>
    <n v="0"/>
    <n v="0"/>
    <m/>
    <m/>
    <n v="0"/>
    <n v="0"/>
    <n v="0"/>
    <m/>
    <m/>
    <n v="0"/>
    <m/>
    <n v="0"/>
    <n v="0"/>
    <n v="0"/>
    <n v="0"/>
    <m/>
    <n v="0"/>
    <n v="0"/>
    <n v="82.79"/>
    <n v="378.81"/>
    <n v="5386.95"/>
    <n v="5"/>
    <m/>
    <m/>
    <m/>
    <m/>
    <m/>
    <m/>
    <m/>
    <m/>
    <m/>
    <n v="0"/>
    <m/>
    <m/>
    <m/>
    <m/>
    <m/>
    <m/>
    <m/>
    <m/>
    <m/>
    <m/>
    <m/>
    <m/>
    <n v="5495.25"/>
    <n v="-8177.0300000000007"/>
    <m/>
    <m/>
    <m/>
    <m/>
    <n v="-8177.0000000000009"/>
    <n v="0"/>
    <n v="30"/>
    <n v="229.80588914295913"/>
    <n v="77.351158725937239"/>
    <n v="148.30277160574065"/>
    <n v="0"/>
    <n v="0"/>
    <m/>
    <m/>
    <m/>
    <n v="4.15195881128128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443.862557109525"/>
    <m/>
    <n v="0"/>
    <n v="0"/>
    <n v="-8177"/>
    <m/>
    <n v="0"/>
    <m/>
    <n v="-8407.918169989006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69"/>
    <s v="Regular"/>
    <s v="Convencional"/>
    <s v="B3"/>
    <s v="Comercial"/>
    <s v="Não se aplica"/>
    <s v="Não se aplica"/>
    <s v="Não se aplica"/>
    <s v="Não se aplica"/>
    <s v="CATIVO"/>
    <x v="9"/>
    <n v="0"/>
    <n v="0"/>
    <n v="228.77699999999999"/>
    <n v="228.77699999999999"/>
    <n v="228.77699999999999"/>
    <n v="228.77699999999999"/>
    <m/>
    <n v="571.87"/>
    <n v="216.76"/>
    <m/>
    <n v="180420.40550999998"/>
    <n v="180420.40550999998"/>
    <n v="117593.66576999999"/>
    <n v="0"/>
    <n v="13866.315135484179"/>
    <n v="0"/>
    <n v="0"/>
    <n v="0"/>
    <n v="188.03495043237189"/>
    <n v="97546.776594047798"/>
    <n v="48867.110553928971"/>
    <n v="722.3415833913615"/>
    <n v="0"/>
    <n v="0"/>
    <n v="0"/>
    <n v="0"/>
    <n v="2144.4717875066158"/>
    <m/>
    <n v="438.90170964850216"/>
    <n v="2031.9281659465"/>
    <n v="6366.2016268867137"/>
    <n v="0"/>
    <n v="0"/>
    <n v="0"/>
    <n v="0"/>
    <n v="0"/>
    <n v="0"/>
    <n v="0"/>
    <n v="0"/>
    <n v="0"/>
    <n v="0"/>
    <m/>
    <n v="0"/>
    <n v="0"/>
    <n v="136.13824288515875"/>
    <n v="0"/>
    <n v="0"/>
    <n v="8112.0291928749102"/>
    <n v="0"/>
    <n v="426.32"/>
    <n v="1963.24"/>
    <n v="49835.07"/>
    <n v="702"/>
    <m/>
    <m/>
    <m/>
    <m/>
    <m/>
    <m/>
    <m/>
    <m/>
    <m/>
    <n v="57115.277989689042"/>
    <m/>
    <m/>
    <m/>
    <m/>
    <m/>
    <m/>
    <m/>
    <m/>
    <m/>
    <m/>
    <m/>
    <m/>
    <n v="117595.2078"/>
    <n v="-62825.227709999977"/>
    <m/>
    <m/>
    <m/>
    <m/>
    <n v="-70291.73324999999"/>
    <n v="7464.9935099999984"/>
    <n v="30"/>
    <n v="8842.3010206458275"/>
    <n v="209.59648733247195"/>
    <n v="656.68340102178445"/>
    <n v="0"/>
    <n v="0"/>
    <n v="0"/>
    <n v="0"/>
    <n v="0"/>
    <n v="18.385128453144006"/>
    <n v="0"/>
    <n v="0"/>
    <n v="7465.9528916992203"/>
    <n v="0"/>
    <n v="0"/>
    <n v="20.799300319130396"/>
    <n v="1239.3617532032495"/>
    <n v="0"/>
    <n v="-662.49365059538286"/>
    <m/>
    <n v="0"/>
    <n v="0"/>
    <n v="0"/>
    <n v="0"/>
    <n v="-86.895303063836309"/>
    <n v="-19.088987723929961"/>
    <n v="0"/>
    <n v="0"/>
    <m/>
    <m/>
    <m/>
    <n v="97546.776594047798"/>
    <n v="0"/>
    <n v="0"/>
    <n v="-70291.73324999999"/>
    <n v="7464.9935100000002"/>
    <n v="0"/>
    <n v="0"/>
    <n v="-71668.574421965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0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4.1349999999999998"/>
    <n v="-4.1349999999999998"/>
    <n v="-4.1349999999999998"/>
    <n v="-4.1349999999999998"/>
    <m/>
    <n v="571.87"/>
    <n v="216.76"/>
    <m/>
    <n v="-3260.9850499999998"/>
    <n v="-3260.9850499999998"/>
    <n v="-2125.4313499999998"/>
    <n v="0"/>
    <n v="-250.6249014771025"/>
    <n v="0"/>
    <n v="0"/>
    <n v="0"/>
    <n v="-3.3986131474661256"/>
    <n v="-1763.0964704335997"/>
    <n v="-883.24220590573486"/>
    <n v="-13.055868585230508"/>
    <n v="0"/>
    <n v="0"/>
    <n v="0"/>
    <n v="0"/>
    <n v="-38.759975178185996"/>
    <m/>
    <n v="-7.9328716147014617"/>
    <n v="-36.72582019254024"/>
    <n v="-115.06507965038688"/>
    <n v="0"/>
    <n v="0"/>
    <n v="0"/>
    <n v="0"/>
    <n v="0"/>
    <n v="0"/>
    <n v="0"/>
    <n v="0"/>
    <n v="0"/>
    <n v="0"/>
    <m/>
    <n v="0"/>
    <n v="0"/>
    <n v="-2.4606128864795473"/>
    <n v="0"/>
    <n v="0"/>
    <n v="-146.61981192400353"/>
    <n v="0"/>
    <n v="-3.56"/>
    <n v="-16.12"/>
    <n v="-910.76"/>
    <n v="0"/>
    <m/>
    <m/>
    <m/>
    <m/>
    <m/>
    <m/>
    <m/>
    <m/>
    <m/>
    <n v="-1032.3226307162179"/>
    <m/>
    <m/>
    <m/>
    <m/>
    <m/>
    <m/>
    <m/>
    <m/>
    <m/>
    <m/>
    <m/>
    <m/>
    <n v="-2128.0013999999996"/>
    <n v="1132.9536499999995"/>
    <m/>
    <m/>
    <m/>
    <m/>
    <n v="1270.47875"/>
    <n v="-134.92504999999997"/>
    <n v="30"/>
    <n v="-159.81901467529769"/>
    <n v="-3.7883243294551932"/>
    <n v="-11.869138345310418"/>
    <n v="0"/>
    <n v="0"/>
    <n v="0"/>
    <n v="0"/>
    <n v="0"/>
    <n v="-0.33229960246768853"/>
    <n v="0"/>
    <n v="0"/>
    <n v="-134.94239021919282"/>
    <n v="0"/>
    <n v="0"/>
    <n v="-0.37593423648183233"/>
    <n v="-22.400682103076065"/>
    <n v="0"/>
    <n v="11.974154942200954"/>
    <m/>
    <n v="0"/>
    <n v="0"/>
    <n v="0"/>
    <n v="0"/>
    <n v="1.5705778035771232"/>
    <n v="0.34502141490818694"/>
    <n v="0"/>
    <n v="0"/>
    <m/>
    <m/>
    <m/>
    <n v="-1763.0964704335997"/>
    <n v="0"/>
    <n v="0"/>
    <n v="1270.4787499999998"/>
    <n v="-134.92504999999994"/>
    <n v="0"/>
    <n v="0"/>
    <n v="1295.364285897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1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8.5449999999999999"/>
    <n v="8.5449999999999999"/>
    <n v="8.5449999999999999"/>
    <n v="8.5449999999999999"/>
    <m/>
    <n v="571.87"/>
    <n v="216.76"/>
    <m/>
    <n v="6738.8433499999992"/>
    <n v="6738.8433499999992"/>
    <n v="4392.2154499999997"/>
    <n v="0"/>
    <n v="517.91772264131578"/>
    <n v="0"/>
    <n v="0"/>
    <n v="0"/>
    <n v="7.0232525622969879"/>
    <n v="3643.448449783582"/>
    <n v="1825.2248245379697"/>
    <n v="26.980023472985415"/>
    <n v="0"/>
    <n v="0"/>
    <n v="0"/>
    <n v="0"/>
    <n v="80.097699612478678"/>
    <m/>
    <n v="16.393322357345586"/>
    <n v="75.894107266083765"/>
    <n v="237.7826132073896"/>
    <n v="0"/>
    <n v="0"/>
    <n v="0"/>
    <n v="0"/>
    <n v="0"/>
    <n v="0"/>
    <n v="0"/>
    <n v="0"/>
    <n v="0"/>
    <n v="0"/>
    <m/>
    <n v="0"/>
    <n v="0"/>
    <n v="5.0848699189764774"/>
    <n v="0"/>
    <n v="0"/>
    <n v="302.99063915129631"/>
    <n v="0"/>
    <n v="16.63"/>
    <n v="76.55"/>
    <n v="3104.41"/>
    <n v="22"/>
    <m/>
    <m/>
    <m/>
    <m/>
    <m/>
    <m/>
    <m/>
    <m/>
    <m/>
    <n v="2133.3003336082425"/>
    <m/>
    <m/>
    <m/>
    <m/>
    <m/>
    <m/>
    <m/>
    <m/>
    <m/>
    <m/>
    <m/>
    <m/>
    <n v="4394.7855"/>
    <n v="-2344.0878499999999"/>
    <m/>
    <m/>
    <m/>
    <m/>
    <n v="-2625.4512500000001"/>
    <n v="278.82334999999995"/>
    <n v="30"/>
    <n v="330.26686345838516"/>
    <n v="7.8285928404340126"/>
    <n v="24.527638974770866"/>
    <n v="0"/>
    <n v="0"/>
    <n v="0"/>
    <n v="0"/>
    <n v="0"/>
    <n v="0.68669893665934723"/>
    <n v="0"/>
    <n v="0"/>
    <n v="278.85918365731641"/>
    <n v="0"/>
    <n v="0"/>
    <n v="0.77687014528107845"/>
    <n v="46.291131456054416"/>
    <n v="0"/>
    <n v="-24.744656343677605"/>
    <m/>
    <n v="0"/>
    <n v="0"/>
    <n v="0"/>
    <n v="0"/>
    <n v="-3.2456075771624029"/>
    <n v="-0.71298863129152501"/>
    <n v="0"/>
    <n v="0"/>
    <m/>
    <m/>
    <m/>
    <n v="3643.448449783582"/>
    <n v="0"/>
    <n v="0"/>
    <n v="-2625.4512499999996"/>
    <n v="278.82335000000012"/>
    <n v="0"/>
    <n v="0"/>
    <n v="-2676.877345343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2"/>
    <s v="Regular"/>
    <s v="Verde"/>
    <s v="A4"/>
    <s v="Comercial"/>
    <s v="Não se aplica"/>
    <s v="Não se aplica"/>
    <s v="Não se aplica"/>
    <s v="Ponta"/>
    <s v="CATIVO"/>
    <x v="9"/>
    <n v="0"/>
    <n v="0"/>
    <n v="8.65"/>
    <n v="8.65"/>
    <n v="8.65"/>
    <n v="8.65"/>
    <m/>
    <n v="2592.54"/>
    <n v="216.76"/>
    <m/>
    <n v="24300.445"/>
    <n v="24300.445"/>
    <n v="10217.380000000001"/>
    <n v="0"/>
    <n v="456.12519856491787"/>
    <n v="0"/>
    <n v="0"/>
    <n v="0"/>
    <n v="43.73989454112705"/>
    <n v="19816.211513179627"/>
    <n v="1847.6529821244515"/>
    <n v="27.311550970312915"/>
    <n v="0"/>
    <n v="0"/>
    <n v="0"/>
    <n v="0"/>
    <n v="81.081931146628506"/>
    <m/>
    <n v="11.878371999737542"/>
    <n v="390.24363882820205"/>
    <n v="1480.886476465766"/>
    <n v="0"/>
    <n v="0"/>
    <n v="0"/>
    <n v="0"/>
    <n v="0"/>
    <n v="0"/>
    <n v="0"/>
    <n v="0"/>
    <n v="0"/>
    <n v="0"/>
    <m/>
    <n v="0"/>
    <n v="0"/>
    <n v="3.9556337416353697"/>
    <n v="0"/>
    <n v="0"/>
    <n v="141.30775655402576"/>
    <n v="0"/>
    <n v="0"/>
    <n v="0"/>
    <n v="0"/>
    <n v="0"/>
    <m/>
    <m/>
    <m/>
    <m/>
    <m/>
    <m/>
    <m/>
    <m/>
    <m/>
    <n v="1992.9163724201126"/>
    <m/>
    <m/>
    <m/>
    <m/>
    <m/>
    <m/>
    <m/>
    <m/>
    <m/>
    <m/>
    <m/>
    <m/>
    <n v="10217.380000000001"/>
    <n v="-14083.094999999994"/>
    <m/>
    <m/>
    <m/>
    <m/>
    <n v="-14365.3145"/>
    <n v="282.24949999999995"/>
    <n v="30"/>
    <n v="476.17132144518564"/>
    <n v="40.25422614491481"/>
    <n v="152.75569717829353"/>
    <n v="0"/>
    <n v="0"/>
    <n v="0"/>
    <n v="0"/>
    <n v="0"/>
    <n v="4.2766707881512716"/>
    <n v="0"/>
    <n v="0"/>
    <n v="282.28577397727145"/>
    <n v="0"/>
    <n v="0"/>
    <n v="0.6043446161866779"/>
    <n v="21.589102398428224"/>
    <n v="0"/>
    <n v="-21.792382833743943"/>
    <m/>
    <n v="0"/>
    <n v="0"/>
    <n v="0"/>
    <n v="0"/>
    <n v="-3.285489238438231"/>
    <n v="-0.51662158587820173"/>
    <n v="0"/>
    <n v="0"/>
    <m/>
    <m/>
    <m/>
    <n v="19816.211513179627"/>
    <n v="0"/>
    <n v="0"/>
    <n v="-14365.3145"/>
    <n v="282.24950000000013"/>
    <n v="0"/>
    <n v="0"/>
    <n v="-14559.16514293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3"/>
    <s v="Regular"/>
    <s v="Verde"/>
    <s v="A4"/>
    <s v="Comercial"/>
    <s v="Não se aplica"/>
    <s v="Não se aplica"/>
    <s v="Não se aplica"/>
    <s v="Fora ponta"/>
    <s v="CATIVO"/>
    <x v="9"/>
    <n v="0"/>
    <n v="0"/>
    <n v="117.613"/>
    <n v="117.613"/>
    <n v="117.613"/>
    <n v="117.613"/>
    <m/>
    <n v="80.27"/>
    <n v="216.76"/>
    <m/>
    <n v="34934.589389999994"/>
    <n v="34934.589389999994"/>
    <n v="38726.432509999999"/>
    <n v="0"/>
    <n v="6201.8789570885183"/>
    <n v="0"/>
    <n v="0"/>
    <n v="0"/>
    <n v="0"/>
    <n v="0"/>
    <n v="25122.313316370302"/>
    <n v="371.3518432683714"/>
    <n v="0"/>
    <n v="0"/>
    <n v="0"/>
    <n v="0"/>
    <n v="1102.4611754853663"/>
    <m/>
    <n v="161.50878219712504"/>
    <n v="0"/>
    <n v="0"/>
    <n v="0"/>
    <n v="0"/>
    <n v="0"/>
    <n v="0"/>
    <n v="0"/>
    <n v="0"/>
    <n v="0"/>
    <n v="0"/>
    <n v="0"/>
    <n v="0"/>
    <m/>
    <n v="0"/>
    <n v="0"/>
    <n v="53.784271821382745"/>
    <n v="0"/>
    <n v="0"/>
    <n v="1921.3444129004197"/>
    <n v="0"/>
    <n v="0"/>
    <n v="0"/>
    <n v="0"/>
    <n v="0"/>
    <m/>
    <m/>
    <m/>
    <m/>
    <m/>
    <m/>
    <m/>
    <m/>
    <m/>
    <n v="27097.442001092106"/>
    <m/>
    <m/>
    <m/>
    <m/>
    <m/>
    <m/>
    <m/>
    <m/>
    <m/>
    <m/>
    <m/>
    <m/>
    <n v="38725.444699999993"/>
    <n v="3790.8253099999929"/>
    <m/>
    <m/>
    <m/>
    <m/>
    <n v="-45.869070000000065"/>
    <n v="3837.7121899999993"/>
    <n v="30"/>
    <n v="3791.9617844986351"/>
    <n v="0"/>
    <n v="0"/>
    <n v="0"/>
    <n v="0"/>
    <n v="0"/>
    <n v="0"/>
    <n v="0"/>
    <n v="0"/>
    <n v="0"/>
    <n v="0"/>
    <n v="3838.2054028657622"/>
    <n v="0"/>
    <n v="0"/>
    <n v="8.2172003865391545"/>
    <n v="293.54440466894084"/>
    <n v="0"/>
    <n v="-296.30838407226929"/>
    <m/>
    <n v="0"/>
    <n v="0"/>
    <n v="0"/>
    <n v="0"/>
    <n v="-44.672398358432019"/>
    <n v="-7.024440991895176"/>
    <n v="0"/>
    <n v="0"/>
    <m/>
    <m/>
    <m/>
    <n v="0"/>
    <n v="0"/>
    <n v="0"/>
    <n v="-45.869070000000647"/>
    <n v="3837.7121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4"/>
    <s v="Regular"/>
    <s v="Verde"/>
    <s v="A4"/>
    <s v="Comercial"/>
    <s v="Não se aplica"/>
    <s v="Não se aplica"/>
    <s v="Não se aplica"/>
    <s v="Não se aplica"/>
    <s v="CATIVO"/>
    <x v="9"/>
    <n v="1312"/>
    <n v="1312"/>
    <n v="0"/>
    <n v="0"/>
    <n v="0"/>
    <n v="0"/>
    <n v="32.17"/>
    <m/>
    <m/>
    <n v="42207.040000000001"/>
    <m/>
    <n v="42207.040000000001"/>
    <n v="16964.16"/>
    <n v="0"/>
    <n v="0"/>
    <n v="0"/>
    <n v="0"/>
    <n v="0"/>
    <n v="131.09008737223334"/>
    <n v="35327.876882182813"/>
    <m/>
    <m/>
    <m/>
    <n v="0"/>
    <n v="0"/>
    <n v="0"/>
    <n v="0"/>
    <m/>
    <n v="0"/>
    <n v="2314.9204916148137"/>
    <n v="4438.319097064732"/>
    <n v="0"/>
    <n v="0"/>
    <m/>
    <m/>
    <n v="0"/>
    <n v="0"/>
    <n v="0"/>
    <m/>
    <m/>
    <n v="0"/>
    <m/>
    <n v="0"/>
    <n v="0"/>
    <n v="0"/>
    <n v="0"/>
    <m/>
    <n v="0"/>
    <n v="0"/>
    <n v="235.54"/>
    <n v="1077.58"/>
    <n v="24994.52"/>
    <n v="9"/>
    <m/>
    <m/>
    <m/>
    <m/>
    <m/>
    <m/>
    <m/>
    <m/>
    <m/>
    <n v="0"/>
    <m/>
    <m/>
    <m/>
    <m/>
    <m/>
    <m/>
    <m/>
    <m/>
    <m/>
    <m/>
    <m/>
    <m/>
    <n v="16964.16"/>
    <n v="-25242.910000000007"/>
    <m/>
    <m/>
    <m/>
    <m/>
    <n v="-25242.880000000001"/>
    <n v="0"/>
    <n v="30"/>
    <n v="709.42429777779398"/>
    <n v="238.78757705512862"/>
    <n v="457.81937963936889"/>
    <n v="0"/>
    <n v="0"/>
    <m/>
    <m/>
    <m/>
    <n v="12.8173410832965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327.876882182813"/>
    <m/>
    <n v="0"/>
    <n v="0"/>
    <n v="-25242.880000000001"/>
    <m/>
    <n v="0"/>
    <m/>
    <n v="-25955.73797417782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75"/>
    <s v="Regular"/>
    <s v="Convencional"/>
    <s v="B2"/>
    <s v="Rural"/>
    <s v="Não se aplica"/>
    <s v="Não se aplica"/>
    <s v="Não se aplica"/>
    <s v="Não se aplica"/>
    <s v="CATIVO"/>
    <x v="9"/>
    <n v="0"/>
    <n v="0"/>
    <n v="3622.9209999999998"/>
    <n v="3622.9209999999998"/>
    <n v="3622.9209999999998"/>
    <n v="3622.9209999999998"/>
    <m/>
    <n v="571.87"/>
    <n v="216.76"/>
    <m/>
    <n v="2857144.18823"/>
    <n v="2857144.18823"/>
    <n v="1862217.6232099999"/>
    <n v="0"/>
    <n v="219587.47731180789"/>
    <n v="0"/>
    <n v="0"/>
    <n v="0"/>
    <n v="2977.7284021357009"/>
    <n v="1544754.3477049016"/>
    <n v="773861.36296546808"/>
    <n v="11439.02792519272"/>
    <n v="0"/>
    <n v="0"/>
    <n v="0"/>
    <n v="0"/>
    <n v="33959.934227939244"/>
    <m/>
    <n v="6950.4636428550994"/>
    <n v="32177.689290877406"/>
    <n v="100815.40349021991"/>
    <n v="0"/>
    <n v="0"/>
    <n v="0"/>
    <n v="0"/>
    <n v="0"/>
    <n v="0"/>
    <n v="0"/>
    <n v="0"/>
    <n v="0"/>
    <n v="0"/>
    <m/>
    <n v="0"/>
    <n v="0"/>
    <n v="2155.8902295761472"/>
    <n v="0"/>
    <n v="0"/>
    <n v="128462.39314039245"/>
    <n v="0"/>
    <n v="6322.51"/>
    <n v="29148.57"/>
    <n v="128261.07"/>
    <n v="10383"/>
    <m/>
    <m/>
    <m/>
    <m/>
    <m/>
    <n v="223461.76727999991"/>
    <m/>
    <m/>
    <m/>
    <n v="904479.64633543673"/>
    <m/>
    <m/>
    <m/>
    <m/>
    <m/>
    <m/>
    <m/>
    <m/>
    <m/>
    <m/>
    <m/>
    <m/>
    <n v="1638755.4036000001"/>
    <n v="-875551.80039999937"/>
    <m/>
    <m/>
    <m/>
    <m/>
    <n v="-1113142.47725"/>
    <n v="118215.91222999997"/>
    <n v="30"/>
    <n v="140027.00470772525"/>
    <n v="3319.1776947990693"/>
    <n v="10399.262530382184"/>
    <n v="0"/>
    <n v="0"/>
    <n v="0"/>
    <n v="0"/>
    <n v="0"/>
    <n v="291.14757148049375"/>
    <n v="0"/>
    <n v="0"/>
    <n v="118231.1050339319"/>
    <n v="0"/>
    <n v="0"/>
    <n v="329.37848608681907"/>
    <n v="19626.578381029874"/>
    <n v="0"/>
    <n v="-10491.273856675602"/>
    <m/>
    <n v="0"/>
    <n v="0"/>
    <n v="0"/>
    <n v="0"/>
    <n v="-1376.0772204869209"/>
    <n v="-302.29391282238976"/>
    <n v="0"/>
    <n v="0"/>
    <m/>
    <m/>
    <m/>
    <n v="1544754.3477049016"/>
    <n v="0"/>
    <n v="0"/>
    <n v="-1113142.47725"/>
    <n v="118215.9122299999"/>
    <n v="0"/>
    <n v="0"/>
    <n v="-1134946.1847712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6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5.7460000000000004"/>
    <n v="-5.7460000000000004"/>
    <n v="-5.7460000000000004"/>
    <n v="-5.7460000000000004"/>
    <m/>
    <n v="571.87"/>
    <n v="216.76"/>
    <m/>
    <n v="-4531.4679800000004"/>
    <n v="-4531.4679800000004"/>
    <n v="-2953.5014600000004"/>
    <n v="0"/>
    <n v="-348.26860553504986"/>
    <n v="0"/>
    <n v="0"/>
    <n v="0"/>
    <n v="-4.7227161173737269"/>
    <n v="-2450.0005608492056"/>
    <n v="-1227.3542237326126"/>
    <n v="-18.142447615655261"/>
    <n v="0"/>
    <n v="0"/>
    <n v="0"/>
    <n v="0"/>
    <n v="-53.860899002141899"/>
    <m/>
    <n v="-11.023526069667378"/>
    <n v="-51.034235266344915"/>
    <n v="-159.89454599059809"/>
    <n v="0"/>
    <n v="0"/>
    <n v="0"/>
    <n v="0"/>
    <n v="0"/>
    <n v="0"/>
    <n v="0"/>
    <n v="0"/>
    <n v="0"/>
    <n v="0"/>
    <m/>
    <n v="0"/>
    <n v="0"/>
    <n v="-3.4192700473304671"/>
    <n v="0"/>
    <n v="0"/>
    <n v="-203.7430324825452"/>
    <n v="0"/>
    <n v="-4.47"/>
    <n v="-20.329999999999998"/>
    <n v="-76.02"/>
    <n v="0"/>
    <m/>
    <m/>
    <m/>
    <m/>
    <m/>
    <n v="-354.41327999999987"/>
    <m/>
    <m/>
    <m/>
    <n v="-1434.5165262624882"/>
    <m/>
    <m/>
    <m/>
    <m/>
    <m/>
    <m/>
    <m/>
    <m/>
    <m/>
    <m/>
    <m/>
    <m/>
    <n v="-2600.8975"/>
    <n v="1386.7964999999995"/>
    <m/>
    <m/>
    <m/>
    <m/>
    <n v="1765.4585000000002"/>
    <n v="-187.49197999999998"/>
    <n v="30"/>
    <n v="-222.08465739401709"/>
    <n v="-5.2642591528535903"/>
    <n v="-16.493366126276584"/>
    <n v="0"/>
    <n v="0"/>
    <n v="0"/>
    <n v="0"/>
    <n v="0"/>
    <n v="-0.46176384903974377"/>
    <n v="0"/>
    <n v="0"/>
    <n v="-187.51607598536452"/>
    <n v="0"/>
    <n v="0"/>
    <n v="-0.52239857867584272"/>
    <n v="-31.128009519776327"/>
    <n v="0"/>
    <n v="16.639297290903698"/>
    <m/>
    <n v="0"/>
    <n v="0"/>
    <n v="0"/>
    <n v="0"/>
    <n v="2.1824764351521537"/>
    <n v="0.47944209191352982"/>
    <n v="0"/>
    <n v="0"/>
    <m/>
    <m/>
    <m/>
    <n v="-2450.0005608492056"/>
    <n v="0"/>
    <n v="0"/>
    <n v="1765.4585"/>
    <n v="-187.49198000000001"/>
    <n v="0"/>
    <n v="0"/>
    <n v="1800.0394647565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7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64.406000000000006"/>
    <n v="64.406000000000006"/>
    <n v="64.406000000000006"/>
    <n v="64.406000000000006"/>
    <m/>
    <n v="571.87"/>
    <n v="216.76"/>
    <m/>
    <n v="50792.503780000006"/>
    <n v="50792.503780000006"/>
    <n v="33105.32806"/>
    <n v="0"/>
    <n v="3903.6874013383958"/>
    <n v="0"/>
    <n v="0"/>
    <n v="0"/>
    <n v="52.93617373052075"/>
    <n v="27461.666571885478"/>
    <n v="13757.218262047101"/>
    <n v="203.35580945595072"/>
    <n v="0"/>
    <n v="0"/>
    <n v="0"/>
    <n v="0"/>
    <n v="603.71824941384466"/>
    <m/>
    <n v="123.56095023372731"/>
    <n v="572.03462522871757"/>
    <n v="1792.232532034539"/>
    <n v="0"/>
    <n v="0"/>
    <n v="0"/>
    <n v="0"/>
    <n v="0"/>
    <n v="0"/>
    <n v="0"/>
    <n v="0"/>
    <n v="0"/>
    <n v="0"/>
    <m/>
    <n v="0"/>
    <n v="0"/>
    <n v="38.326054066892809"/>
    <n v="0"/>
    <n v="0"/>
    <n v="2283.7232422678048"/>
    <n v="0"/>
    <n v="93.07"/>
    <n v="430.17"/>
    <n v="2223.48"/>
    <n v="274"/>
    <m/>
    <m/>
    <m/>
    <m/>
    <m/>
    <n v="3972.5620799999988"/>
    <m/>
    <m/>
    <m/>
    <n v="16079.267558381798"/>
    <m/>
    <m/>
    <m/>
    <m/>
    <m/>
    <m/>
    <m/>
    <m/>
    <m/>
    <m/>
    <m/>
    <m/>
    <n v="29134.575299999997"/>
    <n v="-15563.218700000005"/>
    <m/>
    <m/>
    <m/>
    <m/>
    <n v="-19788.7435"/>
    <n v="2101.5677799999999"/>
    <n v="30"/>
    <n v="2489.3115983499993"/>
    <n v="59.006243473492418"/>
    <n v="184.87151735624252"/>
    <n v="0"/>
    <n v="0"/>
    <n v="0"/>
    <n v="0"/>
    <n v="0"/>
    <n v="5.1758375324145049"/>
    <n v="0"/>
    <n v="0"/>
    <n v="2101.8378680670703"/>
    <n v="0"/>
    <n v="0"/>
    <n v="5.855482571910251"/>
    <n v="348.90890726256748"/>
    <n v="0"/>
    <n v="-186.50723656768923"/>
    <m/>
    <n v="0"/>
    <n v="0"/>
    <n v="0"/>
    <n v="0"/>
    <n v="-24.463031201254694"/>
    <n v="-5.3739901447585652"/>
    <n v="0"/>
    <n v="0"/>
    <m/>
    <m/>
    <m/>
    <n v="27461.666571885478"/>
    <n v="0"/>
    <n v="0"/>
    <n v="-19788.743500000004"/>
    <n v="2101.5677799999994"/>
    <n v="0"/>
    <n v="0"/>
    <n v="-20176.356033260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8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-1"/>
    <n v="-1"/>
    <n v="-1"/>
    <n v="-1"/>
    <m/>
    <n v="571.87"/>
    <n v="216.76"/>
    <m/>
    <n v="-788.63"/>
    <n v="-788.63"/>
    <n v="-514.01"/>
    <n v="0"/>
    <n v="-60.610617044039302"/>
    <n v="0"/>
    <n v="0"/>
    <n v="0"/>
    <n v="-0.82191369950813198"/>
    <n v="-426.383668786844"/>
    <n v="-213.601500823636"/>
    <n v="-3.1574047364523601"/>
    <n v="0"/>
    <n v="0"/>
    <n v="0"/>
    <n v="0"/>
    <n v="-9.3736336585697693"/>
    <m/>
    <n v="-1.9184695561551299"/>
    <n v="-8.8816977491028393"/>
    <n v="-27.827105114966599"/>
    <n v="0"/>
    <n v="0"/>
    <n v="0"/>
    <n v="0"/>
    <n v="0"/>
    <n v="0"/>
    <n v="0"/>
    <n v="0"/>
    <n v="0"/>
    <n v="0"/>
    <m/>
    <n v="0"/>
    <n v="0"/>
    <n v="-0.59506962188139001"/>
    <n v="0"/>
    <n v="0"/>
    <n v="-35.458237466506297"/>
    <n v="0"/>
    <n v="-0.78"/>
    <n v="-3.53"/>
    <n v="0"/>
    <n v="2"/>
    <m/>
    <m/>
    <m/>
    <m/>
    <m/>
    <n v="-61.679999999999978"/>
    <m/>
    <m/>
    <m/>
    <n v="-249.65480791202367"/>
    <m/>
    <m/>
    <m/>
    <m/>
    <m/>
    <m/>
    <m/>
    <m/>
    <m/>
    <m/>
    <m/>
    <m/>
    <n v="-452.33000000000004"/>
    <n v="241.64"/>
    <m/>
    <m/>
    <m/>
    <m/>
    <n v="307.25"/>
    <n v="-32.629999999999995"/>
    <n v="30"/>
    <n v="-38.650305846504921"/>
    <n v="-0.91616066008590025"/>
    <n v="-2.8704083060001011"/>
    <n v="0"/>
    <n v="0"/>
    <n v="0"/>
    <n v="0"/>
    <n v="0"/>
    <n v="-8.0362660814434994E-2"/>
    <n v="0"/>
    <n v="0"/>
    <n v="-32.634193523383999"/>
    <n v="0"/>
    <n v="0"/>
    <n v="-9.0915172063321004E-2"/>
    <n v="-5.417335454190102"/>
    <n v="0"/>
    <n v="2.8958053064573051"/>
    <m/>
    <n v="0"/>
    <n v="0"/>
    <n v="0"/>
    <n v="0"/>
    <n v="0.37982534548418911"/>
    <n v="8.3439278091459901E-2"/>
    <n v="0"/>
    <n v="0"/>
    <m/>
    <m/>
    <m/>
    <n v="-426.383668786844"/>
    <n v="0"/>
    <n v="0"/>
    <n v="307.25"/>
    <n v="-32.629999999999995"/>
    <n v="0"/>
    <n v="0"/>
    <n v="313.26826744806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79"/>
    <s v="Regular"/>
    <s v="Verde"/>
    <s v="A4"/>
    <s v="Rural"/>
    <s v="Não se aplica"/>
    <s v="Não se aplica"/>
    <s v="Não se aplica"/>
    <s v="Ponta"/>
    <s v="CATIVO"/>
    <x v="9"/>
    <n v="0"/>
    <n v="0"/>
    <n v="0.38100000000000001"/>
    <n v="0.36575999999999997"/>
    <n v="0.38100000000000001"/>
    <n v="0.36575999999999997"/>
    <m/>
    <n v="2592.54"/>
    <n v="216.76"/>
    <m/>
    <n v="1070.3433"/>
    <n v="1070.3433"/>
    <n v="450.03719999999998"/>
    <n v="0"/>
    <n v="20.090601231587712"/>
    <n v="0"/>
    <n v="0"/>
    <n v="0"/>
    <n v="1.9265780138924167"/>
    <n v="872.82966318166916"/>
    <n v="81.382171813805314"/>
    <n v="1.2029712045883492"/>
    <n v="0"/>
    <n v="0"/>
    <n v="0"/>
    <n v="0"/>
    <n v="3.5713544239150821"/>
    <m/>
    <n v="0.52319765686705244"/>
    <n v="17.188766057057222"/>
    <n v="65.227485263983453"/>
    <n v="0"/>
    <n v="0"/>
    <n v="0"/>
    <n v="0"/>
    <n v="0"/>
    <n v="0"/>
    <n v="0"/>
    <n v="0"/>
    <n v="0"/>
    <n v="0"/>
    <m/>
    <n v="0"/>
    <n v="0"/>
    <n v="0.17423080411133823"/>
    <n v="0"/>
    <n v="0"/>
    <n v="6.2240757511079545"/>
    <n v="0"/>
    <n v="0"/>
    <n v="0"/>
    <n v="0"/>
    <n v="0"/>
    <m/>
    <m/>
    <m/>
    <m/>
    <m/>
    <n v="18.001488000000037"/>
    <m/>
    <m/>
    <m/>
    <n v="87.780478369024607"/>
    <m/>
    <m/>
    <m/>
    <m/>
    <m/>
    <m/>
    <m/>
    <m/>
    <m/>
    <m/>
    <m/>
    <m/>
    <n v="437.04399999999998"/>
    <n v="-590.51556799999992"/>
    <m/>
    <m/>
    <m/>
    <m/>
    <n v="-632.73813000000007"/>
    <n v="12.432029999999999"/>
    <n v="30"/>
    <n v="20.97355762666075"/>
    <n v="1.7730474174812194"/>
    <n v="6.7283145231132693"/>
    <n v="0"/>
    <n v="0"/>
    <n v="0"/>
    <n v="0"/>
    <n v="0"/>
    <n v="0.18837127980180757"/>
    <n v="0"/>
    <n v="0"/>
    <n v="12.433627732409306"/>
    <n v="0"/>
    <n v="0"/>
    <n v="2.6619109684060616E-2"/>
    <n v="0.9509188455261457"/>
    <n v="0"/>
    <n v="-0.95987258493138228"/>
    <m/>
    <n v="0"/>
    <n v="0"/>
    <n v="0"/>
    <n v="0"/>
    <n v="-0.14471345662947588"/>
    <n v="-2.2755239794172821E-2"/>
    <n v="0"/>
    <n v="0"/>
    <m/>
    <m/>
    <m/>
    <n v="872.82966318166916"/>
    <n v="0"/>
    <n v="0"/>
    <n v="-632.73812999999996"/>
    <n v="12.432029999999997"/>
    <n v="0"/>
    <n v="0"/>
    <n v="-641.27652248072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0"/>
    <s v="Regular"/>
    <s v="Verde"/>
    <s v="A4"/>
    <s v="Rural"/>
    <s v="Não se aplica"/>
    <s v="Não se aplica"/>
    <s v="Não se aplica"/>
    <s v="Fora ponta"/>
    <s v="CATIVO"/>
    <x v="9"/>
    <n v="0"/>
    <n v="0"/>
    <n v="28.491"/>
    <n v="27.35136"/>
    <n v="28.491"/>
    <n v="27.35136"/>
    <m/>
    <n v="80.27"/>
    <n v="216.76"/>
    <m/>
    <n v="8462.6817300000002"/>
    <n v="8462.6817300000002"/>
    <n v="9381.2315699999999"/>
    <n v="0"/>
    <n v="1502.3656684754999"/>
    <n v="0"/>
    <n v="0"/>
    <n v="0"/>
    <n v="0"/>
    <n v="0"/>
    <n v="6085.7203599662134"/>
    <n v="89.957618346264184"/>
    <n v="0"/>
    <n v="0"/>
    <n v="0"/>
    <n v="0"/>
    <n v="267.0641965663113"/>
    <m/>
    <n v="39.124473600522812"/>
    <n v="0"/>
    <n v="0"/>
    <n v="0"/>
    <n v="0"/>
    <n v="0"/>
    <n v="0"/>
    <n v="0"/>
    <n v="0"/>
    <n v="0"/>
    <n v="0"/>
    <n v="0"/>
    <n v="0"/>
    <m/>
    <n v="0"/>
    <n v="0"/>
    <n v="13.028897217680152"/>
    <n v="0"/>
    <n v="0"/>
    <n v="465.433444159624"/>
    <n v="0"/>
    <n v="0"/>
    <n v="0"/>
    <n v="0"/>
    <n v="0"/>
    <m/>
    <m/>
    <m/>
    <m/>
    <m/>
    <n v="375.2492628"/>
    <m/>
    <m/>
    <m/>
    <n v="6564.1827013435177"/>
    <m/>
    <m/>
    <m/>
    <m/>
    <m/>
    <m/>
    <m/>
    <m/>
    <m/>
    <m/>
    <m/>
    <m/>
    <n v="9005.5344999999998"/>
    <n v="881.3300392000001"/>
    <m/>
    <m/>
    <m/>
    <m/>
    <n v="-11.111490000000016"/>
    <n v="929.66132999999991"/>
    <n v="30"/>
    <n v="918.57858571884753"/>
    <n v="0"/>
    <n v="0"/>
    <n v="0"/>
    <n v="0"/>
    <n v="0"/>
    <n v="0"/>
    <n v="0"/>
    <n v="0"/>
    <n v="0"/>
    <n v="0"/>
    <n v="929.7808076747333"/>
    <n v="0"/>
    <n v="0"/>
    <n v="1.9905644462167196"/>
    <n v="71.109262015447314"/>
    <n v="0"/>
    <n v="-71.778818418057654"/>
    <m/>
    <n v="0"/>
    <n v="0"/>
    <n v="0"/>
    <n v="0"/>
    <n v="-10.821603918190021"/>
    <n v="-1.7016260813012565"/>
    <n v="0"/>
    <n v="0"/>
    <m/>
    <m/>
    <m/>
    <n v="0"/>
    <n v="0"/>
    <n v="0"/>
    <n v="-11.111490000000231"/>
    <n v="929.66132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1"/>
    <s v="Regular"/>
    <s v="Verde"/>
    <s v="A4"/>
    <s v="Rural"/>
    <s v="Não se aplica"/>
    <s v="Não se aplica"/>
    <s v="Não se aplica"/>
    <s v="Não se aplica"/>
    <s v="CATIVO"/>
    <x v="9"/>
    <n v="100"/>
    <n v="96"/>
    <n v="0"/>
    <n v="0"/>
    <n v="0"/>
    <n v="0"/>
    <n v="32.17"/>
    <m/>
    <m/>
    <n v="3217"/>
    <m/>
    <n v="3217"/>
    <n v="1293"/>
    <n v="0"/>
    <n v="0"/>
    <n v="0"/>
    <n v="0"/>
    <n v="0"/>
    <n v="9.99162251312754"/>
    <n v="2692.6735428492998"/>
    <m/>
    <m/>
    <m/>
    <n v="0"/>
    <n v="0"/>
    <n v="0"/>
    <n v="0"/>
    <m/>
    <n v="0"/>
    <n v="176.44211064137301"/>
    <n v="338.28651654456803"/>
    <n v="0"/>
    <n v="0"/>
    <m/>
    <m/>
    <n v="0"/>
    <n v="0"/>
    <n v="0"/>
    <m/>
    <m/>
    <n v="0"/>
    <m/>
    <n v="0"/>
    <n v="0"/>
    <n v="0"/>
    <n v="0"/>
    <m/>
    <n v="0"/>
    <n v="0"/>
    <n v="39.1"/>
    <n v="178.87"/>
    <n v="6.65"/>
    <n v="1"/>
    <m/>
    <m/>
    <m/>
    <m/>
    <m/>
    <n v="51.72"/>
    <m/>
    <m/>
    <m/>
    <n v="0"/>
    <m/>
    <m/>
    <m/>
    <m/>
    <m/>
    <m/>
    <m/>
    <m/>
    <m/>
    <m/>
    <m/>
    <m/>
    <n v="1241.28"/>
    <n v="-1847.0700000000008"/>
    <m/>
    <m/>
    <m/>
    <m/>
    <n v="-1924.0000000000002"/>
    <n v="0"/>
    <n v="30"/>
    <n v="54.071973915990384"/>
    <n v="18.200272641396992"/>
    <n v="34.894769789586007"/>
    <n v="0"/>
    <n v="0"/>
    <m/>
    <m/>
    <m/>
    <n v="0.976931485007360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92.6735428492998"/>
    <m/>
    <n v="0"/>
    <n v="0"/>
    <n v="-1924"/>
    <m/>
    <n v="0"/>
    <m/>
    <n v="-1978.333687056236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8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38.625"/>
    <n v="38.625"/>
    <n v="38.625"/>
    <n v="38.625"/>
    <m/>
    <n v="571.87"/>
    <n v="216.76"/>
    <m/>
    <n v="30460.833749999998"/>
    <n v="30460.833749999998"/>
    <n v="19853.63625"/>
    <n v="0"/>
    <n v="2341.0850833260179"/>
    <n v="0"/>
    <n v="0"/>
    <n v="0"/>
    <n v="31.746416643501597"/>
    <n v="16469.069206891851"/>
    <n v="8250.3579693129413"/>
    <n v="121.95475794547241"/>
    <n v="0"/>
    <n v="0"/>
    <n v="0"/>
    <n v="0"/>
    <n v="362.05660006225736"/>
    <m/>
    <n v="74.100886606491898"/>
    <n v="343.05557555909718"/>
    <n v="1074.821935065585"/>
    <n v="0"/>
    <n v="0"/>
    <n v="0"/>
    <n v="0"/>
    <n v="0"/>
    <n v="0"/>
    <n v="0"/>
    <n v="0"/>
    <n v="0"/>
    <n v="0"/>
    <m/>
    <n v="0"/>
    <n v="0"/>
    <n v="22.98456414516869"/>
    <n v="0"/>
    <n v="0"/>
    <n v="1369.5744221438058"/>
    <n v="0"/>
    <n v="75.87"/>
    <n v="348.41"/>
    <n v="7856.07"/>
    <n v="104"/>
    <m/>
    <m/>
    <m/>
    <m/>
    <m/>
    <m/>
    <m/>
    <m/>
    <m/>
    <n v="9642.9169556019151"/>
    <m/>
    <m/>
    <m/>
    <m/>
    <m/>
    <m/>
    <m/>
    <m/>
    <m/>
    <m/>
    <m/>
    <m/>
    <n v="19856.206300000002"/>
    <n v="-10604.657449999992"/>
    <m/>
    <m/>
    <m/>
    <m/>
    <n v="-11867.53125"/>
    <n v="1260.3337499999998"/>
    <n v="30"/>
    <n v="1492.8680633212534"/>
    <n v="35.386705495817864"/>
    <n v="110.86952081925392"/>
    <n v="0"/>
    <n v="0"/>
    <n v="0"/>
    <n v="0"/>
    <n v="0"/>
    <n v="3.1040077739575551"/>
    <n v="0"/>
    <n v="0"/>
    <n v="1260.4957248407063"/>
    <n v="0"/>
    <n v="0"/>
    <n v="3.5115985209457712"/>
    <n v="209.24458191809254"/>
    <n v="0"/>
    <n v="-111.85047996191315"/>
    <m/>
    <n v="0"/>
    <n v="0"/>
    <n v="0"/>
    <n v="0"/>
    <n v="-14.670753969326825"/>
    <n v="-3.2228421162826493"/>
    <n v="0"/>
    <n v="0"/>
    <m/>
    <m/>
    <m/>
    <n v="16469.069206891851"/>
    <n v="0"/>
    <n v="0"/>
    <n v="-11867.531249999998"/>
    <n v="1260.3337499999998"/>
    <n v="0"/>
    <n v="0"/>
    <n v="-12099.986830181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3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19"/>
    <n v="0.9"/>
    <n v="83.48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0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4"/>
    <s v="Sistema de Compensação"/>
    <s v="Verde"/>
    <s v="A4"/>
    <s v="Poder público"/>
    <s v="Não se aplica"/>
    <s v="Não se aplica"/>
    <s v="Não se aplica"/>
    <s v="Ponta"/>
    <s v="CATIVO"/>
    <x v="9"/>
    <n v="0"/>
    <n v="0"/>
    <n v="2.7040000000000002"/>
    <n v="2.7040000000000002"/>
    <n v="2.7040000000000002"/>
    <n v="2.7040000000000002"/>
    <m/>
    <n v="2592.54"/>
    <n v="216.76"/>
    <m/>
    <n v="7596.3472000000002"/>
    <n v="7596.3472000000002"/>
    <n v="3193.9647999999997"/>
    <n v="0"/>
    <n v="142.58526438376163"/>
    <n v="0"/>
    <n v="0"/>
    <n v="0"/>
    <n v="13.673141599908385"/>
    <n v="6194.5706279349961"/>
    <n v="577.57845822711181"/>
    <n v="8.5376224073671825"/>
    <n v="0"/>
    <n v="0"/>
    <n v="0"/>
    <n v="0"/>
    <n v="25.346305412772658"/>
    <m/>
    <n v="3.7131928193399211"/>
    <n v="121.99061264641136"/>
    <n v="462.92682455068569"/>
    <n v="0"/>
    <n v="0"/>
    <n v="0"/>
    <n v="0"/>
    <n v="0"/>
    <n v="0"/>
    <n v="0"/>
    <n v="0"/>
    <n v="0"/>
    <n v="0"/>
    <m/>
    <n v="0"/>
    <n v="0"/>
    <n v="1.2365356806222012"/>
    <n v="0"/>
    <n v="0"/>
    <n v="44.172968060356723"/>
    <n v="0"/>
    <n v="0"/>
    <n v="0"/>
    <n v="0"/>
    <n v="0"/>
    <m/>
    <m/>
    <m/>
    <m/>
    <m/>
    <m/>
    <m/>
    <m/>
    <m/>
    <n v="622.98796196809076"/>
    <m/>
    <m/>
    <m/>
    <m/>
    <m/>
    <m/>
    <m/>
    <m/>
    <m/>
    <m/>
    <m/>
    <m/>
    <n v="3189.2400000000002"/>
    <n v="-4407.137200000001"/>
    <m/>
    <m/>
    <m/>
    <m/>
    <n v="-4490.6139200000007"/>
    <n v="88.231519999999989"/>
    <n v="30"/>
    <n v="148.85170557084189"/>
    <n v="12.583517629577983"/>
    <n v="47.75160753411626"/>
    <n v="0"/>
    <n v="0"/>
    <n v="0"/>
    <n v="0"/>
    <n v="0"/>
    <n v="1.3368922325041677"/>
    <n v="0"/>
    <n v="0"/>
    <n v="88.242859287230317"/>
    <n v="0"/>
    <n v="0"/>
    <n v="0.18891882568425156"/>
    <n v="6.7487783682485514"/>
    <n v="0"/>
    <n v="-6.8123240673345435"/>
    <m/>
    <n v="0"/>
    <n v="0"/>
    <n v="0"/>
    <n v="0"/>
    <n v="-1.0270477341892459"/>
    <n v="-0.1614965049959145"/>
    <n v="0"/>
    <n v="0"/>
    <m/>
    <m/>
    <m/>
    <n v="6194.5706279349961"/>
    <n v="0"/>
    <n v="0"/>
    <n v="-4490.6139200000007"/>
    <n v="88.231519999999932"/>
    <n v="0"/>
    <n v="0"/>
    <n v="-4551.2118550862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5"/>
    <s v="Sistema de Compensação"/>
    <s v="Verde"/>
    <s v="A4"/>
    <s v="Poder público"/>
    <s v="Não se aplica"/>
    <s v="Não se aplica"/>
    <s v="Não se aplica"/>
    <s v="Fora ponta"/>
    <s v="CATIVO"/>
    <x v="9"/>
    <n v="0"/>
    <n v="0"/>
    <n v="7.7629999999999999"/>
    <n v="7.7629999999999999"/>
    <n v="7.7629999999999999"/>
    <n v="7.7629999999999999"/>
    <m/>
    <n v="80.27"/>
    <n v="216.76"/>
    <m/>
    <n v="2305.8438900000001"/>
    <n v="2305.8438900000001"/>
    <n v="2556.1230099999998"/>
    <n v="0"/>
    <n v="409.35259149820314"/>
    <n v="0"/>
    <n v="0"/>
    <n v="0"/>
    <n v="0"/>
    <n v="0"/>
    <n v="1658.1884508938863"/>
    <n v="24.510932969079672"/>
    <n v="0"/>
    <n v="0"/>
    <n v="0"/>
    <n v="0"/>
    <n v="72.767518091477115"/>
    <m/>
    <n v="10.660323911440756"/>
    <n v="0"/>
    <n v="0"/>
    <n v="0"/>
    <n v="0"/>
    <n v="0"/>
    <n v="0"/>
    <n v="0"/>
    <n v="0"/>
    <n v="0"/>
    <n v="0"/>
    <n v="0"/>
    <n v="0"/>
    <m/>
    <n v="0"/>
    <n v="0"/>
    <n v="3.5500097961058237"/>
    <n v="0"/>
    <n v="0"/>
    <n v="126.81758544842796"/>
    <n v="0"/>
    <n v="0"/>
    <n v="0"/>
    <n v="0"/>
    <n v="0"/>
    <m/>
    <m/>
    <m/>
    <m/>
    <m/>
    <m/>
    <m/>
    <m/>
    <m/>
    <n v="1788.55604613842"/>
    <m/>
    <m/>
    <m/>
    <m/>
    <m/>
    <m/>
    <m/>
    <m/>
    <m/>
    <m/>
    <m/>
    <m/>
    <n v="2555.1351999999997"/>
    <n v="249.26130999999987"/>
    <m/>
    <m/>
    <m/>
    <m/>
    <n v="-3.0275700000000043"/>
    <n v="253.30668999999997"/>
    <n v="30"/>
    <n v="250.28695240375691"/>
    <n v="0"/>
    <n v="0"/>
    <n v="0"/>
    <n v="0"/>
    <n v="0"/>
    <n v="0"/>
    <n v="0"/>
    <n v="0"/>
    <n v="0"/>
    <n v="0"/>
    <n v="253.33924432203003"/>
    <n v="0"/>
    <n v="0"/>
    <n v="0.54237309311643633"/>
    <n v="19.375283458843739"/>
    <n v="0"/>
    <n v="-19.557718836803986"/>
    <m/>
    <n v="0"/>
    <n v="0"/>
    <n v="0"/>
    <n v="0"/>
    <n v="-2.9485841569937605"/>
    <n v="-0.46364547643612575"/>
    <n v="0"/>
    <n v="0"/>
    <m/>
    <m/>
    <m/>
    <n v="0"/>
    <n v="0"/>
    <n v="0"/>
    <n v="-3.0275699999999688"/>
    <n v="253.30668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6"/>
    <s v="Sistema de Compensação"/>
    <s v="Verde"/>
    <s v="A4"/>
    <s v="Poder público"/>
    <s v="Não se aplica"/>
    <s v="Não se aplica"/>
    <s v="Não se aplica"/>
    <s v="Não se aplica"/>
    <s v="CATIVO"/>
    <x v="9"/>
    <n v="112"/>
    <n v="112"/>
    <n v="0"/>
    <n v="0"/>
    <n v="0"/>
    <n v="0"/>
    <n v="32.17"/>
    <m/>
    <m/>
    <n v="3603.04"/>
    <m/>
    <n v="3603.04"/>
    <n v="1448.1599999999999"/>
    <n v="0"/>
    <n v="0"/>
    <n v="0"/>
    <n v="0"/>
    <n v="0"/>
    <n v="11.190617214702845"/>
    <n v="3015.7943679912159"/>
    <m/>
    <m/>
    <m/>
    <n v="0"/>
    <n v="0"/>
    <n v="0"/>
    <n v="0"/>
    <m/>
    <n v="0"/>
    <n v="197.61516391833777"/>
    <n v="378.88089852991618"/>
    <n v="0"/>
    <n v="0"/>
    <m/>
    <m/>
    <n v="0"/>
    <n v="0"/>
    <n v="0"/>
    <m/>
    <m/>
    <n v="0"/>
    <m/>
    <n v="0"/>
    <n v="0"/>
    <n v="0"/>
    <n v="0"/>
    <m/>
    <n v="0"/>
    <n v="0"/>
    <n v="28.43"/>
    <n v="130.05000000000001"/>
    <n v="3232.86"/>
    <n v="1"/>
    <m/>
    <m/>
    <m/>
    <m/>
    <m/>
    <m/>
    <m/>
    <m/>
    <m/>
    <n v="0"/>
    <m/>
    <m/>
    <m/>
    <m/>
    <m/>
    <m/>
    <m/>
    <m/>
    <m/>
    <m/>
    <m/>
    <m/>
    <n v="1448.1599999999999"/>
    <n v="-2154.9100000000008"/>
    <m/>
    <m/>
    <m/>
    <m/>
    <n v="-2154.88"/>
    <n v="0"/>
    <n v="30"/>
    <n v="60.560610785909262"/>
    <n v="20.384305358364628"/>
    <n v="39.082142164336346"/>
    <n v="0"/>
    <n v="0"/>
    <m/>
    <m/>
    <m/>
    <n v="1.09416326320824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15.7943679912159"/>
    <m/>
    <n v="0"/>
    <n v="0"/>
    <n v="-2154.88"/>
    <m/>
    <n v="0"/>
    <m/>
    <n v="-2215.7337295029856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87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73.066000000000003"/>
    <n v="73.066000000000003"/>
    <n v="73.066000000000003"/>
    <n v="73.066000000000003"/>
    <m/>
    <n v="314.52999999999997"/>
    <n v="119.22"/>
    <m/>
    <n v="31692.377499999995"/>
    <n v="31692.377499999995"/>
    <n v="20656.488859999998"/>
    <n v="0"/>
    <n v="2435.7164397168754"/>
    <n v="0"/>
    <n v="0"/>
    <n v="0"/>
    <n v="33.029670502543674"/>
    <n v="17134.782028968733"/>
    <n v="8583.8539925488985"/>
    <n v="126.88441396049562"/>
    <n v="0"/>
    <n v="0"/>
    <n v="0"/>
    <n v="0"/>
    <n v="376.6916542933821"/>
    <m/>
    <n v="77.096193124516802"/>
    <n v="356.92257025477136"/>
    <n v="1118.2683942815802"/>
    <n v="0"/>
    <n v="0"/>
    <n v="0"/>
    <n v="0"/>
    <n v="0"/>
    <n v="0"/>
    <n v="0"/>
    <n v="0"/>
    <n v="0"/>
    <n v="0"/>
    <m/>
    <n v="0"/>
    <n v="0"/>
    <n v="23.91364634581214"/>
    <n v="0"/>
    <n v="0"/>
    <n v="1424.9353683002648"/>
    <n v="0"/>
    <n v="79.349999999999994"/>
    <n v="363.15"/>
    <n v="6571.48"/>
    <n v="10"/>
    <m/>
    <m/>
    <m/>
    <m/>
    <m/>
    <m/>
    <m/>
    <m/>
    <m/>
    <n v="10032.703007194976"/>
    <m/>
    <m/>
    <m/>
    <m/>
    <m/>
    <m/>
    <m/>
    <m/>
    <m/>
    <m/>
    <m/>
    <m/>
    <n v="20657.619699999996"/>
    <n v="-11034.787799999995"/>
    <m/>
    <m/>
    <m/>
    <m/>
    <n v="-12347.423339999999"/>
    <n v="1311.5346999999992"/>
    <n v="30"/>
    <n v="1553.2127858393887"/>
    <n v="36.817107134410378"/>
    <n v="115.35108930741512"/>
    <n v="0"/>
    <n v="0"/>
    <n v="0"/>
    <n v="0"/>
    <n v="0"/>
    <n v="3.2294779962871161"/>
    <n v="0"/>
    <n v="0"/>
    <n v="1311.4474911887519"/>
    <n v="0"/>
    <n v="0"/>
    <n v="3.6535443790881956"/>
    <n v="217.70266776271569"/>
    <n v="0"/>
    <n v="-116.37170078688359"/>
    <m/>
    <n v="0"/>
    <n v="0"/>
    <n v="0"/>
    <n v="0"/>
    <n v="-15.263775281230949"/>
    <n v="-3.3531158611666285"/>
    <n v="0"/>
    <n v="0"/>
    <m/>
    <m/>
    <m/>
    <n v="17134.782028968733"/>
    <n v="0"/>
    <n v="0"/>
    <n v="-12347.423339999998"/>
    <n v="1311.5347000000002"/>
    <n v="0"/>
    <n v="0"/>
    <n v="-12589.092576148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8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42.01900000000001"/>
    <n v="133.49786"/>
    <n v="142.01900000000001"/>
    <n v="133.49786"/>
    <m/>
    <n v="571.87"/>
    <n v="216.76"/>
    <m/>
    <n v="112000.44397000001"/>
    <n v="112000.44397000001"/>
    <n v="72999.186190000008"/>
    <n v="0"/>
    <n v="8607.8592219774182"/>
    <n v="0"/>
    <n v="0"/>
    <n v="0"/>
    <n v="116.72736169044541"/>
    <n v="60554.5822574388"/>
    <n v="30335.471545471963"/>
    <n v="448.41146326622777"/>
    <n v="0"/>
    <n v="0"/>
    <n v="0"/>
    <n v="0"/>
    <n v="1331.2340785564202"/>
    <m/>
    <n v="272.45912789559543"/>
    <n v="1261.3698326298361"/>
    <n v="3951.9776413224417"/>
    <n v="0"/>
    <n v="0"/>
    <n v="0"/>
    <n v="0"/>
    <n v="0"/>
    <n v="0"/>
    <n v="0"/>
    <n v="0"/>
    <n v="0"/>
    <n v="0"/>
    <m/>
    <n v="0"/>
    <n v="0"/>
    <n v="84.511192629973138"/>
    <n v="0"/>
    <n v="0"/>
    <n v="5035.7434267557583"/>
    <n v="0"/>
    <n v="259.64"/>
    <n v="1189.67"/>
    <n v="31210.18"/>
    <n v="97"/>
    <m/>
    <m/>
    <m/>
    <m/>
    <n v="4379.9511714000018"/>
    <m/>
    <m/>
    <m/>
    <m/>
    <n v="35455.726164857697"/>
    <m/>
    <m/>
    <m/>
    <m/>
    <m/>
    <m/>
    <m/>
    <m/>
    <m/>
    <m/>
    <m/>
    <m/>
    <n v="68620.334999999992"/>
    <n v="-36660.112331799988"/>
    <m/>
    <m/>
    <m/>
    <m/>
    <n v="-43635.337749999999"/>
    <n v="4634.0799699999998"/>
    <n v="30"/>
    <n v="5489.0777860148009"/>
    <n v="130.11222078473952"/>
    <n v="407.65251720982815"/>
    <n v="0"/>
    <n v="0"/>
    <n v="0"/>
    <n v="0"/>
    <n v="0"/>
    <n v="11.413024726205236"/>
    <n v="0"/>
    <n v="0"/>
    <n v="4634.6755299974757"/>
    <n v="0"/>
    <n v="0"/>
    <n v="12.911681821260785"/>
    <n v="769.36456386862392"/>
    <n v="0"/>
    <n v="-411.25937381776021"/>
    <m/>
    <n v="0"/>
    <n v="0"/>
    <n v="0"/>
    <n v="0"/>
    <n v="-53.94241574031912"/>
    <n v="-11.849962835271072"/>
    <n v="0"/>
    <n v="0"/>
    <m/>
    <m/>
    <m/>
    <n v="60554.5822574388"/>
    <n v="0"/>
    <n v="0"/>
    <n v="-43635.337749999999"/>
    <n v="4634.0799700000025"/>
    <n v="0"/>
    <n v="0"/>
    <n v="-44490.04607470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89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5.2850000000000001"/>
    <n v="4.9679000000000002"/>
    <n v="5.2850000000000001"/>
    <n v="4.9679000000000002"/>
    <m/>
    <n v="2592.54"/>
    <n v="216.76"/>
    <m/>
    <n v="14847.1505"/>
    <n v="14847.1505"/>
    <n v="6242.6419999999998"/>
    <n v="0"/>
    <n v="278.68458663764056"/>
    <n v="0"/>
    <n v="0"/>
    <n v="0"/>
    <n v="26.724317069347567"/>
    <n v="12107.361600827091"/>
    <n v="1128.8839318529162"/>
    <n v="16.686884032150722"/>
    <n v="0"/>
    <n v="0"/>
    <n v="0"/>
    <n v="0"/>
    <n v="49.539653885541235"/>
    <m/>
    <n v="7.2574793085101632"/>
    <n v="238.43209609330032"/>
    <n v="904.7959570082744"/>
    <n v="0"/>
    <n v="0"/>
    <n v="0"/>
    <n v="0"/>
    <n v="0"/>
    <n v="0"/>
    <n v="0"/>
    <n v="0"/>
    <n v="0"/>
    <n v="0"/>
    <m/>
    <n v="0"/>
    <n v="0"/>
    <n v="2.4168236213344425"/>
    <n v="0"/>
    <n v="0"/>
    <n v="86.336588830985676"/>
    <n v="0"/>
    <n v="0"/>
    <n v="0"/>
    <n v="0"/>
    <n v="0"/>
    <m/>
    <m/>
    <m/>
    <m/>
    <n v="374.55851999999993"/>
    <m/>
    <m/>
    <m/>
    <m/>
    <n v="1217.6373443052364"/>
    <m/>
    <m/>
    <m/>
    <m/>
    <m/>
    <m/>
    <m/>
    <m/>
    <m/>
    <m/>
    <m/>
    <m/>
    <n v="5870.5639999999994"/>
    <n v="-8085.787470000002"/>
    <m/>
    <m/>
    <m/>
    <m/>
    <n v="-8776.9580500000011"/>
    <n v="172.44954999999999"/>
    <n v="30"/>
    <n v="290.93242009685628"/>
    <n v="24.594634124378587"/>
    <n v="93.331082033211715"/>
    <n v="0"/>
    <n v="0"/>
    <n v="0"/>
    <n v="0"/>
    <n v="0"/>
    <n v="2.6129716896392452"/>
    <n v="0"/>
    <n v="0"/>
    <n v="172.47171277108441"/>
    <n v="0"/>
    <n v="0"/>
    <n v="0.36924408052561741"/>
    <n v="13.190567187941411"/>
    <n v="0"/>
    <n v="-13.31476800882507"/>
    <m/>
    <n v="0"/>
    <n v="0"/>
    <n v="0"/>
    <n v="0"/>
    <n v="-2.0073769508839447"/>
    <n v="-0.31564683021575757"/>
    <n v="0"/>
    <n v="0"/>
    <m/>
    <m/>
    <m/>
    <n v="12107.361600827091"/>
    <n v="0"/>
    <n v="0"/>
    <n v="-8776.9580499999993"/>
    <n v="172.44955000000004"/>
    <n v="0"/>
    <n v="0"/>
    <n v="-8895.3974312614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0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94.596999999999994"/>
    <n v="88.921180000000007"/>
    <n v="94.596999999999994"/>
    <n v="88.921180000000007"/>
    <m/>
    <n v="80.27"/>
    <n v="216.76"/>
    <m/>
    <n v="28098.146909999996"/>
    <n v="28098.146909999996"/>
    <n v="31147.954189999997"/>
    <n v="0"/>
    <n v="4988.2168102480382"/>
    <n v="0"/>
    <n v="0"/>
    <n v="0"/>
    <n v="0"/>
    <n v="0"/>
    <n v="20206.061173413495"/>
    <n v="298.6810158541839"/>
    <n v="0"/>
    <n v="0"/>
    <n v="0"/>
    <n v="0"/>
    <n v="886.71762319972436"/>
    <m/>
    <n v="129.90270012244764"/>
    <n v="0"/>
    <n v="0"/>
    <n v="0"/>
    <n v="0"/>
    <n v="0"/>
    <n v="0"/>
    <n v="0"/>
    <n v="0"/>
    <n v="0"/>
    <n v="0"/>
    <n v="0"/>
    <n v="0"/>
    <m/>
    <n v="0"/>
    <n v="0"/>
    <n v="43.25908497774347"/>
    <n v="0"/>
    <n v="0"/>
    <n v="1545.3514273689218"/>
    <n v="0"/>
    <n v="0"/>
    <n v="0"/>
    <n v="0"/>
    <n v="0"/>
    <m/>
    <m/>
    <m/>
    <m/>
    <n v="1868.8772513999957"/>
    <m/>
    <m/>
    <m/>
    <m/>
    <n v="21794.67168576016"/>
    <m/>
    <m/>
    <m/>
    <m/>
    <m/>
    <m/>
    <m/>
    <m/>
    <m/>
    <m/>
    <m/>
    <m/>
    <n v="29278.688399999999"/>
    <n v="2866.4003045999962"/>
    <m/>
    <m/>
    <m/>
    <m/>
    <n v="-36.892830000000053"/>
    <n v="3086.7001099999993"/>
    <n v="30"/>
    <n v="3049.9027227280822"/>
    <n v="0"/>
    <n v="0"/>
    <n v="0"/>
    <n v="0"/>
    <n v="0"/>
    <n v="0"/>
    <n v="0"/>
    <n v="0"/>
    <n v="0"/>
    <n v="0"/>
    <n v="3087.0968047315546"/>
    <n v="0"/>
    <n v="0"/>
    <n v="6.609154642475275"/>
    <n v="236.099921339204"/>
    <n v="0"/>
    <n v="-238.32301028019356"/>
    <m/>
    <n v="0"/>
    <n v="0"/>
    <n v="0"/>
    <n v="0"/>
    <n v="-35.930338206767829"/>
    <n v="-5.6498094981873095"/>
    <n v="0"/>
    <n v="0"/>
    <m/>
    <m/>
    <m/>
    <n v="0"/>
    <n v="0"/>
    <n v="0"/>
    <n v="-36.892829999999776"/>
    <n v="3086.700109999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1"/>
    <s v="Regular"/>
    <s v="Verde"/>
    <s v="A4"/>
    <s v="Serviço público"/>
    <s v="Água, esgoto e saneamento"/>
    <s v="Não se aplica"/>
    <s v="Não se aplica"/>
    <s v="Não se aplica"/>
    <s v="CATIVO"/>
    <x v="9"/>
    <n v="399"/>
    <n v="375.06"/>
    <n v="0"/>
    <n v="0"/>
    <n v="0"/>
    <n v="0"/>
    <n v="32.17"/>
    <m/>
    <m/>
    <n v="12835.83"/>
    <m/>
    <n v="12835.83"/>
    <n v="5159.07"/>
    <n v="0"/>
    <n v="0"/>
    <n v="0"/>
    <n v="0"/>
    <n v="0"/>
    <n v="39.866573827378886"/>
    <n v="10743.767435968706"/>
    <m/>
    <m/>
    <m/>
    <n v="0"/>
    <n v="0"/>
    <n v="0"/>
    <n v="0"/>
    <m/>
    <n v="0"/>
    <n v="704.00402145907833"/>
    <n v="1349.7632010128264"/>
    <n v="0"/>
    <n v="0"/>
    <m/>
    <m/>
    <n v="0"/>
    <n v="0"/>
    <n v="0"/>
    <m/>
    <m/>
    <n v="0"/>
    <m/>
    <n v="0"/>
    <n v="0"/>
    <n v="0"/>
    <n v="0"/>
    <m/>
    <n v="0"/>
    <n v="0"/>
    <n v="144.66"/>
    <n v="661.68"/>
    <n v="16751.48"/>
    <n v="2"/>
    <m/>
    <m/>
    <m/>
    <m/>
    <n v="309.54419999999999"/>
    <m/>
    <m/>
    <m/>
    <m/>
    <n v="0"/>
    <m/>
    <m/>
    <m/>
    <m/>
    <m/>
    <m/>
    <m/>
    <m/>
    <m/>
    <m/>
    <m/>
    <m/>
    <n v="4849.5258000000003"/>
    <n v="-7216.184400000001"/>
    <m/>
    <m/>
    <m/>
    <m/>
    <n v="-7676.7600000000011"/>
    <n v="0"/>
    <n v="30"/>
    <n v="215.74717592480101"/>
    <n v="72.619087839173972"/>
    <n v="139.23013146044809"/>
    <n v="0"/>
    <n v="0"/>
    <m/>
    <m/>
    <m/>
    <n v="3.89795662517936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43.767435968706"/>
    <m/>
    <n v="0"/>
    <n v="0"/>
    <n v="-7676.76"/>
    <m/>
    <n v="0"/>
    <m/>
    <n v="-7893.55141135438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492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495"/>
    <n v="0.495"/>
    <n v="0.495"/>
    <n v="0.495"/>
    <m/>
    <n v="571.87"/>
    <n v="216.76"/>
    <m/>
    <n v="390.37184999999999"/>
    <n v="390.37184999999999"/>
    <n v="254.43494999999999"/>
    <n v="0"/>
    <n v="30.002255436799455"/>
    <n v="0"/>
    <n v="0"/>
    <n v="0"/>
    <n v="0.40684728125652531"/>
    <n v="211.05991604948778"/>
    <n v="105.73274290769982"/>
    <n v="1.5629153445439181"/>
    <n v="0"/>
    <n v="0"/>
    <n v="0"/>
    <n v="0"/>
    <n v="4.6399486609920357"/>
    <m/>
    <n v="0.9496424302967893"/>
    <n v="4.3964403858059056"/>
    <n v="13.774417031908467"/>
    <n v="0"/>
    <n v="0"/>
    <n v="0"/>
    <n v="0"/>
    <n v="0"/>
    <n v="0"/>
    <n v="0"/>
    <n v="0"/>
    <n v="0"/>
    <n v="0"/>
    <m/>
    <n v="0"/>
    <n v="0"/>
    <n v="0.29455946283128803"/>
    <n v="0"/>
    <n v="0"/>
    <n v="17.551827545920617"/>
    <n v="0"/>
    <n v="0.98"/>
    <n v="4.57"/>
    <n v="110.07"/>
    <n v="3"/>
    <m/>
    <m/>
    <m/>
    <m/>
    <m/>
    <m/>
    <m/>
    <m/>
    <m/>
    <n v="123.57912991645172"/>
    <m/>
    <m/>
    <m/>
    <m/>
    <m/>
    <m/>
    <m/>
    <m/>
    <m/>
    <m/>
    <m/>
    <m/>
    <n v="257.005"/>
    <n v="-133.39684999999997"/>
    <m/>
    <m/>
    <m/>
    <m/>
    <n v="-152.08875"/>
    <n v="16.151849999999996"/>
    <n v="30"/>
    <n v="19.131901394019906"/>
    <n v="0.45349952674252059"/>
    <n v="1.4208521114700492"/>
    <n v="0"/>
    <n v="0"/>
    <n v="0"/>
    <n v="0"/>
    <n v="0"/>
    <n v="3.9779517103145368E-2"/>
    <n v="0"/>
    <n v="0"/>
    <n v="16.153925794075079"/>
    <n v="0"/>
    <n v="0"/>
    <n v="4.5003010171343893E-2"/>
    <n v="2.6815810498240999"/>
    <n v="0"/>
    <n v="-1.4334236266963671"/>
    <m/>
    <n v="0"/>
    <n v="0"/>
    <n v="0"/>
    <n v="0"/>
    <n v="-0.18801354601467324"/>
    <n v="-4.1302442655272609E-2"/>
    <n v="0"/>
    <n v="0"/>
    <m/>
    <m/>
    <m/>
    <n v="211.05991604948778"/>
    <n v="0"/>
    <n v="0"/>
    <n v="-152.08875"/>
    <n v="16.151849999999996"/>
    <n v="0"/>
    <n v="0"/>
    <n v="-155.06779238679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3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8"/>
    <n v="238.98"/>
    <n v="942.07"/>
    <n v="13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94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4"/>
    <n v="1.64"/>
    <n v="18.4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495"/>
    <s v="Regular"/>
    <s v="Convencional"/>
    <s v="B2"/>
    <s v="Rural"/>
    <s v="Agropecuária rural"/>
    <s v="IRRIG./AQUIC."/>
    <s v="Não se aplica"/>
    <s v="Não se aplica"/>
    <s v="CATIVO"/>
    <x v="9"/>
    <n v="0"/>
    <n v="0"/>
    <n v="29.084"/>
    <n v="29.084"/>
    <n v="29.084"/>
    <n v="29.084"/>
    <m/>
    <n v="571.87"/>
    <n v="216.76"/>
    <m/>
    <n v="22936.514920000001"/>
    <n v="22936.514920000001"/>
    <n v="14949.466840000001"/>
    <n v="0"/>
    <n v="1762.799186108839"/>
    <n v="0"/>
    <n v="0"/>
    <n v="0"/>
    <n v="23.904538036494511"/>
    <n v="12400.94262299657"/>
    <n v="6212.386049954629"/>
    <n v="91.829959354980446"/>
    <n v="0"/>
    <n v="0"/>
    <n v="0"/>
    <n v="0"/>
    <n v="272.62276132584316"/>
    <m/>
    <n v="55.7967685712158"/>
    <n v="258.31529733490697"/>
    <n v="809.3235251636886"/>
    <n v="0"/>
    <n v="0"/>
    <n v="0"/>
    <n v="0"/>
    <n v="0"/>
    <n v="0"/>
    <n v="0"/>
    <n v="0"/>
    <n v="0"/>
    <n v="0"/>
    <m/>
    <n v="0"/>
    <n v="0"/>
    <n v="17.307004882798346"/>
    <n v="0"/>
    <n v="0"/>
    <n v="1031.2673784758692"/>
    <n v="0"/>
    <n v="0"/>
    <n v="0"/>
    <n v="0"/>
    <n v="0"/>
    <m/>
    <m/>
    <m/>
    <m/>
    <m/>
    <n v="1793.9011199999993"/>
    <m/>
    <m/>
    <m/>
    <n v="7260.9604333132966"/>
    <m/>
    <m/>
    <m/>
    <m/>
    <m/>
    <m/>
    <m/>
    <m/>
    <m/>
    <m/>
    <m/>
    <m/>
    <n v="13153.756399999998"/>
    <n v="-7030.5695999999989"/>
    <m/>
    <m/>
    <m/>
    <m/>
    <n v="-8936.0589999999993"/>
    <n v="949.01091999999983"/>
    <n v="30"/>
    <n v="1124.1054952397517"/>
    <n v="26.645616637938303"/>
    <n v="83.482955171706863"/>
    <n v="0"/>
    <n v="0"/>
    <n v="0"/>
    <n v="0"/>
    <n v="0"/>
    <n v="2.3372676271270265"/>
    <n v="0"/>
    <n v="0"/>
    <n v="949.13288443410056"/>
    <n v="0"/>
    <n v="0"/>
    <n v="2.6441768642896299"/>
    <n v="157.55778434966487"/>
    <n v="0"/>
    <n v="-84.221601533004105"/>
    <m/>
    <n v="0"/>
    <n v="0"/>
    <n v="0"/>
    <n v="0"/>
    <n v="-11.046840348062176"/>
    <n v="-2.4267479640120229"/>
    <n v="0"/>
    <n v="0"/>
    <m/>
    <m/>
    <m/>
    <n v="12400.94262299657"/>
    <n v="0"/>
    <n v="0"/>
    <n v="-8936.0590000000011"/>
    <n v="949.01091999999971"/>
    <n v="0"/>
    <n v="0"/>
    <n v="-9111.0942904595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6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2"/>
    <n v="0.2"/>
    <n v="0.2"/>
    <n v="0.2"/>
    <m/>
    <n v="571.87"/>
    <n v="216.76"/>
    <m/>
    <n v="157.726"/>
    <n v="157.726"/>
    <n v="102.80200000000001"/>
    <n v="0"/>
    <n v="12.122123408807861"/>
    <n v="0"/>
    <n v="0"/>
    <n v="0"/>
    <n v="0.16438273990162641"/>
    <n v="85.276733757368802"/>
    <n v="42.720300164727206"/>
    <n v="0.63148094729047211"/>
    <n v="0"/>
    <n v="0"/>
    <n v="0"/>
    <n v="0"/>
    <n v="1.874726731713954"/>
    <m/>
    <n v="0.38369391123102603"/>
    <n v="1.7763395498205679"/>
    <n v="5.5654210229933199"/>
    <n v="0"/>
    <n v="0"/>
    <n v="0"/>
    <n v="0"/>
    <n v="0"/>
    <n v="0"/>
    <n v="0"/>
    <n v="0"/>
    <n v="0"/>
    <n v="0"/>
    <m/>
    <n v="0"/>
    <n v="0"/>
    <n v="0.119013924376278"/>
    <n v="0"/>
    <n v="0"/>
    <n v="7.0916474933012594"/>
    <n v="0"/>
    <n v="0"/>
    <n v="0"/>
    <n v="0"/>
    <n v="0"/>
    <m/>
    <m/>
    <m/>
    <m/>
    <m/>
    <n v="12.335999999999997"/>
    <m/>
    <m/>
    <m/>
    <n v="49.930961582404741"/>
    <m/>
    <m/>
    <m/>
    <m/>
    <m/>
    <m/>
    <m/>
    <m/>
    <m/>
    <m/>
    <m/>
    <m/>
    <n v="90.466000000000008"/>
    <n v="-48.364000000000004"/>
    <m/>
    <m/>
    <m/>
    <m/>
    <n v="-61.45"/>
    <n v="6.5259999999999998"/>
    <n v="30"/>
    <n v="7.7300611693009813"/>
    <n v="0.18323213201718014"/>
    <n v="0.57408166120002058"/>
    <n v="0"/>
    <n v="0"/>
    <n v="0"/>
    <n v="0"/>
    <n v="0"/>
    <n v="1.6072532162886982E-2"/>
    <n v="0"/>
    <n v="0"/>
    <n v="6.5268387046767984"/>
    <n v="0"/>
    <n v="0"/>
    <n v="1.8183034412664195E-2"/>
    <n v="1.0834670908380204"/>
    <n v="0"/>
    <n v="-0.57916106129145994"/>
    <m/>
    <n v="0"/>
    <n v="0"/>
    <n v="0"/>
    <n v="0"/>
    <n v="-7.5965069096837867E-2"/>
    <n v="-1.6687855618292002E-2"/>
    <n v="0"/>
    <n v="0"/>
    <m/>
    <m/>
    <m/>
    <n v="85.276733757368802"/>
    <n v="0"/>
    <n v="0"/>
    <n v="-61.45"/>
    <n v="6.5259999999999962"/>
    <n v="0"/>
    <n v="0"/>
    <n v="-62.65365348961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7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19.684999999999999"/>
    <n v="7.8739999999999997"/>
    <n v="19.684999999999999"/>
    <n v="7.8739999999999997"/>
    <m/>
    <n v="571.87"/>
    <n v="216.76"/>
    <m/>
    <n v="15524.181549999999"/>
    <n v="15524.181549999999"/>
    <n v="10118.286849999999"/>
    <n v="0"/>
    <n v="1193.1199965119135"/>
    <n v="0"/>
    <n v="0"/>
    <n v="0"/>
    <n v="16.179371174817575"/>
    <n v="8393.362520069024"/>
    <n v="4204.7455437132749"/>
    <n v="62.153512237064703"/>
    <n v="0"/>
    <n v="0"/>
    <n v="0"/>
    <n v="0"/>
    <n v="184.5199785689459"/>
    <m/>
    <n v="37.765073212913727"/>
    <n v="174.83622019108938"/>
    <n v="547.7765641881175"/>
    <n v="0"/>
    <n v="0"/>
    <n v="0"/>
    <n v="0"/>
    <n v="0"/>
    <n v="0"/>
    <n v="0"/>
    <n v="0"/>
    <n v="0"/>
    <n v="0"/>
    <m/>
    <n v="0"/>
    <n v="0"/>
    <n v="11.713945506735161"/>
    <n v="0"/>
    <n v="0"/>
    <n v="697.99540452817644"/>
    <n v="0"/>
    <n v="0"/>
    <n v="0"/>
    <n v="0"/>
    <n v="0"/>
    <m/>
    <m/>
    <m/>
    <m/>
    <m/>
    <m/>
    <n v="6556.6404299999995"/>
    <m/>
    <m/>
    <n v="4914.4548937481868"/>
    <m/>
    <m/>
    <m/>
    <m/>
    <m/>
    <m/>
    <m/>
    <m/>
    <m/>
    <m/>
    <m/>
    <m/>
    <n v="3559.8371000000002"/>
    <n v="-1904.7489"/>
    <m/>
    <m/>
    <m/>
    <m/>
    <n v="-6048.2162499999995"/>
    <n v="642.32154999999989"/>
    <n v="30"/>
    <n v="760.8312705884473"/>
    <n v="18.034622593790942"/>
    <n v="56.503987503611938"/>
    <n v="0"/>
    <n v="0"/>
    <n v="0"/>
    <n v="0"/>
    <n v="0"/>
    <n v="1.581938978132154"/>
    <n v="0"/>
    <n v="0"/>
    <n v="642.40409950781395"/>
    <n v="0"/>
    <n v="0"/>
    <n v="1.7896651620664734"/>
    <n v="106.64024841573212"/>
    <n v="0"/>
    <n v="-57.003927457612008"/>
    <m/>
    <n v="0"/>
    <n v="0"/>
    <n v="0"/>
    <n v="0"/>
    <n v="-7.4768619258562694"/>
    <n v="-1.6425021892303846"/>
    <n v="0"/>
    <n v="0"/>
    <m/>
    <m/>
    <m/>
    <n v="8393.362520069024"/>
    <n v="0"/>
    <n v="0"/>
    <n v="-6048.2162500000004"/>
    <n v="642.32154999999966"/>
    <n v="0"/>
    <n v="0"/>
    <n v="-6166.685844715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8"/>
    <s v="Regular"/>
    <s v="Verde"/>
    <s v="A4"/>
    <s v="Rural"/>
    <s v="Agropecuária rural"/>
    <s v="Não se aplica"/>
    <s v="Não se aplica"/>
    <s v="Ponta"/>
    <s v="CATIVO"/>
    <x v="9"/>
    <n v="0"/>
    <n v="0"/>
    <n v="0.56100000000000005"/>
    <n v="0.53856000000000004"/>
    <n v="0.56100000000000005"/>
    <n v="0.53856000000000004"/>
    <m/>
    <n v="2592.54"/>
    <n v="216.76"/>
    <m/>
    <n v="1576.0173000000002"/>
    <n v="1576.0173000000002"/>
    <n v="662.65319999999997"/>
    <n v="0"/>
    <n v="29.58222386068427"/>
    <n v="0"/>
    <n v="0"/>
    <n v="0"/>
    <n v="2.8367723511644249"/>
    <n v="1285.1901339761587"/>
    <n v="119.83044196205981"/>
    <n v="1.7713040571497742"/>
    <n v="0"/>
    <n v="0"/>
    <n v="0"/>
    <n v="0"/>
    <n v="5.2586084824576407"/>
    <m/>
    <n v="0.77037765223731347"/>
    <n v="25.309442934407091"/>
    <n v="96.04362003436934"/>
    <n v="0"/>
    <n v="0"/>
    <n v="0"/>
    <n v="0"/>
    <n v="0"/>
    <n v="0"/>
    <n v="0"/>
    <n v="0"/>
    <n v="0"/>
    <n v="0"/>
    <m/>
    <n v="0"/>
    <n v="0"/>
    <n v="0.25654456983323037"/>
    <n v="0"/>
    <n v="0"/>
    <n v="9.1645839799778557"/>
    <n v="0"/>
    <n v="0"/>
    <n v="0"/>
    <n v="0"/>
    <n v="0"/>
    <m/>
    <m/>
    <m/>
    <m/>
    <m/>
    <n v="26.506128000000018"/>
    <m/>
    <m/>
    <m/>
    <n v="129.25157051187088"/>
    <m/>
    <m/>
    <m/>
    <m/>
    <m/>
    <m/>
    <m/>
    <m/>
    <m/>
    <m/>
    <m/>
    <m/>
    <n v="637.84799999999996"/>
    <n v="-875.15860800000019"/>
    <m/>
    <m/>
    <m/>
    <m/>
    <n v="-931.66953000000012"/>
    <n v="18.305429999999998"/>
    <n v="30"/>
    <n v="30.882325009335091"/>
    <n v="2.6107076147164427"/>
    <n v="9.9070457938754544"/>
    <n v="0"/>
    <n v="0"/>
    <n v="0"/>
    <n v="0"/>
    <n v="0"/>
    <n v="0.27736558521998411"/>
    <n v="0"/>
    <n v="0"/>
    <n v="18.307782566618414"/>
    <n v="0"/>
    <n v="0"/>
    <n v="3.9195067015112828E-2"/>
    <n v="1.4001718434125134"/>
    <n v="0"/>
    <n v="-1.4133556959225864"/>
    <m/>
    <n v="0"/>
    <n v="0"/>
    <n v="0"/>
    <n v="0"/>
    <n v="-0.21308201881663003"/>
    <n v="-3.3505746783545898E-2"/>
    <n v="0"/>
    <n v="0"/>
    <m/>
    <m/>
    <m/>
    <n v="1285.1901339761587"/>
    <n v="0"/>
    <n v="0"/>
    <n v="-931.66953000000012"/>
    <n v="18.305430000000001"/>
    <n v="0"/>
    <n v="0"/>
    <n v="-944.24180869208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499"/>
    <s v="Regular"/>
    <s v="Verde"/>
    <s v="A4"/>
    <s v="Rural"/>
    <s v="Agropecuária rural"/>
    <s v="Não se aplica"/>
    <s v="Não se aplica"/>
    <s v="Fora ponta"/>
    <s v="CATIVO"/>
    <x v="9"/>
    <n v="0"/>
    <n v="0"/>
    <n v="11.956"/>
    <n v="11.47776"/>
    <n v="11.956"/>
    <n v="11.47776"/>
    <m/>
    <n v="80.27"/>
    <n v="216.76"/>
    <m/>
    <n v="3551.2906799999996"/>
    <n v="3551.2906799999996"/>
    <n v="3936.7521199999996"/>
    <n v="0"/>
    <n v="630.45466751932463"/>
    <n v="0"/>
    <n v="0"/>
    <n v="0"/>
    <n v="0"/>
    <n v="0"/>
    <n v="2553.8195438473917"/>
    <n v="37.749931029024417"/>
    <n v="0"/>
    <n v="0"/>
    <n v="0"/>
    <n v="0"/>
    <n v="112.07116402186016"/>
    <m/>
    <n v="16.418244581371336"/>
    <n v="0"/>
    <n v="0"/>
    <n v="0"/>
    <n v="0"/>
    <n v="0"/>
    <n v="0"/>
    <n v="0"/>
    <n v="0"/>
    <n v="0"/>
    <n v="0"/>
    <n v="0"/>
    <n v="0"/>
    <m/>
    <n v="0"/>
    <n v="0"/>
    <n v="5.4674632387274542"/>
    <n v="0"/>
    <n v="0"/>
    <n v="195.31509102426958"/>
    <n v="0"/>
    <n v="0"/>
    <n v="0"/>
    <n v="0"/>
    <n v="0"/>
    <m/>
    <m/>
    <m/>
    <m/>
    <m/>
    <n v="157.47008479999985"/>
    <m/>
    <m/>
    <m/>
    <n v="2754.6020981103884"/>
    <m/>
    <m/>
    <m/>
    <m/>
    <m/>
    <m/>
    <m/>
    <m/>
    <m/>
    <m/>
    <m/>
    <m/>
    <n v="3780.0195999999996"/>
    <n v="370.75054719999935"/>
    <m/>
    <m/>
    <m/>
    <m/>
    <n v="-4.6628400000000063"/>
    <n v="390.12427999999994"/>
    <n v="30"/>
    <n v="385.47350289054611"/>
    <n v="0"/>
    <n v="0"/>
    <n v="0"/>
    <n v="0"/>
    <n v="0"/>
    <n v="0"/>
    <n v="0"/>
    <n v="0"/>
    <n v="0"/>
    <n v="0"/>
    <n v="390.17441776557916"/>
    <n v="0"/>
    <n v="0"/>
    <n v="0.83532303250033646"/>
    <n v="29.840382459607866"/>
    <n v="0"/>
    <n v="-30.121355972282458"/>
    <m/>
    <n v="0"/>
    <n v="0"/>
    <n v="0"/>
    <n v="0"/>
    <n v="-4.541191830608966"/>
    <n v="-0.71407256424968857"/>
    <n v="0"/>
    <n v="0"/>
    <m/>
    <m/>
    <m/>
    <n v="0"/>
    <n v="0"/>
    <n v="0"/>
    <n v="-4.6628399999999601"/>
    <n v="390.12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00"/>
    <s v="Regular"/>
    <s v="Verde"/>
    <s v="A4"/>
    <s v="Rural"/>
    <s v="Agropecuária rural"/>
    <s v="Não se aplica"/>
    <s v="Não se aplica"/>
    <s v="Não se aplica"/>
    <s v="CATIVO"/>
    <x v="9"/>
    <n v="708"/>
    <n v="679.68"/>
    <n v="0"/>
    <n v="0"/>
    <n v="0"/>
    <n v="0"/>
    <n v="32.17"/>
    <m/>
    <m/>
    <n v="22776.36"/>
    <m/>
    <n v="22776.36"/>
    <n v="9154.44"/>
    <n v="0"/>
    <n v="0"/>
    <n v="0"/>
    <n v="0"/>
    <n v="0"/>
    <n v="70.740687392942988"/>
    <n v="19064.128683373045"/>
    <m/>
    <m/>
    <m/>
    <n v="0"/>
    <n v="0"/>
    <n v="0"/>
    <n v="0"/>
    <m/>
    <n v="0"/>
    <n v="1249.2101433409209"/>
    <n v="2395.0685371355416"/>
    <n v="0"/>
    <n v="0"/>
    <m/>
    <m/>
    <n v="0"/>
    <n v="0"/>
    <n v="0"/>
    <m/>
    <m/>
    <n v="0"/>
    <m/>
    <n v="0"/>
    <n v="0"/>
    <n v="0"/>
    <n v="0"/>
    <m/>
    <n v="0"/>
    <n v="0"/>
    <n v="46.33"/>
    <n v="212.44"/>
    <n v="134.34"/>
    <n v="13"/>
    <m/>
    <m/>
    <m/>
    <m/>
    <m/>
    <n v="366.17760000000067"/>
    <m/>
    <m/>
    <m/>
    <n v="0"/>
    <m/>
    <m/>
    <m/>
    <m/>
    <m/>
    <m/>
    <m/>
    <m/>
    <m/>
    <m/>
    <m/>
    <m/>
    <n v="8788.2623999999996"/>
    <n v="-13077.073199999995"/>
    <m/>
    <m/>
    <m/>
    <m/>
    <n v="-13621.920000000002"/>
    <n v="0"/>
    <n v="30"/>
    <n v="382.8295753252105"/>
    <n v="128.85793030109062"/>
    <n v="247.05497011026864"/>
    <n v="0"/>
    <n v="0"/>
    <m/>
    <m/>
    <m/>
    <n v="6.91667491385210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064.128683373045"/>
    <m/>
    <n v="0"/>
    <n v="0"/>
    <n v="-13621.92"/>
    <m/>
    <n v="0"/>
    <m/>
    <n v="-14006.60250435815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01"/>
    <s v="Regular"/>
    <s v="Verde"/>
    <s v="A4"/>
    <s v="Rural"/>
    <s v="Agropecuária rural"/>
    <s v="IRRIG./AQUIC. PR"/>
    <s v="Não se aplica"/>
    <s v="Fora ponta"/>
    <s v="CATIVO"/>
    <x v="9"/>
    <n v="0"/>
    <n v="0"/>
    <n v="8.5150000000000006"/>
    <n v="2.5545"/>
    <n v="8.5150000000000006"/>
    <n v="2.5545"/>
    <m/>
    <n v="80.27"/>
    <n v="216.76"/>
    <m/>
    <n v="2529.21045"/>
    <n v="2529.21045"/>
    <n v="2803.73405"/>
    <n v="0"/>
    <n v="449.00648159309549"/>
    <n v="0"/>
    <n v="0"/>
    <n v="0"/>
    <n v="0"/>
    <n v="0"/>
    <n v="1818.8167795132606"/>
    <n v="26.885301330891849"/>
    <n v="0"/>
    <n v="0"/>
    <n v="0"/>
    <n v="0"/>
    <n v="79.816490602721586"/>
    <m/>
    <n v="11.692987003209847"/>
    <n v="0"/>
    <n v="0"/>
    <n v="0"/>
    <n v="0"/>
    <n v="0"/>
    <n v="0"/>
    <n v="0"/>
    <n v="0"/>
    <n v="0"/>
    <n v="0"/>
    <n v="0"/>
    <n v="0"/>
    <m/>
    <n v="0"/>
    <n v="0"/>
    <n v="3.8938984173439506"/>
    <n v="0"/>
    <n v="0"/>
    <n v="139.10237538237334"/>
    <n v="0"/>
    <n v="0"/>
    <n v="0"/>
    <n v="0"/>
    <n v="0"/>
    <m/>
    <m/>
    <m/>
    <m/>
    <m/>
    <m/>
    <n v="1962.6138350000001"/>
    <m/>
    <m/>
    <n v="1961.8130533129779"/>
    <m/>
    <m/>
    <m/>
    <m/>
    <m/>
    <m/>
    <m/>
    <m/>
    <m/>
    <m/>
    <m/>
    <m/>
    <n v="839.63849999999991"/>
    <n v="80.845365000000015"/>
    <m/>
    <m/>
    <m/>
    <m/>
    <n v="-3.320850000000005"/>
    <n v="277.84444999999999"/>
    <n v="30"/>
    <n v="274.53219112688248"/>
    <n v="0"/>
    <n v="0"/>
    <n v="0"/>
    <n v="0"/>
    <n v="0"/>
    <n v="0"/>
    <n v="0"/>
    <n v="0"/>
    <n v="0"/>
    <n v="0"/>
    <n v="277.88015785161474"/>
    <n v="0"/>
    <n v="0"/>
    <n v="0.59491264818838818"/>
    <n v="21.252162650013446"/>
    <n v="0"/>
    <n v="-21.452270500500617"/>
    <m/>
    <n v="0"/>
    <n v="0"/>
    <n v="0"/>
    <n v="0"/>
    <n v="-3.2342128167978643"/>
    <n v="-0.50855870563617245"/>
    <n v="0"/>
    <n v="0"/>
    <m/>
    <m/>
    <m/>
    <n v="0"/>
    <n v="0"/>
    <n v="0"/>
    <n v="-3.3208499999999503"/>
    <n v="277.8444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02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37"/>
    <n v="20.12"/>
    <n v="52.59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03"/>
    <s v="Refaturamento - 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51"/>
    <n v="-2.34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04"/>
    <s v="Regular"/>
    <s v="Convencional"/>
    <s v="B2"/>
    <s v="Rural"/>
    <s v="Aquicultura"/>
    <s v="IRRIG./AQUIC."/>
    <s v="Não se aplica"/>
    <s v="Não se aplica"/>
    <s v="CATIVO"/>
    <x v="9"/>
    <n v="0"/>
    <n v="0"/>
    <n v="1.637"/>
    <n v="1.637"/>
    <n v="1.637"/>
    <n v="1.637"/>
    <m/>
    <n v="571.87"/>
    <n v="216.76"/>
    <m/>
    <n v="1290.98731"/>
    <n v="1290.98731"/>
    <n v="841.43436999999994"/>
    <n v="0"/>
    <n v="99.219580101092333"/>
    <n v="0"/>
    <n v="0"/>
    <n v="0"/>
    <n v="1.3454727260948121"/>
    <n v="697.99006580406365"/>
    <n v="349.66565684829214"/>
    <n v="5.1686715535725138"/>
    <n v="0"/>
    <n v="0"/>
    <n v="0"/>
    <n v="0"/>
    <n v="15.344638299078712"/>
    <m/>
    <n v="3.1405346634259477"/>
    <n v="14.539339215281348"/>
    <n v="45.552971073200325"/>
    <n v="0"/>
    <n v="0"/>
    <n v="0"/>
    <n v="0"/>
    <n v="0"/>
    <n v="0"/>
    <n v="0"/>
    <n v="0"/>
    <n v="0"/>
    <n v="0"/>
    <m/>
    <n v="0"/>
    <n v="0"/>
    <n v="0.97412897101983542"/>
    <n v="0"/>
    <n v="0"/>
    <n v="58.04513473267081"/>
    <n v="0"/>
    <n v="0"/>
    <n v="0"/>
    <n v="0"/>
    <n v="0"/>
    <m/>
    <m/>
    <m/>
    <m/>
    <m/>
    <n v="100.97015999999996"/>
    <m/>
    <m/>
    <m/>
    <n v="408.68492055198277"/>
    <m/>
    <m/>
    <m/>
    <m/>
    <m/>
    <m/>
    <m/>
    <m/>
    <m/>
    <m/>
    <m/>
    <m/>
    <n v="741.82119999999998"/>
    <n v="-394.28679999999997"/>
    <m/>
    <m/>
    <m/>
    <m/>
    <n v="-502.96825000000001"/>
    <n v="53.415309999999991"/>
    <n v="30"/>
    <n v="63.270550670728539"/>
    <n v="1.4997550005606186"/>
    <n v="4.6988583969221622"/>
    <n v="0"/>
    <n v="0"/>
    <n v="0"/>
    <n v="0"/>
    <n v="0"/>
    <n v="0.13155367575323007"/>
    <n v="0"/>
    <n v="0"/>
    <n v="53.422174797779576"/>
    <n v="0"/>
    <n v="0"/>
    <n v="0.1488281366676566"/>
    <n v="8.8681781385092009"/>
    <n v="0"/>
    <n v="-4.7404332866706085"/>
    <m/>
    <n v="0"/>
    <n v="0"/>
    <n v="0"/>
    <n v="0"/>
    <n v="-0.62177409055761679"/>
    <n v="-0.13659009823571999"/>
    <n v="0"/>
    <n v="0"/>
    <m/>
    <m/>
    <m/>
    <n v="697.99006580406365"/>
    <n v="0"/>
    <n v="0"/>
    <n v="-502.96825000000001"/>
    <n v="53.415309999999977"/>
    <n v="0"/>
    <n v="0"/>
    <n v="-512.82015381248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05"/>
    <s v="Refaturamento - Regular"/>
    <s v="Convencional"/>
    <s v="B2"/>
    <s v="Rural"/>
    <s v="Aquicultura"/>
    <s v="IRRIG./AQUIC."/>
    <s v="Não se aplica"/>
    <s v="Não se aplica"/>
    <s v="CATIVO"/>
    <x v="9"/>
    <n v="0"/>
    <n v="0"/>
    <n v="-0.66300000000000003"/>
    <n v="-0.66300000000000003"/>
    <n v="-0.66300000000000003"/>
    <n v="-0.66300000000000003"/>
    <m/>
    <n v="571.87"/>
    <n v="216.76"/>
    <m/>
    <n v="-522.86168999999995"/>
    <n v="-522.86168999999995"/>
    <n v="-340.78863000000001"/>
    <n v="0"/>
    <n v="-40.184839100198062"/>
    <n v="0"/>
    <n v="0"/>
    <n v="0"/>
    <n v="-0.54492878277389156"/>
    <n v="-282.69237240567759"/>
    <n v="-141.61779504607068"/>
    <n v="-2.0933593402679147"/>
    <n v="0"/>
    <n v="0"/>
    <n v="0"/>
    <n v="0"/>
    <n v="-6.2147191156317572"/>
    <m/>
    <n v="-1.2719453157308511"/>
    <n v="-5.8885656076551829"/>
    <n v="-18.449370691222857"/>
    <n v="0"/>
    <n v="0"/>
    <n v="0"/>
    <n v="0"/>
    <n v="0"/>
    <n v="0"/>
    <n v="0"/>
    <n v="0"/>
    <n v="0"/>
    <n v="0"/>
    <m/>
    <n v="0"/>
    <n v="0"/>
    <n v="-0.3945311593073616"/>
    <n v="0"/>
    <n v="0"/>
    <n v="-23.508811440293677"/>
    <n v="0"/>
    <n v="0"/>
    <n v="0"/>
    <n v="0"/>
    <n v="0"/>
    <m/>
    <m/>
    <m/>
    <m/>
    <m/>
    <n v="-40.89383999999999"/>
    <m/>
    <m/>
    <m/>
    <n v="-165.5211376456717"/>
    <m/>
    <m/>
    <m/>
    <m/>
    <m/>
    <m/>
    <m/>
    <m/>
    <m/>
    <m/>
    <m/>
    <m/>
    <n v="-298.5378"/>
    <n v="161.55420000000009"/>
    <m/>
    <m/>
    <m/>
    <m/>
    <n v="203.70675"/>
    <n v="-21.633689999999998"/>
    <n v="30"/>
    <n v="-25.625152776232767"/>
    <n v="-0.60741451763695142"/>
    <n v="-1.9030807068780682"/>
    <n v="0"/>
    <n v="0"/>
    <n v="0"/>
    <n v="0"/>
    <n v="0"/>
    <n v="-5.3280444119970349E-2"/>
    <n v="0"/>
    <n v="0"/>
    <n v="-21.636470306003588"/>
    <n v="0"/>
    <n v="0"/>
    <n v="-6.0276759077981801E-2"/>
    <n v="-3.5916934061280372"/>
    <n v="0"/>
    <n v="1.919918918181196"/>
    <m/>
    <n v="0"/>
    <n v="0"/>
    <n v="0"/>
    <n v="0"/>
    <n v="0.25182420405601746"/>
    <n v="5.5320241374637869E-2"/>
    <n v="0"/>
    <n v="0"/>
    <m/>
    <m/>
    <m/>
    <n v="-282.69237240567759"/>
    <n v="0"/>
    <n v="0"/>
    <n v="203.70675"/>
    <n v="-21.633690000000001"/>
    <n v="0"/>
    <n v="0"/>
    <n v="207.6968613180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06"/>
    <s v="Regular"/>
    <s v="Convencional"/>
    <s v="B2"/>
    <s v="Rural"/>
    <s v="Aquicultura"/>
    <s v="IRRIG./AQUIC. PR"/>
    <s v="Não se aplica"/>
    <s v="Não se aplica"/>
    <s v="CATIVO"/>
    <x v="9"/>
    <n v="0"/>
    <n v="0"/>
    <n v="1.9450000000000001"/>
    <n v="0.77800000000000002"/>
    <n v="1.9450000000000001"/>
    <n v="0.77800000000000002"/>
    <m/>
    <n v="571.87"/>
    <n v="216.76"/>
    <m/>
    <n v="1533.88535"/>
    <n v="1533.88535"/>
    <n v="999.74945000000002"/>
    <n v="0"/>
    <n v="117.88765015065644"/>
    <n v="0"/>
    <n v="0"/>
    <n v="0"/>
    <n v="1.5986221455433167"/>
    <n v="829.31623579041161"/>
    <n v="415.45491910197205"/>
    <n v="6.1411522123998408"/>
    <n v="0"/>
    <n v="0"/>
    <n v="0"/>
    <n v="0"/>
    <n v="18.231717465918202"/>
    <m/>
    <n v="3.7314232867217276"/>
    <n v="17.274902122005024"/>
    <n v="54.123719448610039"/>
    <n v="0"/>
    <n v="0"/>
    <n v="0"/>
    <n v="0"/>
    <n v="0"/>
    <n v="0"/>
    <n v="0"/>
    <n v="0"/>
    <n v="0"/>
    <n v="0"/>
    <m/>
    <n v="0"/>
    <n v="0"/>
    <n v="1.1574104145593036"/>
    <n v="0"/>
    <n v="0"/>
    <n v="68.966271872354753"/>
    <n v="0"/>
    <n v="0"/>
    <n v="0"/>
    <n v="0"/>
    <n v="0"/>
    <m/>
    <m/>
    <m/>
    <m/>
    <m/>
    <m/>
    <n v="647.83671000000004"/>
    <m/>
    <m/>
    <n v="485.57860138888611"/>
    <m/>
    <m/>
    <m/>
    <m/>
    <m/>
    <m/>
    <m/>
    <m/>
    <m/>
    <m/>
    <m/>
    <m/>
    <n v="352.81740000000002"/>
    <n v="-187.14459999999997"/>
    <m/>
    <m/>
    <m/>
    <m/>
    <n v="-597.60125000000005"/>
    <n v="63.465349999999994"/>
    <n v="30"/>
    <n v="75.174844871452137"/>
    <n v="1.7819324838670738"/>
    <n v="5.5829441551701962"/>
    <n v="0"/>
    <n v="0"/>
    <n v="0"/>
    <n v="0"/>
    <n v="0"/>
    <n v="0.15630537528407618"/>
    <n v="0"/>
    <n v="0"/>
    <n v="63.473506402981855"/>
    <n v="0"/>
    <n v="0"/>
    <n v="0.17683000966315943"/>
    <n v="10.53671745839975"/>
    <n v="0"/>
    <n v="-5.6323413210594566"/>
    <m/>
    <n v="0"/>
    <n v="0"/>
    <n v="0"/>
    <n v="0"/>
    <n v="-0.73876029696674905"/>
    <n v="-0.16228939588788949"/>
    <n v="0"/>
    <n v="0"/>
    <m/>
    <m/>
    <m/>
    <n v="829.31623579041161"/>
    <n v="0"/>
    <n v="0"/>
    <n v="-597.60125000000005"/>
    <n v="63.465349999999944"/>
    <n v="0"/>
    <n v="0"/>
    <n v="-609.30678018648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08"/>
    <s v="Regular"/>
    <s v="Convencional"/>
    <s v="B1"/>
    <s v="Residencial"/>
    <s v="Residencial"/>
    <s v="Não se aplica"/>
    <s v="Não se aplica"/>
    <s v="Não se aplica"/>
    <s v="CATIVO"/>
    <x v="10"/>
    <n v="0"/>
    <n v="0"/>
    <n v="671.42700000000002"/>
    <n v="671.42700000000002"/>
    <n v="671.42700000000002"/>
    <n v="671.42700000000002"/>
    <m/>
    <n v="571.87"/>
    <n v="216.76"/>
    <m/>
    <n v="529507.47500999994"/>
    <n v="529507.47500999994"/>
    <n v="345120.19227"/>
    <n v="0"/>
    <n v="40695.604770028178"/>
    <n v="0"/>
    <n v="0"/>
    <n v="0"/>
    <n v="551.85504951964651"/>
    <n v="286285.50758254429"/>
    <n v="143417.81489351144"/>
    <n v="2119.9667899819988"/>
    <n v="0"/>
    <n v="0"/>
    <n v="0"/>
    <n v="0"/>
    <n v="6293.7107264725246"/>
    <m/>
    <n v="1288.1122586805704"/>
    <n v="5963.4116745868723"/>
    <n v="18683.869706026679"/>
    <n v="0"/>
    <n v="0"/>
    <n v="0"/>
    <n v="0"/>
    <n v="0"/>
    <n v="0"/>
    <n v="0"/>
    <n v="0"/>
    <n v="0"/>
    <n v="0"/>
    <m/>
    <n v="0"/>
    <n v="0"/>
    <n v="399.54581101095607"/>
    <n v="0"/>
    <n v="0"/>
    <n v="23807.618007423924"/>
    <n v="0"/>
    <n v="948.11"/>
    <n v="4418.3900000000003"/>
    <n v="114680.25"/>
    <n v="4453"/>
    <m/>
    <m/>
    <m/>
    <m/>
    <m/>
    <m/>
    <m/>
    <m/>
    <m/>
    <n v="167624.97871194634"/>
    <m/>
    <m/>
    <m/>
    <m/>
    <m/>
    <m/>
    <m/>
    <m/>
    <m/>
    <m/>
    <m/>
    <m/>
    <n v="345121.73429999995"/>
    <n v="-184385.77071000001"/>
    <m/>
    <m/>
    <m/>
    <m/>
    <n v="-206295.94575000001"/>
    <n v="21908.663009999997"/>
    <n v="31"/>
    <n v="25950.858903601242"/>
    <n v="615.13500351949551"/>
    <n v="1927.269637672729"/>
    <n v="0"/>
    <n v="0"/>
    <n v="0"/>
    <n v="0"/>
    <n v="0"/>
    <n v="53.95766026265369"/>
    <n v="0"/>
    <n v="0"/>
    <n v="21911.478654825158"/>
    <n v="0"/>
    <n v="0"/>
    <n v="61.042901232959423"/>
    <n v="3637.3452920004966"/>
    <n v="0"/>
    <n v="-1944.3218694987081"/>
    <m/>
    <n v="0"/>
    <n v="0"/>
    <n v="0"/>
    <n v="0"/>
    <n v="-255.02499224241274"/>
    <n v="-56.023384171114685"/>
    <n v="0"/>
    <n v="0"/>
    <m/>
    <m/>
    <m/>
    <n v="286285.50758254429"/>
    <n v="0"/>
    <n v="0"/>
    <n v="-206295.94574999998"/>
    <n v="21908.663009999989"/>
    <n v="0"/>
    <n v="0"/>
    <n v="-210336.7730078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09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92500000000000004"/>
    <n v="-0.92500000000000004"/>
    <n v="-0.92500000000000004"/>
    <n v="-0.92500000000000004"/>
    <m/>
    <n v="571.87"/>
    <n v="216.76"/>
    <m/>
    <n v="-729.48275000000012"/>
    <n v="-729.48275000000012"/>
    <n v="-475.45925"/>
    <n v="0"/>
    <n v="-56.064820765736357"/>
    <n v="0"/>
    <n v="0"/>
    <n v="0"/>
    <n v="-0.76027017204502212"/>
    <n v="-394.40489362783075"/>
    <n v="-197.58138826186331"/>
    <n v="-2.9205993812184334"/>
    <n v="0"/>
    <n v="0"/>
    <n v="0"/>
    <n v="0"/>
    <n v="-8.6706111341770367"/>
    <m/>
    <n v="-1.7745843394434953"/>
    <n v="-8.2155704179201265"/>
    <n v="-25.740072231344104"/>
    <n v="0"/>
    <n v="0"/>
    <n v="0"/>
    <n v="0"/>
    <n v="0"/>
    <n v="0"/>
    <n v="0"/>
    <n v="0"/>
    <n v="0"/>
    <n v="0"/>
    <m/>
    <n v="0"/>
    <n v="0"/>
    <n v="-0.55043940024028581"/>
    <n v="0"/>
    <n v="0"/>
    <n v="-32.798869656518328"/>
    <n v="0"/>
    <n v="-2.25"/>
    <n v="-10.32"/>
    <n v="-224.17"/>
    <n v="0"/>
    <m/>
    <m/>
    <m/>
    <m/>
    <m/>
    <m/>
    <m/>
    <m/>
    <m/>
    <n v="-230.93069731862192"/>
    <m/>
    <m/>
    <m/>
    <m/>
    <m/>
    <m/>
    <m/>
    <m/>
    <m/>
    <m/>
    <m/>
    <m/>
    <n v="-478.02930000000003"/>
    <n v="251.42345000000012"/>
    <m/>
    <m/>
    <m/>
    <m/>
    <n v="284.20625000000001"/>
    <n v="-30.182749999999999"/>
    <n v="31"/>
    <n v="-35.751532908017055"/>
    <n v="-0.8474486105794572"/>
    <n v="-2.6551276830500932"/>
    <n v="0"/>
    <n v="0"/>
    <n v="0"/>
    <n v="0"/>
    <n v="0"/>
    <n v="-7.4335461253352331E-2"/>
    <n v="0"/>
    <n v="0"/>
    <n v="-30.186629009130201"/>
    <n v="0"/>
    <n v="0"/>
    <n v="-8.4096534158571878E-2"/>
    <n v="-5.0110352951258434"/>
    <n v="0"/>
    <n v="2.67861990847301"/>
    <m/>
    <n v="0"/>
    <n v="0"/>
    <n v="0"/>
    <n v="0"/>
    <n v="0.35133844457287466"/>
    <n v="7.7181332234600442E-2"/>
    <n v="0"/>
    <n v="0"/>
    <m/>
    <m/>
    <m/>
    <n v="-394.40489362783075"/>
    <n v="0"/>
    <n v="0"/>
    <n v="284.20625000000007"/>
    <n v="-30.18274999999997"/>
    <n v="0"/>
    <n v="0"/>
    <n v="289.77314738946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10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20.699000000000002"/>
    <n v="20.699000000000002"/>
    <n v="20.699000000000002"/>
    <n v="20.699000000000002"/>
    <m/>
    <n v="571.87"/>
    <n v="216.76"/>
    <m/>
    <n v="16323.852370000001"/>
    <n v="16323.852370000001"/>
    <n v="10639.492990000001"/>
    <n v="0"/>
    <n v="1254.5791621945696"/>
    <n v="0"/>
    <n v="0"/>
    <n v="0"/>
    <n v="17.012791666118826"/>
    <n v="8825.715560218885"/>
    <n v="4421.3374655484422"/>
    <n v="65.355120639827405"/>
    <n v="0"/>
    <n v="0"/>
    <n v="0"/>
    <n v="0"/>
    <n v="194.02484309873566"/>
    <m/>
    <n v="39.710401342855036"/>
    <n v="183.84226170867967"/>
    <n v="575.99324877469371"/>
    <n v="0"/>
    <n v="0"/>
    <n v="0"/>
    <n v="0"/>
    <n v="0"/>
    <n v="0"/>
    <n v="0"/>
    <n v="0"/>
    <n v="0"/>
    <n v="0"/>
    <m/>
    <n v="0"/>
    <n v="0"/>
    <n v="12.317346103322892"/>
    <n v="0"/>
    <n v="0"/>
    <n v="733.9500573192139"/>
    <n v="0"/>
    <n v="28.87"/>
    <n v="134.37"/>
    <n v="7866.95"/>
    <n v="222"/>
    <m/>
    <m/>
    <m/>
    <m/>
    <m/>
    <m/>
    <m/>
    <m/>
    <m/>
    <n v="5167.6048689709787"/>
    <m/>
    <m/>
    <m/>
    <m/>
    <m/>
    <m/>
    <m/>
    <m/>
    <m/>
    <m/>
    <m/>
    <m/>
    <n v="10640.007"/>
    <n v="-5683.8753700000016"/>
    <m/>
    <m/>
    <m/>
    <m/>
    <n v="-6359.7677500000009"/>
    <n v="675.40836999999999"/>
    <n v="31"/>
    <n v="800.02268071680555"/>
    <n v="18.96360950311805"/>
    <n v="59.414581525896097"/>
    <n v="0"/>
    <n v="0"/>
    <n v="0"/>
    <n v="0"/>
    <n v="0"/>
    <n v="1.6634267161979892"/>
    <n v="0"/>
    <n v="0"/>
    <n v="675.49517174052562"/>
    <n v="0"/>
    <n v="0"/>
    <n v="1.881853146538683"/>
    <n v="112.13342656628095"/>
    <n v="0"/>
    <n v="-59.940274038359803"/>
    <m/>
    <n v="0"/>
    <n v="0"/>
    <n v="0"/>
    <n v="0"/>
    <n v="-7.8620048261772126"/>
    <n v="-1.7271096172151275"/>
    <n v="0"/>
    <n v="0"/>
    <m/>
    <m/>
    <m/>
    <n v="8825.715560218885"/>
    <n v="0"/>
    <n v="0"/>
    <n v="-6359.7677500000009"/>
    <n v="675.4083700000001"/>
    <n v="0"/>
    <n v="0"/>
    <n v="-6484.339867907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11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7.35"/>
    <n v="7.35"/>
    <n v="7.35"/>
    <n v="7.35"/>
    <m/>
    <n v="501.89"/>
    <n v="216.76"/>
    <m/>
    <n v="5282.0774999999994"/>
    <n v="5282.0774999999994"/>
    <n v="3287.6549999999997"/>
    <n v="0"/>
    <n v="0"/>
    <n v="0"/>
    <n v="0"/>
    <n v="0"/>
    <n v="6.0410656913847696"/>
    <n v="3133.9199655833031"/>
    <n v="1569.9710310537246"/>
    <n v="23.206924812924846"/>
    <n v="0"/>
    <n v="0"/>
    <n v="0"/>
    <n v="0"/>
    <n v="0"/>
    <m/>
    <n v="14.100751237740205"/>
    <n v="65.280478455905865"/>
    <n v="204.52922259500448"/>
    <n v="0"/>
    <n v="0"/>
    <n v="0"/>
    <n v="0"/>
    <n v="0"/>
    <n v="0"/>
    <n v="0"/>
    <n v="0"/>
    <n v="0"/>
    <n v="0"/>
    <m/>
    <n v="0"/>
    <n v="0"/>
    <n v="4.3737617208282167"/>
    <n v="0"/>
    <n v="0"/>
    <n v="260.61804537882125"/>
    <n v="0"/>
    <n v="2.4500000000000002"/>
    <n v="14.71"/>
    <n v="357.97"/>
    <n v="19"/>
    <m/>
    <m/>
    <m/>
    <m/>
    <m/>
    <m/>
    <m/>
    <n v="2136.9389999999994"/>
    <m/>
    <n v="1834.9628381533742"/>
    <m/>
    <m/>
    <m/>
    <m/>
    <m/>
    <m/>
    <m/>
    <m/>
    <m/>
    <m/>
    <m/>
    <m/>
    <n v="1150.7159999999999"/>
    <n v="-698.05950000000007"/>
    <m/>
    <m/>
    <m/>
    <m/>
    <n v="-2234.2530000000002"/>
    <n v="239.83049999999994"/>
    <n v="31"/>
    <n v="308.15563326358006"/>
    <n v="6.7337808516313657"/>
    <n v="21.097501049100742"/>
    <n v="0"/>
    <n v="0"/>
    <n v="0"/>
    <n v="0"/>
    <n v="0"/>
    <n v="0.59066555698609768"/>
    <n v="0"/>
    <n v="0"/>
    <n v="239.86132239687231"/>
    <n v="0"/>
    <n v="0"/>
    <n v="0.66822651466540872"/>
    <n v="39.817415588297251"/>
    <n v="0"/>
    <n v="0"/>
    <m/>
    <n v="0"/>
    <n v="0"/>
    <n v="0"/>
    <n v="0"/>
    <n v="0"/>
    <n v="-0.61327869397223189"/>
    <n v="0"/>
    <n v="0"/>
    <m/>
    <m/>
    <m/>
    <n v="3133.9199655833031"/>
    <n v="0"/>
    <n v="0"/>
    <n v="-2234.2529999999997"/>
    <n v="239.8304999999998"/>
    <n v="0"/>
    <n v="0"/>
    <n v="-2302.5217657432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12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6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13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4.192"/>
    <n v="14.192"/>
    <n v="14.192"/>
    <n v="14.192"/>
    <m/>
    <n v="501.89"/>
    <n v="216.76"/>
    <m/>
    <n v="10199.0808"/>
    <n v="10199.0808"/>
    <n v="6348.0815999999995"/>
    <n v="0"/>
    <n v="0"/>
    <n v="0"/>
    <n v="0"/>
    <n v="0"/>
    <n v="11.66459922341941"/>
    <n v="6051.2370274228897"/>
    <n v="3031.4324996890423"/>
    <n v="44.809888019731893"/>
    <n v="0"/>
    <n v="0"/>
    <n v="0"/>
    <n v="0"/>
    <n v="0"/>
    <m/>
    <n v="27.226919940953604"/>
    <n v="126.04905445526749"/>
    <n v="394.92227579160595"/>
    <n v="0"/>
    <n v="0"/>
    <n v="0"/>
    <n v="0"/>
    <n v="0"/>
    <n v="0"/>
    <n v="0"/>
    <n v="0"/>
    <n v="0"/>
    <n v="0"/>
    <m/>
    <n v="0"/>
    <n v="0"/>
    <n v="8.4452280737406866"/>
    <n v="0"/>
    <n v="0"/>
    <n v="503.22330612465737"/>
    <n v="0"/>
    <n v="10.11"/>
    <n v="48.53"/>
    <n v="1282.8399999999999"/>
    <n v="60"/>
    <m/>
    <m/>
    <m/>
    <m/>
    <m/>
    <m/>
    <m/>
    <n v="2539.0907200000001"/>
    <m/>
    <n v="3543.1010338874403"/>
    <m/>
    <m/>
    <m/>
    <m/>
    <m/>
    <m/>
    <m/>
    <m/>
    <m/>
    <m/>
    <m/>
    <m/>
    <n v="3808.4540999999999"/>
    <n v="-2311.0243800000007"/>
    <m/>
    <m/>
    <m/>
    <m/>
    <n v="-4314.0841600000003"/>
    <n v="463.08495999999997"/>
    <n v="31"/>
    <n v="595.01289078595073"/>
    <n v="13.002152087939109"/>
    <n v="40.736834678753439"/>
    <n v="0"/>
    <n v="0"/>
    <n v="0"/>
    <n v="0"/>
    <n v="0"/>
    <n v="1.1405068822784603"/>
    <n v="0"/>
    <n v="0"/>
    <n v="463.14447448386545"/>
    <n v="0"/>
    <n v="0"/>
    <n v="1.2902681219226526"/>
    <n v="76.882824765865962"/>
    <n v="0"/>
    <n v="0"/>
    <m/>
    <n v="0"/>
    <n v="0"/>
    <n v="0"/>
    <n v="0"/>
    <n v="0"/>
    <n v="-1.1841702346739993"/>
    <n v="0"/>
    <n v="0"/>
    <m/>
    <m/>
    <m/>
    <n v="6051.2370274228897"/>
    <n v="0"/>
    <n v="0"/>
    <n v="-4314.0841600000003"/>
    <n v="463.08495999999968"/>
    <n v="0"/>
    <n v="0"/>
    <n v="-4445.903251622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14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7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15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2.797000000000001"/>
    <n v="12.797000000000001"/>
    <n v="12.797000000000001"/>
    <n v="12.797000000000001"/>
    <m/>
    <n v="501.89"/>
    <n v="216.76"/>
    <m/>
    <n v="9196.5640500000009"/>
    <n v="9196.5640500000009"/>
    <n v="5724.0981000000002"/>
    <n v="0"/>
    <n v="0"/>
    <n v="0"/>
    <n v="0"/>
    <n v="0"/>
    <n v="10.518029612605565"/>
    <n v="5456.4318094652426"/>
    <n v="2733.4584060400703"/>
    <n v="40.405308412380855"/>
    <n v="0"/>
    <n v="0"/>
    <n v="0"/>
    <n v="0"/>
    <n v="0"/>
    <m/>
    <n v="24.550654910117199"/>
    <n v="113.65908609526905"/>
    <n v="356.10346415622757"/>
    <n v="0"/>
    <n v="0"/>
    <n v="0"/>
    <n v="0"/>
    <n v="0"/>
    <n v="0"/>
    <n v="0"/>
    <n v="0"/>
    <n v="0"/>
    <n v="0"/>
    <m/>
    <n v="0"/>
    <n v="0"/>
    <n v="7.6151059512161483"/>
    <n v="0"/>
    <n v="0"/>
    <n v="453.75906485888112"/>
    <n v="0"/>
    <n v="14.12"/>
    <n v="64.69"/>
    <n v="1742.44"/>
    <n v="117"/>
    <m/>
    <m/>
    <m/>
    <m/>
    <m/>
    <m/>
    <m/>
    <n v="572.40980999999988"/>
    <m/>
    <n v="3194.8325768501677"/>
    <m/>
    <m/>
    <m/>
    <m/>
    <m/>
    <m/>
    <m/>
    <m/>
    <m/>
    <m/>
    <m/>
    <m/>
    <n v="5152.8960000000006"/>
    <n v="-3123.9776600000005"/>
    <m/>
    <m/>
    <m/>
    <m/>
    <n v="-3890.0320600000005"/>
    <n v="417.56610999999998"/>
    <n v="31"/>
    <n v="536.52620937061783"/>
    <n v="11.724107967119252"/>
    <n v="36.732615091883304"/>
    <n v="0"/>
    <n v="0"/>
    <n v="0"/>
    <n v="0"/>
    <n v="0"/>
    <n v="1.0284009704423251"/>
    <n v="0"/>
    <n v="0"/>
    <n v="417.61977451874463"/>
    <n v="0"/>
    <n v="0"/>
    <n v="1.1634414568943194"/>
    <n v="69.325641807270756"/>
    <n v="0"/>
    <n v="0"/>
    <m/>
    <n v="0"/>
    <n v="0"/>
    <n v="0"/>
    <n v="0"/>
    <n v="0"/>
    <n v="-1.0677724417364125"/>
    <n v="0"/>
    <n v="0"/>
    <m/>
    <m/>
    <m/>
    <n v="5456.4318094652426"/>
    <n v="0"/>
    <n v="0"/>
    <n v="-3890.0320600000005"/>
    <n v="417.56611000000021"/>
    <n v="0"/>
    <n v="0"/>
    <n v="-4008.8940185328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16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1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17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3.61"/>
    <n v="3.61"/>
    <n v="3.61"/>
    <n v="3.61"/>
    <m/>
    <n v="501.89"/>
    <n v="216.76"/>
    <m/>
    <n v="2594.3264999999997"/>
    <n v="2594.3264999999997"/>
    <n v="1614.7529999999999"/>
    <n v="0"/>
    <n v="0"/>
    <n v="0"/>
    <n v="0"/>
    <n v="0"/>
    <n v="2.9671084552243565"/>
    <n v="1539.2450443205068"/>
    <n v="771.10141797332597"/>
    <n v="11.398231098593019"/>
    <n v="0"/>
    <n v="0"/>
    <n v="0"/>
    <n v="0"/>
    <n v="0"/>
    <m/>
    <n v="6.9256750977200188"/>
    <n v="32.062928874261246"/>
    <n v="100.45584946502942"/>
    <n v="0"/>
    <n v="0"/>
    <n v="0"/>
    <n v="0"/>
    <n v="0"/>
    <n v="0"/>
    <n v="0"/>
    <n v="0"/>
    <n v="0"/>
    <n v="0"/>
    <m/>
    <n v="0"/>
    <n v="0"/>
    <n v="2.1482013349918176"/>
    <n v="0"/>
    <n v="0"/>
    <n v="128.00423725408774"/>
    <n v="0"/>
    <n v="4.71"/>
    <n v="20.239999999999998"/>
    <n v="546.65"/>
    <n v="49"/>
    <m/>
    <m/>
    <m/>
    <m/>
    <m/>
    <m/>
    <m/>
    <m/>
    <m/>
    <n v="901.25385656240542"/>
    <m/>
    <m/>
    <m/>
    <m/>
    <m/>
    <m/>
    <m/>
    <m/>
    <m/>
    <m/>
    <m/>
    <m/>
    <n v="1614.7529999999999"/>
    <n v="-979.60349999999994"/>
    <m/>
    <m/>
    <m/>
    <m/>
    <n v="-1097.3678"/>
    <n v="117.79429999999998"/>
    <n v="31"/>
    <n v="151.35263075939133"/>
    <n v="3.3073399829101007"/>
    <n v="10.362173984660373"/>
    <n v="0"/>
    <n v="0"/>
    <n v="0"/>
    <n v="0"/>
    <n v="0"/>
    <n v="0.29010920554010999"/>
    <n v="0"/>
    <n v="0"/>
    <n v="117.80943861941626"/>
    <n v="0"/>
    <n v="0"/>
    <n v="0.32820377114858923"/>
    <n v="19.556580989626241"/>
    <n v="0"/>
    <n v="0"/>
    <m/>
    <n v="0"/>
    <n v="0"/>
    <n v="0"/>
    <n v="0"/>
    <n v="0"/>
    <n v="-0.3012157939101705"/>
    <n v="0"/>
    <n v="0"/>
    <m/>
    <m/>
    <m/>
    <n v="1539.2450443205068"/>
    <n v="0"/>
    <n v="0"/>
    <n v="-1097.3678"/>
    <n v="117.79430000000002"/>
    <n v="0"/>
    <n v="0"/>
    <n v="-1130.8984454875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18"/>
    <s v="Sistema de Compensaçã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6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19"/>
    <s v="Regular"/>
    <s v="Convencional"/>
    <s v="B3"/>
    <s v="Industrial"/>
    <s v="Não se aplica"/>
    <s v="Não se aplica"/>
    <s v="Não se aplica"/>
    <s v="Não se aplica"/>
    <s v="CATIVO"/>
    <x v="10"/>
    <n v="0"/>
    <n v="0"/>
    <n v="28.206"/>
    <n v="28.206"/>
    <n v="28.206"/>
    <n v="28.206"/>
    <m/>
    <n v="571.87"/>
    <n v="216.76"/>
    <m/>
    <n v="22244.097779999996"/>
    <n v="22244.097779999996"/>
    <n v="14498.16606"/>
    <n v="0"/>
    <n v="1709.5830643441725"/>
    <n v="0"/>
    <n v="0"/>
    <n v="0"/>
    <n v="23.18289780832637"/>
    <n v="12026.577761801722"/>
    <n v="6024.8439322314771"/>
    <n v="89.057757996375273"/>
    <n v="0"/>
    <n v="0"/>
    <n v="0"/>
    <n v="0"/>
    <n v="264.39271097361893"/>
    <m/>
    <n v="54.112352300911596"/>
    <n v="250.51716671119468"/>
    <n v="784.89132687274787"/>
    <n v="0"/>
    <n v="0"/>
    <n v="0"/>
    <n v="0"/>
    <n v="0"/>
    <n v="0"/>
    <n v="0"/>
    <n v="0"/>
    <n v="0"/>
    <n v="0"/>
    <m/>
    <n v="0"/>
    <n v="0"/>
    <n v="16.784533754786487"/>
    <n v="0"/>
    <n v="0"/>
    <n v="1000.1350459802766"/>
    <n v="0"/>
    <n v="46.18"/>
    <n v="211.45"/>
    <n v="3295.59"/>
    <n v="27"/>
    <m/>
    <m/>
    <m/>
    <m/>
    <m/>
    <m/>
    <m/>
    <m/>
    <m/>
    <n v="7041.763511966541"/>
    <m/>
    <m/>
    <m/>
    <m/>
    <m/>
    <m/>
    <m/>
    <m/>
    <m/>
    <m/>
    <m/>
    <m/>
    <n v="14500.222100000001"/>
    <n v="-7743.905679999998"/>
    <m/>
    <m/>
    <m/>
    <m/>
    <n v="-8666.2934999999998"/>
    <n v="920.36177999999984"/>
    <n v="31"/>
    <n v="1090.1705267065154"/>
    <n v="25.841227578382899"/>
    <n v="80.962736679038926"/>
    <n v="0"/>
    <n v="0"/>
    <n v="0"/>
    <n v="0"/>
    <n v="0"/>
    <n v="2.2667092109319533"/>
    <n v="0"/>
    <n v="0"/>
    <n v="920.48006252056894"/>
    <n v="0"/>
    <n v="0"/>
    <n v="2.5643533432180305"/>
    <n v="152.80136382088608"/>
    <n v="0"/>
    <n v="-81.679084473934836"/>
    <m/>
    <n v="0"/>
    <n v="0"/>
    <n v="0"/>
    <n v="0"/>
    <n v="-10.713353694727061"/>
    <n v="-2.3534882778477169"/>
    <n v="0"/>
    <n v="0"/>
    <m/>
    <m/>
    <m/>
    <n v="12026.577761801722"/>
    <n v="0"/>
    <n v="0"/>
    <n v="-8666.2934999999998"/>
    <n v="920.36178000000018"/>
    <n v="0"/>
    <n v="0"/>
    <n v="-8836.0447516401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0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2.895"/>
    <n v="2.895"/>
    <n v="2.895"/>
    <n v="2.895"/>
    <m/>
    <n v="571.87"/>
    <n v="216.76"/>
    <m/>
    <n v="2283.08385"/>
    <n v="2283.08385"/>
    <n v="1488.0589500000001"/>
    <n v="0"/>
    <n v="175.46773634249377"/>
    <n v="0"/>
    <n v="0"/>
    <n v="0"/>
    <n v="2.379440160076042"/>
    <n v="1234.3807211379133"/>
    <n v="618.3763448844262"/>
    <n v="9.1406867120295825"/>
    <n v="0"/>
    <n v="0"/>
    <n v="0"/>
    <n v="0"/>
    <n v="27.136669441559484"/>
    <m/>
    <n v="5.5539693650691015"/>
    <n v="25.712514983652721"/>
    <n v="80.559469307828309"/>
    <n v="0"/>
    <n v="0"/>
    <n v="0"/>
    <n v="0"/>
    <n v="0"/>
    <n v="0"/>
    <n v="0"/>
    <n v="0"/>
    <n v="0"/>
    <n v="0"/>
    <m/>
    <n v="0"/>
    <n v="0"/>
    <n v="1.722726555346624"/>
    <n v="0"/>
    <n v="0"/>
    <n v="102.65159746553573"/>
    <n v="0"/>
    <n v="4.3899999999999997"/>
    <n v="20.18"/>
    <n v="1048.74"/>
    <n v="5"/>
    <m/>
    <m/>
    <m/>
    <m/>
    <m/>
    <m/>
    <m/>
    <m/>
    <m/>
    <n v="722.75066890530854"/>
    <m/>
    <m/>
    <m/>
    <m/>
    <m/>
    <m/>
    <m/>
    <m/>
    <m/>
    <m/>
    <m/>
    <m/>
    <n v="1490.6289999999999"/>
    <n v="-792.48485000000028"/>
    <m/>
    <m/>
    <m/>
    <m/>
    <n v="-889.48874999999998"/>
    <n v="94.463849999999994"/>
    <n v="31"/>
    <n v="111.89263542563185"/>
    <n v="2.6522851109486787"/>
    <n v="8.3098320458702943"/>
    <n v="0"/>
    <n v="0"/>
    <n v="0"/>
    <n v="0"/>
    <n v="0"/>
    <n v="0.23264990305778932"/>
    <n v="0"/>
    <n v="0"/>
    <n v="94.475990250196674"/>
    <n v="0"/>
    <n v="0"/>
    <n v="0.26319942312331435"/>
    <n v="15.683186139880348"/>
    <n v="0"/>
    <n v="-8.3833563621938936"/>
    <m/>
    <n v="0"/>
    <n v="0"/>
    <n v="0"/>
    <n v="0"/>
    <n v="-1.0995943751767285"/>
    <n v="-0.24155671007477686"/>
    <n v="0"/>
    <n v="0"/>
    <m/>
    <m/>
    <m/>
    <n v="1234.3807211379133"/>
    <n v="0"/>
    <n v="0"/>
    <n v="-889.48874999999998"/>
    <n v="94.463849999999979"/>
    <n v="0"/>
    <n v="0"/>
    <n v="-906.91163426214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1"/>
    <s v="Regular"/>
    <s v="Verde"/>
    <s v="A4"/>
    <s v="Industrial"/>
    <s v="Não se aplica"/>
    <s v="Não se aplica"/>
    <s v="Não se aplica"/>
    <s v="Ponta"/>
    <s v="CATIVO"/>
    <x v="10"/>
    <n v="0"/>
    <n v="0"/>
    <n v="0.68100000000000005"/>
    <n v="0.68100000000000005"/>
    <n v="0.68100000000000005"/>
    <n v="0.68100000000000005"/>
    <m/>
    <n v="2592.54"/>
    <n v="216.76"/>
    <m/>
    <n v="1913.1333000000002"/>
    <n v="1913.1333000000002"/>
    <n v="804.39720000000011"/>
    <n v="0"/>
    <n v="35.909972280081973"/>
    <n v="0"/>
    <n v="0"/>
    <n v="0"/>
    <n v="3.4435685760124302"/>
    <n v="1560.0971145058181"/>
    <n v="145.46262206089614"/>
    <n v="2.1501926255240575"/>
    <n v="0"/>
    <n v="0"/>
    <n v="0"/>
    <n v="0"/>
    <n v="6.3834445214860134"/>
    <m/>
    <n v="0.93516431581748749"/>
    <n v="30.723227519307006"/>
    <n v="116.58770988129326"/>
    <n v="0"/>
    <n v="0"/>
    <n v="0"/>
    <n v="0"/>
    <n v="0"/>
    <n v="0"/>
    <n v="0"/>
    <n v="0"/>
    <n v="0"/>
    <n v="0"/>
    <m/>
    <n v="0"/>
    <n v="0"/>
    <n v="0.31142041364782508"/>
    <n v="0"/>
    <n v="0"/>
    <n v="11.124922799224455"/>
    <n v="0"/>
    <n v="0"/>
    <n v="0"/>
    <n v="0"/>
    <n v="0"/>
    <m/>
    <m/>
    <m/>
    <m/>
    <m/>
    <m/>
    <m/>
    <m/>
    <m/>
    <n v="156.89896527376843"/>
    <m/>
    <m/>
    <m/>
    <m/>
    <m/>
    <m/>
    <m/>
    <m/>
    <m/>
    <m/>
    <m/>
    <m/>
    <n v="803.21600000000001"/>
    <n v="-1109.9473000000003"/>
    <m/>
    <m/>
    <m/>
    <m/>
    <n v="-1130.95713"/>
    <n v="22.221029999999999"/>
    <n v="31"/>
    <n v="37.488169931118023"/>
    <n v="3.1691477462065869"/>
    <n v="12.026199974383573"/>
    <n v="0"/>
    <n v="0"/>
    <n v="0"/>
    <n v="0"/>
    <n v="0"/>
    <n v="0.33669512216543529"/>
    <n v="0"/>
    <n v="0"/>
    <n v="22.223885789424486"/>
    <n v="0"/>
    <n v="0"/>
    <n v="4.7579038569147691E-2"/>
    <n v="1.6996738420034259"/>
    <n v="0"/>
    <n v="-1.7156777699167236"/>
    <m/>
    <n v="0"/>
    <n v="0"/>
    <n v="0"/>
    <n v="0"/>
    <n v="-0.25866106027473279"/>
    <n v="-4.0672751443127875E-2"/>
    <n v="0"/>
    <n v="0"/>
    <m/>
    <m/>
    <m/>
    <n v="1560.0971145058181"/>
    <n v="0"/>
    <n v="0"/>
    <n v="-1130.9571300000002"/>
    <n v="22.221029999999985"/>
    <n v="0"/>
    <n v="0"/>
    <n v="-1146.2186661663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2"/>
    <s v="Regular"/>
    <s v="Verde"/>
    <s v="A4"/>
    <s v="Industrial"/>
    <s v="Não se aplica"/>
    <s v="Não se aplica"/>
    <s v="Não se aplica"/>
    <s v="Fora ponta"/>
    <s v="CATIVO"/>
    <x v="10"/>
    <n v="0"/>
    <n v="0"/>
    <n v="33.436"/>
    <n v="33.436"/>
    <n v="33.436"/>
    <n v="33.436"/>
    <m/>
    <n v="80.27"/>
    <n v="216.76"/>
    <m/>
    <n v="9931.4950799999988"/>
    <n v="9931.4950799999988"/>
    <n v="11009.47172"/>
    <n v="0"/>
    <n v="1763.1216345915136"/>
    <n v="0"/>
    <n v="0"/>
    <n v="0"/>
    <n v="0"/>
    <n v="0"/>
    <n v="7141.979781539093"/>
    <n v="105.57098476802111"/>
    <n v="0"/>
    <n v="0"/>
    <n v="0"/>
    <n v="0"/>
    <n v="313.41681500793879"/>
    <m/>
    <n v="45.915057362222477"/>
    <n v="0"/>
    <n v="0"/>
    <n v="0"/>
    <n v="0"/>
    <n v="0"/>
    <n v="0"/>
    <n v="0"/>
    <n v="0"/>
    <n v="0"/>
    <n v="0"/>
    <n v="0"/>
    <n v="0"/>
    <m/>
    <n v="0"/>
    <n v="0"/>
    <n v="15.290239281539909"/>
    <n v="0"/>
    <n v="0"/>
    <n v="546.21573966941094"/>
    <n v="0"/>
    <n v="0"/>
    <n v="0"/>
    <n v="0"/>
    <n v="0"/>
    <m/>
    <m/>
    <m/>
    <m/>
    <m/>
    <m/>
    <m/>
    <m/>
    <m/>
    <n v="7703.4857604900435"/>
    <m/>
    <m/>
    <m/>
    <m/>
    <m/>
    <m/>
    <m/>
    <m/>
    <m/>
    <m/>
    <m/>
    <m/>
    <n v="11010.788799999998"/>
    <n v="1079.263719999999"/>
    <m/>
    <m/>
    <m/>
    <m/>
    <n v="-13.040040000000019"/>
    <n v="1091.01668"/>
    <n v="31"/>
    <n v="1078.0103749287646"/>
    <n v="0"/>
    <n v="0"/>
    <n v="0"/>
    <n v="0"/>
    <n v="0"/>
    <n v="0"/>
    <n v="0"/>
    <n v="0"/>
    <n v="0"/>
    <n v="0"/>
    <n v="1091.1568946478683"/>
    <n v="0"/>
    <n v="0"/>
    <n v="2.3360539406725724"/>
    <n v="83.451240207381147"/>
    <n v="0"/>
    <n v="-84.237007217232758"/>
    <m/>
    <n v="0"/>
    <n v="0"/>
    <n v="0"/>
    <n v="0"/>
    <n v="-12.699840251609317"/>
    <n v="-1.9969663983148607"/>
    <n v="0"/>
    <n v="0"/>
    <m/>
    <m/>
    <m/>
    <n v="0"/>
    <n v="0"/>
    <n v="0"/>
    <n v="-13.040039999999863"/>
    <n v="1091.0166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3"/>
    <s v="Regular"/>
    <s v="Verde"/>
    <s v="A4"/>
    <s v="Industrial"/>
    <s v="Não se aplica"/>
    <s v="Não se aplica"/>
    <s v="Não se aplica"/>
    <s v="Não se aplica"/>
    <s v="CATIVO"/>
    <x v="10"/>
    <n v="705"/>
    <n v="705"/>
    <n v="0"/>
    <n v="0"/>
    <n v="0"/>
    <n v="0"/>
    <n v="32.17"/>
    <m/>
    <m/>
    <n v="22679.850000000002"/>
    <m/>
    <n v="22679.850000000002"/>
    <n v="9115.65"/>
    <n v="0"/>
    <n v="0"/>
    <n v="0"/>
    <n v="0"/>
    <n v="0"/>
    <n v="70.440938717549159"/>
    <n v="18983.348477087566"/>
    <m/>
    <m/>
    <m/>
    <n v="0"/>
    <n v="0"/>
    <n v="0"/>
    <n v="0"/>
    <m/>
    <n v="0"/>
    <n v="1243.9168800216796"/>
    <n v="2384.9199416392044"/>
    <n v="0"/>
    <n v="0"/>
    <m/>
    <m/>
    <n v="0"/>
    <n v="0"/>
    <n v="0"/>
    <m/>
    <m/>
    <n v="0"/>
    <m/>
    <n v="0"/>
    <n v="0"/>
    <n v="0"/>
    <n v="0"/>
    <m/>
    <n v="0"/>
    <n v="0"/>
    <n v="59.69"/>
    <n v="272.25"/>
    <n v="3086.24"/>
    <n v="5"/>
    <m/>
    <m/>
    <m/>
    <m/>
    <m/>
    <m/>
    <m/>
    <m/>
    <m/>
    <n v="0"/>
    <m/>
    <m/>
    <m/>
    <m/>
    <m/>
    <m/>
    <m/>
    <m/>
    <m/>
    <m/>
    <m/>
    <m/>
    <n v="9115.65"/>
    <n v="-13564.229999999998"/>
    <m/>
    <m/>
    <m/>
    <m/>
    <n v="-13564.2"/>
    <n v="0"/>
    <n v="31"/>
    <n v="381.20741610773166"/>
    <n v="128.31192212184874"/>
    <n v="246.00812701658151"/>
    <n v="0"/>
    <n v="0"/>
    <m/>
    <m/>
    <m/>
    <n v="6.8873669693018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983.348477087566"/>
    <m/>
    <n v="0"/>
    <n v="0"/>
    <n v="-13564.200000000003"/>
    <m/>
    <n v="0"/>
    <m/>
    <n v="-13947.25249374647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24"/>
    <s v="Regular"/>
    <s v="Convencional"/>
    <s v="B3"/>
    <s v="Comercial"/>
    <s v="Não se aplica"/>
    <s v="Não se aplica"/>
    <s v="Não se aplica"/>
    <s v="Não se aplica"/>
    <s v="CATIVO"/>
    <x v="10"/>
    <n v="0"/>
    <n v="0"/>
    <n v="214.49"/>
    <n v="214.49"/>
    <n v="214.49"/>
    <n v="214.49"/>
    <m/>
    <n v="571.87"/>
    <n v="216.76"/>
    <m/>
    <n v="169153.2487"/>
    <n v="169153.2487"/>
    <n v="110250.0049"/>
    <n v="0"/>
    <n v="13000.37124977599"/>
    <n v="0"/>
    <n v="0"/>
    <n v="0"/>
    <n v="176.29226940749925"/>
    <n v="91455.03311809017"/>
    <n v="45815.385911661688"/>
    <n v="677.23174192166675"/>
    <n v="0"/>
    <n v="0"/>
    <n v="0"/>
    <n v="0"/>
    <n v="2010.5506834266298"/>
    <m/>
    <n v="411.49253509971385"/>
    <n v="1905.035350205068"/>
    <n v="5968.6357761091858"/>
    <n v="0"/>
    <n v="0"/>
    <n v="0"/>
    <n v="0"/>
    <n v="0"/>
    <n v="0"/>
    <n v="0"/>
    <n v="0"/>
    <n v="0"/>
    <n v="0"/>
    <m/>
    <n v="0"/>
    <n v="0"/>
    <n v="127.63648319733934"/>
    <n v="0"/>
    <n v="0"/>
    <n v="7605.4373541909363"/>
    <n v="0"/>
    <n v="312.54000000000002"/>
    <n v="1437.63"/>
    <n v="38242.519999999997"/>
    <n v="701"/>
    <m/>
    <m/>
    <m/>
    <m/>
    <m/>
    <m/>
    <m/>
    <m/>
    <m/>
    <n v="53548.459749049965"/>
    <m/>
    <m/>
    <m/>
    <m/>
    <m/>
    <m/>
    <m/>
    <m/>
    <m/>
    <m/>
    <m/>
    <m/>
    <n v="110250.0049"/>
    <n v="-58903.273800000024"/>
    <m/>
    <m/>
    <m/>
    <m/>
    <n v="-65902.052500000005"/>
    <n v="6998.8086999999996"/>
    <n v="31"/>
    <n v="8290.1041010168556"/>
    <n v="196.50729998182487"/>
    <n v="615.67387755396248"/>
    <n v="0"/>
    <n v="0"/>
    <n v="0"/>
    <n v="0"/>
    <n v="0"/>
    <n v="17.236987118088138"/>
    <n v="0"/>
    <n v="0"/>
    <n v="6999.7081688306353"/>
    <n v="0"/>
    <n v="0"/>
    <n v="19.500395255861719"/>
    <n v="1161.9642815692341"/>
    <n v="0"/>
    <n v="-621.12128018202748"/>
    <m/>
    <n v="0"/>
    <n v="0"/>
    <n v="0"/>
    <n v="0"/>
    <n v="-81.468738352903529"/>
    <n v="-17.896890757837241"/>
    <n v="0"/>
    <n v="0"/>
    <m/>
    <m/>
    <m/>
    <n v="91455.03311809017"/>
    <n v="0"/>
    <n v="0"/>
    <n v="-65902.052500000005"/>
    <n v="6998.8086999999941"/>
    <n v="0"/>
    <n v="0"/>
    <n v="-67192.910684935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5"/>
    <s v="Refaturamento - Regular"/>
    <s v="Convencional"/>
    <s v="B3"/>
    <s v="Comercial"/>
    <s v="Não se aplica"/>
    <s v="Não se aplica"/>
    <s v="Não se aplica"/>
    <s v="Não se aplica"/>
    <s v="CATIVO"/>
    <x v="10"/>
    <n v="0"/>
    <n v="0"/>
    <n v="-1.994"/>
    <n v="-1.994"/>
    <n v="-1.994"/>
    <n v="-1.994"/>
    <m/>
    <n v="571.87"/>
    <n v="216.76"/>
    <m/>
    <n v="-1572.5282200000001"/>
    <n v="-1572.5282200000001"/>
    <n v="-1024.9359400000001"/>
    <n v="0"/>
    <n v="-120.85757038581437"/>
    <n v="0"/>
    <n v="0"/>
    <n v="0"/>
    <n v="-1.6388959168192152"/>
    <n v="-850.20903556096698"/>
    <n v="-425.9213926423302"/>
    <n v="-6.295865044486006"/>
    <n v="0"/>
    <n v="0"/>
    <n v="0"/>
    <n v="0"/>
    <n v="-18.691025515188119"/>
    <m/>
    <n v="-3.8254282949733289"/>
    <n v="-17.710105311711061"/>
    <n v="-55.487247599243396"/>
    <n v="0"/>
    <n v="0"/>
    <n v="0"/>
    <n v="0"/>
    <n v="0"/>
    <n v="0"/>
    <n v="0"/>
    <n v="0"/>
    <n v="0"/>
    <n v="0"/>
    <m/>
    <n v="0"/>
    <n v="0"/>
    <n v="-1.1865688260314917"/>
    <n v="0"/>
    <n v="0"/>
    <n v="-70.703725508213552"/>
    <n v="0"/>
    <n v="-4.26"/>
    <n v="-19.489999999999998"/>
    <n v="-443.95"/>
    <n v="0"/>
    <m/>
    <m/>
    <m/>
    <m/>
    <m/>
    <m/>
    <m/>
    <m/>
    <m/>
    <n v="-497.81168697657523"/>
    <m/>
    <m/>
    <m/>
    <m/>
    <m/>
    <m/>
    <m/>
    <m/>
    <m/>
    <m/>
    <m/>
    <m/>
    <n v="-1022.8798999999999"/>
    <n v="549.61832000000027"/>
    <m/>
    <m/>
    <m/>
    <m/>
    <n v="612.65650000000005"/>
    <n v="-65.064219999999992"/>
    <n v="31"/>
    <n v="-77.068709857930912"/>
    <n v="-1.8268243562112865"/>
    <n v="-5.7235941621642041"/>
    <n v="0"/>
    <n v="0"/>
    <n v="0"/>
    <n v="0"/>
    <n v="0"/>
    <n v="-0.16024314566398323"/>
    <n v="0"/>
    <n v="0"/>
    <n v="-65.072581885627699"/>
    <n v="0"/>
    <n v="0"/>
    <n v="-0.18128485309426212"/>
    <n v="-10.802166895655063"/>
    <n v="0"/>
    <n v="5.7742357810758733"/>
    <m/>
    <n v="0"/>
    <n v="0"/>
    <n v="0"/>
    <n v="0"/>
    <n v="0.75737173889547194"/>
    <n v="0.16637792051437073"/>
    <n v="0"/>
    <n v="0"/>
    <m/>
    <m/>
    <m/>
    <n v="-850.20903556096698"/>
    <n v="0"/>
    <n v="0"/>
    <n v="612.65650000000005"/>
    <n v="-65.064220000000034"/>
    <n v="0"/>
    <n v="0"/>
    <n v="624.65692529144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6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8.2379999999999995"/>
    <n v="8.2379999999999995"/>
    <n v="8.2379999999999995"/>
    <n v="8.2379999999999995"/>
    <m/>
    <n v="571.87"/>
    <n v="216.76"/>
    <m/>
    <n v="6496.7339400000001"/>
    <n v="6496.7339400000001"/>
    <n v="4234.4143800000002"/>
    <n v="0"/>
    <n v="499.31026320879573"/>
    <n v="0"/>
    <n v="0"/>
    <n v="0"/>
    <n v="6.7709250565479913"/>
    <n v="3512.5486634660206"/>
    <n v="1759.6491637851134"/>
    <n v="26.010700218894542"/>
    <n v="0"/>
    <n v="0"/>
    <n v="0"/>
    <n v="0"/>
    <n v="77.219994079297749"/>
    <m/>
    <n v="15.80435220360596"/>
    <n v="73.167426057109182"/>
    <n v="229.23969193709485"/>
    <n v="0"/>
    <n v="0"/>
    <n v="0"/>
    <n v="0"/>
    <n v="0"/>
    <n v="0"/>
    <n v="0"/>
    <n v="0"/>
    <n v="0"/>
    <n v="0"/>
    <m/>
    <n v="0"/>
    <n v="0"/>
    <n v="4.9021835450588904"/>
    <n v="0"/>
    <n v="0"/>
    <n v="292.10496024907889"/>
    <n v="0"/>
    <n v="11.81"/>
    <n v="54.26"/>
    <n v="2632.58"/>
    <n v="24"/>
    <m/>
    <m/>
    <m/>
    <m/>
    <m/>
    <m/>
    <m/>
    <m/>
    <m/>
    <n v="2056.656307579251"/>
    <m/>
    <m/>
    <m/>
    <m/>
    <m/>
    <m/>
    <m/>
    <m/>
    <m/>
    <m/>
    <m/>
    <m/>
    <n v="4235.4423999999999"/>
    <n v="-2261.3215400000008"/>
    <m/>
    <m/>
    <m/>
    <m/>
    <n v="-2531.1254999999996"/>
    <n v="268.80593999999996"/>
    <n v="31"/>
    <n v="318.40121956350731"/>
    <n v="7.5473315177876543"/>
    <n v="23.646423624828827"/>
    <n v="0"/>
    <n v="0"/>
    <n v="0"/>
    <n v="0"/>
    <n v="0"/>
    <n v="0.66202759978931525"/>
    <n v="0"/>
    <n v="0"/>
    <n v="268.84048624563729"/>
    <n v="0"/>
    <n v="0"/>
    <n v="0.7489591874576389"/>
    <n v="44.628009471618043"/>
    <n v="0"/>
    <n v="-23.855644114595293"/>
    <m/>
    <n v="0"/>
    <n v="0"/>
    <n v="0"/>
    <n v="0"/>
    <n v="-3.1290011960987414"/>
    <n v="-0.68737277291744725"/>
    <n v="0"/>
    <n v="0"/>
    <m/>
    <m/>
    <m/>
    <n v="3512.5486634660206"/>
    <n v="0"/>
    <n v="0"/>
    <n v="-2531.1255000000001"/>
    <n v="268.80594000000019"/>
    <n v="0"/>
    <n v="0"/>
    <n v="-2580.7039872371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7"/>
    <s v="Regular"/>
    <s v="Verde"/>
    <s v="A4"/>
    <s v="Comercial"/>
    <s v="Não se aplica"/>
    <s v="Não se aplica"/>
    <s v="Não se aplica"/>
    <s v="Ponta"/>
    <s v="CATIVO"/>
    <x v="10"/>
    <n v="0"/>
    <n v="0"/>
    <n v="6.22"/>
    <n v="6.22"/>
    <n v="6.22"/>
    <n v="6.22"/>
    <m/>
    <n v="2592.54"/>
    <n v="216.76"/>
    <m/>
    <n v="17473.845999999998"/>
    <n v="17473.845999999998"/>
    <n v="7347.0639999999994"/>
    <n v="0"/>
    <n v="327.98829307211435"/>
    <n v="0"/>
    <n v="0"/>
    <n v="0"/>
    <n v="31.452270987954936"/>
    <n v="14249.345157454021"/>
    <n v="1328.6013351230158"/>
    <n v="19.639057460733678"/>
    <n v="0"/>
    <n v="0"/>
    <n v="0"/>
    <n v="0"/>
    <n v="58.304001356303964"/>
    <m/>
    <n v="8.5414420622390175"/>
    <n v="280.61450098397876"/>
    <n v="1064.8686570655566"/>
    <n v="0"/>
    <n v="0"/>
    <n v="0"/>
    <n v="0"/>
    <n v="0"/>
    <n v="0"/>
    <n v="0"/>
    <n v="0"/>
    <n v="0"/>
    <n v="0"/>
    <m/>
    <n v="0"/>
    <n v="0"/>
    <n v="2.8443979043898264"/>
    <n v="0"/>
    <n v="0"/>
    <n v="101.61089546428209"/>
    <n v="0"/>
    <n v="0"/>
    <n v="0"/>
    <n v="0"/>
    <n v="0"/>
    <m/>
    <m/>
    <m/>
    <m/>
    <m/>
    <m/>
    <m/>
    <m/>
    <m/>
    <n v="1433.0566284916877"/>
    <m/>
    <m/>
    <m/>
    <m/>
    <m/>
    <m/>
    <m/>
    <m/>
    <m/>
    <m/>
    <m/>
    <m/>
    <n v="7347.0639999999994"/>
    <n v="-10126.812000000002"/>
    <m/>
    <m/>
    <m/>
    <m/>
    <n v="-10329.740599999999"/>
    <n v="202.95859999999996"/>
    <n v="31"/>
    <n v="342.40296177908112"/>
    <n v="28.945813482239316"/>
    <n v="109.84282502300402"/>
    <n v="0"/>
    <n v="0"/>
    <n v="0"/>
    <n v="0"/>
    <n v="0"/>
    <n v="3.075247665005886"/>
    <n v="0"/>
    <n v="0"/>
    <n v="202.98468371544845"/>
    <n v="0"/>
    <n v="0"/>
    <n v="0.43456919221747192"/>
    <n v="15.524186926962273"/>
    <n v="0"/>
    <n v="-15.670360835362715"/>
    <m/>
    <n v="0"/>
    <n v="0"/>
    <n v="0"/>
    <n v="0"/>
    <n v="-2.3625136489116585"/>
    <n v="-0.37148974152166581"/>
    <n v="0"/>
    <n v="0"/>
    <m/>
    <m/>
    <m/>
    <n v="14249.345157454021"/>
    <n v="0"/>
    <n v="0"/>
    <n v="-10329.740600000001"/>
    <n v="202.95860000000016"/>
    <n v="0"/>
    <n v="0"/>
    <n v="-10469.1337790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8"/>
    <s v="Regular"/>
    <s v="Verde"/>
    <s v="A4"/>
    <s v="Comercial"/>
    <s v="Não se aplica"/>
    <s v="Não se aplica"/>
    <s v="Não se aplica"/>
    <s v="Fora ponta"/>
    <s v="CATIVO"/>
    <x v="10"/>
    <n v="0"/>
    <n v="0"/>
    <n v="101.346"/>
    <n v="101.346"/>
    <n v="101.346"/>
    <n v="101.346"/>
    <m/>
    <n v="80.27"/>
    <n v="216.76"/>
    <m/>
    <n v="30102.802380000001"/>
    <n v="30102.802380000001"/>
    <n v="33370.197419999997"/>
    <n v="0"/>
    <n v="5344.0999276023313"/>
    <n v="0"/>
    <n v="0"/>
    <n v="0"/>
    <n v="0"/>
    <n v="0"/>
    <n v="21647.657702472214"/>
    <n v="319.9903404205009"/>
    <n v="0"/>
    <n v="0"/>
    <n v="0"/>
    <n v="0"/>
    <n v="949.98027676141191"/>
    <m/>
    <n v="139.17057672663594"/>
    <n v="0"/>
    <n v="0"/>
    <n v="0"/>
    <n v="0"/>
    <n v="0"/>
    <n v="0"/>
    <n v="0"/>
    <n v="0"/>
    <n v="0"/>
    <n v="0"/>
    <n v="0"/>
    <n v="0"/>
    <m/>
    <n v="0"/>
    <n v="0"/>
    <n v="46.345393893615977"/>
    <n v="0"/>
    <n v="0"/>
    <n v="1655.604149794716"/>
    <n v="0"/>
    <n v="0"/>
    <n v="0"/>
    <n v="0"/>
    <n v="0"/>
    <m/>
    <m/>
    <m/>
    <m/>
    <m/>
    <m/>
    <m/>
    <m/>
    <m/>
    <n v="23349.607246160544"/>
    <m/>
    <m/>
    <m/>
    <m/>
    <m/>
    <m/>
    <m/>
    <m/>
    <m/>
    <m/>
    <m/>
    <m/>
    <n v="33371.514499999997"/>
    <n v="3268.6821200000013"/>
    <m/>
    <m/>
    <m/>
    <m/>
    <n v="-39.524940000000058"/>
    <n v="3306.9199799999997"/>
    <n v="31"/>
    <n v="3267.4972920663567"/>
    <n v="0"/>
    <n v="0"/>
    <n v="0"/>
    <n v="0"/>
    <n v="0"/>
    <n v="0"/>
    <n v="0"/>
    <n v="0"/>
    <n v="0"/>
    <n v="0"/>
    <n v="3307.3449768208775"/>
    <n v="0"/>
    <n v="0"/>
    <n v="7.0806831759601181"/>
    <n v="252.94441290995474"/>
    <n v="0"/>
    <n v="-255.32610759174713"/>
    <m/>
    <n v="0"/>
    <n v="0"/>
    <n v="0"/>
    <n v="0"/>
    <n v="-38.49377946344066"/>
    <n v="-6.052893785249978"/>
    <n v="0"/>
    <n v="0"/>
    <m/>
    <m/>
    <m/>
    <n v="0"/>
    <n v="0"/>
    <n v="0"/>
    <n v="-39.524940000000242"/>
    <n v="3306.91997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29"/>
    <s v="Regular"/>
    <s v="Verde"/>
    <s v="A4"/>
    <s v="Comercial"/>
    <s v="Não se aplica"/>
    <s v="Não se aplica"/>
    <s v="Não se aplica"/>
    <s v="Não se aplica"/>
    <s v="CATIVO"/>
    <x v="10"/>
    <n v="1266"/>
    <n v="1266"/>
    <n v="0"/>
    <n v="0"/>
    <n v="0"/>
    <n v="0"/>
    <n v="32.17"/>
    <m/>
    <m/>
    <n v="40727.22"/>
    <m/>
    <n v="40727.22"/>
    <n v="16369.38"/>
    <n v="0"/>
    <n v="0"/>
    <n v="0"/>
    <n v="0"/>
    <n v="0"/>
    <n v="126.49394101619467"/>
    <n v="34089.247052472136"/>
    <m/>
    <m/>
    <m/>
    <n v="0"/>
    <n v="0"/>
    <n v="0"/>
    <n v="0"/>
    <m/>
    <n v="0"/>
    <n v="2233.7571207197821"/>
    <n v="4282.7072994542314"/>
    <n v="0"/>
    <n v="0"/>
    <m/>
    <m/>
    <n v="0"/>
    <n v="0"/>
    <n v="0"/>
    <m/>
    <m/>
    <n v="0"/>
    <m/>
    <n v="0"/>
    <n v="0"/>
    <n v="0"/>
    <n v="0"/>
    <m/>
    <n v="0"/>
    <n v="0"/>
    <n v="159.88"/>
    <n v="728.21"/>
    <n v="17991.73"/>
    <n v="9"/>
    <m/>
    <m/>
    <m/>
    <m/>
    <m/>
    <m/>
    <m/>
    <m/>
    <m/>
    <n v="0"/>
    <m/>
    <m/>
    <m/>
    <m/>
    <m/>
    <m/>
    <m/>
    <m/>
    <m/>
    <m/>
    <m/>
    <m/>
    <n v="16369.38"/>
    <n v="-24357.87000000001"/>
    <m/>
    <m/>
    <m/>
    <m/>
    <n v="-24357.840000000004"/>
    <n v="0"/>
    <n v="31"/>
    <n v="684.55118977643724"/>
    <n v="230.41545164008585"/>
    <n v="441.76778553615804"/>
    <n v="0"/>
    <n v="0"/>
    <m/>
    <m/>
    <m/>
    <n v="12.3679526001931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089.247052472136"/>
    <m/>
    <n v="0"/>
    <n v="0"/>
    <n v="-24357.840000000004"/>
    <m/>
    <n v="0"/>
    <m/>
    <n v="-25045.704478131956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30"/>
    <s v="Regular"/>
    <s v="Convencional"/>
    <s v="B2"/>
    <s v="Rural"/>
    <s v="Não se aplica"/>
    <s v="Não se aplica"/>
    <s v="Não se aplica"/>
    <s v="Não se aplica"/>
    <s v="CATIVO"/>
    <x v="10"/>
    <n v="0"/>
    <n v="0"/>
    <n v="3332.48"/>
    <n v="3332.48"/>
    <n v="3332.48"/>
    <n v="3332.48"/>
    <m/>
    <n v="571.87"/>
    <n v="216.76"/>
    <m/>
    <n v="2628093.7023999998"/>
    <n v="2628093.7023999998"/>
    <n v="1712928.0447999998"/>
    <n v="0"/>
    <n v="201983.6690869201"/>
    <n v="0"/>
    <n v="0"/>
    <n v="0"/>
    <n v="2739.0109653368595"/>
    <n v="1420915.0485587819"/>
    <n v="711822.7294647505"/>
    <n v="10521.988136132761"/>
    <n v="0"/>
    <n v="0"/>
    <n v="0"/>
    <n v="0"/>
    <n v="31237.446694510585"/>
    <m/>
    <n v="6393.2614264958474"/>
    <n v="29598.080114930232"/>
    <n v="92733.271253523897"/>
    <n v="0"/>
    <n v="0"/>
    <n v="0"/>
    <n v="0"/>
    <n v="0"/>
    <n v="0"/>
    <n v="0"/>
    <n v="0"/>
    <n v="0"/>
    <n v="0"/>
    <m/>
    <n v="0"/>
    <n v="0"/>
    <n v="1983.0576135272945"/>
    <n v="0"/>
    <n v="0"/>
    <n v="118163.86719238291"/>
    <n v="0"/>
    <n v="4341.92"/>
    <n v="20012.36"/>
    <n v="102826.73"/>
    <n v="10362"/>
    <m/>
    <m/>
    <m/>
    <m/>
    <m/>
    <n v="205547.36639999994"/>
    <m/>
    <m/>
    <m/>
    <n v="831969.65427066071"/>
    <m/>
    <m/>
    <m/>
    <m/>
    <m/>
    <m/>
    <m/>
    <m/>
    <m/>
    <m/>
    <m/>
    <m/>
    <n v="1507380.6784000001"/>
    <n v="-805360.47159999982"/>
    <m/>
    <m/>
    <m/>
    <m/>
    <n v="-1023904.48"/>
    <n v="108738.82239999999"/>
    <n v="31"/>
    <n v="128801.3712273608"/>
    <n v="3053.0870765230611"/>
    <n v="9565.5782715792157"/>
    <n v="0"/>
    <n v="0"/>
    <n v="0"/>
    <n v="0"/>
    <n v="0"/>
    <n v="267.80695991088851"/>
    <n v="0"/>
    <n v="0"/>
    <n v="108752.79723280668"/>
    <n v="0"/>
    <n v="0"/>
    <n v="302.97299259757619"/>
    <n v="18053.162054379427"/>
    <n v="0"/>
    <n v="-9650.2132676628535"/>
    <m/>
    <n v="0"/>
    <n v="0"/>
    <n v="0"/>
    <n v="0"/>
    <n v="-1265.7603673191516"/>
    <n v="-278.0597254542281"/>
    <n v="0"/>
    <n v="0"/>
    <m/>
    <m/>
    <m/>
    <n v="1420915.0485587819"/>
    <n v="0"/>
    <n v="0"/>
    <n v="-1023904.48"/>
    <n v="108738.82239999995"/>
    <n v="0"/>
    <n v="0"/>
    <n v="-1043960.2359053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1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5.5039999999999996"/>
    <n v="-5.5039999999999996"/>
    <n v="-5.5039999999999996"/>
    <n v="-5.5039999999999996"/>
    <m/>
    <n v="571.87"/>
    <n v="216.76"/>
    <m/>
    <n v="-4340.6195200000002"/>
    <n v="-4340.6195200000002"/>
    <n v="-2829.1110399999998"/>
    <n v="0"/>
    <n v="-333.60083621039229"/>
    <n v="0"/>
    <n v="0"/>
    <n v="0"/>
    <n v="-4.5238130020927576"/>
    <n v="-2346.8157130027894"/>
    <n v="-1175.6626605332924"/>
    <n v="-17.378355669433788"/>
    <n v="0"/>
    <n v="0"/>
    <n v="0"/>
    <n v="0"/>
    <n v="-51.592479656768006"/>
    <m/>
    <n v="-10.559256437077835"/>
    <n v="-48.884864411062026"/>
    <n v="-153.16038655277615"/>
    <n v="0"/>
    <n v="0"/>
    <n v="0"/>
    <n v="0"/>
    <n v="0"/>
    <n v="0"/>
    <n v="0"/>
    <n v="0"/>
    <n v="0"/>
    <n v="0"/>
    <m/>
    <n v="0"/>
    <n v="0"/>
    <n v="-3.2752631988351704"/>
    <n v="0"/>
    <n v="0"/>
    <n v="-195.16213901565064"/>
    <n v="0"/>
    <n v="-12.42"/>
    <n v="-56.97"/>
    <n v="-83.21"/>
    <n v="0"/>
    <m/>
    <m/>
    <m/>
    <m/>
    <m/>
    <n v="-339.48671999999988"/>
    <m/>
    <m/>
    <m/>
    <n v="-1374.1000627477781"/>
    <m/>
    <m/>
    <m/>
    <m/>
    <m/>
    <m/>
    <m/>
    <m/>
    <m/>
    <m/>
    <m/>
    <m/>
    <n v="-2487.8150000000001"/>
    <n v="1331.9309999999991"/>
    <m/>
    <m/>
    <m/>
    <m/>
    <n v="1691.1039999999998"/>
    <n v="-179.59551999999996"/>
    <n v="31"/>
    <n v="-212.73128337916364"/>
    <n v="-5.0425482731127929"/>
    <n v="-15.798727316224557"/>
    <n v="0"/>
    <n v="0"/>
    <n v="0"/>
    <n v="0"/>
    <n v="0"/>
    <n v="-0.44231608512265019"/>
    <n v="0"/>
    <n v="0"/>
    <n v="-179.61860115270565"/>
    <n v="0"/>
    <n v="0"/>
    <n v="-0.50039710703651874"/>
    <n v="-29.817014339862311"/>
    <n v="0"/>
    <n v="15.938512406740983"/>
    <m/>
    <n v="0"/>
    <n v="0"/>
    <n v="0"/>
    <n v="0"/>
    <n v="2.0905587015449782"/>
    <n v="0.45924978661539662"/>
    <n v="0"/>
    <n v="0"/>
    <m/>
    <m/>
    <m/>
    <n v="-2346.8157130027894"/>
    <n v="0"/>
    <n v="0"/>
    <n v="1691.1039999999998"/>
    <n v="-179.59551999999985"/>
    <n v="0"/>
    <n v="0"/>
    <n v="1724.228544034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2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61.683999999999997"/>
    <n v="61.683999999999997"/>
    <n v="61.683999999999997"/>
    <n v="61.683999999999997"/>
    <m/>
    <n v="571.87"/>
    <n v="216.76"/>
    <m/>
    <n v="48645.852919999998"/>
    <n v="48645.852919999998"/>
    <n v="31706.192839999996"/>
    <n v="0"/>
    <n v="3738.7053017445201"/>
    <n v="0"/>
    <n v="0"/>
    <n v="0"/>
    <n v="50.698924640459609"/>
    <n v="26301.050225447685"/>
    <n v="13175.794976805162"/>
    <n v="194.76135376332738"/>
    <n v="0"/>
    <n v="0"/>
    <n v="0"/>
    <n v="0"/>
    <n v="578.20321859521766"/>
    <m/>
    <n v="118.33887610187303"/>
    <n v="547.85864395565955"/>
    <n v="1716.4871519115995"/>
    <n v="0"/>
    <n v="0"/>
    <n v="0"/>
    <n v="0"/>
    <n v="0"/>
    <n v="0"/>
    <n v="0"/>
    <n v="0"/>
    <n v="0"/>
    <n v="0"/>
    <m/>
    <n v="0"/>
    <n v="0"/>
    <n v="36.70627455613166"/>
    <n v="0"/>
    <n v="0"/>
    <n v="2187.2059198839743"/>
    <n v="0"/>
    <n v="81.08"/>
    <n v="375.7"/>
    <n v="2038.68"/>
    <n v="288"/>
    <m/>
    <m/>
    <m/>
    <m/>
    <m/>
    <n v="3804.6691199999987"/>
    <m/>
    <m/>
    <m/>
    <n v="15399.707171245269"/>
    <m/>
    <m/>
    <m/>
    <m/>
    <m/>
    <m/>
    <m/>
    <m/>
    <m/>
    <m/>
    <m/>
    <m/>
    <n v="27899.714399999997"/>
    <n v="-14909.011599999998"/>
    <m/>
    <m/>
    <m/>
    <m/>
    <n v="-18952.409"/>
    <n v="2012.7489199999995"/>
    <n v="31"/>
    <n v="2384.105465835808"/>
    <n v="56.512454156738613"/>
    <n v="177.05826594731025"/>
    <n v="0"/>
    <n v="0"/>
    <n v="0"/>
    <n v="0"/>
    <n v="0"/>
    <n v="4.9570903696776085"/>
    <n v="0"/>
    <n v="0"/>
    <n v="2013.0075932964191"/>
    <n v="0"/>
    <n v="0"/>
    <n v="5.6080114735538942"/>
    <n v="334.16292015626232"/>
    <n v="0"/>
    <n v="-178.62485452351211"/>
    <m/>
    <n v="0"/>
    <n v="0"/>
    <n v="0"/>
    <n v="0"/>
    <n v="-23.429146610846715"/>
    <n v="-5.1468684297936136"/>
    <n v="0"/>
    <n v="0"/>
    <m/>
    <m/>
    <m/>
    <n v="26301.050225447685"/>
    <n v="0"/>
    <n v="0"/>
    <n v="-18952.409"/>
    <n v="2012.74892"/>
    <n v="0"/>
    <n v="0"/>
    <n v="-19323.639809266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3"/>
    <s v="Regular"/>
    <s v="Verde"/>
    <s v="A4"/>
    <s v="Rural"/>
    <s v="Não se aplica"/>
    <s v="Não se aplica"/>
    <s v="Não se aplica"/>
    <s v="Ponta"/>
    <s v="CATIVO"/>
    <x v="10"/>
    <n v="0"/>
    <n v="0"/>
    <n v="0.124"/>
    <n v="0.11904000000000001"/>
    <n v="0.124"/>
    <n v="0.11904000000000001"/>
    <m/>
    <n v="2592.54"/>
    <n v="216.76"/>
    <m/>
    <n v="348.35320000000002"/>
    <n v="348.35320000000002"/>
    <n v="146.46879999999999"/>
    <n v="0"/>
    <n v="6.5386733667109613"/>
    <n v="0"/>
    <n v="0"/>
    <n v="0"/>
    <n v="0.62702276567627213"/>
    <n v="284.0705465473149"/>
    <n v="26.486586102130865"/>
    <n v="0.39151818732009264"/>
    <n v="0"/>
    <n v="0"/>
    <n v="0"/>
    <n v="0"/>
    <n v="1.1623305736626515"/>
    <m/>
    <n v="0.17027955236617978"/>
    <n v="5.5942440710632431"/>
    <n v="21.228892841821384"/>
    <n v="0"/>
    <n v="0"/>
    <n v="0"/>
    <n v="0"/>
    <n v="0"/>
    <n v="0"/>
    <n v="0"/>
    <n v="0"/>
    <n v="0"/>
    <n v="0"/>
    <m/>
    <n v="0"/>
    <n v="0"/>
    <n v="5.6705038608414547E-2"/>
    <n v="0"/>
    <n v="0"/>
    <n v="2.0256834465548201"/>
    <n v="0"/>
    <n v="0"/>
    <n v="0"/>
    <n v="0"/>
    <n v="0"/>
    <m/>
    <m/>
    <m/>
    <m/>
    <m/>
    <n v="5.8587519999999902"/>
    <m/>
    <m/>
    <m/>
    <n v="28.568974587294097"/>
    <m/>
    <m/>
    <m/>
    <m/>
    <m/>
    <m/>
    <m/>
    <m/>
    <m/>
    <m/>
    <m/>
    <m/>
    <n v="141.74399999999997"/>
    <n v="-192.70507199999997"/>
    <m/>
    <m/>
    <m/>
    <m/>
    <n v="-205.93052"/>
    <n v="4.0461199999999993"/>
    <n v="31"/>
    <n v="6.8260397525090326"/>
    <n v="0.577054802539819"/>
    <n v="2.1897926531917236"/>
    <n v="0"/>
    <n v="0"/>
    <n v="0"/>
    <n v="0"/>
    <n v="0"/>
    <n v="6.1307188176966232E-2"/>
    <n v="0"/>
    <n v="0"/>
    <n v="4.0466399968996143"/>
    <n v="0"/>
    <n v="0"/>
    <n v="8.6634372725026623E-3"/>
    <n v="0.3094853985439423"/>
    <n v="0"/>
    <n v="-0.31239947646060706"/>
    <m/>
    <n v="0"/>
    <n v="0"/>
    <n v="0"/>
    <n v="0"/>
    <n v="-4.7098342840039553E-2"/>
    <n v="-7.4059048149013873E-3"/>
    <n v="0"/>
    <n v="0"/>
    <m/>
    <m/>
    <m/>
    <n v="284.0705465473149"/>
    <n v="0"/>
    <n v="0"/>
    <n v="-205.93052"/>
    <n v="4.0461199999999984"/>
    <n v="0"/>
    <n v="0"/>
    <n v="-208.70941939005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4"/>
    <s v="Regular"/>
    <s v="Verde"/>
    <s v="A4"/>
    <s v="Rural"/>
    <s v="Não se aplica"/>
    <s v="Não se aplica"/>
    <s v="Não se aplica"/>
    <s v="Fora ponta"/>
    <s v="CATIVO"/>
    <x v="10"/>
    <n v="0"/>
    <n v="0"/>
    <n v="27.204000000000001"/>
    <n v="26.115839999999999"/>
    <n v="27.204000000000001"/>
    <n v="26.115839999999999"/>
    <m/>
    <n v="80.27"/>
    <n v="216.76"/>
    <m/>
    <n v="8080.4041199999992"/>
    <n v="8080.4041199999992"/>
    <n v="8957.4610800000009"/>
    <n v="0"/>
    <n v="1434.5005666774596"/>
    <n v="0"/>
    <n v="0"/>
    <n v="0"/>
    <n v="0"/>
    <n v="0"/>
    <n v="5810.8152284061944"/>
    <n v="85.894038450450012"/>
    <n v="0"/>
    <n v="0"/>
    <n v="0"/>
    <n v="0"/>
    <n v="255.00033004773201"/>
    <m/>
    <n v="37.357136633625444"/>
    <n v="0"/>
    <n v="0"/>
    <n v="0"/>
    <n v="0"/>
    <n v="0"/>
    <n v="0"/>
    <n v="0"/>
    <n v="0"/>
    <n v="0"/>
    <n v="0"/>
    <n v="0"/>
    <n v="0"/>
    <m/>
    <n v="0"/>
    <n v="0"/>
    <n v="12.440353792768624"/>
    <n v="0"/>
    <n v="0"/>
    <n v="444.40881032320419"/>
    <n v="0"/>
    <n v="0"/>
    <n v="0"/>
    <n v="0"/>
    <n v="0"/>
    <m/>
    <m/>
    <m/>
    <m/>
    <m/>
    <n v="358.29844320000063"/>
    <m/>
    <m/>
    <m/>
    <n v="6267.664392522167"/>
    <m/>
    <m/>
    <m/>
    <m/>
    <m/>
    <m/>
    <m/>
    <m/>
    <m/>
    <m/>
    <m/>
    <m/>
    <n v="8600.5324000000001"/>
    <n v="843.31444480000027"/>
    <m/>
    <m/>
    <m/>
    <m/>
    <n v="-10.609560000000016"/>
    <n v="887.66651999999988"/>
    <n v="31"/>
    <n v="877.08440721264742"/>
    <n v="0"/>
    <n v="0"/>
    <n v="0"/>
    <n v="0"/>
    <n v="0"/>
    <n v="0"/>
    <n v="0"/>
    <n v="0"/>
    <n v="0"/>
    <n v="0"/>
    <n v="887.78060061013821"/>
    <n v="0"/>
    <n v="0"/>
    <n v="1.9006463512996969"/>
    <n v="67.897103080559759"/>
    <n v="0"/>
    <n v="-68.536414174470565"/>
    <m/>
    <n v="0"/>
    <n v="0"/>
    <n v="0"/>
    <n v="0"/>
    <n v="-10.332768698551888"/>
    <n v="-1.6247599563272388"/>
    <n v="0"/>
    <n v="0"/>
    <m/>
    <m/>
    <m/>
    <n v="0"/>
    <n v="0"/>
    <n v="0"/>
    <n v="-10.609559999999874"/>
    <n v="887.66652000000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5"/>
    <s v="Regular"/>
    <s v="Verde"/>
    <s v="A4"/>
    <s v="Rural"/>
    <s v="Não se aplica"/>
    <s v="Não se aplica"/>
    <s v="Não se aplica"/>
    <s v="Não se aplica"/>
    <s v="CATIVO"/>
    <x v="10"/>
    <n v="96"/>
    <n v="92.16"/>
    <n v="0"/>
    <n v="0"/>
    <n v="0"/>
    <n v="0"/>
    <n v="32.17"/>
    <m/>
    <m/>
    <n v="3088.32"/>
    <m/>
    <n v="3088.32"/>
    <n v="1241.28"/>
    <n v="0"/>
    <n v="0"/>
    <n v="0"/>
    <n v="0"/>
    <n v="0"/>
    <n v="9.5919576126024388"/>
    <n v="2584.9666011353279"/>
    <m/>
    <m/>
    <m/>
    <n v="0"/>
    <n v="0"/>
    <n v="0"/>
    <n v="0"/>
    <m/>
    <n v="0"/>
    <n v="169.38442621571809"/>
    <n v="324.75505588278531"/>
    <n v="0"/>
    <n v="0"/>
    <m/>
    <m/>
    <n v="0"/>
    <n v="0"/>
    <n v="0"/>
    <m/>
    <m/>
    <n v="0"/>
    <m/>
    <n v="0"/>
    <n v="0"/>
    <n v="0"/>
    <n v="0"/>
    <m/>
    <n v="0"/>
    <n v="0"/>
    <n v="27.57"/>
    <n v="125.55"/>
    <n v="4.55"/>
    <n v="1"/>
    <m/>
    <m/>
    <m/>
    <m/>
    <m/>
    <n v="49.651200000000046"/>
    <m/>
    <m/>
    <m/>
    <n v="0"/>
    <m/>
    <m/>
    <m/>
    <m/>
    <m/>
    <m/>
    <m/>
    <m/>
    <m/>
    <m/>
    <m/>
    <m/>
    <n v="1191.6288"/>
    <n v="-1773.1884000000009"/>
    <m/>
    <m/>
    <m/>
    <m/>
    <n v="-1847.0400000000002"/>
    <n v="0"/>
    <n v="31"/>
    <n v="51.909094959350682"/>
    <n v="17.472261735741114"/>
    <n v="33.498978998002542"/>
    <n v="0"/>
    <n v="0"/>
    <m/>
    <m/>
    <m/>
    <n v="0.937854225607065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84.9666011353279"/>
    <m/>
    <n v="0"/>
    <n v="0"/>
    <n v="-1847.0400000000002"/>
    <m/>
    <n v="0"/>
    <m/>
    <n v="-1899.20033957398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36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42.14"/>
    <n v="42.14"/>
    <n v="42.14"/>
    <n v="42.14"/>
    <m/>
    <n v="571.87"/>
    <n v="216.76"/>
    <m/>
    <n v="33232.868199999997"/>
    <n v="33232.868199999997"/>
    <n v="21660.381399999998"/>
    <n v="0"/>
    <n v="2554.131402235816"/>
    <n v="0"/>
    <n v="0"/>
    <n v="0"/>
    <n v="34.63544329727268"/>
    <n v="17967.807802677606"/>
    <n v="9001.1672447080218"/>
    <n v="133.05303559410245"/>
    <n v="0"/>
    <n v="0"/>
    <n v="0"/>
    <n v="0"/>
    <n v="395.00492237213007"/>
    <m/>
    <n v="80.844307096377179"/>
    <n v="374.27474314719365"/>
    <n v="1172.6342095446926"/>
    <n v="0"/>
    <n v="0"/>
    <n v="0"/>
    <n v="0"/>
    <n v="0"/>
    <n v="0"/>
    <n v="0"/>
    <n v="0"/>
    <n v="0"/>
    <n v="0"/>
    <m/>
    <n v="0"/>
    <n v="0"/>
    <n v="25.076233866081775"/>
    <n v="0"/>
    <n v="0"/>
    <n v="1494.2101268385754"/>
    <n v="0"/>
    <n v="62.03"/>
    <n v="284.61"/>
    <n v="7219.98"/>
    <n v="105"/>
    <m/>
    <m/>
    <m/>
    <m/>
    <m/>
    <m/>
    <m/>
    <m/>
    <m/>
    <n v="10520.45360541268"/>
    <m/>
    <m/>
    <m/>
    <m/>
    <m/>
    <m/>
    <m/>
    <m/>
    <m/>
    <m/>
    <m/>
    <m/>
    <n v="21660.381399999998"/>
    <n v="-11572.516800000005"/>
    <m/>
    <m/>
    <m/>
    <m/>
    <n v="-12947.514999999999"/>
    <n v="1375.0281999999997"/>
    <n v="31"/>
    <n v="1628.7238883717146"/>
    <n v="38.60701021601983"/>
    <n v="120.95900601484414"/>
    <n v="0"/>
    <n v="0"/>
    <n v="0"/>
    <n v="0"/>
    <n v="0"/>
    <n v="3.3864825267202932"/>
    <n v="0"/>
    <n v="0"/>
    <n v="1375.204915075401"/>
    <n v="0"/>
    <n v="0"/>
    <n v="3.8311653507483463"/>
    <n v="228.28651603957087"/>
    <n v="0"/>
    <n v="-122.0292356141108"/>
    <m/>
    <n v="0"/>
    <n v="0"/>
    <n v="0"/>
    <n v="0"/>
    <n v="-16.005840058703711"/>
    <n v="-3.516131178774117"/>
    <n v="0"/>
    <n v="0"/>
    <m/>
    <m/>
    <m/>
    <n v="17967.807802677606"/>
    <n v="0"/>
    <n v="0"/>
    <n v="-12947.514999999999"/>
    <n v="1375.0281999999988"/>
    <n v="0"/>
    <n v="0"/>
    <n v="-13201.1247902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7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14000000000000001"/>
    <n v="0.65"/>
    <n v="73.58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1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8"/>
    <s v="Sistema de Compensação"/>
    <s v="Verde"/>
    <s v="A4"/>
    <s v="Poder público"/>
    <s v="Não se aplica"/>
    <s v="Não se aplica"/>
    <s v="Não se aplica"/>
    <s v="Ponta"/>
    <s v="CATIVO"/>
    <x v="10"/>
    <n v="0"/>
    <n v="0"/>
    <n v="2.698"/>
    <n v="2.698"/>
    <n v="2.698"/>
    <n v="2.698"/>
    <m/>
    <n v="2592.54"/>
    <n v="216.76"/>
    <m/>
    <n v="7579.4913999999999"/>
    <n v="7579.4913999999999"/>
    <n v="3186.8775999999998"/>
    <n v="0"/>
    <n v="142.26887696279172"/>
    <n v="0"/>
    <n v="0"/>
    <n v="0"/>
    <n v="13.642801788665984"/>
    <n v="6180.8252789085127"/>
    <n v="576.29684922216995"/>
    <n v="8.5186779789484675"/>
    <n v="0"/>
    <n v="0"/>
    <n v="0"/>
    <n v="0"/>
    <n v="25.290063610821235"/>
    <m/>
    <n v="3.7049534861609117"/>
    <n v="121.71992341716636"/>
    <n v="461.89962005833951"/>
    <n v="0"/>
    <n v="0"/>
    <n v="0"/>
    <n v="0"/>
    <n v="0"/>
    <n v="0"/>
    <n v="0"/>
    <n v="0"/>
    <n v="0"/>
    <n v="0"/>
    <m/>
    <n v="0"/>
    <n v="0"/>
    <n v="1.2337918884314714"/>
    <n v="0"/>
    <n v="0"/>
    <n v="44.074951119394385"/>
    <n v="0"/>
    <n v="0"/>
    <n v="0"/>
    <n v="0"/>
    <n v="0"/>
    <m/>
    <m/>
    <m/>
    <m/>
    <m/>
    <m/>
    <m/>
    <m/>
    <m/>
    <n v="621.60559222999586"/>
    <m/>
    <m/>
    <m/>
    <m/>
    <m/>
    <m/>
    <m/>
    <m/>
    <m/>
    <m/>
    <m/>
    <m/>
    <n v="3189.2400000000002"/>
    <n v="-4390.2813999999998"/>
    <m/>
    <m/>
    <m/>
    <m/>
    <n v="-4480.6495400000003"/>
    <n v="88.03573999999999"/>
    <n v="31"/>
    <n v="148.52141332475276"/>
    <n v="12.555595623003498"/>
    <n v="47.6456498250908"/>
    <n v="0"/>
    <n v="0"/>
    <n v="0"/>
    <n v="0"/>
    <n v="0"/>
    <n v="1.3339257556568942"/>
    <n v="0"/>
    <n v="0"/>
    <n v="88.047054126089961"/>
    <n v="0"/>
    <n v="0"/>
    <n v="0.18849962710654977"/>
    <n v="6.7338032683190079"/>
    <n v="0"/>
    <n v="-6.7972079636348326"/>
    <m/>
    <n v="0"/>
    <n v="0"/>
    <n v="0"/>
    <n v="0"/>
    <n v="-1.0247687821163396"/>
    <n v="-0.16113815476293514"/>
    <n v="0"/>
    <n v="0"/>
    <m/>
    <m/>
    <m/>
    <n v="6180.8252789085127"/>
    <n v="0"/>
    <n v="0"/>
    <n v="-4480.6495400000003"/>
    <n v="88.035740000000033"/>
    <n v="0"/>
    <n v="0"/>
    <n v="-4541.113012212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39"/>
    <s v="Sistema de Compensação"/>
    <s v="Verde"/>
    <s v="A4"/>
    <s v="Poder público"/>
    <s v="Não se aplica"/>
    <s v="Não se aplica"/>
    <s v="Não se aplica"/>
    <s v="Fora ponta"/>
    <s v="CATIVO"/>
    <x v="10"/>
    <n v="0"/>
    <n v="0"/>
    <n v="9.6379999999999999"/>
    <n v="9.6379999999999999"/>
    <n v="9.6379999999999999"/>
    <n v="9.6379999999999999"/>
    <m/>
    <n v="80.27"/>
    <n v="216.76"/>
    <m/>
    <n v="2862.7751400000002"/>
    <n v="2862.7751400000002"/>
    <n v="3173.5042599999997"/>
    <n v="0"/>
    <n v="508.22366055129226"/>
    <n v="0"/>
    <n v="0"/>
    <n v="0"/>
    <n v="0"/>
    <n v="0"/>
    <n v="2058.6912649382039"/>
    <n v="30.431066849927845"/>
    <n v="0"/>
    <n v="0"/>
    <n v="0"/>
    <n v="0"/>
    <n v="90.343081201295433"/>
    <m/>
    <n v="13.235115529880975"/>
    <n v="0"/>
    <n v="0"/>
    <n v="0"/>
    <n v="0"/>
    <n v="0"/>
    <n v="0"/>
    <n v="0"/>
    <n v="0"/>
    <n v="0"/>
    <n v="0"/>
    <n v="0"/>
    <n v="0"/>
    <m/>
    <n v="0"/>
    <n v="0"/>
    <n v="4.4074448557088663"/>
    <n v="0"/>
    <n v="0"/>
    <n v="157.44787949915607"/>
    <n v="0"/>
    <n v="0"/>
    <n v="0"/>
    <n v="0"/>
    <n v="0"/>
    <m/>
    <m/>
    <m/>
    <m/>
    <m/>
    <m/>
    <m/>
    <m/>
    <m/>
    <n v="2220.5465892930688"/>
    <m/>
    <m/>
    <m/>
    <m/>
    <m/>
    <m/>
    <m/>
    <m/>
    <m/>
    <m/>
    <m/>
    <m/>
    <n v="3174.1628000000001"/>
    <n v="311.35765999999967"/>
    <m/>
    <m/>
    <m/>
    <m/>
    <n v="-3.7588200000000054"/>
    <n v="314.48793999999998"/>
    <n v="31"/>
    <n v="310.7388441668686"/>
    <n v="0"/>
    <n v="0"/>
    <n v="0"/>
    <n v="0"/>
    <n v="0"/>
    <n v="0"/>
    <n v="0"/>
    <n v="0"/>
    <n v="0"/>
    <n v="0"/>
    <n v="314.52835717837479"/>
    <n v="0"/>
    <n v="0"/>
    <n v="0.67337264864823076"/>
    <n v="24.055002186826755"/>
    <n v="0"/>
    <n v="-24.281501242962349"/>
    <m/>
    <n v="0"/>
    <n v="0"/>
    <n v="0"/>
    <n v="0"/>
    <n v="-3.6607566797766111"/>
    <n v="-0.57562992424209547"/>
    <n v="0"/>
    <n v="0"/>
    <m/>
    <m/>
    <m/>
    <n v="0"/>
    <n v="0"/>
    <n v="0"/>
    <n v="-3.7588200000000143"/>
    <n v="314.48793999999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40"/>
    <s v="Sistema de Compensação"/>
    <s v="Verde"/>
    <s v="A4"/>
    <s v="Poder público"/>
    <s v="Não se aplica"/>
    <s v="Não se aplica"/>
    <s v="Não se aplica"/>
    <s v="Não se aplica"/>
    <s v="CATIVO"/>
    <x v="10"/>
    <n v="70"/>
    <n v="70"/>
    <n v="0"/>
    <n v="0"/>
    <n v="0"/>
    <n v="0"/>
    <n v="32.17"/>
    <m/>
    <m/>
    <n v="2251.9"/>
    <m/>
    <n v="2251.9"/>
    <n v="905.1"/>
    <n v="0"/>
    <n v="0"/>
    <n v="0"/>
    <n v="0"/>
    <n v="0"/>
    <n v="6.9941357591892785"/>
    <n v="1884.8714799945101"/>
    <m/>
    <m/>
    <m/>
    <n v="0"/>
    <n v="0"/>
    <n v="0"/>
    <n v="0"/>
    <m/>
    <n v="0"/>
    <n v="123.50947744896111"/>
    <n v="236.8005615811976"/>
    <n v="0"/>
    <n v="0"/>
    <m/>
    <m/>
    <n v="0"/>
    <n v="0"/>
    <n v="0"/>
    <m/>
    <m/>
    <n v="0"/>
    <m/>
    <n v="0"/>
    <n v="0"/>
    <n v="0"/>
    <n v="0"/>
    <m/>
    <n v="0"/>
    <n v="0"/>
    <n v="20.66"/>
    <n v="94.11"/>
    <n v="2532.0500000000002"/>
    <n v="1"/>
    <m/>
    <m/>
    <m/>
    <m/>
    <m/>
    <m/>
    <m/>
    <m/>
    <m/>
    <n v="0"/>
    <m/>
    <m/>
    <m/>
    <m/>
    <m/>
    <m/>
    <m/>
    <m/>
    <m/>
    <m/>
    <m/>
    <m/>
    <n v="905.1"/>
    <n v="-1346.8300000000008"/>
    <m/>
    <m/>
    <m/>
    <m/>
    <n v="-1346.8000000000002"/>
    <n v="0"/>
    <n v="31"/>
    <n v="37.850381741193246"/>
    <n v="12.740190848977889"/>
    <n v="24.426338852710217"/>
    <n v="0"/>
    <n v="0"/>
    <m/>
    <m/>
    <m/>
    <n v="0.683852039505151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.8714799945101"/>
    <m/>
    <n v="0"/>
    <n v="0"/>
    <n v="-1346.8000000000002"/>
    <m/>
    <n v="0"/>
    <m/>
    <n v="-1384.8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41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75.971999999999994"/>
    <n v="75.971999999999994"/>
    <n v="75.971999999999994"/>
    <n v="75.971999999999994"/>
    <m/>
    <n v="314.52999999999997"/>
    <n v="119.22"/>
    <m/>
    <n v="32952.854999999996"/>
    <n v="32952.854999999996"/>
    <n v="21478.044119999999"/>
    <n v="0"/>
    <n v="2532.590388938363"/>
    <n v="0"/>
    <n v="0"/>
    <n v="0"/>
    <n v="34.343335168467519"/>
    <n v="17816.271046790745"/>
    <n v="8925.2532713153141"/>
    <n v="131.93089395076743"/>
    <n v="0"/>
    <n v="0"/>
    <n v="0"/>
    <n v="0"/>
    <n v="391.67353296987415"/>
    <m/>
    <n v="80.162483016119538"/>
    <n v="371.1181877671624"/>
    <n v="1162.744456386831"/>
    <n v="0"/>
    <n v="0"/>
    <n v="0"/>
    <n v="0"/>
    <n v="0"/>
    <n v="0"/>
    <n v="0"/>
    <n v="0"/>
    <n v="0"/>
    <n v="0"/>
    <m/>
    <n v="0"/>
    <n v="0"/>
    <n v="24.864746122465164"/>
    <n v="0"/>
    <n v="0"/>
    <n v="1481.6082692429818"/>
    <n v="0"/>
    <n v="59.59"/>
    <n v="271.51"/>
    <n v="5452.23"/>
    <n v="10"/>
    <m/>
    <m/>
    <m/>
    <m/>
    <m/>
    <m/>
    <m/>
    <m/>
    <m/>
    <n v="10431.726286680761"/>
    <m/>
    <m/>
    <m/>
    <m/>
    <m/>
    <m/>
    <m/>
    <m/>
    <m/>
    <m/>
    <m/>
    <m/>
    <n v="21477.4787"/>
    <n v="-11475.406299999995"/>
    <m/>
    <m/>
    <m/>
    <m/>
    <n v="-12838.508279999998"/>
    <n v="1363.6973999999991"/>
    <n v="31"/>
    <n v="1614.9875696738545"/>
    <n v="38.281406717425625"/>
    <n v="119.93886290289538"/>
    <n v="0"/>
    <n v="0"/>
    <n v="0"/>
    <n v="0"/>
    <n v="0"/>
    <n v="3.3579216370668235"/>
    <n v="0"/>
    <n v="0"/>
    <n v="1363.6067226971772"/>
    <n v="0"/>
    <n v="0"/>
    <n v="3.7988540985970012"/>
    <n v="226.36119501914754"/>
    <n v="0"/>
    <n v="-121.00006640819447"/>
    <m/>
    <n v="0"/>
    <n v="0"/>
    <n v="0"/>
    <n v="0"/>
    <n v="-15.87085013091837"/>
    <n v="-3.4864768593402005"/>
    <n v="0"/>
    <n v="0"/>
    <m/>
    <m/>
    <m/>
    <n v="17816.271046790745"/>
    <n v="0"/>
    <n v="0"/>
    <n v="-12838.50828"/>
    <n v="1363.6973999999991"/>
    <n v="0"/>
    <n v="0"/>
    <n v="-13089.789248010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42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40.00200000000001"/>
    <n v="131.60187999999999"/>
    <n v="140.00200000000001"/>
    <n v="131.60187999999999"/>
    <m/>
    <n v="571.87"/>
    <n v="216.76"/>
    <m/>
    <n v="110409.77726"/>
    <n v="110409.77726"/>
    <n v="71962.428020000007"/>
    <n v="0"/>
    <n v="8485.6076073995901"/>
    <n v="0"/>
    <n v="0"/>
    <n v="0"/>
    <n v="115.0695617585375"/>
    <n v="59694.566397495735"/>
    <n v="29904.637318310688"/>
    <n v="442.04297791280334"/>
    <n v="0"/>
    <n v="0"/>
    <n v="0"/>
    <n v="0"/>
    <n v="1312.327459467085"/>
    <m/>
    <n v="268.58957480083052"/>
    <n v="1243.4554482698959"/>
    <n v="3895.850370305554"/>
    <n v="0"/>
    <n v="0"/>
    <n v="0"/>
    <n v="0"/>
    <n v="0"/>
    <n v="0"/>
    <n v="0"/>
    <n v="0"/>
    <n v="0"/>
    <n v="0"/>
    <m/>
    <n v="0"/>
    <n v="0"/>
    <n v="83.310937202638371"/>
    <n v="0"/>
    <n v="0"/>
    <n v="4964.2241617858153"/>
    <n v="0"/>
    <n v="201.3"/>
    <n v="919.1"/>
    <n v="25912.68"/>
    <n v="97"/>
    <m/>
    <m/>
    <m/>
    <m/>
    <n v="4317.7456812000073"/>
    <m/>
    <m/>
    <m/>
    <m/>
    <n v="34952.172417299138"/>
    <m/>
    <m/>
    <m/>
    <m/>
    <m/>
    <m/>
    <m/>
    <m/>
    <m/>
    <m/>
    <m/>
    <m/>
    <n v="67643.715999999986"/>
    <n v="-36141.504624399982"/>
    <m/>
    <m/>
    <m/>
    <m/>
    <n v="-43015.614500000003"/>
    <n v="4568.2652600000001"/>
    <n v="31"/>
    <n v="5411.1201191223881"/>
    <n v="128.26432473334603"/>
    <n v="401.86290365662626"/>
    <n v="0"/>
    <n v="0"/>
    <n v="0"/>
    <n v="0"/>
    <n v="0"/>
    <n v="11.25093323934253"/>
    <n v="0"/>
    <n v="0"/>
    <n v="4568.8523616608109"/>
    <n v="0"/>
    <n v="0"/>
    <n v="12.728305919209063"/>
    <n v="758.43779825752245"/>
    <n v="0"/>
    <n v="-405.41853451463521"/>
    <m/>
    <n v="0"/>
    <n v="0"/>
    <n v="0"/>
    <n v="0"/>
    <n v="-53.176308018477584"/>
    <n v="-11.681665811360574"/>
    <n v="0"/>
    <n v="0"/>
    <m/>
    <m/>
    <m/>
    <n v="59694.566397495735"/>
    <n v="0"/>
    <n v="0"/>
    <n v="-43015.614499999996"/>
    <n v="4568.2652600000001"/>
    <n v="0"/>
    <n v="0"/>
    <n v="-43858.18397926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43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5.26"/>
    <n v="4.9443999999999999"/>
    <n v="5.26"/>
    <n v="4.9443999999999999"/>
    <m/>
    <n v="2592.54"/>
    <n v="216.76"/>
    <m/>
    <n v="14776.918"/>
    <n v="14776.918"/>
    <n v="6213.1119999999992"/>
    <n v="0"/>
    <n v="277.36630571693269"/>
    <n v="0"/>
    <n v="0"/>
    <n v="0"/>
    <n v="26.597901189170894"/>
    <n v="12050.089313216744"/>
    <n v="1123.5438943323254"/>
    <n v="16.607948913739413"/>
    <n v="0"/>
    <n v="0"/>
    <n v="0"/>
    <n v="0"/>
    <n v="49.305313044076982"/>
    <m/>
    <n v="7.2231487535976262"/>
    <n v="237.30422430477947"/>
    <n v="900.5159382901652"/>
    <n v="0"/>
    <n v="0"/>
    <n v="0"/>
    <n v="0"/>
    <n v="0"/>
    <n v="0"/>
    <n v="0"/>
    <n v="0"/>
    <n v="0"/>
    <n v="0"/>
    <m/>
    <n v="0"/>
    <n v="0"/>
    <n v="2.4053911538730688"/>
    <n v="0"/>
    <n v="0"/>
    <n v="85.928184910309298"/>
    <n v="0"/>
    <n v="0"/>
    <n v="0"/>
    <n v="0"/>
    <n v="0"/>
    <m/>
    <m/>
    <m/>
    <m/>
    <n v="372.78671999999983"/>
    <m/>
    <m/>
    <m/>
    <m/>
    <n v="1211.8774703965078"/>
    <m/>
    <m/>
    <m/>
    <m/>
    <m/>
    <m/>
    <m/>
    <m/>
    <m/>
    <m/>
    <m/>
    <m/>
    <n v="5835.1280000000006"/>
    <n v="-8055.2049199999983"/>
    <m/>
    <m/>
    <m/>
    <m/>
    <n v="-8735.4398000000001"/>
    <n v="171.63379999999998"/>
    <n v="31"/>
    <n v="289.55620240481812"/>
    <n v="24.478292430318135"/>
    <n v="92.889591578939189"/>
    <n v="0"/>
    <n v="0"/>
    <n v="0"/>
    <n v="0"/>
    <n v="0"/>
    <n v="2.6006113694422801"/>
    <n v="0"/>
    <n v="0"/>
    <n v="171.65585793299965"/>
    <n v="0"/>
    <n v="0"/>
    <n v="0.36749741978519346"/>
    <n v="13.128170938234973"/>
    <n v="0"/>
    <n v="-13.251784243409645"/>
    <m/>
    <n v="0"/>
    <n v="0"/>
    <n v="0"/>
    <n v="0"/>
    <n v="-1.9978813172468293"/>
    <n v="-0.31415370424501088"/>
    <n v="0"/>
    <n v="0"/>
    <m/>
    <m/>
    <m/>
    <n v="12050.089313216744"/>
    <n v="0"/>
    <n v="0"/>
    <n v="-8735.4398000000001"/>
    <n v="171.63379999999984"/>
    <n v="0"/>
    <n v="0"/>
    <n v="-8853.3189192876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44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99.287999999999997"/>
    <n v="93.330719999999999"/>
    <n v="99.287999999999997"/>
    <n v="93.330719999999999"/>
    <m/>
    <n v="80.27"/>
    <n v="216.76"/>
    <m/>
    <n v="29491.514639999998"/>
    <n v="29491.514639999998"/>
    <n v="32692.559759999996"/>
    <n v="0"/>
    <n v="5235.5790422096607"/>
    <n v="0"/>
    <n v="0"/>
    <n v="0"/>
    <n v="0"/>
    <n v="0"/>
    <n v="21208.065813777172"/>
    <n v="313.49240147288191"/>
    <n v="0"/>
    <n v="0"/>
    <n v="0"/>
    <n v="0"/>
    <n v="930.68933869207524"/>
    <m/>
    <n v="136.34448544623595"/>
    <n v="0"/>
    <n v="0"/>
    <n v="0"/>
    <n v="0"/>
    <n v="0"/>
    <n v="0"/>
    <n v="0"/>
    <n v="0"/>
    <n v="0"/>
    <n v="0"/>
    <n v="0"/>
    <n v="0"/>
    <m/>
    <n v="0"/>
    <n v="0"/>
    <n v="45.404273172195673"/>
    <n v="0"/>
    <n v="0"/>
    <n v="1621.9843390446367"/>
    <n v="0"/>
    <n v="0"/>
    <n v="0"/>
    <n v="0"/>
    <n v="0"/>
    <m/>
    <m/>
    <m/>
    <m/>
    <n v="1961.5535855999988"/>
    <m/>
    <m/>
    <m/>
    <m/>
    <n v="22875.454425994005"/>
    <m/>
    <m/>
    <m/>
    <m/>
    <m/>
    <m/>
    <m/>
    <m/>
    <m/>
    <m/>
    <m/>
    <m/>
    <n v="30730.769099999998"/>
    <n v="3008.7153384000012"/>
    <m/>
    <m/>
    <m/>
    <m/>
    <n v="-38.722320000000053"/>
    <n v="3239.7674399999996"/>
    <n v="31"/>
    <n v="3201.1452956671565"/>
    <n v="0"/>
    <n v="0"/>
    <n v="0"/>
    <n v="0"/>
    <n v="0"/>
    <n v="0"/>
    <n v="0"/>
    <n v="0"/>
    <n v="0"/>
    <n v="0"/>
    <n v="3240.1838065497504"/>
    <n v="0"/>
    <n v="0"/>
    <n v="6.936898063808421"/>
    <n v="247.80795363412062"/>
    <n v="0"/>
    <n v="-250.14128402274855"/>
    <m/>
    <n v="0"/>
    <n v="0"/>
    <n v="0"/>
    <n v="0"/>
    <n v="-37.71209890243415"/>
    <n v="-5.9299796553381441"/>
    <n v="0"/>
    <n v="0"/>
    <m/>
    <m/>
    <m/>
    <n v="0"/>
    <n v="0"/>
    <n v="0"/>
    <n v="-38.722320000000764"/>
    <n v="3239.7674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45"/>
    <s v="Regular"/>
    <s v="Verde"/>
    <s v="A4"/>
    <s v="Serviço público"/>
    <s v="Água, esgoto e saneamento"/>
    <s v="Não se aplica"/>
    <s v="Não se aplica"/>
    <s v="Não se aplica"/>
    <s v="CATIVO"/>
    <x v="10"/>
    <n v="399"/>
    <n v="375.06"/>
    <n v="0"/>
    <n v="0"/>
    <n v="0"/>
    <n v="0"/>
    <n v="32.17"/>
    <m/>
    <m/>
    <n v="12835.83"/>
    <m/>
    <n v="12835.83"/>
    <n v="5159.07"/>
    <n v="0"/>
    <n v="0"/>
    <n v="0"/>
    <n v="0"/>
    <n v="0"/>
    <n v="39.866573827378886"/>
    <n v="10743.767435968706"/>
    <m/>
    <m/>
    <m/>
    <n v="0"/>
    <n v="0"/>
    <n v="0"/>
    <n v="0"/>
    <m/>
    <n v="0"/>
    <n v="704.00402145907833"/>
    <n v="1349.7632010128264"/>
    <n v="0"/>
    <n v="0"/>
    <m/>
    <m/>
    <n v="0"/>
    <n v="0"/>
    <n v="0"/>
    <m/>
    <m/>
    <n v="0"/>
    <m/>
    <n v="0"/>
    <n v="0"/>
    <n v="0"/>
    <n v="0"/>
    <m/>
    <n v="0"/>
    <n v="0"/>
    <n v="114.99"/>
    <n v="523.63"/>
    <n v="14857.79"/>
    <n v="2"/>
    <m/>
    <m/>
    <m/>
    <m/>
    <n v="309.54419999999999"/>
    <m/>
    <m/>
    <m/>
    <m/>
    <n v="0"/>
    <m/>
    <m/>
    <m/>
    <m/>
    <m/>
    <m/>
    <m/>
    <m/>
    <m/>
    <m/>
    <m/>
    <m/>
    <n v="4849.5258000000003"/>
    <n v="-7216.184400000001"/>
    <m/>
    <m/>
    <m/>
    <m/>
    <n v="-7676.7600000000011"/>
    <n v="0"/>
    <n v="31"/>
    <n v="215.74717592480101"/>
    <n v="72.619087839173972"/>
    <n v="139.23013146044809"/>
    <n v="0"/>
    <n v="0"/>
    <m/>
    <m/>
    <m/>
    <n v="3.89795662517936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43.767435968706"/>
    <m/>
    <n v="0"/>
    <n v="0"/>
    <n v="-7676.76"/>
    <m/>
    <n v="0"/>
    <m/>
    <n v="-7893.55141135438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46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0.441"/>
    <n v="0.441"/>
    <n v="0.441"/>
    <n v="0.441"/>
    <m/>
    <n v="571.87"/>
    <n v="216.76"/>
    <m/>
    <n v="347.78583000000003"/>
    <n v="347.78583000000003"/>
    <n v="226.67840999999999"/>
    <n v="0"/>
    <n v="26.729282116421331"/>
    <n v="0"/>
    <n v="0"/>
    <n v="0"/>
    <n v="0.36246394148308619"/>
    <n v="188.03519793499819"/>
    <n v="94.198261863223479"/>
    <n v="1.3924154887754907"/>
    <n v="0"/>
    <n v="0"/>
    <n v="0"/>
    <n v="0"/>
    <n v="4.133772443429268"/>
    <m/>
    <n v="0.84604507426441233"/>
    <n v="3.9168287073543522"/>
    <n v="12.27175335570027"/>
    <n v="0"/>
    <n v="0"/>
    <n v="0"/>
    <n v="0"/>
    <n v="0"/>
    <n v="0"/>
    <n v="0"/>
    <n v="0"/>
    <n v="0"/>
    <n v="0"/>
    <m/>
    <n v="0"/>
    <n v="0"/>
    <n v="0.262425703249693"/>
    <n v="0"/>
    <n v="0"/>
    <n v="15.637082722729277"/>
    <n v="0"/>
    <n v="0.64"/>
    <n v="3.03"/>
    <n v="80.78"/>
    <n v="3"/>
    <m/>
    <m/>
    <m/>
    <m/>
    <m/>
    <m/>
    <m/>
    <m/>
    <m/>
    <n v="110.09777028920244"/>
    <m/>
    <m/>
    <m/>
    <m/>
    <m/>
    <m/>
    <m/>
    <m/>
    <m/>
    <m/>
    <m/>
    <m/>
    <n v="226.1644"/>
    <n v="-121.65143"/>
    <m/>
    <m/>
    <m/>
    <m/>
    <n v="-135.49725000000001"/>
    <n v="14.389829999999998"/>
    <n v="31"/>
    <n v="17.044784878308604"/>
    <n v="0.40402685109788239"/>
    <n v="1.2658500629460452"/>
    <n v="0"/>
    <n v="0"/>
    <n v="0"/>
    <n v="0"/>
    <n v="0"/>
    <n v="3.5439933419165848E-2"/>
    <n v="0"/>
    <n v="0"/>
    <n v="14.391679343812342"/>
    <n v="0"/>
    <n v="0"/>
    <n v="4.0093590879924534E-2"/>
    <n v="2.389044935297834"/>
    <n v="0"/>
    <n v="-1.2770501401476686"/>
    <m/>
    <n v="0"/>
    <n v="0"/>
    <n v="0"/>
    <n v="0"/>
    <n v="-0.16750297735852726"/>
    <n v="-3.6796721638333807E-2"/>
    <n v="0"/>
    <n v="0"/>
    <m/>
    <m/>
    <m/>
    <n v="188.03519793499819"/>
    <n v="0"/>
    <n v="0"/>
    <n v="-135.49725000000001"/>
    <n v="14.389829999999989"/>
    <n v="0"/>
    <n v="0"/>
    <n v="-138.15130594459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47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2.73"/>
    <n v="106.41"/>
    <n v="775.75"/>
    <n v="13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48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8"/>
    <n v="0.86"/>
    <n v="10.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49"/>
    <s v="Regular"/>
    <s v="Convencional"/>
    <s v="B2"/>
    <s v="Rural"/>
    <s v="Agropecuária rural"/>
    <s v="IRRIG./AQUIC."/>
    <s v="Não se aplica"/>
    <s v="Não se aplica"/>
    <s v="CATIVO"/>
    <x v="10"/>
    <n v="0"/>
    <n v="0"/>
    <n v="14.932"/>
    <n v="14.932"/>
    <n v="14.932"/>
    <n v="14.932"/>
    <m/>
    <n v="571.87"/>
    <n v="216.76"/>
    <m/>
    <n v="11775.82316"/>
    <n v="11775.82316"/>
    <n v="7675.1973199999993"/>
    <n v="0"/>
    <n v="905.0377337015949"/>
    <n v="0"/>
    <n v="0"/>
    <n v="0"/>
    <n v="12.272815361055427"/>
    <n v="6366.7609423251552"/>
    <n v="3189.4976102985329"/>
    <n v="47.14636752470664"/>
    <n v="0"/>
    <n v="0"/>
    <n v="0"/>
    <n v="0"/>
    <n v="139.96709778976381"/>
    <m/>
    <n v="28.646587412508399"/>
    <n v="132.6215107896036"/>
    <n v="415.51433357668128"/>
    <n v="0"/>
    <n v="0"/>
    <n v="0"/>
    <n v="0"/>
    <n v="0"/>
    <n v="0"/>
    <n v="0"/>
    <n v="0"/>
    <n v="0"/>
    <n v="0"/>
    <m/>
    <n v="0"/>
    <n v="0"/>
    <n v="8.8855795939329152"/>
    <n v="0"/>
    <n v="0"/>
    <n v="529.46240184987209"/>
    <n v="0"/>
    <n v="0"/>
    <n v="0"/>
    <n v="0"/>
    <n v="0"/>
    <m/>
    <m/>
    <m/>
    <m/>
    <m/>
    <n v="921.00575999999978"/>
    <m/>
    <m/>
    <m/>
    <n v="3727.845591742338"/>
    <m/>
    <m/>
    <m/>
    <m/>
    <m/>
    <m/>
    <m/>
    <m/>
    <m/>
    <m/>
    <m/>
    <m/>
    <n v="6753.2869000000001"/>
    <n v="-3609.5511000000015"/>
    <m/>
    <m/>
    <m/>
    <m/>
    <n v="-4587.857"/>
    <n v="487.23115999999993"/>
    <n v="31"/>
    <n v="577.12636690001"/>
    <n v="13.680110976402659"/>
    <n v="42.860936825193505"/>
    <n v="0"/>
    <n v="0"/>
    <n v="0"/>
    <n v="0"/>
    <n v="0"/>
    <n v="1.1999752512811437"/>
    <n v="0"/>
    <n v="0"/>
    <n v="487.29377769116991"/>
    <n v="0"/>
    <n v="0"/>
    <n v="1.3575453492495093"/>
    <n v="80.891653001966574"/>
    <n v="0"/>
    <n v="-43.24016483602054"/>
    <m/>
    <n v="0"/>
    <n v="0"/>
    <n v="0"/>
    <n v="0"/>
    <n v="-5.6715520587699189"/>
    <n v="-1.2459153004616788"/>
    <n v="0"/>
    <n v="0"/>
    <m/>
    <m/>
    <m/>
    <n v="6366.7609423251552"/>
    <n v="0"/>
    <n v="0"/>
    <n v="-4587.8570000000009"/>
    <n v="487.23115999999982"/>
    <n v="0"/>
    <n v="0"/>
    <n v="-4677.7217695345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50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.15"/>
    <n v="0.15"/>
    <n v="0.15"/>
    <n v="0.15"/>
    <m/>
    <n v="571.87"/>
    <n v="216.76"/>
    <m/>
    <n v="118.2945"/>
    <n v="118.2945"/>
    <n v="77.101499999999987"/>
    <n v="0"/>
    <n v="9.0915925566058942"/>
    <n v="0"/>
    <n v="0"/>
    <n v="0"/>
    <n v="0.12328705492621979"/>
    <n v="63.957550318026598"/>
    <n v="32.040225123545397"/>
    <n v="0.47361071046785397"/>
    <n v="0"/>
    <n v="0"/>
    <n v="0"/>
    <n v="0"/>
    <n v="1.4060450487854654"/>
    <m/>
    <n v="0.28777043342326947"/>
    <n v="1.3322546623654259"/>
    <n v="4.1740657672449899"/>
    <n v="0"/>
    <n v="0"/>
    <n v="0"/>
    <n v="0"/>
    <n v="0"/>
    <n v="0"/>
    <n v="0"/>
    <n v="0"/>
    <n v="0"/>
    <n v="0"/>
    <m/>
    <n v="0"/>
    <n v="0"/>
    <n v="8.9260443282208501E-2"/>
    <n v="0"/>
    <n v="0"/>
    <n v="5.3187356199759446"/>
    <n v="0"/>
    <n v="0"/>
    <n v="0"/>
    <n v="0"/>
    <n v="0"/>
    <m/>
    <m/>
    <m/>
    <m/>
    <m/>
    <n v="9.2519999999999953"/>
    <m/>
    <m/>
    <m/>
    <n v="37.448221186803551"/>
    <m/>
    <m/>
    <m/>
    <m/>
    <m/>
    <m/>
    <m/>
    <m/>
    <m/>
    <m/>
    <m/>
    <m/>
    <n v="67.849500000000006"/>
    <n v="-36.280500000000004"/>
    <m/>
    <m/>
    <m/>
    <m/>
    <n v="-46.087499999999999"/>
    <n v="4.894499999999999"/>
    <n v="31"/>
    <n v="5.7975458769757324"/>
    <n v="0.13742409901288499"/>
    <n v="0.43056124590001499"/>
    <n v="0"/>
    <n v="0"/>
    <n v="0"/>
    <n v="0"/>
    <n v="0"/>
    <n v="1.2054399122165257E-2"/>
    <n v="0"/>
    <n v="0"/>
    <n v="4.8951290285076041"/>
    <n v="0"/>
    <n v="0"/>
    <n v="1.3637275809498153E-2"/>
    <n v="0.8126003181285153"/>
    <n v="0"/>
    <n v="-0.4343707959685954"/>
    <m/>
    <n v="0"/>
    <n v="0"/>
    <n v="0"/>
    <n v="0"/>
    <n v="-5.6973801822628456E-2"/>
    <n v="-1.2515891713718974E-2"/>
    <n v="0"/>
    <n v="0"/>
    <m/>
    <m/>
    <m/>
    <n v="63.957550318026598"/>
    <n v="0"/>
    <n v="0"/>
    <n v="-46.087500000000006"/>
    <n v="4.8945000000000007"/>
    <n v="0"/>
    <n v="0"/>
    <n v="-46.990240117209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51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6.8250000000000002"/>
    <n v="2.73"/>
    <n v="6.8250000000000002"/>
    <n v="2.73"/>
    <m/>
    <n v="571.87"/>
    <n v="216.76"/>
    <m/>
    <n v="5382.3997500000005"/>
    <n v="5382.3997500000005"/>
    <n v="3508.11825"/>
    <n v="0"/>
    <n v="413.66746132556824"/>
    <n v="0"/>
    <n v="0"/>
    <n v="0"/>
    <n v="5.6095609991430013"/>
    <n v="2910.0685394702105"/>
    <n v="1457.8302431213158"/>
    <n v="21.549287326287359"/>
    <n v="0"/>
    <n v="0"/>
    <n v="0"/>
    <n v="0"/>
    <n v="63.975049719738678"/>
    <m/>
    <n v="13.093554720758762"/>
    <n v="60.617587137626877"/>
    <n v="189.91999240964705"/>
    <n v="0"/>
    <n v="0"/>
    <n v="0"/>
    <n v="0"/>
    <n v="0"/>
    <n v="0"/>
    <n v="0"/>
    <n v="0"/>
    <n v="0"/>
    <n v="0"/>
    <m/>
    <n v="0"/>
    <n v="0"/>
    <n v="4.0613501693404865"/>
    <n v="0"/>
    <n v="0"/>
    <n v="242.00247070890549"/>
    <n v="0"/>
    <n v="0"/>
    <n v="0"/>
    <n v="0"/>
    <n v="0"/>
    <m/>
    <m/>
    <m/>
    <m/>
    <m/>
    <m/>
    <n v="2273.2573499999999"/>
    <m/>
    <m/>
    <n v="1703.8940639995619"/>
    <m/>
    <m/>
    <m/>
    <m/>
    <m/>
    <m/>
    <m/>
    <m/>
    <m/>
    <m/>
    <m/>
    <m/>
    <n v="1234.8609000000001"/>
    <n v="-659.78909999999973"/>
    <m/>
    <m/>
    <m/>
    <m/>
    <n v="-2096.9812500000003"/>
    <n v="222.69974999999997"/>
    <n v="31"/>
    <n v="263.78833740239634"/>
    <n v="6.2527965050862733"/>
    <n v="19.590536688450698"/>
    <n v="0"/>
    <n v="0"/>
    <n v="0"/>
    <n v="0"/>
    <n v="0"/>
    <n v="0.54847516005851826"/>
    <n v="0"/>
    <n v="0"/>
    <n v="222.72837079709575"/>
    <n v="0"/>
    <n v="0"/>
    <n v="0.62049604933216607"/>
    <n v="36.973314474847427"/>
    <n v="0"/>
    <n v="-19.76387121657109"/>
    <m/>
    <n v="0"/>
    <n v="0"/>
    <n v="0"/>
    <n v="0"/>
    <n v="-2.5923079829295901"/>
    <n v="-0.56947307297421368"/>
    <n v="0"/>
    <n v="0"/>
    <m/>
    <m/>
    <m/>
    <n v="2910.0685394702105"/>
    <n v="0"/>
    <n v="0"/>
    <n v="-2096.9812500000003"/>
    <n v="222.69974999999999"/>
    <n v="0"/>
    <n v="0"/>
    <n v="-2138.0559253330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53"/>
    <s v="Regular"/>
    <s v="Verde"/>
    <s v="A4"/>
    <s v="Rural"/>
    <s v="Agropecuária rural"/>
    <s v="Não se aplica"/>
    <s v="Não se aplica"/>
    <s v="Ponta"/>
    <s v="CATIVO"/>
    <x v="10"/>
    <n v="0"/>
    <n v="0"/>
    <n v="0.54400000000000004"/>
    <n v="0.52224000000000004"/>
    <n v="0.54400000000000004"/>
    <n v="0.52224000000000004"/>
    <m/>
    <n v="2592.54"/>
    <n v="216.76"/>
    <m/>
    <n v="1528.2592"/>
    <n v="1528.2592"/>
    <n v="642.57280000000003"/>
    <n v="0"/>
    <n v="28.685792834602928"/>
    <n v="0"/>
    <n v="0"/>
    <n v="0"/>
    <n v="2.7508095526442906"/>
    <n v="1246.2449784011235"/>
    <n v="116.199216448058"/>
    <n v="1.717628176630084"/>
    <n v="0"/>
    <n v="0"/>
    <n v="0"/>
    <n v="0"/>
    <n v="5.0992567102619546"/>
    <m/>
    <n v="0.74703287489678882"/>
    <n v="24.542490118212939"/>
    <n v="93.133207306055112"/>
    <n v="0"/>
    <n v="0"/>
    <n v="0"/>
    <n v="0"/>
    <n v="0"/>
    <n v="0"/>
    <n v="0"/>
    <n v="0"/>
    <n v="0"/>
    <n v="0"/>
    <m/>
    <n v="0"/>
    <n v="0"/>
    <n v="0.2487704919594961"/>
    <n v="0"/>
    <n v="0"/>
    <n v="8.88686931391792"/>
    <n v="0"/>
    <n v="0"/>
    <n v="0"/>
    <n v="0"/>
    <n v="0"/>
    <m/>
    <m/>
    <m/>
    <m/>
    <m/>
    <n v="25.702912000000001"/>
    <m/>
    <m/>
    <m/>
    <n v="125.33485625393541"/>
    <m/>
    <m/>
    <m/>
    <m/>
    <m/>
    <m/>
    <m/>
    <m/>
    <m/>
    <m/>
    <m/>
    <m/>
    <n v="614.22399999999993"/>
    <n v="-852.93483200000014"/>
    <m/>
    <m/>
    <m/>
    <m/>
    <n v="-903.43712000000005"/>
    <n v="17.750719999999998"/>
    <n v="31"/>
    <n v="29.946496978749281"/>
    <n v="2.5315952627553351"/>
    <n v="9.6068322849701389"/>
    <n v="0"/>
    <n v="0"/>
    <n v="0"/>
    <n v="0"/>
    <n v="0"/>
    <n v="0.26896056748604558"/>
    <n v="0"/>
    <n v="0"/>
    <n v="17.75300127672088"/>
    <n v="0"/>
    <n v="0"/>
    <n v="3.8007337711624539E-2"/>
    <n v="1.3577423936121349"/>
    <n v="0"/>
    <n v="-1.3705267354400839"/>
    <m/>
    <n v="0"/>
    <n v="0"/>
    <n v="0"/>
    <n v="0"/>
    <n v="-0.20662498794339879"/>
    <n v="-3.2490421123438473E-2"/>
    <n v="0"/>
    <n v="0"/>
    <m/>
    <m/>
    <m/>
    <n v="1246.2449784011235"/>
    <n v="0"/>
    <n v="0"/>
    <n v="-903.43712000000005"/>
    <n v="17.750720000000001"/>
    <n v="0"/>
    <n v="0"/>
    <n v="-915.6284205499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54"/>
    <s v="Regular"/>
    <s v="Verde"/>
    <s v="A4"/>
    <s v="Rural"/>
    <s v="Agropecuária rural"/>
    <s v="Não se aplica"/>
    <s v="Não se aplica"/>
    <s v="Fora ponta"/>
    <s v="CATIVO"/>
    <x v="10"/>
    <n v="0"/>
    <n v="0"/>
    <n v="3.3559999999999999"/>
    <n v="3.2217600000000002"/>
    <n v="3.3559999999999999"/>
    <n v="3.2217600000000002"/>
    <m/>
    <n v="80.27"/>
    <n v="216.76"/>
    <m/>
    <n v="996.83267999999998"/>
    <n v="996.83267999999998"/>
    <n v="1105.0301199999999"/>
    <n v="0"/>
    <n v="176.96603079582246"/>
    <n v="0"/>
    <n v="0"/>
    <n v="0"/>
    <n v="0"/>
    <n v="0"/>
    <n v="716.84663676412242"/>
    <n v="10.596250295534119"/>
    <n v="0"/>
    <n v="0"/>
    <n v="0"/>
    <n v="0"/>
    <n v="31.457914558160144"/>
    <m/>
    <n v="4.6085336914588657"/>
    <n v="0"/>
    <n v="0"/>
    <n v="0"/>
    <n v="0"/>
    <n v="0"/>
    <n v="0"/>
    <n v="0"/>
    <n v="0"/>
    <n v="0"/>
    <n v="0"/>
    <n v="0"/>
    <n v="0"/>
    <m/>
    <n v="0"/>
    <n v="0"/>
    <n v="1.5346944320148324"/>
    <n v="0"/>
    <n v="0"/>
    <n v="54.824142311596574"/>
    <n v="0"/>
    <n v="0"/>
    <n v="0"/>
    <n v="0"/>
    <n v="0"/>
    <m/>
    <m/>
    <m/>
    <m/>
    <m/>
    <n v="44.2012047999999"/>
    <m/>
    <m/>
    <m/>
    <n v="773.20547350773381"/>
    <m/>
    <m/>
    <m/>
    <m/>
    <m/>
    <m/>
    <m/>
    <m/>
    <m/>
    <m/>
    <m/>
    <m/>
    <n v="1060.2493999999999"/>
    <n v="103.26002719999997"/>
    <m/>
    <m/>
    <m/>
    <m/>
    <n v="-1.3088400000000018"/>
    <n v="109.50627999999998"/>
    <n v="31"/>
    <n v="108.20082600373655"/>
    <n v="0"/>
    <n v="0"/>
    <n v="0"/>
    <n v="0"/>
    <n v="0"/>
    <n v="0"/>
    <n v="0"/>
    <n v="0"/>
    <n v="0"/>
    <n v="0"/>
    <n v="109.52035346447667"/>
    <n v="0"/>
    <n v="0"/>
    <n v="0.23447173779450736"/>
    <n v="8.3760725605925046"/>
    <n v="0"/>
    <n v="-8.4549406693693356"/>
    <m/>
    <n v="0"/>
    <n v="0"/>
    <n v="0"/>
    <n v="0"/>
    <n v="-1.2746938594449375"/>
    <n v="-0.20043723031297667"/>
    <n v="0"/>
    <n v="0"/>
    <m/>
    <m/>
    <m/>
    <n v="0"/>
    <n v="0"/>
    <n v="0"/>
    <n v="-1.3088399999999751"/>
    <n v="109.5062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55"/>
    <s v="Regular"/>
    <s v="Verde"/>
    <s v="A4"/>
    <s v="Rural"/>
    <s v="Agropecuária rural"/>
    <s v="Não se aplica"/>
    <s v="Não se aplica"/>
    <s v="Não se aplica"/>
    <s v="CATIVO"/>
    <x v="10"/>
    <n v="228"/>
    <n v="218.88"/>
    <n v="0"/>
    <n v="0"/>
    <n v="0"/>
    <n v="0"/>
    <n v="32.17"/>
    <m/>
    <m/>
    <n v="7334.76"/>
    <m/>
    <n v="7334.76"/>
    <n v="2948.04"/>
    <n v="0"/>
    <n v="0"/>
    <n v="0"/>
    <n v="0"/>
    <n v="0"/>
    <n v="22.780899329930794"/>
    <n v="6139.2956776964038"/>
    <m/>
    <m/>
    <m/>
    <n v="0"/>
    <n v="0"/>
    <n v="0"/>
    <n v="0"/>
    <m/>
    <n v="0"/>
    <n v="402.28801226233048"/>
    <n v="771.29325772161508"/>
    <n v="0"/>
    <n v="0"/>
    <m/>
    <m/>
    <n v="0"/>
    <n v="0"/>
    <n v="0"/>
    <m/>
    <m/>
    <n v="0"/>
    <m/>
    <n v="0"/>
    <n v="0"/>
    <n v="0"/>
    <n v="0"/>
    <m/>
    <n v="0"/>
    <n v="0"/>
    <n v="13.03"/>
    <n v="59.73"/>
    <n v="58.62"/>
    <n v="12"/>
    <m/>
    <m/>
    <m/>
    <m/>
    <m/>
    <n v="117.92160000000005"/>
    <m/>
    <m/>
    <m/>
    <n v="0"/>
    <m/>
    <m/>
    <m/>
    <m/>
    <m/>
    <m/>
    <m/>
    <m/>
    <m/>
    <m/>
    <m/>
    <m/>
    <n v="2830.1183999999998"/>
    <n v="-4211.2812000000013"/>
    <m/>
    <m/>
    <m/>
    <m/>
    <n v="-4386.72"/>
    <n v="0"/>
    <n v="31"/>
    <n v="123.28410052845788"/>
    <n v="41.496621622385078"/>
    <n v="79.560075120256101"/>
    <n v="0"/>
    <n v="0"/>
    <m/>
    <m/>
    <m/>
    <n v="2.22740378581677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39.2956776964038"/>
    <m/>
    <n v="0"/>
    <n v="0"/>
    <n v="-4386.72"/>
    <m/>
    <n v="0"/>
    <m/>
    <n v="-4510.600806488219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56"/>
    <s v="Sistema de Compensação"/>
    <s v="Verde"/>
    <s v="A4"/>
    <s v="Rural"/>
    <s v="Agropecuária rural"/>
    <s v="Não se aplica"/>
    <s v="Não se aplica"/>
    <s v="Não se aplica"/>
    <s v="CATIVO"/>
    <x v="10"/>
    <n v="33"/>
    <n v="31.68"/>
    <n v="0"/>
    <n v="0"/>
    <n v="0"/>
    <n v="0"/>
    <n v="32.17"/>
    <m/>
    <m/>
    <n v="1061.6100000000001"/>
    <m/>
    <n v="1061.6100000000001"/>
    <n v="426.69"/>
    <n v="0"/>
    <n v="0"/>
    <n v="0"/>
    <n v="0"/>
    <n v="0"/>
    <n v="3.2972354293320882"/>
    <n v="888.58226914026898"/>
    <m/>
    <m/>
    <m/>
    <n v="0"/>
    <n v="0"/>
    <n v="0"/>
    <n v="0"/>
    <m/>
    <n v="0"/>
    <n v="58.22589651165309"/>
    <n v="111.63455045970744"/>
    <n v="0"/>
    <n v="0"/>
    <m/>
    <m/>
    <n v="0"/>
    <n v="0"/>
    <n v="0"/>
    <m/>
    <m/>
    <n v="0"/>
    <m/>
    <n v="0"/>
    <n v="0"/>
    <n v="0"/>
    <n v="0"/>
    <m/>
    <n v="0"/>
    <n v="0"/>
    <n v="2.0699999999999998"/>
    <n v="9.44"/>
    <n v="1.67"/>
    <n v="1"/>
    <m/>
    <m/>
    <m/>
    <m/>
    <m/>
    <n v="17.067600000000002"/>
    <m/>
    <m/>
    <m/>
    <n v="0"/>
    <m/>
    <m/>
    <m/>
    <m/>
    <m/>
    <m/>
    <m/>
    <m/>
    <m/>
    <m/>
    <m/>
    <m/>
    <n v="409.62239999999997"/>
    <n v="-609.55320000000006"/>
    <m/>
    <m/>
    <m/>
    <m/>
    <n v="-634.92000000000007"/>
    <n v="0"/>
    <n v="31"/>
    <n v="17.843751392276829"/>
    <n v="6.0060899716610123"/>
    <n v="11.51527403056339"/>
    <n v="0"/>
    <n v="0"/>
    <m/>
    <m/>
    <m/>
    <n v="0.3223873900524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888.58226914026898"/>
    <m/>
    <n v="0"/>
    <n v="0"/>
    <n v="-634.92000000000007"/>
    <m/>
    <n v="0"/>
    <m/>
    <n v="-652.8501167285581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57"/>
    <s v="Regular"/>
    <s v="Verde"/>
    <s v="A4"/>
    <s v="Rural"/>
    <s v="Agropecuária rural"/>
    <s v="IRRIG./AQUIC. PR"/>
    <s v="Não se aplica"/>
    <s v="Fora ponta"/>
    <s v="CATIVO"/>
    <x v="10"/>
    <n v="0"/>
    <n v="0"/>
    <n v="2.1850000000000001"/>
    <n v="0.65549999999999997"/>
    <n v="2.1850000000000001"/>
    <n v="0.65549999999999997"/>
    <m/>
    <n v="80.27"/>
    <n v="216.76"/>
    <m/>
    <n v="649.01054999999997"/>
    <n v="649.01054999999997"/>
    <n v="719.45495000000005"/>
    <n v="0"/>
    <n v="115.21775246986654"/>
    <n v="0"/>
    <n v="0"/>
    <n v="0"/>
    <n v="0"/>
    <n v="0"/>
    <n v="466.71927929964465"/>
    <n v="6.8989293491484069"/>
    <n v="0"/>
    <n v="0"/>
    <n v="0"/>
    <n v="0"/>
    <n v="20.481389543974945"/>
    <m/>
    <n v="3.000490499355668"/>
    <n v="0"/>
    <n v="0"/>
    <n v="0"/>
    <n v="0"/>
    <n v="0"/>
    <n v="0"/>
    <n v="0"/>
    <n v="0"/>
    <n v="0"/>
    <n v="0"/>
    <n v="0"/>
    <n v="0"/>
    <m/>
    <n v="0"/>
    <n v="0"/>
    <n v="0.99919765612407896"/>
    <n v="0"/>
    <n v="0"/>
    <n v="35.694502667115174"/>
    <n v="0"/>
    <n v="0"/>
    <n v="0"/>
    <n v="0"/>
    <n v="0"/>
    <m/>
    <m/>
    <m/>
    <m/>
    <m/>
    <m/>
    <n v="503.61846500000001"/>
    <m/>
    <m/>
    <n v="503.41297962288388"/>
    <m/>
    <m/>
    <m/>
    <m/>
    <m/>
    <m/>
    <m/>
    <m/>
    <m/>
    <m/>
    <m/>
    <m/>
    <n v="217.31819999999999"/>
    <n v="22.585035000000033"/>
    <m/>
    <m/>
    <m/>
    <m/>
    <n v="-0.8521500000000013"/>
    <n v="71.296549999999996"/>
    <n v="31"/>
    <n v="70.446604534613698"/>
    <n v="0"/>
    <n v="0"/>
    <n v="0"/>
    <n v="0"/>
    <n v="0"/>
    <n v="0"/>
    <n v="0"/>
    <n v="0"/>
    <n v="0"/>
    <n v="0"/>
    <n v="71.305712848594112"/>
    <n v="0"/>
    <n v="0"/>
    <n v="0.15265814871305095"/>
    <n v="5.4534322243428548"/>
    <n v="0"/>
    <n v="-5.5047810973099018"/>
    <m/>
    <n v="0"/>
    <n v="0"/>
    <n v="0"/>
    <n v="0"/>
    <n v="-0.82991837988295103"/>
    <n v="-0.13049920984322227"/>
    <n v="0"/>
    <n v="0"/>
    <m/>
    <m/>
    <m/>
    <n v="0"/>
    <n v="0"/>
    <n v="0"/>
    <n v="-0.85214999999999463"/>
    <n v="71.2965500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58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58"/>
    <n v="11.96"/>
    <n v="51.92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59"/>
    <s v="Regular"/>
    <s v="Convencional"/>
    <s v="B2"/>
    <s v="Rural"/>
    <s v="Aquicultura"/>
    <s v="IRRIG./AQUIC."/>
    <s v="Não se aplica"/>
    <s v="Não se aplica"/>
    <s v="CATIVO"/>
    <x v="10"/>
    <n v="0"/>
    <n v="0"/>
    <n v="1.294"/>
    <n v="1.294"/>
    <n v="1.294"/>
    <n v="1.294"/>
    <m/>
    <n v="571.87"/>
    <n v="216.76"/>
    <m/>
    <n v="1020.48722"/>
    <n v="1020.48722"/>
    <n v="665.12894000000006"/>
    <n v="0"/>
    <n v="78.43013845498686"/>
    <n v="0"/>
    <n v="0"/>
    <n v="0"/>
    <n v="1.0635563271635229"/>
    <n v="551.74046741017617"/>
    <n v="276.40034206578497"/>
    <n v="4.0856817289693543"/>
    <n v="0"/>
    <n v="0"/>
    <n v="0"/>
    <n v="0"/>
    <n v="12.129481954189282"/>
    <m/>
    <n v="2.4824996056647382"/>
    <n v="11.492916887339074"/>
    <n v="36.008274018766784"/>
    <n v="0"/>
    <n v="0"/>
    <n v="0"/>
    <n v="0"/>
    <n v="0"/>
    <n v="0"/>
    <n v="0"/>
    <n v="0"/>
    <n v="0"/>
    <n v="0"/>
    <m/>
    <n v="0"/>
    <n v="0"/>
    <n v="0.77002009071451871"/>
    <n v="0"/>
    <n v="0"/>
    <n v="45.882959281659147"/>
    <n v="0"/>
    <n v="0"/>
    <n v="0"/>
    <n v="0"/>
    <n v="0"/>
    <m/>
    <m/>
    <m/>
    <m/>
    <m/>
    <n v="79.813919999999968"/>
    <m/>
    <m/>
    <m/>
    <n v="323.05332143815866"/>
    <m/>
    <m/>
    <m/>
    <m/>
    <m/>
    <m/>
    <m/>
    <m/>
    <m/>
    <m/>
    <m/>
    <m/>
    <n v="583.50570000000005"/>
    <n v="-314.56029999999998"/>
    <m/>
    <m/>
    <m/>
    <m/>
    <n v="-397.58150000000001"/>
    <n v="42.223219999999998"/>
    <n v="31"/>
    <n v="50.013495765377343"/>
    <n v="1.1855118941511549"/>
    <n v="3.7143083479641277"/>
    <n v="0"/>
    <n v="0"/>
    <n v="0"/>
    <n v="0"/>
    <n v="0"/>
    <n v="0.10398928309387889"/>
    <n v="0"/>
    <n v="0"/>
    <n v="42.228646419258894"/>
    <n v="0"/>
    <n v="0"/>
    <n v="0.1176442326499374"/>
    <n v="7.0100320777219949"/>
    <n v="0"/>
    <n v="-3.7471720665557484"/>
    <m/>
    <n v="0"/>
    <n v="0"/>
    <n v="0"/>
    <n v="0"/>
    <n v="-0.49149399705654062"/>
    <n v="-0.10797042585034911"/>
    <n v="0"/>
    <n v="0"/>
    <m/>
    <m/>
    <m/>
    <n v="551.74046741017617"/>
    <n v="0"/>
    <n v="0"/>
    <n v="-397.58149999999995"/>
    <n v="42.223220000000026"/>
    <n v="0"/>
    <n v="0"/>
    <n v="-405.36913807779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0"/>
    <s v="Regular"/>
    <s v="Convencional"/>
    <s v="B2"/>
    <s v="Rural"/>
    <s v="Aquicultura"/>
    <s v="IRRIG./AQUIC. PR"/>
    <s v="Não se aplica"/>
    <s v="Não se aplica"/>
    <s v="CATIVO"/>
    <x v="10"/>
    <n v="0"/>
    <n v="0"/>
    <n v="1.8440000000000001"/>
    <n v="0.73760000000000003"/>
    <n v="1.8440000000000001"/>
    <n v="0.73760000000000003"/>
    <m/>
    <n v="571.87"/>
    <n v="216.76"/>
    <m/>
    <n v="1454.2337199999999"/>
    <n v="1454.2337199999999"/>
    <n v="947.83444000000009"/>
    <n v="0"/>
    <n v="111.76597782920848"/>
    <n v="0"/>
    <n v="0"/>
    <n v="0"/>
    <n v="1.5156088618929955"/>
    <n v="786.25148524294036"/>
    <n v="393.88116751878482"/>
    <n v="5.8222543340181518"/>
    <n v="0"/>
    <n v="0"/>
    <n v="0"/>
    <n v="0"/>
    <n v="17.284980466402654"/>
    <m/>
    <n v="3.5376578615500596"/>
    <n v="16.377850649345636"/>
    <n v="51.313181831998413"/>
    <n v="0"/>
    <n v="0"/>
    <n v="0"/>
    <n v="0"/>
    <n v="0"/>
    <n v="0"/>
    <n v="0"/>
    <n v="0"/>
    <n v="0"/>
    <n v="0"/>
    <m/>
    <n v="0"/>
    <n v="0"/>
    <n v="1.0973083827492833"/>
    <n v="0"/>
    <n v="0"/>
    <n v="65.384989888237612"/>
    <n v="0"/>
    <n v="0"/>
    <n v="0"/>
    <n v="0"/>
    <n v="0"/>
    <m/>
    <m/>
    <m/>
    <m/>
    <m/>
    <m/>
    <n v="614.195832"/>
    <m/>
    <m/>
    <n v="460.36346578977174"/>
    <m/>
    <m/>
    <m/>
    <m/>
    <m/>
    <m/>
    <m/>
    <m/>
    <m/>
    <m/>
    <m/>
    <m/>
    <n v="334.7242"/>
    <n v="-177.2002"/>
    <m/>
    <m/>
    <m/>
    <m/>
    <n v="-566.56900000000007"/>
    <n v="60.169719999999991"/>
    <n v="31"/>
    <n v="71.271163980954952"/>
    <n v="1.6894002571984004"/>
    <n v="5.2930329162641883"/>
    <n v="0"/>
    <n v="0"/>
    <n v="0"/>
    <n v="0"/>
    <n v="0"/>
    <n v="0.14818874654181813"/>
    <n v="0"/>
    <n v="0"/>
    <n v="60.177452857120102"/>
    <n v="0"/>
    <n v="0"/>
    <n v="0.16764757728476387"/>
    <n v="9.9895665775265456"/>
    <n v="0"/>
    <n v="-5.339864985107269"/>
    <m/>
    <n v="0"/>
    <n v="0"/>
    <n v="0"/>
    <n v="0"/>
    <n v="-0.70039793707284304"/>
    <n v="-0.15386202880065181"/>
    <n v="0"/>
    <n v="0"/>
    <m/>
    <m/>
    <m/>
    <n v="786.25148524294036"/>
    <n v="0"/>
    <n v="0"/>
    <n v="-566.56899999999996"/>
    <n v="60.169719999999984"/>
    <n v="0"/>
    <n v="0"/>
    <n v="-577.66668517423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1"/>
    <s v="Regular"/>
    <s v="Convencional"/>
    <s v="B1"/>
    <s v="Residencial"/>
    <s v="Residencial"/>
    <s v="Não se aplica"/>
    <s v="Não se aplica"/>
    <s v="Não se aplica"/>
    <s v="CATIVO"/>
    <x v="11"/>
    <n v="0"/>
    <n v="0"/>
    <n v="712.39300000000003"/>
    <n v="712.39300000000003"/>
    <n v="712.39300000000003"/>
    <n v="712.39300000000003"/>
    <m/>
    <n v="571.87"/>
    <n v="216.76"/>
    <m/>
    <n v="561814.49158999999"/>
    <n v="561814.49158999999"/>
    <n v="366177.12592999998"/>
    <n v="0"/>
    <n v="43178.579307854292"/>
    <n v="0"/>
    <n v="0"/>
    <n v="0"/>
    <n v="585.52556613369666"/>
    <n v="303752.74095806619"/>
    <n v="152168.21397625253"/>
    <n v="2249.3130324155063"/>
    <n v="0"/>
    <n v="0"/>
    <n v="0"/>
    <n v="0"/>
    <n v="6677.7110029294936"/>
    <m/>
    <n v="1366.7042825180215"/>
    <n v="6327.2593045766189"/>
    <n v="19823.834894166401"/>
    <n v="0"/>
    <n v="0"/>
    <n v="0"/>
    <n v="0"/>
    <n v="0"/>
    <n v="0"/>
    <n v="0"/>
    <n v="0"/>
    <n v="0"/>
    <n v="0"/>
    <m/>
    <n v="0"/>
    <n v="0"/>
    <n v="423.9234331409491"/>
    <n v="0"/>
    <n v="0"/>
    <n v="25260.20016347682"/>
    <n v="0"/>
    <n v="1150.25"/>
    <n v="5361.53"/>
    <n v="120440.57"/>
    <n v="4459"/>
    <m/>
    <m/>
    <m/>
    <m/>
    <m/>
    <m/>
    <m/>
    <m/>
    <m/>
    <n v="177852.33757287028"/>
    <m/>
    <m/>
    <m/>
    <m/>
    <m/>
    <m/>
    <m/>
    <m/>
    <m/>
    <m/>
    <m/>
    <m/>
    <n v="366175.58389999997"/>
    <n v="-195638.93769000005"/>
    <m/>
    <m/>
    <m/>
    <m/>
    <n v="-218882.74925000002"/>
    <n v="23245.383589999998"/>
    <n v="30"/>
    <n v="27534.207332909224"/>
    <n v="652.66644112057475"/>
    <n v="2044.8587843363312"/>
    <n v="0"/>
    <n v="0"/>
    <n v="0"/>
    <n v="0"/>
    <n v="0"/>
    <n v="57.249797025577777"/>
    <n v="0"/>
    <n v="0"/>
    <n v="23248.371026704088"/>
    <n v="0"/>
    <n v="0"/>
    <n v="64.767332171705448"/>
    <n v="3859.271856216852"/>
    <n v="0"/>
    <n v="-2062.9514296830384"/>
    <m/>
    <n v="0"/>
    <n v="0"/>
    <n v="0"/>
    <n v="0"/>
    <n v="-270.58491734551808"/>
    <n v="-59.44155763740946"/>
    <n v="0"/>
    <n v="0"/>
    <m/>
    <m/>
    <m/>
    <n v="303752.74095806619"/>
    <n v="0"/>
    <n v="0"/>
    <n v="-218882.74924999999"/>
    <n v="23245.383589999983"/>
    <n v="0"/>
    <n v="0"/>
    <n v="-223170.12085212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2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0.66300000000000003"/>
    <n v="-0.66300000000000003"/>
    <n v="-0.66300000000000003"/>
    <n v="-0.66300000000000003"/>
    <m/>
    <n v="571.87"/>
    <n v="216.76"/>
    <m/>
    <n v="-522.86168999999995"/>
    <n v="-522.86168999999995"/>
    <n v="-340.78863000000001"/>
    <n v="0"/>
    <n v="-40.184839100198062"/>
    <n v="0"/>
    <n v="0"/>
    <n v="0"/>
    <n v="-0.54492878277389156"/>
    <n v="-282.69237240567759"/>
    <n v="-141.61779504607068"/>
    <n v="-2.0933593402679147"/>
    <n v="0"/>
    <n v="0"/>
    <n v="0"/>
    <n v="0"/>
    <n v="-6.2147191156317572"/>
    <m/>
    <n v="-1.2719453157308511"/>
    <n v="-5.8885656076551829"/>
    <n v="-18.449370691222857"/>
    <n v="0"/>
    <n v="0"/>
    <n v="0"/>
    <n v="0"/>
    <n v="0"/>
    <n v="0"/>
    <n v="0"/>
    <n v="0"/>
    <n v="0"/>
    <n v="0"/>
    <m/>
    <n v="0"/>
    <n v="0"/>
    <n v="-0.3945311593073616"/>
    <n v="0"/>
    <n v="0"/>
    <n v="-23.508811440293677"/>
    <n v="0"/>
    <n v="-1.03"/>
    <n v="-4.72"/>
    <n v="-145.13"/>
    <n v="0"/>
    <m/>
    <m/>
    <m/>
    <m/>
    <m/>
    <m/>
    <m/>
    <m/>
    <m/>
    <n v="-165.5211376456717"/>
    <m/>
    <m/>
    <m/>
    <m/>
    <m/>
    <m/>
    <m/>
    <m/>
    <m/>
    <m/>
    <m/>
    <m/>
    <n v="-339.2466"/>
    <n v="183.58508999999998"/>
    <m/>
    <m/>
    <m/>
    <m/>
    <n v="203.70675"/>
    <n v="-21.633689999999998"/>
    <n v="30"/>
    <n v="-25.625152776232767"/>
    <n v="-0.60741451763695142"/>
    <n v="-1.9030807068780682"/>
    <n v="0"/>
    <n v="0"/>
    <n v="0"/>
    <n v="0"/>
    <n v="0"/>
    <n v="-5.3280444119970349E-2"/>
    <n v="0"/>
    <n v="0"/>
    <n v="-21.636470306003588"/>
    <n v="0"/>
    <n v="0"/>
    <n v="-6.0276759077981801E-2"/>
    <n v="-3.5916934061280372"/>
    <n v="0"/>
    <n v="1.919918918181196"/>
    <m/>
    <n v="0"/>
    <n v="0"/>
    <n v="0"/>
    <n v="0"/>
    <n v="0.25182420405601746"/>
    <n v="5.5320241374637869E-2"/>
    <n v="0"/>
    <n v="0"/>
    <m/>
    <m/>
    <m/>
    <n v="-282.69237240567759"/>
    <n v="0"/>
    <n v="0"/>
    <n v="203.70675"/>
    <n v="-21.633690000000001"/>
    <n v="0"/>
    <n v="0"/>
    <n v="207.6968613180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3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28.244"/>
    <n v="28.244"/>
    <n v="28.244"/>
    <n v="28.244"/>
    <m/>
    <n v="571.87"/>
    <n v="216.76"/>
    <m/>
    <n v="22274.065719999999"/>
    <n v="22274.065719999999"/>
    <n v="14517.69844"/>
    <n v="0"/>
    <n v="1711.886267791846"/>
    <n v="0"/>
    <n v="0"/>
    <n v="0"/>
    <n v="23.214130528907681"/>
    <n v="12042.780341215623"/>
    <n v="6032.9607892627755"/>
    <n v="89.177739376360464"/>
    <n v="0"/>
    <n v="0"/>
    <n v="0"/>
    <n v="0"/>
    <n v="264.74890905264454"/>
    <m/>
    <n v="54.185254144045487"/>
    <n v="250.85467122566058"/>
    <n v="785.94875686711657"/>
    <n v="0"/>
    <n v="0"/>
    <n v="0"/>
    <n v="0"/>
    <n v="0"/>
    <n v="0"/>
    <n v="0"/>
    <n v="0"/>
    <n v="0"/>
    <n v="0"/>
    <m/>
    <n v="0"/>
    <n v="0"/>
    <n v="16.807146400417981"/>
    <n v="0"/>
    <n v="0"/>
    <n v="1001.4824590040039"/>
    <n v="0"/>
    <n v="46.44"/>
    <n v="217.64"/>
    <n v="9445.89"/>
    <n v="218"/>
    <m/>
    <m/>
    <m/>
    <m/>
    <m/>
    <m/>
    <m/>
    <m/>
    <m/>
    <n v="7051.2503946671968"/>
    <m/>
    <m/>
    <m/>
    <m/>
    <m/>
    <m/>
    <m/>
    <m/>
    <m/>
    <m/>
    <m/>
    <m/>
    <n v="14515.642399999999"/>
    <n v="-7758.4533200000023"/>
    <m/>
    <m/>
    <m/>
    <m/>
    <n v="-8677.9689999999991"/>
    <n v="921.60171999999989"/>
    <n v="30"/>
    <n v="1091.6392383286839"/>
    <n v="25.876041683466156"/>
    <n v="81.071812194666904"/>
    <n v="0"/>
    <n v="0"/>
    <n v="0"/>
    <n v="0"/>
    <n v="0"/>
    <n v="2.2697629920428994"/>
    <n v="0"/>
    <n v="0"/>
    <n v="921.72016187445752"/>
    <n v="0"/>
    <n v="0"/>
    <n v="2.5678081197564353"/>
    <n v="153.00722256814515"/>
    <n v="0"/>
    <n v="-81.789125075580159"/>
    <m/>
    <n v="0"/>
    <n v="0"/>
    <n v="0"/>
    <n v="0"/>
    <n v="-10.727787057855409"/>
    <n v="-2.3566589704151895"/>
    <n v="0"/>
    <n v="0"/>
    <m/>
    <m/>
    <m/>
    <n v="12042.780341215623"/>
    <n v="0"/>
    <n v="0"/>
    <n v="-8677.969000000001"/>
    <n v="921.60171999999966"/>
    <n v="0"/>
    <n v="0"/>
    <n v="-8847.9489458031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4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7.32"/>
    <n v="7.32"/>
    <n v="7.32"/>
    <n v="7.32"/>
    <m/>
    <n v="501.89"/>
    <n v="216.76"/>
    <m/>
    <n v="5260.518"/>
    <n v="5260.518"/>
    <n v="3274.2359999999999"/>
    <n v="0"/>
    <n v="0"/>
    <n v="0"/>
    <n v="0"/>
    <n v="0"/>
    <n v="6.016408280399526"/>
    <n v="3121.128455519698"/>
    <n v="1563.5629860290155"/>
    <n v="23.112202670831277"/>
    <n v="0"/>
    <n v="0"/>
    <n v="0"/>
    <n v="0"/>
    <n v="0"/>
    <m/>
    <n v="14.043197151055551"/>
    <n v="65.014027523432787"/>
    <n v="203.69440944155551"/>
    <n v="0"/>
    <n v="0"/>
    <n v="0"/>
    <n v="0"/>
    <n v="0"/>
    <n v="0"/>
    <n v="0"/>
    <n v="0"/>
    <n v="0"/>
    <n v="0"/>
    <m/>
    <n v="0"/>
    <n v="0"/>
    <n v="4.355909632171775"/>
    <n v="0"/>
    <n v="0"/>
    <n v="259.55429825482611"/>
    <n v="0"/>
    <n v="2.46"/>
    <n v="17.059999999999999"/>
    <n v="358.82"/>
    <n v="16"/>
    <m/>
    <m/>
    <m/>
    <m/>
    <m/>
    <m/>
    <m/>
    <n v="2128.2167999999997"/>
    <m/>
    <n v="1827.4731939160133"/>
    <m/>
    <m/>
    <m/>
    <m/>
    <m/>
    <m/>
    <m/>
    <m/>
    <m/>
    <m/>
    <m/>
    <m/>
    <n v="1146.0192"/>
    <n v="-695.21040000000016"/>
    <m/>
    <m/>
    <m/>
    <m/>
    <n v="-2225.1336000000001"/>
    <n v="238.85159999999996"/>
    <n v="30"/>
    <n v="306.89785516862776"/>
    <n v="6.706296031828785"/>
    <n v="21.011388799920752"/>
    <n v="0"/>
    <n v="0"/>
    <n v="0"/>
    <n v="0"/>
    <n v="0"/>
    <n v="0.58825467716166457"/>
    <n v="0"/>
    <n v="0"/>
    <n v="238.88229659117087"/>
    <n v="0"/>
    <n v="0"/>
    <n v="0.66549905950351018"/>
    <n v="39.654895524671531"/>
    <n v="0"/>
    <n v="0"/>
    <m/>
    <n v="0"/>
    <n v="0"/>
    <n v="0"/>
    <n v="0"/>
    <n v="0"/>
    <n v="-0.61077551562948607"/>
    <n v="0"/>
    <n v="0"/>
    <m/>
    <m/>
    <m/>
    <n v="3121.128455519698"/>
    <n v="0"/>
    <n v="0"/>
    <n v="-2225.1336000000001"/>
    <n v="238.85159999999996"/>
    <n v="0"/>
    <n v="0"/>
    <n v="-2293.1237177198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5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4.297000000000001"/>
    <n v="14.297000000000001"/>
    <n v="14.297000000000001"/>
    <n v="14.297000000000001"/>
    <m/>
    <n v="501.89"/>
    <n v="216.76"/>
    <m/>
    <n v="10274.539049999999"/>
    <n v="10274.539049999999"/>
    <n v="6395.0481"/>
    <n v="0"/>
    <n v="0"/>
    <n v="0"/>
    <n v="0"/>
    <n v="0"/>
    <n v="11.750900161867763"/>
    <n v="6096.007312645509"/>
    <n v="3053.8606572755239"/>
    <n v="45.141415517059393"/>
    <n v="0"/>
    <n v="0"/>
    <n v="0"/>
    <n v="0"/>
    <n v="0"/>
    <m/>
    <n v="27.428359244349895"/>
    <n v="126.98163271892329"/>
    <n v="397.84412182867749"/>
    <n v="0"/>
    <n v="0"/>
    <n v="0"/>
    <n v="0"/>
    <n v="0"/>
    <n v="0"/>
    <n v="0"/>
    <n v="0"/>
    <n v="0"/>
    <n v="0"/>
    <m/>
    <n v="0"/>
    <n v="0"/>
    <n v="8.5077103840382335"/>
    <n v="0"/>
    <n v="0"/>
    <n v="506.94642105864057"/>
    <n v="0"/>
    <n v="12.24"/>
    <n v="55.26"/>
    <n v="1290.51"/>
    <n v="49"/>
    <m/>
    <m/>
    <m/>
    <m/>
    <m/>
    <m/>
    <m/>
    <n v="2557.8762700000002"/>
    <m/>
    <n v="3569.3147887182026"/>
    <m/>
    <m/>
    <m/>
    <m/>
    <m/>
    <m/>
    <m/>
    <m/>
    <m/>
    <m/>
    <m/>
    <m/>
    <n v="3837.9769999999999"/>
    <n v="-2326.7764300000008"/>
    <m/>
    <m/>
    <m/>
    <m/>
    <n v="-4346.0020600000007"/>
    <n v="466.51110999999997"/>
    <n v="30"/>
    <n v="599.41511411828833"/>
    <n v="13.098348957248135"/>
    <n v="41.038227550883448"/>
    <n v="0"/>
    <n v="0"/>
    <n v="0"/>
    <n v="0"/>
    <n v="0"/>
    <n v="1.1489449616639771"/>
    <n v="0"/>
    <n v="0"/>
    <n v="466.57106480382117"/>
    <n v="0"/>
    <n v="0"/>
    <n v="1.2998142149893006"/>
    <n v="77.451644988555927"/>
    <n v="0"/>
    <n v="0"/>
    <m/>
    <n v="0"/>
    <n v="0"/>
    <n v="0"/>
    <n v="0"/>
    <n v="0"/>
    <n v="-1.1929313588736044"/>
    <n v="0"/>
    <n v="0"/>
    <m/>
    <m/>
    <m/>
    <n v="6096.007312645509"/>
    <n v="0"/>
    <n v="0"/>
    <n v="-4346.0020600000007"/>
    <n v="466.51110999999992"/>
    <n v="0"/>
    <n v="0"/>
    <n v="-4478.796419704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6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3.989000000000001"/>
    <n v="13.989000000000001"/>
    <n v="13.989000000000001"/>
    <n v="13.989000000000001"/>
    <m/>
    <n v="501.89"/>
    <n v="216.76"/>
    <m/>
    <n v="10053.19485"/>
    <n v="10053.19485"/>
    <n v="6257.2797"/>
    <n v="0"/>
    <n v="0"/>
    <n v="0"/>
    <n v="0"/>
    <n v="0"/>
    <n v="11.497750742419258"/>
    <n v="5964.6811426591612"/>
    <n v="2988.0713950218442"/>
    <n v="44.16893485823207"/>
    <n v="0"/>
    <n v="0"/>
    <n v="0"/>
    <n v="0"/>
    <n v="0"/>
    <m/>
    <n v="26.837470621054113"/>
    <n v="124.24606981219962"/>
    <n v="389.27337345326777"/>
    <n v="0"/>
    <n v="0"/>
    <n v="0"/>
    <n v="0"/>
    <n v="0"/>
    <n v="0"/>
    <n v="0"/>
    <n v="0"/>
    <n v="0"/>
    <n v="0"/>
    <m/>
    <n v="0"/>
    <n v="0"/>
    <n v="8.3244289404987661"/>
    <n v="0"/>
    <n v="0"/>
    <n v="496.02528391895663"/>
    <n v="0"/>
    <n v="18.16"/>
    <n v="83.23"/>
    <n v="1910.25"/>
    <n v="123"/>
    <m/>
    <m/>
    <m/>
    <m/>
    <m/>
    <m/>
    <m/>
    <n v="625.72796999999991"/>
    <m/>
    <n v="3492.4211078812996"/>
    <m/>
    <m/>
    <m/>
    <m/>
    <m/>
    <m/>
    <m/>
    <m/>
    <m/>
    <m/>
    <m/>
    <m/>
    <n v="5631.9542999999994"/>
    <n v="-3415.8811200000018"/>
    <m/>
    <m/>
    <m/>
    <m/>
    <n v="-4252.3762200000001"/>
    <n v="456.46106999999995"/>
    <n v="30"/>
    <n v="586.5019256767664"/>
    <n v="12.816171473941651"/>
    <n v="40.154141792635414"/>
    <n v="0"/>
    <n v="0"/>
    <n v="0"/>
    <n v="0"/>
    <n v="0"/>
    <n v="1.1241932621331312"/>
    <n v="0"/>
    <n v="0"/>
    <n v="456.51973319861872"/>
    <n v="0"/>
    <n v="0"/>
    <n v="1.2718123419937974"/>
    <n v="75.783105668665314"/>
    <n v="0"/>
    <n v="0"/>
    <m/>
    <n v="0"/>
    <n v="0"/>
    <n v="0"/>
    <n v="0"/>
    <n v="0"/>
    <n v="-1.16723206122143"/>
    <n v="0"/>
    <n v="0"/>
    <m/>
    <m/>
    <m/>
    <n v="5964.6811426591612"/>
    <n v="0"/>
    <n v="0"/>
    <n v="-4252.3762200000001"/>
    <n v="456.46107000000029"/>
    <n v="0"/>
    <n v="0"/>
    <n v="-4382.3097933309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7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4.8220000000000001"/>
    <n v="4.8220000000000001"/>
    <n v="4.8220000000000001"/>
    <n v="4.8220000000000001"/>
    <m/>
    <n v="501.89"/>
    <n v="216.76"/>
    <m/>
    <n v="3465.3303000000001"/>
    <n v="3465.3303000000001"/>
    <n v="2156.8806"/>
    <n v="0"/>
    <n v="0"/>
    <n v="0"/>
    <n v="0"/>
    <n v="0"/>
    <n v="3.9632678590282127"/>
    <n v="2056.0220508901616"/>
    <n v="1029.9864369715729"/>
    <n v="15.225005639173281"/>
    <n v="0"/>
    <n v="0"/>
    <n v="0"/>
    <n v="0"/>
    <n v="0"/>
    <m/>
    <n v="9.2508601997800373"/>
    <n v="42.827546546173892"/>
    <n v="134.18230086436895"/>
    <n v="0"/>
    <n v="0"/>
    <n v="0"/>
    <n v="0"/>
    <n v="0"/>
    <n v="0"/>
    <n v="0"/>
    <n v="0"/>
    <n v="0"/>
    <n v="0"/>
    <m/>
    <n v="0"/>
    <n v="0"/>
    <n v="2.8694257167120627"/>
    <n v="0"/>
    <n v="0"/>
    <n v="170.97962106349337"/>
    <n v="0"/>
    <n v="7"/>
    <n v="31.26"/>
    <n v="731.43"/>
    <n v="56"/>
    <m/>
    <m/>
    <m/>
    <m/>
    <m/>
    <m/>
    <m/>
    <m/>
    <m/>
    <n v="1203.8354837517784"/>
    <m/>
    <m/>
    <m/>
    <m/>
    <m/>
    <m/>
    <m/>
    <m/>
    <m/>
    <m/>
    <m/>
    <m/>
    <n v="2155.9859999999999"/>
    <n v="-1309.3743000000009"/>
    <m/>
    <m/>
    <m/>
    <m/>
    <n v="-1465.7915600000001"/>
    <n v="157.34185999999997"/>
    <n v="30"/>
    <n v="202.16686579550856"/>
    <n v="4.4177267029342104"/>
    <n v="13.841108851532482"/>
    <n v="0"/>
    <n v="0"/>
    <n v="0"/>
    <n v="0"/>
    <n v="0"/>
    <n v="0.38750875044720567"/>
    <n v="0"/>
    <n v="0"/>
    <n v="157.36208116975763"/>
    <n v="0"/>
    <n v="0"/>
    <n v="0.43839295968933367"/>
    <n v="26.12239156010466"/>
    <n v="0"/>
    <n v="0"/>
    <m/>
    <n v="0"/>
    <n v="0"/>
    <n v="0"/>
    <n v="0"/>
    <n v="0"/>
    <n v="-0.40234419895702089"/>
    <n v="0"/>
    <n v="0"/>
    <m/>
    <m/>
    <m/>
    <n v="2056.0220508901616"/>
    <n v="0"/>
    <n v="0"/>
    <n v="-1465.7915600000001"/>
    <n v="157.34186"/>
    <n v="0"/>
    <n v="0"/>
    <n v="-1510.5795856345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8"/>
    <s v="Sistema de Compensaçã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03"/>
    <n v="0.03"/>
    <n v="0.03"/>
    <n v="0.03"/>
    <m/>
    <n v="501.89"/>
    <n v="216.76"/>
    <m/>
    <n v="21.5595"/>
    <n v="21.5595"/>
    <n v="13.418999999999999"/>
    <n v="0"/>
    <n v="0"/>
    <n v="0"/>
    <n v="0"/>
    <n v="0"/>
    <n v="2.4657410985243957E-2"/>
    <n v="12.791510063605319"/>
    <n v="6.4080450247090797"/>
    <n v="9.4722142093570799E-2"/>
    <n v="0"/>
    <n v="0"/>
    <n v="0"/>
    <n v="0"/>
    <n v="0"/>
    <m/>
    <n v="5.7554086684653893E-2"/>
    <n v="0.26645093247308516"/>
    <n v="0.83481315344899798"/>
    <n v="0"/>
    <n v="0"/>
    <n v="0"/>
    <n v="0"/>
    <n v="0"/>
    <n v="0"/>
    <n v="0"/>
    <n v="0"/>
    <n v="0"/>
    <n v="0"/>
    <m/>
    <n v="0"/>
    <n v="0"/>
    <n v="1.7852088656441698E-2"/>
    <n v="0"/>
    <n v="0"/>
    <n v="1.0637471239951888"/>
    <n v="0"/>
    <n v="0.01"/>
    <n v="7.0000000000000007E-2"/>
    <n v="19.72"/>
    <n v="1"/>
    <m/>
    <m/>
    <m/>
    <m/>
    <m/>
    <m/>
    <m/>
    <m/>
    <m/>
    <n v="7.4896442373607099"/>
    <m/>
    <m/>
    <m/>
    <m/>
    <m/>
    <m/>
    <m/>
    <m/>
    <m/>
    <m/>
    <m/>
    <m/>
    <n v="13.418999999999999"/>
    <n v="-8.1705000000000023"/>
    <m/>
    <m/>
    <m/>
    <m/>
    <n v="-9.1194000000000006"/>
    <n v="0.97889999999999988"/>
    <n v="30"/>
    <n v="1.257778094953391"/>
    <n v="2.7484819802576999E-2"/>
    <n v="8.6112249180003042E-2"/>
    <n v="0"/>
    <n v="0"/>
    <n v="0"/>
    <n v="0"/>
    <n v="0"/>
    <n v="2.4108798244330508E-3"/>
    <n v="0"/>
    <n v="0"/>
    <n v="0.97902580570151976"/>
    <n v="0"/>
    <n v="0"/>
    <n v="2.7274551618996327E-3"/>
    <n v="0.16252006362570315"/>
    <n v="0"/>
    <n v="0"/>
    <m/>
    <n v="0"/>
    <n v="0"/>
    <n v="0"/>
    <n v="0"/>
    <n v="0"/>
    <n v="-2.5031783427437934E-3"/>
    <n v="0"/>
    <n v="0"/>
    <m/>
    <m/>
    <m/>
    <n v="12.791510063605319"/>
    <n v="0"/>
    <n v="0"/>
    <n v="-9.1193999999999988"/>
    <n v="0.97889999999999944"/>
    <n v="0"/>
    <n v="0"/>
    <n v="-9.3980480234419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69"/>
    <s v="Regular"/>
    <s v="Convencional"/>
    <s v="B3"/>
    <s v="Industrial"/>
    <s v="Não se aplica"/>
    <s v="Não se aplica"/>
    <s v="Não se aplica"/>
    <s v="Não se aplica"/>
    <s v="CATIVO"/>
    <x v="11"/>
    <n v="0"/>
    <n v="0"/>
    <n v="34.091999999999999"/>
    <n v="34.091999999999999"/>
    <n v="34.091999999999999"/>
    <n v="34.091999999999999"/>
    <m/>
    <n v="571.87"/>
    <n v="216.76"/>
    <m/>
    <n v="26885.973959999996"/>
    <n v="26885.973959999996"/>
    <n v="17523.628919999999"/>
    <n v="0"/>
    <n v="2066.3371562653879"/>
    <n v="0"/>
    <n v="0"/>
    <n v="0"/>
    <n v="28.020681843631234"/>
    <n v="14536.272036281085"/>
    <n v="7282.1023660793981"/>
    <n v="107.64224227513385"/>
    <n v="0"/>
    <n v="0"/>
    <n v="0"/>
    <n v="0"/>
    <n v="319.56591868796056"/>
    <m/>
    <n v="65.404464108440692"/>
    <n v="302.79483966241401"/>
    <n v="948.6816675794413"/>
    <n v="0"/>
    <n v="0"/>
    <n v="0"/>
    <n v="0"/>
    <n v="0"/>
    <n v="0"/>
    <n v="0"/>
    <n v="0"/>
    <n v="0"/>
    <n v="0"/>
    <m/>
    <n v="0"/>
    <n v="0"/>
    <n v="20.287113549180347"/>
    <n v="0"/>
    <n v="0"/>
    <n v="1208.8422317081327"/>
    <n v="0"/>
    <n v="51.57"/>
    <n v="235.68"/>
    <n v="3671.85"/>
    <n v="27"/>
    <m/>
    <m/>
    <m/>
    <m/>
    <m/>
    <m/>
    <m/>
    <m/>
    <m/>
    <n v="8511.2317113367117"/>
    <m/>
    <m/>
    <m/>
    <m/>
    <m/>
    <m/>
    <m/>
    <m/>
    <m/>
    <m/>
    <m/>
    <m/>
    <n v="17522.600900000001"/>
    <n v="-9363.4030599999896"/>
    <m/>
    <m/>
    <m/>
    <m/>
    <n v="-10474.767"/>
    <n v="1112.4219599999999"/>
    <n v="30"/>
    <n v="1317.6662269190419"/>
    <n v="31.233749223648488"/>
    <n v="97.857959968155342"/>
    <n v="0"/>
    <n v="0"/>
    <n v="0"/>
    <n v="0"/>
    <n v="0"/>
    <n v="2.7397238324857192"/>
    <n v="0"/>
    <n v="0"/>
    <n v="1112.5649255992066"/>
    <n v="0"/>
    <n v="0"/>
    <n v="3.099480045982741"/>
    <n v="184.68780030424887"/>
    <n v="0"/>
    <n v="-98.723794507742468"/>
    <m/>
    <n v="0"/>
    <n v="0"/>
    <n v="0"/>
    <n v="0"/>
    <n v="-12.949005678246976"/>
    <n v="-2.8446118686940522"/>
    <n v="0"/>
    <n v="0"/>
    <m/>
    <m/>
    <m/>
    <n v="14536.272036281085"/>
    <n v="0"/>
    <n v="0"/>
    <n v="-10474.766999999998"/>
    <n v="1112.4219599999997"/>
    <n v="0"/>
    <n v="0"/>
    <n v="-10679.941773839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0"/>
    <s v="Refaturamento - Regular"/>
    <s v="Convencional"/>
    <s v="B3"/>
    <s v="Industrial"/>
    <s v="Não se aplica"/>
    <s v="Não se aplica"/>
    <s v="Não se aplica"/>
    <s v="Não se aplica"/>
    <s v="CATIVO"/>
    <x v="11"/>
    <n v="0"/>
    <n v="0"/>
    <n v="-0.376"/>
    <n v="-0.376"/>
    <n v="-0.376"/>
    <n v="-0.376"/>
    <m/>
    <n v="571.87"/>
    <n v="216.76"/>
    <m/>
    <n v="-296.52488"/>
    <n v="-296.52488"/>
    <n v="-193.26776000000001"/>
    <n v="0"/>
    <n v="-22.789592008558778"/>
    <n v="0"/>
    <n v="0"/>
    <n v="0"/>
    <n v="-0.30903955101505765"/>
    <n v="-160.32025946385335"/>
    <n v="-80.314164309687143"/>
    <n v="-1.1871841809060875"/>
    <n v="0"/>
    <n v="0"/>
    <n v="0"/>
    <n v="0"/>
    <n v="-3.5244862556222332"/>
    <m/>
    <n v="-0.72134455311432888"/>
    <n v="-3.3395183536626676"/>
    <n v="-10.462991523227441"/>
    <n v="0"/>
    <n v="0"/>
    <n v="0"/>
    <n v="0"/>
    <n v="0"/>
    <n v="0"/>
    <n v="0"/>
    <n v="0"/>
    <n v="0"/>
    <n v="0"/>
    <m/>
    <n v="0"/>
    <n v="0"/>
    <n v="-0.22374617782740264"/>
    <n v="0"/>
    <n v="0"/>
    <n v="-13.332297287406368"/>
    <n v="0"/>
    <n v="-0.54"/>
    <n v="-2.46"/>
    <n v="-40.549999999999997"/>
    <n v="0"/>
    <m/>
    <m/>
    <m/>
    <m/>
    <m/>
    <m/>
    <m/>
    <m/>
    <m/>
    <n v="-93.870207774920914"/>
    <m/>
    <m/>
    <m/>
    <m/>
    <m/>
    <m/>
    <m/>
    <m/>
    <m/>
    <m/>
    <m/>
    <m/>
    <n v="-195.32380000000001"/>
    <n v="101.17108000000002"/>
    <m/>
    <m/>
    <m/>
    <m/>
    <n v="115.526"/>
    <n v="-12.268879999999998"/>
    <n v="30"/>
    <n v="-14.532514998285819"/>
    <n v="-0.34447640819229841"/>
    <n v="-1.0792735230560382"/>
    <n v="0"/>
    <n v="0"/>
    <n v="0"/>
    <n v="0"/>
    <n v="0"/>
    <n v="-3.0216360466227554E-2"/>
    <n v="0"/>
    <n v="0"/>
    <n v="-12.270456764792371"/>
    <n v="0"/>
    <n v="0"/>
    <n v="-3.4184104695808681E-2"/>
    <n v="-2.0369181307754793"/>
    <n v="0"/>
    <n v="1.0888227952279479"/>
    <m/>
    <n v="0"/>
    <n v="0"/>
    <n v="0"/>
    <n v="0"/>
    <n v="0.142814329902055"/>
    <n v="3.137316856238892E-2"/>
    <n v="0"/>
    <n v="0"/>
    <m/>
    <m/>
    <m/>
    <n v="-160.32025946385335"/>
    <n v="0"/>
    <n v="0"/>
    <n v="115.52600000000001"/>
    <n v="-12.26888000000001"/>
    <n v="0"/>
    <n v="0"/>
    <n v="117.78886856047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1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5.4009999999999998"/>
    <n v="5.4009999999999998"/>
    <n v="5.4009999999999998"/>
    <n v="5.4009999999999998"/>
    <m/>
    <n v="571.87"/>
    <n v="216.76"/>
    <m/>
    <n v="4259.3906299999999"/>
    <n v="4259.3906299999999"/>
    <n v="2776.1680099999999"/>
    <n v="0"/>
    <n v="327.35794265485623"/>
    <n v="0"/>
    <n v="0"/>
    <n v="0"/>
    <n v="4.4391558910434208"/>
    <n v="2302.8981951177443"/>
    <n v="1153.6617059484579"/>
    <n v="17.053142981579196"/>
    <n v="0"/>
    <n v="0"/>
    <n v="0"/>
    <n v="0"/>
    <n v="50.626995389935324"/>
    <m/>
    <n v="10.361654072793856"/>
    <n v="47.970049542904434"/>
    <n v="150.2941947259346"/>
    <n v="0"/>
    <n v="0"/>
    <n v="0"/>
    <n v="0"/>
    <n v="0"/>
    <n v="0"/>
    <n v="0"/>
    <n v="0"/>
    <n v="0"/>
    <n v="0"/>
    <m/>
    <n v="0"/>
    <n v="0"/>
    <n v="3.2139710277813873"/>
    <n v="0"/>
    <n v="0"/>
    <n v="191.5099405566005"/>
    <n v="0"/>
    <n v="8.17"/>
    <n v="37.29"/>
    <n v="1175.44"/>
    <n v="5"/>
    <m/>
    <m/>
    <m/>
    <m/>
    <m/>
    <m/>
    <m/>
    <m/>
    <m/>
    <n v="1348.3856175328397"/>
    <m/>
    <m/>
    <m/>
    <m/>
    <m/>
    <m/>
    <m/>
    <m/>
    <m/>
    <m/>
    <m/>
    <m/>
    <n v="2775.654"/>
    <n v="-1483.7666300000005"/>
    <m/>
    <m/>
    <m/>
    <m/>
    <n v="-1659.4572499999999"/>
    <n v="176.23462999999998"/>
    <n v="30"/>
    <n v="208.75030187697348"/>
    <n v="4.9481837251239469"/>
    <n v="15.503075260706538"/>
    <n v="0"/>
    <n v="0"/>
    <n v="0"/>
    <n v="0"/>
    <n v="0"/>
    <n v="0.43403873105876301"/>
    <n v="0"/>
    <n v="0"/>
    <n v="176.25727921979706"/>
    <n v="0"/>
    <n v="0"/>
    <n v="0.49103284431399663"/>
    <n v="29.259028788080741"/>
    <n v="0"/>
    <n v="-15.640244460175893"/>
    <m/>
    <n v="0"/>
    <n v="0"/>
    <n v="0"/>
    <n v="0"/>
    <n v="-2.0514366909601094"/>
    <n v="-0.45065554097197413"/>
    <n v="0"/>
    <n v="0"/>
    <m/>
    <m/>
    <m/>
    <n v="2302.8981951177443"/>
    <n v="0"/>
    <n v="0"/>
    <n v="-1659.4572499999997"/>
    <n v="176.23462999999992"/>
    <n v="0"/>
    <n v="0"/>
    <n v="-1691.961912486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2"/>
    <s v="Regular"/>
    <s v="Verde"/>
    <s v="A4"/>
    <s v="Industrial"/>
    <s v="Não se aplica"/>
    <s v="Não se aplica"/>
    <s v="Não se aplica"/>
    <s v="Ponta"/>
    <s v="CATIVO"/>
    <x v="11"/>
    <n v="0"/>
    <n v="0"/>
    <n v="0.71599999999999997"/>
    <n v="0.71599999999999997"/>
    <n v="0.71599999999999997"/>
    <n v="0.71599999999999997"/>
    <m/>
    <n v="2592.54"/>
    <n v="216.76"/>
    <m/>
    <n v="2011.4587999999999"/>
    <n v="2011.4587999999999"/>
    <n v="845.73919999999987"/>
    <n v="0"/>
    <n v="37.755565569072964"/>
    <n v="0"/>
    <n v="0"/>
    <n v="0"/>
    <n v="3.6205508082597646"/>
    <n v="1640.2783171603021"/>
    <n v="152.93867458972338"/>
    <n v="2.2607017912998897"/>
    <n v="0"/>
    <n v="0"/>
    <n v="0"/>
    <n v="0"/>
    <n v="6.7115216995359548"/>
    <m/>
    <n v="0.98322709269503816"/>
    <n v="32.302248023236139"/>
    <n v="122.57973608664605"/>
    <n v="0"/>
    <n v="0"/>
    <n v="0"/>
    <n v="0"/>
    <n v="0"/>
    <n v="0"/>
    <n v="0"/>
    <n v="0"/>
    <n v="0"/>
    <n v="0"/>
    <m/>
    <n v="0"/>
    <n v="0"/>
    <n v="0.32742586809374852"/>
    <n v="0"/>
    <n v="0"/>
    <n v="11.696688288171378"/>
    <n v="0"/>
    <n v="0"/>
    <n v="0"/>
    <n v="0"/>
    <n v="0"/>
    <m/>
    <m/>
    <m/>
    <m/>
    <m/>
    <m/>
    <m/>
    <m/>
    <m/>
    <n v="164.96278874598849"/>
    <m/>
    <m/>
    <m/>
    <m/>
    <m/>
    <m/>
    <m/>
    <m/>
    <m/>
    <m/>
    <m/>
    <m/>
    <n v="850.46399999999994"/>
    <n v="-1161.0247999999999"/>
    <m/>
    <m/>
    <m/>
    <m/>
    <n v="-1189.08268"/>
    <n v="23.363079999999997"/>
    <n v="30"/>
    <n v="39.414874699971449"/>
    <n v="3.3320261178912176"/>
    <n v="12.6442866103651"/>
    <n v="0"/>
    <n v="0"/>
    <n v="0"/>
    <n v="0"/>
    <n v="0"/>
    <n v="0.35399957044119201"/>
    <n v="0"/>
    <n v="0"/>
    <n v="23.366082562742946"/>
    <n v="0"/>
    <n v="0"/>
    <n v="5.002436360574114E-2"/>
    <n v="1.787028591592442"/>
    <n v="0"/>
    <n v="-1.8038550414983376"/>
    <m/>
    <n v="0"/>
    <n v="0"/>
    <n v="0"/>
    <n v="0"/>
    <n v="-0.27195494736667936"/>
    <n v="-4.2763127802172618E-2"/>
    <n v="0"/>
    <n v="0"/>
    <m/>
    <m/>
    <m/>
    <n v="1640.2783171603021"/>
    <n v="0"/>
    <n v="0"/>
    <n v="-1189.08268"/>
    <n v="23.363079999999997"/>
    <n v="0"/>
    <n v="0"/>
    <n v="-1205.128582929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3"/>
    <s v="Regular"/>
    <s v="Verde"/>
    <s v="A4"/>
    <s v="Industrial"/>
    <s v="Não se aplica"/>
    <s v="Não se aplica"/>
    <s v="Não se aplica"/>
    <s v="Fora ponta"/>
    <s v="CATIVO"/>
    <x v="11"/>
    <n v="0"/>
    <n v="0"/>
    <n v="30.968"/>
    <n v="30.968"/>
    <n v="30.968"/>
    <n v="30.968"/>
    <m/>
    <n v="80.27"/>
    <n v="216.76"/>
    <m/>
    <n v="9198.4250400000001"/>
    <n v="9198.4250400000001"/>
    <n v="10196.833360000001"/>
    <n v="0"/>
    <n v="1632.9809420992342"/>
    <n v="0"/>
    <n v="0"/>
    <n v="0"/>
    <n v="0"/>
    <n v="0"/>
    <n v="6614.8112775063601"/>
    <n v="97.778509878456688"/>
    <n v="0"/>
    <n v="0"/>
    <n v="0"/>
    <n v="0"/>
    <n v="290.28268713858864"/>
    <m/>
    <n v="42.525944981256899"/>
    <n v="0"/>
    <n v="0"/>
    <n v="0"/>
    <n v="0"/>
    <n v="0"/>
    <n v="0"/>
    <n v="0"/>
    <n v="0"/>
    <n v="0"/>
    <n v="0"/>
    <n v="0"/>
    <n v="0"/>
    <m/>
    <n v="0"/>
    <n v="0"/>
    <n v="14.161626093753078"/>
    <n v="0"/>
    <n v="0"/>
    <n v="505.89810462023922"/>
    <n v="0"/>
    <n v="0"/>
    <n v="0"/>
    <n v="0"/>
    <n v="0"/>
    <m/>
    <m/>
    <m/>
    <m/>
    <m/>
    <m/>
    <m/>
    <m/>
    <m/>
    <n v="7134.8710082203525"/>
    <m/>
    <m/>
    <m/>
    <m/>
    <m/>
    <m/>
    <m/>
    <m/>
    <m/>
    <m/>
    <m/>
    <m/>
    <n v="10197.491899999999"/>
    <n v="999.03685999999834"/>
    <m/>
    <m/>
    <m/>
    <m/>
    <n v="-12.077520000000018"/>
    <n v="1010.4858399999998"/>
    <n v="30"/>
    <n v="998.4395648640384"/>
    <n v="0"/>
    <n v="0"/>
    <n v="0"/>
    <n v="0"/>
    <n v="0"/>
    <n v="0"/>
    <n v="0"/>
    <n v="0"/>
    <n v="0"/>
    <n v="0"/>
    <n v="1010.6157050321553"/>
    <n v="0"/>
    <n v="0"/>
    <n v="2.1636235923779239"/>
    <n v="77.291482436361321"/>
    <n v="0"/>
    <n v="-78.019249895419989"/>
    <m/>
    <n v="0"/>
    <n v="0"/>
    <n v="0"/>
    <n v="0"/>
    <n v="-11.762431298954368"/>
    <n v="-1.849565002482791"/>
    <n v="0"/>
    <n v="0"/>
    <m/>
    <m/>
    <m/>
    <n v="0"/>
    <n v="0"/>
    <n v="0"/>
    <n v="-12.077520000000277"/>
    <n v="1010.4858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4"/>
    <s v="Regular"/>
    <s v="Verde"/>
    <s v="A4"/>
    <s v="Industrial"/>
    <s v="Não se aplica"/>
    <s v="Não se aplica"/>
    <s v="Não se aplica"/>
    <s v="Não se aplica"/>
    <s v="CATIVO"/>
    <x v="11"/>
    <n v="293"/>
    <n v="293"/>
    <n v="0"/>
    <n v="0"/>
    <n v="0"/>
    <n v="0"/>
    <n v="32.17"/>
    <m/>
    <m/>
    <n v="9425.8100000000013"/>
    <m/>
    <n v="9425.8100000000013"/>
    <n v="3788.49"/>
    <n v="0"/>
    <n v="0"/>
    <n v="0"/>
    <n v="0"/>
    <n v="0"/>
    <n v="29.275453963463693"/>
    <n v="7889.533480548449"/>
    <m/>
    <m/>
    <m/>
    <n v="0"/>
    <n v="0"/>
    <n v="0"/>
    <n v="0"/>
    <m/>
    <n v="0"/>
    <n v="516.97538417922294"/>
    <n v="991.17949347558431"/>
    <n v="0"/>
    <n v="0"/>
    <m/>
    <m/>
    <n v="0"/>
    <n v="0"/>
    <n v="0"/>
    <m/>
    <m/>
    <n v="0"/>
    <m/>
    <n v="0"/>
    <n v="0"/>
    <n v="0"/>
    <n v="0"/>
    <m/>
    <n v="0"/>
    <n v="0"/>
    <n v="48.26"/>
    <n v="220.17"/>
    <n v="2959.82"/>
    <n v="4"/>
    <m/>
    <m/>
    <m/>
    <m/>
    <m/>
    <m/>
    <m/>
    <m/>
    <m/>
    <n v="0"/>
    <m/>
    <m/>
    <m/>
    <m/>
    <m/>
    <m/>
    <m/>
    <m/>
    <m/>
    <m/>
    <m/>
    <m/>
    <n v="3788.49"/>
    <n v="-5637.3500000000022"/>
    <m/>
    <m/>
    <m/>
    <m/>
    <n v="-5637.3200000000006"/>
    <n v="0"/>
    <n v="30"/>
    <n v="158.43088357385182"/>
    <n v="53.326798839293133"/>
    <n v="102.24167548348703"/>
    <n v="0"/>
    <n v="0"/>
    <m/>
    <m/>
    <m/>
    <n v="2.86240925107156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89.533480548449"/>
    <m/>
    <n v="0"/>
    <n v="0"/>
    <n v="-5637.3200000000015"/>
    <m/>
    <n v="0"/>
    <m/>
    <n v="-5796.517703074774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75"/>
    <s v="Regular"/>
    <s v="Convencional"/>
    <s v="B3"/>
    <s v="Comercial"/>
    <s v="Não se aplica"/>
    <s v="Não se aplica"/>
    <s v="Não se aplica"/>
    <s v="Não se aplica"/>
    <s v="CATIVO"/>
    <x v="11"/>
    <n v="0"/>
    <n v="0"/>
    <n v="199.26400000000001"/>
    <n v="199.26400000000001"/>
    <n v="199.26400000000001"/>
    <n v="199.26400000000001"/>
    <m/>
    <n v="571.87"/>
    <n v="216.76"/>
    <m/>
    <n v="157145.56831999999"/>
    <n v="157145.56831999999"/>
    <n v="102423.68864000001"/>
    <n v="0"/>
    <n v="12077.513994663448"/>
    <n v="0"/>
    <n v="0"/>
    <n v="0"/>
    <n v="163.77781141878842"/>
    <n v="84962.91537714169"/>
    <n v="42563.089460121009"/>
    <n v="629.15709740444311"/>
    <n v="0"/>
    <n v="0"/>
    <n v="0"/>
    <n v="0"/>
    <n v="1867.8277373412466"/>
    <m/>
    <n v="382.28191763769581"/>
    <n v="1769.8026202772282"/>
    <n v="5544.9402736287047"/>
    <n v="0"/>
    <n v="0"/>
    <n v="0"/>
    <n v="0"/>
    <n v="0"/>
    <n v="0"/>
    <n v="0"/>
    <n v="0"/>
    <n v="0"/>
    <n v="0"/>
    <m/>
    <n v="0"/>
    <n v="0"/>
    <n v="118.57595313457331"/>
    <n v="0"/>
    <n v="0"/>
    <n v="7065.5502305259115"/>
    <n v="0"/>
    <n v="322.16000000000003"/>
    <n v="1489.36"/>
    <n v="34742.32"/>
    <n v="699"/>
    <m/>
    <m/>
    <m/>
    <m/>
    <m/>
    <m/>
    <m/>
    <m/>
    <m/>
    <n v="49747.215643781499"/>
    <m/>
    <m/>
    <m/>
    <m/>
    <m/>
    <m/>
    <m/>
    <m/>
    <m/>
    <m/>
    <m/>
    <m/>
    <n v="102421.6326"/>
    <n v="-54723.965719999993"/>
    <m/>
    <m/>
    <m/>
    <m/>
    <n v="-61223.864000000001"/>
    <n v="6501.9843199999996"/>
    <n v="30"/>
    <n v="7701.6145441979315"/>
    <n v="182.55783777135684"/>
    <n v="571.96904068680396"/>
    <n v="0"/>
    <n v="0"/>
    <n v="0"/>
    <n v="0"/>
    <n v="0"/>
    <n v="16.013385244527569"/>
    <n v="0"/>
    <n v="0"/>
    <n v="6502.8199382435851"/>
    <n v="0"/>
    <n v="0"/>
    <n v="18.116120846025595"/>
    <n v="1079.4799319437361"/>
    <n v="0"/>
    <n v="-577.02974858590824"/>
    <m/>
    <n v="0"/>
    <n v="0"/>
    <n v="0"/>
    <n v="0"/>
    <n v="-75.685517642561535"/>
    <n v="-16.626444309616659"/>
    <n v="0"/>
    <n v="0"/>
    <m/>
    <m/>
    <m/>
    <n v="84962.91537714169"/>
    <n v="0"/>
    <n v="0"/>
    <n v="-61223.863999999994"/>
    <n v="6501.9843200000032"/>
    <n v="0"/>
    <n v="0"/>
    <n v="-62423.08804477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6"/>
    <s v="Refaturamento - Regular"/>
    <s v="Convencional"/>
    <s v="B3"/>
    <s v="Comercial"/>
    <s v="Não se aplica"/>
    <s v="Não se aplica"/>
    <s v="Não se aplica"/>
    <s v="Não se aplica"/>
    <s v="CATIVO"/>
    <x v="11"/>
    <n v="0"/>
    <n v="0"/>
    <n v="-1.0529999999999999"/>
    <n v="-1.0529999999999999"/>
    <n v="-1.0529999999999999"/>
    <n v="-1.0529999999999999"/>
    <m/>
    <n v="571.87"/>
    <n v="216.76"/>
    <m/>
    <n v="-830.42738999999983"/>
    <n v="-830.42738999999983"/>
    <n v="-541.25252999999998"/>
    <n v="0"/>
    <n v="-63.822979747373381"/>
    <n v="0"/>
    <n v="0"/>
    <n v="0"/>
    <n v="-0.86547512558206297"/>
    <n v="-448.98200323254673"/>
    <n v="-224.9223803672887"/>
    <n v="-3.3247471874843351"/>
    <n v="0"/>
    <n v="0"/>
    <n v="0"/>
    <n v="0"/>
    <n v="-9.870436242473966"/>
    <m/>
    <n v="-2.0201484426313518"/>
    <n v="-9.3524277298052887"/>
    <n v="-29.301941686059827"/>
    <n v="0"/>
    <n v="0"/>
    <n v="0"/>
    <n v="0"/>
    <n v="0"/>
    <n v="0"/>
    <n v="0"/>
    <n v="0"/>
    <n v="0"/>
    <n v="0"/>
    <m/>
    <n v="0"/>
    <n v="0"/>
    <n v="-0.62660831184110366"/>
    <n v="0"/>
    <n v="0"/>
    <n v="-37.337524052231132"/>
    <n v="0"/>
    <n v="-1.51"/>
    <n v="-6.86"/>
    <n v="-183.82"/>
    <n v="0"/>
    <m/>
    <m/>
    <m/>
    <m/>
    <m/>
    <m/>
    <m/>
    <m/>
    <m/>
    <n v="-262.88651273136094"/>
    <m/>
    <m/>
    <m/>
    <m/>
    <m/>
    <m/>
    <m/>
    <m/>
    <m/>
    <m/>
    <m/>
    <m/>
    <n v="-539.71049999999991"/>
    <n v="290.68688999999995"/>
    <m/>
    <m/>
    <m/>
    <m/>
    <n v="323.53424999999999"/>
    <n v="-34.359389999999991"/>
    <n v="30"/>
    <n v="-40.698772056369762"/>
    <n v="-0.96471717507045263"/>
    <n v="-3.0225399462181102"/>
    <n v="0"/>
    <n v="0"/>
    <n v="0"/>
    <n v="0"/>
    <n v="0"/>
    <n v="-8.4621881837599999E-2"/>
    <n v="0"/>
    <n v="0"/>
    <n v="-34.363805780123329"/>
    <n v="0"/>
    <n v="0"/>
    <n v="-9.573367618267703E-2"/>
    <n v="-5.7044542332621759"/>
    <n v="0"/>
    <n v="3.0492829876995415"/>
    <m/>
    <n v="0"/>
    <n v="0"/>
    <n v="0"/>
    <n v="0"/>
    <n v="0.39995608879485012"/>
    <n v="8.7861559830307412E-2"/>
    <n v="0"/>
    <n v="0"/>
    <m/>
    <m/>
    <m/>
    <n v="-448.98200323254673"/>
    <n v="0"/>
    <n v="0"/>
    <n v="323.53424999999993"/>
    <n v="-34.359390000000019"/>
    <n v="0"/>
    <n v="0"/>
    <n v="329.87148562281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7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15.537000000000001"/>
    <n v="15.537000000000001"/>
    <n v="15.537000000000001"/>
    <n v="15.537000000000001"/>
    <m/>
    <n v="571.87"/>
    <n v="216.76"/>
    <m/>
    <n v="12252.944310000001"/>
    <n v="12252.944310000001"/>
    <n v="7986.1733700000004"/>
    <n v="0"/>
    <n v="941.70715701323866"/>
    <n v="0"/>
    <n v="0"/>
    <n v="0"/>
    <n v="12.770073149257847"/>
    <n v="6624.7230619411957"/>
    <n v="3318.7265182968326"/>
    <n v="49.056597390260322"/>
    <n v="0"/>
    <n v="0"/>
    <n v="0"/>
    <n v="0"/>
    <n v="145.63814615319851"/>
    <m/>
    <n v="29.807261493982256"/>
    <n v="137.99493792781081"/>
    <n v="432.3497321712361"/>
    <n v="0"/>
    <n v="0"/>
    <n v="0"/>
    <n v="0"/>
    <n v="0"/>
    <n v="0"/>
    <n v="0"/>
    <n v="0"/>
    <n v="0"/>
    <n v="0"/>
    <m/>
    <n v="0"/>
    <n v="0"/>
    <n v="9.2455967151711569"/>
    <n v="0"/>
    <n v="0"/>
    <n v="550.91463551710842"/>
    <n v="0"/>
    <n v="25.51"/>
    <n v="116.9"/>
    <n v="3836.13"/>
    <n v="26"/>
    <m/>
    <m/>
    <m/>
    <m/>
    <m/>
    <m/>
    <m/>
    <m/>
    <m/>
    <n v="3878.8867505291123"/>
    <m/>
    <m/>
    <m/>
    <m/>
    <m/>
    <m/>
    <m/>
    <m/>
    <m/>
    <m/>
    <m/>
    <m/>
    <n v="7987.7153999999991"/>
    <n v="-4265.2589100000023"/>
    <m/>
    <m/>
    <m/>
    <m/>
    <n v="-4773.7432500000004"/>
    <n v="506.97230999999994"/>
    <n v="30"/>
    <n v="600.50980193714804"/>
    <n v="14.234388175754646"/>
    <n v="44.597533850323543"/>
    <n v="0"/>
    <n v="0"/>
    <n v="0"/>
    <n v="0"/>
    <n v="0"/>
    <n v="1.2485946610738772"/>
    <n v="0"/>
    <n v="0"/>
    <n v="507.0374647728172"/>
    <n v="0"/>
    <n v="0"/>
    <n v="1.4125490283478186"/>
    <n v="84.169140951751615"/>
    <n v="0"/>
    <n v="-44.992127046427186"/>
    <m/>
    <n v="0"/>
    <n v="0"/>
    <n v="0"/>
    <n v="0"/>
    <n v="-5.9013463927878433"/>
    <n v="-1.2963960637070144"/>
    <n v="0"/>
    <n v="0"/>
    <m/>
    <m/>
    <m/>
    <n v="6624.7230619411957"/>
    <n v="0"/>
    <n v="0"/>
    <n v="-4773.7432500000004"/>
    <n v="506.97231000000011"/>
    <n v="0"/>
    <n v="0"/>
    <n v="-4867.2490713405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8"/>
    <s v="Regular"/>
    <s v="Verde"/>
    <s v="A4"/>
    <s v="Comercial"/>
    <s v="Não se aplica"/>
    <s v="Não se aplica"/>
    <s v="Não se aplica"/>
    <s v="Ponta"/>
    <s v="CATIVO"/>
    <x v="11"/>
    <n v="0"/>
    <n v="0"/>
    <n v="5.9370000000000003"/>
    <n v="5.9370000000000003"/>
    <n v="5.9370000000000003"/>
    <n v="5.9370000000000003"/>
    <m/>
    <n v="2592.54"/>
    <n v="216.76"/>
    <m/>
    <n v="16678.8141"/>
    <n v="16678.8141"/>
    <n v="7012.7843999999996"/>
    <n v="0"/>
    <n v="313.06535304970146"/>
    <n v="0"/>
    <n v="0"/>
    <n v="0"/>
    <n v="30.021243224355061"/>
    <n v="13601.022861704909"/>
    <n v="1268.152110389927"/>
    <n v="18.745511920317664"/>
    <n v="0"/>
    <n v="0"/>
    <n v="0"/>
    <n v="0"/>
    <n v="55.651263030928725"/>
    <m/>
    <n v="8.1528201806291083"/>
    <n v="267.84699233792315"/>
    <n v="1016.418845176561"/>
    <n v="0"/>
    <n v="0"/>
    <n v="0"/>
    <n v="0"/>
    <n v="0"/>
    <n v="0"/>
    <n v="0"/>
    <n v="0"/>
    <n v="0"/>
    <n v="0"/>
    <m/>
    <n v="0"/>
    <n v="0"/>
    <n v="2.7149823727270741"/>
    <n v="0"/>
    <n v="0"/>
    <n v="96.987763082225541"/>
    <n v="0"/>
    <n v="0"/>
    <n v="0"/>
    <n v="0"/>
    <n v="0"/>
    <m/>
    <m/>
    <m/>
    <m/>
    <m/>
    <m/>
    <m/>
    <m/>
    <m/>
    <n v="1367.8548558448795"/>
    <m/>
    <m/>
    <m/>
    <m/>
    <m/>
    <m/>
    <m/>
    <m/>
    <m/>
    <m/>
    <m/>
    <m/>
    <n v="7016.3279999999995"/>
    <n v="-9662.5160999999989"/>
    <m/>
    <m/>
    <m/>
    <m/>
    <n v="-9859.7540100000006"/>
    <n v="193.72430999999997"/>
    <n v="30"/>
    <n v="326.82417750521017"/>
    <n v="27.628825505475049"/>
    <n v="104.84515308063919"/>
    <n v="0"/>
    <n v="0"/>
    <n v="0"/>
    <n v="0"/>
    <n v="0"/>
    <n v="2.9353288403762008"/>
    <n v="0"/>
    <n v="0"/>
    <n v="193.74920694833077"/>
    <n v="0"/>
    <n v="0"/>
    <n v="0.41479699263587344"/>
    <n v="14.817861380285365"/>
    <n v="0"/>
    <n v="-14.95738461085989"/>
    <m/>
    <n v="0"/>
    <n v="0"/>
    <n v="0"/>
    <n v="0"/>
    <n v="-2.2550230761396293"/>
    <n v="-0.35458755553281929"/>
    <n v="0"/>
    <n v="0"/>
    <m/>
    <m/>
    <m/>
    <n v="13601.022861704909"/>
    <n v="0"/>
    <n v="0"/>
    <n v="-9859.7540100000006"/>
    <n v="193.72431000000006"/>
    <n v="0"/>
    <n v="0"/>
    <n v="-9992.8050235381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79"/>
    <s v="Regular"/>
    <s v="Verde"/>
    <s v="A4"/>
    <s v="Comercial"/>
    <s v="Não se aplica"/>
    <s v="Não se aplica"/>
    <s v="Não se aplica"/>
    <s v="Fora ponta"/>
    <s v="CATIVO"/>
    <x v="11"/>
    <n v="0"/>
    <n v="0"/>
    <n v="98.998999999999995"/>
    <n v="98.998999999999995"/>
    <n v="98.998999999999995"/>
    <n v="98.998999999999995"/>
    <m/>
    <n v="80.27"/>
    <n v="216.76"/>
    <m/>
    <n v="29405.67297"/>
    <n v="29405.67297"/>
    <n v="32597.400729999994"/>
    <n v="0"/>
    <n v="5220.3397147662772"/>
    <n v="0"/>
    <n v="0"/>
    <n v="0"/>
    <n v="0"/>
    <n v="0"/>
    <n v="21146.334980039141"/>
    <n v="312.57991150404717"/>
    <n v="0"/>
    <n v="0"/>
    <n v="0"/>
    <n v="0"/>
    <n v="927.9803585647486"/>
    <m/>
    <n v="135.94762423144704"/>
    <n v="0"/>
    <n v="0"/>
    <n v="0"/>
    <n v="0"/>
    <n v="0"/>
    <n v="0"/>
    <n v="0"/>
    <n v="0"/>
    <n v="0"/>
    <n v="0"/>
    <n v="0"/>
    <n v="0"/>
    <m/>
    <n v="0"/>
    <n v="0"/>
    <n v="45.272113848342187"/>
    <n v="0"/>
    <n v="0"/>
    <n v="1617.2631897216179"/>
    <n v="0"/>
    <n v="0"/>
    <n v="0"/>
    <n v="0"/>
    <n v="0"/>
    <m/>
    <m/>
    <m/>
    <m/>
    <m/>
    <m/>
    <m/>
    <m/>
    <m/>
    <n v="22808.870283609103"/>
    <m/>
    <m/>
    <m/>
    <m/>
    <m/>
    <m/>
    <m/>
    <m/>
    <m/>
    <m/>
    <m/>
    <m/>
    <n v="32597.729999999996"/>
    <n v="3192.0270300000011"/>
    <m/>
    <m/>
    <m/>
    <m/>
    <n v="-38.609610000000053"/>
    <n v="3230.3373699999993"/>
    <n v="30"/>
    <n v="3191.8276440833979"/>
    <n v="0"/>
    <n v="0"/>
    <n v="0"/>
    <n v="0"/>
    <n v="0"/>
    <n v="0"/>
    <n v="0"/>
    <n v="0"/>
    <n v="0"/>
    <n v="0"/>
    <n v="3230.75252462149"/>
    <n v="0"/>
    <n v="0"/>
    <n v="6.916706665649123"/>
    <n v="247.08665298751407"/>
    <n v="0"/>
    <n v="-249.41319169454528"/>
    <m/>
    <n v="0"/>
    <n v="0"/>
    <n v="0"/>
    <n v="0"/>
    <n v="-37.602329377589285"/>
    <n v="-5.912719119116332"/>
    <n v="0"/>
    <n v="0"/>
    <m/>
    <m/>
    <m/>
    <n v="0"/>
    <n v="0"/>
    <n v="0"/>
    <n v="-38.60961000000043"/>
    <n v="3230.33736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0"/>
    <s v="Regular"/>
    <s v="Verde"/>
    <s v="A4"/>
    <s v="Comercial"/>
    <s v="Não se aplica"/>
    <s v="Não se aplica"/>
    <s v="Não se aplica"/>
    <s v="Não se aplica"/>
    <s v="CATIVO"/>
    <x v="11"/>
    <n v="1292"/>
    <n v="1292"/>
    <n v="0"/>
    <n v="0"/>
    <n v="0"/>
    <n v="0"/>
    <n v="32.17"/>
    <m/>
    <m/>
    <n v="41563.64"/>
    <m/>
    <n v="41563.64"/>
    <n v="16705.560000000001"/>
    <n v="0"/>
    <n v="0"/>
    <n v="0"/>
    <n v="0"/>
    <n v="0"/>
    <n v="129.09176286960783"/>
    <n v="34789.342173612953"/>
    <m/>
    <m/>
    <m/>
    <n v="0"/>
    <n v="0"/>
    <n v="0"/>
    <n v="0"/>
    <m/>
    <n v="0"/>
    <n v="2279.6320694865394"/>
    <n v="4370.6617937558185"/>
    <n v="0"/>
    <n v="0"/>
    <m/>
    <m/>
    <n v="0"/>
    <n v="0"/>
    <n v="0"/>
    <m/>
    <m/>
    <n v="0"/>
    <m/>
    <n v="0"/>
    <n v="0"/>
    <n v="0"/>
    <n v="0"/>
    <m/>
    <n v="0"/>
    <n v="0"/>
    <n v="180.78"/>
    <n v="824.46"/>
    <n v="17571.57"/>
    <n v="10"/>
    <m/>
    <m/>
    <m/>
    <m/>
    <m/>
    <m/>
    <m/>
    <m/>
    <m/>
    <n v="0"/>
    <m/>
    <m/>
    <m/>
    <m/>
    <m/>
    <m/>
    <m/>
    <m/>
    <m/>
    <m/>
    <m/>
    <m/>
    <n v="16705.560000000001"/>
    <n v="-24858.110000000004"/>
    <m/>
    <m/>
    <m/>
    <m/>
    <n v="-24858.080000000002"/>
    <n v="0"/>
    <n v="30"/>
    <n v="698.60990299459536"/>
    <n v="235.14752252684866"/>
    <n v="450.84042568145105"/>
    <n v="0"/>
    <n v="0"/>
    <m/>
    <m/>
    <m/>
    <n v="12.6219547862950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789.342173612953"/>
    <m/>
    <n v="0"/>
    <n v="0"/>
    <n v="-24858.079999999998"/>
    <m/>
    <n v="0"/>
    <m/>
    <n v="-25560.071236766576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81"/>
    <s v="Regular"/>
    <s v="Convencional"/>
    <s v="B2"/>
    <s v="Rural"/>
    <s v="Não se aplica"/>
    <s v="Não se aplica"/>
    <s v="Não se aplica"/>
    <s v="Não se aplica"/>
    <s v="CATIVO"/>
    <x v="11"/>
    <n v="0"/>
    <n v="0"/>
    <n v="3427.027"/>
    <n v="3427.027"/>
    <n v="3427.027"/>
    <n v="3427.027"/>
    <m/>
    <n v="571.87"/>
    <n v="216.76"/>
    <m/>
    <n v="2702656.3030099999"/>
    <n v="2702656.3030099999"/>
    <n v="1761526.14827"/>
    <n v="0"/>
    <n v="207714.22109658289"/>
    <n v="0"/>
    <n v="0"/>
    <n v="0"/>
    <n v="2816.720439884255"/>
    <n v="1461228.3452915717"/>
    <n v="732018.11056312278"/>
    <n v="10820.511281750123"/>
    <n v="0"/>
    <n v="0"/>
    <n v="0"/>
    <n v="0"/>
    <n v="32123.69563602738"/>
    <m/>
    <n v="6574.6469676216466"/>
    <n v="30437.817992014658"/>
    <n v="95364.240560828635"/>
    <n v="0"/>
    <n v="0"/>
    <n v="0"/>
    <n v="0"/>
    <n v="0"/>
    <n v="0"/>
    <n v="0"/>
    <n v="0"/>
    <n v="0"/>
    <n v="0"/>
    <m/>
    <n v="0"/>
    <n v="0"/>
    <n v="2039.3196610673144"/>
    <n v="0"/>
    <n v="0"/>
    <n v="121516.33717012868"/>
    <n v="0"/>
    <n v="4891.84"/>
    <n v="22533.1"/>
    <n v="97519.75"/>
    <n v="10352"/>
    <m/>
    <m/>
    <m/>
    <m/>
    <m/>
    <n v="211379.02535999991"/>
    <m/>
    <m/>
    <m/>
    <n v="855573.76739431883"/>
    <m/>
    <m/>
    <m/>
    <m/>
    <m/>
    <m/>
    <m/>
    <m/>
    <m/>
    <m/>
    <m/>
    <m/>
    <n v="1550148.4799000002"/>
    <n v="-828208.28809999954"/>
    <m/>
    <m/>
    <m/>
    <m/>
    <n v="-1052954.04575"/>
    <n v="111823.89100999999"/>
    <n v="30"/>
    <n v="132455.64169422979"/>
    <n v="3139.7073184522014"/>
    <n v="9836.9667656866077"/>
    <n v="0"/>
    <n v="0"/>
    <n v="0"/>
    <n v="0"/>
    <n v="0"/>
    <n v="275.40500840291088"/>
    <n v="0"/>
    <n v="0"/>
    <n v="111838.26232786209"/>
    <n v="0"/>
    <n v="0"/>
    <n v="311.56874937064686"/>
    <n v="18565.354869566741"/>
    <n v="0"/>
    <n v="-9924.0029719724553"/>
    <m/>
    <n v="0"/>
    <n v="0"/>
    <n v="0"/>
    <n v="0"/>
    <n v="-1301.6717142586422"/>
    <n v="-285.94865887994183"/>
    <n v="0"/>
    <n v="0"/>
    <m/>
    <m/>
    <m/>
    <n v="1461228.3452915717"/>
    <n v="0"/>
    <n v="0"/>
    <n v="-1052954.04575"/>
    <n v="111823.89101000002"/>
    <n v="0"/>
    <n v="0"/>
    <n v="-1073578.8107877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2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11.170999999999999"/>
    <n v="-11.170999999999999"/>
    <n v="-11.170999999999999"/>
    <n v="-11.170999999999999"/>
    <m/>
    <n v="571.87"/>
    <n v="216.76"/>
    <m/>
    <n v="-8809.7857299999996"/>
    <n v="-8809.7857299999996"/>
    <n v="-5742.0057099999995"/>
    <n v="0"/>
    <n v="-677.08120299896302"/>
    <n v="0"/>
    <n v="0"/>
    <n v="0"/>
    <n v="-9.1815979372053427"/>
    <n v="-4763.1319640178344"/>
    <n v="-2386.1423657008377"/>
    <n v="-35.27136831090931"/>
    <n v="0"/>
    <n v="0"/>
    <n v="0"/>
    <n v="0"/>
    <n v="-104.71286159988288"/>
    <m/>
    <n v="-21.431223411808954"/>
    <n v="-99.217445555227812"/>
    <n v="-310.85659123929184"/>
    <n v="0"/>
    <n v="0"/>
    <n v="0"/>
    <n v="0"/>
    <n v="0"/>
    <n v="0"/>
    <n v="0"/>
    <n v="0"/>
    <n v="0"/>
    <n v="0"/>
    <m/>
    <n v="0"/>
    <n v="0"/>
    <n v="-6.6475227460370077"/>
    <n v="0"/>
    <n v="0"/>
    <n v="-396.10397073834184"/>
    <n v="0"/>
    <n v="-15.82"/>
    <n v="-71.98"/>
    <n v="-1047.6199999999999"/>
    <n v="0"/>
    <m/>
    <m/>
    <m/>
    <m/>
    <m/>
    <n v="-689.02727999999979"/>
    <m/>
    <m/>
    <m/>
    <n v="-2788.8938591852166"/>
    <m/>
    <m/>
    <m/>
    <m/>
    <m/>
    <m/>
    <m/>
    <m/>
    <m/>
    <m/>
    <m/>
    <m/>
    <n v="-5052.5261"/>
    <n v="2700.1178999999984"/>
    <m/>
    <m/>
    <m/>
    <m/>
    <n v="3432.2897499999999"/>
    <n v="-364.50972999999993"/>
    <n v="30"/>
    <n v="-431.76256661130674"/>
    <n v="-10.234430733819593"/>
    <n v="-32.065331186327171"/>
    <n v="0"/>
    <n v="0"/>
    <n v="0"/>
    <n v="0"/>
    <n v="0"/>
    <n v="-0.89773128395805202"/>
    <n v="0"/>
    <n v="0"/>
    <n v="-364.55657584972278"/>
    <n v="0"/>
    <n v="0"/>
    <n v="-1.0156133871193589"/>
    <n v="-60.517054358757605"/>
    <n v="0"/>
    <n v="32.349041078434539"/>
    <m/>
    <n v="0"/>
    <n v="0"/>
    <n v="0"/>
    <n v="0"/>
    <n v="4.2430289344038812"/>
    <n v="0.93210017555969671"/>
    <n v="0"/>
    <n v="0"/>
    <m/>
    <m/>
    <m/>
    <n v="-4763.1319640178344"/>
    <n v="0"/>
    <n v="0"/>
    <n v="3432.2897500000004"/>
    <n v="-364.50973000000022"/>
    <n v="0"/>
    <n v="0"/>
    <n v="3499.5198156623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3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84.25"/>
    <n v="84.25"/>
    <n v="84.25"/>
    <n v="84.25"/>
    <m/>
    <n v="571.87"/>
    <n v="216.76"/>
    <m/>
    <n v="66442.077499999999"/>
    <n v="66442.077499999999"/>
    <n v="43305.342499999999"/>
    <n v="0"/>
    <n v="5106.4444859603109"/>
    <n v="0"/>
    <n v="0"/>
    <n v="0"/>
    <n v="69.246229183560118"/>
    <n v="35922.824095291609"/>
    <n v="17995.926444391334"/>
    <n v="266.01134904611132"/>
    <n v="0"/>
    <n v="0"/>
    <n v="0"/>
    <n v="0"/>
    <n v="789.72863573450309"/>
    <m/>
    <n v="161.6310601060697"/>
    <n v="748.28303536191424"/>
    <n v="2344.4336059359362"/>
    <n v="0"/>
    <n v="0"/>
    <n v="0"/>
    <n v="0"/>
    <n v="0"/>
    <n v="0"/>
    <n v="0"/>
    <n v="0"/>
    <n v="0"/>
    <n v="0"/>
    <m/>
    <n v="0"/>
    <n v="0"/>
    <n v="50.134615643507111"/>
    <n v="0"/>
    <n v="0"/>
    <n v="2987.3565065531557"/>
    <n v="0"/>
    <n v="121.15"/>
    <n v="557.78"/>
    <n v="1931.88"/>
    <n v="285"/>
    <m/>
    <m/>
    <m/>
    <m/>
    <m/>
    <n v="5196.5399999999981"/>
    <m/>
    <m/>
    <m/>
    <n v="21033.417566587996"/>
    <m/>
    <m/>
    <m/>
    <m/>
    <m/>
    <m/>
    <m/>
    <m/>
    <m/>
    <m/>
    <m/>
    <m/>
    <n v="38108.802500000005"/>
    <n v="-20360.727500000001"/>
    <m/>
    <m/>
    <m/>
    <m/>
    <n v="-25885.8125"/>
    <n v="2749.0774999999994"/>
    <n v="30"/>
    <n v="3256.2882675680339"/>
    <n v="77.186535612237094"/>
    <n v="241.83189978050814"/>
    <n v="0"/>
    <n v="0"/>
    <n v="0"/>
    <n v="0"/>
    <n v="0"/>
    <n v="6.7705541736161479"/>
    <n v="0"/>
    <n v="0"/>
    <n v="2749.4308043451019"/>
    <n v="0"/>
    <n v="0"/>
    <n v="7.6596032463347896"/>
    <n v="456.41051201551591"/>
    <n v="0"/>
    <n v="-243.97159706902767"/>
    <m/>
    <n v="0"/>
    <n v="0"/>
    <n v="0"/>
    <n v="0"/>
    <n v="-32.000285357042912"/>
    <n v="-7.0297591792054845"/>
    <n v="0"/>
    <n v="0"/>
    <m/>
    <m/>
    <m/>
    <n v="35922.824095291609"/>
    <n v="0"/>
    <n v="0"/>
    <n v="-25885.8125"/>
    <n v="2749.0774999999994"/>
    <n v="0"/>
    <n v="0"/>
    <n v="-26392.851532499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4"/>
    <s v="Regular"/>
    <s v="Verde"/>
    <s v="A4"/>
    <s v="Rural"/>
    <s v="Não se aplica"/>
    <s v="Não se aplica"/>
    <s v="Não se aplica"/>
    <s v="Ponta"/>
    <s v="CATIVO"/>
    <x v="11"/>
    <n v="0"/>
    <n v="0"/>
    <n v="0.09"/>
    <n v="8.6400000000000005E-2"/>
    <n v="0.09"/>
    <n v="8.6400000000000005E-2"/>
    <m/>
    <n v="2592.54"/>
    <n v="216.76"/>
    <m/>
    <n v="252.83699999999999"/>
    <n v="252.83699999999999"/>
    <n v="106.30799999999999"/>
    <n v="0"/>
    <n v="4.7458113145482779"/>
    <n v="0"/>
    <n v="0"/>
    <n v="0"/>
    <n v="0.45509716863600391"/>
    <n v="206.18023539724467"/>
    <n v="19.22413507412724"/>
    <n v="0.28416642628071237"/>
    <n v="0"/>
    <n v="0"/>
    <n v="0"/>
    <n v="0"/>
    <n v="0.84362702927127919"/>
    <m/>
    <n v="0.12358999768513049"/>
    <n v="4.0603384386749344"/>
    <n v="15.40806738519294"/>
    <n v="0"/>
    <n v="0"/>
    <n v="0"/>
    <n v="0"/>
    <n v="0"/>
    <n v="0"/>
    <n v="0"/>
    <n v="0"/>
    <n v="0"/>
    <n v="0"/>
    <m/>
    <n v="0"/>
    <n v="0"/>
    <n v="4.1156882860946042E-2"/>
    <n v="0"/>
    <n v="0"/>
    <n v="1.4702541144349499"/>
    <n v="0"/>
    <n v="0"/>
    <n v="0"/>
    <n v="0"/>
    <n v="0"/>
    <m/>
    <m/>
    <m/>
    <m/>
    <m/>
    <n v="4.2523199999999903"/>
    <m/>
    <m/>
    <m/>
    <n v="20.735546071423137"/>
    <m/>
    <m/>
    <m/>
    <m/>
    <m/>
    <m/>
    <m/>
    <m/>
    <m/>
    <m/>
    <m/>
    <m/>
    <n v="106.30799999999999"/>
    <n v="-136.44551999999999"/>
    <m/>
    <m/>
    <m/>
    <m/>
    <n v="-149.4657"/>
    <n v="2.9366999999999996"/>
    <n v="30"/>
    <n v="4.9543836913371919"/>
    <n v="0.41883009861761078"/>
    <n v="1.589365635381089"/>
    <n v="0"/>
    <n v="0"/>
    <n v="0"/>
    <n v="0"/>
    <n v="0"/>
    <n v="4.4497152709088383E-2"/>
    <n v="0"/>
    <n v="0"/>
    <n v="2.9370774171045611"/>
    <n v="0"/>
    <n v="0"/>
    <n v="6.2879786655261199E-3"/>
    <n v="0.22462649894318387"/>
    <n v="0"/>
    <n v="-0.22674155549560204"/>
    <m/>
    <n v="0"/>
    <n v="0"/>
    <n v="0"/>
    <n v="0"/>
    <n v="-3.4184281093576963E-2"/>
    <n v="-5.3752534946864966E-3"/>
    <n v="0"/>
    <n v="0"/>
    <m/>
    <m/>
    <m/>
    <n v="206.18023539724467"/>
    <n v="0"/>
    <n v="0"/>
    <n v="-149.4657"/>
    <n v="2.9366999999999983"/>
    <n v="0"/>
    <n v="0"/>
    <n v="-151.4826431056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5"/>
    <s v="Regular"/>
    <s v="Verde"/>
    <s v="A4"/>
    <s v="Rural"/>
    <s v="Não se aplica"/>
    <s v="Não se aplica"/>
    <s v="Não se aplica"/>
    <s v="Fora ponta"/>
    <s v="CATIVO"/>
    <x v="11"/>
    <n v="0"/>
    <n v="0"/>
    <n v="24.283000000000001"/>
    <n v="23.311679999999999"/>
    <n v="24.283000000000001"/>
    <n v="23.311679999999999"/>
    <m/>
    <n v="80.27"/>
    <n v="216.76"/>
    <m/>
    <n v="7212.7794900000008"/>
    <n v="7212.7794900000008"/>
    <n v="7995.6634099999992"/>
    <n v="0"/>
    <n v="1280.4726239019537"/>
    <n v="0"/>
    <n v="0"/>
    <n v="0"/>
    <n v="0"/>
    <n v="0"/>
    <n v="5186.8852445003531"/>
    <n v="76.67125921527267"/>
    <n v="0"/>
    <n v="0"/>
    <n v="0"/>
    <n v="0"/>
    <n v="227.61994613104972"/>
    <m/>
    <n v="33.345954597644713"/>
    <n v="0"/>
    <n v="0"/>
    <n v="0"/>
    <n v="0"/>
    <n v="0"/>
    <n v="0"/>
    <n v="0"/>
    <n v="0"/>
    <n v="0"/>
    <n v="0"/>
    <n v="0"/>
    <n v="0"/>
    <m/>
    <n v="0"/>
    <n v="0"/>
    <n v="11.104584294581697"/>
    <n v="0"/>
    <n v="0"/>
    <n v="396.6908962313766"/>
    <n v="0"/>
    <n v="0"/>
    <n v="0"/>
    <n v="0"/>
    <n v="0"/>
    <m/>
    <m/>
    <m/>
    <m/>
    <m/>
    <n v="319.82653640000069"/>
    <m/>
    <m/>
    <m/>
    <n v="5594.6807250263109"/>
    <m/>
    <m/>
    <m/>
    <m/>
    <m/>
    <m/>
    <m/>
    <m/>
    <m/>
    <m/>
    <m/>
    <m/>
    <n v="7675.2837"/>
    <n v="750.98538960000042"/>
    <m/>
    <m/>
    <m/>
    <m/>
    <n v="-9.4703700000000151"/>
    <n v="792.35428999999988"/>
    <n v="30"/>
    <n v="782.90842009795415"/>
    <n v="0"/>
    <n v="0"/>
    <n v="0"/>
    <n v="0"/>
    <n v="0"/>
    <n v="0"/>
    <n v="0"/>
    <n v="0"/>
    <n v="0"/>
    <n v="0"/>
    <n v="792.45612132833412"/>
    <n v="0"/>
    <n v="0"/>
    <n v="1.6965665103885659"/>
    <n v="60.606725264859278"/>
    <n v="0"/>
    <n v="-61.177391023329847"/>
    <m/>
    <n v="0"/>
    <n v="0"/>
    <n v="0"/>
    <n v="0"/>
    <n v="-9.2232988643925751"/>
    <n v="-1.4503031179052499"/>
    <n v="0"/>
    <n v="0"/>
    <m/>
    <m/>
    <m/>
    <n v="0"/>
    <n v="0"/>
    <n v="0"/>
    <n v="-9.4703700000000026"/>
    <n v="792.35428999999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6"/>
    <s v="Regular"/>
    <s v="Verde"/>
    <s v="A4"/>
    <s v="Rural"/>
    <s v="Não se aplica"/>
    <s v="Não se aplica"/>
    <s v="Não se aplica"/>
    <s v="Não se aplica"/>
    <s v="CATIVO"/>
    <x v="11"/>
    <n v="92"/>
    <n v="88.32"/>
    <n v="0"/>
    <n v="0"/>
    <n v="0"/>
    <n v="0"/>
    <n v="32.17"/>
    <m/>
    <m/>
    <n v="2959.6400000000003"/>
    <m/>
    <n v="2959.6400000000003"/>
    <n v="1189.56"/>
    <n v="0"/>
    <n v="0"/>
    <n v="0"/>
    <n v="0"/>
    <n v="0"/>
    <n v="9.1922927120773377"/>
    <n v="2477.259659421356"/>
    <m/>
    <m/>
    <m/>
    <n v="0"/>
    <n v="0"/>
    <n v="0"/>
    <n v="0"/>
    <m/>
    <n v="0"/>
    <n v="162.32674179006315"/>
    <n v="311.22359522100254"/>
    <n v="0"/>
    <n v="0"/>
    <m/>
    <m/>
    <n v="0"/>
    <n v="0"/>
    <n v="0"/>
    <m/>
    <m/>
    <n v="0"/>
    <m/>
    <n v="0"/>
    <n v="0"/>
    <n v="0"/>
    <n v="0"/>
    <m/>
    <n v="0"/>
    <n v="0"/>
    <n v="28.64"/>
    <n v="130.58000000000001"/>
    <n v="4.57"/>
    <n v="1"/>
    <m/>
    <m/>
    <m/>
    <m/>
    <m/>
    <n v="47.582400000000085"/>
    <m/>
    <m/>
    <m/>
    <n v="0"/>
    <m/>
    <m/>
    <m/>
    <m/>
    <m/>
    <m/>
    <m/>
    <m/>
    <m/>
    <m/>
    <m/>
    <m/>
    <n v="1141.9775999999999"/>
    <n v="-1699.3068000000005"/>
    <m/>
    <m/>
    <m/>
    <m/>
    <n v="-1770.0800000000002"/>
    <n v="0"/>
    <n v="30"/>
    <n v="49.746216002711094"/>
    <n v="16.744250830085235"/>
    <n v="32.103188206419134"/>
    <n v="0"/>
    <n v="0"/>
    <m/>
    <m/>
    <m/>
    <n v="0.8987769662067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77.259659421356"/>
    <m/>
    <n v="0"/>
    <n v="0"/>
    <n v="-1770.0800000000004"/>
    <m/>
    <n v="0"/>
    <m/>
    <n v="-1820.06699209173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87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40.003999999999998"/>
    <n v="40.003999999999998"/>
    <n v="40.003999999999998"/>
    <n v="40.003999999999998"/>
    <m/>
    <n v="571.87"/>
    <n v="216.76"/>
    <m/>
    <n v="31548.354519999997"/>
    <n v="31548.354519999997"/>
    <n v="20562.456039999997"/>
    <n v="0"/>
    <n v="2424.667124229748"/>
    <n v="0"/>
    <n v="0"/>
    <n v="0"/>
    <n v="32.879835635123307"/>
    <n v="17057.052286148908"/>
    <n v="8544.9144389487337"/>
    <n v="126.30881907704021"/>
    <n v="0"/>
    <n v="0"/>
    <n v="0"/>
    <n v="0"/>
    <n v="374.98284087742502"/>
    <m/>
    <n v="76.746456124429812"/>
    <n v="355.30343675510994"/>
    <n v="1113.1955130191238"/>
    <n v="0"/>
    <n v="0"/>
    <n v="0"/>
    <n v="0"/>
    <n v="0"/>
    <n v="0"/>
    <n v="0"/>
    <n v="0"/>
    <n v="0"/>
    <n v="0"/>
    <m/>
    <n v="0"/>
    <n v="0"/>
    <n v="23.805165153743125"/>
    <n v="0"/>
    <n v="0"/>
    <n v="1418.4713316101179"/>
    <n v="0"/>
    <n v="65.260000000000005"/>
    <n v="301.14999999999998"/>
    <n v="6513.24"/>
    <n v="113"/>
    <m/>
    <m/>
    <m/>
    <m/>
    <m/>
    <m/>
    <m/>
    <m/>
    <m/>
    <n v="9987.1909357125951"/>
    <m/>
    <m/>
    <m/>
    <m/>
    <m/>
    <m/>
    <m/>
    <m/>
    <m/>
    <m/>
    <m/>
    <m/>
    <n v="20560.399999999998"/>
    <n v="-10987.984519999995"/>
    <m/>
    <m/>
    <m/>
    <m/>
    <n v="-12291.228999999999"/>
    <n v="1305.3305199999998"/>
    <n v="30"/>
    <n v="1546.1668350835807"/>
    <n v="36.650091046076398"/>
    <n v="114.82781387322802"/>
    <n v="0"/>
    <n v="0"/>
    <n v="0"/>
    <n v="0"/>
    <n v="0"/>
    <n v="3.2148278832206572"/>
    <n v="0"/>
    <n v="0"/>
    <n v="1305.4982777094538"/>
    <n v="0"/>
    <n v="0"/>
    <n v="3.6369705432210928"/>
    <n v="216.71508750942075"/>
    <n v="0"/>
    <n v="-115.84379547951812"/>
    <m/>
    <n v="0"/>
    <n v="0"/>
    <n v="0"/>
    <n v="0"/>
    <n v="-15.194533120749497"/>
    <n v="-3.3379048807707647"/>
    <n v="0"/>
    <n v="0"/>
    <m/>
    <m/>
    <m/>
    <n v="17057.052286148908"/>
    <n v="0"/>
    <n v="0"/>
    <n v="-12291.228999999999"/>
    <n v="1305.3305199999995"/>
    <n v="0"/>
    <n v="0"/>
    <n v="-12531.98377099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8"/>
    <s v="Sistema de Compensação"/>
    <s v="Convencional"/>
    <s v="B3"/>
    <s v="Poder público"/>
    <s v="Não se aplica"/>
    <s v="Não se aplica"/>
    <s v="Não se aplica"/>
    <s v="Não se aplica"/>
    <s v="CATIVO"/>
    <x v="11"/>
    <n v="0"/>
    <n v="0"/>
    <n v="0.1"/>
    <n v="0.1"/>
    <n v="0.1"/>
    <n v="0.1"/>
    <m/>
    <n v="571.87"/>
    <n v="216.76"/>
    <m/>
    <n v="78.863"/>
    <n v="78.863"/>
    <n v="51.401000000000003"/>
    <n v="0"/>
    <n v="6.0610617044039303"/>
    <n v="0"/>
    <n v="0"/>
    <n v="0"/>
    <n v="8.2191369950813206E-2"/>
    <n v="42.638366878684401"/>
    <n v="21.360150082363603"/>
    <n v="0.31574047364523605"/>
    <n v="0"/>
    <n v="0"/>
    <n v="0"/>
    <n v="0"/>
    <n v="0.93736336585697699"/>
    <m/>
    <n v="0.19184695561551302"/>
    <n v="0.88816977491028393"/>
    <n v="2.7827105114966599"/>
    <n v="0"/>
    <n v="0"/>
    <n v="0"/>
    <n v="0"/>
    <n v="0"/>
    <n v="0"/>
    <n v="0"/>
    <n v="0"/>
    <n v="0"/>
    <n v="0"/>
    <m/>
    <n v="0"/>
    <n v="0"/>
    <n v="5.9506962188139001E-2"/>
    <n v="0"/>
    <n v="0"/>
    <n v="3.5458237466506297"/>
    <n v="0"/>
    <n v="0.16"/>
    <n v="0.75"/>
    <n v="100.34"/>
    <n v="1"/>
    <m/>
    <m/>
    <m/>
    <m/>
    <m/>
    <m/>
    <m/>
    <m/>
    <m/>
    <n v="24.965480791202371"/>
    <m/>
    <m/>
    <m/>
    <m/>
    <m/>
    <m/>
    <m/>
    <m/>
    <m/>
    <m/>
    <m/>
    <m/>
    <n v="51.401000000000003"/>
    <n v="-27.492000000000012"/>
    <m/>
    <m/>
    <m/>
    <m/>
    <n v="-30.725000000000001"/>
    <n v="3.2629999999999999"/>
    <n v="30"/>
    <n v="3.8650305846504907"/>
    <n v="9.1616066008590069E-2"/>
    <n v="0.28704083060001029"/>
    <n v="0"/>
    <n v="0"/>
    <n v="0"/>
    <n v="0"/>
    <n v="0"/>
    <n v="8.0362660814434911E-3"/>
    <n v="0"/>
    <n v="0"/>
    <n v="3.2634193523383992"/>
    <n v="0"/>
    <n v="0"/>
    <n v="9.0915172063320976E-3"/>
    <n v="0.5417335454190102"/>
    <n v="0"/>
    <n v="-0.28958053064572997"/>
    <m/>
    <n v="0"/>
    <n v="0"/>
    <n v="0"/>
    <n v="0"/>
    <n v="-3.7982534548418934E-2"/>
    <n v="-8.3439278091460012E-3"/>
    <n v="0"/>
    <n v="0"/>
    <m/>
    <m/>
    <m/>
    <n v="42.638366878684401"/>
    <n v="0"/>
    <n v="0"/>
    <n v="-30.725000000000001"/>
    <n v="3.2629999999999981"/>
    <n v="0"/>
    <n v="0"/>
    <n v="-31.32682674480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89"/>
    <s v="Sistema de Compensação"/>
    <s v="Verde"/>
    <s v="A4"/>
    <s v="Poder público"/>
    <s v="Não se aplica"/>
    <s v="Não se aplica"/>
    <s v="Não se aplica"/>
    <s v="Ponta"/>
    <s v="CATIVO"/>
    <x v="11"/>
    <n v="0"/>
    <n v="0"/>
    <n v="2.4849999999999999"/>
    <n v="2.4849999999999999"/>
    <n v="2.4849999999999999"/>
    <n v="2.4849999999999999"/>
    <m/>
    <n v="2592.54"/>
    <n v="216.76"/>
    <m/>
    <n v="6981.1104999999989"/>
    <n v="6981.1104999999989"/>
    <n v="2935.2819999999997"/>
    <n v="0"/>
    <n v="131.03712351836077"/>
    <n v="0"/>
    <n v="0"/>
    <n v="0"/>
    <n v="12.565738489560776"/>
    <n v="5692.8653884683672"/>
    <n v="530.79972954673542"/>
    <n v="7.8461507700841144"/>
    <n v="0"/>
    <n v="0"/>
    <n v="0"/>
    <n v="0"/>
    <n v="23.293479641545876"/>
    <m/>
    <n v="3.4124571583061027"/>
    <n v="112.11045577896901"/>
    <n v="425.4338605800495"/>
    <n v="0"/>
    <n v="0"/>
    <n v="0"/>
    <n v="0"/>
    <n v="0"/>
    <n v="0"/>
    <n v="0"/>
    <n v="0"/>
    <n v="0"/>
    <n v="0"/>
    <m/>
    <n v="0"/>
    <n v="0"/>
    <n v="1.1363872656605656"/>
    <n v="0"/>
    <n v="0"/>
    <n v="40.59534971523167"/>
    <n v="0"/>
    <n v="0"/>
    <n v="0"/>
    <n v="0"/>
    <n v="0"/>
    <m/>
    <m/>
    <m/>
    <m/>
    <m/>
    <m/>
    <m/>
    <m/>
    <m/>
    <n v="572.53146652762769"/>
    <m/>
    <m/>
    <m/>
    <m/>
    <m/>
    <m/>
    <m/>
    <m/>
    <m/>
    <m/>
    <m/>
    <m/>
    <n v="2941.1880000000001"/>
    <n v="-4039.9524999999994"/>
    <m/>
    <m/>
    <m/>
    <m/>
    <n v="-4126.9140499999994"/>
    <n v="81.085549999999984"/>
    <n v="30"/>
    <n v="136.79603858858809"/>
    <n v="11.564364389608471"/>
    <n v="43.884151154688936"/>
    <n v="0"/>
    <n v="0"/>
    <n v="0"/>
    <n v="0"/>
    <n v="0"/>
    <n v="1.228615827578718"/>
    <n v="0"/>
    <n v="0"/>
    <n v="81.095970905609306"/>
    <n v="0"/>
    <n v="0"/>
    <n v="0.17361807759813797"/>
    <n v="6.2021872208201358"/>
    <n v="0"/>
    <n v="-6.2605862822952218"/>
    <m/>
    <n v="0"/>
    <n v="0"/>
    <n v="0"/>
    <n v="0"/>
    <n v="-0.94386598352820883"/>
    <n v="-0.14841672149217722"/>
    <n v="0"/>
    <n v="0"/>
    <m/>
    <m/>
    <m/>
    <n v="5692.8653884683672"/>
    <n v="0"/>
    <n v="0"/>
    <n v="-4126.9140499999994"/>
    <n v="81.085549999999898"/>
    <n v="0"/>
    <n v="0"/>
    <n v="-4182.6040901957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90"/>
    <s v="Sistema de Compensação"/>
    <s v="Verde"/>
    <s v="A4"/>
    <s v="Poder público"/>
    <s v="Não se aplica"/>
    <s v="Não se aplica"/>
    <s v="Não se aplica"/>
    <s v="Fora ponta"/>
    <s v="CATIVO"/>
    <x v="11"/>
    <n v="0"/>
    <n v="0"/>
    <n v="11.067"/>
    <n v="11.067"/>
    <n v="11.067"/>
    <n v="11.067"/>
    <m/>
    <n v="80.27"/>
    <n v="216.76"/>
    <m/>
    <n v="3287.23101"/>
    <n v="3287.23101"/>
    <n v="3644.0310899999995"/>
    <n v="0"/>
    <n v="583.57659797895326"/>
    <n v="0"/>
    <n v="0"/>
    <n v="0"/>
    <n v="0"/>
    <n v="0"/>
    <n v="2363.9278096151797"/>
    <n v="34.942998218318273"/>
    <n v="0"/>
    <n v="0"/>
    <n v="0"/>
    <n v="0"/>
    <n v="103.73800369939164"/>
    <m/>
    <n v="15.197450048681548"/>
    <n v="0"/>
    <n v="0"/>
    <n v="0"/>
    <n v="0"/>
    <n v="0"/>
    <n v="0"/>
    <n v="0"/>
    <n v="0"/>
    <n v="0"/>
    <n v="0"/>
    <n v="0"/>
    <n v="0"/>
    <m/>
    <n v="0"/>
    <n v="0"/>
    <n v="5.0609246958009981"/>
    <n v="0"/>
    <n v="0"/>
    <n v="180.79224760501768"/>
    <n v="0"/>
    <n v="0"/>
    <n v="0"/>
    <n v="0"/>
    <n v="0"/>
    <m/>
    <m/>
    <m/>
    <m/>
    <m/>
    <m/>
    <m/>
    <m/>
    <m/>
    <n v="2549.7809819159984"/>
    <m/>
    <m/>
    <m/>
    <m/>
    <m/>
    <m/>
    <m/>
    <m/>
    <m/>
    <m/>
    <m/>
    <m/>
    <n v="3645.0189"/>
    <n v="357.75788999999986"/>
    <m/>
    <m/>
    <m/>
    <m/>
    <n v="-4.3161300000000065"/>
    <n v="361.11620999999997"/>
    <n v="30"/>
    <n v="356.81124594259518"/>
    <n v="0"/>
    <n v="0"/>
    <n v="0"/>
    <n v="0"/>
    <n v="0"/>
    <n v="0"/>
    <n v="0"/>
    <n v="0"/>
    <n v="0"/>
    <n v="0"/>
    <n v="361.16261972329085"/>
    <n v="0"/>
    <n v="0"/>
    <n v="0.7732117765708626"/>
    <n v="27.621571820046853"/>
    <n v="0"/>
    <n v="-27.881653274109112"/>
    <m/>
    <n v="0"/>
    <n v="0"/>
    <n v="0"/>
    <n v="0"/>
    <n v="-4.2035270984735291"/>
    <n v="-0.66097700472995058"/>
    <n v="0"/>
    <n v="0"/>
    <m/>
    <m/>
    <m/>
    <n v="0"/>
    <n v="0"/>
    <n v="0"/>
    <n v="-4.3161300000000438"/>
    <n v="361.116209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91"/>
    <s v="Sistema de Compensação"/>
    <s v="Verde"/>
    <s v="A4"/>
    <s v="Poder público"/>
    <s v="Não se aplica"/>
    <s v="Não se aplica"/>
    <s v="Não se aplica"/>
    <s v="Não se aplica"/>
    <s v="CATIVO"/>
    <x v="11"/>
    <n v="71"/>
    <n v="71"/>
    <n v="0"/>
    <n v="0"/>
    <n v="0"/>
    <n v="0"/>
    <n v="32.17"/>
    <m/>
    <m/>
    <n v="2284.0700000000002"/>
    <m/>
    <n v="2284.0700000000002"/>
    <n v="918.03"/>
    <n v="0"/>
    <n v="0"/>
    <n v="0"/>
    <n v="0"/>
    <n v="0"/>
    <n v="7.0940519843205534"/>
    <n v="1911.7982154230031"/>
    <m/>
    <m/>
    <m/>
    <n v="0"/>
    <n v="0"/>
    <n v="0"/>
    <n v="0"/>
    <m/>
    <n v="0"/>
    <n v="125.27389855537483"/>
    <n v="240.18342674664328"/>
    <n v="0"/>
    <n v="0"/>
    <m/>
    <m/>
    <n v="0"/>
    <n v="0"/>
    <n v="0"/>
    <m/>
    <m/>
    <n v="0"/>
    <m/>
    <n v="0"/>
    <n v="0"/>
    <n v="0"/>
    <n v="0"/>
    <m/>
    <n v="0"/>
    <n v="0"/>
    <n v="24.46"/>
    <n v="111.53"/>
    <n v="2619.5700000000002"/>
    <n v="1"/>
    <m/>
    <m/>
    <m/>
    <m/>
    <m/>
    <m/>
    <m/>
    <m/>
    <m/>
    <n v="0"/>
    <m/>
    <m/>
    <m/>
    <m/>
    <m/>
    <m/>
    <m/>
    <m/>
    <m/>
    <m/>
    <m/>
    <m/>
    <n v="918.03"/>
    <n v="-1366.0700000000008"/>
    <m/>
    <m/>
    <m/>
    <m/>
    <n v="-1366.0400000000002"/>
    <n v="0"/>
    <n v="30"/>
    <n v="38.391101480353143"/>
    <n v="12.922193575391859"/>
    <n v="24.775286550606069"/>
    <n v="0"/>
    <n v="0"/>
    <m/>
    <m/>
    <m/>
    <n v="0.693621354355225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11.7982154230031"/>
    <m/>
    <n v="0"/>
    <n v="0"/>
    <n v="-1366.0400000000002"/>
    <m/>
    <n v="0"/>
    <m/>
    <n v="-1404.6169178099283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92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75.528999999999996"/>
    <n v="75.528999999999996"/>
    <n v="75.528999999999996"/>
    <n v="75.528999999999996"/>
    <m/>
    <n v="314.52999999999997"/>
    <n v="119.22"/>
    <m/>
    <n v="32760.703749999993"/>
    <n v="32760.703749999993"/>
    <n v="21352.803589999996"/>
    <n v="0"/>
    <n v="2517.8226120955833"/>
    <n v="0"/>
    <n v="0"/>
    <n v="0"/>
    <n v="34.143075895582363"/>
    <n v="17712.382665890833"/>
    <n v="8873.2092656396362"/>
    <n v="131.16159228673081"/>
    <n v="0"/>
    <n v="0"/>
    <n v="0"/>
    <n v="0"/>
    <n v="389.38964712896359"/>
    <m/>
    <n v="79.695047908762334"/>
    <n v="368.95416211059347"/>
    <n v="1155.9643822255694"/>
    <n v="0"/>
    <n v="0"/>
    <n v="0"/>
    <n v="0"/>
    <n v="0"/>
    <n v="0"/>
    <n v="0"/>
    <n v="0"/>
    <n v="0"/>
    <n v="0"/>
    <m/>
    <n v="0"/>
    <n v="0"/>
    <n v="24.719757409093766"/>
    <n v="0"/>
    <n v="0"/>
    <n v="1472.9688696842675"/>
    <n v="0"/>
    <n v="68.540000000000006"/>
    <n v="312.62"/>
    <n v="5433.5"/>
    <n v="10"/>
    <m/>
    <m/>
    <m/>
    <m/>
    <m/>
    <m/>
    <m/>
    <m/>
    <m/>
    <n v="10370.897892732997"/>
    <m/>
    <m/>
    <m/>
    <m/>
    <m/>
    <m/>
    <m/>
    <m/>
    <m/>
    <m/>
    <m/>
    <m/>
    <n v="21353.086299999999"/>
    <n v="-11407.647449999989"/>
    <m/>
    <m/>
    <m/>
    <m/>
    <n v="-12763.645709999997"/>
    <n v="1355.7455499999992"/>
    <n v="30"/>
    <n v="1605.5704226543603"/>
    <n v="38.058184172595759"/>
    <n v="119.23948791913836"/>
    <n v="0"/>
    <n v="0"/>
    <n v="0"/>
    <n v="0"/>
    <n v="0"/>
    <n v="3.3383412747593866"/>
    <n v="0"/>
    <n v="0"/>
    <n v="1355.6554014452049"/>
    <n v="0"/>
    <n v="0"/>
    <n v="3.776702616923771"/>
    <n v="225.04126123573428"/>
    <n v="0"/>
    <n v="-120.2945034452764"/>
    <m/>
    <n v="0"/>
    <n v="0"/>
    <n v="0"/>
    <n v="0"/>
    <n v="-15.778305685491091"/>
    <n v="-3.4661468792332073"/>
    <n v="0"/>
    <n v="0"/>
    <m/>
    <m/>
    <m/>
    <n v="17712.382665890833"/>
    <n v="0"/>
    <n v="0"/>
    <n v="-12763.645709999997"/>
    <n v="1355.7455499999996"/>
    <n v="0"/>
    <n v="0"/>
    <n v="-13013.46143464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93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132.97900000000001"/>
    <n v="125.00026"/>
    <n v="132.97900000000001"/>
    <n v="125.00026"/>
    <m/>
    <n v="571.87"/>
    <n v="216.76"/>
    <m/>
    <n v="104871.22877000002"/>
    <n v="104871.22877000002"/>
    <n v="68352.535790000009"/>
    <n v="0"/>
    <n v="8059.9392438993027"/>
    <n v="0"/>
    <n v="0"/>
    <n v="0"/>
    <n v="109.2972618468919"/>
    <n v="56700.073891605731"/>
    <n v="28404.513978026294"/>
    <n v="419.86852444869845"/>
    <n v="0"/>
    <n v="0"/>
    <n v="0"/>
    <n v="0"/>
    <n v="1246.4964302829494"/>
    <m/>
    <n v="255.11616310795304"/>
    <n v="1181.0792849779466"/>
    <n v="3700.4206110831437"/>
    <n v="0"/>
    <n v="0"/>
    <n v="0"/>
    <n v="0"/>
    <n v="0"/>
    <n v="0"/>
    <n v="0"/>
    <n v="0"/>
    <n v="0"/>
    <n v="0"/>
    <m/>
    <n v="0"/>
    <n v="0"/>
    <n v="79.13176324816537"/>
    <n v="0"/>
    <n v="0"/>
    <n v="4715.2009600585416"/>
    <n v="0"/>
    <n v="204.18"/>
    <n v="933.27"/>
    <n v="23187.05"/>
    <n v="98"/>
    <m/>
    <m/>
    <m/>
    <m/>
    <n v="4101.1521474000083"/>
    <m/>
    <m/>
    <m/>
    <m/>
    <n v="33198.846701333001"/>
    <m/>
    <m/>
    <m/>
    <m/>
    <m/>
    <m/>
    <m/>
    <m/>
    <m/>
    <m/>
    <m/>
    <m/>
    <n v="64251.25"/>
    <n v="-34327.735043799985"/>
    <m/>
    <m/>
    <m/>
    <m/>
    <n v="-40857.797750000005"/>
    <n v="4339.1047699999999"/>
    <n v="30"/>
    <n v="5139.6790211623738"/>
    <n v="121.83012841756295"/>
    <n v="381.70402612358748"/>
    <n v="0"/>
    <n v="0"/>
    <n v="0"/>
    <n v="0"/>
    <n v="0"/>
    <n v="10.68654627244274"/>
    <n v="0"/>
    <n v="0"/>
    <n v="4339.662420546083"/>
    <n v="0"/>
    <n v="0"/>
    <n v="12.089808665808363"/>
    <n v="720.391851362745"/>
    <n v="0"/>
    <n v="-385.0812938473855"/>
    <m/>
    <n v="0"/>
    <n v="0"/>
    <n v="0"/>
    <n v="0"/>
    <n v="-50.50879461714203"/>
    <n v="-11.09567176132424"/>
    <n v="0"/>
    <n v="0"/>
    <m/>
    <m/>
    <m/>
    <n v="56700.073891605731"/>
    <n v="0"/>
    <n v="0"/>
    <n v="-40857.797750000005"/>
    <n v="4339.1047700000017"/>
    <n v="0"/>
    <n v="0"/>
    <n v="-41658.10093697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94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4.87"/>
    <n v="4.5777999999999999"/>
    <n v="4.87"/>
    <n v="4.5777999999999999"/>
    <m/>
    <n v="2592.54"/>
    <n v="216.76"/>
    <m/>
    <n v="13681.290999999999"/>
    <n v="13681.290999999999"/>
    <n v="5752.4440000000004"/>
    <n v="0"/>
    <n v="256.80112335389015"/>
    <n v="0"/>
    <n v="0"/>
    <n v="0"/>
    <n v="24.625813458414882"/>
    <n v="11156.641626495351"/>
    <n v="1040.2393090111073"/>
    <n v="15.376561066522994"/>
    <n v="0"/>
    <n v="0"/>
    <n v="0"/>
    <n v="0"/>
    <n v="45.649595917234777"/>
    <m/>
    <n v="6.687592096962061"/>
    <n v="219.70942440385477"/>
    <n v="833.74764628766252"/>
    <n v="0"/>
    <n v="0"/>
    <n v="0"/>
    <n v="0"/>
    <n v="0"/>
    <n v="0"/>
    <n v="0"/>
    <n v="0"/>
    <n v="0"/>
    <n v="0"/>
    <m/>
    <n v="0"/>
    <n v="0"/>
    <n v="2.2270446614756358"/>
    <n v="0"/>
    <n v="0"/>
    <n v="79.557083747757844"/>
    <n v="0"/>
    <n v="0"/>
    <n v="0"/>
    <n v="0"/>
    <n v="0"/>
    <m/>
    <m/>
    <m/>
    <m/>
    <n v="345.14664000000027"/>
    <m/>
    <m/>
    <m/>
    <m/>
    <n v="1122.0234374203408"/>
    <m/>
    <m/>
    <m/>
    <m/>
    <m/>
    <m/>
    <m/>
    <m/>
    <m/>
    <m/>
    <m/>
    <m/>
    <n v="5409.8959999999997"/>
    <n v="-7450.5475400000005"/>
    <m/>
    <m/>
    <m/>
    <m/>
    <n v="-8087.7551000000003"/>
    <n v="158.90809999999999"/>
    <n v="30"/>
    <n v="268.08720640902357"/>
    <n v="22.663362002975163"/>
    <n v="86.002340492287772"/>
    <n v="0"/>
    <n v="0"/>
    <n v="0"/>
    <n v="0"/>
    <n v="0"/>
    <n v="2.4077903743695579"/>
    <n v="0"/>
    <n v="0"/>
    <n v="158.92852245888025"/>
    <n v="0"/>
    <n v="0"/>
    <n v="0.34024951223458011"/>
    <n v="12.154789442814518"/>
    <n v="0"/>
    <n v="-12.269237502928661"/>
    <m/>
    <n v="0"/>
    <n v="0"/>
    <n v="0"/>
    <n v="0"/>
    <n v="-1.8497494325079984"/>
    <n v="-0.29086093910136945"/>
    <n v="0"/>
    <n v="0"/>
    <m/>
    <m/>
    <m/>
    <n v="11156.641626495351"/>
    <n v="0"/>
    <n v="0"/>
    <n v="-8087.7550999999994"/>
    <n v="158.90809999999988"/>
    <n v="0"/>
    <n v="0"/>
    <n v="-8196.8941324963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95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94.155000000000001"/>
    <n v="88.505700000000004"/>
    <n v="94.155000000000001"/>
    <n v="88.505700000000004"/>
    <m/>
    <n v="80.27"/>
    <n v="216.76"/>
    <m/>
    <n v="27966.859649999999"/>
    <n v="27966.859649999999"/>
    <n v="31002.416849999998"/>
    <n v="0"/>
    <n v="4964.909603569924"/>
    <n v="0"/>
    <n v="0"/>
    <n v="0"/>
    <n v="0"/>
    <n v="0"/>
    <n v="20111.649310049448"/>
    <n v="297.28544296067196"/>
    <n v="0"/>
    <n v="0"/>
    <n v="0"/>
    <n v="0"/>
    <n v="882.57447712263661"/>
    <m/>
    <n v="129.29573591159402"/>
    <n v="0"/>
    <n v="0"/>
    <n v="0"/>
    <n v="0"/>
    <n v="0"/>
    <n v="0"/>
    <n v="0"/>
    <n v="0"/>
    <n v="0"/>
    <n v="0"/>
    <n v="0"/>
    <n v="0"/>
    <m/>
    <n v="0"/>
    <n v="0"/>
    <n v="43.056958953026381"/>
    <n v="0"/>
    <n v="0"/>
    <n v="1538.1308460513635"/>
    <n v="0"/>
    <n v="0"/>
    <n v="0"/>
    <n v="0"/>
    <n v="0"/>
    <m/>
    <m/>
    <m/>
    <m/>
    <n v="1860.1450109999987"/>
    <m/>
    <m/>
    <m/>
    <m/>
    <n v="21692.837115053841"/>
    <m/>
    <m/>
    <m/>
    <m/>
    <m/>
    <m/>
    <m/>
    <m/>
    <m/>
    <m/>
    <m/>
    <m/>
    <n v="29143.687700000002"/>
    <n v="2854.809629000003"/>
    <m/>
    <m/>
    <m/>
    <m/>
    <n v="-36.720450000000056"/>
    <n v="3072.2776499999995"/>
    <n v="30"/>
    <n v="3035.6521967764565"/>
    <n v="0"/>
    <n v="0"/>
    <n v="0"/>
    <n v="0"/>
    <n v="0"/>
    <n v="0"/>
    <n v="0"/>
    <n v="0"/>
    <n v="0"/>
    <n v="0"/>
    <n v="3072.6724911942219"/>
    <n v="0"/>
    <n v="0"/>
    <n v="6.5782736805845872"/>
    <n v="234.9967556443944"/>
    <n v="0"/>
    <n v="-237.20945730764925"/>
    <m/>
    <n v="0"/>
    <n v="0"/>
    <n v="0"/>
    <n v="0"/>
    <n v="-35.762455404063758"/>
    <n v="-5.6234110310245313"/>
    <n v="0"/>
    <n v="0"/>
    <m/>
    <m/>
    <m/>
    <n v="0"/>
    <n v="0"/>
    <n v="0"/>
    <n v="-36.720449999999801"/>
    <n v="3072.27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96"/>
    <s v="Regular"/>
    <s v="Verde"/>
    <s v="A4"/>
    <s v="Serviço público"/>
    <s v="Água, esgoto e saneamento"/>
    <s v="Não se aplica"/>
    <s v="Não se aplica"/>
    <s v="Não se aplica"/>
    <s v="CATIVO"/>
    <x v="11"/>
    <n v="401"/>
    <n v="376.94"/>
    <n v="0"/>
    <n v="0"/>
    <n v="0"/>
    <n v="0"/>
    <n v="32.17"/>
    <m/>
    <m/>
    <n v="12900.17"/>
    <m/>
    <n v="12900.17"/>
    <n v="5184.93"/>
    <n v="0"/>
    <n v="0"/>
    <n v="0"/>
    <n v="0"/>
    <n v="0"/>
    <n v="40.066406277641434"/>
    <n v="10797.620906825692"/>
    <m/>
    <m/>
    <m/>
    <n v="0"/>
    <n v="0"/>
    <n v="0"/>
    <n v="0"/>
    <m/>
    <n v="0"/>
    <n v="707.53286367190572"/>
    <n v="1356.5289313437177"/>
    <n v="0"/>
    <n v="0"/>
    <m/>
    <m/>
    <n v="0"/>
    <n v="0"/>
    <n v="0"/>
    <m/>
    <m/>
    <n v="0"/>
    <m/>
    <n v="0"/>
    <n v="0"/>
    <n v="0"/>
    <n v="0"/>
    <m/>
    <n v="0"/>
    <n v="0"/>
    <n v="126.55"/>
    <n v="577.16"/>
    <n v="14172.45"/>
    <n v="2"/>
    <m/>
    <m/>
    <m/>
    <m/>
    <n v="311.0958"/>
    <m/>
    <m/>
    <m/>
    <m/>
    <n v="0"/>
    <m/>
    <m/>
    <m/>
    <m/>
    <m/>
    <m/>
    <m/>
    <m/>
    <m/>
    <m/>
    <m/>
    <m/>
    <n v="4873.8342000000002"/>
    <n v="-7252.3556000000017"/>
    <m/>
    <m/>
    <m/>
    <m/>
    <n v="-7715.2400000000007"/>
    <n v="0"/>
    <n v="30"/>
    <n v="216.8286154031216"/>
    <n v="72.983093292001968"/>
    <n v="139.92802685623997"/>
    <n v="0"/>
    <n v="0"/>
    <m/>
    <m/>
    <m/>
    <n v="3.91749525487951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97.620906825692"/>
    <m/>
    <n v="0"/>
    <n v="0"/>
    <n v="-7715.24"/>
    <m/>
    <n v="0"/>
    <m/>
    <n v="-7933.118085095509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597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0.46100000000000002"/>
    <n v="0.46100000000000002"/>
    <n v="0.46100000000000002"/>
    <n v="0.46100000000000002"/>
    <m/>
    <n v="571.87"/>
    <n v="216.76"/>
    <m/>
    <n v="363.55842999999999"/>
    <n v="363.55842999999999"/>
    <n v="236.95861000000002"/>
    <n v="0"/>
    <n v="27.94149445730212"/>
    <n v="0"/>
    <n v="0"/>
    <n v="0"/>
    <n v="0.37890221547324887"/>
    <n v="196.56287131073509"/>
    <n v="98.470291879696205"/>
    <n v="1.455563583504538"/>
    <n v="0"/>
    <n v="0"/>
    <n v="0"/>
    <n v="0"/>
    <n v="4.3212451166006636"/>
    <m/>
    <n v="0.88441446538751489"/>
    <n v="4.0944626623364089"/>
    <n v="12.828295457999603"/>
    <n v="0"/>
    <n v="0"/>
    <n v="0"/>
    <n v="0"/>
    <n v="0"/>
    <n v="0"/>
    <n v="0"/>
    <n v="0"/>
    <n v="0"/>
    <n v="0"/>
    <m/>
    <n v="0"/>
    <n v="0"/>
    <n v="0.27432709568732083"/>
    <n v="0"/>
    <n v="0"/>
    <n v="16.346247472059403"/>
    <n v="0"/>
    <n v="0.75"/>
    <n v="3.47"/>
    <n v="80.38"/>
    <n v="3"/>
    <m/>
    <m/>
    <m/>
    <m/>
    <m/>
    <m/>
    <m/>
    <m/>
    <m/>
    <n v="115.09086644744293"/>
    <m/>
    <m/>
    <m/>
    <m/>
    <m/>
    <m/>
    <m/>
    <m/>
    <m/>
    <m/>
    <m/>
    <m/>
    <n v="236.44459999999998"/>
    <n v="-127.14382999999998"/>
    <m/>
    <m/>
    <m/>
    <m/>
    <n v="-141.64225000000002"/>
    <n v="15.042429999999998"/>
    <n v="30"/>
    <n v="17.817790995238738"/>
    <n v="0.42235006429960009"/>
    <n v="1.3232582290660471"/>
    <n v="0"/>
    <n v="0"/>
    <n v="0"/>
    <n v="0"/>
    <n v="0"/>
    <n v="3.7047186635454532E-2"/>
    <n v="0"/>
    <n v="0"/>
    <n v="15.044363214280025"/>
    <n v="0"/>
    <n v="0"/>
    <n v="4.1911894321190968E-2"/>
    <n v="2.4973916443816364"/>
    <n v="0"/>
    <n v="-1.3349662462768173"/>
    <m/>
    <n v="0"/>
    <n v="0"/>
    <n v="0"/>
    <n v="0"/>
    <n v="-0.17509948426821076"/>
    <n v="-3.8465507200162952E-2"/>
    <n v="0"/>
    <n v="0"/>
    <m/>
    <m/>
    <m/>
    <n v="196.56287131073509"/>
    <n v="0"/>
    <n v="0"/>
    <n v="-141.64224999999999"/>
    <n v="15.042429999999996"/>
    <n v="0"/>
    <n v="0"/>
    <n v="-144.41667129355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598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.39"/>
    <n v="108.96"/>
    <n v="728.95"/>
    <n v="13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599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93"/>
    <n v="4.24"/>
    <n v="7.1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600"/>
    <s v="Regular"/>
    <s v="Convencional"/>
    <s v="B2"/>
    <s v="Rural"/>
    <s v="Agropecuária rural"/>
    <s v="IRRIG./AQUIC."/>
    <s v="Não se aplica"/>
    <s v="Não se aplica"/>
    <s v="CATIVO"/>
    <x v="11"/>
    <n v="0"/>
    <n v="0"/>
    <n v="14.558999999999999"/>
    <n v="14.558999999999999"/>
    <n v="14.558999999999999"/>
    <n v="14.558999999999999"/>
    <m/>
    <n v="571.87"/>
    <n v="216.76"/>
    <m/>
    <n v="11481.66417"/>
    <n v="11481.66417"/>
    <n v="7483.4715899999992"/>
    <n v="0"/>
    <n v="882.42997354416809"/>
    <n v="0"/>
    <n v="0"/>
    <n v="0"/>
    <n v="11.966241551138893"/>
    <n v="6207.7198338676617"/>
    <n v="3109.8242504913164"/>
    <n v="45.968655558009907"/>
    <n v="0"/>
    <n v="0"/>
    <n v="0"/>
    <n v="0"/>
    <n v="136.47073243511727"/>
    <m/>
    <n v="27.930998268062535"/>
    <n v="129.30863752918822"/>
    <n v="405.13482336879872"/>
    <n v="0"/>
    <n v="0"/>
    <n v="0"/>
    <n v="0"/>
    <n v="0"/>
    <n v="0"/>
    <n v="0"/>
    <n v="0"/>
    <n v="0"/>
    <n v="0"/>
    <m/>
    <n v="0"/>
    <n v="0"/>
    <n v="8.6636186249711571"/>
    <n v="0"/>
    <n v="0"/>
    <n v="516.23647927486513"/>
    <n v="0"/>
    <n v="0"/>
    <n v="0"/>
    <n v="0"/>
    <n v="0"/>
    <m/>
    <m/>
    <m/>
    <m/>
    <m/>
    <n v="897.99911999999972"/>
    <m/>
    <m/>
    <m/>
    <n v="3634.7243483911525"/>
    <m/>
    <m/>
    <m/>
    <m/>
    <m/>
    <m/>
    <m/>
    <m/>
    <m/>
    <m/>
    <m/>
    <m/>
    <n v="6585.9248000000007"/>
    <n v="-3518.0511999999999"/>
    <m/>
    <m/>
    <m/>
    <m/>
    <n v="-4473.2527499999997"/>
    <n v="475.06016999999991"/>
    <n v="30"/>
    <n v="562.70980281926404"/>
    <n v="13.338383050190629"/>
    <n v="41.790274527055431"/>
    <n v="0"/>
    <n v="0"/>
    <n v="0"/>
    <n v="0"/>
    <n v="0"/>
    <n v="1.1699999787973585"/>
    <n v="0"/>
    <n v="0"/>
    <n v="475.12122350694744"/>
    <n v="0"/>
    <n v="0"/>
    <n v="1.3236339900698901"/>
    <n v="78.870986877553719"/>
    <n v="0"/>
    <n v="-42.160029456711868"/>
    <m/>
    <n v="0"/>
    <n v="0"/>
    <n v="0"/>
    <n v="0"/>
    <n v="-5.5298772049043237"/>
    <n v="-1.2147924497335651"/>
    <n v="0"/>
    <n v="0"/>
    <m/>
    <m/>
    <m/>
    <n v="6207.7198338676617"/>
    <n v="0"/>
    <n v="0"/>
    <n v="-4473.2527500000006"/>
    <n v="475.06016999999974"/>
    <n v="0"/>
    <n v="0"/>
    <n v="-4560.872705776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01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.435"/>
    <n v="0.435"/>
    <n v="0.435"/>
    <n v="0.435"/>
    <m/>
    <n v="571.87"/>
    <n v="216.76"/>
    <m/>
    <n v="343.05405000000002"/>
    <n v="343.05405000000002"/>
    <n v="223.59434999999999"/>
    <n v="0"/>
    <n v="26.365618414157098"/>
    <n v="0"/>
    <n v="0"/>
    <n v="0"/>
    <n v="0.35753245928603739"/>
    <n v="185.47689592227715"/>
    <n v="92.916652858281665"/>
    <n v="1.3734710603567766"/>
    <n v="0"/>
    <n v="0"/>
    <n v="0"/>
    <n v="0"/>
    <n v="4.0775306414778498"/>
    <m/>
    <n v="0.83453425692748151"/>
    <n v="3.863538520859735"/>
    <n v="12.104790725010471"/>
    <n v="0"/>
    <n v="0"/>
    <n v="0"/>
    <n v="0"/>
    <n v="0"/>
    <n v="0"/>
    <n v="0"/>
    <n v="0"/>
    <n v="0"/>
    <n v="0"/>
    <m/>
    <n v="0"/>
    <n v="0"/>
    <n v="0.25885528551840464"/>
    <n v="0"/>
    <n v="0"/>
    <n v="15.424333297930239"/>
    <n v="0"/>
    <n v="0"/>
    <n v="0"/>
    <n v="0"/>
    <n v="0"/>
    <m/>
    <m/>
    <m/>
    <m/>
    <m/>
    <n v="26.830799999999989"/>
    <m/>
    <m/>
    <m/>
    <n v="108.59984144173032"/>
    <m/>
    <m/>
    <m/>
    <m/>
    <m/>
    <m/>
    <m/>
    <m/>
    <m/>
    <m/>
    <m/>
    <m/>
    <n v="199.02520000000001"/>
    <n v="-102.89479999999995"/>
    <m/>
    <m/>
    <m/>
    <m/>
    <n v="-133.65375"/>
    <n v="14.194049999999997"/>
    <n v="30"/>
    <n v="16.812883043229618"/>
    <n v="0.39852988713736703"/>
    <n v="1.2486276131100436"/>
    <n v="0"/>
    <n v="0"/>
    <n v="0"/>
    <n v="0"/>
    <n v="0"/>
    <n v="3.4957757454279259E-2"/>
    <n v="0"/>
    <n v="0"/>
    <n v="14.195874182672028"/>
    <n v="0"/>
    <n v="0"/>
    <n v="3.9548099847544649E-2"/>
    <n v="2.3565409225726945"/>
    <n v="0"/>
    <n v="-1.2596753083089283"/>
    <m/>
    <n v="0"/>
    <n v="0"/>
    <n v="0"/>
    <n v="0"/>
    <n v="-0.1652240252856223"/>
    <n v="-3.6296085969785064E-2"/>
    <n v="0"/>
    <n v="0"/>
    <m/>
    <m/>
    <m/>
    <n v="185.47689592227715"/>
    <n v="0"/>
    <n v="0"/>
    <n v="-133.65375"/>
    <n v="14.19404999999999"/>
    <n v="0"/>
    <n v="0"/>
    <n v="-136.2716963399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02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5.1970000000000001"/>
    <n v="2.0788000000000002"/>
    <n v="5.1970000000000001"/>
    <n v="2.0788000000000002"/>
    <m/>
    <n v="571.87"/>
    <n v="216.76"/>
    <m/>
    <n v="4098.5101100000002"/>
    <n v="4098.5101100000002"/>
    <n v="2671.3099700000002"/>
    <n v="0"/>
    <n v="314.99337677787224"/>
    <n v="0"/>
    <n v="0"/>
    <n v="0"/>
    <n v="4.2714854963437618"/>
    <n v="2215.9159266852284"/>
    <n v="1110.0869997804364"/>
    <n v="16.409032415342917"/>
    <n v="0"/>
    <n v="0"/>
    <n v="0"/>
    <n v="0"/>
    <n v="48.714774123587091"/>
    <m/>
    <n v="9.9702862833382095"/>
    <n v="46.158183202087457"/>
    <n v="144.61746528248142"/>
    <n v="0"/>
    <n v="0"/>
    <n v="0"/>
    <n v="0"/>
    <n v="0"/>
    <n v="0"/>
    <n v="0"/>
    <n v="0"/>
    <n v="0"/>
    <n v="0"/>
    <m/>
    <n v="0"/>
    <n v="0"/>
    <n v="3.0925768249175838"/>
    <n v="0"/>
    <n v="0"/>
    <n v="184.27646011343322"/>
    <n v="0"/>
    <n v="0"/>
    <n v="0"/>
    <n v="0"/>
    <n v="0"/>
    <m/>
    <m/>
    <m/>
    <m/>
    <m/>
    <m/>
    <n v="1731.0063660000001"/>
    <m/>
    <m/>
    <n v="1297.4560367187871"/>
    <m/>
    <m/>
    <m/>
    <m/>
    <m/>
    <m/>
    <m/>
    <m/>
    <m/>
    <m/>
    <m/>
    <m/>
    <n v="940.84640000000013"/>
    <n v="-501.87080000000014"/>
    <m/>
    <m/>
    <m/>
    <m/>
    <n v="-1596.7782500000001"/>
    <n v="169.57810999999998"/>
    <n v="30"/>
    <n v="200.86563948428557"/>
    <n v="4.7612869504664204"/>
    <n v="14.917511966282518"/>
    <n v="0"/>
    <n v="0"/>
    <n v="0"/>
    <n v="0"/>
    <n v="0"/>
    <n v="0.4176447482526191"/>
    <n v="0"/>
    <n v="0"/>
    <n v="169.59990374102654"/>
    <n v="0"/>
    <n v="0"/>
    <n v="0.47248614921307919"/>
    <n v="28.153892355425967"/>
    <n v="0"/>
    <n v="-15.049500177658615"/>
    <m/>
    <n v="0"/>
    <n v="0"/>
    <n v="0"/>
    <n v="0"/>
    <n v="-1.973952320481331"/>
    <n v="-0.43363392824131708"/>
    <n v="0"/>
    <n v="0"/>
    <m/>
    <m/>
    <m/>
    <n v="2215.9159266852284"/>
    <n v="0"/>
    <n v="0"/>
    <n v="-1596.7782499999998"/>
    <n v="169.57810999999992"/>
    <n v="0"/>
    <n v="0"/>
    <n v="-1628.055185927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03"/>
    <s v="Sistema de Compensação"/>
    <s v="Convencional"/>
    <s v="B2"/>
    <s v="Rural"/>
    <s v="Agropecuária rural"/>
    <s v="IRRIG./AQUIC. PR"/>
    <s v="Não se aplica"/>
    <s v="Não se aplica"/>
    <s v="CATIVO"/>
    <x v="11"/>
    <n v="0"/>
    <n v="0"/>
    <n v="0.51600000000000001"/>
    <n v="0.51600000000000001"/>
    <n v="0.51600000000000001"/>
    <n v="0.51600000000000001"/>
    <m/>
    <n v="571.87"/>
    <n v="216.76"/>
    <m/>
    <n v="406.93308000000002"/>
    <n v="406.93308000000002"/>
    <n v="265.22915999999998"/>
    <n v="0"/>
    <n v="31.275078394724279"/>
    <n v="0"/>
    <n v="0"/>
    <n v="0"/>
    <n v="0.42410746894619611"/>
    <n v="220.0139730940115"/>
    <n v="110.21837442499618"/>
    <n v="1.6292208440094178"/>
    <n v="0"/>
    <n v="0"/>
    <n v="0"/>
    <n v="0"/>
    <n v="4.8367949678220015"/>
    <m/>
    <n v="0.98993029097604712"/>
    <n v="4.5829560385370653"/>
    <n v="14.358786239322766"/>
    <n v="0"/>
    <n v="0"/>
    <n v="0"/>
    <n v="0"/>
    <n v="0"/>
    <n v="0"/>
    <n v="0"/>
    <n v="0"/>
    <n v="0"/>
    <n v="0"/>
    <m/>
    <n v="0"/>
    <n v="0"/>
    <n v="0.30705592489079725"/>
    <n v="0"/>
    <n v="0"/>
    <n v="18.296450532717248"/>
    <n v="0"/>
    <n v="0"/>
    <n v="0"/>
    <n v="0"/>
    <n v="0"/>
    <m/>
    <m/>
    <m/>
    <m/>
    <m/>
    <n v="31.826879999999989"/>
    <m/>
    <m/>
    <m/>
    <n v="128.82188088260423"/>
    <m/>
    <m/>
    <m/>
    <m/>
    <m/>
    <m/>
    <m/>
    <m/>
    <m/>
    <m/>
    <m/>
    <m/>
    <n v="235.21160000000003"/>
    <n v="-122.92239999999998"/>
    <m/>
    <m/>
    <m/>
    <m/>
    <n v="-158.541"/>
    <n v="16.837079999999997"/>
    <n v="30"/>
    <n v="19.943557816796528"/>
    <n v="0.47273890060432411"/>
    <n v="1.4811306858960513"/>
    <n v="0"/>
    <n v="0"/>
    <n v="0"/>
    <n v="0"/>
    <n v="0"/>
    <n v="4.1467132980248456E-2"/>
    <n v="0"/>
    <n v="0"/>
    <n v="16.839243858066141"/>
    <n v="0"/>
    <n v="0"/>
    <n v="4.691222878467366E-2"/>
    <n v="2.7953450943620943"/>
    <n v="0"/>
    <n v="-1.4942355381319672"/>
    <m/>
    <n v="0"/>
    <n v="0"/>
    <n v="0"/>
    <n v="0"/>
    <n v="-0.19598987826984171"/>
    <n v="-4.3054667495193377E-2"/>
    <n v="0"/>
    <n v="0"/>
    <m/>
    <m/>
    <m/>
    <n v="220.0139730940115"/>
    <n v="0"/>
    <n v="0"/>
    <n v="-158.541"/>
    <n v="16.83708"/>
    <n v="0"/>
    <n v="0"/>
    <n v="-161.6464260032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04"/>
    <s v="Regular"/>
    <s v="Verde"/>
    <s v="A4"/>
    <s v="Rural"/>
    <s v="Agropecuária rural"/>
    <s v="Não se aplica"/>
    <s v="Não se aplica"/>
    <s v="Ponta"/>
    <s v="CATIVO"/>
    <x v="11"/>
    <n v="0"/>
    <n v="0"/>
    <n v="0.52200000000000002"/>
    <n v="0.50112000000000001"/>
    <n v="0.52200000000000002"/>
    <n v="0.50112000000000001"/>
    <m/>
    <n v="2592.54"/>
    <n v="216.76"/>
    <m/>
    <n v="1466.4546"/>
    <n v="1466.4546"/>
    <n v="616.58639999999991"/>
    <n v="0"/>
    <n v="27.525705624380013"/>
    <n v="0"/>
    <n v="0"/>
    <n v="0"/>
    <n v="2.6395635780888229"/>
    <n v="1195.8453653040192"/>
    <n v="111.499983429938"/>
    <n v="1.6481652724281319"/>
    <n v="0"/>
    <n v="0"/>
    <n v="0"/>
    <n v="0"/>
    <n v="4.8930367697734196"/>
    <m/>
    <n v="0.71682198657375684"/>
    <n v="23.549962944314618"/>
    <n v="89.366790834119058"/>
    <n v="0"/>
    <n v="0"/>
    <n v="0"/>
    <n v="0"/>
    <n v="0"/>
    <n v="0"/>
    <n v="0"/>
    <n v="0"/>
    <n v="0"/>
    <n v="0"/>
    <m/>
    <n v="0"/>
    <n v="0"/>
    <n v="0.23870992059348706"/>
    <n v="0"/>
    <n v="0"/>
    <n v="8.5274738637227099"/>
    <n v="0"/>
    <n v="0"/>
    <n v="0"/>
    <n v="0"/>
    <n v="0"/>
    <m/>
    <m/>
    <m/>
    <m/>
    <m/>
    <n v="24.663456000000011"/>
    <m/>
    <m/>
    <m/>
    <n v="120.2661672142542"/>
    <m/>
    <m/>
    <m/>
    <m/>
    <m/>
    <m/>
    <m/>
    <m/>
    <m/>
    <m/>
    <m/>
    <m/>
    <n v="590.59999999999991"/>
    <n v="-817.22641599999997"/>
    <m/>
    <m/>
    <m/>
    <m/>
    <n v="-866.90106000000003"/>
    <n v="17.032859999999999"/>
    <n v="30"/>
    <n v="28.735425409755692"/>
    <n v="2.4292145719821434"/>
    <n v="9.2183206852103154"/>
    <n v="0"/>
    <n v="0"/>
    <n v="0"/>
    <n v="0"/>
    <n v="0"/>
    <n v="0.25808348571271278"/>
    <n v="0"/>
    <n v="0"/>
    <n v="17.03504901920644"/>
    <n v="0"/>
    <n v="0"/>
    <n v="3.6470276260051504E-2"/>
    <n v="1.3028336938704665"/>
    <n v="0"/>
    <n v="-1.3151010218744901"/>
    <m/>
    <n v="0"/>
    <n v="0"/>
    <n v="0"/>
    <n v="0"/>
    <n v="-0.19826883034274623"/>
    <n v="-3.1176470269181689E-2"/>
    <n v="0"/>
    <n v="0"/>
    <m/>
    <m/>
    <m/>
    <n v="1195.8453653040192"/>
    <n v="0"/>
    <n v="0"/>
    <n v="-866.90106000000014"/>
    <n v="17.032859999999999"/>
    <n v="0"/>
    <n v="0"/>
    <n v="-878.59933001295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05"/>
    <s v="Regular"/>
    <s v="Verde"/>
    <s v="A4"/>
    <s v="Rural"/>
    <s v="Agropecuária rural"/>
    <s v="Não se aplica"/>
    <s v="Não se aplica"/>
    <s v="Fora ponta"/>
    <s v="CATIVO"/>
    <x v="11"/>
    <n v="0"/>
    <n v="0"/>
    <n v="3.3679999999999999"/>
    <n v="3.2332800000000002"/>
    <n v="3.3679999999999999"/>
    <n v="3.2332800000000002"/>
    <m/>
    <n v="80.27"/>
    <n v="216.76"/>
    <m/>
    <n v="1000.3970399999998"/>
    <n v="1000.3970399999998"/>
    <n v="1108.9813599999998"/>
    <n v="0"/>
    <n v="177.59880563776224"/>
    <n v="0"/>
    <n v="0"/>
    <n v="0"/>
    <n v="0"/>
    <n v="0"/>
    <n v="719.40985477400602"/>
    <n v="10.634139152371548"/>
    <n v="0"/>
    <n v="0"/>
    <n v="0"/>
    <n v="0"/>
    <n v="31.570398162062983"/>
    <m/>
    <n v="4.6250123578168836"/>
    <n v="0"/>
    <n v="0"/>
    <n v="0"/>
    <n v="0"/>
    <n v="0"/>
    <n v="0"/>
    <n v="0"/>
    <n v="0"/>
    <n v="0"/>
    <n v="0"/>
    <n v="0"/>
    <n v="0"/>
    <m/>
    <n v="0"/>
    <n v="0"/>
    <n v="1.5401820163962918"/>
    <n v="0"/>
    <n v="0"/>
    <n v="55.020176193521237"/>
    <n v="0"/>
    <n v="0"/>
    <n v="0"/>
    <n v="0"/>
    <n v="0"/>
    <m/>
    <m/>
    <m/>
    <m/>
    <m/>
    <n v="44.359254399999905"/>
    <m/>
    <m/>
    <m/>
    <n v="775.9702129839236"/>
    <m/>
    <m/>
    <m/>
    <m/>
    <m/>
    <m/>
    <m/>
    <m/>
    <m/>
    <m/>
    <m/>
    <m/>
    <n v="1063.5420999999999"/>
    <n v="103.13094159999991"/>
    <m/>
    <m/>
    <m/>
    <m/>
    <n v="-1.3135200000000018"/>
    <n v="109.89783999999997"/>
    <n v="30"/>
    <n v="108.58771811102019"/>
    <n v="0"/>
    <n v="0"/>
    <n v="0"/>
    <n v="0"/>
    <n v="0"/>
    <n v="0"/>
    <n v="0"/>
    <n v="0"/>
    <n v="0"/>
    <n v="0"/>
    <n v="109.91196378675727"/>
    <n v="0"/>
    <n v="0"/>
    <n v="0.23531013494991093"/>
    <n v="8.4060227604515987"/>
    <n v="0"/>
    <n v="-8.4851728767687575"/>
    <m/>
    <n v="0"/>
    <n v="0"/>
    <n v="0"/>
    <n v="0"/>
    <n v="-1.2792517635907501"/>
    <n v="-0.2011539307789354"/>
    <n v="0"/>
    <n v="0"/>
    <m/>
    <m/>
    <m/>
    <n v="0"/>
    <n v="0"/>
    <n v="0"/>
    <n v="-1.3135200000000395"/>
    <n v="109.8978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06"/>
    <s v="Regular"/>
    <s v="Verde"/>
    <s v="A4"/>
    <s v="Rural"/>
    <s v="Agropecuária rural"/>
    <s v="Não se aplica"/>
    <s v="Não se aplica"/>
    <s v="Não se aplica"/>
    <s v="CATIVO"/>
    <x v="11"/>
    <n v="228"/>
    <n v="218.88"/>
    <n v="0"/>
    <n v="0"/>
    <n v="0"/>
    <n v="0"/>
    <n v="32.17"/>
    <m/>
    <m/>
    <n v="7334.76"/>
    <m/>
    <n v="7334.76"/>
    <n v="2948.04"/>
    <n v="0"/>
    <n v="0"/>
    <n v="0"/>
    <n v="0"/>
    <n v="0"/>
    <n v="22.780899329930794"/>
    <n v="6139.2956776964038"/>
    <m/>
    <m/>
    <m/>
    <n v="0"/>
    <n v="0"/>
    <n v="0"/>
    <n v="0"/>
    <m/>
    <n v="0"/>
    <n v="402.28801226233048"/>
    <n v="771.29325772161508"/>
    <n v="0"/>
    <n v="0"/>
    <m/>
    <m/>
    <n v="0"/>
    <n v="0"/>
    <n v="0"/>
    <m/>
    <m/>
    <n v="0"/>
    <m/>
    <n v="0"/>
    <n v="0"/>
    <n v="0"/>
    <n v="0"/>
    <m/>
    <n v="0"/>
    <n v="0"/>
    <n v="15.09"/>
    <n v="68.81"/>
    <n v="56.55"/>
    <n v="12"/>
    <m/>
    <m/>
    <m/>
    <m/>
    <m/>
    <n v="117.92160000000005"/>
    <m/>
    <m/>
    <m/>
    <n v="0"/>
    <m/>
    <m/>
    <m/>
    <m/>
    <m/>
    <m/>
    <m/>
    <m/>
    <m/>
    <m/>
    <m/>
    <m/>
    <n v="2830.1183999999998"/>
    <n v="-4211.2812000000013"/>
    <m/>
    <m/>
    <m/>
    <m/>
    <n v="-4386.72"/>
    <n v="0"/>
    <n v="30"/>
    <n v="123.28410052845788"/>
    <n v="41.496621622385078"/>
    <n v="79.560075120256101"/>
    <n v="0"/>
    <n v="0"/>
    <m/>
    <m/>
    <m/>
    <n v="2.22740378581677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39.2956776964038"/>
    <m/>
    <n v="0"/>
    <n v="0"/>
    <n v="-4386.72"/>
    <m/>
    <n v="0"/>
    <m/>
    <n v="-4510.600806488219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07"/>
    <s v="Sistema de Compensação"/>
    <s v="Verde"/>
    <s v="A4"/>
    <s v="Rural"/>
    <s v="Agropecuária rural"/>
    <s v="Não se aplica"/>
    <s v="Não se aplica"/>
    <s v="Não se aplica"/>
    <s v="CATIVO"/>
    <x v="11"/>
    <n v="25"/>
    <n v="24"/>
    <n v="0"/>
    <n v="0"/>
    <n v="0"/>
    <n v="0"/>
    <n v="32.17"/>
    <m/>
    <m/>
    <n v="804.25"/>
    <m/>
    <n v="804.25"/>
    <n v="323.25"/>
    <n v="0"/>
    <n v="0"/>
    <n v="0"/>
    <n v="0"/>
    <n v="0"/>
    <n v="2.497905628281885"/>
    <n v="673.16838571232495"/>
    <m/>
    <m/>
    <m/>
    <n v="0"/>
    <n v="0"/>
    <n v="0"/>
    <n v="0"/>
    <m/>
    <n v="0"/>
    <n v="44.110527660343251"/>
    <n v="84.571629136142008"/>
    <n v="0"/>
    <n v="0"/>
    <m/>
    <m/>
    <n v="0"/>
    <n v="0"/>
    <n v="0"/>
    <m/>
    <m/>
    <n v="0"/>
    <m/>
    <n v="0"/>
    <n v="0"/>
    <n v="0"/>
    <n v="0"/>
    <m/>
    <n v="0"/>
    <n v="0"/>
    <n v="1.85"/>
    <n v="8.44"/>
    <n v="1.68"/>
    <n v="1"/>
    <m/>
    <m/>
    <m/>
    <m/>
    <m/>
    <n v="12.93"/>
    <m/>
    <m/>
    <m/>
    <n v="0"/>
    <m/>
    <m/>
    <m/>
    <m/>
    <m/>
    <m/>
    <m/>
    <m/>
    <m/>
    <m/>
    <m/>
    <m/>
    <n v="310.32"/>
    <n v="-461.79"/>
    <m/>
    <m/>
    <m/>
    <m/>
    <n v="-481.00000000000006"/>
    <n v="0"/>
    <n v="30"/>
    <n v="13.517993478997596"/>
    <n v="4.5500681603492481"/>
    <n v="8.7236924473965018"/>
    <n v="0"/>
    <n v="0"/>
    <m/>
    <m/>
    <m/>
    <n v="0.244232871251840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673.16838571232495"/>
    <m/>
    <n v="0"/>
    <n v="0"/>
    <n v="-481"/>
    <m/>
    <n v="0"/>
    <m/>
    <n v="-494.5834217640592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08"/>
    <s v="Regular"/>
    <s v="Verde"/>
    <s v="A4"/>
    <s v="Rural"/>
    <s v="Agropecuária rural"/>
    <s v="IRRIG./AQUIC. PR"/>
    <s v="Não se aplica"/>
    <s v="Fora ponta"/>
    <s v="CATIVO"/>
    <x v="11"/>
    <n v="0"/>
    <n v="0"/>
    <n v="2.1680000000000001"/>
    <n v="0.65039999999999998"/>
    <n v="2.1680000000000001"/>
    <n v="0.65039999999999998"/>
    <m/>
    <n v="80.27"/>
    <n v="216.76"/>
    <m/>
    <n v="643.96104000000003"/>
    <n v="643.96104000000003"/>
    <n v="713.85735999999997"/>
    <n v="0"/>
    <n v="114.32132144378519"/>
    <n v="0"/>
    <n v="0"/>
    <n v="0"/>
    <n v="0"/>
    <n v="0"/>
    <n v="463.0880537856429"/>
    <n v="6.8452534686287168"/>
    <n v="0"/>
    <n v="0"/>
    <n v="0"/>
    <n v="0"/>
    <n v="20.322037771779261"/>
    <m/>
    <n v="2.9771457220151438"/>
    <n v="0"/>
    <n v="0"/>
    <n v="0"/>
    <n v="0"/>
    <n v="0"/>
    <n v="0"/>
    <n v="0"/>
    <n v="0"/>
    <n v="0"/>
    <n v="0"/>
    <n v="0"/>
    <n v="0"/>
    <m/>
    <n v="0"/>
    <n v="0"/>
    <n v="0.99142357825034477"/>
    <n v="0"/>
    <n v="0"/>
    <n v="35.416788001055238"/>
    <n v="0"/>
    <n v="0"/>
    <n v="0"/>
    <n v="0"/>
    <n v="0"/>
    <m/>
    <m/>
    <m/>
    <m/>
    <m/>
    <m/>
    <n v="499.70015200000006"/>
    <m/>
    <m/>
    <n v="499.4962653649485"/>
    <m/>
    <m/>
    <m/>
    <m/>
    <m/>
    <m/>
    <m/>
    <m/>
    <m/>
    <m/>
    <m/>
    <m/>
    <n v="214.02549999999999"/>
    <n v="20.807188000000025"/>
    <m/>
    <m/>
    <m/>
    <m/>
    <n v="-0.84552000000000127"/>
    <n v="70.741839999999996"/>
    <n v="30"/>
    <n v="69.898507382628395"/>
    <n v="0"/>
    <n v="0"/>
    <n v="0"/>
    <n v="0"/>
    <n v="0"/>
    <n v="0"/>
    <n v="0"/>
    <n v="0"/>
    <n v="0"/>
    <n v="0"/>
    <n v="70.75093155869655"/>
    <n v="0"/>
    <n v="0"/>
    <n v="0.15147041940956252"/>
    <n v="5.4110027745424816"/>
    <n v="0"/>
    <n v="-5.4619521368273922"/>
    <m/>
    <n v="0"/>
    <n v="0"/>
    <n v="0"/>
    <n v="0"/>
    <n v="-0.82346134900972245"/>
    <n v="-0.12948388418311518"/>
    <n v="0"/>
    <n v="0"/>
    <m/>
    <m/>
    <m/>
    <n v="0"/>
    <n v="0"/>
    <n v="0"/>
    <n v="-0.84551999999999339"/>
    <n v="70.7418399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09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1500000000000004"/>
    <n v="19.149999999999999"/>
    <n v="52.02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"/>
    <m/>
    <m/>
    <m/>
    <m/>
    <n v="0"/>
    <m/>
    <m/>
    <m/>
    <m/>
    <n v="0"/>
    <n v="0"/>
    <n v="0"/>
    <n v="0"/>
  </r>
  <r>
    <n v="610"/>
    <s v="Regular"/>
    <s v="Convencional"/>
    <s v="B2"/>
    <s v="Rural"/>
    <s v="Aquicultura"/>
    <s v="IRRIG./AQUIC."/>
    <s v="Não se aplica"/>
    <s v="Não se aplica"/>
    <s v="CATIVO"/>
    <x v="11"/>
    <n v="0"/>
    <n v="0"/>
    <n v="1.891"/>
    <n v="1.891"/>
    <n v="1.891"/>
    <n v="1.891"/>
    <m/>
    <n v="571.87"/>
    <n v="216.76"/>
    <m/>
    <n v="1491.2993299999998"/>
    <n v="1491.2993299999998"/>
    <n v="971.99290999999994"/>
    <n v="0"/>
    <n v="114.61467683027831"/>
    <n v="0"/>
    <n v="0"/>
    <n v="0"/>
    <n v="1.5542388057698775"/>
    <n v="806.29151767592202"/>
    <n v="403.92043805749569"/>
    <n v="5.9706523566314127"/>
    <n v="0"/>
    <n v="0"/>
    <n v="0"/>
    <n v="0"/>
    <n v="17.725541248355434"/>
    <m/>
    <n v="3.6278259306893506"/>
    <n v="16.795290443553469"/>
    <n v="52.621055772401839"/>
    <n v="0"/>
    <n v="0"/>
    <n v="0"/>
    <n v="0"/>
    <n v="0"/>
    <n v="0"/>
    <n v="0"/>
    <n v="0"/>
    <n v="0"/>
    <n v="0"/>
    <m/>
    <n v="0"/>
    <n v="0"/>
    <n v="1.1252766549777085"/>
    <n v="0"/>
    <n v="0"/>
    <n v="67.051527049163411"/>
    <n v="0"/>
    <n v="0"/>
    <n v="0"/>
    <n v="0"/>
    <n v="0"/>
    <m/>
    <m/>
    <m/>
    <m/>
    <m/>
    <n v="116.63687999999996"/>
    <m/>
    <m/>
    <m/>
    <n v="472.09724176163684"/>
    <m/>
    <m/>
    <m/>
    <m/>
    <m/>
    <m/>
    <m/>
    <m/>
    <m/>
    <m/>
    <m/>
    <m/>
    <n v="854.90369999999996"/>
    <n v="-457.48030000000006"/>
    <m/>
    <m/>
    <m/>
    <m/>
    <n v="-581.00975000000005"/>
    <n v="61.703329999999994"/>
    <n v="30"/>
    <n v="73.087728355740978"/>
    <n v="1.7324598082224369"/>
    <n v="5.4279421066461921"/>
    <n v="0"/>
    <n v="0"/>
    <n v="0"/>
    <n v="0"/>
    <n v="0"/>
    <n v="0.15196579160009671"/>
    <n v="0"/>
    <n v="0"/>
    <n v="61.711259952719161"/>
    <n v="0"/>
    <n v="0"/>
    <n v="0.17192059037174001"/>
    <n v="10.244181343873478"/>
    <n v="0"/>
    <n v="-5.4759678345107545"/>
    <m/>
    <n v="0"/>
    <n v="0"/>
    <n v="0"/>
    <n v="0"/>
    <n v="-0.71824972831060307"/>
    <n v="-0.15778367487095046"/>
    <n v="0"/>
    <n v="0"/>
    <m/>
    <m/>
    <m/>
    <n v="806.29151767592202"/>
    <n v="0"/>
    <n v="0"/>
    <n v="-581.00974999999994"/>
    <n v="61.703329999999994"/>
    <n v="0"/>
    <n v="0"/>
    <n v="-592.39029374429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11"/>
    <s v="Regular"/>
    <s v="Convencional"/>
    <s v="B2"/>
    <s v="Rural"/>
    <s v="Aquicultura"/>
    <s v="IRRIG./AQUIC. PR"/>
    <s v="Não se aplica"/>
    <s v="Não se aplica"/>
    <s v="CATIVO"/>
    <x v="11"/>
    <n v="0"/>
    <n v="0"/>
    <n v="2.5019999999999998"/>
    <n v="1.0007999999999999"/>
    <n v="2.5019999999999998"/>
    <n v="1.0007999999999999"/>
    <m/>
    <n v="571.87"/>
    <n v="216.76"/>
    <m/>
    <n v="1973.1522599999998"/>
    <n v="1973.1522599999998"/>
    <n v="1286.0530199999998"/>
    <n v="0"/>
    <n v="151.64776384418633"/>
    <n v="0"/>
    <n v="0"/>
    <n v="0"/>
    <n v="2.0564280761693459"/>
    <n v="1066.8119393046836"/>
    <n v="534.43095506073723"/>
    <n v="7.8998266506038046"/>
    <n v="0"/>
    <n v="0"/>
    <n v="0"/>
    <n v="0"/>
    <n v="23.45283141374156"/>
    <m/>
    <n v="4.8000108295001347"/>
    <n v="22.222007768255303"/>
    <n v="69.62341699764643"/>
    <n v="0"/>
    <n v="0"/>
    <n v="0"/>
    <n v="0"/>
    <n v="0"/>
    <n v="0"/>
    <n v="0"/>
    <n v="0"/>
    <n v="0"/>
    <n v="0"/>
    <m/>
    <n v="0"/>
    <n v="0"/>
    <n v="1.4888641939472376"/>
    <n v="0"/>
    <n v="0"/>
    <n v="88.716510141198754"/>
    <n v="0"/>
    <n v="0"/>
    <n v="0"/>
    <n v="0"/>
    <n v="0"/>
    <m/>
    <m/>
    <m/>
    <m/>
    <m/>
    <m/>
    <n v="833.36115599999994"/>
    <m/>
    <m/>
    <n v="624.63632939588331"/>
    <m/>
    <m/>
    <m/>
    <m/>
    <m/>
    <m/>
    <m/>
    <m/>
    <m/>
    <m/>
    <m/>
    <m/>
    <n v="452.33000000000004"/>
    <n v="-242.25519999999983"/>
    <m/>
    <m/>
    <m/>
    <m/>
    <n v="-768.73949999999991"/>
    <n v="81.640259999999984"/>
    <n v="30"/>
    <n v="96.703065227955221"/>
    <n v="2.2922339715349231"/>
    <n v="7.1817615816122498"/>
    <n v="0"/>
    <n v="0"/>
    <n v="0"/>
    <n v="0"/>
    <n v="0"/>
    <n v="0.20106737735771629"/>
    <n v="0"/>
    <n v="0"/>
    <n v="81.650752195506811"/>
    <n v="0"/>
    <n v="0"/>
    <n v="0.22746976050242917"/>
    <n v="13.554173306383632"/>
    <n v="0"/>
    <n v="-7.2453048767561938"/>
    <m/>
    <n v="0"/>
    <n v="0"/>
    <n v="0"/>
    <n v="0"/>
    <n v="-0.95032301440144096"/>
    <n v="-0.208765073784833"/>
    <n v="0"/>
    <n v="0"/>
    <m/>
    <m/>
    <m/>
    <n v="1066.8119393046836"/>
    <n v="0"/>
    <n v="0"/>
    <n v="-768.73950000000002"/>
    <n v="81.640260000000012"/>
    <n v="0"/>
    <n v="0"/>
    <n v="-783.79720515505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"/>
    <n v="0"/>
    <n v="0"/>
    <m/>
    <n v="0"/>
    <m/>
    <m/>
    <m/>
    <m/>
    <n v="0"/>
    <n v="0"/>
    <n v="0"/>
    <n v="0"/>
  </r>
  <r>
    <n v="612"/>
    <s v="Regular"/>
    <s v="Verde"/>
    <s v="A4"/>
    <s v="Industrial"/>
    <s v="Não se aplica"/>
    <s v="Fonte incentivada"/>
    <s v="Não se aplica"/>
    <s v="Ponta"/>
    <s v="LIVRE"/>
    <x v="0"/>
    <n v="0"/>
    <n v="0"/>
    <n v="10.778"/>
    <n v="5.3890000000000002"/>
    <n v="0"/>
    <n v="0"/>
    <m/>
    <n v="2592.54"/>
    <m/>
    <m/>
    <n v="27942.396120000001"/>
    <n v="27942.396120000001"/>
    <n v="10043.04818"/>
    <n v="0"/>
    <n v="568.3372705355705"/>
    <n v="0"/>
    <n v="0"/>
    <n v="0"/>
    <n v="54.500414261765009"/>
    <n v="24691.22863457226"/>
    <m/>
    <m/>
    <m/>
    <n v="0"/>
    <n v="0"/>
    <n v="0"/>
    <n v="101.02902357206497"/>
    <m/>
    <n v="14.800588833892627"/>
    <n v="486.2480854670938"/>
    <n v="1845.201669751217"/>
    <n v="0"/>
    <n v="0"/>
    <m/>
    <m/>
    <n v="0"/>
    <n v="0"/>
    <n v="0"/>
    <m/>
    <m/>
    <n v="0"/>
    <m/>
    <n v="0"/>
    <n v="0"/>
    <n v="4.9287653719475166"/>
    <n v="0"/>
    <m/>
    <n v="176.07109828199879"/>
    <n v="0"/>
    <n v="0"/>
    <n v="0"/>
    <n v="0"/>
    <n v="0"/>
    <m/>
    <n v="5021.5240899999999"/>
    <m/>
    <m/>
    <m/>
    <m/>
    <m/>
    <m/>
    <m/>
    <n v="180.99986365394631"/>
    <m/>
    <m/>
    <m/>
    <m/>
    <m/>
    <m/>
    <m/>
    <m/>
    <m/>
    <m/>
    <m/>
    <m/>
    <n v="5022.455899999999"/>
    <n v="-8948.7721600000023"/>
    <m/>
    <m/>
    <m/>
    <m/>
    <n v="-17899.34794"/>
    <n v="0"/>
    <n v="31"/>
    <n v="241.58363359643681"/>
    <n v="50.157231143340141"/>
    <n v="190.33536464597069"/>
    <n v="0"/>
    <n v="0"/>
    <m/>
    <m/>
    <m/>
    <n v="5.3287812433172732"/>
    <n v="0"/>
    <n v="0"/>
    <m/>
    <m/>
    <n v="0"/>
    <n v="0.75302037841156189"/>
    <n v="26.900271173440416"/>
    <n v="0"/>
    <n v="-27.153560945906634"/>
    <m/>
    <n v="0"/>
    <n v="0"/>
    <m/>
    <n v="0"/>
    <n v="-4.0937575736285794"/>
    <n v="-0.64371646850812247"/>
    <n v="0"/>
    <n v="0"/>
    <m/>
    <m/>
    <m/>
    <n v="24691.22863457226"/>
    <n v="0"/>
    <n v="0"/>
    <n v="-17899.34794"/>
    <m/>
    <n v="0"/>
    <m/>
    <n v="-18140.88808214497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13"/>
    <s v="Regular"/>
    <s v="Verde"/>
    <s v="A4"/>
    <s v="Industrial"/>
    <s v="Não se aplica"/>
    <s v="Fonte incentivada"/>
    <s v="Não se aplica"/>
    <s v="Fora ponta"/>
    <s v="LIVRE"/>
    <x v="0"/>
    <n v="0"/>
    <n v="0"/>
    <n v="144.108"/>
    <n v="72.054000000000002"/>
    <n v="0"/>
    <n v="0"/>
    <m/>
    <n v="80.27"/>
    <m/>
    <m/>
    <n v="11567.54916"/>
    <n v="11567.54916"/>
    <n v="11511.347040000001"/>
    <n v="0"/>
    <n v="7598.9930768547028"/>
    <n v="0"/>
    <n v="0"/>
    <n v="0"/>
    <n v="0"/>
    <n v="0"/>
    <m/>
    <m/>
    <m/>
    <n v="0"/>
    <n v="0"/>
    <n v="0"/>
    <n v="1350.8155992691723"/>
    <m/>
    <n v="197.89230429343095"/>
    <n v="0"/>
    <n v="0"/>
    <n v="0"/>
    <n v="0"/>
    <m/>
    <m/>
    <n v="0"/>
    <n v="0"/>
    <n v="0"/>
    <m/>
    <m/>
    <n v="0"/>
    <m/>
    <n v="0"/>
    <n v="0"/>
    <n v="65.900400836946801"/>
    <n v="0"/>
    <m/>
    <n v="2354.1708880332421"/>
    <n v="0"/>
    <n v="0"/>
    <n v="0"/>
    <n v="0"/>
    <n v="0"/>
    <m/>
    <n v="5755.6735200000003"/>
    <m/>
    <m/>
    <m/>
    <m/>
    <m/>
    <m/>
    <m/>
    <n v="2420.0712888701892"/>
    <m/>
    <m/>
    <m/>
    <m/>
    <m/>
    <m/>
    <m/>
    <m/>
    <m/>
    <m/>
    <m/>
    <m/>
    <n v="5755.3539999999994"/>
    <n v="-28.450580000001537"/>
    <m/>
    <m/>
    <m/>
    <m/>
    <n v="-56.202120000000086"/>
    <n v="0"/>
    <n v="31"/>
    <n v="-56.661043895217517"/>
    <n v="0"/>
    <n v="0"/>
    <n v="0"/>
    <n v="0"/>
    <m/>
    <m/>
    <m/>
    <n v="0"/>
    <n v="0"/>
    <n v="0"/>
    <m/>
    <m/>
    <n v="0"/>
    <n v="10.068311439240432"/>
    <n v="359.67195010782598"/>
    <n v="0"/>
    <n v="-363.0585786595575"/>
    <m/>
    <n v="0"/>
    <n v="0"/>
    <m/>
    <n v="0"/>
    <n v="-54.735870887035389"/>
    <n v="-8.6068558956920356"/>
    <n v="0"/>
    <n v="0"/>
    <m/>
    <m/>
    <m/>
    <n v="0"/>
    <n v="0"/>
    <n v="0"/>
    <n v="-56.20211999999992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14"/>
    <s v="Regular"/>
    <s v="Verde"/>
    <s v="A4"/>
    <s v="Industrial"/>
    <s v="Não se aplica"/>
    <s v="Fonte incentivada"/>
    <s v="Não se aplica"/>
    <s v="Não se aplica"/>
    <s v="LIVRE"/>
    <x v="0"/>
    <n v="531"/>
    <n v="265.5"/>
    <n v="0"/>
    <n v="0"/>
    <n v="0"/>
    <n v="0"/>
    <n v="32.17"/>
    <m/>
    <m/>
    <n v="17082.27"/>
    <m/>
    <n v="17082.27"/>
    <n v="6865.83"/>
    <n v="0"/>
    <n v="0"/>
    <n v="0"/>
    <n v="0"/>
    <n v="0"/>
    <n v="53.055515544707241"/>
    <n v="14298.096512529783"/>
    <m/>
    <m/>
    <m/>
    <n v="0"/>
    <n v="0"/>
    <n v="0"/>
    <n v="0"/>
    <m/>
    <n v="0"/>
    <n v="936.90760750569063"/>
    <n v="1796.3014028516561"/>
    <n v="0"/>
    <n v="0"/>
    <m/>
    <m/>
    <n v="0"/>
    <n v="0"/>
    <n v="0"/>
    <m/>
    <m/>
    <n v="0"/>
    <m/>
    <n v="0"/>
    <n v="0"/>
    <n v="0"/>
    <n v="0"/>
    <m/>
    <n v="0"/>
    <n v="0"/>
    <n v="818.87"/>
    <n v="0"/>
    <n v="5574.79"/>
    <n v="1"/>
    <m/>
    <n v="3432.915"/>
    <m/>
    <m/>
    <m/>
    <m/>
    <m/>
    <m/>
    <m/>
    <n v="0"/>
    <m/>
    <m/>
    <m/>
    <m/>
    <m/>
    <m/>
    <m/>
    <m/>
    <m/>
    <m/>
    <m/>
    <m/>
    <n v="3432.915"/>
    <n v="-5108.2500000000009"/>
    <m/>
    <m/>
    <m/>
    <m/>
    <n v="-10216.44"/>
    <n v="0"/>
    <n v="31"/>
    <n v="287.12218149390901"/>
    <n v="96.643447725817964"/>
    <n v="185.29122758270159"/>
    <n v="0"/>
    <n v="0"/>
    <m/>
    <m/>
    <m/>
    <n v="5.18750618538907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298.096512529783"/>
    <m/>
    <n v="0"/>
    <n v="0"/>
    <n v="-10216.44"/>
    <m/>
    <n v="0"/>
    <m/>
    <n v="-10504.95187826861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15"/>
    <s v="Regular"/>
    <s v="Geração"/>
    <s v="A4"/>
    <s v="Não se aplica"/>
    <s v="Não se aplica"/>
    <s v="Não se aplica"/>
    <s v="CARAGUATÁ"/>
    <s v="Não se aplica"/>
    <s v="GERAÇÃO"/>
    <x v="0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37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16"/>
    <s v="Regular"/>
    <s v="Verde"/>
    <s v="A4"/>
    <s v="Industrial"/>
    <s v="Não se aplica"/>
    <s v="Fonte incentivada"/>
    <s v="Não se aplica"/>
    <s v="Ponta"/>
    <s v="LIVRE"/>
    <x v="1"/>
    <n v="0"/>
    <n v="0"/>
    <n v="15.997999999999999"/>
    <n v="7.9989999999999997"/>
    <n v="0"/>
    <n v="0"/>
    <m/>
    <n v="2592.54"/>
    <m/>
    <m/>
    <n v="41475.454919999996"/>
    <n v="41475.454919999996"/>
    <n v="14907.096379999999"/>
    <n v="0"/>
    <n v="843.59432677937059"/>
    <n v="0"/>
    <n v="0"/>
    <n v="0"/>
    <n v="80.896050042653229"/>
    <n v="36649.68228761245"/>
    <m/>
    <m/>
    <m/>
    <n v="0"/>
    <n v="0"/>
    <n v="0"/>
    <n v="149.95939126979917"/>
    <m/>
    <n v="21.968808699630195"/>
    <n v="721.74771491023989"/>
    <n v="2738.8695780924072"/>
    <n v="0"/>
    <n v="0"/>
    <m/>
    <m/>
    <n v="0"/>
    <n v="0"/>
    <n v="0"/>
    <m/>
    <m/>
    <n v="0"/>
    <m/>
    <n v="0"/>
    <n v="0"/>
    <n v="7.3158645778823859"/>
    <n v="0"/>
    <m/>
    <n v="261.34583691922586"/>
    <n v="0"/>
    <n v="0"/>
    <n v="0"/>
    <n v="0"/>
    <n v="0"/>
    <m/>
    <n v="7453.5481899999995"/>
    <m/>
    <m/>
    <m/>
    <m/>
    <m/>
    <m/>
    <m/>
    <n v="268.66170149710825"/>
    <m/>
    <m/>
    <m/>
    <m/>
    <m/>
    <m/>
    <m/>
    <m/>
    <m/>
    <m/>
    <m/>
    <m/>
    <n v="7454.48"/>
    <n v="-13283.277459999994"/>
    <m/>
    <m/>
    <m/>
    <m/>
    <n v="-26568.358539999997"/>
    <n v="0"/>
    <n v="31"/>
    <n v="358.58739750192854"/>
    <n v="74.449376863161547"/>
    <n v="282.51857149807392"/>
    <n v="0"/>
    <n v="0"/>
    <m/>
    <m/>
    <m/>
    <n v="7.9096161004443957"/>
    <n v="0"/>
    <n v="0"/>
    <m/>
    <m/>
    <n v="0"/>
    <n v="1.1177231410120774"/>
    <n v="39.928608112145071"/>
    <n v="0"/>
    <n v="-40.304571164651634"/>
    <m/>
    <n v="0"/>
    <n v="0"/>
    <m/>
    <n v="0"/>
    <n v="-6.0764458770560736"/>
    <n v="-0.95548117119993847"/>
    <n v="0"/>
    <n v="0"/>
    <m/>
    <m/>
    <m/>
    <n v="36649.68228761245"/>
    <n v="0"/>
    <n v="0"/>
    <n v="-26568.358539999997"/>
    <m/>
    <n v="0"/>
    <m/>
    <n v="-26926.88138227455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17"/>
    <s v="Regular"/>
    <s v="Verde"/>
    <s v="A4"/>
    <s v="Industrial"/>
    <s v="Não se aplica"/>
    <s v="Fonte incentivada"/>
    <s v="Não se aplica"/>
    <s v="Fora ponta"/>
    <s v="LIVRE"/>
    <x v="1"/>
    <n v="0"/>
    <n v="0"/>
    <n v="176.6"/>
    <n v="88.3"/>
    <n v="0"/>
    <n v="0"/>
    <m/>
    <n v="80.27"/>
    <m/>
    <m/>
    <n v="14175.681999999999"/>
    <n v="14175.681999999999"/>
    <n v="14106.807999999999"/>
    <n v="0"/>
    <n v="9312.3364238802878"/>
    <n v="0"/>
    <n v="0"/>
    <n v="0"/>
    <n v="0"/>
    <n v="0"/>
    <m/>
    <m/>
    <m/>
    <n v="0"/>
    <n v="0"/>
    <n v="0"/>
    <n v="1655.3837041034212"/>
    <m/>
    <n v="242.51103990215606"/>
    <n v="0"/>
    <n v="0"/>
    <n v="0"/>
    <n v="0"/>
    <m/>
    <m/>
    <n v="0"/>
    <n v="0"/>
    <n v="0"/>
    <m/>
    <m/>
    <n v="0"/>
    <m/>
    <n v="0"/>
    <n v="0"/>
    <n v="80.758950147145228"/>
    <n v="0"/>
    <m/>
    <n v="2884.965295657913"/>
    <n v="0"/>
    <n v="0"/>
    <n v="0"/>
    <n v="0"/>
    <n v="0"/>
    <m/>
    <n v="7053.4039999999995"/>
    <m/>
    <m/>
    <m/>
    <m/>
    <m/>
    <m/>
    <m/>
    <n v="2965.7242458050582"/>
    <m/>
    <m/>
    <m/>
    <m/>
    <m/>
    <m/>
    <m/>
    <m/>
    <m/>
    <m/>
    <m/>
    <m/>
    <n v="7053.4039999999995"/>
    <n v="-34.467000000000553"/>
    <m/>
    <m/>
    <m/>
    <m/>
    <n v="-68.874000000000095"/>
    <n v="0"/>
    <n v="31"/>
    <n v="-69.43639736791738"/>
    <n v="0"/>
    <n v="0"/>
    <n v="0"/>
    <n v="0"/>
    <m/>
    <m/>
    <m/>
    <n v="0"/>
    <n v="0"/>
    <n v="0"/>
    <m/>
    <m/>
    <n v="0"/>
    <n v="12.3384114703546"/>
    <n v="440.76710792629183"/>
    <n v="0"/>
    <n v="-444.91731889470429"/>
    <m/>
    <n v="0"/>
    <n v="0"/>
    <m/>
    <n v="0"/>
    <n v="-67.077156012507885"/>
    <n v="-10.547441857351515"/>
    <n v="0"/>
    <n v="0"/>
    <m/>
    <m/>
    <m/>
    <n v="0"/>
    <n v="0"/>
    <n v="0"/>
    <n v="-68.87399999999979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18"/>
    <s v="Regular"/>
    <s v="Verde"/>
    <s v="A4"/>
    <s v="Industrial"/>
    <s v="Não se aplica"/>
    <s v="Fonte incentivada"/>
    <s v="Não se aplica"/>
    <s v="Não se aplica"/>
    <s v="LIVRE"/>
    <x v="1"/>
    <n v="645"/>
    <n v="322.5"/>
    <n v="0"/>
    <n v="0"/>
    <n v="0"/>
    <n v="0"/>
    <n v="32.17"/>
    <m/>
    <m/>
    <n v="20749.650000000001"/>
    <m/>
    <n v="20749.650000000001"/>
    <n v="8339.85"/>
    <n v="0"/>
    <n v="0"/>
    <n v="0"/>
    <n v="0"/>
    <n v="0"/>
    <n v="64.445965209672636"/>
    <n v="17367.744351377984"/>
    <m/>
    <m/>
    <m/>
    <n v="0"/>
    <n v="0"/>
    <n v="0"/>
    <n v="0"/>
    <m/>
    <n v="0"/>
    <n v="1138.0516136368558"/>
    <n v="2181.9480317124635"/>
    <n v="0"/>
    <n v="0"/>
    <m/>
    <m/>
    <n v="0"/>
    <n v="0"/>
    <n v="0"/>
    <m/>
    <m/>
    <n v="0"/>
    <m/>
    <n v="0"/>
    <n v="0"/>
    <n v="0"/>
    <n v="0"/>
    <m/>
    <n v="0"/>
    <n v="0"/>
    <n v="835.19"/>
    <n v="0"/>
    <n v="8896.07"/>
    <n v="1"/>
    <m/>
    <n v="4169.9250000000002"/>
    <m/>
    <m/>
    <m/>
    <m/>
    <m/>
    <m/>
    <m/>
    <n v="0"/>
    <m/>
    <m/>
    <m/>
    <m/>
    <m/>
    <m/>
    <m/>
    <m/>
    <m/>
    <m/>
    <m/>
    <m/>
    <n v="4169.9250000000002"/>
    <n v="-6204.9300000000012"/>
    <m/>
    <m/>
    <m/>
    <m/>
    <n v="-12409.800000000001"/>
    <n v="0"/>
    <n v="31"/>
    <n v="348.76423175813807"/>
    <n v="117.39175853701067"/>
    <n v="225.07126514282982"/>
    <n v="0"/>
    <n v="0"/>
    <m/>
    <m/>
    <m/>
    <n v="6.30120807829746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67.744351377984"/>
    <m/>
    <n v="0"/>
    <n v="0"/>
    <n v="-12409.800000000001"/>
    <m/>
    <n v="0"/>
    <m/>
    <n v="-12760.25228151272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19"/>
    <s v="Regular"/>
    <s v="Geração"/>
    <s v="A4"/>
    <s v="Não se aplica"/>
    <s v="Não se aplica"/>
    <s v="Não se aplica"/>
    <s v="CARAGUATÁ"/>
    <s v="Não se aplica"/>
    <s v="GERAÇÃO"/>
    <x v="1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57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0"/>
    <s v="Regular"/>
    <s v="Verde"/>
    <s v="A4"/>
    <s v="Industrial"/>
    <s v="Não se aplica"/>
    <s v="Fonte incentivada"/>
    <s v="Não se aplica"/>
    <s v="Ponta"/>
    <s v="LIVRE"/>
    <x v="2"/>
    <n v="0"/>
    <n v="0"/>
    <n v="18.652999999999999"/>
    <n v="9.3264999999999993"/>
    <n v="0"/>
    <n v="0"/>
    <m/>
    <n v="2592.54"/>
    <m/>
    <m/>
    <n v="48358.648619999993"/>
    <n v="48358.648619999993"/>
    <n v="17381.051929999998"/>
    <n v="0"/>
    <n v="983.59576055854473"/>
    <n v="0"/>
    <n v="0"/>
    <n v="0"/>
    <n v="94.321416517415344"/>
    <n v="42731.999231831163"/>
    <m/>
    <m/>
    <m/>
    <n v="0"/>
    <n v="0"/>
    <n v="0"/>
    <n v="174.8463886333019"/>
    <m/>
    <n v="25.614713631341544"/>
    <n v="841.52769885115049"/>
    <n v="3193.4075659555988"/>
    <n v="0"/>
    <n v="0"/>
    <m/>
    <m/>
    <n v="0"/>
    <n v="0"/>
    <n v="0"/>
    <m/>
    <m/>
    <n v="0"/>
    <m/>
    <n v="0"/>
    <n v="0"/>
    <n v="8.5299926222802949"/>
    <n v="0"/>
    <m/>
    <n v="304.71833329505688"/>
    <n v="0"/>
    <n v="0"/>
    <n v="0"/>
    <n v="0"/>
    <n v="0"/>
    <m/>
    <n v="8690.5259649999989"/>
    <m/>
    <m/>
    <m/>
    <m/>
    <m/>
    <m/>
    <m/>
    <n v="313.24832591733718"/>
    <m/>
    <m/>
    <m/>
    <m/>
    <m/>
    <m/>
    <m/>
    <m/>
    <m/>
    <m/>
    <m/>
    <m/>
    <n v="8693.7873"/>
    <n v="-15485.567009999992"/>
    <m/>
    <m/>
    <m/>
    <m/>
    <n v="-30977.596689999998"/>
    <n v="0"/>
    <n v="30"/>
    <n v="418.09793259179241"/>
    <n v="86.804864772381052"/>
    <n v="329.40485774181616"/>
    <n v="0"/>
    <n v="0"/>
    <m/>
    <m/>
    <m/>
    <n v="9.2222821053625097"/>
    <n v="0"/>
    <n v="0"/>
    <m/>
    <m/>
    <n v="0"/>
    <n v="1.3032185116450972"/>
    <n v="46.555089830968996"/>
    <n v="0"/>
    <n v="-46.993447051771795"/>
    <m/>
    <n v="0"/>
    <n v="0"/>
    <m/>
    <n v="0"/>
    <n v="-7.084882169316586"/>
    <n v="-1.1140511492931928"/>
    <n v="0"/>
    <n v="0"/>
    <m/>
    <m/>
    <m/>
    <n v="42731.999231831163"/>
    <n v="0"/>
    <n v="0"/>
    <n v="-30977.596689999995"/>
    <m/>
    <n v="0"/>
    <m/>
    <n v="-31395.61935389219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1"/>
    <s v="Regular"/>
    <s v="Verde"/>
    <s v="A4"/>
    <s v="Industrial"/>
    <s v="Não se aplica"/>
    <s v="Fonte incentivada"/>
    <s v="Não se aplica"/>
    <s v="Fora ponta"/>
    <s v="LIVRE"/>
    <x v="2"/>
    <n v="0"/>
    <n v="0"/>
    <n v="193.155"/>
    <n v="96.577500000000001"/>
    <n v="0"/>
    <n v="0"/>
    <m/>
    <n v="80.27"/>
    <m/>
    <m/>
    <n v="15504.55185"/>
    <n v="15504.55185"/>
    <n v="15429.221399999999"/>
    <n v="0"/>
    <n v="10185.302049573031"/>
    <n v="0"/>
    <n v="0"/>
    <n v="0"/>
    <n v="0"/>
    <n v="0"/>
    <m/>
    <m/>
    <m/>
    <n v="0"/>
    <n v="0"/>
    <n v="0"/>
    <n v="1810.5642093210438"/>
    <m/>
    <n v="265.24473336523755"/>
    <n v="0"/>
    <n v="0"/>
    <n v="0"/>
    <n v="0"/>
    <m/>
    <m/>
    <n v="0"/>
    <n v="0"/>
    <n v="0"/>
    <m/>
    <m/>
    <n v="0"/>
    <m/>
    <n v="0"/>
    <n v="0"/>
    <n v="88.329530100067032"/>
    <n v="0"/>
    <m/>
    <n v="3155.4103719298087"/>
    <n v="0"/>
    <n v="0"/>
    <n v="0"/>
    <n v="0"/>
    <n v="0"/>
    <m/>
    <n v="7714.6106999999993"/>
    <m/>
    <m/>
    <m/>
    <m/>
    <m/>
    <m/>
    <m/>
    <n v="3243.7399020298758"/>
    <m/>
    <m/>
    <m/>
    <m/>
    <m/>
    <m/>
    <m/>
    <m/>
    <m/>
    <m/>
    <m/>
    <m/>
    <n v="7714.8103999999994"/>
    <n v="-37.49552500000118"/>
    <m/>
    <m/>
    <m/>
    <m/>
    <n v="-75.330450000000113"/>
    <n v="0"/>
    <n v="30"/>
    <n v="-75.945568140432442"/>
    <n v="0"/>
    <n v="0"/>
    <n v="0"/>
    <n v="0"/>
    <m/>
    <m/>
    <m/>
    <n v="0"/>
    <n v="0"/>
    <n v="0"/>
    <m/>
    <m/>
    <n v="0"/>
    <n v="13.495050212663315"/>
    <n v="482.0859044818967"/>
    <n v="0"/>
    <n v="-486.62516835281167"/>
    <m/>
    <n v="0"/>
    <n v="0"/>
    <m/>
    <n v="0"/>
    <n v="-73.365164606998633"/>
    <n v="-11.536189875179673"/>
    <n v="0"/>
    <n v="0"/>
    <m/>
    <m/>
    <m/>
    <n v="0"/>
    <n v="0"/>
    <n v="0"/>
    <n v="-75.33045000000129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2"/>
    <s v="Regular"/>
    <s v="Verde"/>
    <s v="A4"/>
    <s v="Industrial"/>
    <s v="Não se aplica"/>
    <s v="Fonte incentivada"/>
    <s v="Não se aplica"/>
    <s v="Não se aplica"/>
    <s v="LIVRE"/>
    <x v="2"/>
    <n v="686"/>
    <n v="343"/>
    <n v="0"/>
    <n v="0"/>
    <n v="0"/>
    <n v="0"/>
    <n v="32.17"/>
    <m/>
    <m/>
    <n v="22068.620000000003"/>
    <m/>
    <n v="22068.620000000003"/>
    <n v="8869.98"/>
    <n v="0"/>
    <n v="0"/>
    <n v="0"/>
    <n v="0"/>
    <n v="0"/>
    <n v="68.542530440054932"/>
    <n v="18471.740503946199"/>
    <m/>
    <m/>
    <m/>
    <n v="0"/>
    <n v="0"/>
    <n v="0"/>
    <n v="0"/>
    <m/>
    <n v="0"/>
    <n v="1210.3928789998188"/>
    <n v="2320.6455034957366"/>
    <n v="0"/>
    <n v="0"/>
    <m/>
    <m/>
    <n v="0"/>
    <n v="0"/>
    <n v="0"/>
    <m/>
    <m/>
    <n v="0"/>
    <m/>
    <n v="0"/>
    <n v="0"/>
    <n v="0"/>
    <n v="0"/>
    <m/>
    <n v="0"/>
    <n v="0"/>
    <n v="1538.49"/>
    <n v="0"/>
    <n v="10187.9"/>
    <n v="1"/>
    <m/>
    <n v="4434.99"/>
    <m/>
    <m/>
    <m/>
    <m/>
    <m/>
    <m/>
    <m/>
    <n v="0"/>
    <m/>
    <m/>
    <m/>
    <m/>
    <m/>
    <m/>
    <m/>
    <m/>
    <m/>
    <m/>
    <m/>
    <m/>
    <n v="4434.99"/>
    <n v="-6599.3500000000022"/>
    <m/>
    <m/>
    <m/>
    <m/>
    <n v="-13198.640000000001"/>
    <n v="0"/>
    <n v="30"/>
    <n v="370.93374106369356"/>
    <n v="124.85387031998334"/>
    <n v="239.37812075655984"/>
    <n v="0"/>
    <n v="0"/>
    <m/>
    <m/>
    <m/>
    <n v="6.70174998715047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471.740503946199"/>
    <m/>
    <n v="0"/>
    <n v="0"/>
    <n v="-13198.640000000003"/>
    <m/>
    <n v="0"/>
    <m/>
    <n v="-13571.36909320578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3"/>
    <s v="Regular"/>
    <s v="Geração"/>
    <s v="A4"/>
    <s v="Não se aplica"/>
    <s v="Não se aplica"/>
    <s v="Não se aplica"/>
    <s v="CARAGUATÁ"/>
    <s v="Não se aplica"/>
    <s v="GERAÇÃO"/>
    <x v="2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049999999999997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4"/>
    <s v="Regular"/>
    <s v="Verde"/>
    <s v="A4"/>
    <s v="Industrial"/>
    <s v="Não se aplica"/>
    <s v="Fonte incentivada"/>
    <s v="Não se aplica"/>
    <s v="Ponta"/>
    <s v="LIVRE"/>
    <x v="3"/>
    <n v="0"/>
    <n v="0"/>
    <n v="17.427"/>
    <n v="8.7134999999999998"/>
    <n v="0"/>
    <n v="0"/>
    <m/>
    <n v="2592.54"/>
    <m/>
    <m/>
    <n v="45180.194579999996"/>
    <n v="45180.194579999996"/>
    <n v="16238.652869999998"/>
    <n v="0"/>
    <n v="918.94726420703159"/>
    <n v="0"/>
    <n v="0"/>
    <n v="0"/>
    <n v="88.121981753551566"/>
    <n v="39923.366247419814"/>
    <m/>
    <m/>
    <m/>
    <n v="0"/>
    <n v="0"/>
    <n v="0"/>
    <n v="163.35431376789538"/>
    <m/>
    <n v="23.931143218430769"/>
    <n v="786.2168663420897"/>
    <n v="2983.5154480195265"/>
    <n v="0"/>
    <n v="0"/>
    <m/>
    <m/>
    <n v="0"/>
    <n v="0"/>
    <n v="0"/>
    <m/>
    <m/>
    <n v="0"/>
    <m/>
    <n v="0"/>
    <n v="0"/>
    <n v="7.9693444179745185"/>
    <n v="0"/>
    <m/>
    <n v="284.69020502508749"/>
    <n v="0"/>
    <n v="0"/>
    <n v="0"/>
    <n v="0"/>
    <n v="0"/>
    <m/>
    <n v="8119.326434999999"/>
    <m/>
    <m/>
    <m/>
    <m/>
    <m/>
    <m/>
    <m/>
    <n v="292.65954944306202"/>
    <m/>
    <m/>
    <m/>
    <m/>
    <m/>
    <m/>
    <m/>
    <m/>
    <m/>
    <m/>
    <m/>
    <m/>
    <n v="8116.0651000000007"/>
    <n v="-14474.062189999993"/>
    <m/>
    <m/>
    <m/>
    <m/>
    <n v="-28941.541710000001"/>
    <n v="0"/>
    <n v="31"/>
    <n v="390.61773823391195"/>
    <n v="81.099468095656675"/>
    <n v="307.75416586429128"/>
    <n v="0"/>
    <n v="0"/>
    <m/>
    <m/>
    <m/>
    <n v="8.616132002903143"/>
    <n v="0"/>
    <n v="0"/>
    <m/>
    <m/>
    <n v="0"/>
    <n v="1.2175622689347083"/>
    <n v="43.495177745365197"/>
    <n v="0"/>
    <n v="-43.904723195798397"/>
    <m/>
    <n v="0"/>
    <n v="0"/>
    <m/>
    <n v="0"/>
    <n v="-6.6192162957529774"/>
    <n v="-1.0408282516877989"/>
    <n v="0"/>
    <n v="0"/>
    <m/>
    <m/>
    <m/>
    <n v="39923.366247419814"/>
    <n v="0"/>
    <n v="0"/>
    <n v="-28941.541709999998"/>
    <m/>
    <n v="0"/>
    <m/>
    <n v="-29332.089126697007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5"/>
    <s v="Regular"/>
    <s v="Verde"/>
    <s v="A4"/>
    <s v="Industrial"/>
    <s v="Não se aplica"/>
    <s v="Fonte incentivada"/>
    <s v="Não se aplica"/>
    <s v="Fora ponta"/>
    <s v="LIVRE"/>
    <x v="3"/>
    <n v="0"/>
    <n v="0"/>
    <n v="202.1"/>
    <n v="101.05"/>
    <n v="0"/>
    <n v="0"/>
    <m/>
    <n v="80.27"/>
    <m/>
    <m/>
    <n v="16222.566999999999"/>
    <n v="16222.566999999999"/>
    <n v="16143.747999999998"/>
    <n v="0"/>
    <n v="10656.9829630023"/>
    <n v="0"/>
    <n v="0"/>
    <n v="0"/>
    <n v="0"/>
    <n v="0"/>
    <m/>
    <m/>
    <m/>
    <n v="0"/>
    <n v="0"/>
    <n v="0"/>
    <n v="1894.4113623969504"/>
    <m/>
    <n v="277.52820591294301"/>
    <n v="0"/>
    <n v="0"/>
    <n v="0"/>
    <n v="0"/>
    <m/>
    <m/>
    <n v="0"/>
    <n v="0"/>
    <n v="0"/>
    <m/>
    <m/>
    <n v="0"/>
    <m/>
    <n v="0"/>
    <n v="0"/>
    <n v="92.420066957746613"/>
    <n v="0"/>
    <m/>
    <n v="3301.5372947478154"/>
    <n v="0"/>
    <n v="0"/>
    <n v="0"/>
    <n v="0"/>
    <n v="0"/>
    <m/>
    <n v="8071.8739999999989"/>
    <m/>
    <m/>
    <m/>
    <m/>
    <m/>
    <m/>
    <m/>
    <n v="3393.9573617055621"/>
    <m/>
    <m/>
    <m/>
    <m/>
    <m/>
    <m/>
    <m/>
    <m/>
    <m/>
    <m/>
    <m/>
    <m/>
    <n v="8071.8739999999989"/>
    <n v="-39.439500000001317"/>
    <m/>
    <m/>
    <m/>
    <m/>
    <n v="-78.819000000000116"/>
    <n v="0"/>
    <n v="31"/>
    <n v="-79.462604235874096"/>
    <n v="0"/>
    <n v="0"/>
    <n v="0"/>
    <n v="0"/>
    <m/>
    <m/>
    <m/>
    <n v="0"/>
    <n v="0"/>
    <n v="0"/>
    <m/>
    <m/>
    <n v="0"/>
    <n v="14.120005425586996"/>
    <n v="504.41128262686107"/>
    <n v="0"/>
    <n v="-509.16075961845672"/>
    <m/>
    <n v="0"/>
    <n v="0"/>
    <m/>
    <n v="0"/>
    <n v="-76.762702322354698"/>
    <n v="-12.070430347512684"/>
    <n v="0"/>
    <n v="0"/>
    <m/>
    <m/>
    <m/>
    <n v="0"/>
    <n v="0"/>
    <n v="0"/>
    <n v="-78.81900000000132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6"/>
    <s v="Regular"/>
    <s v="Verde"/>
    <s v="A4"/>
    <s v="Industrial"/>
    <s v="Não se aplica"/>
    <s v="Fonte incentivada"/>
    <s v="Não se aplica"/>
    <s v="Não se aplica"/>
    <s v="LIVRE"/>
    <x v="3"/>
    <n v="676"/>
    <n v="338"/>
    <n v="0"/>
    <n v="0"/>
    <n v="0"/>
    <n v="0"/>
    <n v="32.17"/>
    <m/>
    <m/>
    <n v="21746.920000000002"/>
    <m/>
    <n v="21746.920000000002"/>
    <n v="8740.68"/>
    <n v="0"/>
    <n v="0"/>
    <n v="0"/>
    <n v="0"/>
    <n v="0"/>
    <n v="67.543368188742178"/>
    <n v="18202.473149661269"/>
    <m/>
    <m/>
    <m/>
    <n v="0"/>
    <n v="0"/>
    <n v="0"/>
    <n v="0"/>
    <m/>
    <n v="0"/>
    <n v="1192.7486679356816"/>
    <n v="2286.8168518412799"/>
    <n v="0"/>
    <n v="0"/>
    <m/>
    <m/>
    <n v="0"/>
    <n v="0"/>
    <n v="0"/>
    <m/>
    <m/>
    <n v="0"/>
    <m/>
    <n v="0"/>
    <n v="0"/>
    <n v="0"/>
    <n v="0"/>
    <m/>
    <n v="0"/>
    <n v="0"/>
    <n v="1459.61"/>
    <n v="0"/>
    <n v="9032.68"/>
    <n v="1"/>
    <m/>
    <n v="4370.34"/>
    <m/>
    <m/>
    <m/>
    <m/>
    <m/>
    <m/>
    <m/>
    <n v="0"/>
    <m/>
    <m/>
    <m/>
    <m/>
    <m/>
    <m/>
    <m/>
    <m/>
    <m/>
    <m/>
    <m/>
    <m/>
    <n v="4370.34"/>
    <n v="-6503.1500000000015"/>
    <m/>
    <m/>
    <m/>
    <m/>
    <n v="-13006.240000000002"/>
    <n v="0"/>
    <n v="31"/>
    <n v="365.5265436720947"/>
    <n v="123.03384305584359"/>
    <n v="235.88864377760137"/>
    <n v="0"/>
    <n v="0"/>
    <m/>
    <m/>
    <m/>
    <n v="6.60405683864973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02.473149661269"/>
    <m/>
    <n v="0"/>
    <n v="0"/>
    <n v="-13006.240000000002"/>
    <m/>
    <n v="0"/>
    <m/>
    <n v="-13373.535724500163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7"/>
    <s v="Regular"/>
    <s v="Geração"/>
    <s v="A4"/>
    <s v="Não se aplica"/>
    <s v="Não se aplica"/>
    <s v="Não se aplica"/>
    <s v="CARAGUATÁ"/>
    <s v="Não se aplica"/>
    <s v="GERAÇÃO"/>
    <x v="3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.83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8"/>
    <s v="Regular"/>
    <s v="Verde"/>
    <s v="A4"/>
    <s v="Industrial"/>
    <s v="Não se aplica"/>
    <s v="Fonte incentivada"/>
    <s v="Não se aplica"/>
    <s v="Ponta"/>
    <s v="LIVRE"/>
    <x v="4"/>
    <n v="0"/>
    <n v="0"/>
    <n v="17.442"/>
    <n v="8.7210000000000001"/>
    <n v="0"/>
    <n v="0"/>
    <m/>
    <n v="2592.54"/>
    <m/>
    <m/>
    <n v="45219.08268"/>
    <n v="45219.08268"/>
    <n v="16252.630019999999"/>
    <n v="0"/>
    <n v="919.73823275945631"/>
    <n v="0"/>
    <n v="0"/>
    <n v="0"/>
    <n v="88.197831281657571"/>
    <n v="39957.729619986021"/>
    <m/>
    <m/>
    <m/>
    <n v="0"/>
    <n v="0"/>
    <n v="0"/>
    <n v="163.49491827277393"/>
    <m/>
    <n v="23.951741551378291"/>
    <n v="786.89358941520231"/>
    <n v="2986.083459250392"/>
    <n v="0"/>
    <n v="0"/>
    <m/>
    <m/>
    <n v="0"/>
    <n v="0"/>
    <n v="0"/>
    <m/>
    <m/>
    <n v="0"/>
    <m/>
    <n v="0"/>
    <n v="0"/>
    <n v="7.9762038984513426"/>
    <n v="0"/>
    <m/>
    <n v="284.93524737749328"/>
    <n v="0"/>
    <n v="0"/>
    <n v="0"/>
    <n v="0"/>
    <n v="0"/>
    <m/>
    <n v="8126.3150099999993"/>
    <m/>
    <m/>
    <m/>
    <m/>
    <m/>
    <m/>
    <m/>
    <n v="292.91145127594461"/>
    <m/>
    <m/>
    <m/>
    <m/>
    <m/>
    <m/>
    <m/>
    <m/>
    <m/>
    <m/>
    <m/>
    <m/>
    <n v="8125.3832000000002"/>
    <n v="-14484.188139999995"/>
    <m/>
    <m/>
    <m/>
    <m/>
    <n v="-28966.452659999999"/>
    <n v="0"/>
    <n v="30"/>
    <n v="390.95395594628462"/>
    <n v="81.169273112092924"/>
    <n v="308.01906013685493"/>
    <n v="0"/>
    <n v="0"/>
    <m/>
    <m/>
    <m/>
    <n v="8.6235481950213284"/>
    <n v="0"/>
    <n v="0"/>
    <m/>
    <m/>
    <n v="0"/>
    <n v="1.2186102653789641"/>
    <n v="43.532615495189077"/>
    <n v="0"/>
    <n v="-43.942513455047674"/>
    <m/>
    <n v="0"/>
    <n v="0"/>
    <m/>
    <n v="0"/>
    <n v="-6.6249136759352325"/>
    <n v="-1.0417241272702462"/>
    <n v="0"/>
    <n v="0"/>
    <m/>
    <m/>
    <m/>
    <n v="39957.729619986021"/>
    <n v="0"/>
    <n v="0"/>
    <n v="-28966.452660000003"/>
    <m/>
    <n v="0"/>
    <m/>
    <n v="-29357.33623388128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29"/>
    <s v="Regular"/>
    <s v="Verde"/>
    <s v="A4"/>
    <s v="Industrial"/>
    <s v="Não se aplica"/>
    <s v="Fonte incentivada"/>
    <s v="Não se aplica"/>
    <s v="Fora ponta"/>
    <s v="LIVRE"/>
    <x v="4"/>
    <n v="0"/>
    <n v="0"/>
    <n v="209.482"/>
    <n v="104.741"/>
    <n v="0"/>
    <n v="0"/>
    <m/>
    <n v="80.27"/>
    <m/>
    <m/>
    <n v="16815.120139999999"/>
    <n v="16815.120139999999"/>
    <n v="16733.422159999998"/>
    <n v="0"/>
    <n v="11046.244953268915"/>
    <n v="0"/>
    <n v="0"/>
    <n v="0"/>
    <n v="0"/>
    <n v="0"/>
    <m/>
    <m/>
    <m/>
    <n v="0"/>
    <n v="0"/>
    <n v="0"/>
    <n v="1963.6075260645125"/>
    <m/>
    <n v="287.66533216751674"/>
    <n v="0"/>
    <n v="0"/>
    <n v="0"/>
    <n v="0"/>
    <m/>
    <m/>
    <n v="0"/>
    <n v="0"/>
    <n v="0"/>
    <m/>
    <m/>
    <n v="0"/>
    <m/>
    <n v="0"/>
    <n v="0"/>
    <n v="95.795845949741093"/>
    <n v="0"/>
    <m/>
    <n v="3422.1308044451353"/>
    <n v="0"/>
    <n v="0"/>
    <n v="0"/>
    <n v="0"/>
    <n v="0"/>
    <m/>
    <n v="8366.7110799999991"/>
    <m/>
    <m/>
    <m/>
    <m/>
    <m/>
    <m/>
    <m/>
    <n v="3517.9266503948766"/>
    <m/>
    <m/>
    <m/>
    <m/>
    <m/>
    <m/>
    <m/>
    <m/>
    <m/>
    <m/>
    <m/>
    <m/>
    <n v="8366.6311999999998"/>
    <n v="-40.958870000000388"/>
    <m/>
    <m/>
    <m/>
    <m/>
    <n v="-81.697980000000115"/>
    <n v="0"/>
    <n v="30"/>
    <n v="-82.365092828003981"/>
    <n v="0"/>
    <n v="0"/>
    <n v="0"/>
    <n v="0"/>
    <m/>
    <m/>
    <m/>
    <n v="0"/>
    <n v="0"/>
    <n v="0"/>
    <m/>
    <m/>
    <n v="0"/>
    <n v="14.635759409019371"/>
    <n v="522.83564724017879"/>
    <n v="0"/>
    <n v="-527.75860587032912"/>
    <m/>
    <n v="0"/>
    <n v="0"/>
    <m/>
    <n v="0"/>
    <n v="-79.566573022719012"/>
    <n v="-12.511320584154646"/>
    <n v="0"/>
    <n v="0"/>
    <m/>
    <m/>
    <m/>
    <n v="0"/>
    <n v="0"/>
    <n v="0"/>
    <n v="-81.6979800000008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0"/>
    <s v="Regular"/>
    <s v="Verde"/>
    <s v="A4"/>
    <s v="Industrial"/>
    <s v="Não se aplica"/>
    <s v="Fonte incentivada"/>
    <s v="Não se aplica"/>
    <s v="Não se aplica"/>
    <s v="LIVRE"/>
    <x v="4"/>
    <n v="697"/>
    <n v="348.5"/>
    <n v="0"/>
    <n v="0"/>
    <n v="0"/>
    <n v="0"/>
    <n v="32.17"/>
    <m/>
    <m/>
    <n v="22422.49"/>
    <m/>
    <n v="22422.49"/>
    <n v="9012.2099999999991"/>
    <n v="0"/>
    <n v="0"/>
    <n v="0"/>
    <n v="0"/>
    <n v="0"/>
    <n v="69.641608916498953"/>
    <n v="18767.934593659622"/>
    <m/>
    <m/>
    <m/>
    <n v="0"/>
    <n v="0"/>
    <n v="0"/>
    <n v="0"/>
    <m/>
    <n v="0"/>
    <n v="1229.8015111703698"/>
    <n v="2357.8570203156391"/>
    <n v="0"/>
    <n v="0"/>
    <m/>
    <m/>
    <n v="0"/>
    <n v="0"/>
    <n v="0"/>
    <m/>
    <m/>
    <n v="0"/>
    <m/>
    <n v="0"/>
    <n v="0"/>
    <n v="0"/>
    <n v="0"/>
    <m/>
    <n v="0"/>
    <n v="0"/>
    <n v="1304.6400000000001"/>
    <n v="0"/>
    <n v="9443.3799999999992"/>
    <n v="1"/>
    <m/>
    <n v="4506.1049999999996"/>
    <m/>
    <m/>
    <m/>
    <m/>
    <m/>
    <m/>
    <m/>
    <n v="0"/>
    <m/>
    <m/>
    <m/>
    <m/>
    <m/>
    <m/>
    <m/>
    <m/>
    <m/>
    <m/>
    <m/>
    <m/>
    <n v="4506.1049999999996"/>
    <n v="-6705.1700000000019"/>
    <m/>
    <m/>
    <m/>
    <m/>
    <n v="-13410.28"/>
    <n v="0"/>
    <n v="30"/>
    <n v="376.88165819445294"/>
    <n v="126.85590031053698"/>
    <n v="243.21654543341447"/>
    <n v="0"/>
    <n v="0"/>
    <m/>
    <m/>
    <m/>
    <n v="6.80921245050130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767.934593659622"/>
    <m/>
    <n v="0"/>
    <n v="0"/>
    <n v="-13410.280000000002"/>
    <m/>
    <n v="0"/>
    <m/>
    <n v="-13788.985798781972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1"/>
    <s v="Regular"/>
    <s v="Geração"/>
    <s v="A4"/>
    <s v="Não se aplica"/>
    <s v="Não se aplica"/>
    <s v="Não se aplica"/>
    <s v="CARAGUATÁ"/>
    <s v="Não se aplica"/>
    <s v="GERAÇÃO"/>
    <x v="4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99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2"/>
    <s v="Regular"/>
    <s v="Verde"/>
    <s v="A4"/>
    <s v="Industrial"/>
    <s v="Não se aplica"/>
    <s v="Fonte incentivada"/>
    <s v="Não se aplica"/>
    <s v="Ponta"/>
    <s v="LIVRE"/>
    <x v="5"/>
    <n v="0"/>
    <n v="0"/>
    <n v="17.706"/>
    <n v="8.8529999999999998"/>
    <n v="0"/>
    <n v="0"/>
    <m/>
    <n v="2592.54"/>
    <m/>
    <m/>
    <n v="45903.51324"/>
    <n v="45903.51324"/>
    <n v="16498.627859999997"/>
    <n v="0"/>
    <n v="933.65927928213125"/>
    <n v="0"/>
    <n v="0"/>
    <n v="0"/>
    <n v="89.532782976323176"/>
    <n v="40562.524977151268"/>
    <m/>
    <m/>
    <m/>
    <n v="0"/>
    <n v="0"/>
    <n v="0"/>
    <n v="165.96955755863632"/>
    <m/>
    <n v="24.314272211254671"/>
    <n v="798.80391550198203"/>
    <n v="3031.2804569136247"/>
    <n v="0"/>
    <n v="0"/>
    <m/>
    <m/>
    <n v="0"/>
    <n v="0"/>
    <n v="0"/>
    <m/>
    <m/>
    <n v="0"/>
    <m/>
    <n v="0"/>
    <n v="0"/>
    <n v="8.0969307548434504"/>
    <n v="0"/>
    <m/>
    <n v="289.24799277983584"/>
    <n v="0"/>
    <n v="0"/>
    <n v="0"/>
    <n v="0"/>
    <n v="0"/>
    <m/>
    <n v="8249.3139299999984"/>
    <m/>
    <m/>
    <m/>
    <m/>
    <m/>
    <m/>
    <m/>
    <n v="297.34492353467931"/>
    <m/>
    <m/>
    <m/>
    <m/>
    <m/>
    <m/>
    <m/>
    <m/>
    <m/>
    <m/>
    <m/>
    <m/>
    <n v="8246.5184999999983"/>
    <n v="-14705.268119999997"/>
    <m/>
    <m/>
    <m/>
    <m/>
    <n v="-29404.88538"/>
    <n v="0"/>
    <m/>
    <n v="396.87138768403292"/>
    <n v="82.397841401371238"/>
    <n v="312.68119933397247"/>
    <n v="0"/>
    <n v="0"/>
    <m/>
    <m/>
    <m/>
    <n v="8.7540731763013184"/>
    <n v="0"/>
    <n v="0"/>
    <m/>
    <m/>
    <n v="0"/>
    <n v="1.23705500279784"/>
    <n v="44.191519892089048"/>
    <n v="0"/>
    <n v="-44.607622017834728"/>
    <m/>
    <n v="0"/>
    <n v="0"/>
    <m/>
    <n v="0"/>
    <n v="-6.7251875671430525"/>
    <n v="-1.0574915375213223"/>
    <n v="0"/>
    <n v="0"/>
    <m/>
    <m/>
    <m/>
    <n v="40562.524977151268"/>
    <n v="0"/>
    <n v="0"/>
    <n v="-29404.885380000003"/>
    <m/>
    <n v="0"/>
    <m/>
    <n v="-29801.685320324621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3"/>
    <s v="Regular"/>
    <s v="Verde"/>
    <s v="A4"/>
    <s v="Industrial"/>
    <s v="Não se aplica"/>
    <s v="Fonte incentivada"/>
    <s v="Não se aplica"/>
    <s v="Fora ponta"/>
    <s v="LIVRE"/>
    <x v="5"/>
    <n v="0"/>
    <n v="0"/>
    <n v="200.77799999999999"/>
    <n v="100.389"/>
    <n v="0"/>
    <n v="0"/>
    <m/>
    <n v="80.27"/>
    <m/>
    <m/>
    <n v="16116.450059999999"/>
    <n v="16116.450059999999"/>
    <n v="16038.146639999999"/>
    <n v="0"/>
    <n v="10587.272267915268"/>
    <n v="0"/>
    <n v="0"/>
    <n v="0"/>
    <n v="0"/>
    <n v="0"/>
    <m/>
    <m/>
    <m/>
    <n v="0"/>
    <n v="0"/>
    <n v="0"/>
    <n v="1882.019418700321"/>
    <m/>
    <n v="275.71280616916812"/>
    <n v="0"/>
    <n v="0"/>
    <n v="0"/>
    <n v="0"/>
    <m/>
    <m/>
    <n v="0"/>
    <n v="0"/>
    <n v="0"/>
    <m/>
    <m/>
    <n v="0"/>
    <m/>
    <n v="0"/>
    <n v="0"/>
    <n v="91.815518078389161"/>
    <n v="0"/>
    <m/>
    <n v="3279.9408954224486"/>
    <n v="0"/>
    <n v="0"/>
    <n v="0"/>
    <n v="0"/>
    <n v="0"/>
    <m/>
    <n v="8019.0733199999995"/>
    <m/>
    <m/>
    <m/>
    <m/>
    <m/>
    <m/>
    <m/>
    <n v="3371.7564135008379"/>
    <m/>
    <m/>
    <m/>
    <m/>
    <m/>
    <m/>
    <m/>
    <m/>
    <m/>
    <m/>
    <m/>
    <m/>
    <n v="8019.1531999999997"/>
    <n v="-39.101830000000518"/>
    <m/>
    <m/>
    <m/>
    <m/>
    <n v="-78.303420000000116"/>
    <n v="0"/>
    <m/>
    <n v="-78.942814217074556"/>
    <n v="0"/>
    <n v="0"/>
    <n v="0"/>
    <n v="0"/>
    <m/>
    <m/>
    <m/>
    <n v="0"/>
    <n v="0"/>
    <n v="0"/>
    <m/>
    <m/>
    <n v="0"/>
    <n v="14.027642005633368"/>
    <n v="501.11176894238406"/>
    <n v="0"/>
    <n v="-505.83017810328784"/>
    <m/>
    <n v="0"/>
    <n v="0"/>
    <m/>
    <n v="0"/>
    <n v="-76.26057321562439"/>
    <n v="-11.991473846179645"/>
    <n v="0"/>
    <n v="0"/>
    <m/>
    <m/>
    <m/>
    <n v="0"/>
    <n v="0"/>
    <n v="0"/>
    <n v="-78.30342000000018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4"/>
    <s v="Regular"/>
    <s v="Verde"/>
    <s v="A4"/>
    <s v="Industrial"/>
    <s v="Não se aplica"/>
    <s v="Fonte incentivada"/>
    <s v="Não se aplica"/>
    <s v="Não se aplica"/>
    <s v="LIVRE"/>
    <x v="5"/>
    <n v="650"/>
    <n v="325"/>
    <n v="0"/>
    <n v="0"/>
    <n v="0"/>
    <n v="0"/>
    <n v="32.17"/>
    <m/>
    <m/>
    <n v="20910.5"/>
    <m/>
    <n v="20910.5"/>
    <n v="8404.5"/>
    <n v="0"/>
    <n v="0"/>
    <n v="0"/>
    <n v="0"/>
    <n v="0"/>
    <n v="64.945546335329013"/>
    <n v="17502.378028520448"/>
    <m/>
    <m/>
    <m/>
    <n v="0"/>
    <n v="0"/>
    <n v="0"/>
    <n v="0"/>
    <m/>
    <n v="0"/>
    <n v="1146.8737191689245"/>
    <n v="2198.8623575396919"/>
    <n v="0"/>
    <n v="0"/>
    <m/>
    <m/>
    <n v="0"/>
    <n v="0"/>
    <n v="0"/>
    <m/>
    <m/>
    <n v="0"/>
    <m/>
    <n v="0"/>
    <n v="0"/>
    <n v="0"/>
    <n v="0"/>
    <m/>
    <n v="0"/>
    <n v="0"/>
    <n v="1050.3499999999999"/>
    <n v="0"/>
    <n v="8884.7999999999993"/>
    <n v="1"/>
    <m/>
    <n v="4202.25"/>
    <m/>
    <m/>
    <m/>
    <m/>
    <m/>
    <m/>
    <m/>
    <n v="0"/>
    <m/>
    <m/>
    <m/>
    <m/>
    <m/>
    <m/>
    <m/>
    <m/>
    <m/>
    <m/>
    <m/>
    <m/>
    <n v="4202.25"/>
    <n v="-6253.0300000000007"/>
    <m/>
    <m/>
    <m/>
    <m/>
    <n v="-12506.000000000002"/>
    <n v="0"/>
    <m/>
    <n v="351.46783045393749"/>
    <n v="118.30177216908055"/>
    <n v="226.81600363230928"/>
    <n v="0"/>
    <n v="0"/>
    <m/>
    <m/>
    <m/>
    <n v="6.35005465254783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502.378028520448"/>
    <m/>
    <n v="0"/>
    <n v="0"/>
    <n v="-12506"/>
    <m/>
    <n v="0"/>
    <m/>
    <n v="-12859.16896586553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5"/>
    <s v="Regular"/>
    <s v="Geração"/>
    <s v="A4"/>
    <s v="Não se aplica"/>
    <s v="Não se aplica"/>
    <s v="Não se aplica"/>
    <s v="CARAGUATÁ"/>
    <s v="Não se aplica"/>
    <s v="GERAÇÃO"/>
    <x v="5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130000000000003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6"/>
    <s v="Regular"/>
    <s v="Verde"/>
    <s v="A4"/>
    <s v="Industrial"/>
    <s v="Não se aplica"/>
    <s v="Fonte incentivada"/>
    <s v="Não se aplica"/>
    <s v="Ponta"/>
    <s v="LIVRE"/>
    <x v="6"/>
    <n v="0"/>
    <n v="0"/>
    <n v="17.593"/>
    <n v="8.7965"/>
    <n v="0"/>
    <n v="0"/>
    <m/>
    <n v="2592.54"/>
    <m/>
    <m/>
    <n v="45610.556219999999"/>
    <n v="45610.556219999999"/>
    <n v="16393.333329999998"/>
    <n v="0"/>
    <n v="927.70064952053178"/>
    <n v="0"/>
    <n v="0"/>
    <n v="0"/>
    <n v="88.961383197924633"/>
    <n v="40303.654237152507"/>
    <m/>
    <m/>
    <m/>
    <n v="0"/>
    <n v="0"/>
    <n v="0"/>
    <n v="164.91033695521796"/>
    <m/>
    <n v="24.15909810305001"/>
    <n v="793.705935017868"/>
    <n v="3011.9347723077713"/>
    <n v="0"/>
    <n v="0"/>
    <m/>
    <m/>
    <n v="0"/>
    <n v="0"/>
    <n v="0"/>
    <m/>
    <m/>
    <n v="0"/>
    <m/>
    <n v="0"/>
    <n v="0"/>
    <n v="8.045256001918041"/>
    <n v="0"/>
    <m/>
    <n v="287.40200705837862"/>
    <n v="0"/>
    <n v="0"/>
    <n v="0"/>
    <n v="0"/>
    <n v="0"/>
    <m/>
    <n v="8196.6666649999988"/>
    <m/>
    <m/>
    <m/>
    <m/>
    <m/>
    <m/>
    <m/>
    <n v="295.44726306029668"/>
    <m/>
    <m/>
    <m/>
    <m/>
    <m/>
    <m/>
    <m/>
    <m/>
    <m/>
    <m/>
    <m/>
    <m/>
    <n v="8199.9279999999999"/>
    <n v="-14605.380109999995"/>
    <m/>
    <m/>
    <m/>
    <m/>
    <n v="-29217.222890000001"/>
    <n v="0"/>
    <n v="31"/>
    <n v="394.33854758416328"/>
    <n v="81.871976944217977"/>
    <n v="310.68566248066099"/>
    <n v="0"/>
    <n v="0"/>
    <m/>
    <m/>
    <m/>
    <n v="8.6982045290110221"/>
    <n v="0"/>
    <n v="0"/>
    <m/>
    <m/>
    <n v="0"/>
    <n v="1.2291600962511229"/>
    <n v="43.909488843415943"/>
    <n v="0"/>
    <n v="-44.322935398157028"/>
    <m/>
    <n v="0"/>
    <n v="0"/>
    <m/>
    <n v="0"/>
    <n v="-6.6822673031033446"/>
    <n v="-1.0507426081335538"/>
    <n v="0"/>
    <n v="0"/>
    <m/>
    <m/>
    <m/>
    <n v="40303.654237152507"/>
    <n v="0"/>
    <n v="0"/>
    <n v="-29217.222890000001"/>
    <m/>
    <n v="0"/>
    <m/>
    <n v="-29611.490446203043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7"/>
    <s v="Regular"/>
    <s v="Verde"/>
    <s v="A4"/>
    <s v="Industrial"/>
    <s v="Não se aplica"/>
    <s v="Fonte incentivada"/>
    <s v="Não se aplica"/>
    <s v="Fora ponta"/>
    <s v="LIVRE"/>
    <x v="6"/>
    <n v="0"/>
    <n v="0"/>
    <n v="196.48699999999999"/>
    <n v="98.243499999999997"/>
    <n v="0"/>
    <n v="0"/>
    <m/>
    <n v="80.27"/>
    <m/>
    <m/>
    <n v="15772.011489999999"/>
    <n v="15772.011489999999"/>
    <n v="15695.381559999998"/>
    <n v="0"/>
    <n v="10361.002530684973"/>
    <n v="0"/>
    <n v="0"/>
    <n v="0"/>
    <n v="0"/>
    <n v="0"/>
    <m/>
    <m/>
    <m/>
    <n v="0"/>
    <n v="0"/>
    <n v="0"/>
    <n v="1841.7971566713982"/>
    <m/>
    <n v="269.82030972398042"/>
    <n v="0"/>
    <n v="0"/>
    <n v="0"/>
    <n v="0"/>
    <m/>
    <m/>
    <n v="0"/>
    <n v="0"/>
    <n v="0"/>
    <m/>
    <m/>
    <n v="0"/>
    <m/>
    <n v="0"/>
    <n v="0"/>
    <n v="89.853249363318938"/>
    <n v="0"/>
    <m/>
    <n v="3209.8424464775558"/>
    <n v="0"/>
    <n v="0"/>
    <n v="0"/>
    <n v="0"/>
    <n v="0"/>
    <m/>
    <n v="7847.690779999999"/>
    <m/>
    <m/>
    <m/>
    <m/>
    <m/>
    <m/>
    <m/>
    <n v="3299.6956958408746"/>
    <m/>
    <m/>
    <m/>
    <m/>
    <m/>
    <m/>
    <m/>
    <m/>
    <m/>
    <m/>
    <m/>
    <m/>
    <n v="7847.4111999999996"/>
    <n v="-38.62454500000058"/>
    <m/>
    <m/>
    <m/>
    <m/>
    <n v="-76.629930000000115"/>
    <n v="0"/>
    <n v="31"/>
    <n v="-77.255659171176376"/>
    <n v="0"/>
    <n v="0"/>
    <n v="0"/>
    <n v="0"/>
    <m/>
    <m/>
    <m/>
    <n v="0"/>
    <n v="0"/>
    <n v="0"/>
    <m/>
    <m/>
    <n v="0"/>
    <n v="13.727845156147026"/>
    <n v="490.40207664277068"/>
    <n v="0"/>
    <n v="-495.01964460738236"/>
    <m/>
    <n v="0"/>
    <n v="0"/>
    <m/>
    <n v="0"/>
    <n v="-74.630742658151803"/>
    <n v="-11.735193704560743"/>
    <n v="0"/>
    <n v="0"/>
    <m/>
    <m/>
    <m/>
    <n v="0"/>
    <n v="0"/>
    <n v="0"/>
    <n v="-76.62993000000096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8"/>
    <s v="Regular"/>
    <s v="Verde"/>
    <s v="A4"/>
    <s v="Industrial"/>
    <s v="Não se aplica"/>
    <s v="Fonte incentivada"/>
    <s v="Não se aplica"/>
    <s v="Não se aplica"/>
    <s v="LIVRE"/>
    <x v="6"/>
    <n v="674"/>
    <n v="337"/>
    <n v="0"/>
    <n v="0"/>
    <n v="0"/>
    <n v="0"/>
    <n v="32.17"/>
    <m/>
    <m/>
    <n v="21682.58"/>
    <m/>
    <n v="21682.58"/>
    <n v="8714.82"/>
    <n v="0"/>
    <n v="0"/>
    <n v="0"/>
    <n v="0"/>
    <n v="0"/>
    <n v="67.343535738479616"/>
    <n v="18148.619678804283"/>
    <m/>
    <m/>
    <m/>
    <n v="0"/>
    <n v="0"/>
    <n v="0"/>
    <n v="0"/>
    <m/>
    <n v="0"/>
    <n v="1189.219825722854"/>
    <n v="2280.0511215103884"/>
    <n v="0"/>
    <n v="0"/>
    <m/>
    <m/>
    <n v="0"/>
    <n v="0"/>
    <n v="0"/>
    <m/>
    <m/>
    <n v="0"/>
    <m/>
    <n v="0"/>
    <n v="0"/>
    <n v="0"/>
    <n v="0"/>
    <m/>
    <n v="0"/>
    <n v="0"/>
    <n v="830.38"/>
    <n v="0"/>
    <n v="8527.42"/>
    <n v="1"/>
    <m/>
    <n v="4357.41"/>
    <m/>
    <m/>
    <m/>
    <m/>
    <m/>
    <m/>
    <m/>
    <n v="0"/>
    <m/>
    <m/>
    <m/>
    <m/>
    <m/>
    <m/>
    <m/>
    <m/>
    <m/>
    <m/>
    <m/>
    <m/>
    <n v="4357.41"/>
    <n v="-6483.9100000000017"/>
    <m/>
    <m/>
    <m/>
    <m/>
    <n v="-12967.760000000002"/>
    <n v="0"/>
    <n v="31"/>
    <n v="364.44510419377457"/>
    <n v="122.66983760301582"/>
    <n v="235.1907483818095"/>
    <n v="0"/>
    <n v="0"/>
    <m/>
    <m/>
    <m/>
    <n v="6.58451820894960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148.619678804283"/>
    <m/>
    <n v="0"/>
    <n v="0"/>
    <n v="-12967.760000000002"/>
    <m/>
    <n v="0"/>
    <m/>
    <n v="-13333.96905075903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39"/>
    <s v="Regular"/>
    <s v="Geração"/>
    <s v="A4"/>
    <s v="Não se aplica"/>
    <s v="Não se aplica"/>
    <s v="Não se aplica"/>
    <s v="CARAGUATÁ"/>
    <s v="Não se aplica"/>
    <s v="GERAÇÃO"/>
    <x v="6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28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0"/>
    <s v="Regular"/>
    <s v="Verde"/>
    <s v="A4"/>
    <s v="Industrial"/>
    <s v="Não se aplica"/>
    <s v="Fonte incentivada"/>
    <s v="Não se aplica"/>
    <s v="Ponta"/>
    <s v="LIVRE"/>
    <x v="7"/>
    <n v="0"/>
    <n v="0"/>
    <n v="17.445"/>
    <n v="8.7225000000000001"/>
    <n v="0"/>
    <n v="0"/>
    <m/>
    <n v="2592.54"/>
    <m/>
    <m/>
    <n v="45226.8603"/>
    <n v="45226.8603"/>
    <n v="16255.425449999999"/>
    <n v="0"/>
    <n v="919.89642646994128"/>
    <n v="0"/>
    <n v="0"/>
    <n v="0"/>
    <n v="88.213001187278763"/>
    <n v="39964.602294499258"/>
    <m/>
    <m/>
    <m/>
    <n v="0"/>
    <n v="0"/>
    <n v="0"/>
    <n v="163.52303917374962"/>
    <m/>
    <n v="23.955861217967794"/>
    <n v="787.02893402982477"/>
    <n v="2986.5970614965649"/>
    <n v="0"/>
    <n v="0"/>
    <m/>
    <m/>
    <n v="0"/>
    <n v="0"/>
    <n v="0"/>
    <m/>
    <m/>
    <n v="0"/>
    <m/>
    <n v="0"/>
    <n v="0"/>
    <n v="7.9775757945467083"/>
    <n v="0"/>
    <m/>
    <n v="284.98425584797445"/>
    <n v="0"/>
    <n v="0"/>
    <n v="0"/>
    <n v="0"/>
    <n v="0"/>
    <m/>
    <n v="8127.7127249999994"/>
    <m/>
    <m/>
    <m/>
    <m/>
    <m/>
    <m/>
    <m/>
    <n v="292.96183164252113"/>
    <m/>
    <m/>
    <m/>
    <m/>
    <m/>
    <m/>
    <m/>
    <m/>
    <m/>
    <m/>
    <m/>
    <m/>
    <n v="8125.3832000000002"/>
    <n v="-14488.076949999995"/>
    <m/>
    <m/>
    <m/>
    <m/>
    <n v="-28971.434850000001"/>
    <n v="0"/>
    <n v="29"/>
    <n v="391.0211994887577"/>
    <n v="81.183234115380174"/>
    <n v="308.07203899136766"/>
    <n v="0"/>
    <n v="0"/>
    <m/>
    <m/>
    <m/>
    <n v="8.625031433444974"/>
    <n v="0"/>
    <n v="0"/>
    <m/>
    <m/>
    <n v="0"/>
    <n v="1.2188198646678137"/>
    <n v="43.540103045153842"/>
    <n v="0"/>
    <n v="-43.95007150689753"/>
    <m/>
    <n v="0"/>
    <n v="0"/>
    <m/>
    <n v="0"/>
    <n v="-6.6260531519716892"/>
    <n v="-1.0419033023867321"/>
    <n v="0"/>
    <n v="0"/>
    <m/>
    <m/>
    <m/>
    <n v="39964.602294499258"/>
    <n v="0"/>
    <n v="0"/>
    <n v="-28971.434850000001"/>
    <m/>
    <n v="0"/>
    <m/>
    <n v="-29362.38565531813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1"/>
    <s v="Regular"/>
    <s v="Verde"/>
    <s v="A4"/>
    <s v="Industrial"/>
    <s v="Não se aplica"/>
    <s v="Fonte incentivada"/>
    <s v="Não se aplica"/>
    <s v="Fora ponta"/>
    <s v="LIVRE"/>
    <x v="7"/>
    <n v="0"/>
    <n v="0"/>
    <n v="181.46899999999999"/>
    <n v="90.734499999999997"/>
    <n v="0"/>
    <n v="0"/>
    <m/>
    <n v="80.27"/>
    <m/>
    <m/>
    <n v="14566.516629999998"/>
    <n v="14566.516629999998"/>
    <n v="14495.743719999999"/>
    <n v="0"/>
    <n v="9569.0848159973502"/>
    <n v="0"/>
    <n v="0"/>
    <n v="0"/>
    <n v="0"/>
    <n v="0"/>
    <m/>
    <m/>
    <m/>
    <n v="0"/>
    <n v="0"/>
    <n v="0"/>
    <n v="1701.0239263869973"/>
    <m/>
    <n v="249.19725877692161"/>
    <n v="0"/>
    <n v="0"/>
    <n v="0"/>
    <n v="0"/>
    <m/>
    <m/>
    <n v="0"/>
    <n v="0"/>
    <n v="0"/>
    <m/>
    <m/>
    <n v="0"/>
    <m/>
    <n v="0"/>
    <n v="0"/>
    <n v="82.985537509922409"/>
    <n v="0"/>
    <m/>
    <n v="2964.5060432488435"/>
    <n v="0"/>
    <n v="0"/>
    <n v="0"/>
    <n v="0"/>
    <n v="0"/>
    <m/>
    <n v="7247.8718599999993"/>
    <m/>
    <m/>
    <m/>
    <m/>
    <m/>
    <m/>
    <m/>
    <n v="3047.4915807587658"/>
    <m/>
    <m/>
    <m/>
    <m/>
    <m/>
    <m/>
    <m/>
    <m/>
    <m/>
    <m/>
    <m/>
    <m/>
    <n v="7247.5123999999996"/>
    <n v="-35.775915000000168"/>
    <m/>
    <m/>
    <m/>
    <m/>
    <n v="-70.772910000000095"/>
    <n v="0"/>
    <n v="29"/>
    <n v="-71.350813102824759"/>
    <n v="0"/>
    <n v="0"/>
    <n v="0"/>
    <n v="0"/>
    <m/>
    <m/>
    <m/>
    <n v="0"/>
    <n v="0"/>
    <n v="0"/>
    <m/>
    <m/>
    <n v="0"/>
    <n v="12.678591116159566"/>
    <n v="452.91940151911831"/>
    <n v="0"/>
    <n v="-457.18403704701632"/>
    <m/>
    <n v="0"/>
    <n v="0"/>
    <m/>
    <n v="0"/>
    <n v="-68.926525619670201"/>
    <n v="-10.83824307141407"/>
    <n v="0"/>
    <n v="0"/>
    <m/>
    <m/>
    <m/>
    <n v="0"/>
    <n v="0"/>
    <n v="0"/>
    <n v="-70.77290999999968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2"/>
    <s v="Regular"/>
    <s v="Verde"/>
    <s v="A4"/>
    <s v="Industrial"/>
    <s v="Não se aplica"/>
    <s v="Fonte incentivada"/>
    <s v="Não se aplica"/>
    <s v="Não se aplica"/>
    <s v="LIVRE"/>
    <x v="7"/>
    <n v="671"/>
    <n v="335.5"/>
    <n v="0"/>
    <n v="0"/>
    <n v="0"/>
    <n v="0"/>
    <n v="32.17"/>
    <m/>
    <m/>
    <n v="21586.07"/>
    <m/>
    <n v="21586.07"/>
    <n v="8676.0300000000007"/>
    <n v="0"/>
    <n v="0"/>
    <n v="0"/>
    <n v="0"/>
    <n v="0"/>
    <n v="67.043787063085801"/>
    <n v="18067.839472518805"/>
    <m/>
    <m/>
    <m/>
    <n v="0"/>
    <n v="0"/>
    <n v="0"/>
    <n v="0"/>
    <m/>
    <n v="0"/>
    <n v="1183.9265624036129"/>
    <n v="2269.9025260140511"/>
    <n v="0"/>
    <n v="0"/>
    <m/>
    <m/>
    <n v="0"/>
    <n v="0"/>
    <n v="0"/>
    <m/>
    <m/>
    <n v="0"/>
    <m/>
    <n v="0"/>
    <n v="0"/>
    <n v="0"/>
    <n v="0"/>
    <m/>
    <n v="0"/>
    <n v="0"/>
    <n v="584.16"/>
    <n v="0"/>
    <n v="8195.09"/>
    <n v="1"/>
    <m/>
    <n v="4338.0150000000003"/>
    <m/>
    <m/>
    <m/>
    <m/>
    <m/>
    <m/>
    <m/>
    <n v="0"/>
    <m/>
    <m/>
    <m/>
    <m/>
    <m/>
    <m/>
    <m/>
    <m/>
    <m/>
    <m/>
    <m/>
    <m/>
    <n v="4338.0150000000003"/>
    <n v="-6455.05"/>
    <m/>
    <m/>
    <m/>
    <m/>
    <n v="-12910.04"/>
    <n v="0"/>
    <n v="29"/>
    <n v="362.82294497629573"/>
    <n v="122.12382942377371"/>
    <n v="234.14390528812237"/>
    <n v="0"/>
    <n v="0"/>
    <m/>
    <m/>
    <m/>
    <n v="6.55521026439937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067.839472518805"/>
    <m/>
    <n v="0"/>
    <n v="0"/>
    <n v="-12910.039999999999"/>
    <m/>
    <n v="0"/>
    <m/>
    <n v="-13274.6190401473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3"/>
    <s v="Regular"/>
    <s v="Geração"/>
    <s v="A4"/>
    <s v="Não se aplica"/>
    <s v="Não se aplica"/>
    <s v="Não se aplica"/>
    <s v="CARAGUATÁ"/>
    <s v="Não se aplica"/>
    <s v="GERAÇÃO"/>
    <x v="7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14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29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4"/>
    <s v="Regular"/>
    <s v="Verde"/>
    <s v="A4"/>
    <s v="Industrial"/>
    <s v="Não se aplica"/>
    <s v="Fonte incentivada"/>
    <s v="Não se aplica"/>
    <s v="Ponta"/>
    <s v="LIVRE"/>
    <x v="8"/>
    <n v="0"/>
    <n v="0"/>
    <n v="15.968999999999999"/>
    <n v="7.9844999999999997"/>
    <n v="0"/>
    <n v="0"/>
    <m/>
    <n v="2592.54"/>
    <m/>
    <m/>
    <n v="41400.271260000001"/>
    <n v="41400.271260000001"/>
    <n v="14880.073889999998"/>
    <n v="0"/>
    <n v="842.06512091134948"/>
    <n v="0"/>
    <n v="0"/>
    <n v="0"/>
    <n v="80.749407621648302"/>
    <n v="36583.246433984445"/>
    <m/>
    <m/>
    <m/>
    <n v="0"/>
    <n v="0"/>
    <n v="0"/>
    <n v="149.68755589370065"/>
    <m/>
    <n v="21.928985255931654"/>
    <n v="720.43938363555583"/>
    <n v="2733.9047563794006"/>
    <n v="0"/>
    <n v="0"/>
    <m/>
    <m/>
    <n v="0"/>
    <n v="0"/>
    <n v="0"/>
    <m/>
    <m/>
    <n v="0"/>
    <m/>
    <n v="0"/>
    <n v="0"/>
    <n v="7.3026029156271921"/>
    <n v="0"/>
    <m/>
    <n v="260.87208837124126"/>
    <n v="0"/>
    <n v="0"/>
    <n v="0"/>
    <n v="0"/>
    <n v="0"/>
    <m/>
    <n v="7440.0369449999989"/>
    <m/>
    <m/>
    <m/>
    <m/>
    <m/>
    <m/>
    <m/>
    <n v="268.17469128686844"/>
    <m/>
    <m/>
    <m/>
    <m/>
    <m/>
    <m/>
    <m/>
    <m/>
    <m/>
    <m/>
    <m/>
    <m/>
    <n v="7435.8437999999996"/>
    <n v="-13264.321829999997"/>
    <m/>
    <m/>
    <m/>
    <m/>
    <n v="-26520.197369999998"/>
    <n v="0"/>
    <n v="31"/>
    <n v="357.93737659134422"/>
    <n v="74.31442049805139"/>
    <n v="282.00644257111799"/>
    <n v="0"/>
    <n v="0"/>
    <m/>
    <m/>
    <m/>
    <n v="7.8952781290159066"/>
    <n v="0"/>
    <n v="0"/>
    <m/>
    <m/>
    <n v="0"/>
    <n v="1.1156970145531862"/>
    <n v="39.856228462485603"/>
    <n v="0"/>
    <n v="-40.23150999676966"/>
    <m/>
    <n v="0"/>
    <n v="0"/>
    <m/>
    <n v="0"/>
    <n v="-6.0654309420370112"/>
    <n v="-0.95374914507387487"/>
    <n v="0"/>
    <n v="0"/>
    <m/>
    <m/>
    <m/>
    <n v="36583.246433984445"/>
    <n v="0"/>
    <n v="0"/>
    <n v="-26520.197370000002"/>
    <m/>
    <n v="0"/>
    <m/>
    <n v="-26878.070308384944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5"/>
    <s v="Regular"/>
    <s v="Verde"/>
    <s v="A4"/>
    <s v="Industrial"/>
    <s v="Não se aplica"/>
    <s v="Fonte incentivada"/>
    <s v="Não se aplica"/>
    <s v="Fora ponta"/>
    <s v="LIVRE"/>
    <x v="8"/>
    <n v="0"/>
    <n v="0"/>
    <n v="188.66800000000001"/>
    <n v="94.334000000000003"/>
    <n v="0"/>
    <n v="0"/>
    <m/>
    <n v="80.27"/>
    <m/>
    <m/>
    <n v="15144.380359999999"/>
    <n v="15144.380359999999"/>
    <n v="15070.79984"/>
    <n v="0"/>
    <n v="9948.696989924385"/>
    <n v="0"/>
    <n v="0"/>
    <n v="0"/>
    <n v="0"/>
    <n v="0"/>
    <m/>
    <m/>
    <m/>
    <n v="0"/>
    <n v="0"/>
    <n v="0"/>
    <n v="1768.5047150950413"/>
    <m/>
    <n v="259.08308536953558"/>
    <n v="0"/>
    <n v="0"/>
    <n v="0"/>
    <n v="0"/>
    <m/>
    <m/>
    <n v="0"/>
    <n v="0"/>
    <n v="0"/>
    <m/>
    <m/>
    <n v="0"/>
    <m/>
    <n v="0"/>
    <n v="0"/>
    <n v="86.277630840099647"/>
    <n v="0"/>
    <m/>
    <n v="3082.1100362468128"/>
    <n v="0"/>
    <n v="0"/>
    <n v="0"/>
    <n v="0"/>
    <n v="0"/>
    <m/>
    <n v="7535.3999199999998"/>
    <m/>
    <m/>
    <m/>
    <m/>
    <m/>
    <m/>
    <m/>
    <n v="3168.3876670869126"/>
    <m/>
    <m/>
    <m/>
    <m/>
    <m/>
    <m/>
    <m/>
    <m/>
    <m/>
    <m/>
    <m/>
    <m/>
    <n v="7535.0803999999998"/>
    <n v="-37.139780000000428"/>
    <m/>
    <m/>
    <m/>
    <m/>
    <n v="-73.580520000000107"/>
    <n v="0"/>
    <n v="31"/>
    <n v="-74.181348916252318"/>
    <n v="0"/>
    <n v="0"/>
    <n v="0"/>
    <n v="0"/>
    <m/>
    <m/>
    <m/>
    <n v="0"/>
    <n v="0"/>
    <n v="0"/>
    <m/>
    <m/>
    <n v="0"/>
    <n v="13.181559542972025"/>
    <n v="470.88702558458499"/>
    <n v="0"/>
    <n v="-475.32084213604867"/>
    <m/>
    <n v="0"/>
    <n v="0"/>
    <m/>
    <n v="0"/>
    <n v="-71.66088828181114"/>
    <n v="-11.26820362595015"/>
    <n v="0"/>
    <n v="0"/>
    <m/>
    <m/>
    <m/>
    <n v="0"/>
    <n v="0"/>
    <n v="0"/>
    <n v="-73.58051999999952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6"/>
    <s v="Regular"/>
    <s v="Verde"/>
    <s v="A4"/>
    <s v="Industrial"/>
    <s v="Não se aplica"/>
    <s v="Fonte incentivada"/>
    <s v="Não se aplica"/>
    <s v="Não se aplica"/>
    <s v="LIVRE"/>
    <x v="8"/>
    <n v="700"/>
    <n v="350"/>
    <n v="0"/>
    <n v="0"/>
    <n v="0"/>
    <n v="0"/>
    <n v="32.17"/>
    <m/>
    <m/>
    <n v="22519"/>
    <m/>
    <n v="22519"/>
    <n v="9051"/>
    <n v="0"/>
    <n v="0"/>
    <n v="0"/>
    <n v="0"/>
    <n v="0"/>
    <n v="69.941357591892782"/>
    <n v="18848.714799945101"/>
    <m/>
    <m/>
    <m/>
    <n v="0"/>
    <n v="0"/>
    <n v="0"/>
    <n v="0"/>
    <m/>
    <n v="0"/>
    <n v="1235.0947744896112"/>
    <n v="2368.005615811976"/>
    <n v="0"/>
    <n v="0"/>
    <m/>
    <m/>
    <n v="0"/>
    <n v="0"/>
    <n v="0"/>
    <m/>
    <m/>
    <n v="0"/>
    <m/>
    <n v="0"/>
    <n v="0"/>
    <n v="0"/>
    <n v="0"/>
    <m/>
    <n v="0"/>
    <n v="0"/>
    <n v="282.85000000000002"/>
    <n v="0"/>
    <n v="7985.11"/>
    <n v="1"/>
    <m/>
    <n v="4525.5"/>
    <m/>
    <m/>
    <m/>
    <m/>
    <m/>
    <m/>
    <m/>
    <n v="0"/>
    <m/>
    <m/>
    <m/>
    <m/>
    <m/>
    <m/>
    <m/>
    <m/>
    <m/>
    <m/>
    <m/>
    <m/>
    <n v="4525.5"/>
    <n v="-6734.0300000000007"/>
    <m/>
    <m/>
    <m/>
    <m/>
    <n v="-13468.000000000002"/>
    <n v="0"/>
    <n v="31"/>
    <n v="378.50381741193269"/>
    <n v="127.40190848977886"/>
    <n v="244.26338852710205"/>
    <n v="0"/>
    <n v="0"/>
    <m/>
    <m/>
    <m/>
    <n v="6.83852039505151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8.714799945101"/>
    <m/>
    <n v="0"/>
    <n v="0"/>
    <n v="-13468"/>
    <m/>
    <n v="0"/>
    <m/>
    <n v="-13848.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7"/>
    <s v="Regular"/>
    <s v="Geração"/>
    <s v="A4"/>
    <s v="Não se aplica"/>
    <s v="Não se aplica"/>
    <s v="Não se aplica"/>
    <s v="CARAGUATÁ"/>
    <s v="Não se aplica"/>
    <s v="GERAÇÃO"/>
    <x v="8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.36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8"/>
    <s v="Regular"/>
    <s v="Verde"/>
    <s v="A4"/>
    <s v="Industrial"/>
    <s v="Não se aplica"/>
    <s v="Fonte incentivada"/>
    <s v="Não se aplica"/>
    <s v="Ponta"/>
    <s v="LIVRE"/>
    <x v="9"/>
    <n v="0"/>
    <n v="0"/>
    <n v="10.753"/>
    <n v="5.3765000000000001"/>
    <n v="0"/>
    <n v="0"/>
    <m/>
    <n v="2592.54"/>
    <m/>
    <m/>
    <n v="27877.582620000001"/>
    <n v="27877.582620000001"/>
    <n v="10019.752929999999"/>
    <n v="0"/>
    <n v="567.01898961486268"/>
    <n v="0"/>
    <n v="0"/>
    <n v="0"/>
    <n v="54.373998381588336"/>
    <n v="24633.956346961913"/>
    <m/>
    <m/>
    <m/>
    <n v="0"/>
    <n v="0"/>
    <n v="0"/>
    <n v="100.79468273060073"/>
    <m/>
    <n v="14.766258278980091"/>
    <n v="485.12021367857301"/>
    <n v="1840.9216510331078"/>
    <n v="0"/>
    <n v="0"/>
    <m/>
    <m/>
    <n v="0"/>
    <n v="0"/>
    <n v="0"/>
    <m/>
    <m/>
    <n v="0"/>
    <m/>
    <n v="0"/>
    <n v="0"/>
    <n v="4.917332904486142"/>
    <n v="0"/>
    <m/>
    <n v="175.66269436132242"/>
    <n v="0"/>
    <n v="0"/>
    <n v="0"/>
    <n v="0"/>
    <n v="0"/>
    <m/>
    <n v="5009.8764649999994"/>
    <m/>
    <m/>
    <m/>
    <m/>
    <m/>
    <m/>
    <m/>
    <n v="180.58002726580855"/>
    <m/>
    <m/>
    <m/>
    <m/>
    <m/>
    <m/>
    <m/>
    <m/>
    <m/>
    <m/>
    <m/>
    <m/>
    <n v="5013.1377999999995"/>
    <n v="-8925.6835100000026"/>
    <m/>
    <m/>
    <m/>
    <m/>
    <n v="-17857.829689999999"/>
    <n v="0"/>
    <n v="30"/>
    <n v="241.02327074248296"/>
    <n v="50.040889449279575"/>
    <n v="189.89387419169816"/>
    <n v="0"/>
    <n v="0"/>
    <m/>
    <m/>
    <m/>
    <n v="5.3164209231203046"/>
    <n v="0"/>
    <n v="0"/>
    <m/>
    <m/>
    <n v="0"/>
    <n v="0.75127371767113793"/>
    <n v="26.837874923733949"/>
    <n v="0"/>
    <n v="-27.090577180491209"/>
    <m/>
    <n v="0"/>
    <n v="0"/>
    <m/>
    <n v="0"/>
    <n v="-4.0842619399914781"/>
    <n v="-0.64222334253737756"/>
    <n v="0"/>
    <n v="0"/>
    <m/>
    <m/>
    <m/>
    <n v="24633.956346961913"/>
    <n v="0"/>
    <n v="0"/>
    <n v="-17857.829690000002"/>
    <m/>
    <n v="0"/>
    <m/>
    <n v="-18098.809570171168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49"/>
    <s v="Regular"/>
    <s v="Verde"/>
    <s v="A4"/>
    <s v="Industrial"/>
    <s v="Não se aplica"/>
    <s v="Fonte incentivada"/>
    <s v="Não se aplica"/>
    <s v="Fora ponta"/>
    <s v="LIVRE"/>
    <x v="9"/>
    <n v="0"/>
    <n v="0"/>
    <n v="153.851"/>
    <n v="76.9255"/>
    <n v="0"/>
    <n v="0"/>
    <m/>
    <n v="80.27"/>
    <m/>
    <m/>
    <n v="12349.619769999999"/>
    <n v="12349.619769999999"/>
    <n v="12289.61788"/>
    <n v="0"/>
    <n v="8112.7535172729686"/>
    <n v="0"/>
    <n v="0"/>
    <n v="0"/>
    <n v="0"/>
    <n v="0"/>
    <m/>
    <m/>
    <m/>
    <n v="0"/>
    <n v="0"/>
    <n v="0"/>
    <n v="1442.1429120046175"/>
    <m/>
    <n v="211.27160815394458"/>
    <n v="0"/>
    <n v="0"/>
    <n v="0"/>
    <n v="0"/>
    <m/>
    <m/>
    <n v="0"/>
    <n v="0"/>
    <n v="0"/>
    <m/>
    <m/>
    <n v="0"/>
    <m/>
    <n v="0"/>
    <n v="0"/>
    <n v="70.355862055993441"/>
    <n v="0"/>
    <m/>
    <n v="2513.3340639992389"/>
    <n v="0"/>
    <n v="0"/>
    <n v="0"/>
    <n v="0"/>
    <n v="0"/>
    <m/>
    <n v="6144.8089399999999"/>
    <m/>
    <m/>
    <m/>
    <m/>
    <m/>
    <m/>
    <m/>
    <n v="2583.6899260552323"/>
    <m/>
    <m/>
    <m/>
    <m/>
    <m/>
    <m/>
    <m/>
    <m/>
    <m/>
    <m/>
    <m/>
    <m/>
    <n v="6145.1684000000005"/>
    <n v="-29.671484999999848"/>
    <m/>
    <m/>
    <m/>
    <m/>
    <n v="-60.001890000000088"/>
    <n v="0"/>
    <n v="30"/>
    <n v="-60.491841287945135"/>
    <n v="0"/>
    <n v="0"/>
    <n v="0"/>
    <n v="0"/>
    <m/>
    <m/>
    <m/>
    <n v="0"/>
    <n v="0"/>
    <n v="0"/>
    <m/>
    <m/>
    <n v="0"/>
    <n v="10.74902006299844"/>
    <n v="383.98901654341989"/>
    <n v="0"/>
    <n v="-387.60461171726547"/>
    <m/>
    <n v="0"/>
    <n v="0"/>
    <m/>
    <n v="0"/>
    <n v="-58.436509228087971"/>
    <n v="-9.1887569490112639"/>
    <n v="0"/>
    <n v="0"/>
    <m/>
    <m/>
    <m/>
    <n v="0"/>
    <n v="0"/>
    <n v="0"/>
    <n v="-60.00188999999954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0"/>
    <s v="Regular"/>
    <s v="Verde"/>
    <s v="A4"/>
    <s v="Industrial"/>
    <s v="Não se aplica"/>
    <s v="Fonte incentivada"/>
    <s v="Não se aplica"/>
    <s v="Não se aplica"/>
    <s v="LIVRE"/>
    <x v="9"/>
    <n v="599"/>
    <n v="299.5"/>
    <n v="0"/>
    <n v="0"/>
    <n v="0"/>
    <n v="0"/>
    <n v="32.17"/>
    <m/>
    <m/>
    <n v="19269.830000000002"/>
    <m/>
    <n v="19269.830000000002"/>
    <n v="7745.07"/>
    <n v="0"/>
    <n v="0"/>
    <n v="0"/>
    <n v="0"/>
    <n v="0"/>
    <n v="59.84981885363397"/>
    <n v="16129.114521667307"/>
    <m/>
    <m/>
    <m/>
    <n v="0"/>
    <n v="0"/>
    <n v="0"/>
    <n v="0"/>
    <m/>
    <n v="0"/>
    <n v="1056.8882427418243"/>
    <n v="2026.3362341019624"/>
    <n v="0"/>
    <n v="0"/>
    <m/>
    <m/>
    <n v="0"/>
    <n v="0"/>
    <n v="0"/>
    <m/>
    <m/>
    <n v="0"/>
    <m/>
    <n v="0"/>
    <n v="0"/>
    <n v="0"/>
    <n v="0"/>
    <m/>
    <n v="0"/>
    <n v="0"/>
    <n v="514.66"/>
    <n v="0"/>
    <n v="6261.13"/>
    <n v="1"/>
    <m/>
    <n v="3872.5349999999999"/>
    <m/>
    <m/>
    <m/>
    <m/>
    <m/>
    <m/>
    <m/>
    <n v="0"/>
    <m/>
    <m/>
    <m/>
    <m/>
    <m/>
    <m/>
    <m/>
    <m/>
    <m/>
    <m/>
    <m/>
    <m/>
    <n v="3872.5349999999999"/>
    <n v="-5762.4100000000017"/>
    <m/>
    <m/>
    <m/>
    <m/>
    <n v="-11524.760000000002"/>
    <n v="0"/>
    <n v="30"/>
    <n v="323.89112375678224"/>
    <n v="109.0196331219679"/>
    <n v="209.01967103962033"/>
    <n v="0"/>
    <n v="0"/>
    <m/>
    <m/>
    <m/>
    <n v="5.8518195951940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129.114521667307"/>
    <m/>
    <n v="0"/>
    <n v="0"/>
    <n v="-11524.760000000002"/>
    <m/>
    <n v="0"/>
    <m/>
    <n v="-11850.2187854668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1"/>
    <s v="Regular"/>
    <s v="Geração"/>
    <s v="A4"/>
    <s v="Não se aplica"/>
    <s v="Não se aplica"/>
    <s v="Não se aplica"/>
    <s v="CARAGUATÁ"/>
    <s v="Não se aplica"/>
    <s v="GERAÇÃO"/>
    <x v="9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12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2"/>
    <s v="Regular"/>
    <s v="Verde"/>
    <s v="A4"/>
    <s v="Industrial"/>
    <s v="Não se aplica"/>
    <s v="Fonte incentivada"/>
    <s v="Não se aplica"/>
    <s v="Ponta"/>
    <s v="LIVRE"/>
    <x v="10"/>
    <n v="0"/>
    <n v="0"/>
    <n v="9.4649999999999999"/>
    <n v="4.7324999999999999"/>
    <n v="0"/>
    <n v="0"/>
    <m/>
    <n v="2592.54"/>
    <m/>
    <m/>
    <n v="24538.391100000001"/>
    <n v="24538.391100000001"/>
    <n v="8819.5816500000001"/>
    <n v="0"/>
    <n v="499.10115657999393"/>
    <n v="0"/>
    <n v="0"/>
    <n v="0"/>
    <n v="47.861052234886415"/>
    <n v="21683.288089276899"/>
    <m/>
    <m/>
    <m/>
    <n v="0"/>
    <n v="0"/>
    <n v="0"/>
    <n v="88.721442578362868"/>
    <m/>
    <n v="12.997548089886223"/>
    <n v="427.01225913398059"/>
    <n v="1620.4150866761242"/>
    <n v="0"/>
    <n v="0"/>
    <m/>
    <m/>
    <n v="0"/>
    <n v="0"/>
    <n v="0"/>
    <m/>
    <m/>
    <n v="0"/>
    <m/>
    <n v="0"/>
    <n v="0"/>
    <n v="4.328332180876159"/>
    <n v="0"/>
    <m/>
    <n v="154.62172436807558"/>
    <n v="0"/>
    <n v="0"/>
    <n v="0"/>
    <n v="0"/>
    <n v="0"/>
    <m/>
    <n v="4409.790825"/>
    <m/>
    <m/>
    <m/>
    <m/>
    <m/>
    <m/>
    <m/>
    <n v="158.95005654895172"/>
    <m/>
    <m/>
    <m/>
    <m/>
    <m/>
    <m/>
    <m/>
    <m/>
    <m/>
    <m/>
    <m/>
    <m/>
    <n v="4407.4612999999999"/>
    <n v="-7861.7642500000011"/>
    <m/>
    <m/>
    <m/>
    <m/>
    <n v="-15718.809450000001"/>
    <n v="0"/>
    <n v="31"/>
    <n v="212.15337650679839"/>
    <n v="44.046965371285353"/>
    <n v="167.14828598757776"/>
    <n v="0"/>
    <n v="0"/>
    <m/>
    <m/>
    <m/>
    <n v="4.6796172265724607"/>
    <n v="0"/>
    <n v="0"/>
    <m/>
    <m/>
    <n v="0"/>
    <n v="0.66128575632449671"/>
    <n v="23.623220138858187"/>
    <n v="0"/>
    <n v="-23.845653586287483"/>
    <m/>
    <n v="0"/>
    <n v="0"/>
    <m/>
    <n v="0"/>
    <n v="-3.5950468950078545"/>
    <n v="-0.56529749252453065"/>
    <n v="0"/>
    <n v="0"/>
    <m/>
    <m/>
    <m/>
    <n v="21683.288089276899"/>
    <n v="0"/>
    <n v="0"/>
    <n v="-15718.809450000001"/>
    <m/>
    <n v="0"/>
    <m/>
    <n v="-15930.924633280953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3"/>
    <s v="Regular"/>
    <s v="Verde"/>
    <s v="A4"/>
    <s v="Industrial"/>
    <s v="Não se aplica"/>
    <s v="Fonte incentivada"/>
    <s v="Não se aplica"/>
    <s v="Fora ponta"/>
    <s v="LIVRE"/>
    <x v="10"/>
    <n v="0"/>
    <n v="0"/>
    <n v="147.11500000000001"/>
    <n v="73.557500000000005"/>
    <n v="0"/>
    <n v="0"/>
    <m/>
    <n v="80.27"/>
    <m/>
    <m/>
    <n v="11808.921050000001"/>
    <n v="11808.921050000001"/>
    <n v="11751.546200000001"/>
    <n v="0"/>
    <n v="7757.5559059974439"/>
    <n v="0"/>
    <n v="0"/>
    <n v="0"/>
    <n v="0"/>
    <n v="0"/>
    <m/>
    <m/>
    <m/>
    <n v="0"/>
    <n v="0"/>
    <n v="0"/>
    <n v="1379.0021156804917"/>
    <m/>
    <n v="202.02158343831081"/>
    <n v="0"/>
    <n v="0"/>
    <n v="0"/>
    <n v="0"/>
    <m/>
    <m/>
    <n v="0"/>
    <n v="0"/>
    <n v="0"/>
    <m/>
    <m/>
    <n v="0"/>
    <m/>
    <n v="0"/>
    <n v="0"/>
    <n v="67.275498023200853"/>
    <n v="0"/>
    <m/>
    <n v="2403.2937116121966"/>
    <n v="0"/>
    <n v="0"/>
    <n v="0"/>
    <n v="0"/>
    <n v="0"/>
    <m/>
    <n v="5875.7731000000003"/>
    <m/>
    <m/>
    <m/>
    <m/>
    <m/>
    <m/>
    <m/>
    <n v="2470.5692096353973"/>
    <m/>
    <m/>
    <m/>
    <m/>
    <m/>
    <m/>
    <m/>
    <m/>
    <m/>
    <m/>
    <m/>
    <m/>
    <n v="5875.9727999999996"/>
    <n v="-28.517725000001519"/>
    <m/>
    <m/>
    <m/>
    <m/>
    <n v="-57.374850000000087"/>
    <n v="0"/>
    <n v="31"/>
    <n v="-57.843349936472805"/>
    <n v="0"/>
    <n v="0"/>
    <n v="0"/>
    <n v="0"/>
    <m/>
    <m/>
    <m/>
    <n v="0"/>
    <n v="0"/>
    <n v="0"/>
    <m/>
    <m/>
    <n v="0"/>
    <n v="10.278399793098629"/>
    <n v="367.17697102251668"/>
    <n v="0"/>
    <n v="-370.63426596372756"/>
    <m/>
    <n v="0"/>
    <n v="0"/>
    <m/>
    <n v="0"/>
    <n v="-55.878005700906442"/>
    <n v="-8.7864490874533772"/>
    <n v="0"/>
    <n v="0"/>
    <m/>
    <m/>
    <m/>
    <n v="0"/>
    <n v="0"/>
    <n v="0"/>
    <n v="-57.37485000000015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4"/>
    <s v="Regular"/>
    <s v="Verde"/>
    <s v="A4"/>
    <s v="Industrial"/>
    <s v="Não se aplica"/>
    <s v="Fonte incentivada"/>
    <s v="Não se aplica"/>
    <s v="Não se aplica"/>
    <s v="LIVRE"/>
    <x v="10"/>
    <n v="549"/>
    <n v="274.5"/>
    <n v="0"/>
    <n v="0"/>
    <n v="0"/>
    <n v="0"/>
    <n v="32.17"/>
    <m/>
    <m/>
    <n v="17661.330000000002"/>
    <m/>
    <n v="17661.330000000002"/>
    <n v="7098.57"/>
    <n v="0"/>
    <n v="0"/>
    <n v="0"/>
    <n v="0"/>
    <n v="0"/>
    <n v="54.854007597070201"/>
    <n v="14782.777750242658"/>
    <m/>
    <m/>
    <m/>
    <n v="0"/>
    <n v="0"/>
    <n v="0"/>
    <n v="0"/>
    <m/>
    <n v="0"/>
    <n v="968.66718742113778"/>
    <n v="1857.1929758296783"/>
    <n v="0"/>
    <n v="0"/>
    <m/>
    <m/>
    <n v="0"/>
    <n v="0"/>
    <n v="0"/>
    <m/>
    <m/>
    <n v="0"/>
    <m/>
    <n v="0"/>
    <n v="0"/>
    <n v="0"/>
    <n v="0"/>
    <m/>
    <n v="0"/>
    <n v="0"/>
    <n v="426.61"/>
    <n v="0"/>
    <n v="5754.66"/>
    <n v="1"/>
    <m/>
    <n v="3549.2849999999999"/>
    <m/>
    <m/>
    <m/>
    <m/>
    <m/>
    <m/>
    <m/>
    <n v="0"/>
    <m/>
    <m/>
    <m/>
    <m/>
    <m/>
    <m/>
    <m/>
    <m/>
    <m/>
    <m/>
    <m/>
    <m/>
    <n v="3549.2849999999999"/>
    <n v="-5281.4100000000017"/>
    <m/>
    <m/>
    <m/>
    <m/>
    <n v="-10562.76"/>
    <n v="0"/>
    <n v="31"/>
    <n v="296.85513679878704"/>
    <n v="99.919496801269474"/>
    <n v="191.5722861448271"/>
    <n v="0"/>
    <n v="0"/>
    <m/>
    <m/>
    <m/>
    <n v="5.36335385269040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782.777750242658"/>
    <m/>
    <n v="0"/>
    <n v="0"/>
    <n v="-10562.760000000002"/>
    <m/>
    <n v="0"/>
    <m/>
    <n v="-10861.051941938742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5"/>
    <s v="Regular"/>
    <s v="Geração"/>
    <s v="A4"/>
    <s v="Não se aplica"/>
    <s v="Não se aplica"/>
    <s v="Não se aplica"/>
    <s v="CARAGUATÁ"/>
    <s v="Não se aplica"/>
    <s v="GERAÇÃO"/>
    <x v="10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91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6"/>
    <s v="Regular"/>
    <s v="Verde"/>
    <s v="A4"/>
    <s v="Industrial"/>
    <s v="Não se aplica"/>
    <s v="Fonte incentivada"/>
    <s v="Não se aplica"/>
    <s v="Ponta"/>
    <s v="LIVRE"/>
    <x v="11"/>
    <n v="0"/>
    <n v="0"/>
    <n v="8.3689999999999998"/>
    <n v="4.1844999999999999"/>
    <n v="0"/>
    <n v="0"/>
    <m/>
    <n v="2592.54"/>
    <m/>
    <m/>
    <n v="21696.967259999998"/>
    <n v="21696.967259999998"/>
    <n v="7798.3178899999994"/>
    <n v="0"/>
    <n v="441.30772101616157"/>
    <n v="0"/>
    <n v="0"/>
    <n v="0"/>
    <n v="42.318980047941295"/>
    <n v="19172.471000439342"/>
    <m/>
    <m/>
    <m/>
    <n v="0"/>
    <n v="0"/>
    <n v="0"/>
    <n v="78.447940088570391"/>
    <m/>
    <n v="11.492496562520634"/>
    <n v="377.56635992522803"/>
    <n v="1432.7790660742191"/>
    <n v="0"/>
    <n v="0"/>
    <m/>
    <m/>
    <n v="0"/>
    <n v="0"/>
    <n v="0"/>
    <m/>
    <m/>
    <n v="0"/>
    <m/>
    <n v="0"/>
    <n v="0"/>
    <n v="3.827132807369527"/>
    <n v="0"/>
    <m/>
    <n v="136.71729648562328"/>
    <n v="0"/>
    <n v="0"/>
    <n v="0"/>
    <n v="0"/>
    <n v="0"/>
    <m/>
    <n v="3899.1589449999997"/>
    <m/>
    <m/>
    <m/>
    <m/>
    <m/>
    <m/>
    <m/>
    <n v="140.54442929299282"/>
    <m/>
    <m/>
    <m/>
    <m/>
    <m/>
    <m/>
    <m/>
    <m/>
    <m/>
    <m/>
    <m/>
    <m/>
    <n v="3894.9657999999995"/>
    <n v="-6953.5478299999995"/>
    <m/>
    <m/>
    <m/>
    <m/>
    <n v="-13898.649369999999"/>
    <n v="0"/>
    <n v="30"/>
    <n v="187.58706898947639"/>
    <n v="38.946545503675395"/>
    <n v="147.79334447227029"/>
    <n v="0"/>
    <n v="0"/>
    <m/>
    <m/>
    <m/>
    <n v="4.1377407891373466"/>
    <n v="0"/>
    <n v="0"/>
    <m/>
    <m/>
    <n v="0"/>
    <n v="0.58471214946431216"/>
    <n v="20.887768551727874"/>
    <n v="0"/>
    <n v="-21.084445310474393"/>
    <m/>
    <n v="0"/>
    <n v="0"/>
    <m/>
    <n v="0"/>
    <n v="-3.1787583163571753"/>
    <n v="-0.49983884996701455"/>
    <n v="0"/>
    <n v="0"/>
    <m/>
    <m/>
    <m/>
    <n v="19172.471000439342"/>
    <n v="0"/>
    <n v="0"/>
    <n v="-13898.649369999999"/>
    <m/>
    <n v="0"/>
    <m/>
    <n v="-14086.20266834953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7"/>
    <s v="Regular"/>
    <s v="Verde"/>
    <s v="A4"/>
    <s v="Industrial"/>
    <s v="Não se aplica"/>
    <s v="Fonte incentivada"/>
    <s v="Não se aplica"/>
    <s v="Fora ponta"/>
    <s v="LIVRE"/>
    <x v="11"/>
    <n v="0"/>
    <n v="0"/>
    <n v="149.69900000000001"/>
    <n v="74.849500000000006"/>
    <n v="0"/>
    <n v="0"/>
    <m/>
    <n v="80.27"/>
    <m/>
    <m/>
    <n v="12016.338729999999"/>
    <n v="12016.338729999999"/>
    <n v="11957.956120000001"/>
    <n v="0"/>
    <n v="7893.8134219618087"/>
    <n v="0"/>
    <n v="0"/>
    <n v="0"/>
    <n v="0"/>
    <n v="0"/>
    <m/>
    <m/>
    <m/>
    <n v="0"/>
    <n v="0"/>
    <n v="0"/>
    <n v="1403.2235850542361"/>
    <m/>
    <n v="205.56998959407056"/>
    <n v="0"/>
    <n v="0"/>
    <n v="0"/>
    <n v="0"/>
    <m/>
    <m/>
    <n v="0"/>
    <n v="0"/>
    <n v="0"/>
    <m/>
    <m/>
    <n v="0"/>
    <m/>
    <n v="0"/>
    <n v="0"/>
    <n v="68.457157860008465"/>
    <n v="0"/>
    <m/>
    <n v="2445.5063408533065"/>
    <n v="0"/>
    <n v="0"/>
    <n v="0"/>
    <n v="0"/>
    <n v="0"/>
    <m/>
    <n v="5978.9780600000004"/>
    <m/>
    <m/>
    <m/>
    <m/>
    <m/>
    <m/>
    <m/>
    <n v="2513.9634987133149"/>
    <m/>
    <m/>
    <m/>
    <m/>
    <m/>
    <m/>
    <m/>
    <m/>
    <m/>
    <m/>
    <m/>
    <m/>
    <n v="5979.0179999999991"/>
    <n v="-29.181365000001279"/>
    <m/>
    <m/>
    <m/>
    <m/>
    <n v="-58.382610000000092"/>
    <n v="0"/>
    <n v="30"/>
    <n v="-58.859338899093927"/>
    <n v="0"/>
    <n v="0"/>
    <n v="0"/>
    <n v="0"/>
    <m/>
    <m/>
    <m/>
    <n v="0"/>
    <n v="0"/>
    <n v="0"/>
    <m/>
    <m/>
    <n v="0"/>
    <n v="10.458934647228844"/>
    <n v="373.62624739217472"/>
    <n v="0"/>
    <n v="-377.14426795706822"/>
    <m/>
    <n v="0"/>
    <n v="0"/>
    <m/>
    <n v="0"/>
    <n v="-56.859474393637811"/>
    <n v="-8.9407785877897084"/>
    <n v="0"/>
    <n v="0"/>
    <m/>
    <m/>
    <m/>
    <n v="0"/>
    <n v="0"/>
    <n v="0"/>
    <n v="-58.38260999999874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8"/>
    <s v="Regular"/>
    <s v="Verde"/>
    <s v="A4"/>
    <s v="Industrial"/>
    <s v="Não se aplica"/>
    <s v="Fonte incentivada"/>
    <s v="Não se aplica"/>
    <s v="Não se aplica"/>
    <s v="LIVRE"/>
    <x v="11"/>
    <n v="700"/>
    <n v="350"/>
    <n v="0"/>
    <n v="0"/>
    <n v="0"/>
    <n v="0"/>
    <n v="32.17"/>
    <m/>
    <m/>
    <n v="22519"/>
    <m/>
    <n v="22519"/>
    <n v="9051"/>
    <n v="0"/>
    <n v="0"/>
    <n v="0"/>
    <n v="0"/>
    <n v="0"/>
    <n v="69.941357591892782"/>
    <n v="18848.714799945101"/>
    <m/>
    <m/>
    <m/>
    <n v="0"/>
    <n v="0"/>
    <n v="0"/>
    <n v="0"/>
    <m/>
    <n v="0"/>
    <n v="1235.0947744896112"/>
    <n v="2368.005615811976"/>
    <n v="0"/>
    <n v="0"/>
    <m/>
    <m/>
    <n v="0"/>
    <n v="0"/>
    <n v="0"/>
    <m/>
    <m/>
    <n v="0"/>
    <m/>
    <n v="0"/>
    <n v="0"/>
    <n v="0"/>
    <n v="0"/>
    <m/>
    <n v="0"/>
    <n v="0"/>
    <n v="514.21"/>
    <n v="0"/>
    <n v="5566.23"/>
    <n v="1"/>
    <m/>
    <n v="4525.5"/>
    <m/>
    <m/>
    <m/>
    <m/>
    <m/>
    <m/>
    <m/>
    <n v="0"/>
    <m/>
    <m/>
    <m/>
    <m/>
    <m/>
    <m/>
    <m/>
    <m/>
    <m/>
    <m/>
    <m/>
    <m/>
    <n v="4525.5"/>
    <n v="-6734.0300000000007"/>
    <m/>
    <m/>
    <m/>
    <m/>
    <n v="-13468.000000000002"/>
    <n v="0"/>
    <n v="30"/>
    <n v="378.50381741193269"/>
    <n v="127.40190848977886"/>
    <n v="244.26338852710205"/>
    <n v="0"/>
    <n v="0"/>
    <m/>
    <m/>
    <m/>
    <n v="6.83852039505151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8.714799945101"/>
    <m/>
    <n v="0"/>
    <n v="0"/>
    <n v="-13468"/>
    <m/>
    <n v="0"/>
    <m/>
    <n v="-13848.335809393659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  <r>
    <n v="659"/>
    <s v="Regular"/>
    <s v="Geração"/>
    <s v="A4"/>
    <s v="Não se aplica"/>
    <s v="Não se aplica"/>
    <s v="Não se aplica"/>
    <s v="CARAGUATÁ"/>
    <s v="Não se aplica"/>
    <s v="GERAÇÃO"/>
    <x v="11"/>
    <n v="953"/>
    <n v="476.5"/>
    <n v="0"/>
    <n v="0"/>
    <n v="0"/>
    <n v="0"/>
    <n v="10.220000000000001"/>
    <m/>
    <m/>
    <n v="9739.66"/>
    <m/>
    <n v="9739.66"/>
    <n v="2582.63"/>
    <n v="0"/>
    <n v="0"/>
    <n v="0"/>
    <n v="0"/>
    <n v="0"/>
    <n v="0"/>
    <n v="9741.24835816006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.05"/>
    <n v="0"/>
    <n v="0"/>
    <n v="0"/>
    <m/>
    <m/>
    <n v="1291.3150000000001"/>
    <m/>
    <m/>
    <m/>
    <m/>
    <m/>
    <m/>
    <n v="0"/>
    <m/>
    <m/>
    <m/>
    <m/>
    <m/>
    <m/>
    <m/>
    <m/>
    <m/>
    <m/>
    <m/>
    <m/>
    <n v="1291.3150000000001"/>
    <n v="-3578.5450000000005"/>
    <m/>
    <m/>
    <m/>
    <m/>
    <n v="-7157.0300000000007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1.2483581600645"/>
    <m/>
    <n v="0"/>
    <n v="0"/>
    <n v="-7157.03"/>
    <m/>
    <n v="0"/>
    <m/>
    <n v="-7156.9908027309175"/>
    <m/>
    <n v="0"/>
    <n v="0"/>
    <m/>
    <n v="0"/>
    <n v="0"/>
    <n v="0"/>
    <n v="0"/>
    <n v="0"/>
    <m/>
    <m/>
    <n v="0"/>
    <n v="0"/>
    <m/>
    <n v="0"/>
    <m/>
    <n v="0"/>
    <m/>
    <n v="242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8"/>
    <dataField name="Soma de TE_E" fld="15" baseField="0" baseItem="0"/>
  </dataFields>
  <formats count="4">
    <format dxfId="386">
      <pivotArea type="all" dataOnly="0" outline="0" fieldPosition="0"/>
    </format>
    <format dxfId="385">
      <pivotArea type="all" dataOnly="0" outline="0" fieldPosition="0"/>
    </format>
    <format dxfId="384">
      <pivotArea type="all" dataOnly="0" outline="0" fieldPosition="0"/>
    </format>
    <format dxfId="383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5" dataDxfId="574">
  <autoFilter ref="AA5:AE7" xr:uid="{B3DE7FE8-5926-4E44-9EDC-9655DE4A4B67}"/>
  <tableColumns count="5">
    <tableColumn id="1" xr3:uid="{1315B14B-5316-4DE2-9050-0B99168CC239}" name="Cotas" dataDxfId="573"/>
    <tableColumn id="2" xr3:uid="{00C64702-8D8C-4EE8-B854-0E39030818B6}" name="Valor da &quot;Cota&quot;" dataDxfId="572"/>
    <tableColumn id="3" xr3:uid="{63BFFE80-8EC9-4566-842F-9FD193C67815}" name="Ano" dataDxfId="571"/>
    <tableColumn id="4" xr3:uid="{7B5A7EF8-5CB6-4557-B7D2-1C4857462594}" name="Custo Médio da Cota" dataDxfId="570"/>
    <tableColumn id="5" xr3:uid="{D3F4B71D-C886-4718-A85E-FA54E9F8D838}" name="Energia MWh" dataDxfId="569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68" dataDxfId="567" headerRowCellStyle="Normal 5" dataCellStyle="Normal 5">
  <autoFilter ref="AA21:AG23" xr:uid="{8109BFC4-5B84-4531-A319-ED0D5E86A4C5}"/>
  <tableColumns count="7">
    <tableColumn id="1" xr3:uid="{59A03A63-2F04-4649-A4AF-9B891D5BEBED}" name="Leilão" dataDxfId="566" dataCellStyle="Normal 5"/>
    <tableColumn id="2" xr3:uid="{1B8E1FA7-1B1E-42CD-98A0-C36F374D9818}" name="Produto" dataDxfId="565" dataCellStyle="Normal 5"/>
    <tableColumn id="3" xr3:uid="{3C5EB2AC-0FA8-44FB-8B3B-4F205233DD96}" name="Modalidade" dataDxfId="564" dataCellStyle="Normal 5"/>
    <tableColumn id="4" xr3:uid="{C358BA83-832A-4936-8DD9-2979DA133039}" name="Fonte" dataDxfId="563" dataCellStyle="Normal 5"/>
    <tableColumn id="5" xr3:uid="{9CA52279-BDEC-44E2-A60F-C256B4A0590B}" name="Montante" dataDxfId="562" dataCellStyle="Normal 5"/>
    <tableColumn id="6" xr3:uid="{4C1D6705-AC4A-482B-AC5B-B0F755A722F2}" name="Data Base" dataDxfId="561" dataCellStyle="Vírgula"/>
    <tableColumn id="7" xr3:uid="{3DEA0CF9-631C-4B3F-B4AC-928E92F0AB84}" name="Custo Base" dataDxfId="560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59" dataDxfId="558">
  <autoFilter ref="AA10:AD11" xr:uid="{3C49DBE7-062C-4416-B6BA-09DB0F685AD5}"/>
  <tableColumns count="4">
    <tableColumn id="1" xr3:uid="{6F9C1B42-695A-4B8B-B63F-DA108D710421}" name="GSF previsto" dataDxfId="557" dataCellStyle="Normal 5"/>
    <tableColumn id="2" xr3:uid="{4D1DBAC9-9D60-4D51-A973-81AD2081E4F6}" name="PLD" dataDxfId="556" dataCellStyle="Normal 5"/>
    <tableColumn id="3" xr3:uid="{0DCF2C66-C111-4FF7-BEB4-BFD00E93A10A}" name="MWm repactuado" dataDxfId="555" dataCellStyle="Normal 5"/>
    <tableColumn id="4" xr3:uid="{030AED12-E9C5-474F-937C-742184A44EF8}" name="Fator de rateio" dataDxfId="554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3" dataDxfId="552">
  <autoFilter ref="AI5:AJ20" xr:uid="{C3573309-01D4-4FAA-88C4-46F0CAA1CC27}"/>
  <tableColumns count="2">
    <tableColumn id="1" xr3:uid="{56AC757E-E114-458B-A041-461374D0BA5F}" name="Data" dataDxfId="551"/>
    <tableColumn id="2" xr3:uid="{578DAC09-D952-4F72-9444-614F5761412A}" name="Valor Pis/Cofins Transmissora" dataDxfId="550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49"/>
    <tableColumn id="2" xr3:uid="{AAB31625-7790-4B9A-AC2F-62007C1AB8C0}" name="Valor" dataDxfId="548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7">
  <autoFilter ref="B70:D77" xr:uid="{2E07311B-F74E-449E-81FD-B2BBBED3E4B3}"/>
  <tableColumns count="3">
    <tableColumn id="1" xr3:uid="{34D06310-1B0F-4D68-8C00-ED68EED3BDEB}" name="Encargo" dataDxfId="546"/>
    <tableColumn id="2" xr3:uid="{9D37526B-68DA-4918-8BA1-31EFC93C676E}" name="Valor" dataDxfId="545" dataCellStyle="Vírgula"/>
    <tableColumn id="3" xr3:uid="{62B99FEA-2637-4880-B5A6-705D0DFDF64C}" name="DSP" dataDxfId="544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3">
  <autoFilter ref="AA15:AB16" xr:uid="{1246E986-5AFA-4E40-BCC4-649D094A68F9}"/>
  <tableColumns count="2">
    <tableColumn id="1" xr3:uid="{D4D96454-0BF2-4CE9-B9F7-0CF391A2F556}" name="Proinfa" dataDxfId="542"/>
    <tableColumn id="2" xr3:uid="{62B09719-28BC-4F30-8705-5FB3C24A0D07}" name="MWh" dataDxfId="541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0" dataDxfId="539">
  <autoFilter ref="AO5:AQ9" xr:uid="{1A968768-5E00-4725-815D-7B925098B780}"/>
  <tableColumns count="3">
    <tableColumn id="1" xr3:uid="{FC8C62E6-3A06-4479-B5D7-11BDBC46D611}" name="Conta Escassez" dataDxfId="538"/>
    <tableColumn id="2" xr3:uid="{55A5FC57-FA17-4C65-B2C8-0C51598692AE}" name="Valor" dataDxfId="537"/>
    <tableColumn id="3" xr3:uid="{C90C9243-AD2A-42D1-9D06-640F7A17A24B}" name="Legislacao" dataDxfId="536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5" dataDxfId="534">
  <autoFilter ref="AI24:AK45" xr:uid="{63306B16-ABC6-4C4A-8A31-BA4561D3E91F}"/>
  <tableColumns count="3">
    <tableColumn id="1" xr3:uid="{E80EBDF5-704B-4864-987B-30FABD11C257}" name="Grupo_TARIFA" dataDxfId="533"/>
    <tableColumn id="2" xr3:uid="{C48FAF4C-2500-4FE3-A576-CC56F4BB20F4}" name="Detalhe_Grupo_TARIFA" dataDxfId="532"/>
    <tableColumn id="3" xr3:uid="{C451D982-3266-4B86-86BB-DCF98A1C0BC5}" name="valor" dataDxfId="531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0" dataDxfId="529">
  <autoFilter ref="AM24:AP31" xr:uid="{5E07B889-3CC1-4EB8-A2FA-27865F10E9FF}"/>
  <tableColumns count="4">
    <tableColumn id="1" xr3:uid="{A684CBA1-85F2-4F6F-9549-132415395C97}" name="Grupo Tarifa" dataDxfId="528"/>
    <tableColumn id="2" xr3:uid="{601A6100-10DA-47B4-AC85-55E7B31A99AC}" name="Detalhe Grupo" dataDxfId="527"/>
    <tableColumn id="3" xr3:uid="{C6D6A904-43B1-4BB1-8721-FC3B084DEB3F}" name="Det3" dataDxfId="526"/>
    <tableColumn id="4" xr3:uid="{49E46CEE-1005-4E4F-AD52-B5C103AA28C0}" name="Valor" dataDxfId="525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4" tableBorderDxfId="523">
  <autoFilter ref="AA26:AB30" xr:uid="{ED60079D-08D5-46B4-B1E6-28428B2FF85A}"/>
  <tableColumns count="2">
    <tableColumn id="1" xr3:uid="{C7D3432F-090C-4D89-8F9B-66E323363124}" name="Dados de perda" dataDxfId="522"/>
    <tableColumn id="2" xr3:uid="{7924BC5A-340A-47DE-8986-F75E2F948A7A}" name="Valor" dataDxfId="521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0"/>
    <tableColumn id="2" xr3:uid="{00000000-0010-0000-1600-000002000000}" name="NomPessoaSuprida" dataDxfId="519"/>
    <tableColumn id="3" xr3:uid="{00000000-0010-0000-1600-000003000000}" name="IdeAgenteSupridora" dataDxfId="518"/>
    <tableColumn id="4" xr3:uid="{00000000-0010-0000-1600-000004000000}" name="NomPessoaSupridora" dataDxfId="517"/>
    <tableColumn id="5" xr3:uid="{00000000-0010-0000-1600-000005000000}" name="DescSubGrupoSgt" dataDxfId="516"/>
    <tableColumn id="6" xr3:uid="{00000000-0010-0000-1600-000006000000}" name="MesAno"/>
    <tableColumn id="7" xr3:uid="{00000000-0010-0000-1600-000007000000}" name="Descricao" dataDxfId="51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4" dataDxfId="512" headerRowBorderDxfId="513" tableBorderDxfId="511">
  <autoFilter ref="A9:AN61" xr:uid="{00000000-0009-0000-0100-00001A000000}"/>
  <tableColumns count="40">
    <tableColumn id="1" xr3:uid="{00000000-0010-0000-0000-000001000000}" name="Sigla" dataDxfId="510"/>
    <tableColumn id="2" xr3:uid="{00000000-0010-0000-0000-000002000000}" name="NomeSAMP" dataDxfId="509"/>
    <tableColumn id="3" xr3:uid="{00000000-0010-0000-0000-000003000000}" name="SARI" dataDxfId="508"/>
    <tableColumn id="4" xr3:uid="{00000000-0010-0000-0000-000004000000}" name="Área" dataDxfId="507"/>
    <tableColumn id="5" xr3:uid="{00000000-0010-0000-0000-000005000000}" name="Tipo de Contrato" dataDxfId="506"/>
    <tableColumn id="6" xr3:uid="{00000000-0010-0000-0000-000006000000}" name="Sede" dataDxfId="505"/>
    <tableColumn id="7" xr3:uid="{00000000-0010-0000-0000-000007000000}" name="UF" dataDxfId="504"/>
    <tableColumn id="8" xr3:uid="{00000000-0010-0000-0000-000008000000}" name="WACC ERD" dataDxfId="503"/>
    <tableColumn id="9" xr3:uid="{00000000-0010-0000-0000-000009000000}" name="Supridora 1" dataDxfId="502"/>
    <tableColumn id="33" xr3:uid="{00000000-0010-0000-0000-000021000000}" name="idsreagsupridora 1" dataDxfId="501"/>
    <tableColumn id="10" xr3:uid="{00000000-0010-0000-0000-00000A000000}" name="Supridora 2" dataDxfId="500"/>
    <tableColumn id="35" xr3:uid="{00000000-0010-0000-0000-000023000000}" name="idsreagsupridora2" dataDxfId="499"/>
    <tableColumn id="11" xr3:uid="{00000000-0010-0000-0000-00000B000000}" name="Desconto Tusd" dataDxfId="498"/>
    <tableColumn id="12" xr3:uid="{00000000-0010-0000-0000-00000C000000}" name="Proinfa MWh" dataDxfId="497"/>
    <tableColumn id="36" xr3:uid="{00000000-0010-0000-0000-000024000000}" name="REH Proinfa" dataDxfId="496"/>
    <tableColumn id="13" xr3:uid="{00000000-0010-0000-0000-00000D000000}" name="Beta" dataDxfId="495"/>
    <tableColumn id="14" xr3:uid="{00000000-0010-0000-0000-00000E000000}" name="Limite PB" dataDxfId="494" dataCellStyle="Vírgula"/>
    <tableColumn id="31" xr3:uid="{00000000-0010-0000-0000-00001F000000}" name="Data Base Limite PB" dataDxfId="493" dataCellStyle="Vírgula"/>
    <tableColumn id="30" xr3:uid="{00000000-0010-0000-0000-00001E000000}" name="Despacho limite Parcela B" dataDxfId="492" dataCellStyle="Vírgula"/>
    <tableColumn id="15" xr3:uid="{00000000-0010-0000-0000-00000F000000}" name="Contrato Permissão" dataDxfId="491"/>
    <tableColumn id="16" xr3:uid="{00000000-0010-0000-0000-000010000000}" name="Data Contrato" dataDxfId="490"/>
    <tableColumn id="17" xr3:uid="{00000000-0010-0000-0000-000011000000}" name="Próxima Revisão" dataDxfId="489"/>
    <tableColumn id="19" xr3:uid="{00000000-0010-0000-0000-000013000000}" name="Última REH" dataDxfId="488"/>
    <tableColumn id="20" xr3:uid="{00000000-0010-0000-0000-000014000000}" name="Data última REH " dataDxfId="487"/>
    <tableColumn id="21" xr3:uid="{00000000-0010-0000-0000-000015000000}" name="Pd" dataDxfId="486"/>
    <tableColumn id="22" xr3:uid="{00000000-0010-0000-0000-000016000000}" name="T" dataDxfId="485"/>
    <tableColumn id="26" xr3:uid="{00000000-0010-0000-0000-00001A000000}" name="Supridora para calculo da subvenção" dataDxfId="484"/>
    <tableColumn id="24" xr3:uid="{00000000-0010-0000-0000-000018000000}" name="Densidade Cooperativa" dataDxfId="483" dataCellStyle="Vírgula"/>
    <tableColumn id="25" xr3:uid="{00000000-0010-0000-0000-000019000000}" name="Densidade Principal Supridora" dataDxfId="482"/>
    <tableColumn id="27" xr3:uid="{00000000-0010-0000-0000-00001B000000}" name="Subvenção Anual (R$)" dataDxfId="481"/>
    <tableColumn id="28" xr3:uid="{00000000-0010-0000-0000-00001C000000}" name="Data Referência Subvenção" dataDxfId="480"/>
    <tableColumn id="39" xr3:uid="{3093CAC3-54C5-4BCF-9CB8-B8E3D611B57C}" name="Data de aniversarioda supridora" dataDxfId="479"/>
    <tableColumn id="23" xr3:uid="{00000000-0010-0000-0000-000017000000}" name="Geração Própria" dataDxfId="478"/>
    <tableColumn id="29" xr3:uid="{00000000-0010-0000-0000-00001D000000}" name="Data de referência da Geração Própria" dataDxfId="477"/>
    <tableColumn id="18" xr3:uid="{00000000-0010-0000-0000-000012000000}" name="Data da RTE" dataDxfId="476"/>
    <tableColumn id="32" xr3:uid="{00000000-0010-0000-0000-000020000000}" name="Data original" dataDxfId="475"/>
    <tableColumn id="34" xr3:uid="{00000000-0010-0000-0000-000022000000}" name="Regularização" dataDxfId="474"/>
    <tableColumn id="37" xr3:uid="{00000000-0010-0000-0000-000025000000}" name="vigência das tarifas" dataDxfId="473"/>
    <tableColumn id="38" xr3:uid="{00000000-0010-0000-0000-000026000000}" name="TUSD 2019" dataDxfId="472"/>
    <tableColumn id="40" xr3:uid="{00724FE7-7DEC-42A0-9F57-47D4901A2437}" name="CDE Conta covid" dataDxfId="471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0" dataDxfId="439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38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7" dataDxfId="436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5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4" dataDxfId="433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2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1" dataDxfId="430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29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8" dataDxfId="427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6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5" dataDxfId="424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3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2" dataDxfId="420" headerRowBorderDxfId="421" tableBorderDxfId="419" totalsRowBorderDxfId="418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7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6" dataDxfId="415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4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3" dataDxfId="412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1" dataCellStyle="Normal 54 2">
      <calculatedColumnFormula>IF(AN165=0,0,1)</calculatedColumnFormula>
    </tableColumn>
    <tableColumn id="2" xr3:uid="{00000000-0010-0000-0B00-000002000000}" name="2" dataDxfId="410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09" dataDxfId="408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7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6" dataDxfId="405" tableBorderDxfId="404" headerRowCellStyle="Normal 54 2" dataCellStyle="Year 2 6">
  <autoFilter ref="BS287:BS294" xr:uid="{00000000-0009-0000-0100-000013000000}"/>
  <tableColumns count="1">
    <tableColumn id="1" xr3:uid="{00000000-0010-0000-0D00-000001000000}" name="Colunas1" dataDxfId="403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2" dataDxfId="400" headerRowBorderDxfId="401" tableBorderDxfId="399" totalsRowBorderDxfId="398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7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6" dataDxfId="395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4" dataCellStyle="Normal 54 2">
      <calculatedColumnFormula>IF(BU297=0,0,1)</calculatedColumnFormula>
    </tableColumn>
    <tableColumn id="2" xr3:uid="{00000000-0010-0000-0F00-000002000000}" name="Colunas2" dataDxfId="393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2" dataDxfId="390" headerRowBorderDxfId="391" tableBorderDxfId="389" totalsRowBorderDxfId="388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7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658" totalsRowShown="0" headerRowDxfId="382" dataDxfId="381" totalsRowDxfId="380">
  <autoFilter ref="A2:FI658" xr:uid="{00000000-0009-0000-0100-00000D000000}"/>
  <tableColumns count="165">
    <tableColumn id="1" xr3:uid="{00000000-0010-0000-1200-000001000000}" name="Código" dataDxfId="379" totalsRowDxfId="378"/>
    <tableColumn id="74" xr3:uid="{00000000-0010-0000-1200-00004A000000}" name="TipoMercado" dataDxfId="377" totalsRowDxfId="376"/>
    <tableColumn id="75" xr3:uid="{00000000-0010-0000-1200-00004B000000}" name="Modalidade" dataDxfId="375" totalsRowDxfId="374"/>
    <tableColumn id="76" xr3:uid="{00000000-0010-0000-1200-00004C000000}" name="Subgrupo" dataDxfId="373" totalsRowDxfId="372"/>
    <tableColumn id="77" xr3:uid="{00000000-0010-0000-1200-00004D000000}" name="Classe" dataDxfId="371" totalsRowDxfId="370"/>
    <tableColumn id="78" xr3:uid="{00000000-0010-0000-1200-00004E000000}" name="Subclasse" dataDxfId="369" totalsRowDxfId="368"/>
    <tableColumn id="79" xr3:uid="{00000000-0010-0000-1200-00004F000000}" name="Detalhe" dataDxfId="367" totalsRowDxfId="366"/>
    <tableColumn id="80" xr3:uid="{00000000-0010-0000-1200-000050000000}" name="Agente" dataDxfId="365" totalsRowDxfId="364"/>
    <tableColumn id="81" xr3:uid="{00000000-0010-0000-1200-000051000000}" name="Posto" dataDxfId="363" totalsRowDxfId="362"/>
    <tableColumn id="82" xr3:uid="{00000000-0010-0000-1200-000052000000}" name="OPÇÃO" dataDxfId="361" totalsRowDxfId="360"/>
    <tableColumn id="83" xr3:uid="{00000000-0010-0000-1200-000053000000}" name="AnoMes" dataDxfId="359" totalsRowDxfId="358"/>
    <tableColumn id="84" xr3:uid="{00000000-0010-0000-1200-000054000000}" name="D" dataDxfId="357" totalsRowDxfId="356"/>
    <tableColumn id="85" xr3:uid="{00000000-0010-0000-1200-000055000000}" name="Daj" dataDxfId="355" totalsRowDxfId="354"/>
    <tableColumn id="86" xr3:uid="{00000000-0010-0000-1200-000056000000}" name="TUSD_E" dataDxfId="353" totalsRowDxfId="352"/>
    <tableColumn id="87" xr3:uid="{00000000-0010-0000-1200-000057000000}" name="TUSD_Eaj" dataDxfId="351" totalsRowDxfId="350"/>
    <tableColumn id="88" xr3:uid="{00000000-0010-0000-1200-000058000000}" name="TE_E" dataDxfId="349" totalsRowDxfId="348"/>
    <tableColumn id="89" xr3:uid="{00000000-0010-0000-1200-000059000000}" name="TE_Eaj" dataDxfId="347" totalsRowDxfId="346"/>
    <tableColumn id="90" xr3:uid="{00000000-0010-0000-1200-00005A000000}" name="TUSD/KW" dataDxfId="345" totalsRowDxfId="344"/>
    <tableColumn id="91" xr3:uid="{00000000-0010-0000-1200-00005B000000}" name="TUSD/MWh" dataDxfId="343" totalsRowDxfId="342"/>
    <tableColumn id="92" xr3:uid="{00000000-0010-0000-1200-00005C000000}" name="TE" dataDxfId="341" totalsRowDxfId="340"/>
    <tableColumn id="93" xr3:uid="{00000000-0010-0000-1200-00005D000000}" name="ReceitaD" dataDxfId="339" totalsRowDxfId="338"/>
    <tableColumn id="94" xr3:uid="{00000000-0010-0000-1200-00005E000000}" name="ReceitaE" dataDxfId="337" totalsRowDxfId="336"/>
    <tableColumn id="95" xr3:uid="{00000000-0010-0000-1200-00005F000000}" name="Total" dataDxfId="335" totalsRowDxfId="334"/>
    <tableColumn id="96" xr3:uid="{00000000-0010-0000-1200-000060000000}" name="Total com Tar de aplicação" dataDxfId="333" totalsRowDxfId="332"/>
    <tableColumn id="97" xr3:uid="{00000000-0010-0000-1200-000061000000}" name="CCC" dataDxfId="331" totalsRowDxfId="330"/>
    <tableColumn id="98" xr3:uid="{00000000-0010-0000-1200-000062000000}" name="CDE" dataDxfId="329" totalsRowDxfId="328"/>
    <tableColumn id="99" xr3:uid="{00000000-0010-0000-1200-000063000000}" name="CFURH" dataDxfId="327" totalsRowDxfId="326"/>
    <tableColumn id="100" xr3:uid="{00000000-0010-0000-1200-000064000000}" name="Conexao_D" dataDxfId="325" totalsRowDxfId="324"/>
    <tableColumn id="101" xr3:uid="{00000000-0010-0000-1200-000065000000}" name="Conexao_T" dataDxfId="323" totalsRowDxfId="322"/>
    <tableColumn id="102" xr3:uid="{00000000-0010-0000-1200-000066000000}" name="CUSD" dataDxfId="321" totalsRowDxfId="320"/>
    <tableColumn id="103" xr3:uid="{00000000-0010-0000-1200-000067000000}" name="DISTRIBUICAO" dataDxfId="319" totalsRowDxfId="318"/>
    <tableColumn id="104" xr3:uid="{00000000-0010-0000-1200-000068000000}" name="EnergiaRevenda" dataDxfId="317" totalsRowDxfId="316"/>
    <tableColumn id="105" xr3:uid="{00000000-0010-0000-1200-000069000000}" name="ESSERR" dataDxfId="315" totalsRowDxfId="314"/>
    <tableColumn id="106" xr3:uid="{00000000-0010-0000-1200-00006A000000}" name="ITAIPU" dataDxfId="313" totalsRowDxfId="312"/>
    <tableColumn id="107" xr3:uid="{00000000-0010-0000-1200-00006B000000}" name="ONS" dataDxfId="311" totalsRowDxfId="310"/>
    <tableColumn id="108" xr3:uid="{00000000-0010-0000-1200-00006C000000}" name="OUTROS" dataDxfId="309" totalsRowDxfId="308"/>
    <tableColumn id="109" xr3:uid="{00000000-0010-0000-1200-00006D000000}" name="PeD" dataDxfId="307" totalsRowDxfId="306"/>
    <tableColumn id="110" xr3:uid="{00000000-0010-0000-1200-00006E000000}" name="PROINFA" dataDxfId="305" totalsRowDxfId="304"/>
    <tableColumn id="111" xr3:uid="{00000000-0010-0000-1200-00006F000000}" name="RGR" dataDxfId="303" totalsRowDxfId="302"/>
    <tableColumn id="112" xr3:uid="{00000000-0010-0000-1200-000070000000}" name="TFSEE" dataDxfId="301" totalsRowDxfId="300"/>
    <tableColumn id="113" xr3:uid="{00000000-0010-0000-1200-000071000000}" name="TUST_FR" dataDxfId="299" totalsRowDxfId="298"/>
    <tableColumn id="114" xr3:uid="{00000000-0010-0000-1200-000072000000}" name="TUST_RB" dataDxfId="297" totalsRowDxfId="296"/>
    <tableColumn id="115" xr3:uid="{00000000-0010-0000-1200-000073000000}" name="TUSDG_ONS" dataDxfId="295" totalsRowDxfId="294"/>
    <tableColumn id="116" xr3:uid="{00000000-0010-0000-1200-000074000000}" name="TUSDG_T" dataDxfId="293" totalsRowDxfId="292"/>
    <tableColumn id="117" xr3:uid="{00000000-0010-0000-1200-000075000000}" name="TUST_CI" dataDxfId="291" totalsRowDxfId="290"/>
    <tableColumn id="118" xr3:uid="{00000000-0010-0000-1200-000076000000}" name="TUST_ITAIPU" dataDxfId="289" totalsRowDxfId="288"/>
    <tableColumn id="119" xr3:uid="{00000000-0010-0000-1200-000077000000}" name="CVA_CCC" dataDxfId="287" totalsRowDxfId="286"/>
    <tableColumn id="120" xr3:uid="{00000000-0010-0000-1200-000078000000}" name="CVA_CDE" dataDxfId="285" totalsRowDxfId="284"/>
    <tableColumn id="121" xr3:uid="{00000000-0010-0000-1200-000079000000}" name="CVA_PROINFA" dataDxfId="283" totalsRowDxfId="282"/>
    <tableColumn id="122" xr3:uid="{00000000-0010-0000-1200-00007A000000}" name="CVA_TranItaipu" dataDxfId="281" totalsRowDxfId="280"/>
    <tableColumn id="123" xr3:uid="{00000000-0010-0000-1200-00007B000000}" name="CVA_ESSERR" dataDxfId="279" totalsRowDxfId="278"/>
    <tableColumn id="124" xr3:uid="{00000000-0010-0000-1200-00007C000000}" name="CVA_CFURH" dataDxfId="277" totalsRowDxfId="276"/>
    <tableColumn id="125" xr3:uid="{00000000-0010-0000-1200-00007D000000}" name="CVA_CDE_E" dataDxfId="275" totalsRowDxfId="274"/>
    <tableColumn id="126" xr3:uid="{00000000-0010-0000-1200-00007E000000}" name="CVA_Energia" dataDxfId="273" totalsRowDxfId="272"/>
    <tableColumn id="127" xr3:uid="{00000000-0010-0000-1200-00007F000000}" name="CVA_RB" dataDxfId="271" totalsRowDxfId="270"/>
    <tableColumn id="128" xr3:uid="{00000000-0010-0000-1200-000080000000}" name="perdasnt" dataDxfId="269" totalsRowDxfId="268"/>
    <tableColumn id="129" xr3:uid="{00000000-0010-0000-1200-000081000000}" name="perdasrb_d" dataDxfId="267" totalsRowDxfId="266"/>
    <tableColumn id="130" xr3:uid="{00000000-0010-0000-1200-000082000000}" name="perdasrb_c" dataDxfId="265" totalsRowDxfId="264"/>
    <tableColumn id="131" xr3:uid="{00000000-0010-0000-1200-000083000000}" name="perdastec" dataDxfId="263" totalsRowDxfId="262"/>
    <tableColumn id="132" xr3:uid="{00000000-0010-0000-1200-000084000000}" name="RI" dataDxfId="261" totalsRowDxfId="260"/>
    <tableColumn id="133" xr3:uid="{00000000-0010-0000-1200-000085000000}" name="PisPasep" dataDxfId="259" totalsRowDxfId="258"/>
    <tableColumn id="134" xr3:uid="{00000000-0010-0000-1200-000086000000}" name="Cofins" dataDxfId="257" totalsRowDxfId="256"/>
    <tableColumn id="135" xr3:uid="{00000000-0010-0000-1200-000087000000}" name="ICMS" dataDxfId="255" totalsRowDxfId="254"/>
    <tableColumn id="136" xr3:uid="{00000000-0010-0000-1200-000088000000}" name="UC" dataDxfId="253" totalsRowDxfId="252"/>
    <tableColumn id="137" xr3:uid="{00000000-0010-0000-1200-000089000000}" name="total_dummy" dataDxfId="251" totalsRowDxfId="250"/>
    <tableColumn id="138" xr3:uid="{00000000-0010-0000-1200-00008A000000}" name="Subs_CarFI" dataDxfId="249" totalsRowDxfId="248"/>
    <tableColumn id="139" xr3:uid="{00000000-0010-0000-1200-00008B000000}" name="Subs_GerFI" dataDxfId="247" totalsRowDxfId="246"/>
    <tableColumn id="140" xr3:uid="{00000000-0010-0000-1200-00008C000000}" name="Subs_Dist" dataDxfId="245" totalsRowDxfId="244"/>
    <tableColumn id="141" xr3:uid="{00000000-0010-0000-1200-00008D000000}" name="Subs_AguaEsgoto" dataDxfId="243" totalsRowDxfId="242"/>
    <tableColumn id="142" xr3:uid="{00000000-0010-0000-1200-00008E000000}" name="Subs_Rural" dataDxfId="241" totalsRowDxfId="240"/>
    <tableColumn id="143" xr3:uid="{00000000-0010-0000-1200-00008F000000}" name="Subs_Irrigante" dataDxfId="239" totalsRowDxfId="238"/>
    <tableColumn id="144" xr3:uid="{00000000-0010-0000-1200-000090000000}" name="Subs_BaixaRenda" dataDxfId="237" totalsRowDxfId="236"/>
    <tableColumn id="145" xr3:uid="{00000000-0010-0000-1200-000091000000}" name="CDE_E" dataDxfId="235" totalsRowDxfId="234"/>
    <tableColumn id="2" xr3:uid="{00000000-0010-0000-1200-000002000000}" name="DespesaEnergia" dataDxfId="233" totalsRowDxfId="232"/>
    <tableColumn id="3" xr3:uid="{00000000-0010-0000-1200-000003000000}" name="RTE_CUSD" dataDxfId="231" totalsRowDxfId="230"/>
    <tableColumn id="4" xr3:uid="{00000000-0010-0000-1200-000004000000}" name="RTE_Energia" dataDxfId="229" totalsRowDxfId="228"/>
    <tableColumn id="5" xr3:uid="{00000000-0010-0000-1200-000005000000}" name="RTE_CDE_USO" dataDxfId="227" totalsRowDxfId="226"/>
    <tableColumn id="6" xr3:uid="{00000000-0010-0000-1200-000006000000}" name="RTE_CDE_E" dataDxfId="225" totalsRowDxfId="224"/>
    <tableColumn id="7" xr3:uid="{00000000-0010-0000-1200-000007000000}" name="RTE_PeD" dataDxfId="223" totalsRowDxfId="222"/>
    <tableColumn id="8" xr3:uid="{00000000-0010-0000-1200-000008000000}" name="Dif_Subs_Car" dataDxfId="221" totalsRowDxfId="220"/>
    <tableColumn id="9" xr3:uid="{00000000-0010-0000-1200-000009000000}" name="Dif_Subs_Ger" dataDxfId="219" totalsRowDxfId="218"/>
    <tableColumn id="10" xr3:uid="{00000000-0010-0000-1200-00000A000000}" name="Dif_Subs_D" dataDxfId="217" totalsRowDxfId="216"/>
    <tableColumn id="11" xr3:uid="{00000000-0010-0000-1200-00000B000000}" name="Dif_Subs_Agua" dataDxfId="215" totalsRowDxfId="214"/>
    <tableColumn id="12" xr3:uid="{00000000-0010-0000-1200-00000C000000}" name="Dif_Subs_Ru" dataDxfId="213" totalsRowDxfId="212"/>
    <tableColumn id="13" xr3:uid="{00000000-0010-0000-1200-00000D000000}" name="Dif_Subs_Irr" dataDxfId="211" totalsRowDxfId="210"/>
    <tableColumn id="14" xr3:uid="{00000000-0010-0000-1200-00000E000000}" name="dif_subs_baixa" dataDxfId="209" totalsRowDxfId="208"/>
    <tableColumn id="15" xr3:uid="{00000000-0010-0000-1200-00000F000000}" name="FinTotAj" dataDxfId="207" totalsRowDxfId="206"/>
    <tableColumn id="16" xr3:uid="{00000000-0010-0000-1200-000010000000}" name="FinAj" dataDxfId="205" totalsRowDxfId="204"/>
    <tableColumn id="17" xr3:uid="{00000000-0010-0000-1200-000011000000}" name="RTE_CDE_E_Dec" dataDxfId="203" totalsRowDxfId="202"/>
    <tableColumn id="18" xr3:uid="{00000000-0010-0000-1200-000012000000}" name="RTE_CDE_E_ACR" dataDxfId="201" totalsRowDxfId="200"/>
    <tableColumn id="19" xr3:uid="{00000000-0010-0000-1200-000013000000}" name="CDE_E_Dec" dataDxfId="199" totalsRowDxfId="198"/>
    <tableColumn id="20" xr3:uid="{00000000-0010-0000-1200-000014000000}" name="CDE_E_ACR" dataDxfId="197" totalsRowDxfId="196"/>
    <tableColumn id="21" xr3:uid="{00000000-0010-0000-1200-000015000000}" name="FinPostTUSD" dataDxfId="195" totalsRowDxfId="194"/>
    <tableColumn id="22" xr3:uid="{00000000-0010-0000-1200-000016000000}" name="FinPostTE" dataDxfId="193" totalsRowDxfId="192"/>
    <tableColumn id="23" xr3:uid="{00000000-0010-0000-1200-000017000000}" name="FinPostQtddias" dataDxfId="191" totalsRowDxfId="190"/>
    <tableColumn id="24" xr3:uid="{00000000-0010-0000-1200-000018000000}" name="FinCT_Geral" dataDxfId="189" totalsRowDxfId="188"/>
    <tableColumn id="25" xr3:uid="{00000000-0010-0000-1200-000019000000}" name="finCT_TUST_FR" dataDxfId="187" totalsRowDxfId="186"/>
    <tableColumn id="26" xr3:uid="{00000000-0010-0000-1200-00001A000000}" name="finCT_TUST_RB" dataDxfId="185" totalsRowDxfId="184"/>
    <tableColumn id="27" xr3:uid="{00000000-0010-0000-1200-00001B000000}" name="FINCT_TUSDG_ONS" dataDxfId="183" totalsRowDxfId="182"/>
    <tableColumn id="28" xr3:uid="{00000000-0010-0000-1200-00001C000000}" name="FINCT_TUSDG_T" dataDxfId="181" totalsRowDxfId="180"/>
    <tableColumn id="29" xr3:uid="{00000000-0010-0000-1200-00001D000000}" name="FINCT_TUST_CI" dataDxfId="179" totalsRowDxfId="178"/>
    <tableColumn id="30" xr3:uid="{00000000-0010-0000-1200-00001E000000}" name="FINCT_TUST_ITAIPU" dataDxfId="177" totalsRowDxfId="176"/>
    <tableColumn id="31" xr3:uid="{00000000-0010-0000-1200-00001F000000}" name="FinCT_Itaipu" dataDxfId="175" totalsRowDxfId="174"/>
    <tableColumn id="32" xr3:uid="{00000000-0010-0000-1200-000020000000}" name="FinCT_CUSD" dataDxfId="173" totalsRowDxfId="172"/>
    <tableColumn id="33" xr3:uid="{00000000-0010-0000-1200-000021000000}" name="FinCT_Conexao_D" dataDxfId="171" totalsRowDxfId="170"/>
    <tableColumn id="34" xr3:uid="{00000000-0010-0000-1200-000022000000}" name="FinCT_Conexao_T" dataDxfId="169" totalsRowDxfId="168"/>
    <tableColumn id="35" xr3:uid="{00000000-0010-0000-1200-000023000000}" name="FinCT_EnergiaRevenda" dataDxfId="167" totalsRowDxfId="166"/>
    <tableColumn id="36" xr3:uid="{00000000-0010-0000-1200-000024000000}" name="FINCT_perdasrb_c" dataDxfId="165" totalsRowDxfId="164"/>
    <tableColumn id="37" xr3:uid="{00000000-0010-0000-1200-000025000000}" name="FINCT_perdasrb_d" dataDxfId="163" totalsRowDxfId="162"/>
    <tableColumn id="38" xr3:uid="{00000000-0010-0000-1200-000026000000}" name="FinCT_perdasnt" dataDxfId="161" totalsRowDxfId="160"/>
    <tableColumn id="39" xr3:uid="{00000000-0010-0000-1200-000027000000}" name="FinCT_perdastec" dataDxfId="159" totalsRowDxfId="158"/>
    <tableColumn id="40" xr3:uid="{00000000-0010-0000-1200-000028000000}" name="FinCT_CCC" dataDxfId="157" totalsRowDxfId="156"/>
    <tableColumn id="41" xr3:uid="{00000000-0010-0000-1200-000029000000}" name="FinCT_CDE" dataDxfId="155" totalsRowDxfId="154"/>
    <tableColumn id="42" xr3:uid="{00000000-0010-0000-1200-00002A000000}" name="FinCT_CDE_E" dataDxfId="153" totalsRowDxfId="152"/>
    <tableColumn id="43" xr3:uid="{00000000-0010-0000-1200-00002B000000}" name="FinCT_CFURH" dataDxfId="151" totalsRowDxfId="150"/>
    <tableColumn id="44" xr3:uid="{00000000-0010-0000-1200-00002C000000}" name="FinCT_ONS" dataDxfId="149" totalsRowDxfId="148"/>
    <tableColumn id="45" xr3:uid="{00000000-0010-0000-1200-00002D000000}" name="FinCT_ESSERR" dataDxfId="147" totalsRowDxfId="146"/>
    <tableColumn id="46" xr3:uid="{00000000-0010-0000-1200-00002E000000}" name="FinCT_Ped" dataDxfId="145" totalsRowDxfId="144"/>
    <tableColumn id="47" xr3:uid="{00000000-0010-0000-1200-00002F000000}" name="finCT_PROINFA" dataDxfId="143" totalsRowDxfId="142"/>
    <tableColumn id="48" xr3:uid="{00000000-0010-0000-1200-000030000000}" name="finCT_TFSEE" dataDxfId="141" totalsRowDxfId="140"/>
    <tableColumn id="49" xr3:uid="{00000000-0010-0000-1200-000031000000}" name="FINCT_Liminar" dataDxfId="139" totalsRowDxfId="138"/>
    <tableColumn id="50" xr3:uid="{00000000-0010-0000-1200-000032000000}" name="FinCT_Subsidio" dataDxfId="137" totalsRowDxfId="136"/>
    <tableColumn id="51" xr3:uid="{00000000-0010-0000-1200-000033000000}" name="FINCT_RGR" dataDxfId="135" totalsRowDxfId="134"/>
    <tableColumn id="52" xr3:uid="{00000000-0010-0000-1200-000034000000}" name="Tipo_ato" dataDxfId="133" totalsRowDxfId="132"/>
    <tableColumn id="53" xr3:uid="{00000000-0010-0000-1200-000035000000}" name="DIST_D" dataDxfId="131" totalsRowDxfId="130"/>
    <tableColumn id="54" xr3:uid="{00000000-0010-0000-1200-000036000000}" name="DIST_E" dataDxfId="129" totalsRowDxfId="128"/>
    <tableColumn id="55" xr3:uid="{00000000-0010-0000-1200-000037000000}" name="FIN_RI" dataDxfId="127" totalsRowDxfId="126"/>
    <tableColumn id="56" xr3:uid="{00000000-0010-0000-1200-000038000000}" name="FINCT_RI" dataDxfId="125" totalsRowDxfId="124"/>
    <tableColumn id="57" xr3:uid="{00000000-0010-0000-1200-000039000000}" name="Fin_TUSD" dataDxfId="123" totalsRowDxfId="122"/>
    <tableColumn id="58" xr3:uid="{00000000-0010-0000-1200-00003A000000}" name="Fin_TE" totalsRowDxfId="121" dataCellStyle="Vírgula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6" totalsRowShown="0">
  <autoFilter ref="A1:Q276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2177</v>
      </c>
    </row>
    <row r="2" spans="1:15">
      <c r="A2">
        <v>252</v>
      </c>
      <c r="B2" s="982">
        <v>43922</v>
      </c>
      <c r="C2" s="234"/>
      <c r="D2" s="234"/>
      <c r="E2" s="234"/>
      <c r="F2" s="234"/>
      <c r="G2" s="234"/>
      <c r="H2" s="234"/>
      <c r="I2" s="983"/>
    </row>
    <row r="3" spans="1:15">
      <c r="A3">
        <v>255</v>
      </c>
      <c r="B3" s="982">
        <v>43922</v>
      </c>
      <c r="C3" s="234"/>
      <c r="D3" s="234"/>
      <c r="E3" s="234"/>
      <c r="F3" s="234"/>
      <c r="G3" s="234"/>
      <c r="H3" s="234"/>
      <c r="I3" s="983"/>
    </row>
    <row r="4" spans="1:15">
      <c r="A4">
        <v>206</v>
      </c>
      <c r="B4" s="982">
        <v>43922</v>
      </c>
      <c r="C4" s="234"/>
      <c r="D4" s="234"/>
      <c r="E4" s="234"/>
      <c r="F4" s="234"/>
      <c r="G4" s="234"/>
      <c r="H4" s="234"/>
      <c r="I4" s="983"/>
    </row>
    <row r="5" spans="1:15">
      <c r="A5">
        <v>256</v>
      </c>
      <c r="B5" s="982">
        <v>43922</v>
      </c>
      <c r="C5" s="234"/>
      <c r="D5" s="234"/>
      <c r="E5" s="234"/>
      <c r="F5" s="234"/>
      <c r="G5" s="234"/>
      <c r="H5" s="234"/>
      <c r="I5" s="983"/>
      <c r="J5" s="234">
        <v>4154376.2782662762</v>
      </c>
    </row>
    <row r="6" spans="1:15">
      <c r="A6">
        <v>203</v>
      </c>
      <c r="B6" s="982">
        <v>43952</v>
      </c>
      <c r="C6" s="234"/>
      <c r="D6" s="234"/>
      <c r="E6" s="234"/>
      <c r="F6" s="234"/>
      <c r="G6" s="234"/>
      <c r="H6" s="234"/>
      <c r="I6" s="983"/>
      <c r="J6" s="234"/>
    </row>
    <row r="7" spans="1:15">
      <c r="A7">
        <v>211</v>
      </c>
      <c r="B7" s="982">
        <v>43952</v>
      </c>
      <c r="C7" s="234"/>
      <c r="D7" s="234"/>
      <c r="E7" s="234"/>
      <c r="F7" s="234"/>
      <c r="G7" s="234"/>
      <c r="H7" s="234"/>
      <c r="I7" s="983"/>
      <c r="J7" s="234">
        <v>18046086.986190885</v>
      </c>
      <c r="N7" s="234"/>
      <c r="O7" s="983"/>
    </row>
    <row r="8" spans="1:15">
      <c r="A8">
        <v>254</v>
      </c>
      <c r="B8" s="982">
        <v>43952</v>
      </c>
      <c r="C8" s="234"/>
      <c r="D8" s="234"/>
      <c r="E8" s="234"/>
      <c r="F8" s="234"/>
      <c r="G8" s="234"/>
      <c r="H8" s="234"/>
      <c r="I8" s="983"/>
      <c r="N8" s="234"/>
      <c r="O8" s="983"/>
    </row>
    <row r="9" spans="1:15">
      <c r="A9">
        <v>210</v>
      </c>
      <c r="B9" s="982">
        <v>43952</v>
      </c>
      <c r="C9" s="234"/>
      <c r="D9" s="234"/>
      <c r="E9" s="234"/>
      <c r="F9" s="234"/>
      <c r="G9" s="234"/>
      <c r="H9" s="234"/>
      <c r="I9" s="983"/>
      <c r="N9" s="234"/>
      <c r="O9" s="983"/>
    </row>
    <row r="10" spans="1:15">
      <c r="A10">
        <v>258</v>
      </c>
      <c r="B10" s="982">
        <v>44013</v>
      </c>
      <c r="C10" s="234"/>
      <c r="D10" s="234"/>
      <c r="E10" s="234"/>
      <c r="F10" s="234"/>
      <c r="G10" s="234"/>
      <c r="H10" s="234"/>
      <c r="I10" s="983"/>
    </row>
    <row r="11" spans="1:15">
      <c r="A11">
        <v>247</v>
      </c>
      <c r="B11" s="982">
        <v>44013</v>
      </c>
      <c r="C11" s="234"/>
      <c r="D11" s="234"/>
      <c r="E11" s="234"/>
      <c r="F11" s="234"/>
      <c r="G11" s="234"/>
      <c r="H11" s="234"/>
      <c r="I11" s="983"/>
    </row>
    <row r="12" spans="1:15">
      <c r="A12">
        <v>248</v>
      </c>
      <c r="B12" s="982">
        <v>44013</v>
      </c>
      <c r="C12" s="234"/>
      <c r="D12" s="234"/>
      <c r="E12" s="234"/>
      <c r="F12" s="234"/>
      <c r="G12" s="234"/>
      <c r="H12" s="234"/>
      <c r="I12" s="984"/>
    </row>
    <row r="13" spans="1:15">
      <c r="A13">
        <v>209</v>
      </c>
      <c r="B13" s="982">
        <v>44013</v>
      </c>
      <c r="C13" s="234"/>
      <c r="D13" s="234"/>
      <c r="E13" s="234"/>
      <c r="F13" s="234"/>
      <c r="G13" s="234"/>
      <c r="H13" s="234"/>
      <c r="I13" s="983"/>
    </row>
    <row r="14" spans="1:15">
      <c r="A14">
        <v>207</v>
      </c>
      <c r="B14" s="982">
        <v>44013</v>
      </c>
      <c r="C14" s="234"/>
      <c r="D14" s="234"/>
      <c r="E14" s="234"/>
      <c r="F14" s="234"/>
      <c r="G14" s="234"/>
      <c r="H14" s="234"/>
      <c r="I14" s="983"/>
    </row>
    <row r="15" spans="1:15">
      <c r="A15">
        <v>249</v>
      </c>
      <c r="B15" s="982">
        <v>44013</v>
      </c>
      <c r="C15" s="234"/>
      <c r="D15" s="234"/>
      <c r="E15" s="234"/>
      <c r="F15" s="234"/>
      <c r="G15" s="234"/>
      <c r="H15" s="234"/>
      <c r="I15" s="983"/>
    </row>
    <row r="16" spans="1:15">
      <c r="A16">
        <v>237</v>
      </c>
      <c r="B16" s="982">
        <v>44013</v>
      </c>
      <c r="C16" s="234"/>
      <c r="D16" s="234"/>
      <c r="E16" s="234"/>
      <c r="F16" s="234"/>
      <c r="G16" s="234"/>
      <c r="H16" s="234"/>
      <c r="I16" s="984"/>
    </row>
    <row r="17" spans="1:10">
      <c r="A17">
        <v>246</v>
      </c>
      <c r="B17" s="982">
        <v>44013</v>
      </c>
      <c r="C17" s="234"/>
      <c r="D17" s="234"/>
      <c r="E17" s="234"/>
      <c r="F17" s="234"/>
      <c r="G17" s="234"/>
      <c r="H17" s="234"/>
      <c r="I17" s="983"/>
    </row>
    <row r="18" spans="1:10">
      <c r="A18">
        <v>238</v>
      </c>
      <c r="B18" s="982">
        <v>44013</v>
      </c>
      <c r="C18" s="234"/>
      <c r="D18" s="234"/>
      <c r="E18" s="234"/>
      <c r="F18" s="234"/>
      <c r="G18" s="234"/>
      <c r="H18" s="234"/>
      <c r="I18" s="983"/>
    </row>
    <row r="19" spans="1:10">
      <c r="A19">
        <v>240</v>
      </c>
      <c r="B19" s="982">
        <v>44013</v>
      </c>
      <c r="C19" s="234"/>
      <c r="D19" s="234"/>
      <c r="E19" s="234"/>
      <c r="F19" s="234"/>
      <c r="G19" s="234"/>
      <c r="H19" s="234"/>
      <c r="I19" s="983"/>
      <c r="J19" s="234">
        <v>81721407.839354143</v>
      </c>
    </row>
    <row r="20" spans="1:10">
      <c r="A20">
        <v>242</v>
      </c>
      <c r="B20" s="982">
        <v>44013</v>
      </c>
      <c r="C20" s="234"/>
      <c r="D20" s="234"/>
      <c r="E20" s="234"/>
      <c r="F20" s="234"/>
      <c r="G20" s="234"/>
      <c r="H20" s="234"/>
      <c r="I20" s="983"/>
    </row>
    <row r="21" spans="1:10">
      <c r="A21">
        <v>245</v>
      </c>
      <c r="B21" s="982">
        <v>44013</v>
      </c>
      <c r="C21" s="234"/>
      <c r="D21" s="234"/>
      <c r="E21" s="234"/>
      <c r="F21" s="234"/>
      <c r="G21" s="234"/>
      <c r="H21" s="234"/>
      <c r="I21" s="983"/>
    </row>
    <row r="22" spans="1:10">
      <c r="A22">
        <v>257</v>
      </c>
      <c r="B22" s="982">
        <v>44013</v>
      </c>
      <c r="C22" s="234"/>
      <c r="D22" s="234"/>
      <c r="E22" s="234"/>
      <c r="F22" s="234"/>
      <c r="G22" s="234"/>
      <c r="H22" s="234"/>
      <c r="I22" s="983"/>
    </row>
    <row r="23" spans="1:10">
      <c r="A23">
        <v>239</v>
      </c>
      <c r="B23" s="982">
        <v>44013</v>
      </c>
      <c r="C23" s="234"/>
      <c r="D23" s="234"/>
      <c r="E23" s="234"/>
      <c r="F23" s="234"/>
      <c r="G23" s="234"/>
      <c r="H23" s="234"/>
      <c r="I23" s="983"/>
    </row>
    <row r="24" spans="1:10">
      <c r="A24">
        <v>232</v>
      </c>
      <c r="B24" s="982">
        <v>44075</v>
      </c>
      <c r="C24" s="234"/>
      <c r="D24" s="234"/>
      <c r="E24" s="234"/>
      <c r="F24" s="234"/>
      <c r="G24" s="234"/>
      <c r="H24" s="234"/>
      <c r="I24" s="983"/>
    </row>
    <row r="25" spans="1:10">
      <c r="A25">
        <v>222</v>
      </c>
      <c r="B25" s="982">
        <v>44075</v>
      </c>
      <c r="C25" s="234"/>
      <c r="D25" s="234"/>
      <c r="E25" s="234"/>
      <c r="F25" s="234"/>
      <c r="G25" s="234"/>
      <c r="H25" s="234"/>
      <c r="I25" s="983"/>
    </row>
    <row r="26" spans="1:10">
      <c r="A26">
        <v>202</v>
      </c>
      <c r="B26" s="982">
        <v>44075</v>
      </c>
      <c r="C26" s="234"/>
      <c r="D26" s="234"/>
      <c r="E26" s="234"/>
      <c r="F26" s="234"/>
      <c r="G26" s="234"/>
      <c r="H26" s="234"/>
      <c r="I26" s="983"/>
    </row>
    <row r="27" spans="1:10">
      <c r="A27">
        <v>260</v>
      </c>
      <c r="B27" s="982">
        <v>44075</v>
      </c>
      <c r="C27" s="234"/>
      <c r="D27" s="234"/>
      <c r="E27" s="234"/>
      <c r="F27" s="234"/>
      <c r="G27" s="234"/>
      <c r="H27" s="234"/>
      <c r="I27" s="983"/>
    </row>
    <row r="28" spans="1:10">
      <c r="A28">
        <v>230</v>
      </c>
      <c r="B28" s="982">
        <v>44075</v>
      </c>
      <c r="C28" s="234"/>
      <c r="D28" s="234"/>
      <c r="E28" s="234"/>
      <c r="F28" s="234"/>
      <c r="G28" s="234"/>
      <c r="H28" s="234"/>
      <c r="I28" s="983"/>
    </row>
    <row r="29" spans="1:10">
      <c r="A29">
        <v>221</v>
      </c>
      <c r="B29" s="982">
        <v>44075</v>
      </c>
      <c r="C29" s="234"/>
      <c r="D29" s="234"/>
      <c r="E29" s="234"/>
      <c r="F29" s="234"/>
      <c r="G29" s="234"/>
      <c r="H29" s="234"/>
      <c r="I29" s="983"/>
    </row>
    <row r="30" spans="1:10">
      <c r="A30">
        <v>218</v>
      </c>
      <c r="B30" s="982">
        <v>44075</v>
      </c>
      <c r="C30" s="234"/>
      <c r="D30" s="234"/>
      <c r="E30" s="234"/>
      <c r="F30" s="234"/>
      <c r="G30" s="234"/>
      <c r="H30" s="234"/>
      <c r="I30" s="983"/>
    </row>
    <row r="31" spans="1:10">
      <c r="A31">
        <v>261</v>
      </c>
      <c r="B31" s="982">
        <v>44075</v>
      </c>
      <c r="C31" s="234"/>
      <c r="D31" s="234"/>
      <c r="E31" s="234"/>
      <c r="F31" s="234"/>
      <c r="G31" s="234"/>
      <c r="H31" s="234"/>
      <c r="I31" s="983"/>
    </row>
    <row r="32" spans="1:10">
      <c r="A32">
        <v>262</v>
      </c>
      <c r="B32" s="982">
        <v>44075</v>
      </c>
      <c r="C32" s="234"/>
      <c r="D32" s="234"/>
      <c r="E32" s="234"/>
      <c r="F32" s="234"/>
      <c r="G32" s="234"/>
      <c r="H32" s="234"/>
      <c r="I32" s="983"/>
    </row>
    <row r="33" spans="1:9">
      <c r="A33">
        <v>227</v>
      </c>
      <c r="B33" s="982">
        <v>44075</v>
      </c>
      <c r="C33" s="234"/>
      <c r="D33" s="234"/>
      <c r="E33" s="234"/>
      <c r="F33" s="234"/>
      <c r="G33" s="234"/>
      <c r="H33" s="234"/>
      <c r="I33" s="983"/>
    </row>
    <row r="34" spans="1:9">
      <c r="A34">
        <v>231</v>
      </c>
      <c r="B34" s="982">
        <v>44075</v>
      </c>
      <c r="C34" s="234"/>
      <c r="D34" s="234"/>
      <c r="E34" s="234"/>
      <c r="F34" s="234"/>
      <c r="G34" s="234"/>
      <c r="H34" s="234"/>
      <c r="I34" s="983"/>
    </row>
    <row r="35" spans="1:9">
      <c r="A35">
        <v>216</v>
      </c>
      <c r="B35" s="982">
        <v>44075</v>
      </c>
      <c r="C35" s="234"/>
      <c r="D35" s="234"/>
      <c r="E35" s="234"/>
      <c r="F35" s="234"/>
      <c r="G35" s="234"/>
      <c r="H35" s="234"/>
      <c r="I35" s="983"/>
    </row>
    <row r="36" spans="1:9">
      <c r="A36">
        <v>229</v>
      </c>
      <c r="B36" s="982">
        <v>44075</v>
      </c>
      <c r="C36" s="234"/>
      <c r="D36" s="234"/>
      <c r="E36" s="234"/>
      <c r="F36" s="234"/>
      <c r="G36" s="234"/>
      <c r="H36" s="234"/>
      <c r="I36" s="983"/>
    </row>
    <row r="37" spans="1:9">
      <c r="A37">
        <v>215</v>
      </c>
      <c r="B37" s="982">
        <v>44075</v>
      </c>
      <c r="C37" s="234"/>
      <c r="D37" s="234"/>
      <c r="E37" s="234"/>
      <c r="F37" s="234"/>
      <c r="G37" s="234"/>
      <c r="H37" s="234"/>
      <c r="I37" s="983"/>
    </row>
    <row r="38" spans="1:9">
      <c r="A38">
        <v>224</v>
      </c>
      <c r="B38" s="982">
        <v>44075</v>
      </c>
      <c r="C38" s="234"/>
      <c r="D38" s="234"/>
      <c r="E38" s="234"/>
      <c r="F38" s="234"/>
      <c r="G38" s="234"/>
      <c r="H38" s="234"/>
      <c r="I38" s="983"/>
    </row>
    <row r="39" spans="1:9">
      <c r="A39">
        <v>226</v>
      </c>
      <c r="B39" s="982">
        <v>44075</v>
      </c>
      <c r="C39" s="234"/>
      <c r="D39" s="234"/>
      <c r="E39" s="234"/>
      <c r="F39" s="234"/>
      <c r="G39" s="234"/>
      <c r="H39" s="234"/>
      <c r="I39" s="983"/>
    </row>
    <row r="40" spans="1:9">
      <c r="A40">
        <v>234</v>
      </c>
      <c r="B40" s="982">
        <v>44075</v>
      </c>
      <c r="C40" s="234"/>
      <c r="D40" s="234"/>
      <c r="E40" s="234"/>
      <c r="F40" s="234"/>
      <c r="G40" s="234"/>
      <c r="H40" s="234"/>
      <c r="I40" s="983"/>
    </row>
    <row r="41" spans="1:9">
      <c r="A41">
        <v>223</v>
      </c>
      <c r="B41" s="982">
        <v>44075</v>
      </c>
      <c r="C41" s="234"/>
      <c r="D41" s="234"/>
      <c r="E41" s="234"/>
      <c r="F41" s="234"/>
      <c r="G41" s="234"/>
      <c r="H41" s="234"/>
      <c r="I41" s="983"/>
    </row>
    <row r="42" spans="1:9">
      <c r="A42">
        <v>225</v>
      </c>
      <c r="B42" s="982">
        <v>44075</v>
      </c>
      <c r="C42" s="234"/>
      <c r="D42" s="234"/>
      <c r="E42" s="234"/>
      <c r="F42" s="234"/>
      <c r="G42" s="234"/>
      <c r="H42" s="234"/>
      <c r="I42" s="983"/>
    </row>
    <row r="43" spans="1:9">
      <c r="A43">
        <v>228</v>
      </c>
      <c r="B43" s="982">
        <v>44075</v>
      </c>
      <c r="C43" s="234"/>
      <c r="D43" s="234"/>
      <c r="E43" s="234"/>
      <c r="F43" s="234"/>
      <c r="G43" s="234"/>
      <c r="H43" s="234"/>
      <c r="I43" s="983"/>
    </row>
    <row r="44" spans="1:9">
      <c r="A44">
        <v>220</v>
      </c>
      <c r="B44" s="982">
        <v>44075</v>
      </c>
      <c r="C44" s="234"/>
      <c r="D44" s="234"/>
      <c r="E44" s="234"/>
      <c r="F44" s="234"/>
      <c r="G44" s="234"/>
      <c r="H44" s="234"/>
      <c r="I44" s="983"/>
    </row>
    <row r="45" spans="1:9">
      <c r="A45">
        <v>201</v>
      </c>
      <c r="B45" s="982">
        <v>44136</v>
      </c>
      <c r="C45" s="234"/>
      <c r="D45" s="234"/>
      <c r="E45" s="234"/>
      <c r="F45" s="234"/>
      <c r="G45" s="234"/>
      <c r="H45" s="234"/>
      <c r="I45" s="983"/>
    </row>
    <row r="46" spans="1:9">
      <c r="A46">
        <v>213</v>
      </c>
      <c r="B46" s="982">
        <v>44136</v>
      </c>
      <c r="C46" s="234"/>
      <c r="D46" s="234"/>
      <c r="E46" s="234"/>
      <c r="F46" s="234"/>
      <c r="G46" s="234"/>
      <c r="H46" s="234"/>
      <c r="I46" s="983"/>
    </row>
    <row r="47" spans="1:9">
      <c r="A47">
        <v>219</v>
      </c>
      <c r="B47" s="982">
        <v>44136</v>
      </c>
      <c r="C47" s="234"/>
      <c r="D47" s="234"/>
      <c r="E47" s="234"/>
      <c r="F47" s="234"/>
      <c r="G47" s="234"/>
      <c r="H47" s="234"/>
      <c r="I47" s="983"/>
    </row>
    <row r="48" spans="1:9">
      <c r="A48">
        <v>205</v>
      </c>
      <c r="B48" s="982">
        <v>44136</v>
      </c>
      <c r="C48" s="234"/>
      <c r="D48" s="234"/>
      <c r="E48" s="234"/>
      <c r="F48" s="234"/>
      <c r="G48" s="234"/>
      <c r="H48" s="234"/>
      <c r="I48" s="983"/>
    </row>
    <row r="49" spans="1:10">
      <c r="A49">
        <v>208</v>
      </c>
      <c r="B49" s="982">
        <v>44136</v>
      </c>
      <c r="C49" s="234"/>
      <c r="D49" s="234"/>
      <c r="E49" s="234"/>
      <c r="F49" s="234"/>
      <c r="G49" s="234"/>
      <c r="H49" s="234"/>
      <c r="I49" s="983"/>
    </row>
    <row r="50" spans="1:10">
      <c r="A50">
        <v>263</v>
      </c>
      <c r="B50" s="982">
        <v>44166</v>
      </c>
      <c r="C50" s="234"/>
      <c r="D50" s="234"/>
      <c r="F50" s="234"/>
      <c r="G50" s="234"/>
      <c r="H50" s="234"/>
      <c r="I50" s="983"/>
      <c r="J50" s="234">
        <v>5389974.3136365721</v>
      </c>
    </row>
    <row r="51" spans="1:10">
      <c r="A51">
        <v>217</v>
      </c>
      <c r="B51" s="982">
        <v>44166</v>
      </c>
      <c r="C51" s="234"/>
      <c r="D51" s="234"/>
      <c r="E51" s="234"/>
      <c r="F51" s="234"/>
      <c r="G51" s="234"/>
      <c r="H51" s="234"/>
      <c r="I51" s="983"/>
      <c r="J51" s="234"/>
    </row>
    <row r="52" spans="1:10">
      <c r="A52">
        <v>264</v>
      </c>
      <c r="B52" s="982">
        <v>44166</v>
      </c>
      <c r="C52" s="234"/>
      <c r="D52" s="234"/>
      <c r="F52" s="234"/>
      <c r="G52" s="234"/>
      <c r="H52" s="234"/>
      <c r="I52" s="983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V7" zoomScale="106" zoomScaleNormal="106" workbookViewId="0">
      <selection activeCell="AA27" sqref="AA27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09" t="s">
        <v>12</v>
      </c>
      <c r="C1" s="1010"/>
      <c r="D1" s="1010"/>
      <c r="E1" s="1011" t="s">
        <v>13</v>
      </c>
      <c r="F1" s="1012">
        <f ca="1">LnkTXTIRTEco</f>
        <v>3.0300000000000001E-2</v>
      </c>
    </row>
    <row r="2" spans="2:43" ht="28.5" customHeight="1">
      <c r="B2" s="138" t="str">
        <f>CAPA!C9</f>
        <v>Cooperluz</v>
      </c>
      <c r="C2" s="70"/>
      <c r="D2" s="70"/>
      <c r="E2" s="84" t="s">
        <v>14</v>
      </c>
      <c r="F2" s="85">
        <f ca="1">LnkTXTIRTTotal</f>
        <v>-0.30859999999999999</v>
      </c>
      <c r="M2" s="86"/>
      <c r="N2" s="87"/>
      <c r="AA2" s="906"/>
      <c r="AB2" s="981"/>
      <c r="AC2" s="906"/>
      <c r="AD2" s="906"/>
    </row>
    <row r="3" spans="2:43" ht="21" customHeight="1">
      <c r="B3" s="1013" t="s">
        <v>15</v>
      </c>
      <c r="C3" s="824"/>
      <c r="I3" s="1013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14" t="s">
        <v>17</v>
      </c>
      <c r="C5" s="1015">
        <v>70306.714999999997</v>
      </c>
      <c r="D5" s="1774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23" t="s">
        <v>27</v>
      </c>
      <c r="T5" s="493" t="s">
        <v>28</v>
      </c>
      <c r="U5" s="71" t="s">
        <v>29</v>
      </c>
      <c r="V5" s="823" t="s">
        <v>30</v>
      </c>
      <c r="AA5" s="68" t="s">
        <v>31</v>
      </c>
      <c r="AB5" s="68" t="s">
        <v>32</v>
      </c>
      <c r="AC5" s="68" t="s">
        <v>20</v>
      </c>
      <c r="AD5" s="906" t="s">
        <v>33</v>
      </c>
      <c r="AE5" s="906" t="s">
        <v>2172</v>
      </c>
      <c r="AI5" s="947" t="s">
        <v>34</v>
      </c>
      <c r="AJ5" s="947" t="s">
        <v>35</v>
      </c>
      <c r="AL5" s="962" t="s">
        <v>36</v>
      </c>
      <c r="AM5" s="962" t="s">
        <v>37</v>
      </c>
      <c r="AO5" s="906" t="s">
        <v>2201</v>
      </c>
      <c r="AP5" s="906" t="s">
        <v>37</v>
      </c>
      <c r="AQ5" s="906" t="s">
        <v>2202</v>
      </c>
    </row>
    <row r="6" spans="2:43" ht="16.5">
      <c r="B6" s="94"/>
      <c r="C6" s="89"/>
      <c r="D6" s="1775"/>
      <c r="E6" s="91"/>
      <c r="F6" s="72"/>
      <c r="G6" s="72"/>
      <c r="H6" s="68" t="str">
        <f>CONCATENATE(W6,J6,L6,O6)</f>
        <v>396A4Não se aplicaEnergia</v>
      </c>
      <c r="I6" s="1016">
        <v>2022</v>
      </c>
      <c r="J6" s="1017" t="s">
        <v>597</v>
      </c>
      <c r="K6" s="1017" t="s">
        <v>829</v>
      </c>
      <c r="L6" s="1017" t="s">
        <v>1322</v>
      </c>
      <c r="M6" s="1017" t="s">
        <v>461</v>
      </c>
      <c r="N6" s="1017">
        <v>3627</v>
      </c>
      <c r="O6" s="1017" t="s">
        <v>120</v>
      </c>
      <c r="P6" s="1017" t="s">
        <v>830</v>
      </c>
      <c r="Q6" s="1018">
        <v>44734</v>
      </c>
      <c r="R6" s="1018">
        <v>44732</v>
      </c>
      <c r="S6" s="521" t="s">
        <v>2310</v>
      </c>
      <c r="T6" s="1018" t="s">
        <v>2311</v>
      </c>
      <c r="U6" s="1017">
        <v>11.36</v>
      </c>
      <c r="V6" s="1017">
        <v>167</v>
      </c>
      <c r="W6" s="68">
        <f>VLOOKUP(V6,DescontosTE[[#All],[idsreag supridora]:[codsariSUP]],2,FALSE)</f>
        <v>396</v>
      </c>
      <c r="AA6" s="907" t="s">
        <v>1228</v>
      </c>
      <c r="AB6" s="908">
        <v>1.8236331229036103E-4</v>
      </c>
      <c r="AC6" s="907">
        <v>2022</v>
      </c>
      <c r="AD6" s="907">
        <v>349.15</v>
      </c>
      <c r="AE6" s="907">
        <v>2439.6778395696083</v>
      </c>
      <c r="AI6" s="960">
        <v>44287</v>
      </c>
      <c r="AJ6" s="961">
        <v>20479.689999999999</v>
      </c>
      <c r="AL6" s="963" t="s">
        <v>2318</v>
      </c>
      <c r="AM6" s="964">
        <v>0</v>
      </c>
      <c r="AO6" s="1611" t="s">
        <v>2219</v>
      </c>
      <c r="AP6" s="1612">
        <v>0</v>
      </c>
      <c r="AQ6" s="1612"/>
    </row>
    <row r="7" spans="2:43" ht="16.5">
      <c r="B7" s="1019" t="s">
        <v>38</v>
      </c>
      <c r="C7" s="1020">
        <v>0</v>
      </c>
      <c r="D7" s="1775"/>
      <c r="E7" s="72"/>
      <c r="F7" s="72"/>
      <c r="G7" s="72"/>
      <c r="H7" s="68" t="str">
        <f t="shared" ref="H7:H30" si="0">CONCATENATE(W7,J7,L7,O7)</f>
        <v>396A4Fora pontaPotência</v>
      </c>
      <c r="I7" s="519">
        <v>2022</v>
      </c>
      <c r="J7" s="520" t="s">
        <v>597</v>
      </c>
      <c r="K7" s="520" t="s">
        <v>829</v>
      </c>
      <c r="L7" s="520" t="s">
        <v>2240</v>
      </c>
      <c r="M7" s="520" t="s">
        <v>461</v>
      </c>
      <c r="N7" s="520">
        <v>3627</v>
      </c>
      <c r="O7" s="520" t="s">
        <v>1321</v>
      </c>
      <c r="P7" s="520" t="s">
        <v>830</v>
      </c>
      <c r="Q7" s="521">
        <v>44734</v>
      </c>
      <c r="R7" s="521">
        <v>44732</v>
      </c>
      <c r="S7" s="521" t="s">
        <v>2310</v>
      </c>
      <c r="T7" s="521" t="s">
        <v>2311</v>
      </c>
      <c r="U7" s="520">
        <v>19.98</v>
      </c>
      <c r="V7" s="520">
        <v>167</v>
      </c>
      <c r="W7" s="68">
        <f>VLOOKUP(V7,DescontosTE[[#All],[idsreag supridora]:[codsariSUP]],2,FALSE)</f>
        <v>396</v>
      </c>
      <c r="AA7" s="907"/>
      <c r="AB7" s="908"/>
      <c r="AC7" s="907"/>
      <c r="AD7" s="907"/>
      <c r="AE7" s="907"/>
      <c r="AI7" s="960">
        <v>44317</v>
      </c>
      <c r="AJ7" s="961">
        <v>20783.599999999999</v>
      </c>
      <c r="AL7" s="963" t="s">
        <v>2319</v>
      </c>
      <c r="AM7" s="964">
        <v>0</v>
      </c>
      <c r="AO7" s="1611" t="s">
        <v>2220</v>
      </c>
      <c r="AP7" s="1612">
        <v>0</v>
      </c>
      <c r="AQ7" s="1612"/>
    </row>
    <row r="8" spans="2:43" ht="16.5">
      <c r="B8" s="94" t="s">
        <v>39</v>
      </c>
      <c r="C8" s="120">
        <v>0</v>
      </c>
      <c r="D8" s="1775"/>
      <c r="E8" s="72"/>
      <c r="F8" s="72"/>
      <c r="G8" s="72"/>
      <c r="H8" s="68" t="str">
        <f t="shared" si="0"/>
        <v>396A3Não se aplicaEnergia</v>
      </c>
      <c r="I8" s="519">
        <v>2022</v>
      </c>
      <c r="J8" s="520" t="s">
        <v>599</v>
      </c>
      <c r="K8" s="520" t="s">
        <v>829</v>
      </c>
      <c r="L8" s="520" t="s">
        <v>1322</v>
      </c>
      <c r="M8" s="520" t="s">
        <v>461</v>
      </c>
      <c r="N8" s="520">
        <v>3627</v>
      </c>
      <c r="O8" s="520" t="s">
        <v>120</v>
      </c>
      <c r="P8" s="520" t="s">
        <v>830</v>
      </c>
      <c r="Q8" s="521">
        <v>44734</v>
      </c>
      <c r="R8" s="521">
        <v>44732</v>
      </c>
      <c r="S8" s="521" t="s">
        <v>2310</v>
      </c>
      <c r="T8" s="521" t="s">
        <v>2311</v>
      </c>
      <c r="U8" s="520">
        <v>0</v>
      </c>
      <c r="V8" s="520">
        <v>167</v>
      </c>
      <c r="W8" s="68">
        <f>VLOOKUP(V8,DescontosTE[[#All],[idsreag supridora]:[codsariSUP]],2,FALSE)</f>
        <v>396</v>
      </c>
      <c r="AI8" s="960">
        <v>44348</v>
      </c>
      <c r="AJ8" s="961">
        <v>20616.32</v>
      </c>
      <c r="AL8" s="963" t="s">
        <v>2320</v>
      </c>
      <c r="AM8" s="964">
        <v>0</v>
      </c>
      <c r="AO8" s="1611" t="s">
        <v>2221</v>
      </c>
      <c r="AP8" s="1612">
        <v>0</v>
      </c>
      <c r="AQ8" s="1612"/>
    </row>
    <row r="9" spans="2:43" ht="16.5">
      <c r="B9" s="94" t="s">
        <v>40</v>
      </c>
      <c r="C9" s="120">
        <v>130406.50637804301</v>
      </c>
      <c r="D9" s="1775"/>
      <c r="E9" s="72"/>
      <c r="F9" s="72"/>
      <c r="G9" s="72"/>
      <c r="H9" s="68" t="str">
        <f t="shared" si="0"/>
        <v>396A3PontaPotência</v>
      </c>
      <c r="I9" s="519">
        <v>2022</v>
      </c>
      <c r="J9" s="520" t="s">
        <v>599</v>
      </c>
      <c r="K9" s="520" t="s">
        <v>829</v>
      </c>
      <c r="L9" s="520" t="s">
        <v>973</v>
      </c>
      <c r="M9" s="520" t="s">
        <v>461</v>
      </c>
      <c r="N9" s="520">
        <v>3627</v>
      </c>
      <c r="O9" s="520" t="s">
        <v>1321</v>
      </c>
      <c r="P9" s="520" t="s">
        <v>830</v>
      </c>
      <c r="Q9" s="521">
        <v>44734</v>
      </c>
      <c r="R9" s="521">
        <v>44732</v>
      </c>
      <c r="S9" s="521" t="s">
        <v>2310</v>
      </c>
      <c r="T9" s="521" t="s">
        <v>2311</v>
      </c>
      <c r="U9" s="520">
        <v>0</v>
      </c>
      <c r="V9" s="520">
        <v>167</v>
      </c>
      <c r="W9" s="68">
        <f>VLOOKUP(V9,DescontosTE[[#All],[idsreag supridora]:[codsariSUP]],2,FALSE)</f>
        <v>396</v>
      </c>
      <c r="AI9" s="960">
        <v>44378</v>
      </c>
      <c r="AJ9" s="961">
        <v>19819.09</v>
      </c>
      <c r="AL9" s="963" t="s">
        <v>2321</v>
      </c>
      <c r="AM9" s="964"/>
      <c r="AO9" s="1611"/>
      <c r="AP9" s="1612"/>
      <c r="AQ9" s="1612" t="s">
        <v>2222</v>
      </c>
    </row>
    <row r="10" spans="2:43" ht="16.5">
      <c r="B10" s="94" t="s">
        <v>41</v>
      </c>
      <c r="C10" s="120">
        <v>4170764.5632600002</v>
      </c>
      <c r="D10" s="1775"/>
      <c r="H10" s="68" t="str">
        <f t="shared" si="0"/>
        <v>396A3Fora pontaPotência</v>
      </c>
      <c r="I10" s="519">
        <v>2022</v>
      </c>
      <c r="J10" s="520" t="s">
        <v>599</v>
      </c>
      <c r="K10" s="520" t="s">
        <v>829</v>
      </c>
      <c r="L10" s="520" t="s">
        <v>2240</v>
      </c>
      <c r="M10" s="520" t="s">
        <v>461</v>
      </c>
      <c r="N10" s="520">
        <v>3627</v>
      </c>
      <c r="O10" s="520" t="s">
        <v>1321</v>
      </c>
      <c r="P10" s="520" t="s">
        <v>830</v>
      </c>
      <c r="Q10" s="521">
        <v>44734</v>
      </c>
      <c r="R10" s="521">
        <v>44732</v>
      </c>
      <c r="S10" s="521" t="s">
        <v>2310</v>
      </c>
      <c r="T10" s="521" t="s">
        <v>2311</v>
      </c>
      <c r="U10" s="520">
        <v>0</v>
      </c>
      <c r="V10" s="520">
        <v>167</v>
      </c>
      <c r="W10" s="68">
        <f>VLOOKUP(V10,DescontosTE[[#All],[idsreag supridora]:[codsariSUP]],2,FALSE)</f>
        <v>396</v>
      </c>
      <c r="AA10" s="68" t="s">
        <v>42</v>
      </c>
      <c r="AB10" s="68" t="s">
        <v>43</v>
      </c>
      <c r="AC10" s="68" t="s">
        <v>44</v>
      </c>
      <c r="AD10" s="912" t="s">
        <v>45</v>
      </c>
      <c r="AI10" s="960">
        <v>44409</v>
      </c>
      <c r="AJ10" s="961">
        <v>20153.37</v>
      </c>
      <c r="AL10" s="963" t="s">
        <v>2322</v>
      </c>
      <c r="AM10" s="964">
        <v>0</v>
      </c>
    </row>
    <row r="11" spans="2:43" ht="16.5">
      <c r="B11" s="94" t="s">
        <v>46</v>
      </c>
      <c r="C11" s="120">
        <v>220720.39</v>
      </c>
      <c r="D11" s="1775"/>
      <c r="H11" s="68" t="str">
        <f t="shared" si="0"/>
        <v>396A4PontaPotência</v>
      </c>
      <c r="I11" s="519">
        <v>2022</v>
      </c>
      <c r="J11" s="520" t="s">
        <v>597</v>
      </c>
      <c r="K11" s="520" t="s">
        <v>829</v>
      </c>
      <c r="L11" s="520" t="s">
        <v>973</v>
      </c>
      <c r="M11" s="520" t="s">
        <v>461</v>
      </c>
      <c r="N11" s="520">
        <v>3627</v>
      </c>
      <c r="O11" s="520" t="s">
        <v>1321</v>
      </c>
      <c r="P11" s="520" t="s">
        <v>830</v>
      </c>
      <c r="Q11" s="521">
        <v>44734</v>
      </c>
      <c r="R11" s="521">
        <v>44732</v>
      </c>
      <c r="S11" s="521" t="s">
        <v>2310</v>
      </c>
      <c r="T11" s="521" t="s">
        <v>2311</v>
      </c>
      <c r="U11" s="520">
        <v>26.9</v>
      </c>
      <c r="V11" s="520">
        <v>167</v>
      </c>
      <c r="W11" s="68">
        <f>VLOOKUP(V11,DescontosTE[[#All],[idsreag supridora]:[codsariSUP]],2,FALSE)</f>
        <v>396</v>
      </c>
      <c r="AA11" s="907">
        <v>0.87480000000000002</v>
      </c>
      <c r="AB11" s="908">
        <v>169.95</v>
      </c>
      <c r="AC11" s="907">
        <v>14739.74</v>
      </c>
      <c r="AD11" s="907">
        <v>2.5659940000000002E-4</v>
      </c>
      <c r="AI11" s="960">
        <v>44440</v>
      </c>
      <c r="AJ11" s="961">
        <v>19637.349999999999</v>
      </c>
      <c r="AL11" s="963" t="s">
        <v>2323</v>
      </c>
      <c r="AM11" s="964">
        <v>0</v>
      </c>
    </row>
    <row r="12" spans="2:43" ht="16.5">
      <c r="B12" s="94" t="s">
        <v>47</v>
      </c>
      <c r="C12" s="120">
        <v>653303.65787999996</v>
      </c>
      <c r="D12" s="1775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960">
        <v>44470</v>
      </c>
      <c r="AJ12" s="961">
        <v>20773.73</v>
      </c>
      <c r="AL12" s="963" t="s">
        <v>2324</v>
      </c>
      <c r="AM12" s="964">
        <v>0</v>
      </c>
    </row>
    <row r="13" spans="2:43" ht="16.5">
      <c r="B13" s="94" t="s">
        <v>48</v>
      </c>
      <c r="C13" s="120">
        <v>0</v>
      </c>
      <c r="D13" s="1775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960">
        <v>44501</v>
      </c>
      <c r="AJ13" s="961">
        <v>19537.03</v>
      </c>
      <c r="AL13" s="963" t="s">
        <v>2325</v>
      </c>
      <c r="AM13" s="964">
        <v>0</v>
      </c>
    </row>
    <row r="14" spans="2:43" ht="16.5">
      <c r="B14" s="94" t="s">
        <v>49</v>
      </c>
      <c r="C14" s="120">
        <v>0</v>
      </c>
      <c r="D14" s="1775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36"/>
      <c r="AB14" s="836"/>
      <c r="AC14" s="836"/>
      <c r="AI14" s="960">
        <v>44531</v>
      </c>
      <c r="AJ14" s="961">
        <v>19117.21</v>
      </c>
      <c r="AL14" s="963" t="s">
        <v>2326</v>
      </c>
      <c r="AM14" s="964">
        <v>0</v>
      </c>
    </row>
    <row r="15" spans="2:43" ht="16.5">
      <c r="B15" s="1021" t="s">
        <v>2173</v>
      </c>
      <c r="C15" s="1022">
        <v>0</v>
      </c>
      <c r="D15" s="1775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966" t="s">
        <v>122</v>
      </c>
      <c r="AB15" s="966" t="s">
        <v>978</v>
      </c>
      <c r="AC15" s="836"/>
      <c r="AI15" s="960">
        <v>44562</v>
      </c>
      <c r="AJ15" s="961">
        <v>19716.86</v>
      </c>
      <c r="AL15" s="963"/>
      <c r="AM15" s="964"/>
    </row>
    <row r="16" spans="2:43" ht="16.5">
      <c r="D16" s="1775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07">
        <v>2022</v>
      </c>
      <c r="AB16" s="908">
        <v>1247.13007399653</v>
      </c>
      <c r="AC16" s="906"/>
      <c r="AI16" s="960">
        <v>44593</v>
      </c>
      <c r="AJ16" s="961">
        <v>21072.46</v>
      </c>
      <c r="AL16" s="963"/>
      <c r="AM16" s="964"/>
    </row>
    <row r="17" spans="2:42" ht="16.5">
      <c r="B17" s="1014" t="s">
        <v>50</v>
      </c>
      <c r="C17" s="1023"/>
      <c r="D17" s="1775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960">
        <v>44621</v>
      </c>
      <c r="AJ17" s="961">
        <v>25079.42</v>
      </c>
      <c r="AL17" s="913"/>
      <c r="AM17" s="908"/>
    </row>
    <row r="18" spans="2:42" ht="16.5">
      <c r="B18" s="94" t="s">
        <v>51</v>
      </c>
      <c r="C18" s="120">
        <v>1987063.2</v>
      </c>
      <c r="D18" s="1775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960">
        <v>44652</v>
      </c>
      <c r="AJ18" s="961">
        <v>19971.02</v>
      </c>
      <c r="AL18" s="913"/>
      <c r="AM18" s="908"/>
    </row>
    <row r="19" spans="2:42" ht="16.5">
      <c r="B19" s="94" t="s">
        <v>52</v>
      </c>
      <c r="C19" s="120">
        <v>669711.6</v>
      </c>
      <c r="D19" s="1775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960">
        <v>44682</v>
      </c>
      <c r="AJ19" s="961">
        <v>19872.46</v>
      </c>
    </row>
    <row r="20" spans="2:42" ht="16.5">
      <c r="B20" s="94" t="s">
        <v>53</v>
      </c>
      <c r="C20" s="120"/>
      <c r="D20" s="1775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09" t="s">
        <v>54</v>
      </c>
      <c r="AB20" s="909"/>
      <c r="AC20" s="910"/>
      <c r="AD20" s="910"/>
      <c r="AE20" s="910"/>
      <c r="AF20" s="910"/>
      <c r="AG20" s="911"/>
      <c r="AI20" s="913"/>
      <c r="AJ20" s="908"/>
    </row>
    <row r="21" spans="2:42" ht="16.5">
      <c r="B21" s="94" t="s">
        <v>55</v>
      </c>
      <c r="C21" s="120"/>
      <c r="D21" s="1775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75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07" t="s">
        <v>1229</v>
      </c>
      <c r="AB22" s="908"/>
      <c r="AC22" s="907"/>
      <c r="AD22" s="907"/>
      <c r="AE22" s="908">
        <v>8505.2508694275421</v>
      </c>
      <c r="AF22" s="913">
        <v>44713</v>
      </c>
      <c r="AG22" s="907">
        <v>152.37255798822298</v>
      </c>
    </row>
    <row r="23" spans="2:42" ht="16.5">
      <c r="B23" s="94" t="s">
        <v>64</v>
      </c>
      <c r="C23" s="120"/>
      <c r="D23" s="1775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07" t="s">
        <v>1229</v>
      </c>
      <c r="AB23" s="908"/>
      <c r="AC23" s="907"/>
      <c r="AD23" s="907"/>
      <c r="AE23" s="908">
        <v>10802.443672939105</v>
      </c>
      <c r="AF23" s="907">
        <v>44713</v>
      </c>
      <c r="AG23" s="907">
        <v>139.968722148295</v>
      </c>
      <c r="AI23" s="906" t="s">
        <v>2205</v>
      </c>
      <c r="AM23" s="906" t="s">
        <v>2209</v>
      </c>
    </row>
    <row r="24" spans="2:42" ht="16.5">
      <c r="B24" s="94" t="s">
        <v>65</v>
      </c>
      <c r="C24" s="120">
        <v>0</v>
      </c>
      <c r="D24" s="1775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  <c r="AI24" s="68" t="s">
        <v>2203</v>
      </c>
      <c r="AJ24" s="68" t="s">
        <v>2204</v>
      </c>
      <c r="AK24" s="68" t="s">
        <v>1528</v>
      </c>
      <c r="AM24" s="68" t="s">
        <v>2206</v>
      </c>
      <c r="AN24" s="68" t="s">
        <v>2207</v>
      </c>
      <c r="AO24" s="68" t="s">
        <v>2208</v>
      </c>
      <c r="AP24" s="68" t="s">
        <v>37</v>
      </c>
    </row>
    <row r="25" spans="2:42" ht="16.5">
      <c r="B25" s="94" t="s">
        <v>66</v>
      </c>
      <c r="C25" s="120">
        <v>58690.684611999997</v>
      </c>
      <c r="D25" s="1775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06"/>
      <c r="AE25" s="981"/>
      <c r="AF25" s="906"/>
      <c r="AG25" s="906"/>
      <c r="AI25" s="262" t="s">
        <v>2223</v>
      </c>
      <c r="AJ25" s="262" t="s">
        <v>41</v>
      </c>
      <c r="AK25" s="69">
        <v>-199267.43437534801</v>
      </c>
      <c r="AM25" s="1615"/>
      <c r="AN25" s="1615"/>
      <c r="AO25" s="1615"/>
      <c r="AP25" s="1614"/>
    </row>
    <row r="26" spans="2:42" ht="16.5">
      <c r="B26" s="1014" t="s">
        <v>67</v>
      </c>
      <c r="C26" s="1024">
        <v>29100000</v>
      </c>
      <c r="D26" s="1775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A26" s="966" t="s">
        <v>2210</v>
      </c>
      <c r="AB26" s="966" t="s">
        <v>37</v>
      </c>
      <c r="AD26" s="906"/>
      <c r="AE26" s="981"/>
      <c r="AF26" s="906"/>
      <c r="AG26" s="906"/>
      <c r="AI26" s="262" t="s">
        <v>2223</v>
      </c>
      <c r="AJ26" s="262" t="s">
        <v>47</v>
      </c>
      <c r="AK26" s="69">
        <v>-26472.262155614899</v>
      </c>
      <c r="AM26" s="1615"/>
      <c r="AN26" s="1615"/>
      <c r="AO26" s="1615"/>
      <c r="AP26" s="1614"/>
    </row>
    <row r="27" spans="2:42" ht="16.5">
      <c r="C27" s="69"/>
      <c r="D27" s="1775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  <c r="AA27" s="907" t="s">
        <v>2212</v>
      </c>
      <c r="AB27" s="908">
        <v>3025.1351999999997</v>
      </c>
      <c r="AI27" s="262" t="s">
        <v>2223</v>
      </c>
      <c r="AJ27" s="262" t="s">
        <v>40</v>
      </c>
      <c r="AK27" s="69">
        <v>-5671.7213550264996</v>
      </c>
      <c r="AM27" s="1615"/>
      <c r="AN27" s="1615"/>
      <c r="AO27" s="1615"/>
      <c r="AP27" s="1614"/>
    </row>
    <row r="28" spans="2:42" ht="16.5">
      <c r="B28" s="1013" t="s">
        <v>68</v>
      </c>
      <c r="C28" s="1025"/>
      <c r="D28" s="1775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  <c r="AA28" s="907" t="s">
        <v>2213</v>
      </c>
      <c r="AB28" s="908">
        <v>0</v>
      </c>
      <c r="AI28" s="262" t="s">
        <v>2224</v>
      </c>
      <c r="AJ28" s="262" t="s">
        <v>2225</v>
      </c>
      <c r="AK28" s="69">
        <v>2646375.321178894</v>
      </c>
      <c r="AM28" s="1615"/>
      <c r="AN28" s="1615"/>
      <c r="AO28" s="1615"/>
      <c r="AP28" s="1614"/>
    </row>
    <row r="29" spans="2:42" ht="18" customHeight="1">
      <c r="D29" s="1775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  <c r="AA29" s="907"/>
      <c r="AB29" s="908"/>
      <c r="AI29" s="262" t="s">
        <v>2226</v>
      </c>
      <c r="AJ29" s="262" t="s">
        <v>2227</v>
      </c>
      <c r="AK29" s="69">
        <v>5738.4851758324949</v>
      </c>
      <c r="AM29" s="1615"/>
      <c r="AN29" s="1615"/>
      <c r="AO29" s="1615"/>
      <c r="AP29" s="1614"/>
    </row>
    <row r="30" spans="2:42" ht="16.5">
      <c r="B30" s="1026"/>
      <c r="C30" s="1027"/>
      <c r="D30" s="1775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  <c r="AA30" s="907"/>
      <c r="AB30" s="908"/>
      <c r="AI30" s="262" t="s">
        <v>2226</v>
      </c>
      <c r="AJ30" s="262" t="s">
        <v>2308</v>
      </c>
      <c r="AK30" s="69">
        <v>69081.772297999705</v>
      </c>
      <c r="AM30" s="1615"/>
      <c r="AN30" s="1615"/>
      <c r="AO30" s="1615"/>
      <c r="AP30" s="1614"/>
    </row>
    <row r="31" spans="2:42">
      <c r="B31" s="684" t="s">
        <v>69</v>
      </c>
      <c r="C31" s="685">
        <v>0.13861467761837179</v>
      </c>
      <c r="D31" s="1776"/>
      <c r="AI31" s="262" t="s">
        <v>2226</v>
      </c>
      <c r="AJ31" s="262" t="s">
        <v>2309</v>
      </c>
      <c r="AK31" s="69">
        <v>204968.597713008</v>
      </c>
      <c r="AM31" s="1615"/>
      <c r="AN31" s="1615"/>
      <c r="AO31" s="1615"/>
      <c r="AP31" s="1614"/>
    </row>
    <row r="32" spans="2:42">
      <c r="B32" s="1028" t="s">
        <v>70</v>
      </c>
      <c r="C32" s="1029">
        <v>0.76946233409201359</v>
      </c>
      <c r="D32" s="90" t="s">
        <v>71</v>
      </c>
      <c r="AI32" s="262" t="s">
        <v>109</v>
      </c>
      <c r="AJ32" s="262"/>
      <c r="AK32" s="69">
        <v>-21380055.687114</v>
      </c>
    </row>
    <row r="33" spans="1:37">
      <c r="D33" s="90"/>
      <c r="AI33" s="262" t="s">
        <v>2228</v>
      </c>
      <c r="AJ33" s="262" t="s">
        <v>1322</v>
      </c>
      <c r="AK33" s="69">
        <v>1583564.354448627</v>
      </c>
    </row>
    <row r="34" spans="1:37">
      <c r="B34" s="1013"/>
      <c r="C34" s="1025"/>
      <c r="AI34" s="262"/>
      <c r="AJ34" s="262"/>
      <c r="AK34" s="69"/>
    </row>
    <row r="35" spans="1:37">
      <c r="B35" s="1026" t="s">
        <v>41</v>
      </c>
      <c r="C35" s="1030">
        <v>3780642.8444999978</v>
      </c>
      <c r="AI35" s="262"/>
      <c r="AJ35" s="262"/>
      <c r="AK35" s="69"/>
    </row>
    <row r="36" spans="1:37">
      <c r="B36" s="684" t="s">
        <v>47</v>
      </c>
      <c r="C36" s="88">
        <v>495188.96347999969</v>
      </c>
      <c r="AI36" s="262"/>
      <c r="AJ36" s="262"/>
      <c r="AK36" s="69"/>
    </row>
    <row r="37" spans="1:37">
      <c r="B37" s="1028" t="s">
        <v>40</v>
      </c>
      <c r="C37" s="1031">
        <v>108705.61987768151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28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32">
        <f>DATE(YEAR(B41),MONTH(B41),1)</f>
        <v>44409</v>
      </c>
      <c r="B41" s="1018">
        <v>44413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44287</v>
      </c>
      <c r="AI41" s="262"/>
      <c r="AJ41" s="262"/>
      <c r="AK41" s="69"/>
    </row>
    <row r="42" spans="1:37" ht="16.5">
      <c r="A42" s="1032">
        <f t="shared" ref="A42:A57" si="1">DATE(YEAR(B42),MONTH(B42),1)</f>
        <v>44440</v>
      </c>
      <c r="B42" s="521">
        <v>44447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44317</v>
      </c>
      <c r="I42" s="823" t="s">
        <v>20</v>
      </c>
      <c r="J42" s="823" t="s">
        <v>21</v>
      </c>
      <c r="K42" s="823"/>
      <c r="L42" s="823" t="s">
        <v>22</v>
      </c>
      <c r="M42" s="823" t="s">
        <v>23</v>
      </c>
      <c r="N42" s="823" t="s">
        <v>24</v>
      </c>
      <c r="O42" s="823" t="s">
        <v>25</v>
      </c>
      <c r="P42" s="823" t="s">
        <v>26</v>
      </c>
      <c r="Q42" s="823" t="s">
        <v>27</v>
      </c>
      <c r="R42" s="823" t="s">
        <v>28</v>
      </c>
      <c r="S42" s="824" t="s">
        <v>29</v>
      </c>
      <c r="T42" s="823" t="s">
        <v>30</v>
      </c>
      <c r="AI42" s="262"/>
      <c r="AJ42" s="262"/>
      <c r="AK42" s="69"/>
    </row>
    <row r="43" spans="1:37" ht="16.5">
      <c r="A43" s="1032">
        <f t="shared" si="1"/>
        <v>44470</v>
      </c>
      <c r="B43" s="521">
        <v>44476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44348</v>
      </c>
      <c r="H43" s="68" t="str">
        <f>CONCATENATE(U43,J43)</f>
        <v>396A3</v>
      </c>
      <c r="I43" s="519">
        <v>2022</v>
      </c>
      <c r="J43" s="520" t="s">
        <v>599</v>
      </c>
      <c r="K43" s="520" t="s">
        <v>2312</v>
      </c>
      <c r="L43" s="520" t="s">
        <v>1322</v>
      </c>
      <c r="M43" s="520" t="s">
        <v>461</v>
      </c>
      <c r="N43" s="520">
        <v>3627</v>
      </c>
      <c r="O43" s="521">
        <v>44734</v>
      </c>
      <c r="P43" s="521">
        <v>44732</v>
      </c>
      <c r="Q43" s="521" t="s">
        <v>2310</v>
      </c>
      <c r="R43" s="521" t="s">
        <v>2311</v>
      </c>
      <c r="S43" s="520">
        <v>273.92</v>
      </c>
      <c r="T43" s="520">
        <v>167</v>
      </c>
      <c r="U43" s="68">
        <f>VLOOKUP(T43,DescontosTE[[#All],[idsreag supridora]:[codsariSUP]],2,FALSE)</f>
        <v>396</v>
      </c>
      <c r="AI43" s="262"/>
      <c r="AJ43" s="262"/>
      <c r="AK43" s="69"/>
    </row>
    <row r="44" spans="1:37" ht="16.5">
      <c r="A44" s="1032">
        <f t="shared" si="1"/>
        <v>44501</v>
      </c>
      <c r="B44" s="521">
        <v>44509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44378</v>
      </c>
      <c r="H44" s="68" t="str">
        <f t="shared" ref="H44:H59" si="2">CONCATENATE(U44,J44)</f>
        <v>396A4</v>
      </c>
      <c r="I44" s="519">
        <v>2022</v>
      </c>
      <c r="J44" s="520" t="s">
        <v>597</v>
      </c>
      <c r="K44" s="520" t="s">
        <v>2312</v>
      </c>
      <c r="L44" s="520" t="s">
        <v>1322</v>
      </c>
      <c r="M44" s="520" t="s">
        <v>461</v>
      </c>
      <c r="N44" s="520">
        <v>3627</v>
      </c>
      <c r="O44" s="521">
        <v>44734</v>
      </c>
      <c r="P44" s="521">
        <v>44732</v>
      </c>
      <c r="Q44" s="521" t="s">
        <v>2310</v>
      </c>
      <c r="R44" s="521" t="s">
        <v>2311</v>
      </c>
      <c r="S44" s="520">
        <v>273.92</v>
      </c>
      <c r="T44" s="520">
        <v>167</v>
      </c>
      <c r="U44" s="68">
        <f>VLOOKUP(T44,DescontosTE[[#All],[idsreag supridora]:[codsariSUP]],2,FALSE)</f>
        <v>396</v>
      </c>
      <c r="AI44" s="262"/>
      <c r="AJ44" s="262"/>
      <c r="AK44" s="69"/>
    </row>
    <row r="45" spans="1:37" ht="16.5">
      <c r="A45" s="1032">
        <f t="shared" si="1"/>
        <v>44531</v>
      </c>
      <c r="B45" s="521">
        <v>44538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44409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32">
        <f t="shared" si="1"/>
        <v>44562</v>
      </c>
      <c r="B46" s="521">
        <v>44566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44440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37" ht="16.5">
      <c r="A47" s="1032">
        <f t="shared" si="1"/>
        <v>44593</v>
      </c>
      <c r="B47" s="521">
        <v>44599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44470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37" ht="16.5">
      <c r="A48" s="1032">
        <f t="shared" si="1"/>
        <v>44621</v>
      </c>
      <c r="B48" s="521">
        <v>44629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44501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32">
        <f t="shared" si="1"/>
        <v>44652</v>
      </c>
      <c r="B49" s="521">
        <v>44657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44531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32">
        <f t="shared" si="1"/>
        <v>44682</v>
      </c>
      <c r="B50" s="521">
        <v>44691</v>
      </c>
      <c r="C50" s="545">
        <v>0</v>
      </c>
      <c r="D50" s="9" t="b">
        <f ca="1">BD!E50&gt;=CAPA!$L$73</f>
        <v>0</v>
      </c>
      <c r="E50" s="235">
        <f>Indexador!L43</f>
        <v>0</v>
      </c>
      <c r="F50" s="492">
        <f>CAPA!B72</f>
        <v>44562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32">
        <f t="shared" si="1"/>
        <v>44713</v>
      </c>
      <c r="B51" s="521">
        <v>44718</v>
      </c>
      <c r="C51" s="545">
        <v>564037.70079999999</v>
      </c>
      <c r="D51" s="9" t="b">
        <f ca="1">BD!E51&gt;=CAPA!$L$73</f>
        <v>0</v>
      </c>
      <c r="E51" s="235">
        <f>Indexador!L44</f>
        <v>0</v>
      </c>
      <c r="F51" s="492">
        <f>CAPA!B73</f>
        <v>44593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32">
        <f t="shared" si="1"/>
        <v>44743</v>
      </c>
      <c r="B52" s="521">
        <v>44749</v>
      </c>
      <c r="C52" s="545">
        <v>97422.078999999998</v>
      </c>
      <c r="D52" s="9" t="b">
        <f ca="1">BD!E52&gt;=CAPA!$L$73</f>
        <v>0</v>
      </c>
      <c r="E52" s="235">
        <f>Indexador!L45</f>
        <v>0</v>
      </c>
      <c r="F52" s="492">
        <f>CAPA!B74</f>
        <v>44621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32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44652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32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44682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32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0</v>
      </c>
      <c r="F55" s="492">
        <f>CAPA!B77</f>
        <v>44713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32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32">
        <f t="shared" si="1"/>
        <v>1</v>
      </c>
      <c r="B57" s="1033"/>
      <c r="C57" s="862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34"/>
      <c r="J59" s="1035"/>
      <c r="K59" s="1035"/>
      <c r="L59" s="1035"/>
      <c r="M59" s="1035"/>
      <c r="N59" s="1035"/>
      <c r="O59" s="1035"/>
      <c r="P59" s="1035"/>
      <c r="Q59" s="1033"/>
      <c r="R59" s="1033"/>
      <c r="S59" s="1033"/>
      <c r="T59" s="1035"/>
      <c r="U59" s="68" t="e">
        <f>VLOOKUP(T59,DescontosTE[[#All],[idsreag supridora]:[codsariSUP]],2,FALSE)</f>
        <v>#N/A</v>
      </c>
    </row>
    <row r="60" spans="1:21">
      <c r="B60" s="1028" t="s">
        <v>75</v>
      </c>
      <c r="C60" s="72"/>
    </row>
    <row r="61" spans="1:21" ht="16.5">
      <c r="B61" s="1036" t="s">
        <v>774</v>
      </c>
      <c r="C61" s="863">
        <v>538.80999999999995</v>
      </c>
      <c r="D61" s="68">
        <v>0</v>
      </c>
    </row>
    <row r="62" spans="1:21" ht="16.5">
      <c r="B62" s="721" t="s">
        <v>776</v>
      </c>
      <c r="C62" s="545">
        <v>1292.1300000000001</v>
      </c>
      <c r="D62" s="69">
        <v>0</v>
      </c>
    </row>
    <row r="63" spans="1:21" ht="16.5">
      <c r="B63" s="721" t="s">
        <v>778</v>
      </c>
      <c r="C63" s="545">
        <v>0</v>
      </c>
      <c r="D63" s="69">
        <v>0</v>
      </c>
    </row>
    <row r="64" spans="1:21" ht="16.5">
      <c r="B64" s="721" t="s">
        <v>779</v>
      </c>
      <c r="C64" s="545">
        <v>6608.97</v>
      </c>
      <c r="D64" s="69">
        <v>0</v>
      </c>
    </row>
    <row r="65" spans="2:4" ht="16.5">
      <c r="B65" s="721" t="s">
        <v>782</v>
      </c>
      <c r="C65" s="545">
        <v>246580.43</v>
      </c>
      <c r="D65" s="69">
        <v>0</v>
      </c>
    </row>
    <row r="66" spans="2:4" ht="16.5">
      <c r="B66" s="1037" t="s">
        <v>784</v>
      </c>
      <c r="C66" s="862">
        <v>26879.88</v>
      </c>
      <c r="D66" s="69">
        <v>0</v>
      </c>
    </row>
    <row r="70" spans="2:4">
      <c r="B70" s="966" t="s">
        <v>72</v>
      </c>
      <c r="C70" s="966" t="s">
        <v>37</v>
      </c>
      <c r="D70" s="966" t="s">
        <v>73</v>
      </c>
    </row>
    <row r="71" spans="2:4">
      <c r="B71" s="907" t="s">
        <v>49</v>
      </c>
      <c r="C71" s="1613"/>
      <c r="D71" s="908"/>
    </row>
    <row r="72" spans="2:4">
      <c r="B72" s="907" t="s">
        <v>845</v>
      </c>
      <c r="C72" s="1613">
        <v>2269797.1888881116</v>
      </c>
      <c r="D72" s="908" t="s">
        <v>2197</v>
      </c>
    </row>
    <row r="73" spans="2:4">
      <c r="B73" s="907" t="s">
        <v>2175</v>
      </c>
      <c r="C73" s="1613">
        <v>2230167.0454119011</v>
      </c>
      <c r="D73" s="908" t="s">
        <v>2197</v>
      </c>
    </row>
    <row r="74" spans="2:4">
      <c r="B74" s="907" t="s">
        <v>2214</v>
      </c>
      <c r="C74" s="1613">
        <v>-1155000</v>
      </c>
      <c r="D74" s="908" t="s">
        <v>2215</v>
      </c>
    </row>
    <row r="75" spans="2:4">
      <c r="B75" s="907" t="s">
        <v>2216</v>
      </c>
      <c r="C75" s="1613"/>
      <c r="D75" s="908"/>
    </row>
    <row r="76" spans="2:4">
      <c r="B76" s="907" t="s">
        <v>2217</v>
      </c>
      <c r="C76" s="1613">
        <v>0</v>
      </c>
      <c r="D76" s="908"/>
    </row>
    <row r="77" spans="2:4">
      <c r="B77" s="907" t="s">
        <v>2218</v>
      </c>
      <c r="C77" s="1613">
        <v>0</v>
      </c>
      <c r="D77" s="908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 t="s">
        <v>2331</v>
      </c>
      <c r="C3" s="380" t="s">
        <v>2332</v>
      </c>
      <c r="D3" s="380" t="s">
        <v>973</v>
      </c>
      <c r="E3" s="380"/>
      <c r="F3" s="380">
        <v>6321</v>
      </c>
      <c r="G3" s="380"/>
      <c r="H3" s="380">
        <v>1173</v>
      </c>
      <c r="I3" s="380">
        <v>18.2</v>
      </c>
      <c r="J3" s="380">
        <v>18.2</v>
      </c>
      <c r="K3" s="380">
        <v>18.2</v>
      </c>
      <c r="L3" s="380">
        <v>18.2</v>
      </c>
      <c r="M3" s="380">
        <v>18.2</v>
      </c>
      <c r="N3" s="380">
        <v>18.2</v>
      </c>
      <c r="O3" s="380">
        <v>18.600000000000001</v>
      </c>
      <c r="P3" s="380">
        <v>18.600000000000001</v>
      </c>
      <c r="Q3" s="380">
        <v>18.600000000000001</v>
      </c>
      <c r="R3" s="380">
        <v>18.600000000000001</v>
      </c>
      <c r="S3" s="380">
        <v>18.600000000000001</v>
      </c>
      <c r="T3" s="380">
        <v>18.600000000000001</v>
      </c>
    </row>
    <row r="4" spans="2:20">
      <c r="B4" s="380" t="s">
        <v>2331</v>
      </c>
      <c r="C4" s="380" t="s">
        <v>2332</v>
      </c>
      <c r="D4" s="380" t="s">
        <v>1320</v>
      </c>
      <c r="E4" s="380"/>
      <c r="F4" s="380">
        <v>6782</v>
      </c>
      <c r="G4" s="380"/>
      <c r="H4" s="380">
        <v>1173</v>
      </c>
      <c r="I4" s="380">
        <v>18.3</v>
      </c>
      <c r="J4" s="380">
        <v>18.3</v>
      </c>
      <c r="K4" s="380">
        <v>18.3</v>
      </c>
      <c r="L4" s="380">
        <v>18.3</v>
      </c>
      <c r="M4" s="380">
        <v>18.3</v>
      </c>
      <c r="N4" s="380">
        <v>18.3</v>
      </c>
      <c r="O4" s="380">
        <v>18.7</v>
      </c>
      <c r="P4" s="380">
        <v>18.7</v>
      </c>
      <c r="Q4" s="380">
        <v>18.7</v>
      </c>
      <c r="R4" s="380">
        <v>18.7</v>
      </c>
      <c r="S4" s="380">
        <v>18.7</v>
      </c>
      <c r="T4" s="380">
        <v>18.7</v>
      </c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6" bestFit="1" customWidth="1"/>
    <col min="2" max="2" width="71.42578125" style="886" bestFit="1" customWidth="1"/>
    <col min="3" max="3" width="9.5703125" style="886" customWidth="1"/>
    <col min="4" max="4" width="15.42578125" style="886" customWidth="1"/>
    <col min="5" max="5" width="8.85546875" style="886" customWidth="1"/>
    <col min="6" max="6" width="19.42578125" style="886" customWidth="1"/>
    <col min="7" max="7" width="17.7109375" style="886" customWidth="1"/>
    <col min="8" max="8" width="16.5703125" style="886" customWidth="1"/>
    <col min="9" max="10" width="12.7109375" style="886" customWidth="1"/>
    <col min="11" max="11" width="13.28515625" style="886" customWidth="1"/>
    <col min="12" max="13" width="12.7109375" style="886" customWidth="1"/>
    <col min="14" max="14" width="15.85546875" style="886" customWidth="1"/>
    <col min="15" max="16" width="12.7109375" style="886" customWidth="1"/>
    <col min="17" max="17" width="12" style="886" customWidth="1"/>
    <col min="18" max="18" width="12.7109375" style="886" customWidth="1"/>
    <col min="19" max="19" width="14.28515625" style="886" customWidth="1"/>
    <col min="20" max="20" width="12.7109375" style="886" customWidth="1"/>
    <col min="21" max="21" width="12" style="886" customWidth="1"/>
    <col min="22" max="22" width="16.85546875" style="886" customWidth="1"/>
    <col min="23" max="24" width="12.7109375" style="886" customWidth="1"/>
    <col min="25" max="25" width="12" style="886" customWidth="1"/>
    <col min="26" max="26" width="10.5703125" style="886" customWidth="1"/>
    <col min="27" max="27" width="10.5703125" style="886" bestFit="1" customWidth="1"/>
    <col min="28" max="28" width="9.85546875" style="886" bestFit="1" customWidth="1"/>
    <col min="29" max="29" width="12" style="886" bestFit="1" customWidth="1"/>
    <col min="30" max="30" width="13.28515625" style="887" bestFit="1" customWidth="1"/>
    <col min="31" max="31" width="11.7109375" style="886" bestFit="1" customWidth="1"/>
    <col min="32" max="32" width="12.7109375" style="886" bestFit="1" customWidth="1"/>
    <col min="33" max="34" width="10.5703125" style="886" bestFit="1" customWidth="1"/>
    <col min="35" max="16384" width="9.140625" style="886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6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93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93">
        <v>44043</v>
      </c>
      <c r="AH2" s="888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93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93">
        <v>44055</v>
      </c>
      <c r="AH3" s="888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93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93">
        <v>44088</v>
      </c>
      <c r="AH4" s="888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93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93">
        <v>44117</v>
      </c>
      <c r="AH5" s="888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93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93">
        <v>44147</v>
      </c>
      <c r="AH6" s="888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93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93">
        <v>44179</v>
      </c>
      <c r="AH7" s="888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93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93">
        <v>44193</v>
      </c>
      <c r="AH8" s="888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93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93">
        <v>44208</v>
      </c>
      <c r="AH9" s="888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93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93">
        <v>44043</v>
      </c>
      <c r="AH10" s="888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93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93">
        <v>44055</v>
      </c>
      <c r="AH11" s="888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93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93">
        <v>44088</v>
      </c>
      <c r="AH12" s="888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93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93">
        <v>44117</v>
      </c>
      <c r="AH13" s="888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93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93">
        <v>44147</v>
      </c>
      <c r="AH14" s="888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93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93">
        <v>44179</v>
      </c>
      <c r="AH15" s="888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93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93">
        <v>44193</v>
      </c>
      <c r="AH16" s="888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93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93">
        <v>44208</v>
      </c>
      <c r="AH17" s="888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93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93">
        <v>44043</v>
      </c>
      <c r="AH18" s="888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93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93">
        <v>44055</v>
      </c>
      <c r="AH19" s="888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93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93">
        <v>44088</v>
      </c>
      <c r="AH20" s="888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93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93">
        <v>44117</v>
      </c>
      <c r="AH21" s="888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93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93">
        <v>44147</v>
      </c>
      <c r="AH22" s="888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93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93">
        <v>44179</v>
      </c>
      <c r="AH23" s="888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93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93">
        <v>44193</v>
      </c>
      <c r="AH24" s="888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93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93">
        <v>44208</v>
      </c>
      <c r="AH25" s="888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93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93">
        <v>44043</v>
      </c>
      <c r="AH26" s="888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93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93">
        <v>44055</v>
      </c>
      <c r="AH27" s="888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93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93">
        <v>44088</v>
      </c>
      <c r="AH28" s="888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93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93">
        <v>44117</v>
      </c>
      <c r="AH29" s="888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93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93">
        <v>44147</v>
      </c>
      <c r="AH30" s="888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93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93">
        <v>44179</v>
      </c>
      <c r="AH31" s="888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93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93">
        <v>44193</v>
      </c>
      <c r="AH32" s="888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93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93">
        <v>44208</v>
      </c>
      <c r="AH33" s="888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93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93">
        <v>44043</v>
      </c>
      <c r="AH34" s="888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93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93">
        <v>44055</v>
      </c>
      <c r="AH35" s="888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93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93">
        <v>44088</v>
      </c>
      <c r="AH36" s="888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93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93">
        <v>44117</v>
      </c>
      <c r="AH37" s="888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93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93">
        <v>44147</v>
      </c>
      <c r="AH38" s="888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93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93">
        <v>44179</v>
      </c>
      <c r="AH39" s="888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93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93">
        <v>44193</v>
      </c>
      <c r="AH40" s="888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93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93">
        <v>44208</v>
      </c>
      <c r="AH41" s="888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93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93">
        <v>44043</v>
      </c>
      <c r="AH42" s="888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93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93">
        <v>44055</v>
      </c>
      <c r="AH43" s="888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93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93">
        <v>44088</v>
      </c>
      <c r="AH44" s="888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93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93">
        <v>44117</v>
      </c>
      <c r="AH45" s="888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93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93">
        <v>44147</v>
      </c>
      <c r="AH46" s="888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93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93">
        <v>44179</v>
      </c>
      <c r="AH47" s="888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93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93">
        <v>44193</v>
      </c>
      <c r="AH48" s="888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93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93">
        <v>44208</v>
      </c>
      <c r="AH49" s="888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93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93">
        <v>44043</v>
      </c>
      <c r="AH50" s="888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93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93">
        <v>44055</v>
      </c>
      <c r="AH51" s="888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93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93">
        <v>44088</v>
      </c>
      <c r="AH52" s="888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93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93">
        <v>44117</v>
      </c>
      <c r="AH53" s="888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93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93">
        <v>44147</v>
      </c>
      <c r="AH54" s="888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93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93">
        <v>44179</v>
      </c>
      <c r="AH55" s="888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93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93">
        <v>44193</v>
      </c>
      <c r="AH56" s="888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93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93">
        <v>44208</v>
      </c>
      <c r="AH57" s="888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93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93">
        <v>44043</v>
      </c>
      <c r="AH58" s="888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93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93">
        <v>44055</v>
      </c>
      <c r="AH59" s="888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93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93">
        <v>44088</v>
      </c>
      <c r="AH60" s="888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93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93">
        <v>44117</v>
      </c>
      <c r="AH61" s="888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93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93">
        <v>44147</v>
      </c>
      <c r="AH62" s="888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93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93">
        <v>44179</v>
      </c>
      <c r="AH63" s="888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93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93">
        <v>44193</v>
      </c>
      <c r="AH64" s="888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93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93">
        <v>44208</v>
      </c>
      <c r="AH65" s="888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93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93">
        <v>44043</v>
      </c>
      <c r="AH66" s="888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93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93">
        <v>44055</v>
      </c>
      <c r="AH67" s="888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93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93">
        <v>44088</v>
      </c>
      <c r="AH68" s="888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93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93">
        <v>44117</v>
      </c>
      <c r="AH69" s="888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93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93">
        <v>44147</v>
      </c>
      <c r="AH70" s="888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93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93">
        <v>44179</v>
      </c>
      <c r="AH71" s="888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93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93">
        <v>44193</v>
      </c>
      <c r="AH72" s="888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93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93">
        <v>44208</v>
      </c>
      <c r="AH73" s="888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93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93">
        <v>44043</v>
      </c>
      <c r="AH74" s="888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93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93">
        <v>44055</v>
      </c>
      <c r="AH75" s="888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93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93">
        <v>44088</v>
      </c>
      <c r="AH76" s="888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93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93">
        <v>44117</v>
      </c>
      <c r="AH77" s="888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93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93">
        <v>44147</v>
      </c>
      <c r="AH78" s="888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93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93">
        <v>44179</v>
      </c>
      <c r="AH79" s="888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93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93">
        <v>44193</v>
      </c>
      <c r="AH80" s="888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93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93">
        <v>44208</v>
      </c>
      <c r="AH81" s="888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93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93">
        <v>44043</v>
      </c>
      <c r="AH82" s="888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93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93">
        <v>44055</v>
      </c>
      <c r="AH83" s="888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93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93">
        <v>44088</v>
      </c>
      <c r="AH84" s="888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93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93">
        <v>44117</v>
      </c>
      <c r="AH85" s="888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93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93">
        <v>44147</v>
      </c>
      <c r="AH86" s="888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93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93">
        <v>44179</v>
      </c>
      <c r="AH87" s="888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93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93">
        <v>44193</v>
      </c>
      <c r="AH88" s="888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93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93">
        <v>44208</v>
      </c>
      <c r="AH89" s="888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93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93">
        <v>44043</v>
      </c>
      <c r="AH90" s="888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93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93">
        <v>44055</v>
      </c>
      <c r="AH91" s="888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93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93">
        <v>44088</v>
      </c>
      <c r="AH92" s="888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93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93">
        <v>44117</v>
      </c>
      <c r="AH93" s="888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93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93">
        <v>44147</v>
      </c>
      <c r="AH94" s="888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93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93">
        <v>44179</v>
      </c>
      <c r="AH95" s="888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93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93">
        <v>44193</v>
      </c>
      <c r="AH96" s="888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93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93">
        <v>44208</v>
      </c>
      <c r="AH97" s="888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93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93">
        <v>44043</v>
      </c>
      <c r="AH98" s="888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93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93">
        <v>44055</v>
      </c>
      <c r="AH99" s="888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93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93">
        <v>44088</v>
      </c>
      <c r="AH100" s="888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93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93">
        <v>44117</v>
      </c>
      <c r="AH101" s="888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93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93">
        <v>44147</v>
      </c>
      <c r="AH102" s="888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93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93">
        <v>44179</v>
      </c>
      <c r="AH103" s="888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93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93">
        <v>44193</v>
      </c>
      <c r="AH104" s="888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93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93">
        <v>44208</v>
      </c>
      <c r="AH105" s="888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93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93">
        <v>44043</v>
      </c>
      <c r="AH106" s="888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93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93">
        <v>44055</v>
      </c>
      <c r="AH107" s="888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93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93">
        <v>44088</v>
      </c>
      <c r="AH108" s="888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93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93">
        <v>44117</v>
      </c>
      <c r="AH109" s="888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93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93">
        <v>44147</v>
      </c>
      <c r="AH110" s="888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93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93">
        <v>44179</v>
      </c>
      <c r="AH111" s="888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93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93">
        <v>44193</v>
      </c>
      <c r="AH112" s="888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93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93">
        <v>44208</v>
      </c>
      <c r="AH113" s="888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93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93">
        <v>44043</v>
      </c>
      <c r="AH114" s="888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93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93">
        <v>44055</v>
      </c>
      <c r="AH115" s="888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93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93">
        <v>44088</v>
      </c>
      <c r="AH116" s="888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93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93">
        <v>44117</v>
      </c>
      <c r="AH117" s="888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93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93">
        <v>44147</v>
      </c>
      <c r="AH118" s="888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93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93">
        <v>44179</v>
      </c>
      <c r="AH119" s="888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93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93">
        <v>44193</v>
      </c>
      <c r="AH120" s="888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93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93">
        <v>44208</v>
      </c>
      <c r="AH121" s="888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93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93">
        <v>44043</v>
      </c>
      <c r="AH122" s="888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93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93">
        <v>44055</v>
      </c>
      <c r="AH123" s="888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93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93">
        <v>44088</v>
      </c>
      <c r="AH124" s="888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93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93">
        <v>44117</v>
      </c>
      <c r="AH125" s="888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93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93">
        <v>44147</v>
      </c>
      <c r="AH126" s="888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93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93">
        <v>44179</v>
      </c>
      <c r="AH127" s="888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93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93">
        <v>44193</v>
      </c>
      <c r="AH128" s="888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93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93">
        <v>44208</v>
      </c>
      <c r="AH129" s="888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93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93">
        <v>44043</v>
      </c>
      <c r="AH130" s="888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93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93">
        <v>44055</v>
      </c>
      <c r="AH131" s="888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93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93">
        <v>44088</v>
      </c>
      <c r="AH132" s="888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93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93">
        <v>44117</v>
      </c>
      <c r="AH133" s="888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93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93">
        <v>44147</v>
      </c>
      <c r="AH134" s="888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93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93">
        <v>44179</v>
      </c>
      <c r="AH135" s="888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93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93">
        <v>44193</v>
      </c>
      <c r="AH136" s="888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93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93">
        <v>44208</v>
      </c>
      <c r="AH137" s="888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93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93">
        <v>44043</v>
      </c>
      <c r="AH138" s="888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93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93">
        <v>44055</v>
      </c>
      <c r="AH139" s="888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93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93">
        <v>44088</v>
      </c>
      <c r="AH140" s="888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93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93">
        <v>44117</v>
      </c>
      <c r="AH141" s="888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93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93">
        <v>44147</v>
      </c>
      <c r="AH142" s="888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93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93">
        <v>44179</v>
      </c>
      <c r="AH143" s="888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93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93">
        <v>44193</v>
      </c>
      <c r="AH144" s="888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93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93">
        <v>44208</v>
      </c>
      <c r="AH145" s="888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93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93">
        <v>44043</v>
      </c>
      <c r="AH146" s="888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93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93">
        <v>44055</v>
      </c>
      <c r="AH147" s="888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93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93">
        <v>44088</v>
      </c>
      <c r="AH148" s="888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93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93">
        <v>44117</v>
      </c>
      <c r="AH149" s="888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93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93">
        <v>44147</v>
      </c>
      <c r="AH150" s="888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93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93">
        <v>44179</v>
      </c>
      <c r="AH151" s="888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93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93">
        <v>44193</v>
      </c>
      <c r="AH152" s="888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93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93">
        <v>44208</v>
      </c>
      <c r="AH153" s="888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93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93">
        <v>44043</v>
      </c>
      <c r="AH154" s="888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93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93">
        <v>44055</v>
      </c>
      <c r="AH155" s="888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93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93">
        <v>44088</v>
      </c>
      <c r="AH156" s="888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93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93">
        <v>44117</v>
      </c>
      <c r="AH157" s="888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93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93">
        <v>44147</v>
      </c>
      <c r="AH158" s="888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93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93">
        <v>44179</v>
      </c>
      <c r="AH159" s="888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93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93">
        <v>44193</v>
      </c>
      <c r="AH160" s="888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93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93">
        <v>44208</v>
      </c>
      <c r="AH161" s="888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93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93">
        <v>44043</v>
      </c>
      <c r="AH162" s="888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93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93">
        <v>44055</v>
      </c>
      <c r="AH163" s="888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93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93">
        <v>44088</v>
      </c>
      <c r="AH164" s="888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93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93">
        <v>44117</v>
      </c>
      <c r="AH165" s="888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93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93">
        <v>44147</v>
      </c>
      <c r="AH166" s="888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93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93">
        <v>44179</v>
      </c>
      <c r="AH167" s="888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93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93">
        <v>44193</v>
      </c>
      <c r="AH168" s="888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93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93">
        <v>44208</v>
      </c>
      <c r="AH169" s="888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93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93">
        <v>44043</v>
      </c>
      <c r="AH170" s="888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93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93">
        <v>44055</v>
      </c>
      <c r="AH171" s="888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93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93">
        <v>44088</v>
      </c>
      <c r="AH172" s="888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93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93">
        <v>44117</v>
      </c>
      <c r="AH173" s="888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93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93">
        <v>44147</v>
      </c>
      <c r="AH174" s="888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93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93">
        <v>44179</v>
      </c>
      <c r="AH175" s="888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93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93">
        <v>44193</v>
      </c>
      <c r="AH176" s="888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93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93">
        <v>44208</v>
      </c>
      <c r="AH177" s="888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93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93">
        <v>44043</v>
      </c>
      <c r="AH178" s="888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93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93">
        <v>44055</v>
      </c>
      <c r="AH179" s="888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93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93">
        <v>44088</v>
      </c>
      <c r="AH180" s="888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93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93">
        <v>44117</v>
      </c>
      <c r="AH181" s="888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93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93">
        <v>44147</v>
      </c>
      <c r="AH182" s="888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93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93">
        <v>44179</v>
      </c>
      <c r="AH183" s="888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93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93">
        <v>44193</v>
      </c>
      <c r="AH184" s="888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93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93">
        <v>44208</v>
      </c>
      <c r="AH185" s="888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93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93">
        <v>44043</v>
      </c>
      <c r="AH186" s="888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93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93">
        <v>44055</v>
      </c>
      <c r="AH187" s="888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93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93">
        <v>44088</v>
      </c>
      <c r="AH188" s="888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93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93">
        <v>44117</v>
      </c>
      <c r="AH189" s="888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93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93">
        <v>44147</v>
      </c>
      <c r="AH190" s="888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93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93">
        <v>44179</v>
      </c>
      <c r="AH191" s="888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93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93">
        <v>44193</v>
      </c>
      <c r="AH192" s="888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93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93">
        <v>44208</v>
      </c>
      <c r="AH193" s="888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93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93">
        <v>44043</v>
      </c>
      <c r="AH194" s="888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93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93">
        <v>44055</v>
      </c>
      <c r="AH195" s="888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93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93">
        <v>44088</v>
      </c>
      <c r="AH196" s="888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93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93">
        <v>44117</v>
      </c>
      <c r="AH197" s="888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93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93">
        <v>44147</v>
      </c>
      <c r="AH198" s="888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93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93">
        <v>44179</v>
      </c>
      <c r="AH199" s="888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93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93">
        <v>44193</v>
      </c>
      <c r="AH200" s="888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93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93">
        <v>44208</v>
      </c>
      <c r="AH201" s="888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93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93">
        <v>44043</v>
      </c>
      <c r="AH202" s="888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93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93">
        <v>44055</v>
      </c>
      <c r="AH203" s="888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93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93">
        <v>44088</v>
      </c>
      <c r="AH204" s="888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93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93">
        <v>44117</v>
      </c>
      <c r="AH205" s="888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93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93">
        <v>44147</v>
      </c>
      <c r="AH206" s="888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93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93">
        <v>44179</v>
      </c>
      <c r="AH207" s="888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93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93">
        <v>44193</v>
      </c>
      <c r="AH208" s="888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93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93">
        <v>44208</v>
      </c>
      <c r="AH209" s="888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93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93">
        <v>44043</v>
      </c>
      <c r="AH210" s="888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93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93">
        <v>44055</v>
      </c>
      <c r="AH211" s="888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93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93">
        <v>44088</v>
      </c>
      <c r="AH212" s="888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93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93">
        <v>44117</v>
      </c>
      <c r="AH213" s="888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93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93">
        <v>44147</v>
      </c>
      <c r="AH214" s="888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93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93">
        <v>44179</v>
      </c>
      <c r="AH215" s="888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93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93">
        <v>44193</v>
      </c>
      <c r="AH216" s="888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93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93">
        <v>44208</v>
      </c>
      <c r="AH217" s="888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93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93">
        <v>44043</v>
      </c>
      <c r="AH218" s="888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93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93">
        <v>44055</v>
      </c>
      <c r="AH219" s="888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93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93">
        <v>44088</v>
      </c>
      <c r="AH220" s="888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93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93">
        <v>44117</v>
      </c>
      <c r="AH221" s="888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93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93">
        <v>44147</v>
      </c>
      <c r="AH222" s="888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93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93">
        <v>44179</v>
      </c>
      <c r="AH223" s="888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93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93">
        <v>44193</v>
      </c>
      <c r="AH224" s="888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93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93">
        <v>44208</v>
      </c>
      <c r="AH225" s="888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93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93">
        <v>44043</v>
      </c>
      <c r="AH226" s="888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93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93">
        <v>44055</v>
      </c>
      <c r="AH227" s="888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93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93">
        <v>44088</v>
      </c>
      <c r="AH228" s="888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93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93">
        <v>44117</v>
      </c>
      <c r="AH229" s="888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93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93">
        <v>44147</v>
      </c>
      <c r="AH230" s="888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93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93">
        <v>44179</v>
      </c>
      <c r="AH231" s="888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93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93">
        <v>44193</v>
      </c>
      <c r="AH232" s="888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93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93">
        <v>44208</v>
      </c>
      <c r="AH233" s="888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93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93">
        <v>44043</v>
      </c>
      <c r="AH234" s="888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93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93">
        <v>44055</v>
      </c>
      <c r="AH235" s="888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93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93">
        <v>44088</v>
      </c>
      <c r="AH236" s="888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93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93">
        <v>44117</v>
      </c>
      <c r="AH237" s="888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93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93">
        <v>44147</v>
      </c>
      <c r="AH238" s="888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93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93">
        <v>44179</v>
      </c>
      <c r="AH239" s="888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93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93">
        <v>44193</v>
      </c>
      <c r="AH240" s="888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93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93">
        <v>44208</v>
      </c>
      <c r="AH241" s="888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93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93">
        <v>44043</v>
      </c>
      <c r="AH242" s="888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93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93">
        <v>44055</v>
      </c>
      <c r="AH243" s="888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93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93">
        <v>44088</v>
      </c>
      <c r="AH244" s="888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93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93">
        <v>44117</v>
      </c>
      <c r="AH245" s="888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93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93">
        <v>44147</v>
      </c>
      <c r="AH246" s="888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93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93">
        <v>44179</v>
      </c>
      <c r="AH247" s="888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93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93">
        <v>44193</v>
      </c>
      <c r="AH248" s="888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93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93">
        <v>44208</v>
      </c>
      <c r="AH249" s="888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93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93">
        <v>44043</v>
      </c>
      <c r="AH250" s="888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93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93">
        <v>44055</v>
      </c>
      <c r="AH251" s="888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93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93">
        <v>44088</v>
      </c>
      <c r="AH252" s="888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93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93">
        <v>44117</v>
      </c>
      <c r="AH253" s="888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93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93">
        <v>44147</v>
      </c>
      <c r="AH254" s="888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93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93">
        <v>44179</v>
      </c>
      <c r="AH255" s="888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93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93">
        <v>44193</v>
      </c>
      <c r="AH256" s="888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93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93">
        <v>44208</v>
      </c>
      <c r="AH257" s="888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93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93">
        <v>44043</v>
      </c>
      <c r="AH258" s="888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93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93">
        <v>44055</v>
      </c>
      <c r="AH259" s="888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93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93">
        <v>44088</v>
      </c>
      <c r="AH260" s="888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93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93">
        <v>44117</v>
      </c>
      <c r="AH261" s="888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93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93">
        <v>44147</v>
      </c>
      <c r="AH262" s="888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93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93">
        <v>44179</v>
      </c>
      <c r="AH263" s="888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93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93">
        <v>44193</v>
      </c>
      <c r="AH264" s="888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93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93">
        <v>44208</v>
      </c>
      <c r="AH265" s="888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93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93">
        <v>44043</v>
      </c>
      <c r="AH266" s="888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93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93">
        <v>44055</v>
      </c>
      <c r="AH267" s="888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93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93">
        <v>44088</v>
      </c>
      <c r="AH268" s="888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93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93">
        <v>44117</v>
      </c>
      <c r="AH269" s="888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93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93">
        <v>44147</v>
      </c>
      <c r="AH270" s="888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93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93">
        <v>44179</v>
      </c>
      <c r="AH271" s="888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93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93">
        <v>44193</v>
      </c>
      <c r="AH272" s="888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93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93">
        <v>44208</v>
      </c>
      <c r="AH273" s="888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93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8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93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8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93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8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93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8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93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8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93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8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93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8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93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8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93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8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93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8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93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8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93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8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93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8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93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8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93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8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93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8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93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93">
        <v>44043</v>
      </c>
      <c r="AH290" s="888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93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93">
        <v>44055</v>
      </c>
      <c r="AH291" s="888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93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93">
        <v>44088</v>
      </c>
      <c r="AH292" s="888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93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93">
        <v>44117</v>
      </c>
      <c r="AH293" s="888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93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93">
        <v>44147</v>
      </c>
      <c r="AH294" s="888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93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93">
        <v>44179</v>
      </c>
      <c r="AH295" s="888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93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93">
        <v>44193</v>
      </c>
      <c r="AH296" s="888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93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93">
        <v>44208</v>
      </c>
      <c r="AH297" s="888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93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93">
        <v>44043</v>
      </c>
      <c r="AH298" s="888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93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93">
        <v>44055</v>
      </c>
      <c r="AH299" s="888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93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93">
        <v>44088</v>
      </c>
      <c r="AH300" s="888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93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93">
        <v>44117</v>
      </c>
      <c r="AH301" s="888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93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93">
        <v>44147</v>
      </c>
      <c r="AH302" s="888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93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93">
        <v>44179</v>
      </c>
      <c r="AH303" s="888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93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93">
        <v>44193</v>
      </c>
      <c r="AH304" s="888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93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93">
        <v>44208</v>
      </c>
      <c r="AH305" s="888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93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93">
        <v>44043</v>
      </c>
      <c r="AH306" s="888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93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93">
        <v>44055</v>
      </c>
      <c r="AH307" s="888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93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93">
        <v>44088</v>
      </c>
      <c r="AH308" s="888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93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93">
        <v>44117</v>
      </c>
      <c r="AH309" s="888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93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93">
        <v>44147</v>
      </c>
      <c r="AH310" s="888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93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93">
        <v>44179</v>
      </c>
      <c r="AH311" s="888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93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93">
        <v>44193</v>
      </c>
      <c r="AH312" s="888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93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93">
        <v>44208</v>
      </c>
      <c r="AH313" s="888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93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93">
        <v>44043</v>
      </c>
      <c r="AH314" s="888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93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93">
        <v>44055</v>
      </c>
      <c r="AH315" s="888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93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93">
        <v>44088</v>
      </c>
      <c r="AH316" s="888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93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93">
        <v>44117</v>
      </c>
      <c r="AH317" s="888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93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93">
        <v>44147</v>
      </c>
      <c r="AH318" s="888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93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93">
        <v>44179</v>
      </c>
      <c r="AH319" s="888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93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93">
        <v>44193</v>
      </c>
      <c r="AH320" s="888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93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93">
        <v>44208</v>
      </c>
      <c r="AH321" s="888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93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8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93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8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93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8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93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8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93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8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93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8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93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8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93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8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93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8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93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8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93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8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93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8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93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8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93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8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93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8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93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8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93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8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93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8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93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8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93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8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93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8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93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8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93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8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93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8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93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8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93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8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985">
        <v>-3012884.08</v>
      </c>
      <c r="H348" s="234" t="s">
        <v>138</v>
      </c>
      <c r="I348" s="893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8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93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8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93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8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93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8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93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8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93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8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93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8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93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8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93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8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93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8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93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8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93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8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93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8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93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8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93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8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93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8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93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8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93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8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93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8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93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8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93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8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93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8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93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8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93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8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93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8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93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8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93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8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93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8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93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8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93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8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93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93">
        <v>44043</v>
      </c>
      <c r="AH378" s="888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93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93">
        <v>44055</v>
      </c>
      <c r="AH379" s="888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93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93">
        <v>44088</v>
      </c>
      <c r="AH380" s="888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93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93">
        <v>44117</v>
      </c>
      <c r="AH381" s="888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93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93">
        <v>44147</v>
      </c>
      <c r="AH382" s="888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93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93">
        <v>44179</v>
      </c>
      <c r="AH383" s="888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93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93">
        <v>44193</v>
      </c>
      <c r="AH384" s="888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93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93">
        <v>44208</v>
      </c>
      <c r="AH385" s="888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93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93">
        <v>44043</v>
      </c>
      <c r="AH386" s="888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93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93">
        <v>44055</v>
      </c>
      <c r="AH387" s="888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93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93">
        <v>44088</v>
      </c>
      <c r="AH388" s="888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93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93">
        <v>44117</v>
      </c>
      <c r="AH389" s="888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93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93">
        <v>44147</v>
      </c>
      <c r="AH390" s="888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93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93">
        <v>44179</v>
      </c>
      <c r="AH391" s="888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93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93">
        <v>44193</v>
      </c>
      <c r="AH392" s="888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93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93">
        <v>44208</v>
      </c>
      <c r="AH393" s="888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93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93">
        <v>44043</v>
      </c>
      <c r="AH394" s="888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93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93">
        <v>44055</v>
      </c>
      <c r="AH395" s="888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93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93">
        <v>44088</v>
      </c>
      <c r="AH396" s="888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93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93">
        <v>44117</v>
      </c>
      <c r="AH397" s="888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93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93">
        <v>44147</v>
      </c>
      <c r="AH398" s="888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93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93">
        <v>44179</v>
      </c>
      <c r="AH399" s="888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93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93">
        <v>44193</v>
      </c>
      <c r="AH400" s="888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93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93">
        <v>44208</v>
      </c>
      <c r="AH401" s="888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93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93">
        <v>44043</v>
      </c>
      <c r="AH402" s="888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93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93">
        <v>44055</v>
      </c>
      <c r="AH403" s="888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93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93">
        <v>44088</v>
      </c>
      <c r="AH404" s="888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93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93">
        <v>44117</v>
      </c>
      <c r="AH405" s="888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93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93">
        <v>44147</v>
      </c>
      <c r="AH406" s="888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93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93">
        <v>44179</v>
      </c>
      <c r="AH407" s="888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93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93">
        <v>44193</v>
      </c>
      <c r="AH408" s="888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93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93">
        <v>44208</v>
      </c>
      <c r="AH409" s="888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93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93">
        <v>44043</v>
      </c>
      <c r="AH410" s="888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93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93">
        <v>44055</v>
      </c>
      <c r="AH411" s="888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93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93">
        <v>44088</v>
      </c>
      <c r="AH412" s="888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93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93">
        <v>44117</v>
      </c>
      <c r="AH413" s="888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93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93">
        <v>44147</v>
      </c>
      <c r="AH414" s="888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93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93">
        <v>44179</v>
      </c>
      <c r="AH415" s="888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93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93">
        <v>44193</v>
      </c>
      <c r="AH416" s="888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93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93">
        <v>44208</v>
      </c>
      <c r="AH417" s="888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93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93">
        <v>44043</v>
      </c>
      <c r="AH418" s="888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93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93">
        <v>44055</v>
      </c>
      <c r="AH419" s="888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93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93">
        <v>44088</v>
      </c>
      <c r="AH420" s="888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93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93">
        <v>44117</v>
      </c>
      <c r="AH421" s="888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93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93">
        <v>44147</v>
      </c>
      <c r="AH422" s="888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93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93">
        <v>44179</v>
      </c>
      <c r="AH423" s="888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93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93">
        <v>44193</v>
      </c>
      <c r="AH424" s="888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93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93">
        <v>44208</v>
      </c>
      <c r="AH425" s="888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93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8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93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8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93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8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93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8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93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8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93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8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93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8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93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8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93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93">
        <v>44043</v>
      </c>
      <c r="AH434" s="888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93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93">
        <v>44055</v>
      </c>
      <c r="AH435" s="888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93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93">
        <v>44088</v>
      </c>
      <c r="AH436" s="888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93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93">
        <v>44117</v>
      </c>
      <c r="AH437" s="888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93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93">
        <v>44147</v>
      </c>
      <c r="AH438" s="888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93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93">
        <v>44179</v>
      </c>
      <c r="AH439" s="888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93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93">
        <v>44193</v>
      </c>
      <c r="AH440" s="888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93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93">
        <v>44208</v>
      </c>
      <c r="AH441" s="888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93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93">
        <v>44043</v>
      </c>
      <c r="AH442" s="888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93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93">
        <v>44055</v>
      </c>
      <c r="AH443" s="888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93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93">
        <v>44088</v>
      </c>
      <c r="AH444" s="888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93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93">
        <v>44117</v>
      </c>
      <c r="AH445" s="888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93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93">
        <v>44147</v>
      </c>
      <c r="AH446" s="888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93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93">
        <v>44179</v>
      </c>
      <c r="AH447" s="888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93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93">
        <v>44193</v>
      </c>
      <c r="AH448" s="888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93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93">
        <v>44208</v>
      </c>
      <c r="AH449" s="888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93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93">
        <v>44043</v>
      </c>
      <c r="AH450" s="888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93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93">
        <v>44055</v>
      </c>
      <c r="AH451" s="888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93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93">
        <v>44088</v>
      </c>
      <c r="AH452" s="888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93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93">
        <v>44117</v>
      </c>
      <c r="AH453" s="888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93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93">
        <v>44147</v>
      </c>
      <c r="AH454" s="888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93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93">
        <v>44179</v>
      </c>
      <c r="AH455" s="888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93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93">
        <v>44193</v>
      </c>
      <c r="AH456" s="888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93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93">
        <v>44208</v>
      </c>
      <c r="AH457" s="888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93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93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93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93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93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93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93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93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93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93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93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93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93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93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93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93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93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93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93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93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93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93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93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93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93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93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93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93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93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93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93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93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93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93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93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93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93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93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93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93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93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93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93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93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93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93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93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93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93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93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93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93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93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93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93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93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93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93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93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93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93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93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93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93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81"/>
  <sheetViews>
    <sheetView topLeftCell="B1" zoomScale="70" zoomScaleNormal="70" workbookViewId="0">
      <selection activeCell="F32" sqref="F32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228</v>
      </c>
      <c r="AJ1" t="s">
        <v>230</v>
      </c>
    </row>
    <row r="2" spans="1:36">
      <c r="A2" t="s">
        <v>2313</v>
      </c>
      <c r="B2" t="s">
        <v>2314</v>
      </c>
      <c r="C2" t="s">
        <v>2315</v>
      </c>
      <c r="D2" t="s">
        <v>2316</v>
      </c>
      <c r="E2" t="s">
        <v>215</v>
      </c>
      <c r="F2">
        <v>202104</v>
      </c>
      <c r="G2" t="s">
        <v>216</v>
      </c>
      <c r="H2">
        <v>-0.01</v>
      </c>
      <c r="J2" s="754">
        <f>CAPA!K12</f>
        <v>3627</v>
      </c>
      <c r="K2" s="754" t="s">
        <v>217</v>
      </c>
      <c r="L2" s="754" t="str">
        <f>"&gt;="&amp;K6</f>
        <v>&gt;=202107</v>
      </c>
      <c r="M2" s="754" t="str">
        <f>"&lt;="&amp;K7</f>
        <v>&lt;=202206</v>
      </c>
      <c r="O2" t="s">
        <v>2313</v>
      </c>
      <c r="P2" t="s">
        <v>2314</v>
      </c>
      <c r="Q2" t="s">
        <v>2315</v>
      </c>
      <c r="R2" t="s">
        <v>2316</v>
      </c>
      <c r="S2" t="s">
        <v>215</v>
      </c>
      <c r="T2">
        <v>202107</v>
      </c>
      <c r="U2" t="s">
        <v>218</v>
      </c>
      <c r="V2">
        <v>0</v>
      </c>
      <c r="X2" t="s">
        <v>2315</v>
      </c>
      <c r="Y2" t="s">
        <v>2316</v>
      </c>
      <c r="Z2" t="s">
        <v>215</v>
      </c>
      <c r="AB2" t="s">
        <v>2315</v>
      </c>
      <c r="AC2" t="s">
        <v>2316</v>
      </c>
      <c r="AD2" t="s">
        <v>215</v>
      </c>
      <c r="AE2" t="s">
        <v>218</v>
      </c>
      <c r="AH2" t="s">
        <v>2315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2313</v>
      </c>
      <c r="B3" t="s">
        <v>2314</v>
      </c>
      <c r="C3" t="s">
        <v>2315</v>
      </c>
      <c r="D3" t="s">
        <v>2316</v>
      </c>
      <c r="E3" t="s">
        <v>215</v>
      </c>
      <c r="F3">
        <v>202105</v>
      </c>
      <c r="G3" t="s">
        <v>216</v>
      </c>
      <c r="H3">
        <v>-0.01</v>
      </c>
      <c r="J3" s="754">
        <f>J2</f>
        <v>3627</v>
      </c>
      <c r="K3" s="754" t="s">
        <v>219</v>
      </c>
      <c r="L3" s="754" t="str">
        <f>L2</f>
        <v>&gt;=202107</v>
      </c>
      <c r="M3" s="754" t="str">
        <f>M2</f>
        <v>&lt;=202206</v>
      </c>
      <c r="O3" t="s">
        <v>2313</v>
      </c>
      <c r="P3" t="s">
        <v>2314</v>
      </c>
      <c r="Q3" t="s">
        <v>2315</v>
      </c>
      <c r="R3" t="s">
        <v>2316</v>
      </c>
      <c r="S3" t="s">
        <v>215</v>
      </c>
      <c r="T3">
        <v>202107</v>
      </c>
      <c r="U3" t="s">
        <v>220</v>
      </c>
      <c r="V3">
        <v>0</v>
      </c>
      <c r="X3" t="s">
        <v>2315</v>
      </c>
      <c r="Y3" t="s">
        <v>2316</v>
      </c>
      <c r="Z3" t="s">
        <v>2176</v>
      </c>
      <c r="AB3" t="s">
        <v>2315</v>
      </c>
      <c r="AC3" t="s">
        <v>2316</v>
      </c>
      <c r="AD3" t="s">
        <v>215</v>
      </c>
      <c r="AE3" t="s">
        <v>220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2313</v>
      </c>
      <c r="B4" t="s">
        <v>2314</v>
      </c>
      <c r="C4" t="s">
        <v>2315</v>
      </c>
      <c r="D4" t="s">
        <v>2316</v>
      </c>
      <c r="E4" t="s">
        <v>215</v>
      </c>
      <c r="F4">
        <v>202106</v>
      </c>
      <c r="G4" t="s">
        <v>216</v>
      </c>
      <c r="H4">
        <v>0</v>
      </c>
      <c r="J4" s="756">
        <f>J3</f>
        <v>3627</v>
      </c>
      <c r="K4" s="754" t="s">
        <v>221</v>
      </c>
      <c r="L4" s="755" t="str">
        <f>L2</f>
        <v>&gt;=202107</v>
      </c>
      <c r="M4" s="755" t="str">
        <f>M2</f>
        <v>&lt;=202206</v>
      </c>
      <c r="O4" t="s">
        <v>2313</v>
      </c>
      <c r="P4" t="s">
        <v>2314</v>
      </c>
      <c r="Q4" t="s">
        <v>2315</v>
      </c>
      <c r="R4" t="s">
        <v>2316</v>
      </c>
      <c r="S4" t="s">
        <v>215</v>
      </c>
      <c r="T4">
        <v>202108</v>
      </c>
      <c r="U4" t="s">
        <v>218</v>
      </c>
      <c r="V4">
        <v>0</v>
      </c>
      <c r="AB4" t="s">
        <v>2315</v>
      </c>
      <c r="AC4" t="s">
        <v>2316</v>
      </c>
      <c r="AD4" t="s">
        <v>2176</v>
      </c>
      <c r="AE4" t="s">
        <v>218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2313</v>
      </c>
      <c r="B5" t="s">
        <v>2314</v>
      </c>
      <c r="C5" t="s">
        <v>2315</v>
      </c>
      <c r="D5" t="s">
        <v>2316</v>
      </c>
      <c r="E5" t="s">
        <v>215</v>
      </c>
      <c r="F5">
        <v>202107</v>
      </c>
      <c r="G5" t="s">
        <v>216</v>
      </c>
      <c r="H5">
        <v>0</v>
      </c>
      <c r="J5" s="756">
        <f>J4</f>
        <v>3627</v>
      </c>
      <c r="K5" s="968" t="s">
        <v>223</v>
      </c>
      <c r="L5" s="755" t="str">
        <f>L3</f>
        <v>&gt;=202107</v>
      </c>
      <c r="M5" s="755" t="str">
        <f>M3</f>
        <v>&lt;=202206</v>
      </c>
      <c r="O5" t="s">
        <v>2313</v>
      </c>
      <c r="P5" t="s">
        <v>2314</v>
      </c>
      <c r="Q5" t="s">
        <v>2315</v>
      </c>
      <c r="R5" t="s">
        <v>2316</v>
      </c>
      <c r="S5" t="s">
        <v>215</v>
      </c>
      <c r="T5">
        <v>202108</v>
      </c>
      <c r="U5" t="s">
        <v>220</v>
      </c>
      <c r="V5">
        <v>0</v>
      </c>
      <c r="AB5" t="s">
        <v>2315</v>
      </c>
      <c r="AC5" t="s">
        <v>2316</v>
      </c>
      <c r="AD5" t="s">
        <v>2176</v>
      </c>
      <c r="AE5" t="s">
        <v>220</v>
      </c>
      <c r="AI5">
        <f t="shared" si="0"/>
        <v>0</v>
      </c>
      <c r="AJ5" t="str">
        <f t="shared" si="1"/>
        <v>Nada</v>
      </c>
    </row>
    <row r="6" spans="1:36">
      <c r="A6" t="s">
        <v>2313</v>
      </c>
      <c r="B6" t="s">
        <v>2314</v>
      </c>
      <c r="C6" t="s">
        <v>2315</v>
      </c>
      <c r="D6" t="s">
        <v>2316</v>
      </c>
      <c r="E6" t="s">
        <v>215</v>
      </c>
      <c r="F6">
        <v>202108</v>
      </c>
      <c r="G6" t="s">
        <v>216</v>
      </c>
      <c r="H6">
        <v>0</v>
      </c>
      <c r="J6" t="s">
        <v>225</v>
      </c>
      <c r="K6">
        <f>(YEAR(SAS_RA0_DataInicio)*100+MONTH(SAS_RA0_DataInicio))</f>
        <v>202107</v>
      </c>
      <c r="O6" t="s">
        <v>2313</v>
      </c>
      <c r="P6" t="s">
        <v>2314</v>
      </c>
      <c r="Q6" t="s">
        <v>2315</v>
      </c>
      <c r="R6" t="s">
        <v>2316</v>
      </c>
      <c r="S6" t="s">
        <v>215</v>
      </c>
      <c r="T6">
        <v>202109</v>
      </c>
      <c r="U6" t="s">
        <v>218</v>
      </c>
      <c r="V6">
        <v>0</v>
      </c>
      <c r="AB6" t="s">
        <v>2315</v>
      </c>
      <c r="AC6" t="s">
        <v>2316</v>
      </c>
      <c r="AD6" t="s">
        <v>215</v>
      </c>
      <c r="AE6" t="s">
        <v>222</v>
      </c>
      <c r="AI6">
        <f t="shared" si="0"/>
        <v>0</v>
      </c>
      <c r="AJ6" t="str">
        <f t="shared" si="1"/>
        <v>Nada</v>
      </c>
    </row>
    <row r="7" spans="1:36">
      <c r="A7" t="s">
        <v>2313</v>
      </c>
      <c r="B7" t="s">
        <v>2314</v>
      </c>
      <c r="C7" t="s">
        <v>2315</v>
      </c>
      <c r="D7" t="s">
        <v>2316</v>
      </c>
      <c r="E7" t="s">
        <v>215</v>
      </c>
      <c r="F7">
        <v>202109</v>
      </c>
      <c r="G7" t="s">
        <v>216</v>
      </c>
      <c r="H7">
        <v>0</v>
      </c>
      <c r="J7" t="s">
        <v>227</v>
      </c>
      <c r="K7">
        <f>YEAR(SAS_RA0_DataFim)*100+MONTH(SAS_RA0_DataFim)</f>
        <v>202206</v>
      </c>
      <c r="O7" t="s">
        <v>2313</v>
      </c>
      <c r="P7" t="s">
        <v>2314</v>
      </c>
      <c r="Q7" t="s">
        <v>2315</v>
      </c>
      <c r="R7" t="s">
        <v>2316</v>
      </c>
      <c r="S7" t="s">
        <v>215</v>
      </c>
      <c r="T7">
        <v>202109</v>
      </c>
      <c r="U7" t="s">
        <v>220</v>
      </c>
      <c r="V7">
        <v>0</v>
      </c>
      <c r="AB7" t="s">
        <v>2315</v>
      </c>
      <c r="AC7" t="s">
        <v>2316</v>
      </c>
      <c r="AD7" t="s">
        <v>215</v>
      </c>
      <c r="AE7" t="s">
        <v>224</v>
      </c>
      <c r="AI7">
        <f t="shared" si="0"/>
        <v>0</v>
      </c>
      <c r="AJ7" t="str">
        <f t="shared" si="1"/>
        <v>Nada</v>
      </c>
    </row>
    <row r="8" spans="1:36">
      <c r="A8" t="s">
        <v>2313</v>
      </c>
      <c r="B8" t="s">
        <v>2314</v>
      </c>
      <c r="C8" t="s">
        <v>2315</v>
      </c>
      <c r="D8" t="s">
        <v>2316</v>
      </c>
      <c r="E8" t="s">
        <v>215</v>
      </c>
      <c r="F8">
        <v>202110</v>
      </c>
      <c r="G8" t="s">
        <v>216</v>
      </c>
      <c r="H8">
        <v>0</v>
      </c>
      <c r="J8" t="s">
        <v>228</v>
      </c>
      <c r="K8" s="661">
        <f>MAX(AI:AI)</f>
        <v>202205</v>
      </c>
      <c r="O8" t="s">
        <v>2313</v>
      </c>
      <c r="P8" t="s">
        <v>2314</v>
      </c>
      <c r="Q8" t="s">
        <v>2315</v>
      </c>
      <c r="R8" t="s">
        <v>2316</v>
      </c>
      <c r="S8" t="s">
        <v>215</v>
      </c>
      <c r="T8">
        <v>202110</v>
      </c>
      <c r="U8" t="s">
        <v>218</v>
      </c>
      <c r="V8">
        <v>0</v>
      </c>
      <c r="AB8" t="s">
        <v>2315</v>
      </c>
      <c r="AC8" t="s">
        <v>2316</v>
      </c>
      <c r="AD8" t="s">
        <v>215</v>
      </c>
      <c r="AE8" t="s">
        <v>226</v>
      </c>
      <c r="AI8">
        <f t="shared" si="0"/>
        <v>0</v>
      </c>
      <c r="AJ8" t="str">
        <f t="shared" si="1"/>
        <v>Nada</v>
      </c>
    </row>
    <row r="9" spans="1:36">
      <c r="A9" t="s">
        <v>2313</v>
      </c>
      <c r="B9" t="s">
        <v>2314</v>
      </c>
      <c r="C9" t="s">
        <v>2315</v>
      </c>
      <c r="D9" t="s">
        <v>2316</v>
      </c>
      <c r="E9" t="s">
        <v>215</v>
      </c>
      <c r="F9">
        <v>202111</v>
      </c>
      <c r="G9" t="s">
        <v>216</v>
      </c>
      <c r="H9">
        <v>0</v>
      </c>
      <c r="J9" t="s">
        <v>230</v>
      </c>
      <c r="K9" s="661">
        <f>MAX(AJ:AJ)</f>
        <v>1</v>
      </c>
      <c r="O9" t="s">
        <v>2313</v>
      </c>
      <c r="P9" t="s">
        <v>2314</v>
      </c>
      <c r="Q9" t="s">
        <v>2315</v>
      </c>
      <c r="R9" t="s">
        <v>2316</v>
      </c>
      <c r="S9" t="s">
        <v>215</v>
      </c>
      <c r="T9">
        <v>202110</v>
      </c>
      <c r="U9" t="s">
        <v>220</v>
      </c>
      <c r="V9">
        <v>0</v>
      </c>
      <c r="AB9" t="s">
        <v>2315</v>
      </c>
      <c r="AC9" t="s">
        <v>2316</v>
      </c>
      <c r="AD9" t="s">
        <v>2176</v>
      </c>
      <c r="AE9" t="s">
        <v>222</v>
      </c>
    </row>
    <row r="10" spans="1:36">
      <c r="A10" t="s">
        <v>2313</v>
      </c>
      <c r="B10" t="s">
        <v>2314</v>
      </c>
      <c r="C10" t="s">
        <v>2315</v>
      </c>
      <c r="D10" t="s">
        <v>2316</v>
      </c>
      <c r="E10" t="s">
        <v>215</v>
      </c>
      <c r="F10">
        <v>202112</v>
      </c>
      <c r="G10" t="s">
        <v>216</v>
      </c>
      <c r="H10">
        <v>0</v>
      </c>
      <c r="O10" t="s">
        <v>2313</v>
      </c>
      <c r="P10" t="s">
        <v>2314</v>
      </c>
      <c r="Q10" t="s">
        <v>2315</v>
      </c>
      <c r="R10" t="s">
        <v>2316</v>
      </c>
      <c r="S10" t="s">
        <v>215</v>
      </c>
      <c r="T10">
        <v>202111</v>
      </c>
      <c r="U10" t="s">
        <v>218</v>
      </c>
      <c r="V10">
        <v>0</v>
      </c>
      <c r="AB10" t="s">
        <v>2315</v>
      </c>
      <c r="AC10" t="s">
        <v>2316</v>
      </c>
      <c r="AD10" t="s">
        <v>2176</v>
      </c>
      <c r="AE10" t="s">
        <v>224</v>
      </c>
    </row>
    <row r="11" spans="1:36">
      <c r="A11" t="s">
        <v>2313</v>
      </c>
      <c r="B11" t="s">
        <v>2314</v>
      </c>
      <c r="C11" t="s">
        <v>2315</v>
      </c>
      <c r="D11" t="s">
        <v>2316</v>
      </c>
      <c r="E11" t="s">
        <v>215</v>
      </c>
      <c r="F11">
        <v>202201</v>
      </c>
      <c r="G11" t="s">
        <v>216</v>
      </c>
      <c r="H11">
        <v>-0.01</v>
      </c>
      <c r="J11" s="819">
        <f>VALUE(A2)</f>
        <v>3627</v>
      </c>
      <c r="O11" t="s">
        <v>2313</v>
      </c>
      <c r="P11" t="s">
        <v>2314</v>
      </c>
      <c r="Q11" t="s">
        <v>2315</v>
      </c>
      <c r="R11" t="s">
        <v>2316</v>
      </c>
      <c r="S11" t="s">
        <v>215</v>
      </c>
      <c r="T11">
        <v>202111</v>
      </c>
      <c r="U11" t="s">
        <v>220</v>
      </c>
      <c r="V11">
        <v>0</v>
      </c>
      <c r="AB11" t="s">
        <v>2315</v>
      </c>
      <c r="AC11" t="s">
        <v>2316</v>
      </c>
      <c r="AD11" t="s">
        <v>2176</v>
      </c>
      <c r="AE11" t="s">
        <v>226</v>
      </c>
    </row>
    <row r="12" spans="1:36">
      <c r="A12" t="s">
        <v>2313</v>
      </c>
      <c r="B12" t="s">
        <v>2314</v>
      </c>
      <c r="C12" t="s">
        <v>2315</v>
      </c>
      <c r="D12" t="s">
        <v>2316</v>
      </c>
      <c r="E12" t="s">
        <v>215</v>
      </c>
      <c r="F12">
        <v>202202</v>
      </c>
      <c r="G12" t="s">
        <v>216</v>
      </c>
      <c r="H12">
        <v>-0.01</v>
      </c>
      <c r="K12" s="8"/>
      <c r="O12" t="s">
        <v>2313</v>
      </c>
      <c r="P12" t="s">
        <v>2314</v>
      </c>
      <c r="Q12" t="s">
        <v>2315</v>
      </c>
      <c r="R12" t="s">
        <v>2316</v>
      </c>
      <c r="S12" t="s">
        <v>215</v>
      </c>
      <c r="T12">
        <v>202112</v>
      </c>
      <c r="U12" t="s">
        <v>218</v>
      </c>
      <c r="V12">
        <v>0</v>
      </c>
    </row>
    <row r="13" spans="1:36">
      <c r="A13" t="s">
        <v>2313</v>
      </c>
      <c r="B13" t="s">
        <v>2314</v>
      </c>
      <c r="C13" t="s">
        <v>2315</v>
      </c>
      <c r="D13" t="s">
        <v>2316</v>
      </c>
      <c r="E13" t="s">
        <v>215</v>
      </c>
      <c r="F13">
        <v>202203</v>
      </c>
      <c r="G13" t="s">
        <v>216</v>
      </c>
      <c r="H13">
        <v>0</v>
      </c>
      <c r="O13" t="s">
        <v>2313</v>
      </c>
      <c r="P13" t="s">
        <v>2314</v>
      </c>
      <c r="Q13" t="s">
        <v>2315</v>
      </c>
      <c r="R13" t="s">
        <v>2316</v>
      </c>
      <c r="S13" t="s">
        <v>215</v>
      </c>
      <c r="T13">
        <v>202112</v>
      </c>
      <c r="U13" t="s">
        <v>220</v>
      </c>
      <c r="V13">
        <v>0</v>
      </c>
    </row>
    <row r="14" spans="1:36">
      <c r="A14" t="s">
        <v>2313</v>
      </c>
      <c r="B14" t="s">
        <v>2314</v>
      </c>
      <c r="C14" t="s">
        <v>2315</v>
      </c>
      <c r="D14" t="s">
        <v>2316</v>
      </c>
      <c r="E14" t="s">
        <v>215</v>
      </c>
      <c r="F14">
        <v>202204</v>
      </c>
      <c r="G14" t="s">
        <v>216</v>
      </c>
      <c r="H14">
        <v>-0.01</v>
      </c>
      <c r="O14" t="s">
        <v>2313</v>
      </c>
      <c r="P14" t="s">
        <v>2314</v>
      </c>
      <c r="Q14" t="s">
        <v>2315</v>
      </c>
      <c r="R14" t="s">
        <v>2316</v>
      </c>
      <c r="S14" t="s">
        <v>215</v>
      </c>
      <c r="T14">
        <v>202201</v>
      </c>
      <c r="U14" t="s">
        <v>218</v>
      </c>
      <c r="V14">
        <v>0</v>
      </c>
    </row>
    <row r="15" spans="1:36">
      <c r="A15" t="s">
        <v>2313</v>
      </c>
      <c r="B15" t="s">
        <v>2314</v>
      </c>
      <c r="C15" t="s">
        <v>2315</v>
      </c>
      <c r="D15" t="s">
        <v>2316</v>
      </c>
      <c r="E15" t="s">
        <v>215</v>
      </c>
      <c r="F15">
        <v>202205</v>
      </c>
      <c r="G15" t="s">
        <v>216</v>
      </c>
      <c r="H15">
        <v>0</v>
      </c>
      <c r="O15" t="s">
        <v>2313</v>
      </c>
      <c r="P15" t="s">
        <v>2314</v>
      </c>
      <c r="Q15" t="s">
        <v>2315</v>
      </c>
      <c r="R15" t="s">
        <v>2316</v>
      </c>
      <c r="S15" t="s">
        <v>215</v>
      </c>
      <c r="T15">
        <v>202201</v>
      </c>
      <c r="U15" t="s">
        <v>220</v>
      </c>
      <c r="V15">
        <v>0</v>
      </c>
    </row>
    <row r="16" spans="1:36">
      <c r="A16" t="s">
        <v>2313</v>
      </c>
      <c r="B16" t="s">
        <v>2314</v>
      </c>
      <c r="C16" t="s">
        <v>2315</v>
      </c>
      <c r="D16" t="s">
        <v>2316</v>
      </c>
      <c r="E16" t="s">
        <v>2176</v>
      </c>
      <c r="F16">
        <v>202104</v>
      </c>
      <c r="G16" t="s">
        <v>216</v>
      </c>
      <c r="H16">
        <v>0</v>
      </c>
      <c r="O16" t="s">
        <v>2313</v>
      </c>
      <c r="P16" t="s">
        <v>2314</v>
      </c>
      <c r="Q16" t="s">
        <v>2315</v>
      </c>
      <c r="R16" t="s">
        <v>2316</v>
      </c>
      <c r="S16" t="s">
        <v>215</v>
      </c>
      <c r="T16">
        <v>202202</v>
      </c>
      <c r="U16" t="s">
        <v>218</v>
      </c>
      <c r="V16">
        <v>0</v>
      </c>
    </row>
    <row r="17" spans="1:22">
      <c r="A17" t="s">
        <v>2313</v>
      </c>
      <c r="B17" t="s">
        <v>2314</v>
      </c>
      <c r="C17" t="s">
        <v>2315</v>
      </c>
      <c r="D17" t="s">
        <v>2316</v>
      </c>
      <c r="E17" t="s">
        <v>2176</v>
      </c>
      <c r="F17">
        <v>202105</v>
      </c>
      <c r="G17" t="s">
        <v>216</v>
      </c>
      <c r="H17">
        <v>-194.34</v>
      </c>
      <c r="O17" t="s">
        <v>2313</v>
      </c>
      <c r="P17" t="s">
        <v>2314</v>
      </c>
      <c r="Q17" t="s">
        <v>2315</v>
      </c>
      <c r="R17" t="s">
        <v>2316</v>
      </c>
      <c r="S17" t="s">
        <v>215</v>
      </c>
      <c r="T17">
        <v>202202</v>
      </c>
      <c r="U17" t="s">
        <v>220</v>
      </c>
      <c r="V17">
        <v>0</v>
      </c>
    </row>
    <row r="18" spans="1:22">
      <c r="A18" t="s">
        <v>2313</v>
      </c>
      <c r="B18" t="s">
        <v>2314</v>
      </c>
      <c r="C18" t="s">
        <v>2315</v>
      </c>
      <c r="D18" t="s">
        <v>2316</v>
      </c>
      <c r="E18" t="s">
        <v>2176</v>
      </c>
      <c r="F18">
        <v>202106</v>
      </c>
      <c r="G18" t="s">
        <v>216</v>
      </c>
      <c r="H18">
        <v>0</v>
      </c>
      <c r="O18" t="s">
        <v>2313</v>
      </c>
      <c r="P18" t="s">
        <v>2314</v>
      </c>
      <c r="Q18" t="s">
        <v>2315</v>
      </c>
      <c r="R18" t="s">
        <v>2316</v>
      </c>
      <c r="S18" t="s">
        <v>215</v>
      </c>
      <c r="T18">
        <v>202203</v>
      </c>
      <c r="U18" t="s">
        <v>218</v>
      </c>
      <c r="V18">
        <v>0</v>
      </c>
    </row>
    <row r="19" spans="1:22">
      <c r="A19" t="s">
        <v>2313</v>
      </c>
      <c r="B19" t="s">
        <v>2314</v>
      </c>
      <c r="C19" t="s">
        <v>2315</v>
      </c>
      <c r="D19" t="s">
        <v>2316</v>
      </c>
      <c r="E19" t="s">
        <v>2176</v>
      </c>
      <c r="F19">
        <v>202107</v>
      </c>
      <c r="G19" t="s">
        <v>216</v>
      </c>
      <c r="H19">
        <v>-0.01</v>
      </c>
      <c r="O19" t="s">
        <v>2313</v>
      </c>
      <c r="P19" t="s">
        <v>2314</v>
      </c>
      <c r="Q19" t="s">
        <v>2315</v>
      </c>
      <c r="R19" t="s">
        <v>2316</v>
      </c>
      <c r="S19" t="s">
        <v>215</v>
      </c>
      <c r="T19">
        <v>202203</v>
      </c>
      <c r="U19" t="s">
        <v>220</v>
      </c>
      <c r="V19">
        <v>0</v>
      </c>
    </row>
    <row r="20" spans="1:22">
      <c r="A20" t="s">
        <v>2313</v>
      </c>
      <c r="B20" t="s">
        <v>2314</v>
      </c>
      <c r="C20" t="s">
        <v>2315</v>
      </c>
      <c r="D20" t="s">
        <v>2316</v>
      </c>
      <c r="E20" t="s">
        <v>2176</v>
      </c>
      <c r="F20">
        <v>202108</v>
      </c>
      <c r="G20" t="s">
        <v>216</v>
      </c>
      <c r="H20">
        <v>0</v>
      </c>
      <c r="O20" t="s">
        <v>2313</v>
      </c>
      <c r="P20" t="s">
        <v>2314</v>
      </c>
      <c r="Q20" t="s">
        <v>2315</v>
      </c>
      <c r="R20" t="s">
        <v>2316</v>
      </c>
      <c r="S20" t="s">
        <v>215</v>
      </c>
      <c r="T20">
        <v>202204</v>
      </c>
      <c r="U20" t="s">
        <v>218</v>
      </c>
      <c r="V20">
        <v>0</v>
      </c>
    </row>
    <row r="21" spans="1:22">
      <c r="A21" t="s">
        <v>2313</v>
      </c>
      <c r="B21" t="s">
        <v>2314</v>
      </c>
      <c r="C21" t="s">
        <v>2315</v>
      </c>
      <c r="D21" t="s">
        <v>2316</v>
      </c>
      <c r="E21" t="s">
        <v>2176</v>
      </c>
      <c r="F21">
        <v>202109</v>
      </c>
      <c r="G21" t="s">
        <v>216</v>
      </c>
      <c r="H21">
        <v>0</v>
      </c>
      <c r="O21" t="s">
        <v>2313</v>
      </c>
      <c r="P21" t="s">
        <v>2314</v>
      </c>
      <c r="Q21" t="s">
        <v>2315</v>
      </c>
      <c r="R21" t="s">
        <v>2316</v>
      </c>
      <c r="S21" t="s">
        <v>215</v>
      </c>
      <c r="T21">
        <v>202204</v>
      </c>
      <c r="U21" t="s">
        <v>220</v>
      </c>
      <c r="V21">
        <v>0</v>
      </c>
    </row>
    <row r="22" spans="1:22">
      <c r="A22" t="s">
        <v>2313</v>
      </c>
      <c r="B22" t="s">
        <v>2314</v>
      </c>
      <c r="C22" t="s">
        <v>2315</v>
      </c>
      <c r="D22" t="s">
        <v>2316</v>
      </c>
      <c r="E22" t="s">
        <v>2176</v>
      </c>
      <c r="F22">
        <v>202110</v>
      </c>
      <c r="G22" t="s">
        <v>216</v>
      </c>
      <c r="H22">
        <v>0</v>
      </c>
      <c r="O22" t="s">
        <v>2313</v>
      </c>
      <c r="P22" t="s">
        <v>2314</v>
      </c>
      <c r="Q22" t="s">
        <v>2315</v>
      </c>
      <c r="R22" t="s">
        <v>2316</v>
      </c>
      <c r="S22" t="s">
        <v>215</v>
      </c>
      <c r="T22">
        <v>202205</v>
      </c>
      <c r="U22" t="s">
        <v>218</v>
      </c>
      <c r="V22">
        <v>0</v>
      </c>
    </row>
    <row r="23" spans="1:22">
      <c r="A23" t="s">
        <v>2313</v>
      </c>
      <c r="B23" t="s">
        <v>2314</v>
      </c>
      <c r="C23" t="s">
        <v>2315</v>
      </c>
      <c r="D23" t="s">
        <v>2316</v>
      </c>
      <c r="E23" t="s">
        <v>2176</v>
      </c>
      <c r="F23">
        <v>202111</v>
      </c>
      <c r="G23" t="s">
        <v>216</v>
      </c>
      <c r="H23">
        <v>0</v>
      </c>
      <c r="O23" t="s">
        <v>2313</v>
      </c>
      <c r="P23" t="s">
        <v>2314</v>
      </c>
      <c r="Q23" t="s">
        <v>2315</v>
      </c>
      <c r="R23" t="s">
        <v>2316</v>
      </c>
      <c r="S23" t="s">
        <v>215</v>
      </c>
      <c r="T23">
        <v>202205</v>
      </c>
      <c r="U23" t="s">
        <v>220</v>
      </c>
      <c r="V23">
        <v>0</v>
      </c>
    </row>
    <row r="24" spans="1:22">
      <c r="A24" t="s">
        <v>2313</v>
      </c>
      <c r="B24" t="s">
        <v>2314</v>
      </c>
      <c r="C24" t="s">
        <v>2315</v>
      </c>
      <c r="D24" t="s">
        <v>2316</v>
      </c>
      <c r="E24" t="s">
        <v>2176</v>
      </c>
      <c r="F24">
        <v>202112</v>
      </c>
      <c r="G24" t="s">
        <v>216</v>
      </c>
      <c r="H24">
        <v>-460.65</v>
      </c>
      <c r="O24" t="s">
        <v>2313</v>
      </c>
      <c r="P24" t="s">
        <v>2314</v>
      </c>
      <c r="Q24" t="s">
        <v>2315</v>
      </c>
      <c r="R24" t="s">
        <v>2316</v>
      </c>
      <c r="S24" t="s">
        <v>2176</v>
      </c>
      <c r="T24">
        <v>202107</v>
      </c>
      <c r="U24" t="s">
        <v>218</v>
      </c>
      <c r="V24">
        <v>110</v>
      </c>
    </row>
    <row r="25" spans="1:22">
      <c r="A25" t="s">
        <v>2313</v>
      </c>
      <c r="B25" t="s">
        <v>2314</v>
      </c>
      <c r="C25" t="s">
        <v>2315</v>
      </c>
      <c r="D25" t="s">
        <v>2316</v>
      </c>
      <c r="E25" t="s">
        <v>2176</v>
      </c>
      <c r="F25">
        <v>202201</v>
      </c>
      <c r="G25" t="s">
        <v>216</v>
      </c>
      <c r="H25">
        <v>-1694.27</v>
      </c>
      <c r="O25" t="s">
        <v>2313</v>
      </c>
      <c r="P25" t="s">
        <v>2314</v>
      </c>
      <c r="Q25" t="s">
        <v>2315</v>
      </c>
      <c r="R25" t="s">
        <v>2316</v>
      </c>
      <c r="S25" t="s">
        <v>2176</v>
      </c>
      <c r="T25">
        <v>202107</v>
      </c>
      <c r="U25" t="s">
        <v>220</v>
      </c>
      <c r="V25">
        <v>129.32</v>
      </c>
    </row>
    <row r="26" spans="1:22">
      <c r="A26" t="s">
        <v>2313</v>
      </c>
      <c r="B26" t="s">
        <v>2314</v>
      </c>
      <c r="C26" t="s">
        <v>2315</v>
      </c>
      <c r="D26" t="s">
        <v>2316</v>
      </c>
      <c r="E26" t="s">
        <v>2176</v>
      </c>
      <c r="F26">
        <v>202202</v>
      </c>
      <c r="G26" t="s">
        <v>216</v>
      </c>
      <c r="H26">
        <v>0</v>
      </c>
      <c r="O26" t="s">
        <v>2313</v>
      </c>
      <c r="P26" t="s">
        <v>2314</v>
      </c>
      <c r="Q26" t="s">
        <v>2315</v>
      </c>
      <c r="R26" t="s">
        <v>2316</v>
      </c>
      <c r="S26" t="s">
        <v>2176</v>
      </c>
      <c r="T26">
        <v>202108</v>
      </c>
      <c r="U26" t="s">
        <v>218</v>
      </c>
      <c r="V26">
        <v>110</v>
      </c>
    </row>
    <row r="27" spans="1:22">
      <c r="A27" t="s">
        <v>2313</v>
      </c>
      <c r="B27" t="s">
        <v>2314</v>
      </c>
      <c r="C27" t="s">
        <v>2315</v>
      </c>
      <c r="D27" t="s">
        <v>2316</v>
      </c>
      <c r="E27" t="s">
        <v>2176</v>
      </c>
      <c r="F27">
        <v>202203</v>
      </c>
      <c r="G27" t="s">
        <v>216</v>
      </c>
      <c r="H27">
        <v>0</v>
      </c>
      <c r="O27" t="s">
        <v>2313</v>
      </c>
      <c r="P27" t="s">
        <v>2314</v>
      </c>
      <c r="Q27" t="s">
        <v>2315</v>
      </c>
      <c r="R27" t="s">
        <v>2316</v>
      </c>
      <c r="S27" t="s">
        <v>2176</v>
      </c>
      <c r="T27">
        <v>202108</v>
      </c>
      <c r="U27" t="s">
        <v>220</v>
      </c>
      <c r="V27">
        <v>110</v>
      </c>
    </row>
    <row r="28" spans="1:22">
      <c r="A28" t="s">
        <v>2313</v>
      </c>
      <c r="B28" t="s">
        <v>2314</v>
      </c>
      <c r="C28" t="s">
        <v>2315</v>
      </c>
      <c r="D28" t="s">
        <v>2316</v>
      </c>
      <c r="E28" t="s">
        <v>2176</v>
      </c>
      <c r="F28">
        <v>202204</v>
      </c>
      <c r="G28" t="s">
        <v>216</v>
      </c>
      <c r="H28">
        <v>0</v>
      </c>
      <c r="O28" t="s">
        <v>2313</v>
      </c>
      <c r="P28" t="s">
        <v>2314</v>
      </c>
      <c r="Q28" t="s">
        <v>2315</v>
      </c>
      <c r="R28" t="s">
        <v>2316</v>
      </c>
      <c r="S28" t="s">
        <v>2176</v>
      </c>
      <c r="T28">
        <v>202109</v>
      </c>
      <c r="U28" t="s">
        <v>218</v>
      </c>
      <c r="V28">
        <v>110</v>
      </c>
    </row>
    <row r="29" spans="1:22">
      <c r="A29" t="s">
        <v>2313</v>
      </c>
      <c r="B29" t="s">
        <v>2314</v>
      </c>
      <c r="C29" t="s">
        <v>2315</v>
      </c>
      <c r="D29" t="s">
        <v>2316</v>
      </c>
      <c r="E29" t="s">
        <v>2176</v>
      </c>
      <c r="F29">
        <v>202205</v>
      </c>
      <c r="G29" t="s">
        <v>216</v>
      </c>
      <c r="H29">
        <v>0</v>
      </c>
      <c r="O29" t="s">
        <v>2313</v>
      </c>
      <c r="P29" t="s">
        <v>2314</v>
      </c>
      <c r="Q29" t="s">
        <v>2315</v>
      </c>
      <c r="R29" t="s">
        <v>2316</v>
      </c>
      <c r="S29" t="s">
        <v>2176</v>
      </c>
      <c r="T29">
        <v>202109</v>
      </c>
      <c r="U29" t="s">
        <v>220</v>
      </c>
      <c r="V29">
        <v>110</v>
      </c>
    </row>
    <row r="30" spans="1:22">
      <c r="A30" t="s">
        <v>2313</v>
      </c>
      <c r="B30" t="s">
        <v>2314</v>
      </c>
      <c r="C30" t="s">
        <v>2315</v>
      </c>
      <c r="D30" t="s">
        <v>2316</v>
      </c>
      <c r="E30" t="s">
        <v>215</v>
      </c>
      <c r="F30">
        <v>202104</v>
      </c>
      <c r="G30" t="s">
        <v>229</v>
      </c>
      <c r="H30">
        <v>118240.92</v>
      </c>
      <c r="O30" t="s">
        <v>2313</v>
      </c>
      <c r="P30" t="s">
        <v>2314</v>
      </c>
      <c r="Q30" t="s">
        <v>2315</v>
      </c>
      <c r="R30" t="s">
        <v>2316</v>
      </c>
      <c r="S30" t="s">
        <v>2176</v>
      </c>
      <c r="T30">
        <v>202110</v>
      </c>
      <c r="U30" t="s">
        <v>218</v>
      </c>
      <c r="V30">
        <v>110</v>
      </c>
    </row>
    <row r="31" spans="1:22">
      <c r="A31" t="s">
        <v>2313</v>
      </c>
      <c r="B31" t="s">
        <v>2314</v>
      </c>
      <c r="C31" t="s">
        <v>2315</v>
      </c>
      <c r="D31" t="s">
        <v>2316</v>
      </c>
      <c r="E31" t="s">
        <v>215</v>
      </c>
      <c r="F31">
        <v>202105</v>
      </c>
      <c r="G31" t="s">
        <v>229</v>
      </c>
      <c r="H31">
        <v>83157.11</v>
      </c>
      <c r="O31" t="s">
        <v>2313</v>
      </c>
      <c r="P31" t="s">
        <v>2314</v>
      </c>
      <c r="Q31" t="s">
        <v>2315</v>
      </c>
      <c r="R31" t="s">
        <v>2316</v>
      </c>
      <c r="S31" t="s">
        <v>2176</v>
      </c>
      <c r="T31">
        <v>202110</v>
      </c>
      <c r="U31" t="s">
        <v>220</v>
      </c>
      <c r="V31">
        <v>110</v>
      </c>
    </row>
    <row r="32" spans="1:22">
      <c r="A32" t="s">
        <v>2313</v>
      </c>
      <c r="B32" t="s">
        <v>2314</v>
      </c>
      <c r="C32" t="s">
        <v>2315</v>
      </c>
      <c r="D32" t="s">
        <v>2316</v>
      </c>
      <c r="E32" t="s">
        <v>215</v>
      </c>
      <c r="F32">
        <v>202106</v>
      </c>
      <c r="G32" t="s">
        <v>229</v>
      </c>
      <c r="H32">
        <v>93123.87</v>
      </c>
      <c r="O32" t="s">
        <v>2313</v>
      </c>
      <c r="P32" t="s">
        <v>2314</v>
      </c>
      <c r="Q32" t="s">
        <v>2315</v>
      </c>
      <c r="R32" t="s">
        <v>2316</v>
      </c>
      <c r="S32" t="s">
        <v>2176</v>
      </c>
      <c r="T32">
        <v>202111</v>
      </c>
      <c r="U32" t="s">
        <v>218</v>
      </c>
      <c r="V32">
        <v>110</v>
      </c>
    </row>
    <row r="33" spans="1:22">
      <c r="A33" t="s">
        <v>2313</v>
      </c>
      <c r="B33" t="s">
        <v>2314</v>
      </c>
      <c r="C33" t="s">
        <v>2315</v>
      </c>
      <c r="D33" t="s">
        <v>2316</v>
      </c>
      <c r="E33" t="s">
        <v>215</v>
      </c>
      <c r="F33">
        <v>202107</v>
      </c>
      <c r="G33" t="s">
        <v>229</v>
      </c>
      <c r="H33">
        <v>103335.15</v>
      </c>
      <c r="O33" t="s">
        <v>2313</v>
      </c>
      <c r="P33" t="s">
        <v>2314</v>
      </c>
      <c r="Q33" t="s">
        <v>2315</v>
      </c>
      <c r="R33" t="s">
        <v>2316</v>
      </c>
      <c r="S33" t="s">
        <v>2176</v>
      </c>
      <c r="T33">
        <v>202111</v>
      </c>
      <c r="U33" t="s">
        <v>220</v>
      </c>
      <c r="V33">
        <v>110</v>
      </c>
    </row>
    <row r="34" spans="1:22">
      <c r="A34" t="s">
        <v>2313</v>
      </c>
      <c r="B34" t="s">
        <v>2314</v>
      </c>
      <c r="C34" t="s">
        <v>2315</v>
      </c>
      <c r="D34" t="s">
        <v>2316</v>
      </c>
      <c r="E34" t="s">
        <v>215</v>
      </c>
      <c r="F34">
        <v>202108</v>
      </c>
      <c r="G34" t="s">
        <v>229</v>
      </c>
      <c r="H34">
        <v>121217.8</v>
      </c>
      <c r="O34" t="s">
        <v>2313</v>
      </c>
      <c r="P34" t="s">
        <v>2314</v>
      </c>
      <c r="Q34" t="s">
        <v>2315</v>
      </c>
      <c r="R34" t="s">
        <v>2316</v>
      </c>
      <c r="S34" t="s">
        <v>2176</v>
      </c>
      <c r="T34">
        <v>202112</v>
      </c>
      <c r="U34" t="s">
        <v>218</v>
      </c>
      <c r="V34">
        <v>114.54</v>
      </c>
    </row>
    <row r="35" spans="1:22">
      <c r="A35" t="s">
        <v>2313</v>
      </c>
      <c r="B35" t="s">
        <v>2314</v>
      </c>
      <c r="C35" t="s">
        <v>2315</v>
      </c>
      <c r="D35" t="s">
        <v>2316</v>
      </c>
      <c r="E35" t="s">
        <v>215</v>
      </c>
      <c r="F35">
        <v>202109</v>
      </c>
      <c r="G35" t="s">
        <v>229</v>
      </c>
      <c r="H35">
        <v>122286.8</v>
      </c>
      <c r="O35" t="s">
        <v>2313</v>
      </c>
      <c r="P35" t="s">
        <v>2314</v>
      </c>
      <c r="Q35" t="s">
        <v>2315</v>
      </c>
      <c r="R35" t="s">
        <v>2316</v>
      </c>
      <c r="S35" t="s">
        <v>2176</v>
      </c>
      <c r="T35">
        <v>202112</v>
      </c>
      <c r="U35" t="s">
        <v>220</v>
      </c>
      <c r="V35">
        <v>110</v>
      </c>
    </row>
    <row r="36" spans="1:22">
      <c r="A36" t="s">
        <v>2313</v>
      </c>
      <c r="B36" t="s">
        <v>2314</v>
      </c>
      <c r="C36" t="s">
        <v>2315</v>
      </c>
      <c r="D36" t="s">
        <v>2316</v>
      </c>
      <c r="E36" t="s">
        <v>215</v>
      </c>
      <c r="F36">
        <v>202110</v>
      </c>
      <c r="G36" t="s">
        <v>229</v>
      </c>
      <c r="H36">
        <v>126177.29</v>
      </c>
      <c r="O36" t="s">
        <v>2313</v>
      </c>
      <c r="P36" t="s">
        <v>2314</v>
      </c>
      <c r="Q36" t="s">
        <v>2315</v>
      </c>
      <c r="R36" t="s">
        <v>2316</v>
      </c>
      <c r="S36" t="s">
        <v>2176</v>
      </c>
      <c r="T36">
        <v>202201</v>
      </c>
      <c r="U36" t="s">
        <v>218</v>
      </c>
      <c r="V36">
        <v>133.02000000000001</v>
      </c>
    </row>
    <row r="37" spans="1:22">
      <c r="A37" t="s">
        <v>2313</v>
      </c>
      <c r="B37" t="s">
        <v>2314</v>
      </c>
      <c r="C37" t="s">
        <v>2315</v>
      </c>
      <c r="D37" t="s">
        <v>2316</v>
      </c>
      <c r="E37" t="s">
        <v>215</v>
      </c>
      <c r="F37">
        <v>202111</v>
      </c>
      <c r="G37" t="s">
        <v>229</v>
      </c>
      <c r="H37">
        <v>102991.8</v>
      </c>
      <c r="O37" t="s">
        <v>2313</v>
      </c>
      <c r="P37" t="s">
        <v>2314</v>
      </c>
      <c r="Q37" t="s">
        <v>2315</v>
      </c>
      <c r="R37" t="s">
        <v>2316</v>
      </c>
      <c r="S37" t="s">
        <v>2176</v>
      </c>
      <c r="T37">
        <v>202201</v>
      </c>
      <c r="U37" t="s">
        <v>220</v>
      </c>
      <c r="V37">
        <v>110</v>
      </c>
    </row>
    <row r="38" spans="1:22">
      <c r="A38" t="s">
        <v>2313</v>
      </c>
      <c r="B38" t="s">
        <v>2314</v>
      </c>
      <c r="C38" t="s">
        <v>2315</v>
      </c>
      <c r="D38" t="s">
        <v>2316</v>
      </c>
      <c r="E38" t="s">
        <v>215</v>
      </c>
      <c r="F38">
        <v>202112</v>
      </c>
      <c r="G38" t="s">
        <v>229</v>
      </c>
      <c r="H38">
        <v>68721.62</v>
      </c>
      <c r="O38" t="s">
        <v>2313</v>
      </c>
      <c r="P38" t="s">
        <v>2314</v>
      </c>
      <c r="Q38" t="s">
        <v>2315</v>
      </c>
      <c r="R38" t="s">
        <v>2316</v>
      </c>
      <c r="S38" t="s">
        <v>2176</v>
      </c>
      <c r="T38">
        <v>202202</v>
      </c>
      <c r="U38" t="s">
        <v>218</v>
      </c>
      <c r="V38">
        <v>127.48</v>
      </c>
    </row>
    <row r="39" spans="1:22">
      <c r="A39" t="s">
        <v>2313</v>
      </c>
      <c r="B39" t="s">
        <v>2314</v>
      </c>
      <c r="C39" t="s">
        <v>2315</v>
      </c>
      <c r="D39" t="s">
        <v>2316</v>
      </c>
      <c r="E39" t="s">
        <v>215</v>
      </c>
      <c r="F39">
        <v>202201</v>
      </c>
      <c r="G39" t="s">
        <v>229</v>
      </c>
      <c r="H39">
        <v>24.23</v>
      </c>
      <c r="O39" t="s">
        <v>2313</v>
      </c>
      <c r="P39" t="s">
        <v>2314</v>
      </c>
      <c r="Q39" t="s">
        <v>2315</v>
      </c>
      <c r="R39" t="s">
        <v>2316</v>
      </c>
      <c r="S39" t="s">
        <v>2176</v>
      </c>
      <c r="T39">
        <v>202202</v>
      </c>
      <c r="U39" t="s">
        <v>220</v>
      </c>
      <c r="V39">
        <v>110</v>
      </c>
    </row>
    <row r="40" spans="1:22">
      <c r="A40" t="s">
        <v>2313</v>
      </c>
      <c r="B40" t="s">
        <v>2314</v>
      </c>
      <c r="C40" t="s">
        <v>2315</v>
      </c>
      <c r="D40" t="s">
        <v>2316</v>
      </c>
      <c r="E40" t="s">
        <v>215</v>
      </c>
      <c r="F40">
        <v>202202</v>
      </c>
      <c r="G40" t="s">
        <v>229</v>
      </c>
      <c r="H40">
        <v>139.87</v>
      </c>
      <c r="O40" t="s">
        <v>2313</v>
      </c>
      <c r="P40" t="s">
        <v>2314</v>
      </c>
      <c r="Q40" t="s">
        <v>2315</v>
      </c>
      <c r="R40" t="s">
        <v>2316</v>
      </c>
      <c r="S40" t="s">
        <v>2176</v>
      </c>
      <c r="T40">
        <v>202203</v>
      </c>
      <c r="U40" t="s">
        <v>218</v>
      </c>
      <c r="V40">
        <v>112.7</v>
      </c>
    </row>
    <row r="41" spans="1:22">
      <c r="A41" t="s">
        <v>2313</v>
      </c>
      <c r="B41" t="s">
        <v>2314</v>
      </c>
      <c r="C41" t="s">
        <v>2315</v>
      </c>
      <c r="D41" t="s">
        <v>2316</v>
      </c>
      <c r="E41" t="s">
        <v>215</v>
      </c>
      <c r="F41">
        <v>202203</v>
      </c>
      <c r="G41" t="s">
        <v>229</v>
      </c>
      <c r="H41">
        <v>647.47</v>
      </c>
      <c r="O41" t="s">
        <v>2313</v>
      </c>
      <c r="P41" t="s">
        <v>2314</v>
      </c>
      <c r="Q41" t="s">
        <v>2315</v>
      </c>
      <c r="R41" t="s">
        <v>2316</v>
      </c>
      <c r="S41" t="s">
        <v>2176</v>
      </c>
      <c r="T41">
        <v>202203</v>
      </c>
      <c r="U41" t="s">
        <v>220</v>
      </c>
      <c r="V41">
        <v>110</v>
      </c>
    </row>
    <row r="42" spans="1:22">
      <c r="A42" t="s">
        <v>2313</v>
      </c>
      <c r="B42" t="s">
        <v>2314</v>
      </c>
      <c r="C42" t="s">
        <v>2315</v>
      </c>
      <c r="D42" t="s">
        <v>2316</v>
      </c>
      <c r="E42" t="s">
        <v>215</v>
      </c>
      <c r="F42">
        <v>202204</v>
      </c>
      <c r="G42" t="s">
        <v>229</v>
      </c>
      <c r="H42">
        <v>659.96</v>
      </c>
      <c r="O42" t="s">
        <v>2313</v>
      </c>
      <c r="P42" t="s">
        <v>2314</v>
      </c>
      <c r="Q42" t="s">
        <v>2315</v>
      </c>
      <c r="R42" t="s">
        <v>2316</v>
      </c>
      <c r="S42" t="s">
        <v>2176</v>
      </c>
      <c r="T42">
        <v>202204</v>
      </c>
      <c r="U42" t="s">
        <v>218</v>
      </c>
      <c r="V42">
        <v>110</v>
      </c>
    </row>
    <row r="43" spans="1:22">
      <c r="A43" t="s">
        <v>2313</v>
      </c>
      <c r="B43" t="s">
        <v>2314</v>
      </c>
      <c r="C43" t="s">
        <v>2315</v>
      </c>
      <c r="D43" t="s">
        <v>2316</v>
      </c>
      <c r="E43" t="s">
        <v>215</v>
      </c>
      <c r="F43">
        <v>202205</v>
      </c>
      <c r="G43" t="s">
        <v>229</v>
      </c>
      <c r="H43">
        <v>509.87</v>
      </c>
      <c r="O43" t="s">
        <v>2313</v>
      </c>
      <c r="P43" t="s">
        <v>2314</v>
      </c>
      <c r="Q43" t="s">
        <v>2315</v>
      </c>
      <c r="R43" t="s">
        <v>2316</v>
      </c>
      <c r="S43" t="s">
        <v>2176</v>
      </c>
      <c r="T43">
        <v>202204</v>
      </c>
      <c r="U43" t="s">
        <v>220</v>
      </c>
      <c r="V43">
        <v>110</v>
      </c>
    </row>
    <row r="44" spans="1:22">
      <c r="A44" t="s">
        <v>2313</v>
      </c>
      <c r="B44" t="s">
        <v>2314</v>
      </c>
      <c r="C44" t="s">
        <v>2315</v>
      </c>
      <c r="D44" t="s">
        <v>2316</v>
      </c>
      <c r="E44" t="s">
        <v>2176</v>
      </c>
      <c r="F44">
        <v>202104</v>
      </c>
      <c r="G44" t="s">
        <v>229</v>
      </c>
      <c r="H44">
        <v>853.17</v>
      </c>
      <c r="O44" t="s">
        <v>2313</v>
      </c>
      <c r="P44" t="s">
        <v>2314</v>
      </c>
      <c r="Q44" t="s">
        <v>2315</v>
      </c>
      <c r="R44" t="s">
        <v>2316</v>
      </c>
      <c r="S44" t="s">
        <v>2176</v>
      </c>
      <c r="T44">
        <v>202205</v>
      </c>
      <c r="U44" t="s">
        <v>218</v>
      </c>
      <c r="V44">
        <v>110</v>
      </c>
    </row>
    <row r="45" spans="1:22">
      <c r="A45" t="s">
        <v>2313</v>
      </c>
      <c r="B45" t="s">
        <v>2314</v>
      </c>
      <c r="C45" t="s">
        <v>2315</v>
      </c>
      <c r="D45" t="s">
        <v>2316</v>
      </c>
      <c r="E45" t="s">
        <v>2176</v>
      </c>
      <c r="F45">
        <v>202105</v>
      </c>
      <c r="G45" t="s">
        <v>229</v>
      </c>
      <c r="H45">
        <v>618.72</v>
      </c>
      <c r="O45" t="s">
        <v>2313</v>
      </c>
      <c r="P45" t="s">
        <v>2314</v>
      </c>
      <c r="Q45" t="s">
        <v>2315</v>
      </c>
      <c r="R45" t="s">
        <v>2316</v>
      </c>
      <c r="S45" t="s">
        <v>2176</v>
      </c>
      <c r="T45">
        <v>202205</v>
      </c>
      <c r="U45" t="s">
        <v>220</v>
      </c>
      <c r="V45">
        <v>110</v>
      </c>
    </row>
    <row r="46" spans="1:22">
      <c r="A46" t="s">
        <v>2313</v>
      </c>
      <c r="B46" t="s">
        <v>2314</v>
      </c>
      <c r="C46" t="s">
        <v>2315</v>
      </c>
      <c r="D46" t="s">
        <v>2316</v>
      </c>
      <c r="E46" t="s">
        <v>2176</v>
      </c>
      <c r="F46">
        <v>202106</v>
      </c>
      <c r="G46" t="s">
        <v>229</v>
      </c>
      <c r="H46">
        <v>708.25</v>
      </c>
      <c r="O46" t="s">
        <v>2313</v>
      </c>
      <c r="P46" t="s">
        <v>2314</v>
      </c>
      <c r="Q46" t="s">
        <v>2315</v>
      </c>
      <c r="R46" t="s">
        <v>2316</v>
      </c>
      <c r="S46" t="s">
        <v>215</v>
      </c>
      <c r="T46">
        <v>202107</v>
      </c>
      <c r="U46" t="s">
        <v>231</v>
      </c>
      <c r="V46">
        <v>5060157.22</v>
      </c>
    </row>
    <row r="47" spans="1:22">
      <c r="A47" t="s">
        <v>2313</v>
      </c>
      <c r="B47" t="s">
        <v>2314</v>
      </c>
      <c r="C47" t="s">
        <v>2315</v>
      </c>
      <c r="D47" t="s">
        <v>2316</v>
      </c>
      <c r="E47" t="s">
        <v>2176</v>
      </c>
      <c r="F47">
        <v>202107</v>
      </c>
      <c r="G47" t="s">
        <v>229</v>
      </c>
      <c r="H47">
        <v>862.32</v>
      </c>
      <c r="O47" t="s">
        <v>2313</v>
      </c>
      <c r="P47" t="s">
        <v>2314</v>
      </c>
      <c r="Q47" t="s">
        <v>2315</v>
      </c>
      <c r="R47" t="s">
        <v>2316</v>
      </c>
      <c r="S47" t="s">
        <v>215</v>
      </c>
      <c r="T47">
        <v>202107</v>
      </c>
      <c r="U47" t="s">
        <v>232</v>
      </c>
      <c r="V47">
        <v>869838.78</v>
      </c>
    </row>
    <row r="48" spans="1:22">
      <c r="A48" t="s">
        <v>2313</v>
      </c>
      <c r="B48" t="s">
        <v>2314</v>
      </c>
      <c r="C48" t="s">
        <v>2315</v>
      </c>
      <c r="D48" t="s">
        <v>2316</v>
      </c>
      <c r="E48" t="s">
        <v>2176</v>
      </c>
      <c r="F48">
        <v>202108</v>
      </c>
      <c r="G48" t="s">
        <v>229</v>
      </c>
      <c r="H48">
        <v>917.26</v>
      </c>
      <c r="O48" t="s">
        <v>2313</v>
      </c>
      <c r="P48" t="s">
        <v>2314</v>
      </c>
      <c r="Q48" t="s">
        <v>2315</v>
      </c>
      <c r="R48" t="s">
        <v>2316</v>
      </c>
      <c r="S48" t="s">
        <v>215</v>
      </c>
      <c r="T48">
        <v>202107</v>
      </c>
      <c r="U48" t="s">
        <v>222</v>
      </c>
      <c r="V48">
        <v>0</v>
      </c>
    </row>
    <row r="49" spans="1:22">
      <c r="A49" t="s">
        <v>2313</v>
      </c>
      <c r="B49" t="s">
        <v>2314</v>
      </c>
      <c r="C49" t="s">
        <v>2315</v>
      </c>
      <c r="D49" t="s">
        <v>2316</v>
      </c>
      <c r="E49" t="s">
        <v>2176</v>
      </c>
      <c r="F49">
        <v>202109</v>
      </c>
      <c r="G49" t="s">
        <v>229</v>
      </c>
      <c r="H49">
        <v>957.97</v>
      </c>
      <c r="O49" t="s">
        <v>2313</v>
      </c>
      <c r="P49" t="s">
        <v>2314</v>
      </c>
      <c r="Q49" t="s">
        <v>2315</v>
      </c>
      <c r="R49" t="s">
        <v>2316</v>
      </c>
      <c r="S49" t="s">
        <v>215</v>
      </c>
      <c r="T49">
        <v>202107</v>
      </c>
      <c r="U49" t="s">
        <v>224</v>
      </c>
      <c r="V49">
        <v>0</v>
      </c>
    </row>
    <row r="50" spans="1:22">
      <c r="A50" t="s">
        <v>2313</v>
      </c>
      <c r="B50" t="s">
        <v>2314</v>
      </c>
      <c r="C50" t="s">
        <v>2315</v>
      </c>
      <c r="D50" t="s">
        <v>2316</v>
      </c>
      <c r="E50" t="s">
        <v>2176</v>
      </c>
      <c r="F50">
        <v>202110</v>
      </c>
      <c r="G50" t="s">
        <v>229</v>
      </c>
      <c r="H50">
        <v>849.7</v>
      </c>
      <c r="O50" t="s">
        <v>2313</v>
      </c>
      <c r="P50" t="s">
        <v>2314</v>
      </c>
      <c r="Q50" t="s">
        <v>2315</v>
      </c>
      <c r="R50" t="s">
        <v>2316</v>
      </c>
      <c r="S50" t="s">
        <v>215</v>
      </c>
      <c r="T50">
        <v>202107</v>
      </c>
      <c r="U50" t="s">
        <v>226</v>
      </c>
      <c r="V50">
        <v>111547</v>
      </c>
    </row>
    <row r="51" spans="1:22">
      <c r="A51" t="s">
        <v>2313</v>
      </c>
      <c r="B51" t="s">
        <v>2314</v>
      </c>
      <c r="C51" t="s">
        <v>2315</v>
      </c>
      <c r="D51" t="s">
        <v>2316</v>
      </c>
      <c r="E51" t="s">
        <v>2176</v>
      </c>
      <c r="F51">
        <v>202111</v>
      </c>
      <c r="G51" t="s">
        <v>229</v>
      </c>
      <c r="H51">
        <v>750.59</v>
      </c>
      <c r="O51" t="s">
        <v>2313</v>
      </c>
      <c r="P51" t="s">
        <v>2314</v>
      </c>
      <c r="Q51" t="s">
        <v>2315</v>
      </c>
      <c r="R51" t="s">
        <v>2316</v>
      </c>
      <c r="S51" t="s">
        <v>215</v>
      </c>
      <c r="T51">
        <v>202108</v>
      </c>
      <c r="U51" t="s">
        <v>231</v>
      </c>
      <c r="V51">
        <v>5254857.25</v>
      </c>
    </row>
    <row r="52" spans="1:22">
      <c r="A52" t="s">
        <v>2313</v>
      </c>
      <c r="B52" t="s">
        <v>2314</v>
      </c>
      <c r="C52" t="s">
        <v>2315</v>
      </c>
      <c r="D52" t="s">
        <v>2316</v>
      </c>
      <c r="E52" t="s">
        <v>2176</v>
      </c>
      <c r="F52">
        <v>202112</v>
      </c>
      <c r="G52" t="s">
        <v>229</v>
      </c>
      <c r="H52">
        <v>472.07</v>
      </c>
      <c r="O52" t="s">
        <v>2313</v>
      </c>
      <c r="P52" t="s">
        <v>2314</v>
      </c>
      <c r="Q52" t="s">
        <v>2315</v>
      </c>
      <c r="R52" t="s">
        <v>2316</v>
      </c>
      <c r="S52" t="s">
        <v>215</v>
      </c>
      <c r="T52">
        <v>202108</v>
      </c>
      <c r="U52" t="s">
        <v>232</v>
      </c>
      <c r="V52">
        <v>906826.75</v>
      </c>
    </row>
    <row r="53" spans="1:22">
      <c r="A53" t="s">
        <v>2313</v>
      </c>
      <c r="B53" t="s">
        <v>2314</v>
      </c>
      <c r="C53" t="s">
        <v>2315</v>
      </c>
      <c r="D53" t="s">
        <v>2316</v>
      </c>
      <c r="E53" t="s">
        <v>2176</v>
      </c>
      <c r="F53">
        <v>202201</v>
      </c>
      <c r="G53" t="s">
        <v>229</v>
      </c>
      <c r="H53">
        <v>13.55</v>
      </c>
      <c r="O53" t="s">
        <v>2313</v>
      </c>
      <c r="P53" t="s">
        <v>2314</v>
      </c>
      <c r="Q53" t="s">
        <v>2315</v>
      </c>
      <c r="R53" t="s">
        <v>2316</v>
      </c>
      <c r="S53" t="s">
        <v>215</v>
      </c>
      <c r="T53">
        <v>202108</v>
      </c>
      <c r="U53" t="s">
        <v>222</v>
      </c>
      <c r="V53">
        <v>0</v>
      </c>
    </row>
    <row r="54" spans="1:22">
      <c r="A54" t="s">
        <v>2313</v>
      </c>
      <c r="B54" t="s">
        <v>2314</v>
      </c>
      <c r="C54" t="s">
        <v>2315</v>
      </c>
      <c r="D54" t="s">
        <v>2316</v>
      </c>
      <c r="E54" t="s">
        <v>2176</v>
      </c>
      <c r="F54">
        <v>202202</v>
      </c>
      <c r="G54" t="s">
        <v>229</v>
      </c>
      <c r="H54">
        <v>86.61</v>
      </c>
      <c r="O54" t="s">
        <v>2313</v>
      </c>
      <c r="P54" t="s">
        <v>2314</v>
      </c>
      <c r="Q54" t="s">
        <v>2315</v>
      </c>
      <c r="R54" t="s">
        <v>2316</v>
      </c>
      <c r="S54" t="s">
        <v>215</v>
      </c>
      <c r="T54">
        <v>202108</v>
      </c>
      <c r="U54" t="s">
        <v>224</v>
      </c>
      <c r="V54">
        <v>0</v>
      </c>
    </row>
    <row r="55" spans="1:22">
      <c r="A55" t="s">
        <v>2313</v>
      </c>
      <c r="B55" t="s">
        <v>2314</v>
      </c>
      <c r="C55" t="s">
        <v>2315</v>
      </c>
      <c r="D55" t="s">
        <v>2316</v>
      </c>
      <c r="E55" t="s">
        <v>2176</v>
      </c>
      <c r="F55">
        <v>202203</v>
      </c>
      <c r="G55" t="s">
        <v>229</v>
      </c>
      <c r="H55">
        <v>358.2</v>
      </c>
      <c r="O55" t="s">
        <v>2313</v>
      </c>
      <c r="P55" t="s">
        <v>2314</v>
      </c>
      <c r="Q55" t="s">
        <v>2315</v>
      </c>
      <c r="R55" t="s">
        <v>2316</v>
      </c>
      <c r="S55" t="s">
        <v>215</v>
      </c>
      <c r="T55">
        <v>202108</v>
      </c>
      <c r="U55" t="s">
        <v>226</v>
      </c>
      <c r="V55">
        <v>116104</v>
      </c>
    </row>
    <row r="56" spans="1:22">
      <c r="A56" t="s">
        <v>2313</v>
      </c>
      <c r="B56" t="s">
        <v>2314</v>
      </c>
      <c r="C56" t="s">
        <v>2315</v>
      </c>
      <c r="D56" t="s">
        <v>2316</v>
      </c>
      <c r="E56" t="s">
        <v>2176</v>
      </c>
      <c r="F56">
        <v>202204</v>
      </c>
      <c r="G56" t="s">
        <v>229</v>
      </c>
      <c r="H56">
        <v>366.87</v>
      </c>
      <c r="O56" t="s">
        <v>2313</v>
      </c>
      <c r="P56" t="s">
        <v>2314</v>
      </c>
      <c r="Q56" t="s">
        <v>2315</v>
      </c>
      <c r="R56" t="s">
        <v>2316</v>
      </c>
      <c r="S56" t="s">
        <v>215</v>
      </c>
      <c r="T56">
        <v>202109</v>
      </c>
      <c r="U56" t="s">
        <v>231</v>
      </c>
      <c r="V56">
        <v>5119387.84</v>
      </c>
    </row>
    <row r="57" spans="1:22">
      <c r="A57" t="s">
        <v>2313</v>
      </c>
      <c r="B57" t="s">
        <v>2314</v>
      </c>
      <c r="C57" t="s">
        <v>2315</v>
      </c>
      <c r="D57" t="s">
        <v>2316</v>
      </c>
      <c r="E57" t="s">
        <v>2176</v>
      </c>
      <c r="F57">
        <v>202205</v>
      </c>
      <c r="G57" t="s">
        <v>229</v>
      </c>
      <c r="H57">
        <v>276.77</v>
      </c>
      <c r="O57" t="s">
        <v>2313</v>
      </c>
      <c r="P57" t="s">
        <v>2314</v>
      </c>
      <c r="Q57" t="s">
        <v>2315</v>
      </c>
      <c r="R57" t="s">
        <v>2316</v>
      </c>
      <c r="S57" t="s">
        <v>215</v>
      </c>
      <c r="T57">
        <v>202109</v>
      </c>
      <c r="U57" t="s">
        <v>232</v>
      </c>
      <c r="V57">
        <v>850027.56</v>
      </c>
    </row>
    <row r="58" spans="1:22">
      <c r="A58" t="s">
        <v>2313</v>
      </c>
      <c r="B58" t="s">
        <v>2314</v>
      </c>
      <c r="C58" t="s">
        <v>2315</v>
      </c>
      <c r="D58" t="s">
        <v>2316</v>
      </c>
      <c r="E58" t="s">
        <v>215</v>
      </c>
      <c r="F58">
        <v>202104</v>
      </c>
      <c r="G58" t="s">
        <v>233</v>
      </c>
      <c r="H58">
        <v>0</v>
      </c>
      <c r="O58" t="s">
        <v>2313</v>
      </c>
      <c r="P58" t="s">
        <v>2314</v>
      </c>
      <c r="Q58" t="s">
        <v>2315</v>
      </c>
      <c r="R58" t="s">
        <v>2316</v>
      </c>
      <c r="S58" t="s">
        <v>215</v>
      </c>
      <c r="T58">
        <v>202109</v>
      </c>
      <c r="U58" t="s">
        <v>222</v>
      </c>
      <c r="V58">
        <v>0</v>
      </c>
    </row>
    <row r="59" spans="1:22">
      <c r="A59" t="s">
        <v>2313</v>
      </c>
      <c r="B59" t="s">
        <v>2314</v>
      </c>
      <c r="C59" t="s">
        <v>2315</v>
      </c>
      <c r="D59" t="s">
        <v>2316</v>
      </c>
      <c r="E59" t="s">
        <v>215</v>
      </c>
      <c r="F59">
        <v>202105</v>
      </c>
      <c r="G59" t="s">
        <v>233</v>
      </c>
      <c r="H59">
        <v>0</v>
      </c>
      <c r="O59" t="s">
        <v>2313</v>
      </c>
      <c r="P59" t="s">
        <v>2314</v>
      </c>
      <c r="Q59" t="s">
        <v>2315</v>
      </c>
      <c r="R59" t="s">
        <v>2316</v>
      </c>
      <c r="S59" t="s">
        <v>215</v>
      </c>
      <c r="T59">
        <v>202109</v>
      </c>
      <c r="U59" t="s">
        <v>224</v>
      </c>
      <c r="V59">
        <v>0</v>
      </c>
    </row>
    <row r="60" spans="1:22">
      <c r="A60" t="s">
        <v>2313</v>
      </c>
      <c r="B60" t="s">
        <v>2314</v>
      </c>
      <c r="C60" t="s">
        <v>2315</v>
      </c>
      <c r="D60" t="s">
        <v>2316</v>
      </c>
      <c r="E60" t="s">
        <v>215</v>
      </c>
      <c r="F60">
        <v>202106</v>
      </c>
      <c r="G60" t="s">
        <v>233</v>
      </c>
      <c r="H60">
        <v>0</v>
      </c>
      <c r="O60" t="s">
        <v>2313</v>
      </c>
      <c r="P60" t="s">
        <v>2314</v>
      </c>
      <c r="Q60" t="s">
        <v>2315</v>
      </c>
      <c r="R60" t="s">
        <v>2316</v>
      </c>
      <c r="S60" t="s">
        <v>215</v>
      </c>
      <c r="T60">
        <v>202109</v>
      </c>
      <c r="U60" t="s">
        <v>226</v>
      </c>
      <c r="V60">
        <v>116063</v>
      </c>
    </row>
    <row r="61" spans="1:22">
      <c r="A61" t="s">
        <v>2313</v>
      </c>
      <c r="B61" t="s">
        <v>2314</v>
      </c>
      <c r="C61" t="s">
        <v>2315</v>
      </c>
      <c r="D61" t="s">
        <v>2316</v>
      </c>
      <c r="E61" t="s">
        <v>215</v>
      </c>
      <c r="F61">
        <v>202107</v>
      </c>
      <c r="G61" t="s">
        <v>233</v>
      </c>
      <c r="H61">
        <v>0</v>
      </c>
      <c r="O61" t="s">
        <v>2313</v>
      </c>
      <c r="P61" t="s">
        <v>2314</v>
      </c>
      <c r="Q61" t="s">
        <v>2315</v>
      </c>
      <c r="R61" t="s">
        <v>2316</v>
      </c>
      <c r="S61" t="s">
        <v>215</v>
      </c>
      <c r="T61">
        <v>202110</v>
      </c>
      <c r="U61" t="s">
        <v>231</v>
      </c>
      <c r="V61">
        <v>5818544.7300000004</v>
      </c>
    </row>
    <row r="62" spans="1:22">
      <c r="A62" t="s">
        <v>2313</v>
      </c>
      <c r="B62" t="s">
        <v>2314</v>
      </c>
      <c r="C62" t="s">
        <v>2315</v>
      </c>
      <c r="D62" t="s">
        <v>2316</v>
      </c>
      <c r="E62" t="s">
        <v>215</v>
      </c>
      <c r="F62">
        <v>202108</v>
      </c>
      <c r="G62" t="s">
        <v>233</v>
      </c>
      <c r="H62">
        <v>0</v>
      </c>
      <c r="O62" t="s">
        <v>2313</v>
      </c>
      <c r="P62" t="s">
        <v>2314</v>
      </c>
      <c r="Q62" t="s">
        <v>2315</v>
      </c>
      <c r="R62" t="s">
        <v>2316</v>
      </c>
      <c r="S62" t="s">
        <v>215</v>
      </c>
      <c r="T62">
        <v>202110</v>
      </c>
      <c r="U62" t="s">
        <v>232</v>
      </c>
      <c r="V62">
        <v>906076.67</v>
      </c>
    </row>
    <row r="63" spans="1:22">
      <c r="A63" t="s">
        <v>2313</v>
      </c>
      <c r="B63" t="s">
        <v>2314</v>
      </c>
      <c r="C63" t="s">
        <v>2315</v>
      </c>
      <c r="D63" t="s">
        <v>2316</v>
      </c>
      <c r="E63" t="s">
        <v>215</v>
      </c>
      <c r="F63">
        <v>202109</v>
      </c>
      <c r="G63" t="s">
        <v>233</v>
      </c>
      <c r="H63">
        <v>0</v>
      </c>
      <c r="O63" t="s">
        <v>2313</v>
      </c>
      <c r="P63" t="s">
        <v>2314</v>
      </c>
      <c r="Q63" t="s">
        <v>2315</v>
      </c>
      <c r="R63" t="s">
        <v>2316</v>
      </c>
      <c r="S63" t="s">
        <v>215</v>
      </c>
      <c r="T63">
        <v>202110</v>
      </c>
      <c r="U63" t="s">
        <v>222</v>
      </c>
      <c r="V63">
        <v>0</v>
      </c>
    </row>
    <row r="64" spans="1:22">
      <c r="A64" t="s">
        <v>2313</v>
      </c>
      <c r="B64" t="s">
        <v>2314</v>
      </c>
      <c r="C64" t="s">
        <v>2315</v>
      </c>
      <c r="D64" t="s">
        <v>2316</v>
      </c>
      <c r="E64" t="s">
        <v>215</v>
      </c>
      <c r="F64">
        <v>202110</v>
      </c>
      <c r="G64" t="s">
        <v>233</v>
      </c>
      <c r="H64">
        <v>0</v>
      </c>
      <c r="O64" t="s">
        <v>2313</v>
      </c>
      <c r="P64" t="s">
        <v>2314</v>
      </c>
      <c r="Q64" t="s">
        <v>2315</v>
      </c>
      <c r="R64" t="s">
        <v>2316</v>
      </c>
      <c r="S64" t="s">
        <v>215</v>
      </c>
      <c r="T64">
        <v>202110</v>
      </c>
      <c r="U64" t="s">
        <v>224</v>
      </c>
      <c r="V64">
        <v>0</v>
      </c>
    </row>
    <row r="65" spans="1:22">
      <c r="A65" t="s">
        <v>2313</v>
      </c>
      <c r="B65" t="s">
        <v>2314</v>
      </c>
      <c r="C65" t="s">
        <v>2315</v>
      </c>
      <c r="D65" t="s">
        <v>2316</v>
      </c>
      <c r="E65" t="s">
        <v>215</v>
      </c>
      <c r="F65">
        <v>202111</v>
      </c>
      <c r="G65" t="s">
        <v>233</v>
      </c>
      <c r="H65">
        <v>0</v>
      </c>
      <c r="O65" t="s">
        <v>2313</v>
      </c>
      <c r="P65" t="s">
        <v>2314</v>
      </c>
      <c r="Q65" t="s">
        <v>2315</v>
      </c>
      <c r="R65" t="s">
        <v>2316</v>
      </c>
      <c r="S65" t="s">
        <v>215</v>
      </c>
      <c r="T65">
        <v>202110</v>
      </c>
      <c r="U65" t="s">
        <v>226</v>
      </c>
      <c r="V65">
        <v>123630</v>
      </c>
    </row>
    <row r="66" spans="1:22">
      <c r="A66" t="s">
        <v>2313</v>
      </c>
      <c r="B66" t="s">
        <v>2314</v>
      </c>
      <c r="C66" t="s">
        <v>2315</v>
      </c>
      <c r="D66" t="s">
        <v>2316</v>
      </c>
      <c r="E66" t="s">
        <v>215</v>
      </c>
      <c r="F66">
        <v>202112</v>
      </c>
      <c r="G66" t="s">
        <v>233</v>
      </c>
      <c r="H66">
        <v>0</v>
      </c>
      <c r="O66" t="s">
        <v>2313</v>
      </c>
      <c r="P66" t="s">
        <v>2314</v>
      </c>
      <c r="Q66" t="s">
        <v>2315</v>
      </c>
      <c r="R66" t="s">
        <v>2316</v>
      </c>
      <c r="S66" t="s">
        <v>215</v>
      </c>
      <c r="T66">
        <v>202111</v>
      </c>
      <c r="U66" t="s">
        <v>231</v>
      </c>
      <c r="V66">
        <v>6031987.9800000004</v>
      </c>
    </row>
    <row r="67" spans="1:22">
      <c r="A67" t="s">
        <v>2313</v>
      </c>
      <c r="B67" t="s">
        <v>2314</v>
      </c>
      <c r="C67" t="s">
        <v>2315</v>
      </c>
      <c r="D67" t="s">
        <v>2316</v>
      </c>
      <c r="E67" t="s">
        <v>215</v>
      </c>
      <c r="F67">
        <v>202201</v>
      </c>
      <c r="G67" t="s">
        <v>233</v>
      </c>
      <c r="H67">
        <v>0</v>
      </c>
      <c r="O67" t="s">
        <v>2313</v>
      </c>
      <c r="P67" t="s">
        <v>2314</v>
      </c>
      <c r="Q67" t="s">
        <v>2315</v>
      </c>
      <c r="R67" t="s">
        <v>2316</v>
      </c>
      <c r="S67" t="s">
        <v>215</v>
      </c>
      <c r="T67">
        <v>202111</v>
      </c>
      <c r="U67" t="s">
        <v>232</v>
      </c>
      <c r="V67">
        <v>783231.62</v>
      </c>
    </row>
    <row r="68" spans="1:22">
      <c r="A68" t="s">
        <v>2313</v>
      </c>
      <c r="B68" t="s">
        <v>2314</v>
      </c>
      <c r="C68" t="s">
        <v>2315</v>
      </c>
      <c r="D68" t="s">
        <v>2316</v>
      </c>
      <c r="E68" t="s">
        <v>215</v>
      </c>
      <c r="F68">
        <v>202202</v>
      </c>
      <c r="G68" t="s">
        <v>233</v>
      </c>
      <c r="H68">
        <v>0</v>
      </c>
      <c r="O68" t="s">
        <v>2313</v>
      </c>
      <c r="P68" t="s">
        <v>2314</v>
      </c>
      <c r="Q68" t="s">
        <v>2315</v>
      </c>
      <c r="R68" t="s">
        <v>2316</v>
      </c>
      <c r="S68" t="s">
        <v>215</v>
      </c>
      <c r="T68">
        <v>202111</v>
      </c>
      <c r="U68" t="s">
        <v>222</v>
      </c>
      <c r="V68">
        <v>0</v>
      </c>
    </row>
    <row r="69" spans="1:22">
      <c r="A69" t="s">
        <v>2313</v>
      </c>
      <c r="B69" t="s">
        <v>2314</v>
      </c>
      <c r="C69" t="s">
        <v>2315</v>
      </c>
      <c r="D69" t="s">
        <v>2316</v>
      </c>
      <c r="E69" t="s">
        <v>215</v>
      </c>
      <c r="F69">
        <v>202203</v>
      </c>
      <c r="G69" t="s">
        <v>233</v>
      </c>
      <c r="H69">
        <v>0</v>
      </c>
      <c r="O69" t="s">
        <v>2313</v>
      </c>
      <c r="P69" t="s">
        <v>2314</v>
      </c>
      <c r="Q69" t="s">
        <v>2315</v>
      </c>
      <c r="R69" t="s">
        <v>2316</v>
      </c>
      <c r="S69" t="s">
        <v>215</v>
      </c>
      <c r="T69">
        <v>202111</v>
      </c>
      <c r="U69" t="s">
        <v>224</v>
      </c>
      <c r="V69">
        <v>0</v>
      </c>
    </row>
    <row r="70" spans="1:22">
      <c r="A70" t="s">
        <v>2313</v>
      </c>
      <c r="B70" t="s">
        <v>2314</v>
      </c>
      <c r="C70" t="s">
        <v>2315</v>
      </c>
      <c r="D70" t="s">
        <v>2316</v>
      </c>
      <c r="E70" t="s">
        <v>215</v>
      </c>
      <c r="F70">
        <v>202204</v>
      </c>
      <c r="G70" t="s">
        <v>233</v>
      </c>
      <c r="H70">
        <v>0</v>
      </c>
      <c r="O70" t="s">
        <v>2313</v>
      </c>
      <c r="P70" t="s">
        <v>2314</v>
      </c>
      <c r="Q70" t="s">
        <v>2315</v>
      </c>
      <c r="R70" t="s">
        <v>2316</v>
      </c>
      <c r="S70" t="s">
        <v>215</v>
      </c>
      <c r="T70">
        <v>202111</v>
      </c>
      <c r="U70" t="s">
        <v>226</v>
      </c>
      <c r="V70">
        <v>123405</v>
      </c>
    </row>
    <row r="71" spans="1:22">
      <c r="A71" t="s">
        <v>2313</v>
      </c>
      <c r="B71" t="s">
        <v>2314</v>
      </c>
      <c r="C71" t="s">
        <v>2315</v>
      </c>
      <c r="D71" t="s">
        <v>2316</v>
      </c>
      <c r="E71" t="s">
        <v>215</v>
      </c>
      <c r="F71">
        <v>202205</v>
      </c>
      <c r="G71" t="s">
        <v>233</v>
      </c>
      <c r="H71">
        <v>0</v>
      </c>
      <c r="O71" t="s">
        <v>2313</v>
      </c>
      <c r="P71" t="s">
        <v>2314</v>
      </c>
      <c r="Q71" t="s">
        <v>2315</v>
      </c>
      <c r="R71" t="s">
        <v>2316</v>
      </c>
      <c r="S71" t="s">
        <v>215</v>
      </c>
      <c r="T71">
        <v>202112</v>
      </c>
      <c r="U71" t="s">
        <v>231</v>
      </c>
      <c r="V71">
        <v>7900765</v>
      </c>
    </row>
    <row r="72" spans="1:22">
      <c r="A72" t="s">
        <v>2313</v>
      </c>
      <c r="B72" t="s">
        <v>2314</v>
      </c>
      <c r="C72" t="s">
        <v>2315</v>
      </c>
      <c r="D72" t="s">
        <v>2316</v>
      </c>
      <c r="E72" t="s">
        <v>2176</v>
      </c>
      <c r="F72">
        <v>202104</v>
      </c>
      <c r="G72" t="s">
        <v>233</v>
      </c>
      <c r="H72">
        <v>0</v>
      </c>
      <c r="O72" t="s">
        <v>2313</v>
      </c>
      <c r="P72" t="s">
        <v>2314</v>
      </c>
      <c r="Q72" t="s">
        <v>2315</v>
      </c>
      <c r="R72" t="s">
        <v>2316</v>
      </c>
      <c r="S72" t="s">
        <v>215</v>
      </c>
      <c r="T72">
        <v>202112</v>
      </c>
      <c r="U72" t="s">
        <v>232</v>
      </c>
      <c r="V72">
        <v>1082781.3999999999</v>
      </c>
    </row>
    <row r="73" spans="1:22">
      <c r="A73" t="s">
        <v>2313</v>
      </c>
      <c r="B73" t="s">
        <v>2314</v>
      </c>
      <c r="C73" t="s">
        <v>2315</v>
      </c>
      <c r="D73" t="s">
        <v>2316</v>
      </c>
      <c r="E73" t="s">
        <v>2176</v>
      </c>
      <c r="F73">
        <v>202105</v>
      </c>
      <c r="G73" t="s">
        <v>233</v>
      </c>
      <c r="H73">
        <v>0</v>
      </c>
      <c r="O73" t="s">
        <v>2313</v>
      </c>
      <c r="P73" t="s">
        <v>2314</v>
      </c>
      <c r="Q73" t="s">
        <v>2315</v>
      </c>
      <c r="R73" t="s">
        <v>2316</v>
      </c>
      <c r="S73" t="s">
        <v>215</v>
      </c>
      <c r="T73">
        <v>202112</v>
      </c>
      <c r="U73" t="s">
        <v>222</v>
      </c>
      <c r="V73">
        <v>0</v>
      </c>
    </row>
    <row r="74" spans="1:22">
      <c r="A74" t="s">
        <v>2313</v>
      </c>
      <c r="B74" t="s">
        <v>2314</v>
      </c>
      <c r="C74" t="s">
        <v>2315</v>
      </c>
      <c r="D74" t="s">
        <v>2316</v>
      </c>
      <c r="E74" t="s">
        <v>2176</v>
      </c>
      <c r="F74">
        <v>202106</v>
      </c>
      <c r="G74" t="s">
        <v>233</v>
      </c>
      <c r="H74">
        <v>0</v>
      </c>
      <c r="O74" t="s">
        <v>2313</v>
      </c>
      <c r="P74" t="s">
        <v>2314</v>
      </c>
      <c r="Q74" t="s">
        <v>2315</v>
      </c>
      <c r="R74" t="s">
        <v>2316</v>
      </c>
      <c r="S74" t="s">
        <v>215</v>
      </c>
      <c r="T74">
        <v>202112</v>
      </c>
      <c r="U74" t="s">
        <v>224</v>
      </c>
      <c r="V74">
        <v>0</v>
      </c>
    </row>
    <row r="75" spans="1:22">
      <c r="A75" t="s">
        <v>2313</v>
      </c>
      <c r="B75" t="s">
        <v>2314</v>
      </c>
      <c r="C75" t="s">
        <v>2315</v>
      </c>
      <c r="D75" t="s">
        <v>2316</v>
      </c>
      <c r="E75" t="s">
        <v>2176</v>
      </c>
      <c r="F75">
        <v>202107</v>
      </c>
      <c r="G75" t="s">
        <v>233</v>
      </c>
      <c r="H75">
        <v>0</v>
      </c>
      <c r="O75" t="s">
        <v>2313</v>
      </c>
      <c r="P75" t="s">
        <v>2314</v>
      </c>
      <c r="Q75" t="s">
        <v>2315</v>
      </c>
      <c r="R75" t="s">
        <v>2316</v>
      </c>
      <c r="S75" t="s">
        <v>215</v>
      </c>
      <c r="T75">
        <v>202112</v>
      </c>
      <c r="U75" t="s">
        <v>226</v>
      </c>
      <c r="V75">
        <v>112512</v>
      </c>
    </row>
    <row r="76" spans="1:22">
      <c r="A76" t="s">
        <v>2313</v>
      </c>
      <c r="B76" t="s">
        <v>2314</v>
      </c>
      <c r="C76" t="s">
        <v>2315</v>
      </c>
      <c r="D76" t="s">
        <v>2316</v>
      </c>
      <c r="E76" t="s">
        <v>2176</v>
      </c>
      <c r="F76">
        <v>202108</v>
      </c>
      <c r="G76" t="s">
        <v>233</v>
      </c>
      <c r="H76">
        <v>0</v>
      </c>
      <c r="O76" t="s">
        <v>2313</v>
      </c>
      <c r="P76" t="s">
        <v>2314</v>
      </c>
      <c r="Q76" t="s">
        <v>2315</v>
      </c>
      <c r="R76" t="s">
        <v>2316</v>
      </c>
      <c r="S76" t="s">
        <v>215</v>
      </c>
      <c r="T76">
        <v>202201</v>
      </c>
      <c r="U76" t="s">
        <v>231</v>
      </c>
      <c r="V76">
        <v>42833</v>
      </c>
    </row>
    <row r="77" spans="1:22">
      <c r="A77" t="s">
        <v>2313</v>
      </c>
      <c r="B77" t="s">
        <v>2314</v>
      </c>
      <c r="C77" t="s">
        <v>2315</v>
      </c>
      <c r="D77" t="s">
        <v>2316</v>
      </c>
      <c r="E77" t="s">
        <v>2176</v>
      </c>
      <c r="F77">
        <v>202109</v>
      </c>
      <c r="G77" t="s">
        <v>233</v>
      </c>
      <c r="H77">
        <v>0</v>
      </c>
      <c r="O77" t="s">
        <v>2313</v>
      </c>
      <c r="P77" t="s">
        <v>2314</v>
      </c>
      <c r="Q77" t="s">
        <v>2315</v>
      </c>
      <c r="R77" t="s">
        <v>2316</v>
      </c>
      <c r="S77" t="s">
        <v>215</v>
      </c>
      <c r="T77">
        <v>202201</v>
      </c>
      <c r="U77" t="s">
        <v>232</v>
      </c>
      <c r="V77">
        <v>0</v>
      </c>
    </row>
    <row r="78" spans="1:22">
      <c r="A78" t="s">
        <v>2313</v>
      </c>
      <c r="B78" t="s">
        <v>2314</v>
      </c>
      <c r="C78" t="s">
        <v>2315</v>
      </c>
      <c r="D78" t="s">
        <v>2316</v>
      </c>
      <c r="E78" t="s">
        <v>2176</v>
      </c>
      <c r="F78">
        <v>202110</v>
      </c>
      <c r="G78" t="s">
        <v>233</v>
      </c>
      <c r="H78">
        <v>0</v>
      </c>
      <c r="O78" t="s">
        <v>2313</v>
      </c>
      <c r="P78" t="s">
        <v>2314</v>
      </c>
      <c r="Q78" t="s">
        <v>2315</v>
      </c>
      <c r="R78" t="s">
        <v>2316</v>
      </c>
      <c r="S78" t="s">
        <v>215</v>
      </c>
      <c r="T78">
        <v>202201</v>
      </c>
      <c r="U78" t="s">
        <v>222</v>
      </c>
      <c r="V78">
        <v>0</v>
      </c>
    </row>
    <row r="79" spans="1:22">
      <c r="A79" t="s">
        <v>2313</v>
      </c>
      <c r="B79" t="s">
        <v>2314</v>
      </c>
      <c r="C79" t="s">
        <v>2315</v>
      </c>
      <c r="D79" t="s">
        <v>2316</v>
      </c>
      <c r="E79" t="s">
        <v>2176</v>
      </c>
      <c r="F79">
        <v>202111</v>
      </c>
      <c r="G79" t="s">
        <v>233</v>
      </c>
      <c r="H79">
        <v>0</v>
      </c>
      <c r="O79" t="s">
        <v>2313</v>
      </c>
      <c r="P79" t="s">
        <v>2314</v>
      </c>
      <c r="Q79" t="s">
        <v>2315</v>
      </c>
      <c r="R79" t="s">
        <v>2316</v>
      </c>
      <c r="S79" t="s">
        <v>215</v>
      </c>
      <c r="T79">
        <v>202201</v>
      </c>
      <c r="U79" t="s">
        <v>224</v>
      </c>
      <c r="V79">
        <v>0</v>
      </c>
    </row>
    <row r="80" spans="1:22">
      <c r="A80" t="s">
        <v>2313</v>
      </c>
      <c r="B80" t="s">
        <v>2314</v>
      </c>
      <c r="C80" t="s">
        <v>2315</v>
      </c>
      <c r="D80" t="s">
        <v>2316</v>
      </c>
      <c r="E80" t="s">
        <v>2176</v>
      </c>
      <c r="F80">
        <v>202112</v>
      </c>
      <c r="G80" t="s">
        <v>233</v>
      </c>
      <c r="H80">
        <v>0</v>
      </c>
      <c r="O80" t="s">
        <v>2313</v>
      </c>
      <c r="P80" t="s">
        <v>2314</v>
      </c>
      <c r="Q80" t="s">
        <v>2315</v>
      </c>
      <c r="R80" t="s">
        <v>2316</v>
      </c>
      <c r="S80" t="s">
        <v>215</v>
      </c>
      <c r="T80">
        <v>202201</v>
      </c>
      <c r="U80" t="s">
        <v>226</v>
      </c>
      <c r="V80">
        <v>0</v>
      </c>
    </row>
    <row r="81" spans="1:22">
      <c r="A81" t="s">
        <v>2313</v>
      </c>
      <c r="B81" t="s">
        <v>2314</v>
      </c>
      <c r="C81" t="s">
        <v>2315</v>
      </c>
      <c r="D81" t="s">
        <v>2316</v>
      </c>
      <c r="E81" t="s">
        <v>2176</v>
      </c>
      <c r="F81">
        <v>202201</v>
      </c>
      <c r="G81" t="s">
        <v>233</v>
      </c>
      <c r="H81">
        <v>0</v>
      </c>
      <c r="O81" t="s">
        <v>2313</v>
      </c>
      <c r="P81" t="s">
        <v>2314</v>
      </c>
      <c r="Q81" t="s">
        <v>2315</v>
      </c>
      <c r="R81" t="s">
        <v>2316</v>
      </c>
      <c r="S81" t="s">
        <v>215</v>
      </c>
      <c r="T81">
        <v>202202</v>
      </c>
      <c r="U81" t="s">
        <v>231</v>
      </c>
      <c r="V81">
        <v>36022</v>
      </c>
    </row>
    <row r="82" spans="1:22">
      <c r="A82" t="s">
        <v>2313</v>
      </c>
      <c r="B82" t="s">
        <v>2314</v>
      </c>
      <c r="C82" t="s">
        <v>2315</v>
      </c>
      <c r="D82" t="s">
        <v>2316</v>
      </c>
      <c r="E82" t="s">
        <v>2176</v>
      </c>
      <c r="F82">
        <v>202202</v>
      </c>
      <c r="G82" t="s">
        <v>233</v>
      </c>
      <c r="H82">
        <v>0</v>
      </c>
      <c r="O82" t="s">
        <v>2313</v>
      </c>
      <c r="P82" t="s">
        <v>2314</v>
      </c>
      <c r="Q82" t="s">
        <v>2315</v>
      </c>
      <c r="R82" t="s">
        <v>2316</v>
      </c>
      <c r="S82" t="s">
        <v>215</v>
      </c>
      <c r="T82">
        <v>202202</v>
      </c>
      <c r="U82" t="s">
        <v>232</v>
      </c>
      <c r="V82">
        <v>0</v>
      </c>
    </row>
    <row r="83" spans="1:22">
      <c r="A83" t="s">
        <v>2313</v>
      </c>
      <c r="B83" t="s">
        <v>2314</v>
      </c>
      <c r="C83" t="s">
        <v>2315</v>
      </c>
      <c r="D83" t="s">
        <v>2316</v>
      </c>
      <c r="E83" t="s">
        <v>2176</v>
      </c>
      <c r="F83">
        <v>202203</v>
      </c>
      <c r="G83" t="s">
        <v>233</v>
      </c>
      <c r="H83">
        <v>0</v>
      </c>
      <c r="O83" t="s">
        <v>2313</v>
      </c>
      <c r="P83" t="s">
        <v>2314</v>
      </c>
      <c r="Q83" t="s">
        <v>2315</v>
      </c>
      <c r="R83" t="s">
        <v>2316</v>
      </c>
      <c r="S83" t="s">
        <v>215</v>
      </c>
      <c r="T83">
        <v>202202</v>
      </c>
      <c r="U83" t="s">
        <v>222</v>
      </c>
      <c r="V83">
        <v>0</v>
      </c>
    </row>
    <row r="84" spans="1:22">
      <c r="A84" t="s">
        <v>2313</v>
      </c>
      <c r="B84" t="s">
        <v>2314</v>
      </c>
      <c r="C84" t="s">
        <v>2315</v>
      </c>
      <c r="D84" t="s">
        <v>2316</v>
      </c>
      <c r="E84" t="s">
        <v>2176</v>
      </c>
      <c r="F84">
        <v>202204</v>
      </c>
      <c r="G84" t="s">
        <v>233</v>
      </c>
      <c r="H84">
        <v>0</v>
      </c>
      <c r="O84" t="s">
        <v>2313</v>
      </c>
      <c r="P84" t="s">
        <v>2314</v>
      </c>
      <c r="Q84" t="s">
        <v>2315</v>
      </c>
      <c r="R84" t="s">
        <v>2316</v>
      </c>
      <c r="S84" t="s">
        <v>215</v>
      </c>
      <c r="T84">
        <v>202202</v>
      </c>
      <c r="U84" t="s">
        <v>224</v>
      </c>
      <c r="V84">
        <v>0</v>
      </c>
    </row>
    <row r="85" spans="1:22">
      <c r="A85" t="s">
        <v>2313</v>
      </c>
      <c r="B85" t="s">
        <v>2314</v>
      </c>
      <c r="C85" t="s">
        <v>2315</v>
      </c>
      <c r="D85" t="s">
        <v>2316</v>
      </c>
      <c r="E85" t="s">
        <v>2176</v>
      </c>
      <c r="F85">
        <v>202205</v>
      </c>
      <c r="G85" t="s">
        <v>233</v>
      </c>
      <c r="H85">
        <v>0</v>
      </c>
      <c r="O85" t="s">
        <v>2313</v>
      </c>
      <c r="P85" t="s">
        <v>2314</v>
      </c>
      <c r="Q85" t="s">
        <v>2315</v>
      </c>
      <c r="R85" t="s">
        <v>2316</v>
      </c>
      <c r="S85" t="s">
        <v>215</v>
      </c>
      <c r="T85">
        <v>202202</v>
      </c>
      <c r="U85" t="s">
        <v>226</v>
      </c>
      <c r="V85">
        <v>0</v>
      </c>
    </row>
    <row r="86" spans="1:22">
      <c r="A86" t="s">
        <v>2313</v>
      </c>
      <c r="B86" t="s">
        <v>2314</v>
      </c>
      <c r="C86" t="s">
        <v>2315</v>
      </c>
      <c r="D86" t="s">
        <v>2316</v>
      </c>
      <c r="E86" t="s">
        <v>215</v>
      </c>
      <c r="F86">
        <v>202104</v>
      </c>
      <c r="G86" t="s">
        <v>218</v>
      </c>
      <c r="H86">
        <v>0</v>
      </c>
      <c r="O86" t="s">
        <v>2313</v>
      </c>
      <c r="P86" t="s">
        <v>2314</v>
      </c>
      <c r="Q86" t="s">
        <v>2315</v>
      </c>
      <c r="R86" t="s">
        <v>2316</v>
      </c>
      <c r="S86" t="s">
        <v>215</v>
      </c>
      <c r="T86">
        <v>202203</v>
      </c>
      <c r="U86" t="s">
        <v>231</v>
      </c>
      <c r="V86">
        <v>36322</v>
      </c>
    </row>
    <row r="87" spans="1:22">
      <c r="A87" t="s">
        <v>2313</v>
      </c>
      <c r="B87" t="s">
        <v>2314</v>
      </c>
      <c r="C87" t="s">
        <v>2315</v>
      </c>
      <c r="D87" t="s">
        <v>2316</v>
      </c>
      <c r="E87" t="s">
        <v>215</v>
      </c>
      <c r="F87">
        <v>202104</v>
      </c>
      <c r="G87" t="s">
        <v>220</v>
      </c>
      <c r="H87">
        <v>0</v>
      </c>
      <c r="O87" t="s">
        <v>2313</v>
      </c>
      <c r="P87" t="s">
        <v>2314</v>
      </c>
      <c r="Q87" t="s">
        <v>2315</v>
      </c>
      <c r="R87" t="s">
        <v>2316</v>
      </c>
      <c r="S87" t="s">
        <v>215</v>
      </c>
      <c r="T87">
        <v>202203</v>
      </c>
      <c r="U87" t="s">
        <v>232</v>
      </c>
      <c r="V87">
        <v>0</v>
      </c>
    </row>
    <row r="88" spans="1:22">
      <c r="A88" t="s">
        <v>2313</v>
      </c>
      <c r="B88" t="s">
        <v>2314</v>
      </c>
      <c r="C88" t="s">
        <v>2315</v>
      </c>
      <c r="D88" t="s">
        <v>2316</v>
      </c>
      <c r="E88" t="s">
        <v>215</v>
      </c>
      <c r="F88">
        <v>202105</v>
      </c>
      <c r="G88" t="s">
        <v>218</v>
      </c>
      <c r="H88">
        <v>0</v>
      </c>
      <c r="O88" t="s">
        <v>2313</v>
      </c>
      <c r="P88" t="s">
        <v>2314</v>
      </c>
      <c r="Q88" t="s">
        <v>2315</v>
      </c>
      <c r="R88" t="s">
        <v>2316</v>
      </c>
      <c r="S88" t="s">
        <v>215</v>
      </c>
      <c r="T88">
        <v>202203</v>
      </c>
      <c r="U88" t="s">
        <v>222</v>
      </c>
      <c r="V88">
        <v>0</v>
      </c>
    </row>
    <row r="89" spans="1:22">
      <c r="A89" t="s">
        <v>2313</v>
      </c>
      <c r="B89" t="s">
        <v>2314</v>
      </c>
      <c r="C89" t="s">
        <v>2315</v>
      </c>
      <c r="D89" t="s">
        <v>2316</v>
      </c>
      <c r="E89" t="s">
        <v>215</v>
      </c>
      <c r="F89">
        <v>202105</v>
      </c>
      <c r="G89" t="s">
        <v>220</v>
      </c>
      <c r="H89">
        <v>0</v>
      </c>
      <c r="O89" t="s">
        <v>2313</v>
      </c>
      <c r="P89" t="s">
        <v>2314</v>
      </c>
      <c r="Q89" t="s">
        <v>2315</v>
      </c>
      <c r="R89" t="s">
        <v>2316</v>
      </c>
      <c r="S89" t="s">
        <v>215</v>
      </c>
      <c r="T89">
        <v>202203</v>
      </c>
      <c r="U89" t="s">
        <v>224</v>
      </c>
      <c r="V89">
        <v>0</v>
      </c>
    </row>
    <row r="90" spans="1:22">
      <c r="A90" t="s">
        <v>2313</v>
      </c>
      <c r="B90" t="s">
        <v>2314</v>
      </c>
      <c r="C90" t="s">
        <v>2315</v>
      </c>
      <c r="D90" t="s">
        <v>2316</v>
      </c>
      <c r="E90" t="s">
        <v>215</v>
      </c>
      <c r="F90">
        <v>202106</v>
      </c>
      <c r="G90" t="s">
        <v>218</v>
      </c>
      <c r="H90">
        <v>0</v>
      </c>
      <c r="O90" t="s">
        <v>2313</v>
      </c>
      <c r="P90" t="s">
        <v>2314</v>
      </c>
      <c r="Q90" t="s">
        <v>2315</v>
      </c>
      <c r="R90" t="s">
        <v>2316</v>
      </c>
      <c r="S90" t="s">
        <v>215</v>
      </c>
      <c r="T90">
        <v>202203</v>
      </c>
      <c r="U90" t="s">
        <v>226</v>
      </c>
      <c r="V90">
        <v>0</v>
      </c>
    </row>
    <row r="91" spans="1:22">
      <c r="A91" t="s">
        <v>2313</v>
      </c>
      <c r="B91" t="s">
        <v>2314</v>
      </c>
      <c r="C91" t="s">
        <v>2315</v>
      </c>
      <c r="D91" t="s">
        <v>2316</v>
      </c>
      <c r="E91" t="s">
        <v>215</v>
      </c>
      <c r="F91">
        <v>202106</v>
      </c>
      <c r="G91" t="s">
        <v>220</v>
      </c>
      <c r="H91">
        <v>0</v>
      </c>
      <c r="O91" t="s">
        <v>2313</v>
      </c>
      <c r="P91" t="s">
        <v>2314</v>
      </c>
      <c r="Q91" t="s">
        <v>2315</v>
      </c>
      <c r="R91" t="s">
        <v>2316</v>
      </c>
      <c r="S91" t="s">
        <v>215</v>
      </c>
      <c r="T91">
        <v>202204</v>
      </c>
      <c r="U91" t="s">
        <v>231</v>
      </c>
      <c r="V91">
        <v>34737</v>
      </c>
    </row>
    <row r="92" spans="1:22">
      <c r="A92" t="s">
        <v>2313</v>
      </c>
      <c r="B92" t="s">
        <v>2314</v>
      </c>
      <c r="C92" t="s">
        <v>2315</v>
      </c>
      <c r="D92" t="s">
        <v>2316</v>
      </c>
      <c r="E92" t="s">
        <v>215</v>
      </c>
      <c r="F92">
        <v>202107</v>
      </c>
      <c r="G92" t="s">
        <v>218</v>
      </c>
      <c r="H92">
        <v>0</v>
      </c>
      <c r="O92" t="s">
        <v>2313</v>
      </c>
      <c r="P92" t="s">
        <v>2314</v>
      </c>
      <c r="Q92" t="s">
        <v>2315</v>
      </c>
      <c r="R92" t="s">
        <v>2316</v>
      </c>
      <c r="S92" t="s">
        <v>215</v>
      </c>
      <c r="T92">
        <v>202204</v>
      </c>
      <c r="U92" t="s">
        <v>232</v>
      </c>
      <c r="V92">
        <v>0</v>
      </c>
    </row>
    <row r="93" spans="1:22">
      <c r="A93" t="s">
        <v>2313</v>
      </c>
      <c r="B93" t="s">
        <v>2314</v>
      </c>
      <c r="C93" t="s">
        <v>2315</v>
      </c>
      <c r="D93" t="s">
        <v>2316</v>
      </c>
      <c r="E93" t="s">
        <v>215</v>
      </c>
      <c r="F93">
        <v>202107</v>
      </c>
      <c r="G93" t="s">
        <v>220</v>
      </c>
      <c r="H93">
        <v>0</v>
      </c>
      <c r="O93" t="s">
        <v>2313</v>
      </c>
      <c r="P93" t="s">
        <v>2314</v>
      </c>
      <c r="Q93" t="s">
        <v>2315</v>
      </c>
      <c r="R93" t="s">
        <v>2316</v>
      </c>
      <c r="S93" t="s">
        <v>215</v>
      </c>
      <c r="T93">
        <v>202204</v>
      </c>
      <c r="U93" t="s">
        <v>222</v>
      </c>
      <c r="V93">
        <v>0</v>
      </c>
    </row>
    <row r="94" spans="1:22">
      <c r="A94" t="s">
        <v>2313</v>
      </c>
      <c r="B94" t="s">
        <v>2314</v>
      </c>
      <c r="C94" t="s">
        <v>2315</v>
      </c>
      <c r="D94" t="s">
        <v>2316</v>
      </c>
      <c r="E94" t="s">
        <v>215</v>
      </c>
      <c r="F94">
        <v>202108</v>
      </c>
      <c r="G94" t="s">
        <v>218</v>
      </c>
      <c r="H94">
        <v>0</v>
      </c>
      <c r="O94" t="s">
        <v>2313</v>
      </c>
      <c r="P94" t="s">
        <v>2314</v>
      </c>
      <c r="Q94" t="s">
        <v>2315</v>
      </c>
      <c r="R94" t="s">
        <v>2316</v>
      </c>
      <c r="S94" t="s">
        <v>215</v>
      </c>
      <c r="T94">
        <v>202204</v>
      </c>
      <c r="U94" t="s">
        <v>224</v>
      </c>
      <c r="V94">
        <v>0</v>
      </c>
    </row>
    <row r="95" spans="1:22">
      <c r="A95" t="s">
        <v>2313</v>
      </c>
      <c r="B95" t="s">
        <v>2314</v>
      </c>
      <c r="C95" t="s">
        <v>2315</v>
      </c>
      <c r="D95" t="s">
        <v>2316</v>
      </c>
      <c r="E95" t="s">
        <v>215</v>
      </c>
      <c r="F95">
        <v>202108</v>
      </c>
      <c r="G95" t="s">
        <v>220</v>
      </c>
      <c r="H95">
        <v>0</v>
      </c>
      <c r="O95" t="s">
        <v>2313</v>
      </c>
      <c r="P95" t="s">
        <v>2314</v>
      </c>
      <c r="Q95" t="s">
        <v>2315</v>
      </c>
      <c r="R95" t="s">
        <v>2316</v>
      </c>
      <c r="S95" t="s">
        <v>215</v>
      </c>
      <c r="T95">
        <v>202204</v>
      </c>
      <c r="U95" t="s">
        <v>226</v>
      </c>
      <c r="V95">
        <v>0</v>
      </c>
    </row>
    <row r="96" spans="1:22">
      <c r="A96" t="s">
        <v>2313</v>
      </c>
      <c r="B96" t="s">
        <v>2314</v>
      </c>
      <c r="C96" t="s">
        <v>2315</v>
      </c>
      <c r="D96" t="s">
        <v>2316</v>
      </c>
      <c r="E96" t="s">
        <v>215</v>
      </c>
      <c r="F96">
        <v>202109</v>
      </c>
      <c r="G96" t="s">
        <v>218</v>
      </c>
      <c r="H96">
        <v>0</v>
      </c>
      <c r="O96" t="s">
        <v>2313</v>
      </c>
      <c r="P96" t="s">
        <v>2314</v>
      </c>
      <c r="Q96" t="s">
        <v>2315</v>
      </c>
      <c r="R96" t="s">
        <v>2316</v>
      </c>
      <c r="S96" t="s">
        <v>215</v>
      </c>
      <c r="T96">
        <v>202205</v>
      </c>
      <c r="U96" t="s">
        <v>231</v>
      </c>
      <c r="V96">
        <v>33666</v>
      </c>
    </row>
    <row r="97" spans="1:22">
      <c r="A97" t="s">
        <v>2313</v>
      </c>
      <c r="B97" t="s">
        <v>2314</v>
      </c>
      <c r="C97" t="s">
        <v>2315</v>
      </c>
      <c r="D97" t="s">
        <v>2316</v>
      </c>
      <c r="E97" t="s">
        <v>215</v>
      </c>
      <c r="F97">
        <v>202109</v>
      </c>
      <c r="G97" t="s">
        <v>220</v>
      </c>
      <c r="H97">
        <v>0</v>
      </c>
      <c r="O97" t="s">
        <v>2313</v>
      </c>
      <c r="P97" t="s">
        <v>2314</v>
      </c>
      <c r="Q97" t="s">
        <v>2315</v>
      </c>
      <c r="R97" t="s">
        <v>2316</v>
      </c>
      <c r="S97" t="s">
        <v>215</v>
      </c>
      <c r="T97">
        <v>202205</v>
      </c>
      <c r="U97" t="s">
        <v>232</v>
      </c>
      <c r="V97">
        <v>0</v>
      </c>
    </row>
    <row r="98" spans="1:22">
      <c r="A98" t="s">
        <v>2313</v>
      </c>
      <c r="B98" t="s">
        <v>2314</v>
      </c>
      <c r="C98" t="s">
        <v>2315</v>
      </c>
      <c r="D98" t="s">
        <v>2316</v>
      </c>
      <c r="E98" t="s">
        <v>215</v>
      </c>
      <c r="F98">
        <v>202110</v>
      </c>
      <c r="G98" t="s">
        <v>218</v>
      </c>
      <c r="H98">
        <v>0</v>
      </c>
      <c r="O98" t="s">
        <v>2313</v>
      </c>
      <c r="P98" t="s">
        <v>2314</v>
      </c>
      <c r="Q98" t="s">
        <v>2315</v>
      </c>
      <c r="R98" t="s">
        <v>2316</v>
      </c>
      <c r="S98" t="s">
        <v>215</v>
      </c>
      <c r="T98">
        <v>202205</v>
      </c>
      <c r="U98" t="s">
        <v>222</v>
      </c>
      <c r="V98">
        <v>0</v>
      </c>
    </row>
    <row r="99" spans="1:22">
      <c r="A99" t="s">
        <v>2313</v>
      </c>
      <c r="B99" t="s">
        <v>2314</v>
      </c>
      <c r="C99" t="s">
        <v>2315</v>
      </c>
      <c r="D99" t="s">
        <v>2316</v>
      </c>
      <c r="E99" t="s">
        <v>215</v>
      </c>
      <c r="F99">
        <v>202110</v>
      </c>
      <c r="G99" t="s">
        <v>220</v>
      </c>
      <c r="H99">
        <v>0</v>
      </c>
      <c r="O99" t="s">
        <v>2313</v>
      </c>
      <c r="P99" t="s">
        <v>2314</v>
      </c>
      <c r="Q99" t="s">
        <v>2315</v>
      </c>
      <c r="R99" t="s">
        <v>2316</v>
      </c>
      <c r="S99" t="s">
        <v>215</v>
      </c>
      <c r="T99">
        <v>202205</v>
      </c>
      <c r="U99" t="s">
        <v>224</v>
      </c>
      <c r="V99">
        <v>0</v>
      </c>
    </row>
    <row r="100" spans="1:22">
      <c r="A100" t="s">
        <v>2313</v>
      </c>
      <c r="B100" t="s">
        <v>2314</v>
      </c>
      <c r="C100" t="s">
        <v>2315</v>
      </c>
      <c r="D100" t="s">
        <v>2316</v>
      </c>
      <c r="E100" t="s">
        <v>215</v>
      </c>
      <c r="F100">
        <v>202111</v>
      </c>
      <c r="G100" t="s">
        <v>218</v>
      </c>
      <c r="H100">
        <v>0</v>
      </c>
      <c r="O100" t="s">
        <v>2313</v>
      </c>
      <c r="P100" t="s">
        <v>2314</v>
      </c>
      <c r="Q100" t="s">
        <v>2315</v>
      </c>
      <c r="R100" t="s">
        <v>2316</v>
      </c>
      <c r="S100" t="s">
        <v>215</v>
      </c>
      <c r="T100">
        <v>202205</v>
      </c>
      <c r="U100" t="s">
        <v>226</v>
      </c>
      <c r="V100">
        <v>0</v>
      </c>
    </row>
    <row r="101" spans="1:22">
      <c r="A101" t="s">
        <v>2313</v>
      </c>
      <c r="B101" t="s">
        <v>2314</v>
      </c>
      <c r="C101" t="s">
        <v>2315</v>
      </c>
      <c r="D101" t="s">
        <v>2316</v>
      </c>
      <c r="E101" t="s">
        <v>215</v>
      </c>
      <c r="F101">
        <v>202111</v>
      </c>
      <c r="G101" t="s">
        <v>220</v>
      </c>
      <c r="H101">
        <v>0</v>
      </c>
      <c r="O101" t="s">
        <v>2313</v>
      </c>
      <c r="P101" t="s">
        <v>2314</v>
      </c>
      <c r="Q101" t="s">
        <v>2315</v>
      </c>
      <c r="R101" t="s">
        <v>2316</v>
      </c>
      <c r="S101" t="s">
        <v>2176</v>
      </c>
      <c r="T101">
        <v>202107</v>
      </c>
      <c r="U101" t="s">
        <v>231</v>
      </c>
      <c r="V101">
        <v>23236.09</v>
      </c>
    </row>
    <row r="102" spans="1:22">
      <c r="A102" t="s">
        <v>2313</v>
      </c>
      <c r="B102" t="s">
        <v>2314</v>
      </c>
      <c r="C102" t="s">
        <v>2315</v>
      </c>
      <c r="D102" t="s">
        <v>2316</v>
      </c>
      <c r="E102" t="s">
        <v>215</v>
      </c>
      <c r="F102">
        <v>202112</v>
      </c>
      <c r="G102" t="s">
        <v>218</v>
      </c>
      <c r="H102">
        <v>0</v>
      </c>
      <c r="O102" t="s">
        <v>2313</v>
      </c>
      <c r="P102" t="s">
        <v>2314</v>
      </c>
      <c r="Q102" t="s">
        <v>2315</v>
      </c>
      <c r="R102" t="s">
        <v>2316</v>
      </c>
      <c r="S102" t="s">
        <v>2176</v>
      </c>
      <c r="T102">
        <v>202107</v>
      </c>
      <c r="U102" t="s">
        <v>232</v>
      </c>
      <c r="V102">
        <v>4460.57</v>
      </c>
    </row>
    <row r="103" spans="1:22">
      <c r="A103" t="s">
        <v>2313</v>
      </c>
      <c r="B103" t="s">
        <v>2314</v>
      </c>
      <c r="C103" t="s">
        <v>2315</v>
      </c>
      <c r="D103" t="s">
        <v>2316</v>
      </c>
      <c r="E103" t="s">
        <v>215</v>
      </c>
      <c r="F103">
        <v>202112</v>
      </c>
      <c r="G103" t="s">
        <v>220</v>
      </c>
      <c r="H103">
        <v>0</v>
      </c>
      <c r="O103" t="s">
        <v>2313</v>
      </c>
      <c r="P103" t="s">
        <v>2314</v>
      </c>
      <c r="Q103" t="s">
        <v>2315</v>
      </c>
      <c r="R103" t="s">
        <v>2316</v>
      </c>
      <c r="S103" t="s">
        <v>2176</v>
      </c>
      <c r="T103">
        <v>202107</v>
      </c>
      <c r="U103" t="s">
        <v>222</v>
      </c>
      <c r="V103">
        <v>23673.17</v>
      </c>
    </row>
    <row r="104" spans="1:22">
      <c r="A104" t="s">
        <v>2313</v>
      </c>
      <c r="B104" t="s">
        <v>2314</v>
      </c>
      <c r="C104" t="s">
        <v>2315</v>
      </c>
      <c r="D104" t="s">
        <v>2316</v>
      </c>
      <c r="E104" t="s">
        <v>215</v>
      </c>
      <c r="F104">
        <v>202201</v>
      </c>
      <c r="G104" t="s">
        <v>218</v>
      </c>
      <c r="H104">
        <v>0</v>
      </c>
      <c r="O104" t="s">
        <v>2313</v>
      </c>
      <c r="P104" t="s">
        <v>2314</v>
      </c>
      <c r="Q104" t="s">
        <v>2315</v>
      </c>
      <c r="R104" t="s">
        <v>2316</v>
      </c>
      <c r="S104" t="s">
        <v>2176</v>
      </c>
      <c r="T104">
        <v>202107</v>
      </c>
      <c r="U104" t="s">
        <v>224</v>
      </c>
      <c r="V104">
        <v>4544.4799999999996</v>
      </c>
    </row>
    <row r="105" spans="1:22">
      <c r="A105" t="s">
        <v>2313</v>
      </c>
      <c r="B105" t="s">
        <v>2314</v>
      </c>
      <c r="C105" t="s">
        <v>2315</v>
      </c>
      <c r="D105" t="s">
        <v>2316</v>
      </c>
      <c r="E105" t="s">
        <v>215</v>
      </c>
      <c r="F105">
        <v>202201</v>
      </c>
      <c r="G105" t="s">
        <v>220</v>
      </c>
      <c r="H105">
        <v>0</v>
      </c>
      <c r="O105" t="s">
        <v>2313</v>
      </c>
      <c r="P105" t="s">
        <v>2314</v>
      </c>
      <c r="Q105" t="s">
        <v>2315</v>
      </c>
      <c r="R105" t="s">
        <v>2316</v>
      </c>
      <c r="S105" t="s">
        <v>2176</v>
      </c>
      <c r="T105">
        <v>202107</v>
      </c>
      <c r="U105" t="s">
        <v>226</v>
      </c>
      <c r="V105">
        <v>520.99</v>
      </c>
    </row>
    <row r="106" spans="1:22">
      <c r="A106" t="s">
        <v>2313</v>
      </c>
      <c r="B106" t="s">
        <v>2314</v>
      </c>
      <c r="C106" t="s">
        <v>2315</v>
      </c>
      <c r="D106" t="s">
        <v>2316</v>
      </c>
      <c r="E106" t="s">
        <v>215</v>
      </c>
      <c r="F106">
        <v>202202</v>
      </c>
      <c r="G106" t="s">
        <v>218</v>
      </c>
      <c r="H106">
        <v>0</v>
      </c>
      <c r="O106" t="s">
        <v>2313</v>
      </c>
      <c r="P106" t="s">
        <v>2314</v>
      </c>
      <c r="Q106" t="s">
        <v>2315</v>
      </c>
      <c r="R106" t="s">
        <v>2316</v>
      </c>
      <c r="S106" t="s">
        <v>2176</v>
      </c>
      <c r="T106">
        <v>202108</v>
      </c>
      <c r="U106" t="s">
        <v>231</v>
      </c>
      <c r="V106">
        <v>23634.92</v>
      </c>
    </row>
    <row r="107" spans="1:22">
      <c r="A107" t="s">
        <v>2313</v>
      </c>
      <c r="B107" t="s">
        <v>2314</v>
      </c>
      <c r="C107" t="s">
        <v>2315</v>
      </c>
      <c r="D107" t="s">
        <v>2316</v>
      </c>
      <c r="E107" t="s">
        <v>215</v>
      </c>
      <c r="F107">
        <v>202202</v>
      </c>
      <c r="G107" t="s">
        <v>220</v>
      </c>
      <c r="H107">
        <v>0</v>
      </c>
      <c r="O107" t="s">
        <v>2313</v>
      </c>
      <c r="P107" t="s">
        <v>2314</v>
      </c>
      <c r="Q107" t="s">
        <v>2315</v>
      </c>
      <c r="R107" t="s">
        <v>2316</v>
      </c>
      <c r="S107" t="s">
        <v>2176</v>
      </c>
      <c r="T107">
        <v>202108</v>
      </c>
      <c r="U107" t="s">
        <v>232</v>
      </c>
      <c r="V107">
        <v>4391.53</v>
      </c>
    </row>
    <row r="108" spans="1:22">
      <c r="A108" t="s">
        <v>2313</v>
      </c>
      <c r="B108" t="s">
        <v>2314</v>
      </c>
      <c r="C108" t="s">
        <v>2315</v>
      </c>
      <c r="D108" t="s">
        <v>2316</v>
      </c>
      <c r="E108" t="s">
        <v>215</v>
      </c>
      <c r="F108">
        <v>202203</v>
      </c>
      <c r="G108" t="s">
        <v>218</v>
      </c>
      <c r="H108">
        <v>0</v>
      </c>
      <c r="O108" t="s">
        <v>2313</v>
      </c>
      <c r="P108" t="s">
        <v>2314</v>
      </c>
      <c r="Q108" t="s">
        <v>2315</v>
      </c>
      <c r="R108" t="s">
        <v>2316</v>
      </c>
      <c r="S108" t="s">
        <v>2176</v>
      </c>
      <c r="T108">
        <v>202108</v>
      </c>
      <c r="U108" t="s">
        <v>222</v>
      </c>
      <c r="V108">
        <v>24080.27</v>
      </c>
    </row>
    <row r="109" spans="1:22">
      <c r="A109" t="s">
        <v>2313</v>
      </c>
      <c r="B109" t="s">
        <v>2314</v>
      </c>
      <c r="C109" t="s">
        <v>2315</v>
      </c>
      <c r="D109" t="s">
        <v>2316</v>
      </c>
      <c r="E109" t="s">
        <v>215</v>
      </c>
      <c r="F109">
        <v>202203</v>
      </c>
      <c r="G109" t="s">
        <v>220</v>
      </c>
      <c r="H109">
        <v>0</v>
      </c>
      <c r="O109" t="s">
        <v>2313</v>
      </c>
      <c r="P109" t="s">
        <v>2314</v>
      </c>
      <c r="Q109" t="s">
        <v>2315</v>
      </c>
      <c r="R109" t="s">
        <v>2316</v>
      </c>
      <c r="S109" t="s">
        <v>2176</v>
      </c>
      <c r="T109">
        <v>202108</v>
      </c>
      <c r="U109" t="s">
        <v>224</v>
      </c>
      <c r="V109">
        <v>4474.28</v>
      </c>
    </row>
    <row r="110" spans="1:22">
      <c r="A110" t="s">
        <v>2313</v>
      </c>
      <c r="B110" t="s">
        <v>2314</v>
      </c>
      <c r="C110" t="s">
        <v>2315</v>
      </c>
      <c r="D110" t="s">
        <v>2316</v>
      </c>
      <c r="E110" t="s">
        <v>215</v>
      </c>
      <c r="F110">
        <v>202204</v>
      </c>
      <c r="G110" t="s">
        <v>218</v>
      </c>
      <c r="H110">
        <v>0</v>
      </c>
      <c r="O110" t="s">
        <v>2313</v>
      </c>
      <c r="P110" t="s">
        <v>2314</v>
      </c>
      <c r="Q110" t="s">
        <v>2315</v>
      </c>
      <c r="R110" t="s">
        <v>2316</v>
      </c>
      <c r="S110" t="s">
        <v>2176</v>
      </c>
      <c r="T110">
        <v>202108</v>
      </c>
      <c r="U110" t="s">
        <v>226</v>
      </c>
      <c r="V110">
        <v>528.1</v>
      </c>
    </row>
    <row r="111" spans="1:22">
      <c r="A111" t="s">
        <v>2313</v>
      </c>
      <c r="B111" t="s">
        <v>2314</v>
      </c>
      <c r="C111" t="s">
        <v>2315</v>
      </c>
      <c r="D111" t="s">
        <v>2316</v>
      </c>
      <c r="E111" t="s">
        <v>215</v>
      </c>
      <c r="F111">
        <v>202204</v>
      </c>
      <c r="G111" t="s">
        <v>220</v>
      </c>
      <c r="H111">
        <v>0</v>
      </c>
      <c r="O111" t="s">
        <v>2313</v>
      </c>
      <c r="P111" t="s">
        <v>2314</v>
      </c>
      <c r="Q111" t="s">
        <v>2315</v>
      </c>
      <c r="R111" t="s">
        <v>2316</v>
      </c>
      <c r="S111" t="s">
        <v>2176</v>
      </c>
      <c r="T111">
        <v>202109</v>
      </c>
      <c r="U111" t="s">
        <v>231</v>
      </c>
      <c r="V111">
        <v>23929.439999999999</v>
      </c>
    </row>
    <row r="112" spans="1:22">
      <c r="A112" t="s">
        <v>2313</v>
      </c>
      <c r="B112" t="s">
        <v>2314</v>
      </c>
      <c r="C112" t="s">
        <v>2315</v>
      </c>
      <c r="D112" t="s">
        <v>2316</v>
      </c>
      <c r="E112" t="s">
        <v>215</v>
      </c>
      <c r="F112">
        <v>202205</v>
      </c>
      <c r="G112" t="s">
        <v>218</v>
      </c>
      <c r="H112">
        <v>0</v>
      </c>
      <c r="O112" t="s">
        <v>2313</v>
      </c>
      <c r="P112" t="s">
        <v>2314</v>
      </c>
      <c r="Q112" t="s">
        <v>2315</v>
      </c>
      <c r="R112" t="s">
        <v>2316</v>
      </c>
      <c r="S112" t="s">
        <v>2176</v>
      </c>
      <c r="T112">
        <v>202109</v>
      </c>
      <c r="U112" t="s">
        <v>232</v>
      </c>
      <c r="V112">
        <v>4070.89</v>
      </c>
    </row>
    <row r="113" spans="1:22">
      <c r="A113" t="s">
        <v>2313</v>
      </c>
      <c r="B113" t="s">
        <v>2314</v>
      </c>
      <c r="C113" t="s">
        <v>2315</v>
      </c>
      <c r="D113" t="s">
        <v>2316</v>
      </c>
      <c r="E113" t="s">
        <v>215</v>
      </c>
      <c r="F113">
        <v>202205</v>
      </c>
      <c r="G113" t="s">
        <v>220</v>
      </c>
      <c r="H113">
        <v>0</v>
      </c>
      <c r="O113" t="s">
        <v>2313</v>
      </c>
      <c r="P113" t="s">
        <v>2314</v>
      </c>
      <c r="Q113" t="s">
        <v>2315</v>
      </c>
      <c r="R113" t="s">
        <v>2316</v>
      </c>
      <c r="S113" t="s">
        <v>2176</v>
      </c>
      <c r="T113">
        <v>202109</v>
      </c>
      <c r="U113" t="s">
        <v>222</v>
      </c>
      <c r="V113">
        <v>24394.69</v>
      </c>
    </row>
    <row r="114" spans="1:22">
      <c r="A114" t="s">
        <v>2313</v>
      </c>
      <c r="B114" t="s">
        <v>2314</v>
      </c>
      <c r="C114" t="s">
        <v>2315</v>
      </c>
      <c r="D114" t="s">
        <v>2316</v>
      </c>
      <c r="E114" t="s">
        <v>2176</v>
      </c>
      <c r="F114">
        <v>202104</v>
      </c>
      <c r="G114" t="s">
        <v>218</v>
      </c>
      <c r="H114">
        <v>110</v>
      </c>
      <c r="O114" t="s">
        <v>2313</v>
      </c>
      <c r="P114" t="s">
        <v>2314</v>
      </c>
      <c r="Q114" t="s">
        <v>2315</v>
      </c>
      <c r="R114" t="s">
        <v>2316</v>
      </c>
      <c r="S114" t="s">
        <v>2176</v>
      </c>
      <c r="T114">
        <v>202109</v>
      </c>
      <c r="U114" t="s">
        <v>224</v>
      </c>
      <c r="V114">
        <v>4150.04</v>
      </c>
    </row>
    <row r="115" spans="1:22">
      <c r="A115" t="s">
        <v>2313</v>
      </c>
      <c r="B115" t="s">
        <v>2314</v>
      </c>
      <c r="C115" t="s">
        <v>2315</v>
      </c>
      <c r="D115" t="s">
        <v>2316</v>
      </c>
      <c r="E115" t="s">
        <v>2176</v>
      </c>
      <c r="F115">
        <v>202104</v>
      </c>
      <c r="G115" t="s">
        <v>220</v>
      </c>
      <c r="H115">
        <v>110</v>
      </c>
      <c r="O115" t="s">
        <v>2313</v>
      </c>
      <c r="P115" t="s">
        <v>2314</v>
      </c>
      <c r="Q115" t="s">
        <v>2315</v>
      </c>
      <c r="R115" t="s">
        <v>2316</v>
      </c>
      <c r="S115" t="s">
        <v>2176</v>
      </c>
      <c r="T115">
        <v>202109</v>
      </c>
      <c r="U115" t="s">
        <v>226</v>
      </c>
      <c r="V115">
        <v>544.41</v>
      </c>
    </row>
    <row r="116" spans="1:22">
      <c r="A116" t="s">
        <v>2313</v>
      </c>
      <c r="B116" t="s">
        <v>2314</v>
      </c>
      <c r="C116" t="s">
        <v>2315</v>
      </c>
      <c r="D116" t="s">
        <v>2316</v>
      </c>
      <c r="E116" t="s">
        <v>2176</v>
      </c>
      <c r="F116">
        <v>202105</v>
      </c>
      <c r="G116" t="s">
        <v>218</v>
      </c>
      <c r="H116">
        <v>110</v>
      </c>
      <c r="O116" t="s">
        <v>2313</v>
      </c>
      <c r="P116" t="s">
        <v>2314</v>
      </c>
      <c r="Q116" t="s">
        <v>2315</v>
      </c>
      <c r="R116" t="s">
        <v>2316</v>
      </c>
      <c r="S116" t="s">
        <v>2176</v>
      </c>
      <c r="T116">
        <v>202110</v>
      </c>
      <c r="U116" t="s">
        <v>231</v>
      </c>
      <c r="V116">
        <v>24904.78</v>
      </c>
    </row>
    <row r="117" spans="1:22">
      <c r="A117" t="s">
        <v>2313</v>
      </c>
      <c r="B117" t="s">
        <v>2314</v>
      </c>
      <c r="C117" t="s">
        <v>2315</v>
      </c>
      <c r="D117" t="s">
        <v>2316</v>
      </c>
      <c r="E117" t="s">
        <v>2176</v>
      </c>
      <c r="F117">
        <v>202105</v>
      </c>
      <c r="G117" t="s">
        <v>220</v>
      </c>
      <c r="H117">
        <v>110</v>
      </c>
      <c r="O117" t="s">
        <v>2313</v>
      </c>
      <c r="P117" t="s">
        <v>2314</v>
      </c>
      <c r="Q117" t="s">
        <v>2315</v>
      </c>
      <c r="R117" t="s">
        <v>2316</v>
      </c>
      <c r="S117" t="s">
        <v>2176</v>
      </c>
      <c r="T117">
        <v>202110</v>
      </c>
      <c r="U117" t="s">
        <v>232</v>
      </c>
      <c r="V117">
        <v>3819.69</v>
      </c>
    </row>
    <row r="118" spans="1:22">
      <c r="A118" t="s">
        <v>2313</v>
      </c>
      <c r="B118" t="s">
        <v>2314</v>
      </c>
      <c r="C118" t="s">
        <v>2315</v>
      </c>
      <c r="D118" t="s">
        <v>2316</v>
      </c>
      <c r="E118" t="s">
        <v>2176</v>
      </c>
      <c r="F118">
        <v>202106</v>
      </c>
      <c r="G118" t="s">
        <v>218</v>
      </c>
      <c r="H118">
        <v>110</v>
      </c>
      <c r="O118" t="s">
        <v>2313</v>
      </c>
      <c r="P118" t="s">
        <v>2314</v>
      </c>
      <c r="Q118" t="s">
        <v>2315</v>
      </c>
      <c r="R118" t="s">
        <v>2316</v>
      </c>
      <c r="S118" t="s">
        <v>2176</v>
      </c>
      <c r="T118">
        <v>202110</v>
      </c>
      <c r="U118" t="s">
        <v>222</v>
      </c>
      <c r="V118">
        <v>25362.639999999999</v>
      </c>
    </row>
    <row r="119" spans="1:22">
      <c r="A119" t="s">
        <v>2313</v>
      </c>
      <c r="B119" t="s">
        <v>2314</v>
      </c>
      <c r="C119" t="s">
        <v>2315</v>
      </c>
      <c r="D119" t="s">
        <v>2316</v>
      </c>
      <c r="E119" t="s">
        <v>2176</v>
      </c>
      <c r="F119">
        <v>202106</v>
      </c>
      <c r="G119" t="s">
        <v>220</v>
      </c>
      <c r="H119">
        <v>116.39</v>
      </c>
      <c r="O119" t="s">
        <v>2313</v>
      </c>
      <c r="P119" t="s">
        <v>2314</v>
      </c>
      <c r="Q119" t="s">
        <v>2315</v>
      </c>
      <c r="R119" t="s">
        <v>2316</v>
      </c>
      <c r="S119" t="s">
        <v>2176</v>
      </c>
      <c r="T119">
        <v>202110</v>
      </c>
      <c r="U119" t="s">
        <v>224</v>
      </c>
      <c r="V119">
        <v>3889.91</v>
      </c>
    </row>
    <row r="120" spans="1:22">
      <c r="A120" t="s">
        <v>2313</v>
      </c>
      <c r="B120" t="s">
        <v>2314</v>
      </c>
      <c r="C120" t="s">
        <v>2315</v>
      </c>
      <c r="D120" t="s">
        <v>2316</v>
      </c>
      <c r="E120" t="s">
        <v>2176</v>
      </c>
      <c r="F120">
        <v>202107</v>
      </c>
      <c r="G120" t="s">
        <v>218</v>
      </c>
      <c r="H120">
        <v>110</v>
      </c>
      <c r="O120" t="s">
        <v>2313</v>
      </c>
      <c r="P120" t="s">
        <v>2314</v>
      </c>
      <c r="Q120" t="s">
        <v>2315</v>
      </c>
      <c r="R120" t="s">
        <v>2316</v>
      </c>
      <c r="S120" t="s">
        <v>2176</v>
      </c>
      <c r="T120">
        <v>202110</v>
      </c>
      <c r="U120" t="s">
        <v>226</v>
      </c>
      <c r="V120">
        <v>528.09</v>
      </c>
    </row>
    <row r="121" spans="1:22">
      <c r="A121" t="s">
        <v>2313</v>
      </c>
      <c r="B121" t="s">
        <v>2314</v>
      </c>
      <c r="C121" t="s">
        <v>2315</v>
      </c>
      <c r="D121" t="s">
        <v>2316</v>
      </c>
      <c r="E121" t="s">
        <v>2176</v>
      </c>
      <c r="F121">
        <v>202107</v>
      </c>
      <c r="G121" t="s">
        <v>220</v>
      </c>
      <c r="H121">
        <v>129.32</v>
      </c>
      <c r="O121" t="s">
        <v>2313</v>
      </c>
      <c r="P121" t="s">
        <v>2314</v>
      </c>
      <c r="Q121" t="s">
        <v>2315</v>
      </c>
      <c r="R121" t="s">
        <v>2316</v>
      </c>
      <c r="S121" t="s">
        <v>2176</v>
      </c>
      <c r="T121">
        <v>202111</v>
      </c>
      <c r="U121" t="s">
        <v>231</v>
      </c>
      <c r="V121">
        <v>27292.080000000002</v>
      </c>
    </row>
    <row r="122" spans="1:22">
      <c r="A122" t="s">
        <v>2313</v>
      </c>
      <c r="B122" t="s">
        <v>2314</v>
      </c>
      <c r="C122" t="s">
        <v>2315</v>
      </c>
      <c r="D122" t="s">
        <v>2316</v>
      </c>
      <c r="E122" t="s">
        <v>2176</v>
      </c>
      <c r="F122">
        <v>202108</v>
      </c>
      <c r="G122" t="s">
        <v>218</v>
      </c>
      <c r="H122">
        <v>110</v>
      </c>
      <c r="O122" t="s">
        <v>2313</v>
      </c>
      <c r="P122" t="s">
        <v>2314</v>
      </c>
      <c r="Q122" t="s">
        <v>2315</v>
      </c>
      <c r="R122" t="s">
        <v>2316</v>
      </c>
      <c r="S122" t="s">
        <v>2176</v>
      </c>
      <c r="T122">
        <v>202111</v>
      </c>
      <c r="U122" t="s">
        <v>232</v>
      </c>
      <c r="V122">
        <v>3196.56</v>
      </c>
    </row>
    <row r="123" spans="1:22">
      <c r="A123" t="s">
        <v>2313</v>
      </c>
      <c r="B123" t="s">
        <v>2314</v>
      </c>
      <c r="C123" t="s">
        <v>2315</v>
      </c>
      <c r="D123" t="s">
        <v>2316</v>
      </c>
      <c r="E123" t="s">
        <v>2176</v>
      </c>
      <c r="F123">
        <v>202108</v>
      </c>
      <c r="G123" t="s">
        <v>220</v>
      </c>
      <c r="H123">
        <v>110</v>
      </c>
      <c r="O123" t="s">
        <v>2313</v>
      </c>
      <c r="P123" t="s">
        <v>2314</v>
      </c>
      <c r="Q123" t="s">
        <v>2315</v>
      </c>
      <c r="R123" t="s">
        <v>2316</v>
      </c>
      <c r="S123" t="s">
        <v>2176</v>
      </c>
      <c r="T123">
        <v>202111</v>
      </c>
      <c r="U123" t="s">
        <v>222</v>
      </c>
      <c r="V123">
        <v>27786.27</v>
      </c>
    </row>
    <row r="124" spans="1:22">
      <c r="A124" t="s">
        <v>2313</v>
      </c>
      <c r="B124" t="s">
        <v>2314</v>
      </c>
      <c r="C124" t="s">
        <v>2315</v>
      </c>
      <c r="D124" t="s">
        <v>2316</v>
      </c>
      <c r="E124" t="s">
        <v>2176</v>
      </c>
      <c r="F124">
        <v>202109</v>
      </c>
      <c r="G124" t="s">
        <v>218</v>
      </c>
      <c r="H124">
        <v>110</v>
      </c>
      <c r="O124" t="s">
        <v>2313</v>
      </c>
      <c r="P124" t="s">
        <v>2314</v>
      </c>
      <c r="Q124" t="s">
        <v>2315</v>
      </c>
      <c r="R124" t="s">
        <v>2316</v>
      </c>
      <c r="S124" t="s">
        <v>2176</v>
      </c>
      <c r="T124">
        <v>202111</v>
      </c>
      <c r="U124" t="s">
        <v>224</v>
      </c>
      <c r="V124">
        <v>3254.44</v>
      </c>
    </row>
    <row r="125" spans="1:22">
      <c r="A125" t="s">
        <v>2313</v>
      </c>
      <c r="B125" t="s">
        <v>2314</v>
      </c>
      <c r="C125" t="s">
        <v>2315</v>
      </c>
      <c r="D125" t="s">
        <v>2316</v>
      </c>
      <c r="E125" t="s">
        <v>2176</v>
      </c>
      <c r="F125">
        <v>202109</v>
      </c>
      <c r="G125" t="s">
        <v>220</v>
      </c>
      <c r="H125">
        <v>110</v>
      </c>
      <c r="O125" t="s">
        <v>2313</v>
      </c>
      <c r="P125" t="s">
        <v>2314</v>
      </c>
      <c r="Q125" t="s">
        <v>2315</v>
      </c>
      <c r="R125" t="s">
        <v>2316</v>
      </c>
      <c r="S125" t="s">
        <v>2176</v>
      </c>
      <c r="T125">
        <v>202111</v>
      </c>
      <c r="U125" t="s">
        <v>226</v>
      </c>
      <c r="V125">
        <v>552.05999999999995</v>
      </c>
    </row>
    <row r="126" spans="1:22">
      <c r="A126" t="s">
        <v>2313</v>
      </c>
      <c r="B126" t="s">
        <v>2314</v>
      </c>
      <c r="C126" t="s">
        <v>2315</v>
      </c>
      <c r="D126" t="s">
        <v>2316</v>
      </c>
      <c r="E126" t="s">
        <v>2176</v>
      </c>
      <c r="F126">
        <v>202110</v>
      </c>
      <c r="G126" t="s">
        <v>218</v>
      </c>
      <c r="H126">
        <v>110</v>
      </c>
      <c r="O126" t="s">
        <v>2313</v>
      </c>
      <c r="P126" t="s">
        <v>2314</v>
      </c>
      <c r="Q126" t="s">
        <v>2315</v>
      </c>
      <c r="R126" t="s">
        <v>2316</v>
      </c>
      <c r="S126" t="s">
        <v>2176</v>
      </c>
      <c r="T126">
        <v>202112</v>
      </c>
      <c r="U126" t="s">
        <v>231</v>
      </c>
      <c r="V126">
        <v>37180.699999999997</v>
      </c>
    </row>
    <row r="127" spans="1:22">
      <c r="A127" t="s">
        <v>2313</v>
      </c>
      <c r="B127" t="s">
        <v>2314</v>
      </c>
      <c r="C127" t="s">
        <v>2315</v>
      </c>
      <c r="D127" t="s">
        <v>2316</v>
      </c>
      <c r="E127" t="s">
        <v>2176</v>
      </c>
      <c r="F127">
        <v>202110</v>
      </c>
      <c r="G127" t="s">
        <v>220</v>
      </c>
      <c r="H127">
        <v>110</v>
      </c>
      <c r="O127" t="s">
        <v>2313</v>
      </c>
      <c r="P127" t="s">
        <v>2314</v>
      </c>
      <c r="Q127" t="s">
        <v>2315</v>
      </c>
      <c r="R127" t="s">
        <v>2316</v>
      </c>
      <c r="S127" t="s">
        <v>2176</v>
      </c>
      <c r="T127">
        <v>202112</v>
      </c>
      <c r="U127" t="s">
        <v>232</v>
      </c>
      <c r="V127">
        <v>4176.2700000000004</v>
      </c>
    </row>
    <row r="128" spans="1:22">
      <c r="A128" t="s">
        <v>2313</v>
      </c>
      <c r="B128" t="s">
        <v>2314</v>
      </c>
      <c r="C128" t="s">
        <v>2315</v>
      </c>
      <c r="D128" t="s">
        <v>2316</v>
      </c>
      <c r="E128" t="s">
        <v>2176</v>
      </c>
      <c r="F128">
        <v>202111</v>
      </c>
      <c r="G128" t="s">
        <v>218</v>
      </c>
      <c r="H128">
        <v>110</v>
      </c>
      <c r="O128" t="s">
        <v>2313</v>
      </c>
      <c r="P128" t="s">
        <v>2314</v>
      </c>
      <c r="Q128" t="s">
        <v>2315</v>
      </c>
      <c r="R128" t="s">
        <v>2316</v>
      </c>
      <c r="S128" t="s">
        <v>2176</v>
      </c>
      <c r="T128">
        <v>202112</v>
      </c>
      <c r="U128" t="s">
        <v>222</v>
      </c>
      <c r="V128">
        <v>37646.36</v>
      </c>
    </row>
    <row r="129" spans="1:22">
      <c r="A129" t="s">
        <v>2313</v>
      </c>
      <c r="B129" t="s">
        <v>2314</v>
      </c>
      <c r="C129" t="s">
        <v>2315</v>
      </c>
      <c r="D129" t="s">
        <v>2316</v>
      </c>
      <c r="E129" t="s">
        <v>2176</v>
      </c>
      <c r="F129">
        <v>202111</v>
      </c>
      <c r="G129" t="s">
        <v>220</v>
      </c>
      <c r="H129">
        <v>110</v>
      </c>
      <c r="O129" t="s">
        <v>2313</v>
      </c>
      <c r="P129" t="s">
        <v>2314</v>
      </c>
      <c r="Q129" t="s">
        <v>2315</v>
      </c>
      <c r="R129" t="s">
        <v>2316</v>
      </c>
      <c r="S129" t="s">
        <v>2176</v>
      </c>
      <c r="T129">
        <v>202112</v>
      </c>
      <c r="U129" t="s">
        <v>224</v>
      </c>
      <c r="V129">
        <v>4228.58</v>
      </c>
    </row>
    <row r="130" spans="1:22">
      <c r="A130" t="s">
        <v>2313</v>
      </c>
      <c r="B130" t="s">
        <v>2314</v>
      </c>
      <c r="C130" t="s">
        <v>2315</v>
      </c>
      <c r="D130" t="s">
        <v>2316</v>
      </c>
      <c r="E130" t="s">
        <v>2176</v>
      </c>
      <c r="F130">
        <v>202112</v>
      </c>
      <c r="G130" t="s">
        <v>218</v>
      </c>
      <c r="H130">
        <v>114.54</v>
      </c>
      <c r="O130" t="s">
        <v>2313</v>
      </c>
      <c r="P130" t="s">
        <v>2314</v>
      </c>
      <c r="Q130" t="s">
        <v>2315</v>
      </c>
      <c r="R130" t="s">
        <v>2316</v>
      </c>
      <c r="S130" t="s">
        <v>2176</v>
      </c>
      <c r="T130">
        <v>202112</v>
      </c>
      <c r="U130" t="s">
        <v>226</v>
      </c>
      <c r="V130">
        <v>517.96</v>
      </c>
    </row>
    <row r="131" spans="1:22">
      <c r="A131" t="s">
        <v>2313</v>
      </c>
      <c r="B131" t="s">
        <v>2314</v>
      </c>
      <c r="C131" t="s">
        <v>2315</v>
      </c>
      <c r="D131" t="s">
        <v>2316</v>
      </c>
      <c r="E131" t="s">
        <v>2176</v>
      </c>
      <c r="F131">
        <v>202112</v>
      </c>
      <c r="G131" t="s">
        <v>220</v>
      </c>
      <c r="H131">
        <v>110</v>
      </c>
      <c r="O131" t="s">
        <v>2313</v>
      </c>
      <c r="P131" t="s">
        <v>2314</v>
      </c>
      <c r="Q131" t="s">
        <v>2315</v>
      </c>
      <c r="R131" t="s">
        <v>2316</v>
      </c>
      <c r="S131" t="s">
        <v>2176</v>
      </c>
      <c r="T131">
        <v>202201</v>
      </c>
      <c r="U131" t="s">
        <v>231</v>
      </c>
      <c r="V131">
        <v>0</v>
      </c>
    </row>
    <row r="132" spans="1:22">
      <c r="A132" t="s">
        <v>2313</v>
      </c>
      <c r="B132" t="s">
        <v>2314</v>
      </c>
      <c r="C132" t="s">
        <v>2315</v>
      </c>
      <c r="D132" t="s">
        <v>2316</v>
      </c>
      <c r="E132" t="s">
        <v>2176</v>
      </c>
      <c r="F132">
        <v>202201</v>
      </c>
      <c r="G132" t="s">
        <v>218</v>
      </c>
      <c r="H132">
        <v>133.02000000000001</v>
      </c>
      <c r="O132" t="s">
        <v>2313</v>
      </c>
      <c r="P132" t="s">
        <v>2314</v>
      </c>
      <c r="Q132" t="s">
        <v>2315</v>
      </c>
      <c r="R132" t="s">
        <v>2316</v>
      </c>
      <c r="S132" t="s">
        <v>2176</v>
      </c>
      <c r="T132">
        <v>202201</v>
      </c>
      <c r="U132" t="s">
        <v>232</v>
      </c>
      <c r="V132">
        <v>0</v>
      </c>
    </row>
    <row r="133" spans="1:22">
      <c r="A133" t="s">
        <v>2313</v>
      </c>
      <c r="B133" t="s">
        <v>2314</v>
      </c>
      <c r="C133" t="s">
        <v>2315</v>
      </c>
      <c r="D133" t="s">
        <v>2316</v>
      </c>
      <c r="E133" t="s">
        <v>2176</v>
      </c>
      <c r="F133">
        <v>202201</v>
      </c>
      <c r="G133" t="s">
        <v>220</v>
      </c>
      <c r="H133">
        <v>110</v>
      </c>
      <c r="O133" t="s">
        <v>2313</v>
      </c>
      <c r="P133" t="s">
        <v>2314</v>
      </c>
      <c r="Q133" t="s">
        <v>2315</v>
      </c>
      <c r="R133" t="s">
        <v>2316</v>
      </c>
      <c r="S133" t="s">
        <v>2176</v>
      </c>
      <c r="T133">
        <v>202201</v>
      </c>
      <c r="U133" t="s">
        <v>222</v>
      </c>
      <c r="V133">
        <v>45039.86</v>
      </c>
    </row>
    <row r="134" spans="1:22">
      <c r="A134" t="s">
        <v>2313</v>
      </c>
      <c r="B134" t="s">
        <v>2314</v>
      </c>
      <c r="C134" t="s">
        <v>2315</v>
      </c>
      <c r="D134" t="s">
        <v>2316</v>
      </c>
      <c r="E134" t="s">
        <v>2176</v>
      </c>
      <c r="F134">
        <v>202202</v>
      </c>
      <c r="G134" t="s">
        <v>218</v>
      </c>
      <c r="H134">
        <v>127.48</v>
      </c>
      <c r="O134" t="s">
        <v>2313</v>
      </c>
      <c r="P134" t="s">
        <v>2314</v>
      </c>
      <c r="Q134" t="s">
        <v>2315</v>
      </c>
      <c r="R134" t="s">
        <v>2316</v>
      </c>
      <c r="S134" t="s">
        <v>2176</v>
      </c>
      <c r="T134">
        <v>202201</v>
      </c>
      <c r="U134" t="s">
        <v>224</v>
      </c>
      <c r="V134">
        <v>4010.59</v>
      </c>
    </row>
    <row r="135" spans="1:22">
      <c r="A135" t="s">
        <v>2313</v>
      </c>
      <c r="B135" t="s">
        <v>2314</v>
      </c>
      <c r="C135" t="s">
        <v>2315</v>
      </c>
      <c r="D135" t="s">
        <v>2316</v>
      </c>
      <c r="E135" t="s">
        <v>2176</v>
      </c>
      <c r="F135">
        <v>202202</v>
      </c>
      <c r="G135" t="s">
        <v>220</v>
      </c>
      <c r="H135">
        <v>110</v>
      </c>
      <c r="O135" t="s">
        <v>2313</v>
      </c>
      <c r="P135" t="s">
        <v>2314</v>
      </c>
      <c r="Q135" t="s">
        <v>2315</v>
      </c>
      <c r="R135" t="s">
        <v>2316</v>
      </c>
      <c r="S135" t="s">
        <v>2176</v>
      </c>
      <c r="T135">
        <v>202201</v>
      </c>
      <c r="U135" t="s">
        <v>226</v>
      </c>
      <c r="V135">
        <v>0</v>
      </c>
    </row>
    <row r="136" spans="1:22">
      <c r="A136" t="s">
        <v>2313</v>
      </c>
      <c r="B136" t="s">
        <v>2314</v>
      </c>
      <c r="C136" t="s">
        <v>2315</v>
      </c>
      <c r="D136" t="s">
        <v>2316</v>
      </c>
      <c r="E136" t="s">
        <v>2176</v>
      </c>
      <c r="F136">
        <v>202203</v>
      </c>
      <c r="G136" t="s">
        <v>218</v>
      </c>
      <c r="H136">
        <v>112.7</v>
      </c>
      <c r="O136" t="s">
        <v>2313</v>
      </c>
      <c r="P136" t="s">
        <v>2314</v>
      </c>
      <c r="Q136" t="s">
        <v>2315</v>
      </c>
      <c r="R136" t="s">
        <v>2316</v>
      </c>
      <c r="S136" t="s">
        <v>2176</v>
      </c>
      <c r="T136">
        <v>202202</v>
      </c>
      <c r="U136" t="s">
        <v>231</v>
      </c>
      <c r="V136">
        <v>0</v>
      </c>
    </row>
    <row r="137" spans="1:22">
      <c r="A137" t="s">
        <v>2313</v>
      </c>
      <c r="B137" t="s">
        <v>2314</v>
      </c>
      <c r="C137" t="s">
        <v>2315</v>
      </c>
      <c r="D137" t="s">
        <v>2316</v>
      </c>
      <c r="E137" t="s">
        <v>2176</v>
      </c>
      <c r="F137">
        <v>202203</v>
      </c>
      <c r="G137" t="s">
        <v>220</v>
      </c>
      <c r="H137">
        <v>110</v>
      </c>
      <c r="O137" t="s">
        <v>2313</v>
      </c>
      <c r="P137" t="s">
        <v>2314</v>
      </c>
      <c r="Q137" t="s">
        <v>2315</v>
      </c>
      <c r="R137" t="s">
        <v>2316</v>
      </c>
      <c r="S137" t="s">
        <v>2176</v>
      </c>
      <c r="T137">
        <v>202202</v>
      </c>
      <c r="U137" t="s">
        <v>232</v>
      </c>
      <c r="V137">
        <v>0</v>
      </c>
    </row>
    <row r="138" spans="1:22">
      <c r="A138" t="s">
        <v>2313</v>
      </c>
      <c r="B138" t="s">
        <v>2314</v>
      </c>
      <c r="C138" t="s">
        <v>2315</v>
      </c>
      <c r="D138" t="s">
        <v>2316</v>
      </c>
      <c r="E138" t="s">
        <v>2176</v>
      </c>
      <c r="F138">
        <v>202204</v>
      </c>
      <c r="G138" t="s">
        <v>218</v>
      </c>
      <c r="H138">
        <v>110</v>
      </c>
      <c r="O138" t="s">
        <v>2313</v>
      </c>
      <c r="P138" t="s">
        <v>2314</v>
      </c>
      <c r="Q138" t="s">
        <v>2315</v>
      </c>
      <c r="R138" t="s">
        <v>2316</v>
      </c>
      <c r="S138" t="s">
        <v>2176</v>
      </c>
      <c r="T138">
        <v>202202</v>
      </c>
      <c r="U138" t="s">
        <v>222</v>
      </c>
      <c r="V138">
        <v>34069.58</v>
      </c>
    </row>
    <row r="139" spans="1:22">
      <c r="A139" t="s">
        <v>2313</v>
      </c>
      <c r="B139" t="s">
        <v>2314</v>
      </c>
      <c r="C139" t="s">
        <v>2315</v>
      </c>
      <c r="D139" t="s">
        <v>2316</v>
      </c>
      <c r="E139" t="s">
        <v>2176</v>
      </c>
      <c r="F139">
        <v>202204</v>
      </c>
      <c r="G139" t="s">
        <v>220</v>
      </c>
      <c r="H139">
        <v>110</v>
      </c>
      <c r="O139" t="s">
        <v>2313</v>
      </c>
      <c r="P139" t="s">
        <v>2314</v>
      </c>
      <c r="Q139" t="s">
        <v>2315</v>
      </c>
      <c r="R139" t="s">
        <v>2316</v>
      </c>
      <c r="S139" t="s">
        <v>2176</v>
      </c>
      <c r="T139">
        <v>202202</v>
      </c>
      <c r="U139" t="s">
        <v>224</v>
      </c>
      <c r="V139">
        <v>3614.71</v>
      </c>
    </row>
    <row r="140" spans="1:22">
      <c r="A140" t="s">
        <v>2313</v>
      </c>
      <c r="B140" t="s">
        <v>2314</v>
      </c>
      <c r="C140" t="s">
        <v>2315</v>
      </c>
      <c r="D140" t="s">
        <v>2316</v>
      </c>
      <c r="E140" t="s">
        <v>2176</v>
      </c>
      <c r="F140">
        <v>202205</v>
      </c>
      <c r="G140" t="s">
        <v>218</v>
      </c>
      <c r="H140">
        <v>110</v>
      </c>
      <c r="O140" t="s">
        <v>2313</v>
      </c>
      <c r="P140" t="s">
        <v>2314</v>
      </c>
      <c r="Q140" t="s">
        <v>2315</v>
      </c>
      <c r="R140" t="s">
        <v>2316</v>
      </c>
      <c r="S140" t="s">
        <v>2176</v>
      </c>
      <c r="T140">
        <v>202202</v>
      </c>
      <c r="U140" t="s">
        <v>226</v>
      </c>
      <c r="V140">
        <v>0</v>
      </c>
    </row>
    <row r="141" spans="1:22">
      <c r="A141" t="s">
        <v>2313</v>
      </c>
      <c r="B141" t="s">
        <v>2314</v>
      </c>
      <c r="C141" t="s">
        <v>2315</v>
      </c>
      <c r="D141" t="s">
        <v>2316</v>
      </c>
      <c r="E141" t="s">
        <v>2176</v>
      </c>
      <c r="F141">
        <v>202205</v>
      </c>
      <c r="G141" t="s">
        <v>220</v>
      </c>
      <c r="H141">
        <v>110</v>
      </c>
      <c r="O141" t="s">
        <v>2313</v>
      </c>
      <c r="P141" t="s">
        <v>2314</v>
      </c>
      <c r="Q141" t="s">
        <v>2315</v>
      </c>
      <c r="R141" t="s">
        <v>2316</v>
      </c>
      <c r="S141" t="s">
        <v>2176</v>
      </c>
      <c r="T141">
        <v>202203</v>
      </c>
      <c r="U141" t="s">
        <v>231</v>
      </c>
      <c r="V141">
        <v>0</v>
      </c>
    </row>
    <row r="142" spans="1:22">
      <c r="A142" t="s">
        <v>2313</v>
      </c>
      <c r="B142" t="s">
        <v>2314</v>
      </c>
      <c r="C142" t="s">
        <v>2315</v>
      </c>
      <c r="D142" t="s">
        <v>2316</v>
      </c>
      <c r="E142" t="s">
        <v>215</v>
      </c>
      <c r="F142">
        <v>202104</v>
      </c>
      <c r="G142" t="s">
        <v>231</v>
      </c>
      <c r="H142">
        <v>6271319.7400000002</v>
      </c>
      <c r="O142" t="s">
        <v>2313</v>
      </c>
      <c r="P142" t="s">
        <v>2314</v>
      </c>
      <c r="Q142" t="s">
        <v>2315</v>
      </c>
      <c r="R142" t="s">
        <v>2316</v>
      </c>
      <c r="S142" t="s">
        <v>2176</v>
      </c>
      <c r="T142">
        <v>202203</v>
      </c>
      <c r="U142" t="s">
        <v>232</v>
      </c>
      <c r="V142">
        <v>0</v>
      </c>
    </row>
    <row r="143" spans="1:22">
      <c r="A143" t="s">
        <v>2313</v>
      </c>
      <c r="B143" t="s">
        <v>2314</v>
      </c>
      <c r="C143" t="s">
        <v>2315</v>
      </c>
      <c r="D143" t="s">
        <v>2316</v>
      </c>
      <c r="E143" t="s">
        <v>215</v>
      </c>
      <c r="F143">
        <v>202104</v>
      </c>
      <c r="G143" t="s">
        <v>232</v>
      </c>
      <c r="H143">
        <v>972660.66</v>
      </c>
      <c r="O143" t="s">
        <v>2313</v>
      </c>
      <c r="P143" t="s">
        <v>2314</v>
      </c>
      <c r="Q143" t="s">
        <v>2315</v>
      </c>
      <c r="R143" t="s">
        <v>2316</v>
      </c>
      <c r="S143" t="s">
        <v>2176</v>
      </c>
      <c r="T143">
        <v>202203</v>
      </c>
      <c r="U143" t="s">
        <v>222</v>
      </c>
      <c r="V143">
        <v>31482.17</v>
      </c>
    </row>
    <row r="144" spans="1:22">
      <c r="A144" t="s">
        <v>2313</v>
      </c>
      <c r="B144" t="s">
        <v>2314</v>
      </c>
      <c r="C144" t="s">
        <v>2315</v>
      </c>
      <c r="D144" t="s">
        <v>2316</v>
      </c>
      <c r="E144" t="s">
        <v>215</v>
      </c>
      <c r="F144">
        <v>202104</v>
      </c>
      <c r="G144" t="s">
        <v>222</v>
      </c>
      <c r="H144">
        <v>0</v>
      </c>
      <c r="O144" t="s">
        <v>2313</v>
      </c>
      <c r="P144" t="s">
        <v>2314</v>
      </c>
      <c r="Q144" t="s">
        <v>2315</v>
      </c>
      <c r="R144" t="s">
        <v>2316</v>
      </c>
      <c r="S144" t="s">
        <v>2176</v>
      </c>
      <c r="T144">
        <v>202203</v>
      </c>
      <c r="U144" t="s">
        <v>224</v>
      </c>
      <c r="V144">
        <v>4205.0200000000004</v>
      </c>
    </row>
    <row r="145" spans="1:22">
      <c r="A145" t="s">
        <v>2313</v>
      </c>
      <c r="B145" t="s">
        <v>2314</v>
      </c>
      <c r="C145" t="s">
        <v>2315</v>
      </c>
      <c r="D145" t="s">
        <v>2316</v>
      </c>
      <c r="E145" t="s">
        <v>215</v>
      </c>
      <c r="F145">
        <v>202104</v>
      </c>
      <c r="G145" t="s">
        <v>224</v>
      </c>
      <c r="H145">
        <v>0</v>
      </c>
      <c r="O145" t="s">
        <v>2313</v>
      </c>
      <c r="P145" t="s">
        <v>2314</v>
      </c>
      <c r="Q145" t="s">
        <v>2315</v>
      </c>
      <c r="R145" t="s">
        <v>2316</v>
      </c>
      <c r="S145" t="s">
        <v>2176</v>
      </c>
      <c r="T145">
        <v>202203</v>
      </c>
      <c r="U145" t="s">
        <v>226</v>
      </c>
      <c r="V145">
        <v>0</v>
      </c>
    </row>
    <row r="146" spans="1:22">
      <c r="A146" t="s">
        <v>2313</v>
      </c>
      <c r="B146" t="s">
        <v>2314</v>
      </c>
      <c r="C146" t="s">
        <v>2315</v>
      </c>
      <c r="D146" t="s">
        <v>2316</v>
      </c>
      <c r="E146" t="s">
        <v>215</v>
      </c>
      <c r="F146">
        <v>202104</v>
      </c>
      <c r="G146" t="s">
        <v>226</v>
      </c>
      <c r="H146">
        <v>94012</v>
      </c>
      <c r="O146" t="s">
        <v>2313</v>
      </c>
      <c r="P146" t="s">
        <v>2314</v>
      </c>
      <c r="Q146" t="s">
        <v>2315</v>
      </c>
      <c r="R146" t="s">
        <v>2316</v>
      </c>
      <c r="S146" t="s">
        <v>2176</v>
      </c>
      <c r="T146">
        <v>202204</v>
      </c>
      <c r="U146" t="s">
        <v>231</v>
      </c>
      <c r="V146">
        <v>0</v>
      </c>
    </row>
    <row r="147" spans="1:22">
      <c r="A147" t="s">
        <v>2313</v>
      </c>
      <c r="B147" t="s">
        <v>2314</v>
      </c>
      <c r="C147" t="s">
        <v>2315</v>
      </c>
      <c r="D147" t="s">
        <v>2316</v>
      </c>
      <c r="E147" t="s">
        <v>215</v>
      </c>
      <c r="F147">
        <v>202105</v>
      </c>
      <c r="G147" t="s">
        <v>231</v>
      </c>
      <c r="H147">
        <v>5592759.0700000003</v>
      </c>
      <c r="O147" t="s">
        <v>2313</v>
      </c>
      <c r="P147" t="s">
        <v>2314</v>
      </c>
      <c r="Q147" t="s">
        <v>2315</v>
      </c>
      <c r="R147" t="s">
        <v>2316</v>
      </c>
      <c r="S147" t="s">
        <v>2176</v>
      </c>
      <c r="T147">
        <v>202204</v>
      </c>
      <c r="U147" t="s">
        <v>232</v>
      </c>
      <c r="V147">
        <v>0</v>
      </c>
    </row>
    <row r="148" spans="1:22">
      <c r="A148" t="s">
        <v>2313</v>
      </c>
      <c r="B148" t="s">
        <v>2314</v>
      </c>
      <c r="C148" t="s">
        <v>2315</v>
      </c>
      <c r="D148" t="s">
        <v>2316</v>
      </c>
      <c r="E148" t="s">
        <v>215</v>
      </c>
      <c r="F148">
        <v>202105</v>
      </c>
      <c r="G148" t="s">
        <v>232</v>
      </c>
      <c r="H148">
        <v>797947.53</v>
      </c>
      <c r="O148" t="s">
        <v>2313</v>
      </c>
      <c r="P148" t="s">
        <v>2314</v>
      </c>
      <c r="Q148" t="s">
        <v>2315</v>
      </c>
      <c r="R148" t="s">
        <v>2316</v>
      </c>
      <c r="S148" t="s">
        <v>2176</v>
      </c>
      <c r="T148">
        <v>202204</v>
      </c>
      <c r="U148" t="s">
        <v>222</v>
      </c>
      <c r="V148">
        <v>23623.83</v>
      </c>
    </row>
    <row r="149" spans="1:22">
      <c r="A149" t="s">
        <v>2313</v>
      </c>
      <c r="B149" t="s">
        <v>2314</v>
      </c>
      <c r="C149" t="s">
        <v>2315</v>
      </c>
      <c r="D149" t="s">
        <v>2316</v>
      </c>
      <c r="E149" t="s">
        <v>215</v>
      </c>
      <c r="F149">
        <v>202105</v>
      </c>
      <c r="G149" t="s">
        <v>222</v>
      </c>
      <c r="H149">
        <v>0</v>
      </c>
      <c r="O149" t="s">
        <v>2313</v>
      </c>
      <c r="P149" t="s">
        <v>2314</v>
      </c>
      <c r="Q149" t="s">
        <v>2315</v>
      </c>
      <c r="R149" t="s">
        <v>2316</v>
      </c>
      <c r="S149" t="s">
        <v>2176</v>
      </c>
      <c r="T149">
        <v>202204</v>
      </c>
      <c r="U149" t="s">
        <v>224</v>
      </c>
      <c r="V149">
        <v>3597.63</v>
      </c>
    </row>
    <row r="150" spans="1:22">
      <c r="A150" t="s">
        <v>2313</v>
      </c>
      <c r="B150" t="s">
        <v>2314</v>
      </c>
      <c r="C150" t="s">
        <v>2315</v>
      </c>
      <c r="D150" t="s">
        <v>2316</v>
      </c>
      <c r="E150" t="s">
        <v>215</v>
      </c>
      <c r="F150">
        <v>202105</v>
      </c>
      <c r="G150" t="s">
        <v>224</v>
      </c>
      <c r="H150">
        <v>0</v>
      </c>
      <c r="O150" t="s">
        <v>2313</v>
      </c>
      <c r="P150" t="s">
        <v>2314</v>
      </c>
      <c r="Q150" t="s">
        <v>2315</v>
      </c>
      <c r="R150" t="s">
        <v>2316</v>
      </c>
      <c r="S150" t="s">
        <v>2176</v>
      </c>
      <c r="T150">
        <v>202204</v>
      </c>
      <c r="U150" t="s">
        <v>226</v>
      </c>
      <c r="V150">
        <v>0</v>
      </c>
    </row>
    <row r="151" spans="1:22">
      <c r="A151" t="s">
        <v>2313</v>
      </c>
      <c r="B151" t="s">
        <v>2314</v>
      </c>
      <c r="C151" t="s">
        <v>2315</v>
      </c>
      <c r="D151" t="s">
        <v>2316</v>
      </c>
      <c r="E151" t="s">
        <v>215</v>
      </c>
      <c r="F151">
        <v>202105</v>
      </c>
      <c r="G151" t="s">
        <v>226</v>
      </c>
      <c r="H151">
        <v>99023</v>
      </c>
      <c r="O151" t="s">
        <v>2313</v>
      </c>
      <c r="P151" t="s">
        <v>2314</v>
      </c>
      <c r="Q151" t="s">
        <v>2315</v>
      </c>
      <c r="R151" t="s">
        <v>2316</v>
      </c>
      <c r="S151" t="s">
        <v>2176</v>
      </c>
      <c r="T151">
        <v>202205</v>
      </c>
      <c r="U151" t="s">
        <v>231</v>
      </c>
      <c r="V151">
        <v>0</v>
      </c>
    </row>
    <row r="152" spans="1:22">
      <c r="A152" t="s">
        <v>2313</v>
      </c>
      <c r="B152" t="s">
        <v>2314</v>
      </c>
      <c r="C152" t="s">
        <v>2315</v>
      </c>
      <c r="D152" t="s">
        <v>2316</v>
      </c>
      <c r="E152" t="s">
        <v>215</v>
      </c>
      <c r="F152">
        <v>202106</v>
      </c>
      <c r="G152" t="s">
        <v>231</v>
      </c>
      <c r="H152">
        <v>5114302.1100000003</v>
      </c>
      <c r="O152" t="s">
        <v>2313</v>
      </c>
      <c r="P152" t="s">
        <v>2314</v>
      </c>
      <c r="Q152" t="s">
        <v>2315</v>
      </c>
      <c r="R152" t="s">
        <v>2316</v>
      </c>
      <c r="S152" t="s">
        <v>2176</v>
      </c>
      <c r="T152">
        <v>202205</v>
      </c>
      <c r="U152" t="s">
        <v>232</v>
      </c>
      <c r="V152">
        <v>0</v>
      </c>
    </row>
    <row r="153" spans="1:22">
      <c r="A153" t="s">
        <v>2313</v>
      </c>
      <c r="B153" t="s">
        <v>2314</v>
      </c>
      <c r="C153" t="s">
        <v>2315</v>
      </c>
      <c r="D153" t="s">
        <v>2316</v>
      </c>
      <c r="E153" t="s">
        <v>215</v>
      </c>
      <c r="F153">
        <v>202106</v>
      </c>
      <c r="G153" t="s">
        <v>232</v>
      </c>
      <c r="H153">
        <v>790562.89</v>
      </c>
      <c r="O153" t="s">
        <v>2313</v>
      </c>
      <c r="P153" t="s">
        <v>2314</v>
      </c>
      <c r="Q153" t="s">
        <v>2315</v>
      </c>
      <c r="R153" t="s">
        <v>2316</v>
      </c>
      <c r="S153" t="s">
        <v>2176</v>
      </c>
      <c r="T153">
        <v>202205</v>
      </c>
      <c r="U153" t="s">
        <v>222</v>
      </c>
      <c r="V153">
        <v>22424.34</v>
      </c>
    </row>
    <row r="154" spans="1:22">
      <c r="A154" t="s">
        <v>2313</v>
      </c>
      <c r="B154" t="s">
        <v>2314</v>
      </c>
      <c r="C154" t="s">
        <v>2315</v>
      </c>
      <c r="D154" t="s">
        <v>2316</v>
      </c>
      <c r="E154" t="s">
        <v>215</v>
      </c>
      <c r="F154">
        <v>202106</v>
      </c>
      <c r="G154" t="s">
        <v>222</v>
      </c>
      <c r="H154">
        <v>0</v>
      </c>
      <c r="O154" t="s">
        <v>2313</v>
      </c>
      <c r="P154" t="s">
        <v>2314</v>
      </c>
      <c r="Q154" t="s">
        <v>2315</v>
      </c>
      <c r="R154" t="s">
        <v>2316</v>
      </c>
      <c r="S154" t="s">
        <v>2176</v>
      </c>
      <c r="T154">
        <v>202205</v>
      </c>
      <c r="U154" t="s">
        <v>224</v>
      </c>
      <c r="V154">
        <v>4292.7700000000004</v>
      </c>
    </row>
    <row r="155" spans="1:22">
      <c r="A155" t="s">
        <v>2313</v>
      </c>
      <c r="B155" t="s">
        <v>2314</v>
      </c>
      <c r="C155" t="s">
        <v>2315</v>
      </c>
      <c r="D155" t="s">
        <v>2316</v>
      </c>
      <c r="E155" t="s">
        <v>215</v>
      </c>
      <c r="F155">
        <v>202106</v>
      </c>
      <c r="G155" t="s">
        <v>224</v>
      </c>
      <c r="H155">
        <v>0</v>
      </c>
      <c r="O155" t="s">
        <v>2313</v>
      </c>
      <c r="P155" t="s">
        <v>2314</v>
      </c>
      <c r="Q155" t="s">
        <v>2315</v>
      </c>
      <c r="R155" t="s">
        <v>2316</v>
      </c>
      <c r="S155" t="s">
        <v>2176</v>
      </c>
      <c r="T155">
        <v>202205</v>
      </c>
      <c r="U155" t="s">
        <v>226</v>
      </c>
      <c r="V155">
        <v>0</v>
      </c>
    </row>
    <row r="156" spans="1:22">
      <c r="A156" t="s">
        <v>2313</v>
      </c>
      <c r="B156" t="s">
        <v>2314</v>
      </c>
      <c r="C156" t="s">
        <v>2315</v>
      </c>
      <c r="D156" t="s">
        <v>2316</v>
      </c>
      <c r="E156" t="s">
        <v>215</v>
      </c>
      <c r="F156">
        <v>202106</v>
      </c>
      <c r="G156" t="s">
        <v>226</v>
      </c>
      <c r="H156">
        <v>111350</v>
      </c>
    </row>
    <row r="157" spans="1:22">
      <c r="A157" t="s">
        <v>2313</v>
      </c>
      <c r="B157" t="s">
        <v>2314</v>
      </c>
      <c r="C157" t="s">
        <v>2315</v>
      </c>
      <c r="D157" t="s">
        <v>2316</v>
      </c>
      <c r="E157" t="s">
        <v>215</v>
      </c>
      <c r="F157">
        <v>202107</v>
      </c>
      <c r="G157" t="s">
        <v>231</v>
      </c>
      <c r="H157">
        <v>5060157.22</v>
      </c>
      <c r="O157" t="s">
        <v>2313</v>
      </c>
      <c r="P157" t="s">
        <v>2314</v>
      </c>
      <c r="Q157" t="s">
        <v>2315</v>
      </c>
      <c r="R157" t="s">
        <v>2316</v>
      </c>
      <c r="S157" t="s">
        <v>215</v>
      </c>
      <c r="T157">
        <v>202205</v>
      </c>
      <c r="U157" t="s">
        <v>218</v>
      </c>
      <c r="V157">
        <v>0</v>
      </c>
    </row>
    <row r="158" spans="1:22">
      <c r="A158" t="s">
        <v>2313</v>
      </c>
      <c r="B158" t="s">
        <v>2314</v>
      </c>
      <c r="C158" t="s">
        <v>2315</v>
      </c>
      <c r="D158" t="s">
        <v>2316</v>
      </c>
      <c r="E158" t="s">
        <v>215</v>
      </c>
      <c r="F158">
        <v>202107</v>
      </c>
      <c r="G158" t="s">
        <v>232</v>
      </c>
      <c r="H158">
        <v>869838.78</v>
      </c>
      <c r="O158" t="s">
        <v>2313</v>
      </c>
      <c r="P158" t="s">
        <v>2314</v>
      </c>
      <c r="Q158" t="s">
        <v>2315</v>
      </c>
      <c r="R158" t="s">
        <v>2316</v>
      </c>
      <c r="S158" t="s">
        <v>215</v>
      </c>
      <c r="T158">
        <v>202205</v>
      </c>
      <c r="U158" t="s">
        <v>220</v>
      </c>
      <c r="V158">
        <v>0</v>
      </c>
    </row>
    <row r="159" spans="1:22">
      <c r="A159" t="s">
        <v>2313</v>
      </c>
      <c r="B159" t="s">
        <v>2314</v>
      </c>
      <c r="C159" t="s">
        <v>2315</v>
      </c>
      <c r="D159" t="s">
        <v>2316</v>
      </c>
      <c r="E159" t="s">
        <v>215</v>
      </c>
      <c r="F159">
        <v>202107</v>
      </c>
      <c r="G159" t="s">
        <v>222</v>
      </c>
      <c r="H159">
        <v>0</v>
      </c>
      <c r="O159" t="s">
        <v>2313</v>
      </c>
      <c r="P159" t="s">
        <v>2314</v>
      </c>
      <c r="Q159" t="s">
        <v>2315</v>
      </c>
      <c r="R159" t="s">
        <v>2316</v>
      </c>
      <c r="S159" t="s">
        <v>2176</v>
      </c>
      <c r="T159">
        <v>202205</v>
      </c>
      <c r="U159" t="s">
        <v>218</v>
      </c>
      <c r="V159">
        <v>110</v>
      </c>
    </row>
    <row r="160" spans="1:22">
      <c r="A160" t="s">
        <v>2313</v>
      </c>
      <c r="B160" t="s">
        <v>2314</v>
      </c>
      <c r="C160" t="s">
        <v>2315</v>
      </c>
      <c r="D160" t="s">
        <v>2316</v>
      </c>
      <c r="E160" t="s">
        <v>215</v>
      </c>
      <c r="F160">
        <v>202107</v>
      </c>
      <c r="G160" t="s">
        <v>224</v>
      </c>
      <c r="H160">
        <v>0</v>
      </c>
      <c r="O160" t="s">
        <v>2313</v>
      </c>
      <c r="P160" t="s">
        <v>2314</v>
      </c>
      <c r="Q160" t="s">
        <v>2315</v>
      </c>
      <c r="R160" t="s">
        <v>2316</v>
      </c>
      <c r="S160" t="s">
        <v>2176</v>
      </c>
      <c r="T160">
        <v>202205</v>
      </c>
      <c r="U160" t="s">
        <v>220</v>
      </c>
      <c r="V160">
        <v>110</v>
      </c>
    </row>
    <row r="161" spans="1:22">
      <c r="A161" t="s">
        <v>2313</v>
      </c>
      <c r="B161" t="s">
        <v>2314</v>
      </c>
      <c r="C161" t="s">
        <v>2315</v>
      </c>
      <c r="D161" t="s">
        <v>2316</v>
      </c>
      <c r="E161" t="s">
        <v>215</v>
      </c>
      <c r="F161">
        <v>202107</v>
      </c>
      <c r="G161" t="s">
        <v>226</v>
      </c>
      <c r="H161">
        <v>111547</v>
      </c>
      <c r="O161" t="s">
        <v>2313</v>
      </c>
      <c r="P161" t="s">
        <v>2314</v>
      </c>
      <c r="Q161" t="s">
        <v>2315</v>
      </c>
      <c r="R161" t="s">
        <v>2316</v>
      </c>
      <c r="S161" t="s">
        <v>215</v>
      </c>
      <c r="T161">
        <v>202205</v>
      </c>
      <c r="U161" t="s">
        <v>231</v>
      </c>
      <c r="V161">
        <v>33666</v>
      </c>
    </row>
    <row r="162" spans="1:22">
      <c r="A162" t="s">
        <v>2313</v>
      </c>
      <c r="B162" t="s">
        <v>2314</v>
      </c>
      <c r="C162" t="s">
        <v>2315</v>
      </c>
      <c r="D162" t="s">
        <v>2316</v>
      </c>
      <c r="E162" t="s">
        <v>215</v>
      </c>
      <c r="F162">
        <v>202108</v>
      </c>
      <c r="G162" t="s">
        <v>231</v>
      </c>
      <c r="H162">
        <v>5254857.25</v>
      </c>
      <c r="O162" t="s">
        <v>2313</v>
      </c>
      <c r="P162" t="s">
        <v>2314</v>
      </c>
      <c r="Q162" t="s">
        <v>2315</v>
      </c>
      <c r="R162" t="s">
        <v>2316</v>
      </c>
      <c r="S162" t="s">
        <v>215</v>
      </c>
      <c r="T162">
        <v>202205</v>
      </c>
      <c r="U162" t="s">
        <v>232</v>
      </c>
      <c r="V162">
        <v>0</v>
      </c>
    </row>
    <row r="163" spans="1:22">
      <c r="A163" t="s">
        <v>2313</v>
      </c>
      <c r="B163" t="s">
        <v>2314</v>
      </c>
      <c r="C163" t="s">
        <v>2315</v>
      </c>
      <c r="D163" t="s">
        <v>2316</v>
      </c>
      <c r="E163" t="s">
        <v>215</v>
      </c>
      <c r="F163">
        <v>202108</v>
      </c>
      <c r="G163" t="s">
        <v>232</v>
      </c>
      <c r="H163">
        <v>906826.75</v>
      </c>
      <c r="O163" t="s">
        <v>2313</v>
      </c>
      <c r="P163" t="s">
        <v>2314</v>
      </c>
      <c r="Q163" t="s">
        <v>2315</v>
      </c>
      <c r="R163" t="s">
        <v>2316</v>
      </c>
      <c r="S163" t="s">
        <v>215</v>
      </c>
      <c r="T163">
        <v>202205</v>
      </c>
      <c r="U163" t="s">
        <v>222</v>
      </c>
      <c r="V163">
        <v>0</v>
      </c>
    </row>
    <row r="164" spans="1:22">
      <c r="A164" t="s">
        <v>2313</v>
      </c>
      <c r="B164" t="s">
        <v>2314</v>
      </c>
      <c r="C164" t="s">
        <v>2315</v>
      </c>
      <c r="D164" t="s">
        <v>2316</v>
      </c>
      <c r="E164" t="s">
        <v>215</v>
      </c>
      <c r="F164">
        <v>202108</v>
      </c>
      <c r="G164" t="s">
        <v>222</v>
      </c>
      <c r="H164">
        <v>0</v>
      </c>
      <c r="O164" t="s">
        <v>2313</v>
      </c>
      <c r="P164" t="s">
        <v>2314</v>
      </c>
      <c r="Q164" t="s">
        <v>2315</v>
      </c>
      <c r="R164" t="s">
        <v>2316</v>
      </c>
      <c r="S164" t="s">
        <v>215</v>
      </c>
      <c r="T164">
        <v>202205</v>
      </c>
      <c r="U164" t="s">
        <v>224</v>
      </c>
      <c r="V164">
        <v>0</v>
      </c>
    </row>
    <row r="165" spans="1:22">
      <c r="A165" t="s">
        <v>2313</v>
      </c>
      <c r="B165" t="s">
        <v>2314</v>
      </c>
      <c r="C165" t="s">
        <v>2315</v>
      </c>
      <c r="D165" t="s">
        <v>2316</v>
      </c>
      <c r="E165" t="s">
        <v>215</v>
      </c>
      <c r="F165">
        <v>202108</v>
      </c>
      <c r="G165" t="s">
        <v>224</v>
      </c>
      <c r="H165">
        <v>0</v>
      </c>
      <c r="O165" t="s">
        <v>2313</v>
      </c>
      <c r="P165" t="s">
        <v>2314</v>
      </c>
      <c r="Q165" t="s">
        <v>2315</v>
      </c>
      <c r="R165" t="s">
        <v>2316</v>
      </c>
      <c r="S165" t="s">
        <v>215</v>
      </c>
      <c r="T165">
        <v>202205</v>
      </c>
      <c r="U165" t="s">
        <v>226</v>
      </c>
      <c r="V165">
        <v>0</v>
      </c>
    </row>
    <row r="166" spans="1:22">
      <c r="A166" t="s">
        <v>2313</v>
      </c>
      <c r="B166" t="s">
        <v>2314</v>
      </c>
      <c r="C166" t="s">
        <v>2315</v>
      </c>
      <c r="D166" t="s">
        <v>2316</v>
      </c>
      <c r="E166" t="s">
        <v>215</v>
      </c>
      <c r="F166">
        <v>202108</v>
      </c>
      <c r="G166" t="s">
        <v>226</v>
      </c>
      <c r="H166">
        <v>116104</v>
      </c>
      <c r="O166" t="s">
        <v>2313</v>
      </c>
      <c r="P166" t="s">
        <v>2314</v>
      </c>
      <c r="Q166" t="s">
        <v>2315</v>
      </c>
      <c r="R166" t="s">
        <v>2316</v>
      </c>
      <c r="S166" t="s">
        <v>2176</v>
      </c>
      <c r="T166">
        <v>202205</v>
      </c>
      <c r="U166" t="s">
        <v>231</v>
      </c>
      <c r="V166">
        <v>0</v>
      </c>
    </row>
    <row r="167" spans="1:22">
      <c r="A167" t="s">
        <v>2313</v>
      </c>
      <c r="B167" t="s">
        <v>2314</v>
      </c>
      <c r="C167" t="s">
        <v>2315</v>
      </c>
      <c r="D167" t="s">
        <v>2316</v>
      </c>
      <c r="E167" t="s">
        <v>215</v>
      </c>
      <c r="F167">
        <v>202109</v>
      </c>
      <c r="G167" t="s">
        <v>231</v>
      </c>
      <c r="H167">
        <v>5119387.84</v>
      </c>
      <c r="O167" t="s">
        <v>2313</v>
      </c>
      <c r="P167" t="s">
        <v>2314</v>
      </c>
      <c r="Q167" t="s">
        <v>2315</v>
      </c>
      <c r="R167" t="s">
        <v>2316</v>
      </c>
      <c r="S167" t="s">
        <v>2176</v>
      </c>
      <c r="T167">
        <v>202205</v>
      </c>
      <c r="U167" t="s">
        <v>232</v>
      </c>
      <c r="V167">
        <v>0</v>
      </c>
    </row>
    <row r="168" spans="1:22">
      <c r="A168" t="s">
        <v>2313</v>
      </c>
      <c r="B168" t="s">
        <v>2314</v>
      </c>
      <c r="C168" t="s">
        <v>2315</v>
      </c>
      <c r="D168" t="s">
        <v>2316</v>
      </c>
      <c r="E168" t="s">
        <v>215</v>
      </c>
      <c r="F168">
        <v>202109</v>
      </c>
      <c r="G168" t="s">
        <v>232</v>
      </c>
      <c r="H168">
        <v>850027.56</v>
      </c>
      <c r="O168" t="s">
        <v>2313</v>
      </c>
      <c r="P168" t="s">
        <v>2314</v>
      </c>
      <c r="Q168" t="s">
        <v>2315</v>
      </c>
      <c r="R168" t="s">
        <v>2316</v>
      </c>
      <c r="S168" t="s">
        <v>2176</v>
      </c>
      <c r="T168">
        <v>202205</v>
      </c>
      <c r="U168" t="s">
        <v>222</v>
      </c>
      <c r="V168">
        <v>22424.34</v>
      </c>
    </row>
    <row r="169" spans="1:22">
      <c r="A169" t="s">
        <v>2313</v>
      </c>
      <c r="B169" t="s">
        <v>2314</v>
      </c>
      <c r="C169" t="s">
        <v>2315</v>
      </c>
      <c r="D169" t="s">
        <v>2316</v>
      </c>
      <c r="E169" t="s">
        <v>215</v>
      </c>
      <c r="F169">
        <v>202109</v>
      </c>
      <c r="G169" t="s">
        <v>222</v>
      </c>
      <c r="H169">
        <v>0</v>
      </c>
      <c r="O169" t="s">
        <v>2313</v>
      </c>
      <c r="P169" t="s">
        <v>2314</v>
      </c>
      <c r="Q169" t="s">
        <v>2315</v>
      </c>
      <c r="R169" t="s">
        <v>2316</v>
      </c>
      <c r="S169" t="s">
        <v>2176</v>
      </c>
      <c r="T169">
        <v>202205</v>
      </c>
      <c r="U169" t="s">
        <v>224</v>
      </c>
      <c r="V169">
        <v>4292.7700000000004</v>
      </c>
    </row>
    <row r="170" spans="1:22">
      <c r="A170" t="s">
        <v>2313</v>
      </c>
      <c r="B170" t="s">
        <v>2314</v>
      </c>
      <c r="C170" t="s">
        <v>2315</v>
      </c>
      <c r="D170" t="s">
        <v>2316</v>
      </c>
      <c r="E170" t="s">
        <v>215</v>
      </c>
      <c r="F170">
        <v>202109</v>
      </c>
      <c r="G170" t="s">
        <v>224</v>
      </c>
      <c r="H170">
        <v>0</v>
      </c>
      <c r="O170" t="s">
        <v>2313</v>
      </c>
      <c r="P170" t="s">
        <v>2314</v>
      </c>
      <c r="Q170" t="s">
        <v>2315</v>
      </c>
      <c r="R170" t="s">
        <v>2316</v>
      </c>
      <c r="S170" t="s">
        <v>2176</v>
      </c>
      <c r="T170">
        <v>202205</v>
      </c>
      <c r="U170" t="s">
        <v>226</v>
      </c>
      <c r="V170">
        <v>0</v>
      </c>
    </row>
    <row r="171" spans="1:22">
      <c r="A171" t="s">
        <v>2313</v>
      </c>
      <c r="B171" t="s">
        <v>2314</v>
      </c>
      <c r="C171" t="s">
        <v>2315</v>
      </c>
      <c r="D171" t="s">
        <v>2316</v>
      </c>
      <c r="E171" t="s">
        <v>215</v>
      </c>
      <c r="F171">
        <v>202109</v>
      </c>
      <c r="G171" t="s">
        <v>226</v>
      </c>
      <c r="H171">
        <v>116063</v>
      </c>
    </row>
    <row r="172" spans="1:22">
      <c r="A172" t="s">
        <v>2313</v>
      </c>
      <c r="B172" t="s">
        <v>2314</v>
      </c>
      <c r="C172" t="s">
        <v>2315</v>
      </c>
      <c r="D172" t="s">
        <v>2316</v>
      </c>
      <c r="E172" t="s">
        <v>215</v>
      </c>
      <c r="F172">
        <v>202110</v>
      </c>
      <c r="G172" t="s">
        <v>231</v>
      </c>
      <c r="H172">
        <v>5818544.7300000004</v>
      </c>
    </row>
    <row r="173" spans="1:22">
      <c r="A173" t="s">
        <v>2313</v>
      </c>
      <c r="B173" t="s">
        <v>2314</v>
      </c>
      <c r="C173" t="s">
        <v>2315</v>
      </c>
      <c r="D173" t="s">
        <v>2316</v>
      </c>
      <c r="E173" t="s">
        <v>215</v>
      </c>
      <c r="F173">
        <v>202110</v>
      </c>
      <c r="G173" t="s">
        <v>232</v>
      </c>
      <c r="H173">
        <v>906076.67</v>
      </c>
    </row>
    <row r="174" spans="1:22">
      <c r="A174" t="s">
        <v>2313</v>
      </c>
      <c r="B174" t="s">
        <v>2314</v>
      </c>
      <c r="C174" t="s">
        <v>2315</v>
      </c>
      <c r="D174" t="s">
        <v>2316</v>
      </c>
      <c r="E174" t="s">
        <v>215</v>
      </c>
      <c r="F174">
        <v>202110</v>
      </c>
      <c r="G174" t="s">
        <v>222</v>
      </c>
      <c r="H174">
        <v>0</v>
      </c>
    </row>
    <row r="175" spans="1:22">
      <c r="A175" t="s">
        <v>2313</v>
      </c>
      <c r="B175" t="s">
        <v>2314</v>
      </c>
      <c r="C175" t="s">
        <v>2315</v>
      </c>
      <c r="D175" t="s">
        <v>2316</v>
      </c>
      <c r="E175" t="s">
        <v>215</v>
      </c>
      <c r="F175">
        <v>202110</v>
      </c>
      <c r="G175" t="s">
        <v>224</v>
      </c>
      <c r="H175">
        <v>0</v>
      </c>
    </row>
    <row r="176" spans="1:22">
      <c r="A176" t="s">
        <v>2313</v>
      </c>
      <c r="B176" t="s">
        <v>2314</v>
      </c>
      <c r="C176" t="s">
        <v>2315</v>
      </c>
      <c r="D176" t="s">
        <v>2316</v>
      </c>
      <c r="E176" t="s">
        <v>215</v>
      </c>
      <c r="F176">
        <v>202110</v>
      </c>
      <c r="G176" t="s">
        <v>226</v>
      </c>
      <c r="H176">
        <v>123630</v>
      </c>
    </row>
    <row r="177" spans="1:8">
      <c r="A177" t="s">
        <v>2313</v>
      </c>
      <c r="B177" t="s">
        <v>2314</v>
      </c>
      <c r="C177" t="s">
        <v>2315</v>
      </c>
      <c r="D177" t="s">
        <v>2316</v>
      </c>
      <c r="E177" t="s">
        <v>215</v>
      </c>
      <c r="F177">
        <v>202111</v>
      </c>
      <c r="G177" t="s">
        <v>231</v>
      </c>
      <c r="H177">
        <v>6031987.9800000004</v>
      </c>
    </row>
    <row r="178" spans="1:8">
      <c r="A178" t="s">
        <v>2313</v>
      </c>
      <c r="B178" t="s">
        <v>2314</v>
      </c>
      <c r="C178" t="s">
        <v>2315</v>
      </c>
      <c r="D178" t="s">
        <v>2316</v>
      </c>
      <c r="E178" t="s">
        <v>215</v>
      </c>
      <c r="F178">
        <v>202111</v>
      </c>
      <c r="G178" t="s">
        <v>232</v>
      </c>
      <c r="H178">
        <v>783231.62</v>
      </c>
    </row>
    <row r="179" spans="1:8">
      <c r="A179" t="s">
        <v>2313</v>
      </c>
      <c r="B179" t="s">
        <v>2314</v>
      </c>
      <c r="C179" t="s">
        <v>2315</v>
      </c>
      <c r="D179" t="s">
        <v>2316</v>
      </c>
      <c r="E179" t="s">
        <v>215</v>
      </c>
      <c r="F179">
        <v>202111</v>
      </c>
      <c r="G179" t="s">
        <v>222</v>
      </c>
      <c r="H179">
        <v>0</v>
      </c>
    </row>
    <row r="180" spans="1:8">
      <c r="A180" t="s">
        <v>2313</v>
      </c>
      <c r="B180" t="s">
        <v>2314</v>
      </c>
      <c r="C180" t="s">
        <v>2315</v>
      </c>
      <c r="D180" t="s">
        <v>2316</v>
      </c>
      <c r="E180" t="s">
        <v>215</v>
      </c>
      <c r="F180">
        <v>202111</v>
      </c>
      <c r="G180" t="s">
        <v>224</v>
      </c>
      <c r="H180">
        <v>0</v>
      </c>
    </row>
    <row r="181" spans="1:8">
      <c r="A181" t="s">
        <v>2313</v>
      </c>
      <c r="B181" t="s">
        <v>2314</v>
      </c>
      <c r="C181" t="s">
        <v>2315</v>
      </c>
      <c r="D181" t="s">
        <v>2316</v>
      </c>
      <c r="E181" t="s">
        <v>215</v>
      </c>
      <c r="F181">
        <v>202111</v>
      </c>
      <c r="G181" t="s">
        <v>226</v>
      </c>
      <c r="H181">
        <v>123405</v>
      </c>
    </row>
    <row r="182" spans="1:8">
      <c r="A182" t="s">
        <v>2313</v>
      </c>
      <c r="B182" t="s">
        <v>2314</v>
      </c>
      <c r="C182" t="s">
        <v>2315</v>
      </c>
      <c r="D182" t="s">
        <v>2316</v>
      </c>
      <c r="E182" t="s">
        <v>215</v>
      </c>
      <c r="F182">
        <v>202112</v>
      </c>
      <c r="G182" t="s">
        <v>231</v>
      </c>
      <c r="H182">
        <v>7900765</v>
      </c>
    </row>
    <row r="183" spans="1:8">
      <c r="A183" t="s">
        <v>2313</v>
      </c>
      <c r="B183" t="s">
        <v>2314</v>
      </c>
      <c r="C183" t="s">
        <v>2315</v>
      </c>
      <c r="D183" t="s">
        <v>2316</v>
      </c>
      <c r="E183" t="s">
        <v>215</v>
      </c>
      <c r="F183">
        <v>202112</v>
      </c>
      <c r="G183" t="s">
        <v>232</v>
      </c>
      <c r="H183">
        <v>1082781.3999999999</v>
      </c>
    </row>
    <row r="184" spans="1:8">
      <c r="A184" t="s">
        <v>2313</v>
      </c>
      <c r="B184" t="s">
        <v>2314</v>
      </c>
      <c r="C184" t="s">
        <v>2315</v>
      </c>
      <c r="D184" t="s">
        <v>2316</v>
      </c>
      <c r="E184" t="s">
        <v>215</v>
      </c>
      <c r="F184">
        <v>202112</v>
      </c>
      <c r="G184" t="s">
        <v>222</v>
      </c>
      <c r="H184">
        <v>0</v>
      </c>
    </row>
    <row r="185" spans="1:8">
      <c r="A185" t="s">
        <v>2313</v>
      </c>
      <c r="B185" t="s">
        <v>2314</v>
      </c>
      <c r="C185" t="s">
        <v>2315</v>
      </c>
      <c r="D185" t="s">
        <v>2316</v>
      </c>
      <c r="E185" t="s">
        <v>215</v>
      </c>
      <c r="F185">
        <v>202112</v>
      </c>
      <c r="G185" t="s">
        <v>224</v>
      </c>
      <c r="H185">
        <v>0</v>
      </c>
    </row>
    <row r="186" spans="1:8">
      <c r="A186" t="s">
        <v>2313</v>
      </c>
      <c r="B186" t="s">
        <v>2314</v>
      </c>
      <c r="C186" t="s">
        <v>2315</v>
      </c>
      <c r="D186" t="s">
        <v>2316</v>
      </c>
      <c r="E186" t="s">
        <v>215</v>
      </c>
      <c r="F186">
        <v>202112</v>
      </c>
      <c r="G186" t="s">
        <v>226</v>
      </c>
      <c r="H186">
        <v>112512</v>
      </c>
    </row>
    <row r="187" spans="1:8">
      <c r="A187" t="s">
        <v>2313</v>
      </c>
      <c r="B187" t="s">
        <v>2314</v>
      </c>
      <c r="C187" t="s">
        <v>2315</v>
      </c>
      <c r="D187" t="s">
        <v>2316</v>
      </c>
      <c r="E187" t="s">
        <v>215</v>
      </c>
      <c r="F187">
        <v>202201</v>
      </c>
      <c r="G187" t="s">
        <v>231</v>
      </c>
      <c r="H187">
        <v>42833</v>
      </c>
    </row>
    <row r="188" spans="1:8">
      <c r="A188" t="s">
        <v>2313</v>
      </c>
      <c r="B188" t="s">
        <v>2314</v>
      </c>
      <c r="C188" t="s">
        <v>2315</v>
      </c>
      <c r="D188" t="s">
        <v>2316</v>
      </c>
      <c r="E188" t="s">
        <v>215</v>
      </c>
      <c r="F188">
        <v>202201</v>
      </c>
      <c r="G188" t="s">
        <v>232</v>
      </c>
      <c r="H188">
        <v>0</v>
      </c>
    </row>
    <row r="189" spans="1:8">
      <c r="A189" t="s">
        <v>2313</v>
      </c>
      <c r="B189" t="s">
        <v>2314</v>
      </c>
      <c r="C189" t="s">
        <v>2315</v>
      </c>
      <c r="D189" t="s">
        <v>2316</v>
      </c>
      <c r="E189" t="s">
        <v>215</v>
      </c>
      <c r="F189">
        <v>202201</v>
      </c>
      <c r="G189" t="s">
        <v>222</v>
      </c>
      <c r="H189">
        <v>0</v>
      </c>
    </row>
    <row r="190" spans="1:8">
      <c r="A190" t="s">
        <v>2313</v>
      </c>
      <c r="B190" t="s">
        <v>2314</v>
      </c>
      <c r="C190" t="s">
        <v>2315</v>
      </c>
      <c r="D190" t="s">
        <v>2316</v>
      </c>
      <c r="E190" t="s">
        <v>215</v>
      </c>
      <c r="F190">
        <v>202201</v>
      </c>
      <c r="G190" t="s">
        <v>224</v>
      </c>
      <c r="H190">
        <v>0</v>
      </c>
    </row>
    <row r="191" spans="1:8">
      <c r="A191" t="s">
        <v>2313</v>
      </c>
      <c r="B191" t="s">
        <v>2314</v>
      </c>
      <c r="C191" t="s">
        <v>2315</v>
      </c>
      <c r="D191" t="s">
        <v>2316</v>
      </c>
      <c r="E191" t="s">
        <v>215</v>
      </c>
      <c r="F191">
        <v>202201</v>
      </c>
      <c r="G191" t="s">
        <v>226</v>
      </c>
      <c r="H191">
        <v>0</v>
      </c>
    </row>
    <row r="192" spans="1:8">
      <c r="A192" t="s">
        <v>2313</v>
      </c>
      <c r="B192" t="s">
        <v>2314</v>
      </c>
      <c r="C192" t="s">
        <v>2315</v>
      </c>
      <c r="D192" t="s">
        <v>2316</v>
      </c>
      <c r="E192" t="s">
        <v>215</v>
      </c>
      <c r="F192">
        <v>202202</v>
      </c>
      <c r="G192" t="s">
        <v>231</v>
      </c>
      <c r="H192">
        <v>36022</v>
      </c>
    </row>
    <row r="193" spans="1:8">
      <c r="A193" t="s">
        <v>2313</v>
      </c>
      <c r="B193" t="s">
        <v>2314</v>
      </c>
      <c r="C193" t="s">
        <v>2315</v>
      </c>
      <c r="D193" t="s">
        <v>2316</v>
      </c>
      <c r="E193" t="s">
        <v>215</v>
      </c>
      <c r="F193">
        <v>202202</v>
      </c>
      <c r="G193" t="s">
        <v>232</v>
      </c>
      <c r="H193">
        <v>0</v>
      </c>
    </row>
    <row r="194" spans="1:8">
      <c r="A194" t="s">
        <v>2313</v>
      </c>
      <c r="B194" t="s">
        <v>2314</v>
      </c>
      <c r="C194" t="s">
        <v>2315</v>
      </c>
      <c r="D194" t="s">
        <v>2316</v>
      </c>
      <c r="E194" t="s">
        <v>215</v>
      </c>
      <c r="F194">
        <v>202202</v>
      </c>
      <c r="G194" t="s">
        <v>222</v>
      </c>
      <c r="H194">
        <v>0</v>
      </c>
    </row>
    <row r="195" spans="1:8">
      <c r="A195" t="s">
        <v>2313</v>
      </c>
      <c r="B195" t="s">
        <v>2314</v>
      </c>
      <c r="C195" t="s">
        <v>2315</v>
      </c>
      <c r="D195" t="s">
        <v>2316</v>
      </c>
      <c r="E195" t="s">
        <v>215</v>
      </c>
      <c r="F195">
        <v>202202</v>
      </c>
      <c r="G195" t="s">
        <v>224</v>
      </c>
      <c r="H195">
        <v>0</v>
      </c>
    </row>
    <row r="196" spans="1:8">
      <c r="A196" t="s">
        <v>2313</v>
      </c>
      <c r="B196" t="s">
        <v>2314</v>
      </c>
      <c r="C196" t="s">
        <v>2315</v>
      </c>
      <c r="D196" t="s">
        <v>2316</v>
      </c>
      <c r="E196" t="s">
        <v>215</v>
      </c>
      <c r="F196">
        <v>202202</v>
      </c>
      <c r="G196" t="s">
        <v>226</v>
      </c>
      <c r="H196">
        <v>0</v>
      </c>
    </row>
    <row r="197" spans="1:8">
      <c r="A197" t="s">
        <v>2313</v>
      </c>
      <c r="B197" t="s">
        <v>2314</v>
      </c>
      <c r="C197" t="s">
        <v>2315</v>
      </c>
      <c r="D197" t="s">
        <v>2316</v>
      </c>
      <c r="E197" t="s">
        <v>215</v>
      </c>
      <c r="F197">
        <v>202203</v>
      </c>
      <c r="G197" t="s">
        <v>231</v>
      </c>
      <c r="H197">
        <v>36322</v>
      </c>
    </row>
    <row r="198" spans="1:8">
      <c r="A198" t="s">
        <v>2313</v>
      </c>
      <c r="B198" t="s">
        <v>2314</v>
      </c>
      <c r="C198" t="s">
        <v>2315</v>
      </c>
      <c r="D198" t="s">
        <v>2316</v>
      </c>
      <c r="E198" t="s">
        <v>215</v>
      </c>
      <c r="F198">
        <v>202203</v>
      </c>
      <c r="G198" t="s">
        <v>232</v>
      </c>
      <c r="H198">
        <v>0</v>
      </c>
    </row>
    <row r="199" spans="1:8">
      <c r="A199" t="s">
        <v>2313</v>
      </c>
      <c r="B199" t="s">
        <v>2314</v>
      </c>
      <c r="C199" t="s">
        <v>2315</v>
      </c>
      <c r="D199" t="s">
        <v>2316</v>
      </c>
      <c r="E199" t="s">
        <v>215</v>
      </c>
      <c r="F199">
        <v>202203</v>
      </c>
      <c r="G199" t="s">
        <v>222</v>
      </c>
      <c r="H199">
        <v>0</v>
      </c>
    </row>
    <row r="200" spans="1:8">
      <c r="A200" t="s">
        <v>2313</v>
      </c>
      <c r="B200" t="s">
        <v>2314</v>
      </c>
      <c r="C200" t="s">
        <v>2315</v>
      </c>
      <c r="D200" t="s">
        <v>2316</v>
      </c>
      <c r="E200" t="s">
        <v>215</v>
      </c>
      <c r="F200">
        <v>202203</v>
      </c>
      <c r="G200" t="s">
        <v>224</v>
      </c>
      <c r="H200">
        <v>0</v>
      </c>
    </row>
    <row r="201" spans="1:8">
      <c r="A201" t="s">
        <v>2313</v>
      </c>
      <c r="B201" t="s">
        <v>2314</v>
      </c>
      <c r="C201" t="s">
        <v>2315</v>
      </c>
      <c r="D201" t="s">
        <v>2316</v>
      </c>
      <c r="E201" t="s">
        <v>215</v>
      </c>
      <c r="F201">
        <v>202203</v>
      </c>
      <c r="G201" t="s">
        <v>226</v>
      </c>
      <c r="H201">
        <v>0</v>
      </c>
    </row>
    <row r="202" spans="1:8">
      <c r="A202" t="s">
        <v>2313</v>
      </c>
      <c r="B202" t="s">
        <v>2314</v>
      </c>
      <c r="C202" t="s">
        <v>2315</v>
      </c>
      <c r="D202" t="s">
        <v>2316</v>
      </c>
      <c r="E202" t="s">
        <v>215</v>
      </c>
      <c r="F202">
        <v>202204</v>
      </c>
      <c r="G202" t="s">
        <v>231</v>
      </c>
      <c r="H202">
        <v>34737</v>
      </c>
    </row>
    <row r="203" spans="1:8">
      <c r="A203" t="s">
        <v>2313</v>
      </c>
      <c r="B203" t="s">
        <v>2314</v>
      </c>
      <c r="C203" t="s">
        <v>2315</v>
      </c>
      <c r="D203" t="s">
        <v>2316</v>
      </c>
      <c r="E203" t="s">
        <v>215</v>
      </c>
      <c r="F203">
        <v>202204</v>
      </c>
      <c r="G203" t="s">
        <v>232</v>
      </c>
      <c r="H203">
        <v>0</v>
      </c>
    </row>
    <row r="204" spans="1:8">
      <c r="A204" t="s">
        <v>2313</v>
      </c>
      <c r="B204" t="s">
        <v>2314</v>
      </c>
      <c r="C204" t="s">
        <v>2315</v>
      </c>
      <c r="D204" t="s">
        <v>2316</v>
      </c>
      <c r="E204" t="s">
        <v>215</v>
      </c>
      <c r="F204">
        <v>202204</v>
      </c>
      <c r="G204" t="s">
        <v>222</v>
      </c>
      <c r="H204">
        <v>0</v>
      </c>
    </row>
    <row r="205" spans="1:8">
      <c r="A205" t="s">
        <v>2313</v>
      </c>
      <c r="B205" t="s">
        <v>2314</v>
      </c>
      <c r="C205" t="s">
        <v>2315</v>
      </c>
      <c r="D205" t="s">
        <v>2316</v>
      </c>
      <c r="E205" t="s">
        <v>215</v>
      </c>
      <c r="F205">
        <v>202204</v>
      </c>
      <c r="G205" t="s">
        <v>224</v>
      </c>
      <c r="H205">
        <v>0</v>
      </c>
    </row>
    <row r="206" spans="1:8">
      <c r="A206" t="s">
        <v>2313</v>
      </c>
      <c r="B206" t="s">
        <v>2314</v>
      </c>
      <c r="C206" t="s">
        <v>2315</v>
      </c>
      <c r="D206" t="s">
        <v>2316</v>
      </c>
      <c r="E206" t="s">
        <v>215</v>
      </c>
      <c r="F206">
        <v>202204</v>
      </c>
      <c r="G206" t="s">
        <v>226</v>
      </c>
      <c r="H206">
        <v>0</v>
      </c>
    </row>
    <row r="207" spans="1:8">
      <c r="A207" t="s">
        <v>2313</v>
      </c>
      <c r="B207" t="s">
        <v>2314</v>
      </c>
      <c r="C207" t="s">
        <v>2315</v>
      </c>
      <c r="D207" t="s">
        <v>2316</v>
      </c>
      <c r="E207" t="s">
        <v>215</v>
      </c>
      <c r="F207">
        <v>202205</v>
      </c>
      <c r="G207" t="s">
        <v>231</v>
      </c>
      <c r="H207">
        <v>33666</v>
      </c>
    </row>
    <row r="208" spans="1:8">
      <c r="A208" t="s">
        <v>2313</v>
      </c>
      <c r="B208" t="s">
        <v>2314</v>
      </c>
      <c r="C208" t="s">
        <v>2315</v>
      </c>
      <c r="D208" t="s">
        <v>2316</v>
      </c>
      <c r="E208" t="s">
        <v>215</v>
      </c>
      <c r="F208">
        <v>202205</v>
      </c>
      <c r="G208" t="s">
        <v>232</v>
      </c>
      <c r="H208">
        <v>0</v>
      </c>
    </row>
    <row r="209" spans="1:8">
      <c r="A209" t="s">
        <v>2313</v>
      </c>
      <c r="B209" t="s">
        <v>2314</v>
      </c>
      <c r="C209" t="s">
        <v>2315</v>
      </c>
      <c r="D209" t="s">
        <v>2316</v>
      </c>
      <c r="E209" t="s">
        <v>215</v>
      </c>
      <c r="F209">
        <v>202205</v>
      </c>
      <c r="G209" t="s">
        <v>222</v>
      </c>
      <c r="H209">
        <v>0</v>
      </c>
    </row>
    <row r="210" spans="1:8">
      <c r="A210" t="s">
        <v>2313</v>
      </c>
      <c r="B210" t="s">
        <v>2314</v>
      </c>
      <c r="C210" t="s">
        <v>2315</v>
      </c>
      <c r="D210" t="s">
        <v>2316</v>
      </c>
      <c r="E210" t="s">
        <v>215</v>
      </c>
      <c r="F210">
        <v>202205</v>
      </c>
      <c r="G210" t="s">
        <v>224</v>
      </c>
      <c r="H210">
        <v>0</v>
      </c>
    </row>
    <row r="211" spans="1:8">
      <c r="A211" t="s">
        <v>2313</v>
      </c>
      <c r="B211" t="s">
        <v>2314</v>
      </c>
      <c r="C211" t="s">
        <v>2315</v>
      </c>
      <c r="D211" t="s">
        <v>2316</v>
      </c>
      <c r="E211" t="s">
        <v>215</v>
      </c>
      <c r="F211">
        <v>202205</v>
      </c>
      <c r="G211" t="s">
        <v>226</v>
      </c>
      <c r="H211">
        <v>0</v>
      </c>
    </row>
    <row r="212" spans="1:8">
      <c r="A212" t="s">
        <v>2313</v>
      </c>
      <c r="B212" t="s">
        <v>2314</v>
      </c>
      <c r="C212" t="s">
        <v>2315</v>
      </c>
      <c r="D212" t="s">
        <v>2316</v>
      </c>
      <c r="E212" t="s">
        <v>2176</v>
      </c>
      <c r="F212">
        <v>202104</v>
      </c>
      <c r="G212" t="s">
        <v>231</v>
      </c>
      <c r="H212">
        <v>30821.79</v>
      </c>
    </row>
    <row r="213" spans="1:8">
      <c r="A213" t="s">
        <v>2313</v>
      </c>
      <c r="B213" t="s">
        <v>2314</v>
      </c>
      <c r="C213" t="s">
        <v>2315</v>
      </c>
      <c r="D213" t="s">
        <v>2316</v>
      </c>
      <c r="E213" t="s">
        <v>2176</v>
      </c>
      <c r="F213">
        <v>202104</v>
      </c>
      <c r="G213" t="s">
        <v>232</v>
      </c>
      <c r="H213">
        <v>4411.0600000000004</v>
      </c>
    </row>
    <row r="214" spans="1:8">
      <c r="A214" t="s">
        <v>2313</v>
      </c>
      <c r="B214" t="s">
        <v>2314</v>
      </c>
      <c r="C214" t="s">
        <v>2315</v>
      </c>
      <c r="D214" t="s">
        <v>2316</v>
      </c>
      <c r="E214" t="s">
        <v>2176</v>
      </c>
      <c r="F214">
        <v>202104</v>
      </c>
      <c r="G214" t="s">
        <v>222</v>
      </c>
      <c r="H214">
        <v>31221.8</v>
      </c>
    </row>
    <row r="215" spans="1:8">
      <c r="A215" t="s">
        <v>2313</v>
      </c>
      <c r="B215" t="s">
        <v>2314</v>
      </c>
      <c r="C215" t="s">
        <v>2315</v>
      </c>
      <c r="D215" t="s">
        <v>2316</v>
      </c>
      <c r="E215" t="s">
        <v>2176</v>
      </c>
      <c r="F215">
        <v>202104</v>
      </c>
      <c r="G215" t="s">
        <v>224</v>
      </c>
      <c r="H215">
        <v>4468.3100000000004</v>
      </c>
    </row>
    <row r="216" spans="1:8">
      <c r="A216" t="s">
        <v>2313</v>
      </c>
      <c r="B216" t="s">
        <v>2314</v>
      </c>
      <c r="C216" t="s">
        <v>2315</v>
      </c>
      <c r="D216" t="s">
        <v>2316</v>
      </c>
      <c r="E216" t="s">
        <v>2176</v>
      </c>
      <c r="F216">
        <v>202104</v>
      </c>
      <c r="G216" t="s">
        <v>226</v>
      </c>
      <c r="H216">
        <v>457.25</v>
      </c>
    </row>
    <row r="217" spans="1:8">
      <c r="A217" t="s">
        <v>2313</v>
      </c>
      <c r="B217" t="s">
        <v>2314</v>
      </c>
      <c r="C217" t="s">
        <v>2315</v>
      </c>
      <c r="D217" t="s">
        <v>2316</v>
      </c>
      <c r="E217" t="s">
        <v>2176</v>
      </c>
      <c r="F217">
        <v>202105</v>
      </c>
      <c r="G217" t="s">
        <v>231</v>
      </c>
      <c r="H217">
        <v>25862.67</v>
      </c>
    </row>
    <row r="218" spans="1:8">
      <c r="A218" t="s">
        <v>2313</v>
      </c>
      <c r="B218" t="s">
        <v>2314</v>
      </c>
      <c r="C218" t="s">
        <v>2315</v>
      </c>
      <c r="D218" t="s">
        <v>2316</v>
      </c>
      <c r="E218" t="s">
        <v>2176</v>
      </c>
      <c r="F218">
        <v>202105</v>
      </c>
      <c r="G218" t="s">
        <v>232</v>
      </c>
      <c r="H218">
        <v>3895.23</v>
      </c>
    </row>
    <row r="219" spans="1:8">
      <c r="A219" t="s">
        <v>2313</v>
      </c>
      <c r="B219" t="s">
        <v>2314</v>
      </c>
      <c r="C219" t="s">
        <v>2315</v>
      </c>
      <c r="D219" t="s">
        <v>2316</v>
      </c>
      <c r="E219" t="s">
        <v>2176</v>
      </c>
      <c r="F219">
        <v>202105</v>
      </c>
      <c r="G219" t="s">
        <v>222</v>
      </c>
      <c r="H219">
        <v>26263.41</v>
      </c>
    </row>
    <row r="220" spans="1:8">
      <c r="A220" t="s">
        <v>2313</v>
      </c>
      <c r="B220" t="s">
        <v>2314</v>
      </c>
      <c r="C220" t="s">
        <v>2315</v>
      </c>
      <c r="D220" t="s">
        <v>2316</v>
      </c>
      <c r="E220" t="s">
        <v>2176</v>
      </c>
      <c r="F220">
        <v>202105</v>
      </c>
      <c r="G220" t="s">
        <v>224</v>
      </c>
      <c r="H220">
        <v>3955.58</v>
      </c>
    </row>
    <row r="221" spans="1:8">
      <c r="A221" t="s">
        <v>2313</v>
      </c>
      <c r="B221" t="s">
        <v>2314</v>
      </c>
      <c r="C221" t="s">
        <v>2315</v>
      </c>
      <c r="D221" t="s">
        <v>2316</v>
      </c>
      <c r="E221" t="s">
        <v>2176</v>
      </c>
      <c r="F221">
        <v>202105</v>
      </c>
      <c r="G221" t="s">
        <v>226</v>
      </c>
      <c r="H221">
        <v>461.09</v>
      </c>
    </row>
    <row r="222" spans="1:8">
      <c r="A222" t="s">
        <v>2313</v>
      </c>
      <c r="B222" t="s">
        <v>2314</v>
      </c>
      <c r="C222" t="s">
        <v>2315</v>
      </c>
      <c r="D222" t="s">
        <v>2316</v>
      </c>
      <c r="E222" t="s">
        <v>2176</v>
      </c>
      <c r="F222">
        <v>202106</v>
      </c>
      <c r="G222" t="s">
        <v>231</v>
      </c>
      <c r="H222">
        <v>23617.67</v>
      </c>
    </row>
    <row r="223" spans="1:8">
      <c r="A223" t="s">
        <v>2313</v>
      </c>
      <c r="B223" t="s">
        <v>2314</v>
      </c>
      <c r="C223" t="s">
        <v>2315</v>
      </c>
      <c r="D223" t="s">
        <v>2316</v>
      </c>
      <c r="E223" t="s">
        <v>2176</v>
      </c>
      <c r="F223">
        <v>202106</v>
      </c>
      <c r="G223" t="s">
        <v>232</v>
      </c>
      <c r="H223">
        <v>4107.68</v>
      </c>
    </row>
    <row r="224" spans="1:8">
      <c r="A224" t="s">
        <v>2313</v>
      </c>
      <c r="B224" t="s">
        <v>2314</v>
      </c>
      <c r="C224" t="s">
        <v>2315</v>
      </c>
      <c r="D224" t="s">
        <v>2316</v>
      </c>
      <c r="E224" t="s">
        <v>2176</v>
      </c>
      <c r="F224">
        <v>202106</v>
      </c>
      <c r="G224" t="s">
        <v>222</v>
      </c>
      <c r="H224">
        <v>24063.03</v>
      </c>
    </row>
    <row r="225" spans="1:8">
      <c r="A225" t="s">
        <v>2313</v>
      </c>
      <c r="B225" t="s">
        <v>2314</v>
      </c>
      <c r="C225" t="s">
        <v>2315</v>
      </c>
      <c r="D225" t="s">
        <v>2316</v>
      </c>
      <c r="E225" t="s">
        <v>2176</v>
      </c>
      <c r="F225">
        <v>202106</v>
      </c>
      <c r="G225" t="s">
        <v>224</v>
      </c>
      <c r="H225">
        <v>4185.1400000000003</v>
      </c>
    </row>
    <row r="226" spans="1:8">
      <c r="A226" t="s">
        <v>2313</v>
      </c>
      <c r="B226" t="s">
        <v>2314</v>
      </c>
      <c r="C226" t="s">
        <v>2315</v>
      </c>
      <c r="D226" t="s">
        <v>2316</v>
      </c>
      <c r="E226" t="s">
        <v>2176</v>
      </c>
      <c r="F226">
        <v>202106</v>
      </c>
      <c r="G226" t="s">
        <v>226</v>
      </c>
      <c r="H226">
        <v>522.82000000000005</v>
      </c>
    </row>
    <row r="227" spans="1:8">
      <c r="A227" t="s">
        <v>2313</v>
      </c>
      <c r="B227" t="s">
        <v>2314</v>
      </c>
      <c r="C227" t="s">
        <v>2315</v>
      </c>
      <c r="D227" t="s">
        <v>2316</v>
      </c>
      <c r="E227" t="s">
        <v>2176</v>
      </c>
      <c r="F227">
        <v>202107</v>
      </c>
      <c r="G227" t="s">
        <v>231</v>
      </c>
      <c r="H227">
        <v>23236.09</v>
      </c>
    </row>
    <row r="228" spans="1:8">
      <c r="A228" t="s">
        <v>2313</v>
      </c>
      <c r="B228" t="s">
        <v>2314</v>
      </c>
      <c r="C228" t="s">
        <v>2315</v>
      </c>
      <c r="D228" t="s">
        <v>2316</v>
      </c>
      <c r="E228" t="s">
        <v>2176</v>
      </c>
      <c r="F228">
        <v>202107</v>
      </c>
      <c r="G228" t="s">
        <v>232</v>
      </c>
      <c r="H228">
        <v>4460.57</v>
      </c>
    </row>
    <row r="229" spans="1:8">
      <c r="A229" t="s">
        <v>2313</v>
      </c>
      <c r="B229" t="s">
        <v>2314</v>
      </c>
      <c r="C229" t="s">
        <v>2315</v>
      </c>
      <c r="D229" t="s">
        <v>2316</v>
      </c>
      <c r="E229" t="s">
        <v>2176</v>
      </c>
      <c r="F229">
        <v>202107</v>
      </c>
      <c r="G229" t="s">
        <v>222</v>
      </c>
      <c r="H229">
        <v>23673.17</v>
      </c>
    </row>
    <row r="230" spans="1:8">
      <c r="A230" t="s">
        <v>2313</v>
      </c>
      <c r="B230" t="s">
        <v>2314</v>
      </c>
      <c r="C230" t="s">
        <v>2315</v>
      </c>
      <c r="D230" t="s">
        <v>2316</v>
      </c>
      <c r="E230" t="s">
        <v>2176</v>
      </c>
      <c r="F230">
        <v>202107</v>
      </c>
      <c r="G230" t="s">
        <v>224</v>
      </c>
      <c r="H230">
        <v>4544.4799999999996</v>
      </c>
    </row>
    <row r="231" spans="1:8">
      <c r="A231" t="s">
        <v>2313</v>
      </c>
      <c r="B231" t="s">
        <v>2314</v>
      </c>
      <c r="C231" t="s">
        <v>2315</v>
      </c>
      <c r="D231" t="s">
        <v>2316</v>
      </c>
      <c r="E231" t="s">
        <v>2176</v>
      </c>
      <c r="F231">
        <v>202107</v>
      </c>
      <c r="G231" t="s">
        <v>226</v>
      </c>
      <c r="H231">
        <v>520.99</v>
      </c>
    </row>
    <row r="232" spans="1:8">
      <c r="A232" t="s">
        <v>2313</v>
      </c>
      <c r="B232" t="s">
        <v>2314</v>
      </c>
      <c r="C232" t="s">
        <v>2315</v>
      </c>
      <c r="D232" t="s">
        <v>2316</v>
      </c>
      <c r="E232" t="s">
        <v>2176</v>
      </c>
      <c r="F232">
        <v>202108</v>
      </c>
      <c r="G232" t="s">
        <v>231</v>
      </c>
      <c r="H232">
        <v>23634.92</v>
      </c>
    </row>
    <row r="233" spans="1:8">
      <c r="A233" t="s">
        <v>2313</v>
      </c>
      <c r="B233" t="s">
        <v>2314</v>
      </c>
      <c r="C233" t="s">
        <v>2315</v>
      </c>
      <c r="D233" t="s">
        <v>2316</v>
      </c>
      <c r="E233" t="s">
        <v>2176</v>
      </c>
      <c r="F233">
        <v>202108</v>
      </c>
      <c r="G233" t="s">
        <v>232</v>
      </c>
      <c r="H233">
        <v>4391.53</v>
      </c>
    </row>
    <row r="234" spans="1:8">
      <c r="A234" t="s">
        <v>2313</v>
      </c>
      <c r="B234" t="s">
        <v>2314</v>
      </c>
      <c r="C234" t="s">
        <v>2315</v>
      </c>
      <c r="D234" t="s">
        <v>2316</v>
      </c>
      <c r="E234" t="s">
        <v>2176</v>
      </c>
      <c r="F234">
        <v>202108</v>
      </c>
      <c r="G234" t="s">
        <v>222</v>
      </c>
      <c r="H234">
        <v>24080.27</v>
      </c>
    </row>
    <row r="235" spans="1:8">
      <c r="A235" t="s">
        <v>2313</v>
      </c>
      <c r="B235" t="s">
        <v>2314</v>
      </c>
      <c r="C235" t="s">
        <v>2315</v>
      </c>
      <c r="D235" t="s">
        <v>2316</v>
      </c>
      <c r="E235" t="s">
        <v>2176</v>
      </c>
      <c r="F235">
        <v>202108</v>
      </c>
      <c r="G235" t="s">
        <v>224</v>
      </c>
      <c r="H235">
        <v>4474.28</v>
      </c>
    </row>
    <row r="236" spans="1:8">
      <c r="A236" t="s">
        <v>2313</v>
      </c>
      <c r="B236" t="s">
        <v>2314</v>
      </c>
      <c r="C236" t="s">
        <v>2315</v>
      </c>
      <c r="D236" t="s">
        <v>2316</v>
      </c>
      <c r="E236" t="s">
        <v>2176</v>
      </c>
      <c r="F236">
        <v>202108</v>
      </c>
      <c r="G236" t="s">
        <v>226</v>
      </c>
      <c r="H236">
        <v>528.1</v>
      </c>
    </row>
    <row r="237" spans="1:8">
      <c r="A237" t="s">
        <v>2313</v>
      </c>
      <c r="B237" t="s">
        <v>2314</v>
      </c>
      <c r="C237" t="s">
        <v>2315</v>
      </c>
      <c r="D237" t="s">
        <v>2316</v>
      </c>
      <c r="E237" t="s">
        <v>2176</v>
      </c>
      <c r="F237">
        <v>202109</v>
      </c>
      <c r="G237" t="s">
        <v>231</v>
      </c>
      <c r="H237">
        <v>23929.439999999999</v>
      </c>
    </row>
    <row r="238" spans="1:8">
      <c r="A238" t="s">
        <v>2313</v>
      </c>
      <c r="B238" t="s">
        <v>2314</v>
      </c>
      <c r="C238" t="s">
        <v>2315</v>
      </c>
      <c r="D238" t="s">
        <v>2316</v>
      </c>
      <c r="E238" t="s">
        <v>2176</v>
      </c>
      <c r="F238">
        <v>202109</v>
      </c>
      <c r="G238" t="s">
        <v>232</v>
      </c>
      <c r="H238">
        <v>4070.89</v>
      </c>
    </row>
    <row r="239" spans="1:8">
      <c r="A239" t="s">
        <v>2313</v>
      </c>
      <c r="B239" t="s">
        <v>2314</v>
      </c>
      <c r="C239" t="s">
        <v>2315</v>
      </c>
      <c r="D239" t="s">
        <v>2316</v>
      </c>
      <c r="E239" t="s">
        <v>2176</v>
      </c>
      <c r="F239">
        <v>202109</v>
      </c>
      <c r="G239" t="s">
        <v>222</v>
      </c>
      <c r="H239">
        <v>24394.69</v>
      </c>
    </row>
    <row r="240" spans="1:8">
      <c r="A240" t="s">
        <v>2313</v>
      </c>
      <c r="B240" t="s">
        <v>2314</v>
      </c>
      <c r="C240" t="s">
        <v>2315</v>
      </c>
      <c r="D240" t="s">
        <v>2316</v>
      </c>
      <c r="E240" t="s">
        <v>2176</v>
      </c>
      <c r="F240">
        <v>202109</v>
      </c>
      <c r="G240" t="s">
        <v>224</v>
      </c>
      <c r="H240">
        <v>4150.04</v>
      </c>
    </row>
    <row r="241" spans="1:8">
      <c r="A241" t="s">
        <v>2313</v>
      </c>
      <c r="B241" t="s">
        <v>2314</v>
      </c>
      <c r="C241" t="s">
        <v>2315</v>
      </c>
      <c r="D241" t="s">
        <v>2316</v>
      </c>
      <c r="E241" t="s">
        <v>2176</v>
      </c>
      <c r="F241">
        <v>202109</v>
      </c>
      <c r="G241" t="s">
        <v>226</v>
      </c>
      <c r="H241">
        <v>544.41</v>
      </c>
    </row>
    <row r="242" spans="1:8">
      <c r="A242" t="s">
        <v>2313</v>
      </c>
      <c r="B242" t="s">
        <v>2314</v>
      </c>
      <c r="C242" t="s">
        <v>2315</v>
      </c>
      <c r="D242" t="s">
        <v>2316</v>
      </c>
      <c r="E242" t="s">
        <v>2176</v>
      </c>
      <c r="F242">
        <v>202110</v>
      </c>
      <c r="G242" t="s">
        <v>231</v>
      </c>
      <c r="H242">
        <v>24904.78</v>
      </c>
    </row>
    <row r="243" spans="1:8">
      <c r="A243" t="s">
        <v>2313</v>
      </c>
      <c r="B243" t="s">
        <v>2314</v>
      </c>
      <c r="C243" t="s">
        <v>2315</v>
      </c>
      <c r="D243" t="s">
        <v>2316</v>
      </c>
      <c r="E243" t="s">
        <v>2176</v>
      </c>
      <c r="F243">
        <v>202110</v>
      </c>
      <c r="G243" t="s">
        <v>232</v>
      </c>
      <c r="H243">
        <v>3819.69</v>
      </c>
    </row>
    <row r="244" spans="1:8">
      <c r="A244" t="s">
        <v>2313</v>
      </c>
      <c r="B244" t="s">
        <v>2314</v>
      </c>
      <c r="C244" t="s">
        <v>2315</v>
      </c>
      <c r="D244" t="s">
        <v>2316</v>
      </c>
      <c r="E244" t="s">
        <v>2176</v>
      </c>
      <c r="F244">
        <v>202110</v>
      </c>
      <c r="G244" t="s">
        <v>222</v>
      </c>
      <c r="H244">
        <v>25362.639999999999</v>
      </c>
    </row>
    <row r="245" spans="1:8">
      <c r="A245" t="s">
        <v>2313</v>
      </c>
      <c r="B245" t="s">
        <v>2314</v>
      </c>
      <c r="C245" t="s">
        <v>2315</v>
      </c>
      <c r="D245" t="s">
        <v>2316</v>
      </c>
      <c r="E245" t="s">
        <v>2176</v>
      </c>
      <c r="F245">
        <v>202110</v>
      </c>
      <c r="G245" t="s">
        <v>224</v>
      </c>
      <c r="H245">
        <v>3889.91</v>
      </c>
    </row>
    <row r="246" spans="1:8">
      <c r="A246" t="s">
        <v>2313</v>
      </c>
      <c r="B246" t="s">
        <v>2314</v>
      </c>
      <c r="C246" t="s">
        <v>2315</v>
      </c>
      <c r="D246" t="s">
        <v>2316</v>
      </c>
      <c r="E246" t="s">
        <v>2176</v>
      </c>
      <c r="F246">
        <v>202110</v>
      </c>
      <c r="G246" t="s">
        <v>226</v>
      </c>
      <c r="H246">
        <v>528.09</v>
      </c>
    </row>
    <row r="247" spans="1:8">
      <c r="A247" t="s">
        <v>2313</v>
      </c>
      <c r="B247" t="s">
        <v>2314</v>
      </c>
      <c r="C247" t="s">
        <v>2315</v>
      </c>
      <c r="D247" t="s">
        <v>2316</v>
      </c>
      <c r="E247" t="s">
        <v>2176</v>
      </c>
      <c r="F247">
        <v>202111</v>
      </c>
      <c r="G247" t="s">
        <v>231</v>
      </c>
      <c r="H247">
        <v>27292.080000000002</v>
      </c>
    </row>
    <row r="248" spans="1:8">
      <c r="A248" t="s">
        <v>2313</v>
      </c>
      <c r="B248" t="s">
        <v>2314</v>
      </c>
      <c r="C248" t="s">
        <v>2315</v>
      </c>
      <c r="D248" t="s">
        <v>2316</v>
      </c>
      <c r="E248" t="s">
        <v>2176</v>
      </c>
      <c r="F248">
        <v>202111</v>
      </c>
      <c r="G248" t="s">
        <v>232</v>
      </c>
      <c r="H248">
        <v>3196.56</v>
      </c>
    </row>
    <row r="249" spans="1:8">
      <c r="A249" t="s">
        <v>2313</v>
      </c>
      <c r="B249" t="s">
        <v>2314</v>
      </c>
      <c r="C249" t="s">
        <v>2315</v>
      </c>
      <c r="D249" t="s">
        <v>2316</v>
      </c>
      <c r="E249" t="s">
        <v>2176</v>
      </c>
      <c r="F249">
        <v>202111</v>
      </c>
      <c r="G249" t="s">
        <v>222</v>
      </c>
      <c r="H249">
        <v>27786.27</v>
      </c>
    </row>
    <row r="250" spans="1:8">
      <c r="A250" t="s">
        <v>2313</v>
      </c>
      <c r="B250" t="s">
        <v>2314</v>
      </c>
      <c r="C250" t="s">
        <v>2315</v>
      </c>
      <c r="D250" t="s">
        <v>2316</v>
      </c>
      <c r="E250" t="s">
        <v>2176</v>
      </c>
      <c r="F250">
        <v>202111</v>
      </c>
      <c r="G250" t="s">
        <v>224</v>
      </c>
      <c r="H250">
        <v>3254.44</v>
      </c>
    </row>
    <row r="251" spans="1:8">
      <c r="A251" t="s">
        <v>2313</v>
      </c>
      <c r="B251" t="s">
        <v>2314</v>
      </c>
      <c r="C251" t="s">
        <v>2315</v>
      </c>
      <c r="D251" t="s">
        <v>2316</v>
      </c>
      <c r="E251" t="s">
        <v>2176</v>
      </c>
      <c r="F251">
        <v>202111</v>
      </c>
      <c r="G251" t="s">
        <v>226</v>
      </c>
      <c r="H251">
        <v>552.05999999999995</v>
      </c>
    </row>
    <row r="252" spans="1:8">
      <c r="A252" t="s">
        <v>2313</v>
      </c>
      <c r="B252" t="s">
        <v>2314</v>
      </c>
      <c r="C252" t="s">
        <v>2315</v>
      </c>
      <c r="D252" t="s">
        <v>2316</v>
      </c>
      <c r="E252" t="s">
        <v>2176</v>
      </c>
      <c r="F252">
        <v>202112</v>
      </c>
      <c r="G252" t="s">
        <v>231</v>
      </c>
      <c r="H252">
        <v>37180.699999999997</v>
      </c>
    </row>
    <row r="253" spans="1:8">
      <c r="A253" t="s">
        <v>2313</v>
      </c>
      <c r="B253" t="s">
        <v>2314</v>
      </c>
      <c r="C253" t="s">
        <v>2315</v>
      </c>
      <c r="D253" t="s">
        <v>2316</v>
      </c>
      <c r="E253" t="s">
        <v>2176</v>
      </c>
      <c r="F253">
        <v>202112</v>
      </c>
      <c r="G253" t="s">
        <v>232</v>
      </c>
      <c r="H253">
        <v>4176.2700000000004</v>
      </c>
    </row>
    <row r="254" spans="1:8">
      <c r="A254" t="s">
        <v>2313</v>
      </c>
      <c r="B254" t="s">
        <v>2314</v>
      </c>
      <c r="C254" t="s">
        <v>2315</v>
      </c>
      <c r="D254" t="s">
        <v>2316</v>
      </c>
      <c r="E254" t="s">
        <v>2176</v>
      </c>
      <c r="F254">
        <v>202112</v>
      </c>
      <c r="G254" t="s">
        <v>222</v>
      </c>
      <c r="H254">
        <v>37646.36</v>
      </c>
    </row>
    <row r="255" spans="1:8">
      <c r="A255" t="s">
        <v>2313</v>
      </c>
      <c r="B255" t="s">
        <v>2314</v>
      </c>
      <c r="C255" t="s">
        <v>2315</v>
      </c>
      <c r="D255" t="s">
        <v>2316</v>
      </c>
      <c r="E255" t="s">
        <v>2176</v>
      </c>
      <c r="F255">
        <v>202112</v>
      </c>
      <c r="G255" t="s">
        <v>224</v>
      </c>
      <c r="H255">
        <v>4228.58</v>
      </c>
    </row>
    <row r="256" spans="1:8">
      <c r="A256" t="s">
        <v>2313</v>
      </c>
      <c r="B256" t="s">
        <v>2314</v>
      </c>
      <c r="C256" t="s">
        <v>2315</v>
      </c>
      <c r="D256" t="s">
        <v>2316</v>
      </c>
      <c r="E256" t="s">
        <v>2176</v>
      </c>
      <c r="F256">
        <v>202112</v>
      </c>
      <c r="G256" t="s">
        <v>226</v>
      </c>
      <c r="H256">
        <v>517.96</v>
      </c>
    </row>
    <row r="257" spans="1:8">
      <c r="A257" t="s">
        <v>2313</v>
      </c>
      <c r="B257" t="s">
        <v>2314</v>
      </c>
      <c r="C257" t="s">
        <v>2315</v>
      </c>
      <c r="D257" t="s">
        <v>2316</v>
      </c>
      <c r="E257" t="s">
        <v>2176</v>
      </c>
      <c r="F257">
        <v>202201</v>
      </c>
      <c r="G257" t="s">
        <v>231</v>
      </c>
      <c r="H257">
        <v>0</v>
      </c>
    </row>
    <row r="258" spans="1:8">
      <c r="A258" t="s">
        <v>2313</v>
      </c>
      <c r="B258" t="s">
        <v>2314</v>
      </c>
      <c r="C258" t="s">
        <v>2315</v>
      </c>
      <c r="D258" t="s">
        <v>2316</v>
      </c>
      <c r="E258" t="s">
        <v>2176</v>
      </c>
      <c r="F258">
        <v>202201</v>
      </c>
      <c r="G258" t="s">
        <v>232</v>
      </c>
      <c r="H258">
        <v>0</v>
      </c>
    </row>
    <row r="259" spans="1:8">
      <c r="A259" t="s">
        <v>2313</v>
      </c>
      <c r="B259" t="s">
        <v>2314</v>
      </c>
      <c r="C259" t="s">
        <v>2315</v>
      </c>
      <c r="D259" t="s">
        <v>2316</v>
      </c>
      <c r="E259" t="s">
        <v>2176</v>
      </c>
      <c r="F259">
        <v>202201</v>
      </c>
      <c r="G259" t="s">
        <v>222</v>
      </c>
      <c r="H259">
        <v>45039.86</v>
      </c>
    </row>
    <row r="260" spans="1:8">
      <c r="A260" t="s">
        <v>2313</v>
      </c>
      <c r="B260" t="s">
        <v>2314</v>
      </c>
      <c r="C260" t="s">
        <v>2315</v>
      </c>
      <c r="D260" t="s">
        <v>2316</v>
      </c>
      <c r="E260" t="s">
        <v>2176</v>
      </c>
      <c r="F260">
        <v>202201</v>
      </c>
      <c r="G260" t="s">
        <v>224</v>
      </c>
      <c r="H260">
        <v>4010.59</v>
      </c>
    </row>
    <row r="261" spans="1:8">
      <c r="A261" t="s">
        <v>2313</v>
      </c>
      <c r="B261" t="s">
        <v>2314</v>
      </c>
      <c r="C261" t="s">
        <v>2315</v>
      </c>
      <c r="D261" t="s">
        <v>2316</v>
      </c>
      <c r="E261" t="s">
        <v>2176</v>
      </c>
      <c r="F261">
        <v>202201</v>
      </c>
      <c r="G261" t="s">
        <v>226</v>
      </c>
      <c r="H261">
        <v>0</v>
      </c>
    </row>
    <row r="262" spans="1:8">
      <c r="A262" t="s">
        <v>2313</v>
      </c>
      <c r="B262" t="s">
        <v>2314</v>
      </c>
      <c r="C262" t="s">
        <v>2315</v>
      </c>
      <c r="D262" t="s">
        <v>2316</v>
      </c>
      <c r="E262" t="s">
        <v>2176</v>
      </c>
      <c r="F262">
        <v>202202</v>
      </c>
      <c r="G262" t="s">
        <v>231</v>
      </c>
      <c r="H262">
        <v>0</v>
      </c>
    </row>
    <row r="263" spans="1:8">
      <c r="A263" t="s">
        <v>2313</v>
      </c>
      <c r="B263" t="s">
        <v>2314</v>
      </c>
      <c r="C263" t="s">
        <v>2315</v>
      </c>
      <c r="D263" t="s">
        <v>2316</v>
      </c>
      <c r="E263" t="s">
        <v>2176</v>
      </c>
      <c r="F263">
        <v>202202</v>
      </c>
      <c r="G263" t="s">
        <v>232</v>
      </c>
      <c r="H263">
        <v>0</v>
      </c>
    </row>
    <row r="264" spans="1:8">
      <c r="A264" t="s">
        <v>2313</v>
      </c>
      <c r="B264" t="s">
        <v>2314</v>
      </c>
      <c r="C264" t="s">
        <v>2315</v>
      </c>
      <c r="D264" t="s">
        <v>2316</v>
      </c>
      <c r="E264" t="s">
        <v>2176</v>
      </c>
      <c r="F264">
        <v>202202</v>
      </c>
      <c r="G264" t="s">
        <v>222</v>
      </c>
      <c r="H264">
        <v>34069.58</v>
      </c>
    </row>
    <row r="265" spans="1:8">
      <c r="A265" t="s">
        <v>2313</v>
      </c>
      <c r="B265" t="s">
        <v>2314</v>
      </c>
      <c r="C265" t="s">
        <v>2315</v>
      </c>
      <c r="D265" t="s">
        <v>2316</v>
      </c>
      <c r="E265" t="s">
        <v>2176</v>
      </c>
      <c r="F265">
        <v>202202</v>
      </c>
      <c r="G265" t="s">
        <v>224</v>
      </c>
      <c r="H265">
        <v>3614.71</v>
      </c>
    </row>
    <row r="266" spans="1:8">
      <c r="A266" t="s">
        <v>2313</v>
      </c>
      <c r="B266" t="s">
        <v>2314</v>
      </c>
      <c r="C266" t="s">
        <v>2315</v>
      </c>
      <c r="D266" t="s">
        <v>2316</v>
      </c>
      <c r="E266" t="s">
        <v>2176</v>
      </c>
      <c r="F266">
        <v>202202</v>
      </c>
      <c r="G266" t="s">
        <v>226</v>
      </c>
      <c r="H266">
        <v>0</v>
      </c>
    </row>
    <row r="267" spans="1:8">
      <c r="A267" t="s">
        <v>2313</v>
      </c>
      <c r="B267" t="s">
        <v>2314</v>
      </c>
      <c r="C267" t="s">
        <v>2315</v>
      </c>
      <c r="D267" t="s">
        <v>2316</v>
      </c>
      <c r="E267" t="s">
        <v>2176</v>
      </c>
      <c r="F267">
        <v>202203</v>
      </c>
      <c r="G267" t="s">
        <v>231</v>
      </c>
      <c r="H267">
        <v>0</v>
      </c>
    </row>
    <row r="268" spans="1:8">
      <c r="A268" t="s">
        <v>2313</v>
      </c>
      <c r="B268" t="s">
        <v>2314</v>
      </c>
      <c r="C268" t="s">
        <v>2315</v>
      </c>
      <c r="D268" t="s">
        <v>2316</v>
      </c>
      <c r="E268" t="s">
        <v>2176</v>
      </c>
      <c r="F268">
        <v>202203</v>
      </c>
      <c r="G268" t="s">
        <v>232</v>
      </c>
      <c r="H268">
        <v>0</v>
      </c>
    </row>
    <row r="269" spans="1:8">
      <c r="A269" t="s">
        <v>2313</v>
      </c>
      <c r="B269" t="s">
        <v>2314</v>
      </c>
      <c r="C269" t="s">
        <v>2315</v>
      </c>
      <c r="D269" t="s">
        <v>2316</v>
      </c>
      <c r="E269" t="s">
        <v>2176</v>
      </c>
      <c r="F269">
        <v>202203</v>
      </c>
      <c r="G269" t="s">
        <v>222</v>
      </c>
      <c r="H269">
        <v>31482.17</v>
      </c>
    </row>
    <row r="270" spans="1:8">
      <c r="A270" t="s">
        <v>2313</v>
      </c>
      <c r="B270" t="s">
        <v>2314</v>
      </c>
      <c r="C270" t="s">
        <v>2315</v>
      </c>
      <c r="D270" t="s">
        <v>2316</v>
      </c>
      <c r="E270" t="s">
        <v>2176</v>
      </c>
      <c r="F270">
        <v>202203</v>
      </c>
      <c r="G270" t="s">
        <v>224</v>
      </c>
      <c r="H270">
        <v>4205.0200000000004</v>
      </c>
    </row>
    <row r="271" spans="1:8">
      <c r="A271" t="s">
        <v>2313</v>
      </c>
      <c r="B271" t="s">
        <v>2314</v>
      </c>
      <c r="C271" t="s">
        <v>2315</v>
      </c>
      <c r="D271" t="s">
        <v>2316</v>
      </c>
      <c r="E271" t="s">
        <v>2176</v>
      </c>
      <c r="F271">
        <v>202203</v>
      </c>
      <c r="G271" t="s">
        <v>226</v>
      </c>
      <c r="H271">
        <v>0</v>
      </c>
    </row>
    <row r="272" spans="1:8">
      <c r="A272" t="s">
        <v>2313</v>
      </c>
      <c r="B272" t="s">
        <v>2314</v>
      </c>
      <c r="C272" t="s">
        <v>2315</v>
      </c>
      <c r="D272" t="s">
        <v>2316</v>
      </c>
      <c r="E272" t="s">
        <v>2176</v>
      </c>
      <c r="F272">
        <v>202204</v>
      </c>
      <c r="G272" t="s">
        <v>231</v>
      </c>
      <c r="H272">
        <v>0</v>
      </c>
    </row>
    <row r="273" spans="1:8">
      <c r="A273" t="s">
        <v>2313</v>
      </c>
      <c r="B273" t="s">
        <v>2314</v>
      </c>
      <c r="C273" t="s">
        <v>2315</v>
      </c>
      <c r="D273" t="s">
        <v>2316</v>
      </c>
      <c r="E273" t="s">
        <v>2176</v>
      </c>
      <c r="F273">
        <v>202204</v>
      </c>
      <c r="G273" t="s">
        <v>232</v>
      </c>
      <c r="H273">
        <v>0</v>
      </c>
    </row>
    <row r="274" spans="1:8">
      <c r="A274" t="s">
        <v>2313</v>
      </c>
      <c r="B274" t="s">
        <v>2314</v>
      </c>
      <c r="C274" t="s">
        <v>2315</v>
      </c>
      <c r="D274" t="s">
        <v>2316</v>
      </c>
      <c r="E274" t="s">
        <v>2176</v>
      </c>
      <c r="F274">
        <v>202204</v>
      </c>
      <c r="G274" t="s">
        <v>222</v>
      </c>
      <c r="H274">
        <v>23623.83</v>
      </c>
    </row>
    <row r="275" spans="1:8">
      <c r="A275" t="s">
        <v>2313</v>
      </c>
      <c r="B275" t="s">
        <v>2314</v>
      </c>
      <c r="C275" t="s">
        <v>2315</v>
      </c>
      <c r="D275" t="s">
        <v>2316</v>
      </c>
      <c r="E275" t="s">
        <v>2176</v>
      </c>
      <c r="F275">
        <v>202204</v>
      </c>
      <c r="G275" t="s">
        <v>224</v>
      </c>
      <c r="H275">
        <v>3597.63</v>
      </c>
    </row>
    <row r="276" spans="1:8">
      <c r="A276" t="s">
        <v>2313</v>
      </c>
      <c r="B276" t="s">
        <v>2314</v>
      </c>
      <c r="C276" t="s">
        <v>2315</v>
      </c>
      <c r="D276" t="s">
        <v>2316</v>
      </c>
      <c r="E276" t="s">
        <v>2176</v>
      </c>
      <c r="F276">
        <v>202204</v>
      </c>
      <c r="G276" t="s">
        <v>226</v>
      </c>
      <c r="H276">
        <v>0</v>
      </c>
    </row>
    <row r="277" spans="1:8">
      <c r="A277" t="s">
        <v>2313</v>
      </c>
      <c r="B277" t="s">
        <v>2314</v>
      </c>
      <c r="C277" t="s">
        <v>2315</v>
      </c>
      <c r="D277" t="s">
        <v>2316</v>
      </c>
      <c r="E277" t="s">
        <v>2176</v>
      </c>
      <c r="F277">
        <v>202205</v>
      </c>
      <c r="G277" t="s">
        <v>231</v>
      </c>
      <c r="H277">
        <v>0</v>
      </c>
    </row>
    <row r="278" spans="1:8">
      <c r="A278" t="s">
        <v>2313</v>
      </c>
      <c r="B278" t="s">
        <v>2314</v>
      </c>
      <c r="C278" t="s">
        <v>2315</v>
      </c>
      <c r="D278" t="s">
        <v>2316</v>
      </c>
      <c r="E278" t="s">
        <v>2176</v>
      </c>
      <c r="F278">
        <v>202205</v>
      </c>
      <c r="G278" t="s">
        <v>232</v>
      </c>
      <c r="H278">
        <v>0</v>
      </c>
    </row>
    <row r="279" spans="1:8">
      <c r="A279" t="s">
        <v>2313</v>
      </c>
      <c r="B279" t="s">
        <v>2314</v>
      </c>
      <c r="C279" t="s">
        <v>2315</v>
      </c>
      <c r="D279" t="s">
        <v>2316</v>
      </c>
      <c r="E279" t="s">
        <v>2176</v>
      </c>
      <c r="F279">
        <v>202205</v>
      </c>
      <c r="G279" t="s">
        <v>222</v>
      </c>
      <c r="H279">
        <v>22424.34</v>
      </c>
    </row>
    <row r="280" spans="1:8">
      <c r="A280" t="s">
        <v>2313</v>
      </c>
      <c r="B280" t="s">
        <v>2314</v>
      </c>
      <c r="C280" t="s">
        <v>2315</v>
      </c>
      <c r="D280" t="s">
        <v>2316</v>
      </c>
      <c r="E280" t="s">
        <v>2176</v>
      </c>
      <c r="F280">
        <v>202205</v>
      </c>
      <c r="G280" t="s">
        <v>224</v>
      </c>
      <c r="H280">
        <v>4292.7700000000004</v>
      </c>
    </row>
    <row r="281" spans="1:8">
      <c r="A281" t="s">
        <v>2313</v>
      </c>
      <c r="B281" t="s">
        <v>2314</v>
      </c>
      <c r="C281" t="s">
        <v>2315</v>
      </c>
      <c r="D281" t="s">
        <v>2316</v>
      </c>
      <c r="E281" t="s">
        <v>2176</v>
      </c>
      <c r="F281">
        <v>202205</v>
      </c>
      <c r="G281" t="s">
        <v>226</v>
      </c>
      <c r="H281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37" zoomScale="115" zoomScaleNormal="115" workbookViewId="0">
      <pane xSplit="1" topLeftCell="B1" activePane="topRight" state="frozen"/>
      <selection activeCell="A7" sqref="A7"/>
      <selection pane="topRight" activeCell="B43" sqref="B43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234</v>
      </c>
    </row>
    <row r="2" spans="1:50">
      <c r="A2" s="63" t="s">
        <v>235</v>
      </c>
      <c r="AI2" t="s">
        <v>2160</v>
      </c>
    </row>
    <row r="3" spans="1:50">
      <c r="A3" s="63" t="s">
        <v>236</v>
      </c>
      <c r="AI3" t="s">
        <v>2161</v>
      </c>
    </row>
    <row r="4" spans="1:50">
      <c r="A4" s="63" t="s">
        <v>237</v>
      </c>
    </row>
    <row r="7" spans="1:50">
      <c r="A7" s="656" t="s">
        <v>238</v>
      </c>
      <c r="M7" t="s">
        <v>2152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239</v>
      </c>
      <c r="B9" s="514" t="s">
        <v>240</v>
      </c>
      <c r="C9" s="514" t="s">
        <v>241</v>
      </c>
      <c r="D9" s="514" t="s">
        <v>242</v>
      </c>
      <c r="E9" s="514" t="s">
        <v>243</v>
      </c>
      <c r="F9" s="514" t="s">
        <v>244</v>
      </c>
      <c r="G9" s="514" t="s">
        <v>245</v>
      </c>
      <c r="H9" s="514" t="s">
        <v>246</v>
      </c>
      <c r="I9" s="514" t="s">
        <v>247</v>
      </c>
      <c r="J9" s="514" t="s">
        <v>248</v>
      </c>
      <c r="K9" s="514" t="s">
        <v>249</v>
      </c>
      <c r="L9" s="514" t="s">
        <v>250</v>
      </c>
      <c r="M9" s="514" t="s">
        <v>251</v>
      </c>
      <c r="N9" s="514" t="s">
        <v>252</v>
      </c>
      <c r="O9" s="514" t="s">
        <v>253</v>
      </c>
      <c r="P9" s="514" t="s">
        <v>254</v>
      </c>
      <c r="Q9" s="514" t="s">
        <v>255</v>
      </c>
      <c r="R9" s="514" t="s">
        <v>256</v>
      </c>
      <c r="S9" s="514" t="s">
        <v>257</v>
      </c>
      <c r="T9" s="514" t="s">
        <v>258</v>
      </c>
      <c r="U9" s="515" t="s">
        <v>259</v>
      </c>
      <c r="V9" s="514" t="s">
        <v>260</v>
      </c>
      <c r="W9" s="514" t="s">
        <v>261</v>
      </c>
      <c r="X9" s="515" t="s">
        <v>262</v>
      </c>
      <c r="Y9" s="515" t="s">
        <v>263</v>
      </c>
      <c r="Z9" s="515" t="s">
        <v>264</v>
      </c>
      <c r="AA9" s="515" t="s">
        <v>265</v>
      </c>
      <c r="AB9" s="515" t="s">
        <v>266</v>
      </c>
      <c r="AC9" s="515" t="s">
        <v>267</v>
      </c>
      <c r="AD9" s="515" t="s">
        <v>268</v>
      </c>
      <c r="AE9" s="515" t="s">
        <v>269</v>
      </c>
      <c r="AF9" s="515" t="s">
        <v>270</v>
      </c>
      <c r="AG9" s="515" t="s">
        <v>271</v>
      </c>
      <c r="AH9" s="515" t="s">
        <v>272</v>
      </c>
      <c r="AI9" s="515" t="s">
        <v>273</v>
      </c>
      <c r="AJ9" s="515" t="s">
        <v>274</v>
      </c>
      <c r="AK9" s="515" t="s">
        <v>275</v>
      </c>
      <c r="AL9" s="515" t="s">
        <v>276</v>
      </c>
      <c r="AM9" s="515" t="s">
        <v>277</v>
      </c>
      <c r="AN9" s="515" t="s">
        <v>278</v>
      </c>
      <c r="AR9" s="812" t="s">
        <v>239</v>
      </c>
      <c r="AS9" s="813" t="s">
        <v>279</v>
      </c>
    </row>
    <row r="10" spans="1:50" s="9" customFormat="1" ht="31.5">
      <c r="A10" s="630" t="s">
        <v>280</v>
      </c>
      <c r="B10" s="630" t="s">
        <v>281</v>
      </c>
      <c r="C10" s="630">
        <v>5381</v>
      </c>
      <c r="D10" s="630" t="s">
        <v>282</v>
      </c>
      <c r="E10" s="630" t="s">
        <v>283</v>
      </c>
      <c r="F10" s="630" t="s">
        <v>284</v>
      </c>
      <c r="G10" s="630" t="s">
        <v>285</v>
      </c>
      <c r="H10" s="630">
        <v>3.7699999999999997E-2</v>
      </c>
      <c r="I10" s="630" t="s">
        <v>286</v>
      </c>
      <c r="J10" s="630">
        <v>104</v>
      </c>
      <c r="K10" s="630" t="s">
        <v>164</v>
      </c>
      <c r="L10" s="630">
        <v>145</v>
      </c>
      <c r="M10" s="815">
        <v>0</v>
      </c>
      <c r="N10" s="1594"/>
      <c r="O10" s="1594" t="s">
        <v>2153</v>
      </c>
      <c r="P10" s="1591">
        <v>0.18360000000000001</v>
      </c>
      <c r="Q10" s="1594">
        <v>16758759.762993418</v>
      </c>
      <c r="R10" s="1602">
        <v>44531</v>
      </c>
      <c r="S10" s="1594" t="s">
        <v>2164</v>
      </c>
      <c r="T10" s="630" t="s">
        <v>287</v>
      </c>
      <c r="U10" s="741" t="s">
        <v>288</v>
      </c>
      <c r="V10" s="630">
        <v>2024</v>
      </c>
      <c r="W10" s="1589">
        <v>2974</v>
      </c>
      <c r="X10" s="1590" t="s">
        <v>2155</v>
      </c>
      <c r="Y10" s="1591">
        <v>1.15E-2</v>
      </c>
      <c r="Z10" s="1592">
        <v>0</v>
      </c>
      <c r="AA10" s="1592" t="s">
        <v>289</v>
      </c>
      <c r="AB10" s="491">
        <v>39.72</v>
      </c>
      <c r="AC10" s="491">
        <v>539.16</v>
      </c>
      <c r="AD10" s="491">
        <v>3502812.67</v>
      </c>
      <c r="AE10" s="1593">
        <v>42300</v>
      </c>
      <c r="AF10" s="1593">
        <v>42300</v>
      </c>
      <c r="AG10" s="1594">
        <v>0</v>
      </c>
      <c r="AH10" s="630"/>
      <c r="AI10" s="741">
        <v>41472</v>
      </c>
      <c r="AJ10" s="741">
        <v>42613</v>
      </c>
      <c r="AK10" s="741" t="s">
        <v>290</v>
      </c>
      <c r="AL10" s="741"/>
      <c r="AM10" s="741"/>
      <c r="AN10" s="864"/>
      <c r="AO10" s="235"/>
      <c r="AP10" s="17"/>
      <c r="AR10" s="818" t="s">
        <v>291</v>
      </c>
      <c r="AS10" s="235"/>
      <c r="AT10" s="235"/>
      <c r="AX10" s="235"/>
    </row>
    <row r="11" spans="1:50" s="9" customFormat="1" ht="31.5">
      <c r="A11" s="630" t="s">
        <v>187</v>
      </c>
      <c r="B11" s="630" t="s">
        <v>292</v>
      </c>
      <c r="C11" s="630">
        <v>5366</v>
      </c>
      <c r="D11" s="630" t="s">
        <v>293</v>
      </c>
      <c r="E11" s="630" t="s">
        <v>283</v>
      </c>
      <c r="F11" s="630" t="s">
        <v>294</v>
      </c>
      <c r="G11" s="630" t="s">
        <v>285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15">
        <v>0</v>
      </c>
      <c r="N11" s="1594"/>
      <c r="O11" s="1594" t="str">
        <f>O10</f>
        <v>ReH 2.995/2021</v>
      </c>
      <c r="P11" s="1603">
        <v>8.7599999999999997E-2</v>
      </c>
      <c r="Q11" s="1594">
        <v>12051594.579145933</v>
      </c>
      <c r="R11" s="1602">
        <v>44531</v>
      </c>
      <c r="S11" s="1594" t="str">
        <f>S10</f>
        <v>Desp. 521/2022</v>
      </c>
      <c r="T11" s="630" t="s">
        <v>295</v>
      </c>
      <c r="U11" s="741" t="s">
        <v>296</v>
      </c>
      <c r="V11" s="630">
        <v>2024</v>
      </c>
      <c r="W11" s="1589">
        <v>2944</v>
      </c>
      <c r="X11" s="1590" t="s">
        <v>2159</v>
      </c>
      <c r="Y11" s="630"/>
      <c r="AA11" s="1592" t="s">
        <v>164</v>
      </c>
      <c r="AB11" s="1594">
        <v>39.799999999999997</v>
      </c>
      <c r="AC11" s="1595">
        <v>133.91999999999999</v>
      </c>
      <c r="AD11" s="1595">
        <v>2423958.41</v>
      </c>
      <c r="AE11" s="741">
        <v>43678</v>
      </c>
      <c r="AF11" s="741">
        <v>43678</v>
      </c>
      <c r="AG11" s="1594">
        <v>0</v>
      </c>
      <c r="AH11" s="630"/>
      <c r="AI11" s="741">
        <v>41472</v>
      </c>
      <c r="AJ11" s="741">
        <v>42613</v>
      </c>
      <c r="AK11" s="741" t="s">
        <v>290</v>
      </c>
      <c r="AL11" s="741"/>
      <c r="AM11" s="741"/>
      <c r="AN11" s="864"/>
      <c r="AO11" s="235"/>
      <c r="AP11" s="17"/>
      <c r="AR11" s="818" t="s">
        <v>280</v>
      </c>
      <c r="AS11" s="235"/>
      <c r="AT11" s="235"/>
      <c r="AX11" s="235"/>
    </row>
    <row r="12" spans="1:50" s="9" customFormat="1" ht="31.5">
      <c r="A12" s="630" t="s">
        <v>297</v>
      </c>
      <c r="B12" s="630" t="s">
        <v>298</v>
      </c>
      <c r="C12" s="630">
        <v>5386</v>
      </c>
      <c r="D12" s="630" t="s">
        <v>299</v>
      </c>
      <c r="E12" s="630" t="s">
        <v>283</v>
      </c>
      <c r="F12" s="630" t="s">
        <v>300</v>
      </c>
      <c r="G12" s="630" t="s">
        <v>285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15">
        <v>0</v>
      </c>
      <c r="N12" s="1594"/>
      <c r="O12" s="1594" t="str">
        <f t="shared" ref="O12:O61" si="9">O11</f>
        <v>ReH 2.995/2021</v>
      </c>
      <c r="P12" s="1603">
        <v>0.1298</v>
      </c>
      <c r="Q12" s="1594">
        <v>17888427.870995689</v>
      </c>
      <c r="R12" s="1602">
        <v>44531</v>
      </c>
      <c r="S12" s="1594" t="str">
        <f t="shared" ref="S12:S61" si="10">S11</f>
        <v>Desp. 521/2022</v>
      </c>
      <c r="T12" s="630" t="s">
        <v>301</v>
      </c>
      <c r="U12" s="741" t="s">
        <v>296</v>
      </c>
      <c r="V12" s="630">
        <v>2024</v>
      </c>
      <c r="W12" s="1589">
        <v>2977</v>
      </c>
      <c r="X12" s="1590" t="s">
        <v>2155</v>
      </c>
      <c r="Y12" s="1591">
        <v>1.15E-2</v>
      </c>
      <c r="Z12" s="1592">
        <v>-0.02</v>
      </c>
      <c r="AA12" s="1592" t="s">
        <v>302</v>
      </c>
      <c r="AB12" s="1594">
        <v>45.63</v>
      </c>
      <c r="AC12" s="1595">
        <v>532.64</v>
      </c>
      <c r="AD12" s="1595">
        <v>5694629.8099999996</v>
      </c>
      <c r="AE12" s="741">
        <v>43739</v>
      </c>
      <c r="AF12" s="741">
        <v>43739</v>
      </c>
      <c r="AG12" s="1594">
        <v>0</v>
      </c>
      <c r="AH12" s="630"/>
      <c r="AI12" s="741">
        <v>41472</v>
      </c>
      <c r="AJ12" s="741">
        <v>42673</v>
      </c>
      <c r="AK12" s="741" t="s">
        <v>290</v>
      </c>
      <c r="AL12" s="741"/>
      <c r="AM12" s="741"/>
      <c r="AN12" s="864"/>
      <c r="AO12" s="235"/>
      <c r="AP12" s="17"/>
      <c r="AR12" s="818" t="s">
        <v>187</v>
      </c>
      <c r="AS12" s="235"/>
      <c r="AT12" s="235"/>
      <c r="AX12" s="235"/>
    </row>
    <row r="13" spans="1:50" s="9" customFormat="1" ht="31.5">
      <c r="A13" s="630" t="s">
        <v>303</v>
      </c>
      <c r="B13" s="630" t="s">
        <v>304</v>
      </c>
      <c r="C13" s="630">
        <v>5378</v>
      </c>
      <c r="D13" s="630" t="s">
        <v>305</v>
      </c>
      <c r="E13" s="630" t="s">
        <v>283</v>
      </c>
      <c r="F13" s="630" t="s">
        <v>306</v>
      </c>
      <c r="G13" s="630" t="s">
        <v>285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15">
        <v>0</v>
      </c>
      <c r="N13" s="1594"/>
      <c r="O13" s="1594" t="str">
        <f t="shared" si="9"/>
        <v>ReH 2.995/2021</v>
      </c>
      <c r="P13" s="1603">
        <v>0.1832</v>
      </c>
      <c r="Q13" s="1594">
        <v>51573900.56414932</v>
      </c>
      <c r="R13" s="1602">
        <v>44531</v>
      </c>
      <c r="S13" s="1594" t="str">
        <f t="shared" si="10"/>
        <v>Desp. 521/2022</v>
      </c>
      <c r="T13" s="630" t="s">
        <v>307</v>
      </c>
      <c r="U13" s="741" t="s">
        <v>296</v>
      </c>
      <c r="V13" s="630">
        <v>2024</v>
      </c>
      <c r="W13" s="1589">
        <v>2863</v>
      </c>
      <c r="X13" s="1590" t="s">
        <v>2158</v>
      </c>
      <c r="Y13" s="630"/>
      <c r="AA13" s="1592" t="s">
        <v>308</v>
      </c>
      <c r="AB13" s="1594">
        <v>60.67</v>
      </c>
      <c r="AC13" s="1595">
        <v>128.56</v>
      </c>
      <c r="AD13" s="1595">
        <v>16751978.699999999</v>
      </c>
      <c r="AE13" s="741">
        <v>44256</v>
      </c>
      <c r="AF13" s="741">
        <v>44277</v>
      </c>
      <c r="AG13" s="1594">
        <v>0</v>
      </c>
      <c r="AH13" s="630"/>
      <c r="AI13" s="741">
        <v>41472</v>
      </c>
      <c r="AJ13" s="741">
        <v>42410</v>
      </c>
      <c r="AK13" s="741" t="s">
        <v>290</v>
      </c>
      <c r="AL13" s="741"/>
      <c r="AM13" s="741"/>
      <c r="AN13" s="864"/>
      <c r="AO13" s="235"/>
      <c r="AP13" s="17"/>
      <c r="AR13" s="818" t="s">
        <v>186</v>
      </c>
      <c r="AS13" s="235"/>
      <c r="AT13" s="235"/>
      <c r="AX13" s="235"/>
    </row>
    <row r="14" spans="1:50" s="9" customFormat="1" ht="31.5">
      <c r="A14" s="630" t="s">
        <v>309</v>
      </c>
      <c r="B14" s="630" t="s">
        <v>310</v>
      </c>
      <c r="C14" s="630">
        <v>5382</v>
      </c>
      <c r="D14" s="630" t="s">
        <v>311</v>
      </c>
      <c r="E14" s="630" t="s">
        <v>283</v>
      </c>
      <c r="F14" s="630" t="s">
        <v>312</v>
      </c>
      <c r="G14" s="630" t="s">
        <v>285</v>
      </c>
      <c r="H14" s="630">
        <v>3.7699999999999997E-2</v>
      </c>
      <c r="I14" s="630" t="s">
        <v>313</v>
      </c>
      <c r="J14" s="630">
        <v>148</v>
      </c>
      <c r="K14" s="630"/>
      <c r="L14" s="630"/>
      <c r="M14" s="815">
        <v>0</v>
      </c>
      <c r="N14" s="1594"/>
      <c r="O14" s="1594" t="str">
        <f t="shared" si="9"/>
        <v>ReH 2.995/2021</v>
      </c>
      <c r="P14" s="1603">
        <v>8.9499999999999996E-2</v>
      </c>
      <c r="Q14" s="1604">
        <v>8419443.0538159572</v>
      </c>
      <c r="R14" s="1602">
        <v>44531</v>
      </c>
      <c r="S14" s="1594" t="str">
        <f t="shared" si="10"/>
        <v>Desp. 521/2022</v>
      </c>
      <c r="T14" s="630" t="s">
        <v>314</v>
      </c>
      <c r="U14" s="741" t="s">
        <v>296</v>
      </c>
      <c r="V14" s="630">
        <v>2024</v>
      </c>
      <c r="W14" s="1589">
        <v>2910</v>
      </c>
      <c r="X14" s="1590" t="s">
        <v>2157</v>
      </c>
      <c r="Y14" s="1591">
        <v>1.15E-2</v>
      </c>
      <c r="Z14" s="1592">
        <v>0</v>
      </c>
      <c r="AA14" s="1592" t="s">
        <v>313</v>
      </c>
      <c r="AB14" s="1594">
        <v>33.24</v>
      </c>
      <c r="AC14" s="1595">
        <v>986.44</v>
      </c>
      <c r="AD14" s="1595">
        <v>2124774.87</v>
      </c>
      <c r="AE14" s="741">
        <v>43647</v>
      </c>
      <c r="AF14" s="741">
        <v>43647</v>
      </c>
      <c r="AG14" s="1594">
        <v>0</v>
      </c>
      <c r="AH14" s="630"/>
      <c r="AI14" s="741">
        <v>41472</v>
      </c>
      <c r="AJ14" s="741">
        <v>42562</v>
      </c>
      <c r="AK14" s="741" t="s">
        <v>290</v>
      </c>
      <c r="AL14" s="741"/>
      <c r="AM14" s="741"/>
      <c r="AN14" s="864"/>
      <c r="AO14" s="235"/>
      <c r="AP14" s="17"/>
      <c r="AR14" s="818" t="s">
        <v>315</v>
      </c>
      <c r="AS14" s="235"/>
      <c r="AT14" s="235"/>
      <c r="AX14" s="235"/>
    </row>
    <row r="15" spans="1:50" s="9" customFormat="1" ht="31.5">
      <c r="A15" s="630" t="s">
        <v>316</v>
      </c>
      <c r="B15" s="630" t="s">
        <v>317</v>
      </c>
      <c r="C15" s="630">
        <v>6610</v>
      </c>
      <c r="D15" s="630" t="s">
        <v>318</v>
      </c>
      <c r="E15" s="630" t="s">
        <v>283</v>
      </c>
      <c r="F15" s="630" t="s">
        <v>319</v>
      </c>
      <c r="G15" s="630" t="s">
        <v>285</v>
      </c>
      <c r="H15" s="630">
        <v>9.9699999999999997E-2</v>
      </c>
      <c r="I15" s="630" t="s">
        <v>286</v>
      </c>
      <c r="J15" s="630">
        <v>104</v>
      </c>
      <c r="K15" s="630"/>
      <c r="L15" s="630"/>
      <c r="M15" s="815">
        <v>0</v>
      </c>
      <c r="N15" s="1594"/>
      <c r="O15" s="1594" t="str">
        <f t="shared" si="9"/>
        <v>ReH 2.995/2021</v>
      </c>
      <c r="P15" s="1603">
        <v>0.14800000000000002</v>
      </c>
      <c r="Q15" s="1604">
        <v>5024282.8201926984</v>
      </c>
      <c r="R15" s="1602">
        <v>44531</v>
      </c>
      <c r="S15" s="1594" t="str">
        <f t="shared" si="10"/>
        <v>Desp. 521/2022</v>
      </c>
      <c r="T15" s="630" t="s">
        <v>320</v>
      </c>
      <c r="U15" s="741" t="s">
        <v>288</v>
      </c>
      <c r="V15" s="630">
        <v>2024</v>
      </c>
      <c r="W15" s="1589">
        <v>2978</v>
      </c>
      <c r="X15" s="1590" t="s">
        <v>2155</v>
      </c>
      <c r="Y15" s="630"/>
      <c r="AA15" s="1592" t="s">
        <v>289</v>
      </c>
      <c r="AB15" s="1594">
        <v>98.54</v>
      </c>
      <c r="AC15" s="1595">
        <v>492.16</v>
      </c>
      <c r="AD15" s="1595">
        <v>607256.85</v>
      </c>
      <c r="AE15" s="741">
        <v>43739</v>
      </c>
      <c r="AF15" s="741">
        <v>43739</v>
      </c>
      <c r="AG15" s="1594">
        <v>0</v>
      </c>
      <c r="AH15" s="630"/>
      <c r="AI15" s="741">
        <v>41472</v>
      </c>
      <c r="AJ15" s="741">
        <v>42673</v>
      </c>
      <c r="AK15" s="741" t="s">
        <v>290</v>
      </c>
      <c r="AL15" s="741"/>
      <c r="AM15" s="741"/>
      <c r="AN15" s="864"/>
      <c r="AO15" s="235"/>
      <c r="AP15" s="17"/>
      <c r="AR15" s="818" t="s">
        <v>321</v>
      </c>
      <c r="AS15" s="235"/>
      <c r="AT15" s="235"/>
      <c r="AX15" s="235"/>
    </row>
    <row r="16" spans="1:50" s="9" customFormat="1" ht="31.5">
      <c r="A16" s="630" t="s">
        <v>322</v>
      </c>
      <c r="B16" s="630" t="s">
        <v>323</v>
      </c>
      <c r="C16" s="630">
        <v>6609</v>
      </c>
      <c r="D16" s="630" t="s">
        <v>324</v>
      </c>
      <c r="E16" s="630" t="s">
        <v>283</v>
      </c>
      <c r="F16" s="630" t="s">
        <v>325</v>
      </c>
      <c r="G16" s="630" t="s">
        <v>285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15">
        <v>0</v>
      </c>
      <c r="N16" s="1594"/>
      <c r="O16" s="1594" t="str">
        <f t="shared" si="9"/>
        <v>ReH 2.995/2021</v>
      </c>
      <c r="P16" s="1603">
        <v>0.1585</v>
      </c>
      <c r="Q16" s="1594">
        <v>13523024.849047249</v>
      </c>
      <c r="R16" s="1602">
        <v>44531</v>
      </c>
      <c r="S16" s="1594" t="str">
        <f t="shared" si="10"/>
        <v>Desp. 521/2022</v>
      </c>
      <c r="T16" s="630" t="s">
        <v>326</v>
      </c>
      <c r="U16" s="741" t="s">
        <v>327</v>
      </c>
      <c r="V16" s="630">
        <v>2024</v>
      </c>
      <c r="W16" s="1589">
        <v>2903</v>
      </c>
      <c r="X16" s="1590" t="s">
        <v>2157</v>
      </c>
      <c r="Y16" s="1591">
        <v>1.15E-2</v>
      </c>
      <c r="Z16" s="488">
        <v>0</v>
      </c>
      <c r="AA16" s="488" t="s">
        <v>125</v>
      </c>
      <c r="AB16" s="1594">
        <v>23.817216620837154</v>
      </c>
      <c r="AC16" s="1595">
        <v>102.39004092957872</v>
      </c>
      <c r="AD16" s="1595">
        <v>8424461.6320540309</v>
      </c>
      <c r="AE16" s="741">
        <v>44389</v>
      </c>
      <c r="AF16" s="741">
        <v>44389</v>
      </c>
      <c r="AG16" s="1594">
        <v>0</v>
      </c>
      <c r="AH16" s="630"/>
      <c r="AI16" s="741">
        <v>41472</v>
      </c>
      <c r="AJ16" s="741">
        <v>42507</v>
      </c>
      <c r="AK16" s="741" t="s">
        <v>290</v>
      </c>
      <c r="AL16" s="741"/>
      <c r="AM16" s="741"/>
      <c r="AN16" s="864"/>
      <c r="AO16" s="235"/>
      <c r="AP16" s="17"/>
      <c r="AR16" s="818" t="s">
        <v>328</v>
      </c>
      <c r="AS16" s="235"/>
      <c r="AT16" s="235"/>
      <c r="AX16" s="235"/>
    </row>
    <row r="17" spans="1:50" s="9" customFormat="1" ht="31.5">
      <c r="A17" s="630" t="s">
        <v>329</v>
      </c>
      <c r="B17" s="630" t="s">
        <v>330</v>
      </c>
      <c r="C17" s="630">
        <v>5384</v>
      </c>
      <c r="D17" s="630" t="s">
        <v>331</v>
      </c>
      <c r="E17" s="630" t="s">
        <v>283</v>
      </c>
      <c r="F17" s="630" t="s">
        <v>332</v>
      </c>
      <c r="G17" s="630" t="s">
        <v>285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15">
        <v>0</v>
      </c>
      <c r="N17" s="1594"/>
      <c r="O17" s="1594" t="str">
        <f t="shared" si="9"/>
        <v>ReH 2.995/2021</v>
      </c>
      <c r="P17" s="1603">
        <v>0.36620000000000003</v>
      </c>
      <c r="Q17" s="1594">
        <v>10580562.183376934</v>
      </c>
      <c r="R17" s="1602">
        <v>44531</v>
      </c>
      <c r="S17" s="1594" t="str">
        <f t="shared" si="10"/>
        <v>Desp. 521/2022</v>
      </c>
      <c r="T17" s="630" t="s">
        <v>333</v>
      </c>
      <c r="U17" s="741" t="s">
        <v>296</v>
      </c>
      <c r="V17" s="630">
        <v>2024</v>
      </c>
      <c r="W17" s="1589">
        <v>2873</v>
      </c>
      <c r="X17" s="1590" t="s">
        <v>2156</v>
      </c>
      <c r="Y17" s="630"/>
      <c r="AA17" s="1592" t="s">
        <v>150</v>
      </c>
      <c r="AB17" s="1594">
        <v>90.43</v>
      </c>
      <c r="AC17" s="1595">
        <v>237.88</v>
      </c>
      <c r="AD17" s="1595">
        <v>1254128.21</v>
      </c>
      <c r="AE17" s="741">
        <v>43198</v>
      </c>
      <c r="AF17" s="741">
        <v>43198</v>
      </c>
      <c r="AG17" s="1594">
        <v>0</v>
      </c>
      <c r="AH17" s="630"/>
      <c r="AI17" s="741">
        <v>41472</v>
      </c>
      <c r="AJ17" s="741">
        <v>42475</v>
      </c>
      <c r="AK17" s="741" t="s">
        <v>290</v>
      </c>
      <c r="AL17" s="741"/>
      <c r="AM17" s="741"/>
      <c r="AN17" s="864"/>
      <c r="AO17" s="235"/>
      <c r="AP17" s="17"/>
      <c r="AR17" s="818" t="s">
        <v>9</v>
      </c>
      <c r="AS17" s="235"/>
      <c r="AT17" s="235"/>
      <c r="AX17" s="235"/>
    </row>
    <row r="18" spans="1:50" s="9" customFormat="1" ht="31.5">
      <c r="A18" s="630" t="s">
        <v>334</v>
      </c>
      <c r="B18" s="630" t="s">
        <v>335</v>
      </c>
      <c r="C18" s="630">
        <v>5385</v>
      </c>
      <c r="D18" s="630" t="s">
        <v>336</v>
      </c>
      <c r="E18" s="630" t="s">
        <v>283</v>
      </c>
      <c r="F18" s="630" t="s">
        <v>337</v>
      </c>
      <c r="G18" s="630" t="s">
        <v>285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15">
        <v>0</v>
      </c>
      <c r="N18" s="1594"/>
      <c r="O18" s="1594" t="str">
        <f t="shared" si="9"/>
        <v>ReH 2.995/2021</v>
      </c>
      <c r="P18" s="1603">
        <v>0.18079999999999999</v>
      </c>
      <c r="Q18" s="1594">
        <v>19362081.83872563</v>
      </c>
      <c r="R18" s="1602">
        <v>44531</v>
      </c>
      <c r="S18" s="1594" t="str">
        <f t="shared" si="10"/>
        <v>Desp. 521/2022</v>
      </c>
      <c r="T18" s="630" t="s">
        <v>338</v>
      </c>
      <c r="U18" s="741" t="s">
        <v>327</v>
      </c>
      <c r="V18" s="630">
        <v>2024</v>
      </c>
      <c r="W18" s="1589">
        <v>2874</v>
      </c>
      <c r="X18" s="1590" t="s">
        <v>2156</v>
      </c>
      <c r="Y18" s="1591">
        <v>1.15E-2</v>
      </c>
      <c r="Z18" s="488">
        <v>-7.9000000000000008E-3</v>
      </c>
      <c r="AA18" s="488" t="s">
        <v>150</v>
      </c>
      <c r="AB18" s="1594">
        <v>70.27</v>
      </c>
      <c r="AC18" s="1595">
        <v>237.88</v>
      </c>
      <c r="AD18" s="1595">
        <v>3687472.37</v>
      </c>
      <c r="AE18" s="741">
        <v>43198</v>
      </c>
      <c r="AF18" s="741">
        <v>43198</v>
      </c>
      <c r="AG18" s="1594">
        <v>0</v>
      </c>
      <c r="AH18" s="630"/>
      <c r="AI18" s="741">
        <v>41472</v>
      </c>
      <c r="AJ18" s="741">
        <v>42475</v>
      </c>
      <c r="AK18" s="741" t="s">
        <v>290</v>
      </c>
      <c r="AL18" s="741"/>
      <c r="AM18" s="741"/>
      <c r="AN18" s="864"/>
      <c r="AO18" s="235"/>
      <c r="AP18" s="17"/>
      <c r="AR18" s="818" t="s">
        <v>339</v>
      </c>
      <c r="AS18" s="235"/>
      <c r="AT18" s="235"/>
      <c r="AX18" s="235"/>
    </row>
    <row r="19" spans="1:50" s="9" customFormat="1" ht="31.5">
      <c r="A19" s="630" t="s">
        <v>340</v>
      </c>
      <c r="B19" s="630" t="s">
        <v>341</v>
      </c>
      <c r="C19" s="630">
        <v>5379</v>
      </c>
      <c r="D19" s="630" t="s">
        <v>342</v>
      </c>
      <c r="E19" s="630" t="s">
        <v>283</v>
      </c>
      <c r="F19" s="630" t="s">
        <v>343</v>
      </c>
      <c r="G19" s="630" t="s">
        <v>285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15">
        <v>0</v>
      </c>
      <c r="N19" s="1594"/>
      <c r="O19" s="1594" t="str">
        <f t="shared" si="9"/>
        <v>ReH 2.995/2021</v>
      </c>
      <c r="P19" s="1603">
        <v>0.1321</v>
      </c>
      <c r="Q19" s="1594">
        <v>39394175.109390005</v>
      </c>
      <c r="R19" s="1602">
        <v>44531</v>
      </c>
      <c r="S19" s="1594" t="str">
        <f t="shared" si="10"/>
        <v>Desp. 521/2022</v>
      </c>
      <c r="T19" s="630" t="s">
        <v>344</v>
      </c>
      <c r="U19" s="741" t="s">
        <v>296</v>
      </c>
      <c r="V19" s="630">
        <v>2024</v>
      </c>
      <c r="W19" s="1589">
        <v>2975</v>
      </c>
      <c r="X19" s="1590" t="s">
        <v>2155</v>
      </c>
      <c r="Y19" s="1591">
        <v>1.15E-2</v>
      </c>
      <c r="Z19" s="488">
        <v>0</v>
      </c>
      <c r="AA19" s="1592" t="s">
        <v>302</v>
      </c>
      <c r="AB19" s="1596">
        <v>39.53</v>
      </c>
      <c r="AC19" s="1595">
        <v>532.64</v>
      </c>
      <c r="AD19" s="1595">
        <v>12412486.630000001</v>
      </c>
      <c r="AE19" s="741">
        <v>43739</v>
      </c>
      <c r="AF19" s="741">
        <v>43739</v>
      </c>
      <c r="AG19" s="1594">
        <v>0</v>
      </c>
      <c r="AH19" s="630"/>
      <c r="AI19" s="741">
        <v>41472</v>
      </c>
      <c r="AJ19" s="741">
        <v>42673</v>
      </c>
      <c r="AK19" s="741" t="s">
        <v>290</v>
      </c>
      <c r="AL19" s="741"/>
      <c r="AM19" s="741"/>
      <c r="AN19" s="864"/>
      <c r="AO19" s="235"/>
      <c r="AP19" s="17"/>
      <c r="AR19" s="818" t="s">
        <v>184</v>
      </c>
      <c r="AS19" s="235"/>
      <c r="AT19" s="235"/>
      <c r="AX19" s="235"/>
    </row>
    <row r="20" spans="1:50" s="9" customFormat="1" ht="31.5">
      <c r="A20" s="630" t="s">
        <v>315</v>
      </c>
      <c r="B20" s="630" t="s">
        <v>345</v>
      </c>
      <c r="C20" s="630">
        <v>5372</v>
      </c>
      <c r="D20" s="630" t="s">
        <v>346</v>
      </c>
      <c r="E20" s="630" t="s">
        <v>283</v>
      </c>
      <c r="F20" s="630" t="s">
        <v>347</v>
      </c>
      <c r="G20" s="630" t="s">
        <v>348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15">
        <v>0</v>
      </c>
      <c r="N20" s="1594"/>
      <c r="O20" s="1594" t="str">
        <f t="shared" si="9"/>
        <v>ReH 2.995/2021</v>
      </c>
      <c r="P20" s="1603">
        <v>0.1079</v>
      </c>
      <c r="Q20" s="1604">
        <v>9742223.1963606756</v>
      </c>
      <c r="R20" s="1602">
        <v>44531</v>
      </c>
      <c r="S20" s="1594" t="str">
        <f t="shared" si="10"/>
        <v>Desp. 521/2022</v>
      </c>
      <c r="T20" s="630" t="s">
        <v>349</v>
      </c>
      <c r="U20" s="741" t="s">
        <v>350</v>
      </c>
      <c r="V20" s="630">
        <v>2024</v>
      </c>
      <c r="W20" s="1589">
        <v>2946</v>
      </c>
      <c r="X20" s="1590" t="s">
        <v>2159</v>
      </c>
      <c r="Y20" s="630"/>
      <c r="AA20" s="1592" t="s">
        <v>189</v>
      </c>
      <c r="AB20" s="1594">
        <v>59.846956156846908</v>
      </c>
      <c r="AC20" s="1595">
        <v>180.36</v>
      </c>
      <c r="AD20" s="1595">
        <v>3290792.2979728933</v>
      </c>
      <c r="AE20" s="741">
        <v>44430</v>
      </c>
      <c r="AF20" s="741">
        <v>44430</v>
      </c>
      <c r="AG20" s="1594">
        <v>0</v>
      </c>
      <c r="AH20" s="630"/>
      <c r="AI20" s="741">
        <v>41472</v>
      </c>
      <c r="AJ20" s="741">
        <v>42641</v>
      </c>
      <c r="AK20" s="741" t="s">
        <v>290</v>
      </c>
      <c r="AL20" s="741"/>
      <c r="AM20" s="741"/>
      <c r="AN20" s="864"/>
      <c r="AO20" s="235"/>
      <c r="AP20" s="17"/>
      <c r="AR20" s="818" t="s">
        <v>196</v>
      </c>
      <c r="AS20" s="235"/>
      <c r="AT20" s="235"/>
      <c r="AX20" s="235"/>
    </row>
    <row r="21" spans="1:50" s="9" customFormat="1" ht="31.5">
      <c r="A21" s="630" t="s">
        <v>9</v>
      </c>
      <c r="B21" s="630" t="s">
        <v>351</v>
      </c>
      <c r="C21" s="630">
        <v>5367</v>
      </c>
      <c r="D21" s="630" t="s">
        <v>352</v>
      </c>
      <c r="E21" s="630" t="s">
        <v>283</v>
      </c>
      <c r="F21" s="630" t="s">
        <v>353</v>
      </c>
      <c r="G21" s="630" t="s">
        <v>348</v>
      </c>
      <c r="H21" s="630">
        <v>9.9699999999999997E-2</v>
      </c>
      <c r="I21" s="630" t="s">
        <v>189</v>
      </c>
      <c r="J21" s="630">
        <v>111</v>
      </c>
      <c r="K21" s="630" t="s">
        <v>354</v>
      </c>
      <c r="L21" s="630">
        <v>110</v>
      </c>
      <c r="M21" s="815">
        <v>0</v>
      </c>
      <c r="N21" s="1594"/>
      <c r="O21" s="1594" t="str">
        <f t="shared" si="9"/>
        <v>ReH 2.995/2021</v>
      </c>
      <c r="P21" s="1603">
        <v>8.7999999999999995E-2</v>
      </c>
      <c r="Q21" s="1594">
        <v>28257854.842311971</v>
      </c>
      <c r="R21" s="1602">
        <v>44531</v>
      </c>
      <c r="S21" s="1594" t="str">
        <f t="shared" si="10"/>
        <v>Desp. 521/2022</v>
      </c>
      <c r="T21" s="630" t="s">
        <v>355</v>
      </c>
      <c r="U21" s="741" t="s">
        <v>356</v>
      </c>
      <c r="V21" s="630">
        <v>2025</v>
      </c>
      <c r="W21" s="1589">
        <v>3000</v>
      </c>
      <c r="X21" s="1590" t="s">
        <v>2154</v>
      </c>
      <c r="Y21" s="630"/>
      <c r="AA21" s="1592" t="s">
        <v>189</v>
      </c>
      <c r="AB21" s="1594">
        <v>46.284812313198138</v>
      </c>
      <c r="AC21" s="1595">
        <v>180.36</v>
      </c>
      <c r="AD21" s="1595">
        <v>11703468.880194727</v>
      </c>
      <c r="AE21" s="741">
        <v>44430</v>
      </c>
      <c r="AF21" s="741">
        <v>44430</v>
      </c>
      <c r="AG21" s="1594">
        <v>0</v>
      </c>
      <c r="AH21" s="630"/>
      <c r="AI21" s="741">
        <v>41365</v>
      </c>
      <c r="AJ21" s="741">
        <v>42641</v>
      </c>
      <c r="AK21" s="741" t="s">
        <v>290</v>
      </c>
      <c r="AL21" s="741"/>
      <c r="AM21" s="741"/>
      <c r="AN21" s="864"/>
      <c r="AO21" s="235"/>
      <c r="AP21" s="17"/>
      <c r="AR21" s="818" t="s">
        <v>357</v>
      </c>
      <c r="AS21" s="235"/>
      <c r="AT21" s="235"/>
      <c r="AX21" s="235"/>
    </row>
    <row r="22" spans="1:50" s="9" customFormat="1" ht="31.5">
      <c r="A22" s="630" t="s">
        <v>339</v>
      </c>
      <c r="B22" s="630" t="s">
        <v>358</v>
      </c>
      <c r="C22" s="630">
        <v>6897</v>
      </c>
      <c r="D22" s="630" t="s">
        <v>359</v>
      </c>
      <c r="E22" s="630" t="s">
        <v>283</v>
      </c>
      <c r="F22" s="630" t="s">
        <v>360</v>
      </c>
      <c r="G22" s="630" t="s">
        <v>348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15">
        <v>0</v>
      </c>
      <c r="N22" s="1594"/>
      <c r="O22" s="1594" t="str">
        <f t="shared" si="9"/>
        <v>ReH 2.995/2021</v>
      </c>
      <c r="P22" s="1603">
        <v>0.11210000000000001</v>
      </c>
      <c r="Q22" s="1594">
        <v>25814070.878469311</v>
      </c>
      <c r="R22" s="1602">
        <v>44531</v>
      </c>
      <c r="S22" s="1594" t="str">
        <f t="shared" si="10"/>
        <v>Desp. 521/2022</v>
      </c>
      <c r="T22" s="630" t="s">
        <v>361</v>
      </c>
      <c r="U22" s="741" t="s">
        <v>350</v>
      </c>
      <c r="V22" s="630">
        <v>2024</v>
      </c>
      <c r="W22" s="1589">
        <v>2939</v>
      </c>
      <c r="X22" s="1590" t="s">
        <v>2159</v>
      </c>
      <c r="Y22" s="630"/>
      <c r="AA22" s="1592" t="s">
        <v>189</v>
      </c>
      <c r="AB22" s="1594">
        <v>48.427014093503388</v>
      </c>
      <c r="AC22" s="1595">
        <v>180.36</v>
      </c>
      <c r="AD22" s="1595">
        <v>10692706.342225492</v>
      </c>
      <c r="AE22" s="741">
        <v>44430</v>
      </c>
      <c r="AF22" s="741">
        <v>44430</v>
      </c>
      <c r="AG22" s="1594">
        <v>0</v>
      </c>
      <c r="AH22" s="630"/>
      <c r="AI22" s="741">
        <v>41472</v>
      </c>
      <c r="AJ22" s="741">
        <v>42641</v>
      </c>
      <c r="AK22" s="741" t="s">
        <v>290</v>
      </c>
      <c r="AL22" s="741"/>
      <c r="AM22" s="741"/>
      <c r="AN22" s="864"/>
      <c r="AO22" s="235"/>
      <c r="AP22" s="17"/>
      <c r="AR22" s="818" t="s">
        <v>362</v>
      </c>
      <c r="AS22" s="235"/>
      <c r="AT22" s="235"/>
      <c r="AX22" s="235"/>
    </row>
    <row r="23" spans="1:50" s="9" customFormat="1" ht="31.5">
      <c r="A23" s="630" t="s">
        <v>184</v>
      </c>
      <c r="B23" s="630" t="s">
        <v>363</v>
      </c>
      <c r="C23" s="630">
        <v>5351</v>
      </c>
      <c r="D23" s="630" t="s">
        <v>364</v>
      </c>
      <c r="E23" s="630" t="s">
        <v>283</v>
      </c>
      <c r="F23" s="630" t="s">
        <v>365</v>
      </c>
      <c r="G23" s="630" t="s">
        <v>348</v>
      </c>
      <c r="H23" s="630">
        <v>9.9699999999999997E-2</v>
      </c>
      <c r="I23" s="630" t="s">
        <v>362</v>
      </c>
      <c r="J23" s="630">
        <v>220</v>
      </c>
      <c r="K23" s="630"/>
      <c r="L23" s="630"/>
      <c r="M23" s="815">
        <v>0</v>
      </c>
      <c r="N23" s="1594"/>
      <c r="O23" s="1594" t="str">
        <f t="shared" si="9"/>
        <v>ReH 2.995/2021</v>
      </c>
      <c r="P23" s="1603">
        <v>5.1200000000000002E-2</v>
      </c>
      <c r="Q23" s="1594">
        <v>6592780.5451776758</v>
      </c>
      <c r="R23" s="1602">
        <v>44531</v>
      </c>
      <c r="S23" s="1594" t="str">
        <f t="shared" si="10"/>
        <v>Desp. 521/2022</v>
      </c>
      <c r="T23" s="630" t="s">
        <v>366</v>
      </c>
      <c r="U23" s="741" t="s">
        <v>350</v>
      </c>
      <c r="V23" s="630">
        <v>2024</v>
      </c>
      <c r="W23" s="1589">
        <v>2976</v>
      </c>
      <c r="X23" s="1590" t="s">
        <v>2155</v>
      </c>
      <c r="Y23" s="630"/>
      <c r="AA23" s="1592" t="s">
        <v>189</v>
      </c>
      <c r="AB23" s="1594">
        <v>16.172212694965044</v>
      </c>
      <c r="AC23" s="1595">
        <v>180.36</v>
      </c>
      <c r="AD23" s="1595">
        <v>3766690.3356666476</v>
      </c>
      <c r="AE23" s="741">
        <v>44430</v>
      </c>
      <c r="AF23" s="741">
        <v>44430</v>
      </c>
      <c r="AG23" s="1594">
        <v>0</v>
      </c>
      <c r="AH23" s="630"/>
      <c r="AI23" s="741">
        <v>41472</v>
      </c>
      <c r="AJ23" s="741">
        <v>42641</v>
      </c>
      <c r="AK23" s="741" t="s">
        <v>290</v>
      </c>
      <c r="AL23" s="741"/>
      <c r="AM23" s="741"/>
      <c r="AN23" s="864">
        <v>415113.21</v>
      </c>
      <c r="AO23" s="235"/>
      <c r="AP23" s="17"/>
      <c r="AR23" s="818" t="s">
        <v>367</v>
      </c>
      <c r="AS23" s="235"/>
      <c r="AT23" s="235"/>
      <c r="AX23" s="235"/>
    </row>
    <row r="24" spans="1:50" s="9" customFormat="1" ht="31.5">
      <c r="A24" s="630" t="s">
        <v>362</v>
      </c>
      <c r="B24" s="630" t="s">
        <v>368</v>
      </c>
      <c r="C24" s="630">
        <v>6898</v>
      </c>
      <c r="D24" s="630" t="s">
        <v>369</v>
      </c>
      <c r="E24" s="630" t="s">
        <v>283</v>
      </c>
      <c r="F24" s="630" t="s">
        <v>370</v>
      </c>
      <c r="G24" s="630" t="s">
        <v>348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15">
        <v>0</v>
      </c>
      <c r="N24" s="1594"/>
      <c r="O24" s="1594" t="str">
        <f t="shared" si="9"/>
        <v>ReH 2.995/2021</v>
      </c>
      <c r="P24" s="1603">
        <v>7.1800000000000003E-2</v>
      </c>
      <c r="Q24" s="1594">
        <v>32515799.777980469</v>
      </c>
      <c r="R24" s="1602">
        <v>44531</v>
      </c>
      <c r="S24" s="1594" t="str">
        <f t="shared" si="10"/>
        <v>Desp. 521/2022</v>
      </c>
      <c r="T24" s="630" t="s">
        <v>371</v>
      </c>
      <c r="U24" s="741" t="s">
        <v>350</v>
      </c>
      <c r="V24" s="630">
        <v>2024</v>
      </c>
      <c r="W24" s="1589">
        <v>2949</v>
      </c>
      <c r="X24" s="1590" t="s">
        <v>2159</v>
      </c>
      <c r="Y24" s="630"/>
      <c r="AA24" s="1592" t="s">
        <v>189</v>
      </c>
      <c r="AB24" s="1594">
        <v>77.349128723029523</v>
      </c>
      <c r="AC24" s="1595">
        <v>180.36</v>
      </c>
      <c r="AD24" s="1595">
        <v>9354913.9292200413</v>
      </c>
      <c r="AE24" s="741">
        <v>44430</v>
      </c>
      <c r="AF24" s="741">
        <v>44430</v>
      </c>
      <c r="AG24" s="1594">
        <v>0</v>
      </c>
      <c r="AH24" s="630"/>
      <c r="AI24" s="741">
        <v>41472</v>
      </c>
      <c r="AJ24" s="741">
        <v>42641</v>
      </c>
      <c r="AK24" s="741" t="s">
        <v>290</v>
      </c>
      <c r="AL24" s="741"/>
      <c r="AM24" s="741"/>
      <c r="AN24" s="864"/>
      <c r="AO24" s="235"/>
      <c r="AP24" s="17"/>
      <c r="AR24" s="818" t="s">
        <v>372</v>
      </c>
      <c r="AS24" s="235"/>
      <c r="AT24" s="235"/>
      <c r="AX24" s="235"/>
    </row>
    <row r="25" spans="1:50" s="9" customFormat="1" ht="31.5">
      <c r="A25" s="630" t="s">
        <v>373</v>
      </c>
      <c r="B25" s="630" t="s">
        <v>374</v>
      </c>
      <c r="C25" s="630">
        <v>5352</v>
      </c>
      <c r="D25" s="630" t="s">
        <v>375</v>
      </c>
      <c r="E25" s="630" t="s">
        <v>283</v>
      </c>
      <c r="F25" s="630" t="s">
        <v>376</v>
      </c>
      <c r="G25" s="630" t="s">
        <v>348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15">
        <v>0</v>
      </c>
      <c r="N25" s="1594"/>
      <c r="O25" s="1594" t="str">
        <f t="shared" si="9"/>
        <v>ReH 2.995/2021</v>
      </c>
      <c r="P25" s="1603">
        <v>8.72E-2</v>
      </c>
      <c r="Q25" s="1594">
        <v>27692113.474028908</v>
      </c>
      <c r="R25" s="1602">
        <v>44531</v>
      </c>
      <c r="S25" s="1594" t="str">
        <f t="shared" si="10"/>
        <v>Desp. 521/2022</v>
      </c>
      <c r="T25" s="630" t="s">
        <v>377</v>
      </c>
      <c r="U25" s="741" t="s">
        <v>378</v>
      </c>
      <c r="V25" s="630">
        <v>2024</v>
      </c>
      <c r="W25" s="1589">
        <v>2940</v>
      </c>
      <c r="X25" s="1590" t="s">
        <v>2159</v>
      </c>
      <c r="Y25" s="630"/>
      <c r="AA25" s="1592" t="s">
        <v>189</v>
      </c>
      <c r="AB25" s="1594">
        <v>22.580552842543515</v>
      </c>
      <c r="AC25" s="1595">
        <v>180.36</v>
      </c>
      <c r="AD25" s="1595">
        <v>16232843.86472071</v>
      </c>
      <c r="AE25" s="741">
        <v>44430</v>
      </c>
      <c r="AF25" s="741">
        <v>44430</v>
      </c>
      <c r="AG25" s="1594">
        <v>0</v>
      </c>
      <c r="AH25" s="630"/>
      <c r="AI25" s="741">
        <v>41472</v>
      </c>
      <c r="AJ25" s="741">
        <v>42641</v>
      </c>
      <c r="AK25" s="741" t="s">
        <v>290</v>
      </c>
      <c r="AL25" s="741"/>
      <c r="AM25" s="741"/>
      <c r="AN25" s="864"/>
      <c r="AO25" s="235"/>
      <c r="AP25" s="17"/>
      <c r="AR25" s="818" t="s">
        <v>373</v>
      </c>
      <c r="AS25" s="235"/>
      <c r="AT25" s="235"/>
      <c r="AX25" s="235"/>
    </row>
    <row r="26" spans="1:50" s="9" customFormat="1" ht="31.5">
      <c r="A26" s="630" t="s">
        <v>185</v>
      </c>
      <c r="B26" s="630" t="s">
        <v>379</v>
      </c>
      <c r="C26" s="630">
        <v>5353</v>
      </c>
      <c r="D26" s="630" t="s">
        <v>380</v>
      </c>
      <c r="E26" s="630" t="s">
        <v>283</v>
      </c>
      <c r="F26" s="630" t="s">
        <v>381</v>
      </c>
      <c r="G26" s="630" t="s">
        <v>348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15">
        <v>0</v>
      </c>
      <c r="N26" s="1594"/>
      <c r="O26" s="1594" t="str">
        <f t="shared" si="9"/>
        <v>ReH 2.995/2021</v>
      </c>
      <c r="P26" s="1603">
        <v>5.5899999999999998E-2</v>
      </c>
      <c r="Q26" s="1604">
        <v>21470201.670165978</v>
      </c>
      <c r="R26" s="1602">
        <v>44531</v>
      </c>
      <c r="S26" s="1594" t="str">
        <f t="shared" si="10"/>
        <v>Desp. 521/2022</v>
      </c>
      <c r="T26" s="630" t="s">
        <v>382</v>
      </c>
      <c r="U26" s="741" t="s">
        <v>383</v>
      </c>
      <c r="V26" s="630">
        <v>2024</v>
      </c>
      <c r="W26" s="1589">
        <v>2950</v>
      </c>
      <c r="X26" s="1590" t="s">
        <v>2159</v>
      </c>
      <c r="Y26" s="630"/>
      <c r="AA26" s="1592" t="s">
        <v>189</v>
      </c>
      <c r="AB26" s="1594">
        <v>133.2436333697292</v>
      </c>
      <c r="AC26" s="1595">
        <v>180.36</v>
      </c>
      <c r="AD26" s="1595">
        <v>755772.02907041553</v>
      </c>
      <c r="AE26" s="741">
        <v>44430</v>
      </c>
      <c r="AF26" s="741">
        <v>44430</v>
      </c>
      <c r="AG26" s="1594">
        <v>0</v>
      </c>
      <c r="AH26" s="630"/>
      <c r="AI26" s="741">
        <v>41472</v>
      </c>
      <c r="AJ26" s="741">
        <v>42641</v>
      </c>
      <c r="AK26" s="741" t="s">
        <v>290</v>
      </c>
      <c r="AL26" s="741"/>
      <c r="AM26" s="741"/>
      <c r="AN26" s="864">
        <v>1175911.3899999999</v>
      </c>
      <c r="AO26" s="235"/>
      <c r="AP26" s="17"/>
      <c r="AR26" s="818" t="s">
        <v>182</v>
      </c>
      <c r="AS26" s="235"/>
      <c r="AT26" s="235"/>
      <c r="AX26" s="235"/>
    </row>
    <row r="27" spans="1:50" s="9" customFormat="1" ht="31.5">
      <c r="A27" s="630" t="s">
        <v>384</v>
      </c>
      <c r="B27" s="630" t="s">
        <v>385</v>
      </c>
      <c r="C27" s="630">
        <v>5355</v>
      </c>
      <c r="D27" s="630" t="s">
        <v>386</v>
      </c>
      <c r="E27" s="630" t="s">
        <v>283</v>
      </c>
      <c r="F27" s="630" t="s">
        <v>387</v>
      </c>
      <c r="G27" s="630" t="s">
        <v>348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15">
        <v>0</v>
      </c>
      <c r="N27" s="1594"/>
      <c r="O27" s="1594" t="str">
        <f t="shared" si="9"/>
        <v>ReH 2.995/2021</v>
      </c>
      <c r="P27" s="1603">
        <v>9.4600000000000004E-2</v>
      </c>
      <c r="Q27" s="1594">
        <v>8199512.497046981</v>
      </c>
      <c r="R27" s="1602">
        <v>44531</v>
      </c>
      <c r="S27" s="1594" t="str">
        <f t="shared" si="10"/>
        <v>Desp. 521/2022</v>
      </c>
      <c r="T27" s="630" t="s">
        <v>388</v>
      </c>
      <c r="U27" s="741" t="s">
        <v>389</v>
      </c>
      <c r="V27" s="630">
        <v>2025</v>
      </c>
      <c r="W27" s="1589">
        <v>2957</v>
      </c>
      <c r="X27" s="1590" t="s">
        <v>2159</v>
      </c>
      <c r="Y27" s="630"/>
      <c r="AA27" s="1592" t="s">
        <v>189</v>
      </c>
      <c r="AB27" s="1594">
        <v>52.855625463016914</v>
      </c>
      <c r="AC27" s="1595">
        <v>180.36</v>
      </c>
      <c r="AD27" s="1595">
        <v>3264076.527192608</v>
      </c>
      <c r="AE27" s="741">
        <v>44430</v>
      </c>
      <c r="AF27" s="741">
        <v>44430</v>
      </c>
      <c r="AG27" s="1594">
        <v>0</v>
      </c>
      <c r="AH27" s="630"/>
      <c r="AI27" s="741">
        <v>41365</v>
      </c>
      <c r="AJ27" s="741">
        <v>42641</v>
      </c>
      <c r="AK27" s="741" t="s">
        <v>290</v>
      </c>
      <c r="AL27" s="741"/>
      <c r="AM27" s="741"/>
      <c r="AN27" s="864"/>
      <c r="AO27" s="235"/>
      <c r="AP27" s="17"/>
      <c r="AR27" s="818" t="s">
        <v>390</v>
      </c>
      <c r="AS27" s="235"/>
      <c r="AT27" s="235"/>
      <c r="AX27" s="235"/>
    </row>
    <row r="28" spans="1:50" s="9" customFormat="1" ht="31.5">
      <c r="A28" s="630" t="s">
        <v>391</v>
      </c>
      <c r="B28" s="630" t="s">
        <v>392</v>
      </c>
      <c r="C28" s="630">
        <v>5363</v>
      </c>
      <c r="D28" s="630" t="s">
        <v>393</v>
      </c>
      <c r="E28" s="630" t="s">
        <v>283</v>
      </c>
      <c r="F28" s="630" t="s">
        <v>394</v>
      </c>
      <c r="G28" s="630" t="s">
        <v>348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15">
        <v>0</v>
      </c>
      <c r="N28" s="1594"/>
      <c r="O28" s="1594" t="str">
        <f t="shared" si="9"/>
        <v>ReH 2.995/2021</v>
      </c>
      <c r="P28" s="1603">
        <v>8.7799999999999989E-2</v>
      </c>
      <c r="Q28" s="1594">
        <v>9453809.4927214365</v>
      </c>
      <c r="R28" s="1602">
        <v>44531</v>
      </c>
      <c r="S28" s="1594" t="str">
        <f t="shared" si="10"/>
        <v>Desp. 521/2022</v>
      </c>
      <c r="T28" s="630" t="s">
        <v>395</v>
      </c>
      <c r="U28" s="741" t="s">
        <v>350</v>
      </c>
      <c r="V28" s="630">
        <v>2024</v>
      </c>
      <c r="W28" s="1589">
        <v>2947</v>
      </c>
      <c r="X28" s="1590" t="s">
        <v>2159</v>
      </c>
      <c r="Y28" s="630"/>
      <c r="AA28" s="1592" t="s">
        <v>189</v>
      </c>
      <c r="AB28" s="1594">
        <v>58.247314361695402</v>
      </c>
      <c r="AC28" s="1595">
        <v>180.36</v>
      </c>
      <c r="AD28" s="1595">
        <v>2499952.1881573107</v>
      </c>
      <c r="AE28" s="741">
        <v>44430</v>
      </c>
      <c r="AF28" s="741">
        <v>44430</v>
      </c>
      <c r="AG28" s="1594">
        <v>0</v>
      </c>
      <c r="AH28" s="630"/>
      <c r="AI28" s="741">
        <v>41472</v>
      </c>
      <c r="AJ28" s="741">
        <v>42641</v>
      </c>
      <c r="AK28" s="741" t="s">
        <v>290</v>
      </c>
      <c r="AL28" s="741"/>
      <c r="AM28" s="741"/>
      <c r="AN28" s="864"/>
      <c r="AO28" s="235"/>
      <c r="AP28" s="17"/>
      <c r="AR28" s="818" t="s">
        <v>185</v>
      </c>
      <c r="AS28" s="235"/>
      <c r="AT28" s="235"/>
      <c r="AX28" s="235"/>
    </row>
    <row r="29" spans="1:50" s="9" customFormat="1" ht="31.5">
      <c r="A29" s="630" t="s">
        <v>396</v>
      </c>
      <c r="B29" s="630" t="s">
        <v>397</v>
      </c>
      <c r="C29" s="630">
        <v>5364</v>
      </c>
      <c r="D29" s="630" t="s">
        <v>398</v>
      </c>
      <c r="E29" s="630" t="s">
        <v>283</v>
      </c>
      <c r="F29" s="630" t="s">
        <v>399</v>
      </c>
      <c r="G29" s="630" t="s">
        <v>348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15">
        <v>0</v>
      </c>
      <c r="N29" s="1594"/>
      <c r="O29" s="1594" t="str">
        <f t="shared" si="9"/>
        <v>ReH 2.995/2021</v>
      </c>
      <c r="P29" s="1603">
        <v>8.8100000000000012E-2</v>
      </c>
      <c r="Q29" s="1594">
        <v>28651980.425397582</v>
      </c>
      <c r="R29" s="1602">
        <v>44531</v>
      </c>
      <c r="S29" s="1594" t="str">
        <f t="shared" si="10"/>
        <v>Desp. 521/2022</v>
      </c>
      <c r="T29" s="630" t="s">
        <v>400</v>
      </c>
      <c r="U29" s="741" t="s">
        <v>401</v>
      </c>
      <c r="V29" s="630">
        <v>2022</v>
      </c>
      <c r="W29" s="1589">
        <v>2951</v>
      </c>
      <c r="X29" s="1590" t="s">
        <v>2159</v>
      </c>
      <c r="Y29" s="630"/>
      <c r="AA29" s="1592" t="s">
        <v>189</v>
      </c>
      <c r="AB29" s="1594">
        <v>179.67819908532709</v>
      </c>
      <c r="AC29" s="1595">
        <v>180.36</v>
      </c>
      <c r="AD29" s="1595">
        <v>1205667.8282342954</v>
      </c>
      <c r="AE29" s="741">
        <v>44430</v>
      </c>
      <c r="AF29" s="741">
        <v>44430</v>
      </c>
      <c r="AG29" s="1594">
        <v>0</v>
      </c>
      <c r="AH29" s="630"/>
      <c r="AI29" s="741">
        <v>41365</v>
      </c>
      <c r="AJ29" s="741">
        <v>42641</v>
      </c>
      <c r="AK29" s="741" t="s">
        <v>290</v>
      </c>
      <c r="AL29" s="741"/>
      <c r="AM29" s="741"/>
      <c r="AN29" s="864"/>
      <c r="AO29" s="235"/>
      <c r="AP29" s="17"/>
      <c r="AR29" s="818" t="s">
        <v>384</v>
      </c>
      <c r="AS29" s="235"/>
      <c r="AT29" s="235"/>
      <c r="AX29" s="235"/>
    </row>
    <row r="30" spans="1:50" s="9" customFormat="1" ht="31.5">
      <c r="A30" s="630" t="s">
        <v>402</v>
      </c>
      <c r="B30" s="630" t="s">
        <v>403</v>
      </c>
      <c r="C30" s="630">
        <v>5365</v>
      </c>
      <c r="D30" s="630" t="s">
        <v>404</v>
      </c>
      <c r="E30" s="630" t="s">
        <v>283</v>
      </c>
      <c r="F30" s="630" t="s">
        <v>405</v>
      </c>
      <c r="G30" s="630" t="s">
        <v>348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15">
        <v>0</v>
      </c>
      <c r="N30" s="1594"/>
      <c r="O30" s="1594" t="str">
        <f t="shared" si="9"/>
        <v>ReH 2.995/2021</v>
      </c>
      <c r="P30" s="1603">
        <v>8.5999999999999993E-2</v>
      </c>
      <c r="Q30" s="1594">
        <v>22196667.859687008</v>
      </c>
      <c r="R30" s="1602">
        <v>44531</v>
      </c>
      <c r="S30" s="1594" t="str">
        <f t="shared" si="10"/>
        <v>Desp. 521/2022</v>
      </c>
      <c r="T30" s="630" t="s">
        <v>406</v>
      </c>
      <c r="U30" s="741" t="s">
        <v>350</v>
      </c>
      <c r="V30" s="630">
        <v>2024</v>
      </c>
      <c r="W30" s="1589">
        <v>2941</v>
      </c>
      <c r="X30" s="1590" t="s">
        <v>2159</v>
      </c>
      <c r="Y30" s="630"/>
      <c r="AA30" s="1592" t="s">
        <v>189</v>
      </c>
      <c r="AB30" s="1594">
        <v>91.699587599428298</v>
      </c>
      <c r="AC30" s="1595">
        <v>180.36</v>
      </c>
      <c r="AD30" s="1595">
        <v>3495955.8527844017</v>
      </c>
      <c r="AE30" s="741">
        <v>44430</v>
      </c>
      <c r="AF30" s="741">
        <v>44430</v>
      </c>
      <c r="AG30" s="1594">
        <v>0</v>
      </c>
      <c r="AH30" s="630"/>
      <c r="AI30" s="741">
        <v>41472</v>
      </c>
      <c r="AJ30" s="741">
        <v>42641</v>
      </c>
      <c r="AK30" s="741" t="s">
        <v>290</v>
      </c>
      <c r="AL30" s="741"/>
      <c r="AM30" s="741"/>
      <c r="AN30" s="864"/>
      <c r="AO30" s="235"/>
      <c r="AP30" s="17"/>
      <c r="AR30" s="818" t="s">
        <v>391</v>
      </c>
      <c r="AS30" s="235"/>
      <c r="AT30" s="235"/>
      <c r="AX30" s="235"/>
    </row>
    <row r="31" spans="1:50" s="9" customFormat="1" ht="31.5">
      <c r="A31" s="630" t="s">
        <v>407</v>
      </c>
      <c r="B31" s="630" t="s">
        <v>408</v>
      </c>
      <c r="C31" s="630">
        <v>5368</v>
      </c>
      <c r="D31" s="630" t="s">
        <v>409</v>
      </c>
      <c r="E31" s="630" t="s">
        <v>283</v>
      </c>
      <c r="F31" s="630" t="s">
        <v>410</v>
      </c>
      <c r="G31" s="630" t="s">
        <v>348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15">
        <v>0</v>
      </c>
      <c r="N31" s="1594"/>
      <c r="O31" s="1594" t="str">
        <f t="shared" si="9"/>
        <v>ReH 2.995/2021</v>
      </c>
      <c r="P31" s="1603">
        <v>0.15049999999999999</v>
      </c>
      <c r="Q31" s="1604">
        <v>35954089.405949146</v>
      </c>
      <c r="R31" s="1602">
        <v>44531</v>
      </c>
      <c r="S31" s="1594" t="str">
        <f t="shared" si="10"/>
        <v>Desp. 521/2022</v>
      </c>
      <c r="T31" s="630" t="s">
        <v>411</v>
      </c>
      <c r="U31" s="741" t="s">
        <v>350</v>
      </c>
      <c r="V31" s="630">
        <v>2024</v>
      </c>
      <c r="W31" s="1589">
        <v>2953</v>
      </c>
      <c r="X31" s="1590" t="s">
        <v>2159</v>
      </c>
      <c r="Y31" s="630"/>
      <c r="AA31" s="1592" t="s">
        <v>189</v>
      </c>
      <c r="AB31" s="1594">
        <v>61.746716264073157</v>
      </c>
      <c r="AC31" s="1595">
        <v>180.36</v>
      </c>
      <c r="AD31" s="1595">
        <v>18151717.219335504</v>
      </c>
      <c r="AE31" s="741">
        <v>44430</v>
      </c>
      <c r="AF31" s="741">
        <v>44430</v>
      </c>
      <c r="AG31" s="1594">
        <v>0</v>
      </c>
      <c r="AH31" s="630"/>
      <c r="AI31" s="741">
        <v>41472</v>
      </c>
      <c r="AJ31" s="741">
        <v>42641</v>
      </c>
      <c r="AK31" s="741" t="s">
        <v>290</v>
      </c>
      <c r="AL31" s="741"/>
      <c r="AM31" s="741"/>
      <c r="AN31" s="864"/>
      <c r="AO31" s="235"/>
      <c r="AP31" s="17"/>
      <c r="AR31" s="818" t="s">
        <v>175</v>
      </c>
      <c r="AS31" s="235"/>
      <c r="AT31" s="235"/>
      <c r="AX31" s="235"/>
    </row>
    <row r="32" spans="1:50" s="9" customFormat="1" ht="31.5">
      <c r="A32" s="630" t="s">
        <v>412</v>
      </c>
      <c r="B32" s="630" t="s">
        <v>413</v>
      </c>
      <c r="C32" s="630">
        <v>5369</v>
      </c>
      <c r="D32" s="630" t="s">
        <v>414</v>
      </c>
      <c r="E32" s="630" t="s">
        <v>283</v>
      </c>
      <c r="F32" s="630" t="s">
        <v>415</v>
      </c>
      <c r="G32" s="630" t="s">
        <v>348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15">
        <v>0</v>
      </c>
      <c r="N32" s="1594"/>
      <c r="O32" s="1594" t="str">
        <f t="shared" si="9"/>
        <v>ReH 2.995/2021</v>
      </c>
      <c r="P32" s="1603">
        <v>8.4100000000000008E-2</v>
      </c>
      <c r="Q32" s="1604">
        <v>13590865.443045003</v>
      </c>
      <c r="R32" s="1602">
        <v>44531</v>
      </c>
      <c r="S32" s="1594" t="str">
        <f t="shared" si="10"/>
        <v>Desp. 521/2022</v>
      </c>
      <c r="T32" s="630" t="s">
        <v>416</v>
      </c>
      <c r="U32" s="741" t="s">
        <v>389</v>
      </c>
      <c r="V32" s="630">
        <v>2025</v>
      </c>
      <c r="W32" s="1589">
        <v>2943</v>
      </c>
      <c r="X32" s="1590" t="s">
        <v>2159</v>
      </c>
      <c r="Y32" s="630"/>
      <c r="AA32" s="1592" t="s">
        <v>189</v>
      </c>
      <c r="AB32" s="1594">
        <v>81.509152888329083</v>
      </c>
      <c r="AC32" s="1595">
        <v>180.36</v>
      </c>
      <c r="AD32" s="1595">
        <v>2315515.5721165724</v>
      </c>
      <c r="AE32" s="741">
        <v>44430</v>
      </c>
      <c r="AF32" s="741">
        <v>44430</v>
      </c>
      <c r="AG32" s="1594">
        <v>0</v>
      </c>
      <c r="AH32" s="630"/>
      <c r="AI32" s="741">
        <v>41365</v>
      </c>
      <c r="AJ32" s="741">
        <v>42641</v>
      </c>
      <c r="AK32" s="741" t="s">
        <v>290</v>
      </c>
      <c r="AL32" s="741"/>
      <c r="AM32" s="741"/>
      <c r="AN32" s="864"/>
      <c r="AO32" s="235"/>
      <c r="AP32" s="17"/>
      <c r="AR32" s="818" t="s">
        <v>297</v>
      </c>
      <c r="AS32" s="235"/>
      <c r="AT32" s="235"/>
      <c r="AX32" s="235"/>
    </row>
    <row r="33" spans="1:50" s="9" customFormat="1" ht="31.5">
      <c r="A33" s="630" t="s">
        <v>188</v>
      </c>
      <c r="B33" s="630" t="s">
        <v>417</v>
      </c>
      <c r="C33" s="630">
        <v>5370</v>
      </c>
      <c r="D33" s="630" t="s">
        <v>418</v>
      </c>
      <c r="E33" s="630" t="s">
        <v>283</v>
      </c>
      <c r="F33" s="630" t="s">
        <v>419</v>
      </c>
      <c r="G33" s="630" t="s">
        <v>348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15">
        <v>0</v>
      </c>
      <c r="N33" s="1594"/>
      <c r="O33" s="1594" t="str">
        <f t="shared" si="9"/>
        <v>ReH 2.995/2021</v>
      </c>
      <c r="P33" s="1603">
        <v>0.1076</v>
      </c>
      <c r="Q33" s="1604">
        <v>60899756.095931061</v>
      </c>
      <c r="R33" s="1602">
        <v>44531</v>
      </c>
      <c r="S33" s="1594" t="str">
        <f t="shared" si="10"/>
        <v>Desp. 521/2022</v>
      </c>
      <c r="T33" s="630" t="s">
        <v>420</v>
      </c>
      <c r="U33" s="741" t="s">
        <v>350</v>
      </c>
      <c r="V33" s="630">
        <v>2024</v>
      </c>
      <c r="W33" s="1589">
        <v>2937</v>
      </c>
      <c r="X33" s="1590" t="s">
        <v>2159</v>
      </c>
      <c r="Y33" s="630"/>
      <c r="AA33" s="1592" t="s">
        <v>189</v>
      </c>
      <c r="AB33" s="1594">
        <v>214.41662426644362</v>
      </c>
      <c r="AC33" s="1595">
        <v>180.36</v>
      </c>
      <c r="AD33" s="1595">
        <v>0</v>
      </c>
      <c r="AE33" s="741">
        <v>44430</v>
      </c>
      <c r="AF33" s="741">
        <v>44430</v>
      </c>
      <c r="AG33" s="1594">
        <v>0</v>
      </c>
      <c r="AH33" s="630"/>
      <c r="AI33" s="741">
        <v>41472</v>
      </c>
      <c r="AJ33" s="741">
        <v>42641</v>
      </c>
      <c r="AK33" s="741" t="s">
        <v>290</v>
      </c>
      <c r="AL33" s="741"/>
      <c r="AM33" s="741"/>
      <c r="AN33" s="864">
        <v>9419991.3800000008</v>
      </c>
      <c r="AO33" s="235"/>
      <c r="AP33" s="17"/>
      <c r="AR33" s="818" t="s">
        <v>303</v>
      </c>
      <c r="AS33" s="235"/>
      <c r="AT33" s="235"/>
      <c r="AX33" s="235"/>
    </row>
    <row r="34" spans="1:50" s="9" customFormat="1" ht="31.5">
      <c r="A34" s="630" t="s">
        <v>421</v>
      </c>
      <c r="B34" s="630" t="s">
        <v>422</v>
      </c>
      <c r="C34" s="630">
        <v>5371</v>
      </c>
      <c r="D34" s="630" t="s">
        <v>423</v>
      </c>
      <c r="E34" s="630" t="s">
        <v>283</v>
      </c>
      <c r="F34" s="630" t="s">
        <v>424</v>
      </c>
      <c r="G34" s="630" t="s">
        <v>348</v>
      </c>
      <c r="H34" s="630">
        <v>9.9699999999999997E-2</v>
      </c>
      <c r="I34" s="630" t="s">
        <v>189</v>
      </c>
      <c r="J34" s="630">
        <v>111</v>
      </c>
      <c r="K34" s="630" t="s">
        <v>425</v>
      </c>
      <c r="L34" s="630">
        <v>144</v>
      </c>
      <c r="M34" s="815">
        <v>0</v>
      </c>
      <c r="N34" s="1594"/>
      <c r="O34" s="1594" t="str">
        <f t="shared" si="9"/>
        <v>ReH 2.995/2021</v>
      </c>
      <c r="P34" s="1603">
        <v>9.5000000000000001E-2</v>
      </c>
      <c r="Q34" s="1594">
        <v>19126030.720523704</v>
      </c>
      <c r="R34" s="1602">
        <v>44531</v>
      </c>
      <c r="S34" s="1594" t="str">
        <f t="shared" si="10"/>
        <v>Desp. 521/2022</v>
      </c>
      <c r="T34" s="630" t="s">
        <v>426</v>
      </c>
      <c r="U34" s="741" t="s">
        <v>427</v>
      </c>
      <c r="V34" s="630">
        <v>2022</v>
      </c>
      <c r="W34" s="1589">
        <v>2948</v>
      </c>
      <c r="X34" s="1590" t="s">
        <v>2159</v>
      </c>
      <c r="Y34" s="630"/>
      <c r="AA34" s="1592" t="s">
        <v>189</v>
      </c>
      <c r="AB34" s="1594">
        <v>144.17854635765113</v>
      </c>
      <c r="AC34" s="1595">
        <v>180.36</v>
      </c>
      <c r="AD34" s="1595">
        <v>3162343.6648914311</v>
      </c>
      <c r="AE34" s="741">
        <v>44430</v>
      </c>
      <c r="AF34" s="741">
        <v>44430</v>
      </c>
      <c r="AG34" s="1594">
        <v>0</v>
      </c>
      <c r="AH34" s="630"/>
      <c r="AI34" s="741">
        <v>41365</v>
      </c>
      <c r="AJ34" s="741">
        <v>42641</v>
      </c>
      <c r="AK34" s="741" t="s">
        <v>290</v>
      </c>
      <c r="AL34" s="741"/>
      <c r="AM34" s="741"/>
      <c r="AN34" s="864"/>
      <c r="AO34" s="235"/>
      <c r="AP34" s="17"/>
      <c r="AR34" s="818" t="s">
        <v>309</v>
      </c>
      <c r="AS34" s="235"/>
      <c r="AT34" s="235"/>
      <c r="AX34" s="235"/>
    </row>
    <row r="35" spans="1:50" s="9" customFormat="1" ht="31.5">
      <c r="A35" s="630" t="s">
        <v>428</v>
      </c>
      <c r="B35" s="630" t="s">
        <v>429</v>
      </c>
      <c r="C35" s="630">
        <v>5373</v>
      </c>
      <c r="D35" s="630" t="s">
        <v>430</v>
      </c>
      <c r="E35" s="630" t="s">
        <v>283</v>
      </c>
      <c r="F35" s="630" t="s">
        <v>431</v>
      </c>
      <c r="G35" s="630" t="s">
        <v>348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15">
        <v>0</v>
      </c>
      <c r="N35" s="1594"/>
      <c r="O35" s="1594" t="str">
        <f t="shared" si="9"/>
        <v>ReH 2.995/2021</v>
      </c>
      <c r="P35" s="1603">
        <v>0.1487</v>
      </c>
      <c r="Q35" s="1594">
        <v>2738505.6826723199</v>
      </c>
      <c r="R35" s="1602">
        <v>44531</v>
      </c>
      <c r="S35" s="1594" t="str">
        <f t="shared" si="10"/>
        <v>Desp. 521/2022</v>
      </c>
      <c r="T35" s="630" t="s">
        <v>432</v>
      </c>
      <c r="U35" s="741" t="s">
        <v>383</v>
      </c>
      <c r="V35" s="630">
        <v>2024</v>
      </c>
      <c r="W35" s="1589">
        <v>2942</v>
      </c>
      <c r="X35" s="1590" t="s">
        <v>2159</v>
      </c>
      <c r="Y35" s="630"/>
      <c r="AA35" s="1592" t="s">
        <v>189</v>
      </c>
      <c r="AB35" s="1594">
        <v>63.276120153090822</v>
      </c>
      <c r="AC35" s="1595">
        <v>180.36</v>
      </c>
      <c r="AD35" s="1595">
        <v>1357439.1316492993</v>
      </c>
      <c r="AE35" s="741">
        <v>44430</v>
      </c>
      <c r="AF35" s="741">
        <v>44430</v>
      </c>
      <c r="AG35" s="1594">
        <v>0</v>
      </c>
      <c r="AH35" s="630"/>
      <c r="AI35" s="741">
        <v>41472</v>
      </c>
      <c r="AJ35" s="741">
        <v>42641</v>
      </c>
      <c r="AK35" s="741" t="s">
        <v>290</v>
      </c>
      <c r="AL35" s="741"/>
      <c r="AM35" s="741"/>
      <c r="AN35" s="864"/>
      <c r="AO35" s="235"/>
      <c r="AP35" s="17"/>
      <c r="AR35" s="818" t="s">
        <v>316</v>
      </c>
      <c r="AS35" s="235"/>
      <c r="AT35" s="235"/>
      <c r="AX35" s="235"/>
    </row>
    <row r="36" spans="1:50" s="9" customFormat="1" ht="31.5">
      <c r="A36" s="630" t="s">
        <v>433</v>
      </c>
      <c r="B36" s="630" t="s">
        <v>434</v>
      </c>
      <c r="C36" s="630">
        <v>7016</v>
      </c>
      <c r="D36" s="630" t="s">
        <v>435</v>
      </c>
      <c r="E36" s="630" t="s">
        <v>283</v>
      </c>
      <c r="F36" s="630" t="s">
        <v>436</v>
      </c>
      <c r="G36" s="630" t="s">
        <v>348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15">
        <v>0</v>
      </c>
      <c r="N36" s="1594"/>
      <c r="O36" s="1594" t="str">
        <f t="shared" si="9"/>
        <v>ReH 2.995/2021</v>
      </c>
      <c r="P36" s="1603">
        <v>0.14050000000000001</v>
      </c>
      <c r="Q36" s="1604">
        <v>17300202.805932775</v>
      </c>
      <c r="R36" s="1602">
        <v>44531</v>
      </c>
      <c r="S36" s="1594" t="str">
        <f t="shared" si="10"/>
        <v>Desp. 521/2022</v>
      </c>
      <c r="T36" s="630" t="s">
        <v>437</v>
      </c>
      <c r="U36" s="741" t="s">
        <v>350</v>
      </c>
      <c r="V36" s="630">
        <v>2024</v>
      </c>
      <c r="W36" s="1589">
        <v>2956</v>
      </c>
      <c r="X36" s="1590" t="s">
        <v>2159</v>
      </c>
      <c r="Y36" s="630"/>
      <c r="AA36" s="1592" t="s">
        <v>189</v>
      </c>
      <c r="AB36" s="1594">
        <v>49.410527393388534</v>
      </c>
      <c r="AC36" s="1595">
        <v>180.36</v>
      </c>
      <c r="AD36" s="1595">
        <v>6872759.7273220662</v>
      </c>
      <c r="AE36" s="741">
        <v>44430</v>
      </c>
      <c r="AF36" s="741">
        <v>44430</v>
      </c>
      <c r="AG36" s="1594">
        <v>0</v>
      </c>
      <c r="AH36" s="630"/>
      <c r="AI36" s="741">
        <v>41472</v>
      </c>
      <c r="AJ36" s="741">
        <v>42641</v>
      </c>
      <c r="AK36" s="741" t="s">
        <v>290</v>
      </c>
      <c r="AL36" s="741"/>
      <c r="AM36" s="741"/>
      <c r="AN36" s="864"/>
      <c r="AO36" s="235"/>
      <c r="AP36" s="17"/>
      <c r="AR36" s="818" t="s">
        <v>438</v>
      </c>
      <c r="AS36" s="235"/>
      <c r="AT36" s="235"/>
      <c r="AX36" s="235"/>
    </row>
    <row r="37" spans="1:50" s="9" customFormat="1" ht="31.5">
      <c r="A37" s="630" t="s">
        <v>175</v>
      </c>
      <c r="B37" s="630" t="s">
        <v>439</v>
      </c>
      <c r="C37" s="630">
        <v>2763</v>
      </c>
      <c r="D37" s="630" t="s">
        <v>440</v>
      </c>
      <c r="E37" s="630" t="s">
        <v>283</v>
      </c>
      <c r="F37" s="630" t="s">
        <v>441</v>
      </c>
      <c r="G37" s="630" t="s">
        <v>442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15">
        <v>0</v>
      </c>
      <c r="N37" s="1594"/>
      <c r="O37" s="1594" t="str">
        <f t="shared" si="9"/>
        <v>ReH 2.995/2021</v>
      </c>
      <c r="P37" s="1603">
        <v>0.21060000000000001</v>
      </c>
      <c r="Q37" s="1594">
        <v>40296212.128956385</v>
      </c>
      <c r="R37" s="1602">
        <v>44531</v>
      </c>
      <c r="S37" s="1594" t="str">
        <f t="shared" si="10"/>
        <v>Desp. 521/2022</v>
      </c>
      <c r="T37" s="630" t="s">
        <v>443</v>
      </c>
      <c r="U37" s="741" t="s">
        <v>444</v>
      </c>
      <c r="V37" s="630">
        <v>2022</v>
      </c>
      <c r="W37" s="1589">
        <v>2917</v>
      </c>
      <c r="X37" s="1590" t="s">
        <v>2157</v>
      </c>
      <c r="Y37" s="630"/>
      <c r="AA37" s="1592" t="s">
        <v>206</v>
      </c>
      <c r="AB37" s="1594">
        <v>29.55</v>
      </c>
      <c r="AC37" s="1595">
        <v>108.15</v>
      </c>
      <c r="AD37" s="1595">
        <v>14515437.369999999</v>
      </c>
      <c r="AE37" s="741">
        <v>43270</v>
      </c>
      <c r="AF37" s="741">
        <v>43270</v>
      </c>
      <c r="AG37" s="1594">
        <v>0</v>
      </c>
      <c r="AH37" s="630"/>
      <c r="AI37" s="741">
        <v>41365</v>
      </c>
      <c r="AJ37" s="741">
        <v>42551</v>
      </c>
      <c r="AK37" s="741" t="s">
        <v>290</v>
      </c>
      <c r="AL37" s="741"/>
      <c r="AM37" s="741"/>
      <c r="AN37" s="864">
        <v>2202975.46</v>
      </c>
      <c r="AO37" s="235"/>
      <c r="AP37" s="17"/>
      <c r="AR37" s="818" t="s">
        <v>396</v>
      </c>
      <c r="AS37" s="235"/>
      <c r="AT37" s="235"/>
      <c r="AX37" s="235"/>
    </row>
    <row r="38" spans="1:50" s="9" customFormat="1" ht="31.5">
      <c r="A38" s="630" t="s">
        <v>438</v>
      </c>
      <c r="B38" s="630" t="s">
        <v>445</v>
      </c>
      <c r="C38" s="630">
        <v>2381</v>
      </c>
      <c r="D38" s="630" t="s">
        <v>446</v>
      </c>
      <c r="E38" s="630" t="s">
        <v>283</v>
      </c>
      <c r="F38" s="630" t="s">
        <v>447</v>
      </c>
      <c r="G38" s="630" t="s">
        <v>442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15">
        <v>0</v>
      </c>
      <c r="N38" s="1594"/>
      <c r="O38" s="1594" t="str">
        <f t="shared" si="9"/>
        <v>ReH 2.995/2021</v>
      </c>
      <c r="P38" s="1603">
        <v>0.1535</v>
      </c>
      <c r="Q38" s="1594">
        <v>57163108.857696883</v>
      </c>
      <c r="R38" s="1602">
        <v>44531</v>
      </c>
      <c r="S38" s="1594" t="str">
        <f t="shared" si="10"/>
        <v>Desp. 521/2022</v>
      </c>
      <c r="T38" s="630" t="s">
        <v>448</v>
      </c>
      <c r="U38" s="741" t="s">
        <v>449</v>
      </c>
      <c r="V38" s="630">
        <v>2025</v>
      </c>
      <c r="W38" s="1589">
        <v>2904</v>
      </c>
      <c r="X38" s="1590" t="s">
        <v>2157</v>
      </c>
      <c r="Y38" s="630"/>
      <c r="AA38" s="1592" t="s">
        <v>206</v>
      </c>
      <c r="AB38" s="1594">
        <v>18.75</v>
      </c>
      <c r="AC38" s="1595">
        <v>108.15</v>
      </c>
      <c r="AD38" s="1595">
        <v>22607799.66</v>
      </c>
      <c r="AE38" s="741">
        <v>43270</v>
      </c>
      <c r="AF38" s="741">
        <v>43270</v>
      </c>
      <c r="AG38" s="1594">
        <v>69.23</v>
      </c>
      <c r="AH38" s="741">
        <v>42917</v>
      </c>
      <c r="AI38" s="741">
        <v>41365</v>
      </c>
      <c r="AJ38" s="741">
        <v>42551</v>
      </c>
      <c r="AK38" s="741" t="s">
        <v>290</v>
      </c>
      <c r="AL38" s="741"/>
      <c r="AM38" s="741"/>
      <c r="AN38" s="864"/>
      <c r="AO38" s="235"/>
      <c r="AP38" s="17"/>
      <c r="AR38" s="818" t="s">
        <v>322</v>
      </c>
      <c r="AS38" s="235"/>
      <c r="AT38" s="235"/>
      <c r="AX38" s="235"/>
    </row>
    <row r="39" spans="1:50" s="9" customFormat="1" ht="31.5">
      <c r="A39" s="630" t="s">
        <v>450</v>
      </c>
      <c r="B39" s="630" t="s">
        <v>451</v>
      </c>
      <c r="C39" s="630">
        <v>3223</v>
      </c>
      <c r="D39" s="630" t="s">
        <v>452</v>
      </c>
      <c r="E39" s="630" t="s">
        <v>283</v>
      </c>
      <c r="F39" s="630" t="s">
        <v>453</v>
      </c>
      <c r="G39" s="630" t="s">
        <v>442</v>
      </c>
      <c r="H39" s="630">
        <v>9.9699999999999997E-2</v>
      </c>
      <c r="I39" s="630" t="s">
        <v>206</v>
      </c>
      <c r="J39" s="630">
        <v>167</v>
      </c>
      <c r="K39" s="630" t="s">
        <v>354</v>
      </c>
      <c r="L39" s="630">
        <v>110</v>
      </c>
      <c r="M39" s="815">
        <v>0</v>
      </c>
      <c r="N39" s="1594"/>
      <c r="O39" s="1594" t="str">
        <f t="shared" si="9"/>
        <v>ReH 2.995/2021</v>
      </c>
      <c r="P39" s="1603">
        <v>0.1507</v>
      </c>
      <c r="Q39" s="1594">
        <v>44907656.56835518</v>
      </c>
      <c r="R39" s="1602">
        <v>44531</v>
      </c>
      <c r="S39" s="1594" t="str">
        <f t="shared" si="10"/>
        <v>Desp. 521/2022</v>
      </c>
      <c r="T39" s="630" t="s">
        <v>454</v>
      </c>
      <c r="U39" s="741" t="s">
        <v>455</v>
      </c>
      <c r="V39" s="630">
        <v>2025</v>
      </c>
      <c r="W39" s="1589">
        <v>2914</v>
      </c>
      <c r="X39" s="1590" t="s">
        <v>2157</v>
      </c>
      <c r="Y39" s="630"/>
      <c r="AA39" s="1592" t="s">
        <v>206</v>
      </c>
      <c r="AB39" s="1594">
        <v>23.94</v>
      </c>
      <c r="AC39" s="1595">
        <v>131.34</v>
      </c>
      <c r="AD39" s="1595">
        <v>17583006.989999998</v>
      </c>
      <c r="AE39" s="741">
        <v>43209</v>
      </c>
      <c r="AF39" s="741">
        <v>43270</v>
      </c>
      <c r="AG39" s="1594">
        <v>0</v>
      </c>
      <c r="AH39" s="630"/>
      <c r="AI39" s="741">
        <v>41472</v>
      </c>
      <c r="AJ39" s="741">
        <v>42486</v>
      </c>
      <c r="AK39" s="741" t="s">
        <v>290</v>
      </c>
      <c r="AL39" s="741"/>
      <c r="AM39" s="741"/>
      <c r="AN39" s="864"/>
      <c r="AO39" s="235"/>
      <c r="AP39" s="17"/>
      <c r="AR39" s="818" t="s">
        <v>402</v>
      </c>
      <c r="AS39" s="235"/>
      <c r="AT39" s="235"/>
      <c r="AX39" s="235"/>
    </row>
    <row r="40" spans="1:50" s="9" customFormat="1" ht="31.5">
      <c r="A40" s="630" t="s">
        <v>201</v>
      </c>
      <c r="B40" s="630" t="s">
        <v>456</v>
      </c>
      <c r="C40" s="630">
        <v>7371</v>
      </c>
      <c r="D40" s="630" t="s">
        <v>457</v>
      </c>
      <c r="E40" s="630" t="s">
        <v>283</v>
      </c>
      <c r="F40" s="630" t="s">
        <v>458</v>
      </c>
      <c r="G40" s="630" t="s">
        <v>442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15">
        <v>0</v>
      </c>
      <c r="N40" s="1594"/>
      <c r="O40" s="1594" t="str">
        <f t="shared" si="9"/>
        <v>ReH 2.995/2021</v>
      </c>
      <c r="P40" s="1603">
        <v>0.15609999999999999</v>
      </c>
      <c r="Q40" s="1594">
        <v>93567555.592848957</v>
      </c>
      <c r="R40" s="1602">
        <v>44531</v>
      </c>
      <c r="S40" s="1594" t="str">
        <f t="shared" si="10"/>
        <v>Desp. 521/2022</v>
      </c>
      <c r="T40" s="630" t="s">
        <v>459</v>
      </c>
      <c r="U40" s="741" t="s">
        <v>460</v>
      </c>
      <c r="V40" s="630">
        <v>2022</v>
      </c>
      <c r="W40" s="1589">
        <v>2916</v>
      </c>
      <c r="X40" s="1590" t="s">
        <v>2157</v>
      </c>
      <c r="Y40" s="630"/>
      <c r="AA40" s="1592" t="s">
        <v>206</v>
      </c>
      <c r="AB40" s="1594">
        <v>68.319999999999993</v>
      </c>
      <c r="AC40" s="1595">
        <v>131.34</v>
      </c>
      <c r="AD40" s="1595">
        <v>13728441.029999999</v>
      </c>
      <c r="AE40" s="741">
        <v>43209</v>
      </c>
      <c r="AF40" s="741">
        <v>43270</v>
      </c>
      <c r="AG40" s="1594">
        <v>0</v>
      </c>
      <c r="AH40" s="630"/>
      <c r="AI40" s="741">
        <v>41365</v>
      </c>
      <c r="AJ40" s="741">
        <v>42547</v>
      </c>
      <c r="AK40" s="741" t="s">
        <v>290</v>
      </c>
      <c r="AL40" s="741"/>
      <c r="AM40" s="741"/>
      <c r="AN40" s="864">
        <v>6350526.4100000001</v>
      </c>
      <c r="AO40" s="235"/>
      <c r="AP40" s="17"/>
      <c r="AR40" s="818" t="s">
        <v>329</v>
      </c>
      <c r="AS40" s="235"/>
      <c r="AT40" s="235"/>
      <c r="AX40" s="235"/>
    </row>
    <row r="41" spans="1:50" s="9" customFormat="1" ht="31.5">
      <c r="A41" s="630" t="s">
        <v>461</v>
      </c>
      <c r="B41" s="630" t="s">
        <v>462</v>
      </c>
      <c r="C41" s="630">
        <v>3627</v>
      </c>
      <c r="D41" s="630" t="s">
        <v>463</v>
      </c>
      <c r="E41" s="630" t="s">
        <v>283</v>
      </c>
      <c r="F41" s="630" t="s">
        <v>464</v>
      </c>
      <c r="G41" s="630" t="s">
        <v>442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15">
        <v>0</v>
      </c>
      <c r="N41" s="1594"/>
      <c r="O41" s="1594" t="str">
        <f t="shared" si="9"/>
        <v>ReH 2.995/2021</v>
      </c>
      <c r="P41" s="1603">
        <v>0.1338</v>
      </c>
      <c r="Q41" s="1594">
        <v>35123897.452622667</v>
      </c>
      <c r="R41" s="1602">
        <v>44531</v>
      </c>
      <c r="S41" s="1594" t="str">
        <f t="shared" si="10"/>
        <v>Desp. 521/2022</v>
      </c>
      <c r="T41" s="630" t="s">
        <v>465</v>
      </c>
      <c r="U41" s="741" t="s">
        <v>460</v>
      </c>
      <c r="V41" s="630">
        <v>2025</v>
      </c>
      <c r="W41" s="1589">
        <v>2909</v>
      </c>
      <c r="X41" s="1590" t="s">
        <v>2157</v>
      </c>
      <c r="Y41" s="630"/>
      <c r="AA41" s="1592" t="s">
        <v>206</v>
      </c>
      <c r="AB41" s="1594">
        <v>13.93</v>
      </c>
      <c r="AC41" s="1595">
        <v>108.15</v>
      </c>
      <c r="AD41" s="1595">
        <v>18556964.23</v>
      </c>
      <c r="AE41" s="741">
        <v>43270</v>
      </c>
      <c r="AF41" s="741">
        <v>43270</v>
      </c>
      <c r="AG41" s="1594">
        <v>0</v>
      </c>
      <c r="AH41" s="630"/>
      <c r="AI41" s="741">
        <v>41365</v>
      </c>
      <c r="AJ41" s="741">
        <v>42551</v>
      </c>
      <c r="AK41" s="741" t="s">
        <v>290</v>
      </c>
      <c r="AL41" s="741"/>
      <c r="AM41" s="741"/>
      <c r="AN41" s="864"/>
      <c r="AO41" s="235"/>
      <c r="AP41" s="17"/>
      <c r="AR41" s="818" t="s">
        <v>334</v>
      </c>
      <c r="AS41" s="235"/>
      <c r="AT41" s="235"/>
      <c r="AX41" s="235"/>
    </row>
    <row r="42" spans="1:50" s="9" customFormat="1" ht="31.5">
      <c r="A42" s="630" t="s">
        <v>466</v>
      </c>
      <c r="B42" s="630" t="s">
        <v>467</v>
      </c>
      <c r="C42" s="630">
        <v>2351</v>
      </c>
      <c r="D42" s="630" t="s">
        <v>468</v>
      </c>
      <c r="E42" s="630" t="s">
        <v>283</v>
      </c>
      <c r="F42" s="630" t="s">
        <v>469</v>
      </c>
      <c r="G42" s="630" t="s">
        <v>442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15">
        <v>0</v>
      </c>
      <c r="N42" s="1594"/>
      <c r="O42" s="1594" t="str">
        <f t="shared" si="9"/>
        <v>ReH 2.995/2021</v>
      </c>
      <c r="P42" s="1603">
        <v>0.1832</v>
      </c>
      <c r="Q42" s="1594">
        <v>118984269.89510354</v>
      </c>
      <c r="R42" s="1602">
        <v>44531</v>
      </c>
      <c r="S42" s="1594" t="str">
        <f t="shared" si="10"/>
        <v>Desp. 521/2022</v>
      </c>
      <c r="T42" s="630" t="s">
        <v>470</v>
      </c>
      <c r="U42" s="741" t="s">
        <v>471</v>
      </c>
      <c r="V42" s="630">
        <v>2025</v>
      </c>
      <c r="W42" s="1589">
        <v>2912</v>
      </c>
      <c r="X42" s="1590" t="s">
        <v>2157</v>
      </c>
      <c r="Y42" s="630"/>
      <c r="AA42" s="1592" t="s">
        <v>206</v>
      </c>
      <c r="AB42" s="1594">
        <v>22.64</v>
      </c>
      <c r="AC42" s="1595">
        <v>108.15</v>
      </c>
      <c r="AD42" s="1595">
        <v>55770868.960000001</v>
      </c>
      <c r="AE42" s="741">
        <v>43270</v>
      </c>
      <c r="AF42" s="741">
        <v>43270</v>
      </c>
      <c r="AG42" s="1594">
        <v>0</v>
      </c>
      <c r="AH42" s="630"/>
      <c r="AI42" s="741">
        <v>41365</v>
      </c>
      <c r="AJ42" s="741">
        <v>42551</v>
      </c>
      <c r="AK42" s="741" t="s">
        <v>290</v>
      </c>
      <c r="AL42" s="741"/>
      <c r="AM42" s="741"/>
      <c r="AN42" s="864"/>
      <c r="AO42" s="235"/>
      <c r="AP42" s="17"/>
      <c r="AR42" s="818" t="s">
        <v>472</v>
      </c>
      <c r="AS42" s="235"/>
      <c r="AT42" s="235"/>
      <c r="AX42" s="235"/>
    </row>
    <row r="43" spans="1:50" s="9" customFormat="1" ht="31.5">
      <c r="A43" s="630" t="s">
        <v>174</v>
      </c>
      <c r="B43" s="630" t="s">
        <v>473</v>
      </c>
      <c r="C43" s="630">
        <v>598</v>
      </c>
      <c r="D43" s="630" t="s">
        <v>474</v>
      </c>
      <c r="E43" s="630" t="s">
        <v>283</v>
      </c>
      <c r="F43" s="630" t="s">
        <v>475</v>
      </c>
      <c r="G43" s="630" t="s">
        <v>442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15">
        <v>0</v>
      </c>
      <c r="N43" s="1594"/>
      <c r="O43" s="1594" t="str">
        <f t="shared" si="9"/>
        <v>ReH 2.995/2021</v>
      </c>
      <c r="P43" s="1603">
        <v>0.4078</v>
      </c>
      <c r="Q43" s="1594">
        <v>48668444.767228298</v>
      </c>
      <c r="R43" s="1602">
        <v>44531</v>
      </c>
      <c r="S43" s="1594" t="str">
        <f t="shared" si="10"/>
        <v>Desp. 521/2022</v>
      </c>
      <c r="T43" s="630" t="s">
        <v>476</v>
      </c>
      <c r="U43" s="741" t="s">
        <v>460</v>
      </c>
      <c r="V43" s="630">
        <v>2022</v>
      </c>
      <c r="W43" s="1589">
        <v>2917</v>
      </c>
      <c r="X43" s="1590" t="s">
        <v>2157</v>
      </c>
      <c r="Y43" s="630"/>
      <c r="AA43" s="1592" t="s">
        <v>206</v>
      </c>
      <c r="AB43" s="1594">
        <v>20.55</v>
      </c>
      <c r="AC43" s="1595">
        <v>108.15</v>
      </c>
      <c r="AD43" s="1595">
        <v>16127887.460000001</v>
      </c>
      <c r="AE43" s="741">
        <v>43270</v>
      </c>
      <c r="AF43" s="741">
        <v>43270</v>
      </c>
      <c r="AG43" s="1594">
        <v>0</v>
      </c>
      <c r="AH43" s="630"/>
      <c r="AI43" s="741">
        <v>41365</v>
      </c>
      <c r="AJ43" s="741">
        <v>42551</v>
      </c>
      <c r="AK43" s="741" t="s">
        <v>290</v>
      </c>
      <c r="AL43" s="741"/>
      <c r="AM43" s="741"/>
      <c r="AN43" s="864">
        <v>3110206.14</v>
      </c>
      <c r="AO43" s="235"/>
      <c r="AP43" s="17"/>
      <c r="AR43" s="818" t="s">
        <v>407</v>
      </c>
      <c r="AS43" s="235"/>
      <c r="AT43" s="235"/>
      <c r="AX43" s="235"/>
    </row>
    <row r="44" spans="1:50" s="9" customFormat="1" ht="31.5">
      <c r="A44" s="630" t="s">
        <v>477</v>
      </c>
      <c r="B44" s="630" t="s">
        <v>478</v>
      </c>
      <c r="C44" s="630">
        <v>2783</v>
      </c>
      <c r="D44" s="630" t="s">
        <v>479</v>
      </c>
      <c r="E44" s="630" t="s">
        <v>283</v>
      </c>
      <c r="F44" s="630" t="s">
        <v>480</v>
      </c>
      <c r="G44" s="630" t="s">
        <v>442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15">
        <v>0</v>
      </c>
      <c r="N44" s="1594"/>
      <c r="O44" s="1594" t="str">
        <f t="shared" si="9"/>
        <v>ReH 2.995/2021</v>
      </c>
      <c r="P44" s="1603">
        <v>0.17430000000000001</v>
      </c>
      <c r="Q44" s="1594">
        <v>23632870.756335247</v>
      </c>
      <c r="R44" s="1602">
        <v>44531</v>
      </c>
      <c r="S44" s="1594" t="str">
        <f t="shared" si="10"/>
        <v>Desp. 521/2022</v>
      </c>
      <c r="T44" s="630" t="s">
        <v>481</v>
      </c>
      <c r="U44" s="741" t="s">
        <v>460</v>
      </c>
      <c r="V44" s="630">
        <v>2022</v>
      </c>
      <c r="W44" s="1589">
        <v>2911</v>
      </c>
      <c r="X44" s="1590" t="s">
        <v>2157</v>
      </c>
      <c r="Y44" s="630"/>
      <c r="AA44" s="1592" t="s">
        <v>206</v>
      </c>
      <c r="AB44" s="1594">
        <v>26.42</v>
      </c>
      <c r="AC44" s="1595">
        <v>108.15</v>
      </c>
      <c r="AD44" s="1595">
        <v>7627285.8200000003</v>
      </c>
      <c r="AE44" s="741">
        <v>43270</v>
      </c>
      <c r="AF44" s="741">
        <v>43270</v>
      </c>
      <c r="AG44" s="1594">
        <v>0</v>
      </c>
      <c r="AH44" s="630"/>
      <c r="AI44" s="741">
        <v>41365</v>
      </c>
      <c r="AJ44" s="741">
        <v>42551</v>
      </c>
      <c r="AK44" s="741" t="s">
        <v>290</v>
      </c>
      <c r="AL44" s="741"/>
      <c r="AM44" s="741"/>
      <c r="AN44" s="864"/>
      <c r="AO44" s="235"/>
      <c r="AP44" s="17"/>
      <c r="AR44" s="818" t="s">
        <v>450</v>
      </c>
      <c r="AS44" s="235"/>
      <c r="AT44" s="235"/>
      <c r="AX44" s="235"/>
    </row>
    <row r="45" spans="1:50" s="9" customFormat="1" ht="31.5">
      <c r="A45" s="630" t="s">
        <v>357</v>
      </c>
      <c r="B45" s="630" t="s">
        <v>482</v>
      </c>
      <c r="C45" s="630">
        <v>4248</v>
      </c>
      <c r="D45" s="630" t="s">
        <v>483</v>
      </c>
      <c r="E45" s="630" t="s">
        <v>283</v>
      </c>
      <c r="F45" s="630" t="s">
        <v>484</v>
      </c>
      <c r="G45" s="630" t="s">
        <v>485</v>
      </c>
      <c r="H45" s="630">
        <v>9.9699999999999997E-2</v>
      </c>
      <c r="I45" s="630" t="s">
        <v>486</v>
      </c>
      <c r="J45" s="630">
        <v>132</v>
      </c>
      <c r="K45" s="630"/>
      <c r="L45" s="630"/>
      <c r="M45" s="815">
        <v>0</v>
      </c>
      <c r="N45" s="1594"/>
      <c r="O45" s="1594" t="str">
        <f t="shared" si="9"/>
        <v>ReH 2.995/2021</v>
      </c>
      <c r="P45" s="1603">
        <v>0.2072</v>
      </c>
      <c r="Q45" s="1594">
        <v>5741724.6974191396</v>
      </c>
      <c r="R45" s="1602">
        <v>44531</v>
      </c>
      <c r="S45" s="1594" t="str">
        <f t="shared" si="10"/>
        <v>Desp. 521/2022</v>
      </c>
      <c r="T45" s="630" t="s">
        <v>487</v>
      </c>
      <c r="U45" s="741" t="s">
        <v>350</v>
      </c>
      <c r="V45" s="630">
        <v>2024</v>
      </c>
      <c r="W45" s="1589">
        <v>2908</v>
      </c>
      <c r="X45" s="1590" t="s">
        <v>2157</v>
      </c>
      <c r="Y45" s="630"/>
      <c r="AA45" s="1592" t="s">
        <v>486</v>
      </c>
      <c r="AB45" s="1594">
        <v>58.392923981821539</v>
      </c>
      <c r="AC45" s="1595">
        <v>117.43916412021785</v>
      </c>
      <c r="AD45" s="1595">
        <v>1371216.9263933776</v>
      </c>
      <c r="AE45" s="741">
        <v>44371</v>
      </c>
      <c r="AF45" s="741">
        <v>44371</v>
      </c>
      <c r="AG45" s="1594">
        <v>0</v>
      </c>
      <c r="AH45" s="630"/>
      <c r="AI45" s="741">
        <v>41472</v>
      </c>
      <c r="AJ45" s="741">
        <v>42551</v>
      </c>
      <c r="AK45" s="741" t="s">
        <v>290</v>
      </c>
      <c r="AL45" s="741"/>
      <c r="AM45" s="741"/>
      <c r="AN45" s="864"/>
      <c r="AO45" s="235"/>
      <c r="AP45" s="17"/>
      <c r="AR45" s="818" t="s">
        <v>201</v>
      </c>
      <c r="AS45" s="235"/>
      <c r="AT45" s="235"/>
      <c r="AX45" s="235"/>
    </row>
    <row r="46" spans="1:50" s="9" customFormat="1" ht="31.5">
      <c r="A46" s="630" t="s">
        <v>182</v>
      </c>
      <c r="B46" s="630" t="s">
        <v>488</v>
      </c>
      <c r="C46" s="630">
        <v>5274</v>
      </c>
      <c r="D46" s="630" t="s">
        <v>489</v>
      </c>
      <c r="E46" s="630" t="s">
        <v>283</v>
      </c>
      <c r="F46" s="630" t="s">
        <v>490</v>
      </c>
      <c r="G46" s="630" t="s">
        <v>491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15">
        <v>0.128</v>
      </c>
      <c r="N46" s="1594"/>
      <c r="O46" s="1594" t="str">
        <f t="shared" si="9"/>
        <v>ReH 2.995/2021</v>
      </c>
      <c r="P46" s="1603">
        <v>7.9699999999999993E-2</v>
      </c>
      <c r="Q46" s="1604">
        <v>9559924.0871568415</v>
      </c>
      <c r="R46" s="1602">
        <v>44531</v>
      </c>
      <c r="S46" s="1594" t="str">
        <f t="shared" si="10"/>
        <v>Desp. 521/2022</v>
      </c>
      <c r="T46" s="630" t="s">
        <v>493</v>
      </c>
      <c r="U46" s="741" t="s">
        <v>288</v>
      </c>
      <c r="V46" s="630">
        <v>2024</v>
      </c>
      <c r="W46" s="1589">
        <v>2865</v>
      </c>
      <c r="X46" s="1590" t="s">
        <v>2158</v>
      </c>
      <c r="Y46" s="630"/>
      <c r="AA46" s="1592" t="s">
        <v>507</v>
      </c>
      <c r="AB46" s="1594">
        <v>49.06</v>
      </c>
      <c r="AC46" s="1595">
        <v>187.05</v>
      </c>
      <c r="AD46" s="1595">
        <v>95315.39</v>
      </c>
      <c r="AE46" s="741">
        <v>43174</v>
      </c>
      <c r="AF46" s="741">
        <v>43174</v>
      </c>
      <c r="AG46" s="1594">
        <v>0</v>
      </c>
      <c r="AH46" s="630"/>
      <c r="AI46" s="741">
        <v>41472</v>
      </c>
      <c r="AJ46" s="741">
        <v>42451</v>
      </c>
      <c r="AK46" s="741" t="s">
        <v>290</v>
      </c>
      <c r="AL46" s="741"/>
      <c r="AM46" s="741"/>
      <c r="AN46" s="864">
        <v>940401.96</v>
      </c>
      <c r="AO46" s="235"/>
      <c r="AP46" s="17"/>
      <c r="AR46" s="818" t="s">
        <v>494</v>
      </c>
      <c r="AS46" s="235"/>
      <c r="AT46" s="235"/>
      <c r="AX46" s="235"/>
    </row>
    <row r="47" spans="1:50" s="9" customFormat="1" ht="31.5">
      <c r="A47" s="630" t="s">
        <v>372</v>
      </c>
      <c r="B47" s="630" t="s">
        <v>495</v>
      </c>
      <c r="C47" s="630">
        <v>5377</v>
      </c>
      <c r="D47" s="630" t="s">
        <v>496</v>
      </c>
      <c r="E47" s="630" t="s">
        <v>283</v>
      </c>
      <c r="F47" s="630" t="s">
        <v>497</v>
      </c>
      <c r="G47" s="630" t="s">
        <v>498</v>
      </c>
      <c r="H47" s="630">
        <v>3.7699999999999997E-2</v>
      </c>
      <c r="I47" s="630" t="s">
        <v>499</v>
      </c>
      <c r="J47" s="630">
        <v>155</v>
      </c>
      <c r="K47" s="630"/>
      <c r="L47" s="630"/>
      <c r="M47" s="815">
        <v>0</v>
      </c>
      <c r="N47" s="1594"/>
      <c r="O47" s="1594" t="str">
        <f t="shared" si="9"/>
        <v>ReH 2.995/2021</v>
      </c>
      <c r="P47" s="1603">
        <v>6.2799999999999995E-2</v>
      </c>
      <c r="Q47" s="1594">
        <v>5170019.3743311316</v>
      </c>
      <c r="R47" s="1602">
        <v>44531</v>
      </c>
      <c r="S47" s="1594" t="str">
        <f t="shared" si="10"/>
        <v>Desp. 521/2022</v>
      </c>
      <c r="T47" s="630" t="s">
        <v>500</v>
      </c>
      <c r="U47" s="741" t="s">
        <v>501</v>
      </c>
      <c r="V47" s="630">
        <v>2024</v>
      </c>
      <c r="W47" s="1589">
        <v>2872</v>
      </c>
      <c r="X47" s="1590" t="s">
        <v>2156</v>
      </c>
      <c r="Y47" s="1591">
        <v>1.15E-2</v>
      </c>
      <c r="Z47" s="1592">
        <v>-0.02</v>
      </c>
      <c r="AA47" s="1592" t="s">
        <v>194</v>
      </c>
      <c r="AB47" s="1594">
        <v>43</v>
      </c>
      <c r="AC47" s="1595">
        <v>122.01</v>
      </c>
      <c r="AD47" s="1595">
        <v>807332.96</v>
      </c>
      <c r="AE47" s="741">
        <v>43212</v>
      </c>
      <c r="AF47" s="741">
        <v>43212</v>
      </c>
      <c r="AG47" s="1594">
        <v>0</v>
      </c>
      <c r="AH47" s="630"/>
      <c r="AI47" s="741">
        <v>41472</v>
      </c>
      <c r="AJ47" s="741">
        <v>42489</v>
      </c>
      <c r="AK47" s="741" t="s">
        <v>290</v>
      </c>
      <c r="AL47" s="741"/>
      <c r="AM47" s="741"/>
      <c r="AN47" s="864"/>
      <c r="AO47" s="235"/>
      <c r="AP47" s="17"/>
      <c r="AR47" s="818" t="s">
        <v>412</v>
      </c>
      <c r="AS47" s="235"/>
      <c r="AT47" s="235"/>
      <c r="AX47" s="235"/>
    </row>
    <row r="48" spans="1:50" s="9" customFormat="1" ht="31.5">
      <c r="A48" s="630" t="s">
        <v>367</v>
      </c>
      <c r="B48" s="630" t="s">
        <v>502</v>
      </c>
      <c r="C48" s="630">
        <v>5279</v>
      </c>
      <c r="D48" s="630" t="s">
        <v>503</v>
      </c>
      <c r="E48" s="630" t="s">
        <v>283</v>
      </c>
      <c r="F48" s="630" t="s">
        <v>504</v>
      </c>
      <c r="G48" s="630" t="s">
        <v>491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15">
        <v>0.1166</v>
      </c>
      <c r="N48" s="1594"/>
      <c r="O48" s="1594" t="str">
        <f t="shared" si="9"/>
        <v>ReH 2.995/2021</v>
      </c>
      <c r="P48" s="1591">
        <v>0.4052</v>
      </c>
      <c r="Q48" s="1594">
        <v>25601019.68723011</v>
      </c>
      <c r="R48" s="1602">
        <v>44531</v>
      </c>
      <c r="S48" s="1594" t="str">
        <f t="shared" si="10"/>
        <v>Desp. 521/2022</v>
      </c>
      <c r="T48" s="1605" t="s">
        <v>505</v>
      </c>
      <c r="U48" s="741" t="s">
        <v>506</v>
      </c>
      <c r="V48" s="630">
        <v>2022</v>
      </c>
      <c r="W48" s="1589">
        <v>2866</v>
      </c>
      <c r="X48" s="1590" t="s">
        <v>2158</v>
      </c>
      <c r="Y48" s="1591"/>
      <c r="AA48" s="1592" t="s">
        <v>507</v>
      </c>
      <c r="AB48" s="1596">
        <v>29.23</v>
      </c>
      <c r="AC48" s="1595">
        <v>183.67</v>
      </c>
      <c r="AD48" s="1595">
        <v>3906806.73</v>
      </c>
      <c r="AE48" s="741">
        <v>42809</v>
      </c>
      <c r="AF48" s="741">
        <v>42809</v>
      </c>
      <c r="AG48" s="741" t="s">
        <v>508</v>
      </c>
      <c r="AH48" s="630"/>
      <c r="AI48" s="741"/>
      <c r="AJ48" s="741"/>
      <c r="AK48" s="741" t="s">
        <v>509</v>
      </c>
      <c r="AL48" s="741">
        <v>43374</v>
      </c>
      <c r="AM48" s="1591">
        <v>0.2465</v>
      </c>
      <c r="AN48" s="864">
        <v>939575.3</v>
      </c>
      <c r="AO48" s="235"/>
      <c r="AP48" s="17"/>
      <c r="AR48" s="818" t="s">
        <v>510</v>
      </c>
      <c r="AS48" s="235"/>
      <c r="AT48" s="235"/>
      <c r="AX48" s="235"/>
    </row>
    <row r="49" spans="1:50" s="9" customFormat="1" ht="31.5">
      <c r="A49" s="630" t="s">
        <v>196</v>
      </c>
      <c r="B49" s="630" t="s">
        <v>511</v>
      </c>
      <c r="C49" s="630">
        <v>6603</v>
      </c>
      <c r="D49" s="630" t="s">
        <v>512</v>
      </c>
      <c r="E49" s="630" t="s">
        <v>283</v>
      </c>
      <c r="F49" s="630" t="s">
        <v>513</v>
      </c>
      <c r="G49" s="630" t="s">
        <v>491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15">
        <v>0</v>
      </c>
      <c r="N49" s="1594"/>
      <c r="O49" s="1594" t="str">
        <f t="shared" si="9"/>
        <v>ReH 2.995/2021</v>
      </c>
      <c r="P49" s="1591">
        <v>0.4052</v>
      </c>
      <c r="Q49" s="1594">
        <v>10809195.059114244</v>
      </c>
      <c r="R49" s="1602">
        <v>44531</v>
      </c>
      <c r="S49" s="1594" t="str">
        <f t="shared" si="10"/>
        <v>Desp. 521/2022</v>
      </c>
      <c r="T49" s="1605" t="s">
        <v>514</v>
      </c>
      <c r="U49" s="741" t="s">
        <v>515</v>
      </c>
      <c r="V49" s="630">
        <v>2022</v>
      </c>
      <c r="W49" s="1589">
        <v>2867</v>
      </c>
      <c r="X49" s="1590" t="s">
        <v>2158</v>
      </c>
      <c r="Y49" s="1591"/>
      <c r="AA49" s="1592" t="s">
        <v>507</v>
      </c>
      <c r="AB49" s="1596">
        <v>30.78</v>
      </c>
      <c r="AC49" s="1595">
        <v>183.67</v>
      </c>
      <c r="AD49" s="1595">
        <v>1224360.38437886</v>
      </c>
      <c r="AE49" s="741">
        <v>42809</v>
      </c>
      <c r="AF49" s="741">
        <v>42809</v>
      </c>
      <c r="AG49" s="741" t="s">
        <v>508</v>
      </c>
      <c r="AH49" s="630"/>
      <c r="AI49" s="741"/>
      <c r="AJ49" s="741"/>
      <c r="AK49" s="741" t="s">
        <v>509</v>
      </c>
      <c r="AL49" s="741">
        <v>43405</v>
      </c>
      <c r="AM49" s="1597">
        <v>0</v>
      </c>
      <c r="AN49" s="864">
        <v>234949.9</v>
      </c>
      <c r="AO49" s="235"/>
      <c r="AP49" s="17"/>
      <c r="AR49" s="818" t="s">
        <v>340</v>
      </c>
      <c r="AS49" s="235"/>
      <c r="AT49" s="235"/>
      <c r="AX49" s="235"/>
    </row>
    <row r="50" spans="1:50" s="9" customFormat="1" ht="31.5">
      <c r="A50" s="630" t="s">
        <v>390</v>
      </c>
      <c r="B50" s="630" t="s">
        <v>516</v>
      </c>
      <c r="C50" s="630">
        <v>504</v>
      </c>
      <c r="D50" s="630" t="s">
        <v>517</v>
      </c>
      <c r="E50" s="630" t="s">
        <v>283</v>
      </c>
      <c r="F50" s="630" t="s">
        <v>518</v>
      </c>
      <c r="G50" s="630" t="s">
        <v>442</v>
      </c>
      <c r="H50" s="630">
        <v>9.9699999999999997E-2</v>
      </c>
      <c r="I50" s="630" t="s">
        <v>206</v>
      </c>
      <c r="J50" s="630">
        <v>167</v>
      </c>
      <c r="K50" s="630"/>
      <c r="L50" s="630"/>
      <c r="M50" s="815">
        <v>0</v>
      </c>
      <c r="N50" s="1594"/>
      <c r="O50" s="1594" t="str">
        <f t="shared" si="9"/>
        <v>ReH 2.995/2021</v>
      </c>
      <c r="P50" s="1591">
        <v>0.36820000000000003</v>
      </c>
      <c r="Q50" s="1594">
        <v>34114621.739632338</v>
      </c>
      <c r="R50" s="1602">
        <v>44531</v>
      </c>
      <c r="S50" s="1594" t="str">
        <f t="shared" si="10"/>
        <v>Desp. 521/2022</v>
      </c>
      <c r="T50" s="1605" t="s">
        <v>519</v>
      </c>
      <c r="U50" s="741" t="s">
        <v>520</v>
      </c>
      <c r="V50" s="630">
        <v>2022</v>
      </c>
      <c r="W50" s="1589">
        <v>2906</v>
      </c>
      <c r="X50" s="1590" t="s">
        <v>2157</v>
      </c>
      <c r="Y50" s="1591"/>
      <c r="AA50" s="1592" t="s">
        <v>206</v>
      </c>
      <c r="AB50" s="1596">
        <v>13.9</v>
      </c>
      <c r="AC50" s="1595">
        <v>108.15</v>
      </c>
      <c r="AD50" s="1595">
        <v>16697250.359999999</v>
      </c>
      <c r="AE50" s="741">
        <v>43270</v>
      </c>
      <c r="AF50" s="741">
        <v>43270</v>
      </c>
      <c r="AG50" s="741" t="s">
        <v>508</v>
      </c>
      <c r="AH50" s="630"/>
      <c r="AI50" s="741"/>
      <c r="AJ50" s="741"/>
      <c r="AK50" s="741" t="s">
        <v>509</v>
      </c>
      <c r="AL50" s="741">
        <v>43405</v>
      </c>
      <c r="AM50" s="741"/>
      <c r="AN50" s="864"/>
      <c r="AO50" s="235"/>
      <c r="AP50" s="17"/>
      <c r="AR50" s="818" t="s">
        <v>521</v>
      </c>
      <c r="AS50" s="235"/>
      <c r="AT50" s="235"/>
      <c r="AX50" s="235"/>
    </row>
    <row r="51" spans="1:50" s="9" customFormat="1" ht="31.5">
      <c r="A51" s="630" t="s">
        <v>494</v>
      </c>
      <c r="B51" s="630" t="s">
        <v>522</v>
      </c>
      <c r="C51" s="630">
        <v>527</v>
      </c>
      <c r="D51" s="630" t="s">
        <v>523</v>
      </c>
      <c r="E51" s="630" t="s">
        <v>283</v>
      </c>
      <c r="F51" s="630" t="s">
        <v>524</v>
      </c>
      <c r="G51" s="630" t="s">
        <v>442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15">
        <v>0</v>
      </c>
      <c r="N51" s="1594"/>
      <c r="O51" s="1594" t="str">
        <f t="shared" si="9"/>
        <v>ReH 2.995/2021</v>
      </c>
      <c r="P51" s="1591">
        <v>0.36820000000000003</v>
      </c>
      <c r="Q51" s="1594">
        <v>19676334.273381419</v>
      </c>
      <c r="R51" s="1602">
        <v>44531</v>
      </c>
      <c r="S51" s="1594" t="str">
        <f t="shared" si="10"/>
        <v>Desp. 521/2022</v>
      </c>
      <c r="T51" s="1605" t="s">
        <v>525</v>
      </c>
      <c r="U51" s="741" t="s">
        <v>526</v>
      </c>
      <c r="V51" s="630">
        <v>2022</v>
      </c>
      <c r="W51" s="1589">
        <v>2907</v>
      </c>
      <c r="X51" s="1590" t="s">
        <v>2157</v>
      </c>
      <c r="Y51" s="1591"/>
      <c r="AA51" s="1592" t="s">
        <v>206</v>
      </c>
      <c r="AB51" s="1596">
        <v>17.5</v>
      </c>
      <c r="AC51" s="1595">
        <v>108.15</v>
      </c>
      <c r="AD51" s="1595">
        <v>8473358.1899999995</v>
      </c>
      <c r="AE51" s="741">
        <v>43270</v>
      </c>
      <c r="AF51" s="741">
        <v>43270</v>
      </c>
      <c r="AG51" s="741" t="s">
        <v>508</v>
      </c>
      <c r="AH51" s="630"/>
      <c r="AI51" s="741"/>
      <c r="AJ51" s="741"/>
      <c r="AK51" s="741" t="s">
        <v>509</v>
      </c>
      <c r="AL51" s="741">
        <v>43405</v>
      </c>
      <c r="AM51" s="741"/>
      <c r="AN51" s="864"/>
      <c r="AO51" s="235"/>
      <c r="AP51" s="17"/>
      <c r="AR51" s="818" t="s">
        <v>188</v>
      </c>
      <c r="AS51" s="235"/>
      <c r="AT51" s="235"/>
      <c r="AX51" s="235"/>
    </row>
    <row r="52" spans="1:50" s="9" customFormat="1" ht="31.5">
      <c r="A52" s="630" t="s">
        <v>291</v>
      </c>
      <c r="B52" s="630" t="s">
        <v>527</v>
      </c>
      <c r="C52" s="630">
        <v>11825</v>
      </c>
      <c r="D52" s="630" t="s">
        <v>528</v>
      </c>
      <c r="E52" s="630" t="s">
        <v>283</v>
      </c>
      <c r="F52" s="630" t="s">
        <v>529</v>
      </c>
      <c r="G52" s="630" t="s">
        <v>485</v>
      </c>
      <c r="H52" s="630">
        <v>9.9699999999999997E-2</v>
      </c>
      <c r="I52" s="630" t="s">
        <v>530</v>
      </c>
      <c r="J52" s="630">
        <v>132</v>
      </c>
      <c r="K52" s="630"/>
      <c r="L52" s="630"/>
      <c r="M52" s="817">
        <v>0</v>
      </c>
      <c r="N52" s="1594"/>
      <c r="O52" s="1594" t="str">
        <f t="shared" si="9"/>
        <v>ReH 2.995/2021</v>
      </c>
      <c r="P52" s="1591">
        <v>0.30030000000000001</v>
      </c>
      <c r="Q52" s="1594">
        <v>3990174.7268110593</v>
      </c>
      <c r="R52" s="1602">
        <v>44531</v>
      </c>
      <c r="S52" s="1594" t="str">
        <f t="shared" si="10"/>
        <v>Desp. 521/2022</v>
      </c>
      <c r="T52" s="1605" t="s">
        <v>531</v>
      </c>
      <c r="U52" s="741" t="s">
        <v>532</v>
      </c>
      <c r="V52" s="630">
        <v>2022</v>
      </c>
      <c r="W52" s="1589">
        <v>2905</v>
      </c>
      <c r="X52" s="1590" t="s">
        <v>2157</v>
      </c>
      <c r="Y52" s="1591"/>
      <c r="AA52" s="1592" t="s">
        <v>486</v>
      </c>
      <c r="AB52" s="1596">
        <v>108.32837360722637</v>
      </c>
      <c r="AC52" s="1595">
        <v>117.43916412021785</v>
      </c>
      <c r="AD52" s="1595">
        <v>0</v>
      </c>
      <c r="AE52" s="741">
        <v>44371</v>
      </c>
      <c r="AF52" s="741">
        <v>44371</v>
      </c>
      <c r="AG52" s="741" t="s">
        <v>508</v>
      </c>
      <c r="AH52" s="630"/>
      <c r="AI52" s="741"/>
      <c r="AJ52" s="741"/>
      <c r="AK52" s="741" t="s">
        <v>509</v>
      </c>
      <c r="AL52" s="741">
        <v>43405</v>
      </c>
      <c r="AM52" s="741"/>
      <c r="AN52" s="864"/>
      <c r="AO52" s="235"/>
      <c r="AP52" s="17"/>
      <c r="AR52" s="818" t="s">
        <v>421</v>
      </c>
      <c r="AS52" s="235"/>
      <c r="AT52" s="235"/>
      <c r="AX52" s="235"/>
    </row>
    <row r="53" spans="1:50" s="9" customFormat="1" ht="31.5">
      <c r="A53" s="630" t="s">
        <v>510</v>
      </c>
      <c r="B53" s="630" t="s">
        <v>533</v>
      </c>
      <c r="C53" s="630">
        <v>5375</v>
      </c>
      <c r="D53" s="630" t="s">
        <v>534</v>
      </c>
      <c r="E53" s="630" t="s">
        <v>283</v>
      </c>
      <c r="F53" s="630" t="s">
        <v>535</v>
      </c>
      <c r="G53" s="630" t="s">
        <v>285</v>
      </c>
      <c r="H53" s="630">
        <v>9.9699999999999997E-2</v>
      </c>
      <c r="I53" s="630" t="s">
        <v>536</v>
      </c>
      <c r="J53" s="630">
        <v>145</v>
      </c>
      <c r="K53" s="630" t="s">
        <v>537</v>
      </c>
      <c r="L53" s="630">
        <v>136</v>
      </c>
      <c r="M53" s="817">
        <v>0</v>
      </c>
      <c r="N53" s="1594"/>
      <c r="O53" s="1594" t="str">
        <f t="shared" si="9"/>
        <v>ReH 2.995/2021</v>
      </c>
      <c r="P53" s="1591">
        <v>0.26960000000000001</v>
      </c>
      <c r="Q53" s="1594">
        <v>9179104.7891964447</v>
      </c>
      <c r="R53" s="1602">
        <v>44531</v>
      </c>
      <c r="S53" s="1594" t="str">
        <f t="shared" si="10"/>
        <v>Desp. 521/2022</v>
      </c>
      <c r="T53" s="1605" t="s">
        <v>538</v>
      </c>
      <c r="U53" s="741" t="s">
        <v>539</v>
      </c>
      <c r="V53" s="630">
        <v>2022</v>
      </c>
      <c r="W53" s="1589">
        <v>2945</v>
      </c>
      <c r="X53" s="1590" t="s">
        <v>2159</v>
      </c>
      <c r="Y53" s="1591"/>
      <c r="AA53" s="1592" t="s">
        <v>536</v>
      </c>
      <c r="AB53" s="1596">
        <v>56.75</v>
      </c>
      <c r="AC53" s="1595">
        <v>133.91999999999999</v>
      </c>
      <c r="AD53" s="1595">
        <v>1818143.6</v>
      </c>
      <c r="AE53" s="741">
        <v>43678</v>
      </c>
      <c r="AF53" s="741">
        <v>43678</v>
      </c>
      <c r="AG53" s="741" t="s">
        <v>508</v>
      </c>
      <c r="AH53" s="630"/>
      <c r="AI53" s="741"/>
      <c r="AJ53" s="741"/>
      <c r="AK53" s="741" t="s">
        <v>509</v>
      </c>
      <c r="AL53" s="741">
        <v>43466</v>
      </c>
      <c r="AM53" s="741"/>
      <c r="AN53" s="864"/>
      <c r="AO53" s="235"/>
      <c r="AP53" s="17"/>
      <c r="AR53" s="818" t="s">
        <v>461</v>
      </c>
      <c r="AS53" s="235"/>
      <c r="AT53" s="235"/>
      <c r="AX53" s="235"/>
    </row>
    <row r="54" spans="1:50" s="9" customFormat="1" ht="31.5">
      <c r="A54" s="630" t="s">
        <v>186</v>
      </c>
      <c r="B54" s="630" t="s">
        <v>540</v>
      </c>
      <c r="C54" s="630">
        <v>5356</v>
      </c>
      <c r="D54" s="630" t="s">
        <v>541</v>
      </c>
      <c r="E54" s="630" t="s">
        <v>283</v>
      </c>
      <c r="F54" s="630" t="s">
        <v>542</v>
      </c>
      <c r="G54" s="630" t="s">
        <v>348</v>
      </c>
      <c r="H54" s="630">
        <v>9.9699999999999997E-2</v>
      </c>
      <c r="I54" s="630" t="s">
        <v>543</v>
      </c>
      <c r="J54" s="630">
        <v>111</v>
      </c>
      <c r="K54" s="630"/>
      <c r="L54" s="630"/>
      <c r="M54" s="817">
        <v>0</v>
      </c>
      <c r="N54" s="1594"/>
      <c r="O54" s="1594" t="str">
        <f t="shared" si="9"/>
        <v>ReH 2.995/2021</v>
      </c>
      <c r="P54" s="1591">
        <v>0.26719999999999999</v>
      </c>
      <c r="Q54" s="1594">
        <v>12311896.529185077</v>
      </c>
      <c r="R54" s="1602">
        <v>44531</v>
      </c>
      <c r="S54" s="1594" t="str">
        <f t="shared" si="10"/>
        <v>Desp. 521/2022</v>
      </c>
      <c r="T54" s="1605" t="s">
        <v>544</v>
      </c>
      <c r="U54" s="741" t="s">
        <v>545</v>
      </c>
      <c r="V54" s="630">
        <v>2022</v>
      </c>
      <c r="W54" s="1589">
        <v>2938</v>
      </c>
      <c r="X54" s="1590" t="s">
        <v>2159</v>
      </c>
      <c r="Y54" s="1591"/>
      <c r="AA54" s="1592" t="s">
        <v>543</v>
      </c>
      <c r="AB54" s="1596">
        <v>349.3569320960537</v>
      </c>
      <c r="AC54" s="1595">
        <v>180.36</v>
      </c>
      <c r="AD54" s="1595">
        <v>0</v>
      </c>
      <c r="AE54" s="741">
        <v>44430</v>
      </c>
      <c r="AF54" s="741">
        <v>44430</v>
      </c>
      <c r="AG54" s="741" t="s">
        <v>508</v>
      </c>
      <c r="AH54" s="630"/>
      <c r="AI54" s="741"/>
      <c r="AJ54" s="741"/>
      <c r="AK54" s="741" t="s">
        <v>509</v>
      </c>
      <c r="AL54" s="741">
        <v>43435</v>
      </c>
      <c r="AM54" s="741"/>
      <c r="AN54" s="864"/>
      <c r="AO54" s="235"/>
      <c r="AP54" s="17"/>
      <c r="AR54" s="818" t="s">
        <v>428</v>
      </c>
      <c r="AS54" s="235"/>
      <c r="AT54" s="235"/>
      <c r="AX54" s="235"/>
    </row>
    <row r="55" spans="1:50" s="9" customFormat="1" ht="31.5">
      <c r="A55" s="630" t="s">
        <v>472</v>
      </c>
      <c r="B55" s="630" t="s">
        <v>546</v>
      </c>
      <c r="C55" s="630">
        <v>7883</v>
      </c>
      <c r="D55" s="630" t="s">
        <v>547</v>
      </c>
      <c r="E55" s="630" t="s">
        <v>283</v>
      </c>
      <c r="F55" s="630" t="s">
        <v>548</v>
      </c>
      <c r="G55" s="630" t="s">
        <v>348</v>
      </c>
      <c r="H55" s="630">
        <v>9.9699999999999997E-2</v>
      </c>
      <c r="I55" s="630" t="s">
        <v>543</v>
      </c>
      <c r="J55" s="630">
        <v>111</v>
      </c>
      <c r="K55" s="630"/>
      <c r="L55" s="630"/>
      <c r="M55" s="817">
        <v>0</v>
      </c>
      <c r="N55" s="1594"/>
      <c r="O55" s="1594" t="str">
        <f t="shared" si="9"/>
        <v>ReH 2.995/2021</v>
      </c>
      <c r="P55" s="1591">
        <v>0.26719999999999999</v>
      </c>
      <c r="Q55" s="1594">
        <v>2747645.1312338929</v>
      </c>
      <c r="R55" s="1602">
        <v>44531</v>
      </c>
      <c r="S55" s="1594" t="str">
        <f t="shared" si="10"/>
        <v>Desp. 521/2022</v>
      </c>
      <c r="T55" s="1605" t="s">
        <v>549</v>
      </c>
      <c r="U55" s="741" t="s">
        <v>550</v>
      </c>
      <c r="V55" s="630">
        <v>2022</v>
      </c>
      <c r="W55" s="1589">
        <v>2952</v>
      </c>
      <c r="X55" s="1590" t="s">
        <v>2159</v>
      </c>
      <c r="Y55" s="1591"/>
      <c r="AA55" s="1592" t="s">
        <v>543</v>
      </c>
      <c r="AB55" s="1596">
        <v>66.75041888804266</v>
      </c>
      <c r="AC55" s="1595">
        <v>180.36</v>
      </c>
      <c r="AD55" s="1595">
        <v>1128622.9917918474</v>
      </c>
      <c r="AE55" s="741">
        <v>44430</v>
      </c>
      <c r="AF55" s="741">
        <v>44430</v>
      </c>
      <c r="AG55" s="741" t="s">
        <v>508</v>
      </c>
      <c r="AH55" s="630"/>
      <c r="AI55" s="741"/>
      <c r="AJ55" s="741"/>
      <c r="AK55" s="741" t="s">
        <v>509</v>
      </c>
      <c r="AL55" s="741">
        <v>43435</v>
      </c>
      <c r="AM55" s="741"/>
      <c r="AN55" s="864"/>
      <c r="AO55" s="235"/>
      <c r="AP55" s="17"/>
      <c r="AR55" s="818" t="s">
        <v>11</v>
      </c>
      <c r="AS55" s="235"/>
      <c r="AT55" s="235"/>
      <c r="AX55" s="235"/>
    </row>
    <row r="56" spans="1:50" s="9" customFormat="1" ht="31.5">
      <c r="A56" s="630" t="s">
        <v>521</v>
      </c>
      <c r="B56" s="630" t="s">
        <v>551</v>
      </c>
      <c r="C56" s="630">
        <v>11763</v>
      </c>
      <c r="D56" s="630" t="s">
        <v>552</v>
      </c>
      <c r="E56" s="630" t="s">
        <v>283</v>
      </c>
      <c r="F56" s="630" t="s">
        <v>553</v>
      </c>
      <c r="G56" s="630" t="s">
        <v>348</v>
      </c>
      <c r="H56" s="630">
        <v>9.9699999999999997E-2</v>
      </c>
      <c r="I56" s="630" t="s">
        <v>543</v>
      </c>
      <c r="J56" s="630">
        <v>111</v>
      </c>
      <c r="K56" s="630"/>
      <c r="L56" s="630"/>
      <c r="M56" s="817">
        <v>0</v>
      </c>
      <c r="N56" s="1594"/>
      <c r="O56" s="1594" t="str">
        <f t="shared" si="9"/>
        <v>ReH 2.995/2021</v>
      </c>
      <c r="P56" s="1591">
        <v>0.26719999999999999</v>
      </c>
      <c r="Q56" s="1594">
        <v>4273903.2129018996</v>
      </c>
      <c r="R56" s="1602">
        <v>44531</v>
      </c>
      <c r="S56" s="1594" t="str">
        <f t="shared" si="10"/>
        <v>Desp. 521/2022</v>
      </c>
      <c r="T56" s="1605" t="s">
        <v>554</v>
      </c>
      <c r="U56" s="741" t="s">
        <v>555</v>
      </c>
      <c r="V56" s="630">
        <v>2022</v>
      </c>
      <c r="W56" s="1589">
        <v>2954</v>
      </c>
      <c r="X56" s="1590" t="s">
        <v>2159</v>
      </c>
      <c r="Y56" s="1591"/>
      <c r="AA56" s="1592" t="s">
        <v>543</v>
      </c>
      <c r="AB56" s="1596">
        <v>340.16724180581309</v>
      </c>
      <c r="AC56" s="1595">
        <v>180.36</v>
      </c>
      <c r="AD56" s="1595">
        <v>0</v>
      </c>
      <c r="AE56" s="741">
        <v>44430</v>
      </c>
      <c r="AF56" s="741">
        <v>44430</v>
      </c>
      <c r="AG56" s="741" t="s">
        <v>508</v>
      </c>
      <c r="AH56" s="630"/>
      <c r="AI56" s="741"/>
      <c r="AJ56" s="741"/>
      <c r="AK56" s="741" t="s">
        <v>509</v>
      </c>
      <c r="AL56" s="741">
        <v>43466</v>
      </c>
      <c r="AM56" s="741"/>
      <c r="AN56" s="864"/>
      <c r="AO56" s="235"/>
      <c r="AP56" s="17"/>
      <c r="AR56" s="630" t="s">
        <v>10</v>
      </c>
      <c r="AS56" s="235"/>
      <c r="AT56" s="235"/>
      <c r="AX56" s="235"/>
    </row>
    <row r="57" spans="1:50" s="9" customFormat="1" ht="31.5">
      <c r="A57" s="630" t="s">
        <v>556</v>
      </c>
      <c r="B57" s="630" t="s">
        <v>557</v>
      </c>
      <c r="C57" s="630">
        <v>5374</v>
      </c>
      <c r="D57" s="630" t="s">
        <v>558</v>
      </c>
      <c r="E57" s="630" t="s">
        <v>283</v>
      </c>
      <c r="F57" s="630" t="s">
        <v>559</v>
      </c>
      <c r="G57" s="630" t="s">
        <v>348</v>
      </c>
      <c r="H57" s="630">
        <v>9.9699999999999997E-2</v>
      </c>
      <c r="I57" s="630" t="s">
        <v>543</v>
      </c>
      <c r="J57" s="630">
        <v>111</v>
      </c>
      <c r="K57" s="630"/>
      <c r="L57" s="630"/>
      <c r="M57" s="817">
        <v>0</v>
      </c>
      <c r="N57" s="1594"/>
      <c r="O57" s="1594" t="str">
        <f t="shared" si="9"/>
        <v>ReH 2.995/2021</v>
      </c>
      <c r="P57" s="1591">
        <v>0.26719999999999999</v>
      </c>
      <c r="Q57" s="1594">
        <v>14887159.462181535</v>
      </c>
      <c r="R57" s="1602">
        <v>44531</v>
      </c>
      <c r="S57" s="1594" t="str">
        <f t="shared" si="10"/>
        <v>Desp. 521/2022</v>
      </c>
      <c r="T57" s="1605" t="s">
        <v>560</v>
      </c>
      <c r="U57" s="741" t="s">
        <v>561</v>
      </c>
      <c r="V57" s="630">
        <v>2022</v>
      </c>
      <c r="W57" s="1589">
        <v>2955</v>
      </c>
      <c r="X57" s="1590" t="s">
        <v>2159</v>
      </c>
      <c r="Y57" s="1591"/>
      <c r="AA57" s="1592" t="s">
        <v>543</v>
      </c>
      <c r="AB57" s="1596">
        <v>42.479589945809131</v>
      </c>
      <c r="AC57" s="1595">
        <v>180.36</v>
      </c>
      <c r="AD57" s="1595">
        <v>4958818.1676888634</v>
      </c>
      <c r="AE57" s="741">
        <v>44430</v>
      </c>
      <c r="AF57" s="741">
        <v>44430</v>
      </c>
      <c r="AG57" s="741" t="s">
        <v>508</v>
      </c>
      <c r="AH57" s="630"/>
      <c r="AI57" s="741"/>
      <c r="AJ57" s="741"/>
      <c r="AK57" s="741" t="s">
        <v>509</v>
      </c>
      <c r="AL57" s="741">
        <v>43435</v>
      </c>
      <c r="AM57" s="741"/>
      <c r="AN57" s="864"/>
      <c r="AO57" s="235"/>
      <c r="AP57" s="17"/>
      <c r="AR57" s="892" t="s">
        <v>562</v>
      </c>
      <c r="AS57" s="235"/>
      <c r="AT57" s="235"/>
      <c r="AX57" s="235"/>
    </row>
    <row r="58" spans="1:50" s="9" customFormat="1" ht="31.5">
      <c r="A58" s="630" t="s">
        <v>10</v>
      </c>
      <c r="B58" s="630" t="s">
        <v>563</v>
      </c>
      <c r="C58" s="630">
        <v>5346</v>
      </c>
      <c r="D58" s="630" t="s">
        <v>564</v>
      </c>
      <c r="E58" s="630" t="s">
        <v>283</v>
      </c>
      <c r="F58" s="630" t="s">
        <v>565</v>
      </c>
      <c r="G58" s="630" t="s">
        <v>442</v>
      </c>
      <c r="H58" s="630">
        <v>9.9699999999999997E-2</v>
      </c>
      <c r="I58" s="630" t="s">
        <v>354</v>
      </c>
      <c r="J58" s="630">
        <v>110</v>
      </c>
      <c r="K58" s="630"/>
      <c r="L58" s="630"/>
      <c r="M58" s="817">
        <v>0</v>
      </c>
      <c r="N58" s="1594"/>
      <c r="O58" s="1594" t="str">
        <f t="shared" si="9"/>
        <v>ReH 2.995/2021</v>
      </c>
      <c r="P58" s="1591">
        <v>0.29220000000000002</v>
      </c>
      <c r="Q58" s="1594">
        <v>12150493.896013878</v>
      </c>
      <c r="R58" s="1602">
        <v>44531</v>
      </c>
      <c r="S58" s="1594" t="str">
        <f t="shared" si="10"/>
        <v>Desp. 521/2022</v>
      </c>
      <c r="T58" s="630" t="s">
        <v>566</v>
      </c>
      <c r="U58" s="741" t="s">
        <v>567</v>
      </c>
      <c r="V58" s="630">
        <v>2022</v>
      </c>
      <c r="W58" s="1589">
        <v>2993</v>
      </c>
      <c r="X58" s="1590" t="s">
        <v>2154</v>
      </c>
      <c r="Y58" s="630"/>
      <c r="AA58" s="1592" t="s">
        <v>354</v>
      </c>
      <c r="AB58" s="1594">
        <v>12.14</v>
      </c>
      <c r="AC58" s="1595">
        <v>127.47</v>
      </c>
      <c r="AD58" s="1595">
        <v>10002090.66</v>
      </c>
      <c r="AE58" s="741">
        <v>44501</v>
      </c>
      <c r="AF58" s="741">
        <v>44522</v>
      </c>
      <c r="AG58" s="741"/>
      <c r="AH58" s="630"/>
      <c r="AI58" s="741"/>
      <c r="AJ58" s="741"/>
      <c r="AK58" s="741" t="s">
        <v>509</v>
      </c>
      <c r="AL58" s="741">
        <v>43525</v>
      </c>
      <c r="AM58" s="741"/>
      <c r="AN58" s="864"/>
      <c r="AO58" s="235"/>
      <c r="AP58" s="17"/>
      <c r="AR58" s="818" t="s">
        <v>433</v>
      </c>
      <c r="AS58" s="235"/>
      <c r="AT58" s="235"/>
      <c r="AX58" s="235"/>
    </row>
    <row r="59" spans="1:50" s="9" customFormat="1" ht="31.5">
      <c r="A59" s="630" t="s">
        <v>11</v>
      </c>
      <c r="B59" s="630" t="s">
        <v>568</v>
      </c>
      <c r="C59" s="630">
        <v>5345</v>
      </c>
      <c r="D59" s="630" t="s">
        <v>569</v>
      </c>
      <c r="E59" s="630" t="s">
        <v>283</v>
      </c>
      <c r="F59" s="630" t="s">
        <v>570</v>
      </c>
      <c r="G59" s="630" t="s">
        <v>442</v>
      </c>
      <c r="H59" s="630">
        <v>9.9699999999999997E-2</v>
      </c>
      <c r="I59" s="630" t="s">
        <v>354</v>
      </c>
      <c r="J59" s="630">
        <v>110</v>
      </c>
      <c r="K59" s="630"/>
      <c r="L59" s="630"/>
      <c r="M59" s="817">
        <v>0</v>
      </c>
      <c r="N59" s="1594"/>
      <c r="O59" s="1594" t="str">
        <f t="shared" si="9"/>
        <v>ReH 2.995/2021</v>
      </c>
      <c r="P59" s="1591">
        <v>0.29220000000000002</v>
      </c>
      <c r="Q59" s="1594">
        <v>12126674.039789611</v>
      </c>
      <c r="R59" s="1602">
        <v>44531</v>
      </c>
      <c r="S59" s="1594" t="str">
        <f t="shared" si="10"/>
        <v>Desp. 521/2022</v>
      </c>
      <c r="T59" s="630" t="s">
        <v>571</v>
      </c>
      <c r="U59" s="741" t="s">
        <v>572</v>
      </c>
      <c r="V59" s="630">
        <v>2022</v>
      </c>
      <c r="W59" s="1589">
        <v>2999</v>
      </c>
      <c r="X59" s="1590" t="s">
        <v>2154</v>
      </c>
      <c r="Y59" s="630"/>
      <c r="AA59" s="1592" t="s">
        <v>354</v>
      </c>
      <c r="AB59" s="1594">
        <v>24.63</v>
      </c>
      <c r="AC59" s="1595">
        <v>127.47</v>
      </c>
      <c r="AD59" s="1595">
        <v>5510422.0099999998</v>
      </c>
      <c r="AE59" s="741">
        <v>44197</v>
      </c>
      <c r="AF59" s="741">
        <v>44522</v>
      </c>
      <c r="AG59" s="741"/>
      <c r="AH59" s="630"/>
      <c r="AI59" s="741"/>
      <c r="AJ59" s="741"/>
      <c r="AK59" s="741" t="s">
        <v>509</v>
      </c>
      <c r="AL59" s="741">
        <v>43525</v>
      </c>
      <c r="AM59" s="741"/>
      <c r="AN59" s="864"/>
      <c r="AO59" s="235"/>
      <c r="AP59" s="17"/>
      <c r="AR59" s="818" t="s">
        <v>466</v>
      </c>
      <c r="AS59" s="235"/>
      <c r="AT59" s="235"/>
      <c r="AX59" s="235"/>
    </row>
    <row r="60" spans="1:50" s="9" customFormat="1" ht="31.5">
      <c r="A60" s="630" t="s">
        <v>328</v>
      </c>
      <c r="B60" s="630" t="s">
        <v>573</v>
      </c>
      <c r="C60" s="630">
        <v>7467</v>
      </c>
      <c r="D60" s="630" t="s">
        <v>574</v>
      </c>
      <c r="E60" s="630" t="s">
        <v>283</v>
      </c>
      <c r="F60" s="630" t="s">
        <v>575</v>
      </c>
      <c r="G60" s="630" t="s">
        <v>285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7">
        <v>0</v>
      </c>
      <c r="N60" s="1594"/>
      <c r="O60" s="1594" t="str">
        <f t="shared" si="9"/>
        <v>ReH 2.995/2021</v>
      </c>
      <c r="P60" s="1591">
        <v>0.31130000000000002</v>
      </c>
      <c r="Q60" s="1594">
        <v>26138615.684229702</v>
      </c>
      <c r="R60" s="1602">
        <v>44531</v>
      </c>
      <c r="S60" s="1594" t="str">
        <f t="shared" si="10"/>
        <v>Desp. 521/2022</v>
      </c>
      <c r="T60" s="630" t="s">
        <v>576</v>
      </c>
      <c r="U60" s="741" t="s">
        <v>577</v>
      </c>
      <c r="V60" s="630">
        <v>2023</v>
      </c>
      <c r="W60" s="1589">
        <v>2871</v>
      </c>
      <c r="X60" s="1590" t="s">
        <v>2156</v>
      </c>
      <c r="Y60" s="630"/>
      <c r="AA60" s="1592" t="s">
        <v>150</v>
      </c>
      <c r="AB60" s="1594">
        <v>109.7</v>
      </c>
      <c r="AC60" s="1595">
        <v>237.88</v>
      </c>
      <c r="AD60" s="1595">
        <v>7537395.7800000003</v>
      </c>
      <c r="AE60" s="741">
        <v>43198</v>
      </c>
      <c r="AF60" s="741">
        <v>43198</v>
      </c>
      <c r="AG60" s="741"/>
      <c r="AH60" s="630"/>
      <c r="AI60" s="741"/>
      <c r="AJ60" s="741"/>
      <c r="AK60" s="741" t="s">
        <v>509</v>
      </c>
      <c r="AL60" s="741">
        <v>43614</v>
      </c>
      <c r="AM60" s="1598">
        <v>0</v>
      </c>
      <c r="AN60" s="864"/>
      <c r="AR60" s="818" t="s">
        <v>174</v>
      </c>
      <c r="AS60" s="235"/>
      <c r="AT60" s="235"/>
      <c r="AX60" s="235"/>
    </row>
    <row r="61" spans="1:50" ht="31.5">
      <c r="A61" s="509" t="s">
        <v>321</v>
      </c>
      <c r="B61" s="509" t="s">
        <v>578</v>
      </c>
      <c r="C61" s="509">
        <v>5343</v>
      </c>
      <c r="D61" s="630" t="s">
        <v>579</v>
      </c>
      <c r="E61" s="509" t="s">
        <v>283</v>
      </c>
      <c r="F61" s="509" t="s">
        <v>580</v>
      </c>
      <c r="G61" s="509" t="s">
        <v>442</v>
      </c>
      <c r="H61" s="509">
        <v>9.9699999999999997E-2</v>
      </c>
      <c r="I61" s="509" t="s">
        <v>206</v>
      </c>
      <c r="J61" s="509">
        <v>167</v>
      </c>
      <c r="K61" s="509" t="s">
        <v>581</v>
      </c>
      <c r="L61" s="509">
        <v>164</v>
      </c>
      <c r="M61" s="865">
        <v>0</v>
      </c>
      <c r="N61" s="864"/>
      <c r="O61" s="1594" t="str">
        <f t="shared" si="9"/>
        <v>ReH 2.995/2021</v>
      </c>
      <c r="P61" s="1606">
        <v>0.3589</v>
      </c>
      <c r="Q61" s="864">
        <v>45272621.042895459</v>
      </c>
      <c r="R61" s="1602">
        <v>44531</v>
      </c>
      <c r="S61" s="1594" t="str">
        <f t="shared" si="10"/>
        <v>Desp. 521/2022</v>
      </c>
      <c r="T61" s="741">
        <v>43831</v>
      </c>
      <c r="U61" s="866" t="s">
        <v>582</v>
      </c>
      <c r="V61" s="509">
        <v>2022</v>
      </c>
      <c r="W61" s="1599">
        <v>2913</v>
      </c>
      <c r="X61" s="509" t="s">
        <v>2157</v>
      </c>
      <c r="Y61" s="509"/>
      <c r="AA61" s="1600" t="s">
        <v>206</v>
      </c>
      <c r="AB61" s="864">
        <v>16.32</v>
      </c>
      <c r="AC61" s="1601">
        <v>131.34</v>
      </c>
      <c r="AD61" s="1601">
        <v>22619960.88284716</v>
      </c>
      <c r="AE61" s="866">
        <v>43209</v>
      </c>
      <c r="AF61" s="866">
        <v>43270</v>
      </c>
      <c r="AG61" s="509"/>
      <c r="AH61" s="866"/>
      <c r="AI61" s="866"/>
      <c r="AJ61" s="866"/>
      <c r="AK61" s="741" t="s">
        <v>583</v>
      </c>
      <c r="AL61" s="866">
        <v>44105</v>
      </c>
      <c r="AM61" s="866"/>
      <c r="AN61" s="864"/>
      <c r="AR61" s="630" t="s">
        <v>477</v>
      </c>
      <c r="AS61" s="859"/>
      <c r="AX61" s="859"/>
    </row>
    <row r="62" spans="1:50">
      <c r="AD62" s="784"/>
    </row>
    <row r="64" spans="1:50">
      <c r="B64">
        <v>6896</v>
      </c>
    </row>
    <row r="66" spans="1:14">
      <c r="A66" s="656" t="s">
        <v>584</v>
      </c>
    </row>
    <row r="68" spans="1:14">
      <c r="A68" s="510" t="s">
        <v>585</v>
      </c>
      <c r="B68" s="510" t="s">
        <v>27</v>
      </c>
      <c r="C68" s="510" t="s">
        <v>586</v>
      </c>
      <c r="D68" s="510" t="s">
        <v>587</v>
      </c>
      <c r="E68" s="510" t="s">
        <v>588</v>
      </c>
      <c r="F68" s="510" t="s">
        <v>589</v>
      </c>
      <c r="G68" s="510" t="s">
        <v>590</v>
      </c>
      <c r="H68" s="510" t="s">
        <v>591</v>
      </c>
      <c r="I68" s="510" t="s">
        <v>592</v>
      </c>
      <c r="J68" s="510" t="s">
        <v>593</v>
      </c>
      <c r="K68" s="516" t="s">
        <v>594</v>
      </c>
      <c r="L68" s="510" t="s">
        <v>595</v>
      </c>
      <c r="M68" s="516" t="s">
        <v>596</v>
      </c>
      <c r="N68" s="516" t="s">
        <v>2165</v>
      </c>
    </row>
    <row r="69" spans="1:14">
      <c r="A69" s="481" t="s">
        <v>280</v>
      </c>
      <c r="B69" s="630" t="s">
        <v>286</v>
      </c>
      <c r="C69" s="481">
        <v>104</v>
      </c>
      <c r="D69" s="481">
        <v>391</v>
      </c>
      <c r="E69" s="481" t="s">
        <v>597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67">
        <v>0</v>
      </c>
      <c r="M69" s="867">
        <v>0</v>
      </c>
    </row>
    <row r="70" spans="1:14">
      <c r="A70" s="481" t="s">
        <v>280</v>
      </c>
      <c r="B70" s="481" t="s">
        <v>164</v>
      </c>
      <c r="C70" s="481">
        <v>145</v>
      </c>
      <c r="D70" s="481">
        <v>385</v>
      </c>
      <c r="E70" s="481" t="s">
        <v>597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67">
        <v>0</v>
      </c>
      <c r="M70" s="867">
        <v>0</v>
      </c>
    </row>
    <row r="71" spans="1:14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597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67">
        <v>0</v>
      </c>
      <c r="M71" s="867">
        <v>0</v>
      </c>
    </row>
    <row r="72" spans="1:14">
      <c r="A72" s="481" t="s">
        <v>315</v>
      </c>
      <c r="B72" s="481" t="s">
        <v>189</v>
      </c>
      <c r="C72" s="481">
        <v>111</v>
      </c>
      <c r="D72" s="481">
        <v>5697</v>
      </c>
      <c r="E72" s="481" t="s">
        <v>597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67">
        <v>0</v>
      </c>
      <c r="M72" s="867">
        <v>0</v>
      </c>
    </row>
    <row r="73" spans="1:14">
      <c r="A73" s="481" t="s">
        <v>315</v>
      </c>
      <c r="B73" s="487" t="s">
        <v>407</v>
      </c>
      <c r="C73" s="481">
        <v>228</v>
      </c>
      <c r="D73" s="481">
        <v>5368</v>
      </c>
      <c r="E73" s="481" t="s">
        <v>597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67">
        <v>0</v>
      </c>
      <c r="M73" s="867">
        <v>0</v>
      </c>
    </row>
    <row r="74" spans="1:14">
      <c r="A74" s="481" t="s">
        <v>9</v>
      </c>
      <c r="B74" s="481" t="s">
        <v>598</v>
      </c>
      <c r="C74" s="481">
        <v>110</v>
      </c>
      <c r="D74" s="481">
        <v>5707</v>
      </c>
      <c r="E74" s="481" t="s">
        <v>597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67">
        <v>0</v>
      </c>
      <c r="M74" s="1565">
        <v>0</v>
      </c>
    </row>
    <row r="75" spans="1:14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599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67">
        <v>0.29099999999999998</v>
      </c>
      <c r="M75" s="1566">
        <v>0</v>
      </c>
    </row>
    <row r="76" spans="1:14">
      <c r="A76" s="481" t="s">
        <v>339</v>
      </c>
      <c r="B76" s="481" t="s">
        <v>189</v>
      </c>
      <c r="C76" s="481">
        <v>111</v>
      </c>
      <c r="D76" s="481">
        <v>5697</v>
      </c>
      <c r="E76" s="481" t="s">
        <v>597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67">
        <v>0.56379999999999997</v>
      </c>
      <c r="M76" s="1566">
        <v>0.54410000000000003</v>
      </c>
    </row>
    <row r="77" spans="1:14">
      <c r="A77" s="481" t="s">
        <v>184</v>
      </c>
      <c r="B77" s="481" t="s">
        <v>362</v>
      </c>
      <c r="C77" s="481">
        <v>220</v>
      </c>
      <c r="D77" s="481">
        <v>6898</v>
      </c>
      <c r="E77" s="481" t="s">
        <v>597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67">
        <v>0</v>
      </c>
      <c r="M77" s="867">
        <v>0</v>
      </c>
    </row>
    <row r="78" spans="1:14">
      <c r="A78" s="481" t="s">
        <v>357</v>
      </c>
      <c r="B78" s="481" t="s">
        <v>600</v>
      </c>
      <c r="C78" s="481">
        <v>132</v>
      </c>
      <c r="D78" s="481">
        <v>2866</v>
      </c>
      <c r="E78" s="481" t="s">
        <v>597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67">
        <v>0.2326</v>
      </c>
      <c r="M78" s="1566">
        <v>0.2326</v>
      </c>
    </row>
    <row r="79" spans="1:14">
      <c r="A79" s="481" t="s">
        <v>357</v>
      </c>
      <c r="B79" s="481" t="s">
        <v>600</v>
      </c>
      <c r="C79" s="481">
        <v>132</v>
      </c>
      <c r="D79" s="481">
        <v>2866</v>
      </c>
      <c r="E79" s="481" t="s">
        <v>601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67">
        <v>0.2326</v>
      </c>
      <c r="M79" s="1566">
        <v>0.2326</v>
      </c>
    </row>
    <row r="80" spans="1:14">
      <c r="A80" s="481" t="s">
        <v>362</v>
      </c>
      <c r="B80" s="481" t="s">
        <v>189</v>
      </c>
      <c r="C80" s="481">
        <v>111</v>
      </c>
      <c r="D80" s="481">
        <v>5697</v>
      </c>
      <c r="E80" s="481" t="s">
        <v>602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67">
        <v>9.9400000000000002E-2</v>
      </c>
      <c r="M80" s="1566">
        <v>0</v>
      </c>
    </row>
    <row r="81" spans="1:14">
      <c r="A81" s="481" t="s">
        <v>362</v>
      </c>
      <c r="B81" s="481" t="s">
        <v>189</v>
      </c>
      <c r="C81" s="481">
        <v>111</v>
      </c>
      <c r="D81" s="481">
        <v>5697</v>
      </c>
      <c r="E81" s="481" t="s">
        <v>597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67">
        <v>9.9400000000000002E-2</v>
      </c>
      <c r="M81" s="1566">
        <v>0</v>
      </c>
    </row>
    <row r="82" spans="1:14">
      <c r="A82" s="481" t="s">
        <v>372</v>
      </c>
      <c r="B82" s="481" t="s">
        <v>603</v>
      </c>
      <c r="C82" s="481">
        <v>155</v>
      </c>
      <c r="D82" s="481">
        <v>6587</v>
      </c>
      <c r="E82" s="481" t="s">
        <v>597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67">
        <v>0</v>
      </c>
      <c r="M82" s="867">
        <v>0</v>
      </c>
    </row>
    <row r="83" spans="1:14">
      <c r="A83" s="481" t="s">
        <v>373</v>
      </c>
      <c r="B83" s="481" t="s">
        <v>189</v>
      </c>
      <c r="C83" s="481">
        <v>111</v>
      </c>
      <c r="D83" s="481">
        <v>5697</v>
      </c>
      <c r="E83" s="481" t="s">
        <v>597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67">
        <v>0.63749999999999996</v>
      </c>
      <c r="M83" s="1566">
        <v>0.41699999999999998</v>
      </c>
    </row>
    <row r="84" spans="1:14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597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67">
        <f>DescontosTE[[#This Row],[2019]]</f>
        <v>0.43730000000000002</v>
      </c>
      <c r="M84" s="1567">
        <f>DescontosTE[[#This Row],[2020]]</f>
        <v>0.43730000000000002</v>
      </c>
      <c r="N84" s="1567">
        <f>DescontosTE[[#This Row],[2020]]</f>
        <v>0.43730000000000002</v>
      </c>
    </row>
    <row r="85" spans="1:14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597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67">
        <v>0.25619999999999998</v>
      </c>
      <c r="M85" s="1566">
        <v>0.25619999999999998</v>
      </c>
    </row>
    <row r="86" spans="1:14">
      <c r="A86" s="481" t="s">
        <v>384</v>
      </c>
      <c r="B86" s="481" t="s">
        <v>189</v>
      </c>
      <c r="C86" s="481">
        <v>111</v>
      </c>
      <c r="D86" s="481">
        <v>5697</v>
      </c>
      <c r="E86" s="481" t="s">
        <v>597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67">
        <v>0.37969999999999998</v>
      </c>
      <c r="M86" s="1566">
        <v>0.36749999999999999</v>
      </c>
    </row>
    <row r="87" spans="1:14">
      <c r="A87" s="481" t="s">
        <v>391</v>
      </c>
      <c r="B87" s="481" t="s">
        <v>189</v>
      </c>
      <c r="C87" s="481">
        <v>111</v>
      </c>
      <c r="D87" s="481">
        <v>5697</v>
      </c>
      <c r="E87" s="481" t="s">
        <v>597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67">
        <v>0.55110000000000003</v>
      </c>
      <c r="M87" s="1566">
        <v>0.48010000000000003</v>
      </c>
    </row>
    <row r="88" spans="1:14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599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67">
        <v>0.2132</v>
      </c>
      <c r="M88" s="1566">
        <v>0.2132</v>
      </c>
    </row>
    <row r="89" spans="1:14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597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67">
        <v>0.2132</v>
      </c>
      <c r="M89" s="1566">
        <v>0.2132</v>
      </c>
    </row>
    <row r="90" spans="1:14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604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67">
        <v>0.2132</v>
      </c>
      <c r="M90" s="1566">
        <v>0.2132</v>
      </c>
    </row>
    <row r="91" spans="1:14">
      <c r="A91" s="481" t="s">
        <v>297</v>
      </c>
      <c r="B91" s="481" t="s">
        <v>178</v>
      </c>
      <c r="C91" s="481">
        <v>135</v>
      </c>
      <c r="D91" s="481">
        <v>2937</v>
      </c>
      <c r="E91" s="481" t="s">
        <v>597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11">
        <v>5.0599999999999999E-2</v>
      </c>
      <c r="L91" s="867">
        <v>0</v>
      </c>
      <c r="M91" s="867">
        <v>0</v>
      </c>
    </row>
    <row r="92" spans="1:14">
      <c r="A92" s="481" t="s">
        <v>303</v>
      </c>
      <c r="B92" s="481" t="s">
        <v>164</v>
      </c>
      <c r="C92" s="481">
        <v>145</v>
      </c>
      <c r="D92" s="481">
        <v>385</v>
      </c>
      <c r="E92" s="481" t="s">
        <v>601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6">
        <v>1.2E-2</v>
      </c>
      <c r="L92" s="867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>
      <c r="A93" s="481" t="s">
        <v>303</v>
      </c>
      <c r="B93" s="481" t="s">
        <v>164</v>
      </c>
      <c r="C93" s="481">
        <v>145</v>
      </c>
      <c r="D93" s="481">
        <v>385</v>
      </c>
      <c r="E93" s="481" t="s">
        <v>597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6">
        <v>1.2E-2</v>
      </c>
      <c r="L93" s="867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>
      <c r="A94" s="481" t="s">
        <v>303</v>
      </c>
      <c r="B94" s="481" t="s">
        <v>204</v>
      </c>
      <c r="C94" s="481">
        <v>166</v>
      </c>
      <c r="D94" s="481">
        <v>72</v>
      </c>
      <c r="E94" s="481" t="s">
        <v>599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6">
        <v>1.2E-2</v>
      </c>
      <c r="L94" s="867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>
      <c r="A95" s="481" t="s">
        <v>303</v>
      </c>
      <c r="B95" s="481" t="s">
        <v>204</v>
      </c>
      <c r="C95" s="481">
        <v>166</v>
      </c>
      <c r="D95" s="481">
        <v>72</v>
      </c>
      <c r="E95" s="481" t="s">
        <v>601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6">
        <v>1.2E-2</v>
      </c>
      <c r="L95" s="867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>
      <c r="A96" s="481" t="s">
        <v>303</v>
      </c>
      <c r="B96" s="481" t="s">
        <v>204</v>
      </c>
      <c r="C96" s="481">
        <v>166</v>
      </c>
      <c r="D96" s="481">
        <v>72</v>
      </c>
      <c r="E96" s="481" t="s">
        <v>597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6">
        <v>1.2E-2</v>
      </c>
      <c r="L96" s="867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>
      <c r="A97" s="481" t="s">
        <v>309</v>
      </c>
      <c r="B97" s="481" t="s">
        <v>313</v>
      </c>
      <c r="C97" s="481">
        <v>148</v>
      </c>
      <c r="D97" s="481">
        <v>390</v>
      </c>
      <c r="E97" s="481" t="s">
        <v>597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67">
        <v>0.58150000000000002</v>
      </c>
      <c r="M97" s="1566">
        <v>0.58150000000000002</v>
      </c>
    </row>
    <row r="98" spans="1:13">
      <c r="A98" s="481" t="s">
        <v>605</v>
      </c>
      <c r="B98" s="630" t="s">
        <v>286</v>
      </c>
      <c r="C98" s="481">
        <v>104</v>
      </c>
      <c r="D98" s="481">
        <v>391</v>
      </c>
      <c r="E98" s="481" t="s">
        <v>597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67">
        <v>0</v>
      </c>
      <c r="M98" s="867">
        <v>0</v>
      </c>
    </row>
    <row r="99" spans="1:13">
      <c r="A99" s="481" t="s">
        <v>438</v>
      </c>
      <c r="B99" s="481" t="s">
        <v>206</v>
      </c>
      <c r="C99" s="608">
        <v>167</v>
      </c>
      <c r="D99" s="608">
        <v>396</v>
      </c>
      <c r="E99" s="481" t="s">
        <v>599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67">
        <v>0</v>
      </c>
      <c r="M99" s="867">
        <v>0</v>
      </c>
    </row>
    <row r="100" spans="1:13">
      <c r="A100" s="481" t="s">
        <v>438</v>
      </c>
      <c r="B100" s="481" t="s">
        <v>206</v>
      </c>
      <c r="C100" s="608">
        <v>167</v>
      </c>
      <c r="D100" s="608">
        <v>396</v>
      </c>
      <c r="E100" s="481" t="s">
        <v>597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67">
        <v>0</v>
      </c>
      <c r="M100" s="867">
        <v>0</v>
      </c>
    </row>
    <row r="101" spans="1:13">
      <c r="A101" s="481" t="s">
        <v>438</v>
      </c>
      <c r="B101" s="481" t="s">
        <v>206</v>
      </c>
      <c r="C101" s="608">
        <v>167</v>
      </c>
      <c r="D101" s="608">
        <v>396</v>
      </c>
      <c r="E101" s="481" t="s">
        <v>604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67">
        <v>0</v>
      </c>
      <c r="M101" s="867">
        <v>0</v>
      </c>
    </row>
    <row r="102" spans="1:13">
      <c r="A102" s="481" t="s">
        <v>396</v>
      </c>
      <c r="B102" s="481" t="s">
        <v>189</v>
      </c>
      <c r="C102" s="481">
        <v>111</v>
      </c>
      <c r="D102" s="481">
        <v>5697</v>
      </c>
      <c r="E102" s="481" t="s">
        <v>599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67">
        <v>0.55579999999999996</v>
      </c>
      <c r="M102" s="1566">
        <v>0.53969999999999996</v>
      </c>
    </row>
    <row r="103" spans="1:13">
      <c r="A103" s="481" t="s">
        <v>396</v>
      </c>
      <c r="B103" s="481" t="s">
        <v>189</v>
      </c>
      <c r="C103" s="481">
        <v>111</v>
      </c>
      <c r="D103" s="481">
        <v>5697</v>
      </c>
      <c r="E103" s="481" t="s">
        <v>597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67">
        <v>0.55579999999999996</v>
      </c>
      <c r="M103" s="1566">
        <v>0.53969999999999996</v>
      </c>
    </row>
    <row r="104" spans="1:13">
      <c r="A104" s="481" t="s">
        <v>322</v>
      </c>
      <c r="B104" s="487" t="s">
        <v>125</v>
      </c>
      <c r="C104" s="481">
        <v>165</v>
      </c>
      <c r="D104" s="481">
        <v>5216</v>
      </c>
      <c r="E104" s="481" t="s">
        <v>597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67">
        <v>0</v>
      </c>
      <c r="M104" s="867">
        <v>0</v>
      </c>
    </row>
    <row r="105" spans="1:13">
      <c r="A105" s="481" t="s">
        <v>402</v>
      </c>
      <c r="B105" s="481" t="s">
        <v>189</v>
      </c>
      <c r="C105" s="481">
        <v>111</v>
      </c>
      <c r="D105" s="481">
        <v>5697</v>
      </c>
      <c r="E105" s="481" t="s">
        <v>601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67">
        <v>0.44540000000000002</v>
      </c>
      <c r="M105" s="1566">
        <v>0.31740000000000002</v>
      </c>
    </row>
    <row r="106" spans="1:13">
      <c r="A106" s="481" t="s">
        <v>329</v>
      </c>
      <c r="B106" s="481" t="s">
        <v>150</v>
      </c>
      <c r="C106" s="481">
        <v>136</v>
      </c>
      <c r="D106" s="481">
        <v>63</v>
      </c>
      <c r="E106" s="481" t="s">
        <v>597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67">
        <v>0</v>
      </c>
      <c r="M106" s="867">
        <v>0</v>
      </c>
    </row>
    <row r="107" spans="1:13">
      <c r="A107" s="481" t="s">
        <v>606</v>
      </c>
      <c r="B107" s="487" t="s">
        <v>125</v>
      </c>
      <c r="C107" s="481">
        <v>165</v>
      </c>
      <c r="D107" s="481">
        <v>5216</v>
      </c>
      <c r="E107" s="487" t="s">
        <v>597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67">
        <v>7.5600000000000001E-2</v>
      </c>
      <c r="M107" s="1566">
        <v>6.0199999999999997E-2</v>
      </c>
    </row>
    <row r="108" spans="1:13">
      <c r="A108" s="481" t="s">
        <v>606</v>
      </c>
      <c r="B108" s="481" t="s">
        <v>150</v>
      </c>
      <c r="C108" s="481">
        <v>136</v>
      </c>
      <c r="D108" s="481">
        <v>63</v>
      </c>
      <c r="E108" s="481" t="s">
        <v>597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67">
        <v>7.5600000000000001E-2</v>
      </c>
      <c r="M108" s="1566">
        <v>6.0199999999999997E-2</v>
      </c>
    </row>
    <row r="109" spans="1:13">
      <c r="A109" s="481" t="s">
        <v>407</v>
      </c>
      <c r="B109" s="481" t="s">
        <v>189</v>
      </c>
      <c r="C109" s="481">
        <v>111</v>
      </c>
      <c r="D109" s="481">
        <v>5697</v>
      </c>
      <c r="E109" s="481" t="s">
        <v>597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67">
        <v>0.48139999999999999</v>
      </c>
      <c r="M109" s="1566">
        <v>0.48139999999999999</v>
      </c>
    </row>
    <row r="110" spans="1:13">
      <c r="A110" s="481" t="s">
        <v>407</v>
      </c>
      <c r="B110" s="481" t="s">
        <v>189</v>
      </c>
      <c r="C110" s="481">
        <v>111</v>
      </c>
      <c r="D110" s="481">
        <v>5697</v>
      </c>
      <c r="E110" s="481" t="s">
        <v>599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67">
        <v>0.55869999999999997</v>
      </c>
      <c r="M110" s="1566">
        <v>0.55869999999999997</v>
      </c>
    </row>
    <row r="111" spans="1:13">
      <c r="A111" s="481" t="s">
        <v>450</v>
      </c>
      <c r="B111" s="481" t="s">
        <v>206</v>
      </c>
      <c r="C111" s="608">
        <v>167</v>
      </c>
      <c r="D111" s="481">
        <v>396</v>
      </c>
      <c r="E111" s="481" t="s">
        <v>599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67">
        <v>0</v>
      </c>
      <c r="M111" s="867">
        <v>0</v>
      </c>
    </row>
    <row r="112" spans="1:13">
      <c r="A112" s="481" t="s">
        <v>450</v>
      </c>
      <c r="B112" s="481" t="s">
        <v>206</v>
      </c>
      <c r="C112" s="608">
        <v>167</v>
      </c>
      <c r="D112" s="481">
        <v>396</v>
      </c>
      <c r="E112" s="481" t="s">
        <v>597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67">
        <v>0</v>
      </c>
      <c r="M112" s="867">
        <v>0</v>
      </c>
    </row>
    <row r="113" spans="1:13">
      <c r="A113" s="481" t="s">
        <v>450</v>
      </c>
      <c r="B113" s="481" t="s">
        <v>354</v>
      </c>
      <c r="C113" s="481">
        <v>110</v>
      </c>
      <c r="D113" s="481">
        <v>5707</v>
      </c>
      <c r="E113" s="481" t="s">
        <v>597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67">
        <v>0</v>
      </c>
      <c r="M113" s="867">
        <v>0</v>
      </c>
    </row>
    <row r="114" spans="1:13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599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67">
        <v>0.35730000000000001</v>
      </c>
      <c r="M114" s="1566">
        <v>0.32969999999999999</v>
      </c>
    </row>
    <row r="115" spans="1:13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597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67">
        <v>0.35730000000000001</v>
      </c>
      <c r="M115" s="1566">
        <v>0.32969999999999999</v>
      </c>
    </row>
    <row r="116" spans="1:13">
      <c r="A116" s="481" t="s">
        <v>412</v>
      </c>
      <c r="B116" s="481" t="s">
        <v>189</v>
      </c>
      <c r="C116" s="481">
        <v>111</v>
      </c>
      <c r="D116" s="481">
        <v>5697</v>
      </c>
      <c r="E116" s="481" t="s">
        <v>597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67">
        <v>0.81359999999999999</v>
      </c>
      <c r="M116" s="1566">
        <v>0.61460000000000004</v>
      </c>
    </row>
    <row r="117" spans="1:13">
      <c r="A117" s="481" t="s">
        <v>340</v>
      </c>
      <c r="B117" s="481" t="s">
        <v>178</v>
      </c>
      <c r="C117" s="481">
        <v>135</v>
      </c>
      <c r="D117" s="481">
        <v>2937</v>
      </c>
      <c r="E117" s="481" t="s">
        <v>597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67">
        <v>0</v>
      </c>
      <c r="M117" s="867">
        <v>0</v>
      </c>
    </row>
    <row r="118" spans="1:13">
      <c r="A118" s="481" t="s">
        <v>340</v>
      </c>
      <c r="B118" s="481" t="s">
        <v>164</v>
      </c>
      <c r="C118" s="481">
        <v>145</v>
      </c>
      <c r="D118" s="481">
        <v>385</v>
      </c>
      <c r="E118" s="481" t="s">
        <v>597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67">
        <v>0</v>
      </c>
      <c r="M118" s="867">
        <v>0</v>
      </c>
    </row>
    <row r="119" spans="1:13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599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67">
        <v>0.59</v>
      </c>
      <c r="M119" s="1566">
        <v>0.59</v>
      </c>
    </row>
    <row r="120" spans="1:13">
      <c r="A120" s="481" t="s">
        <v>421</v>
      </c>
      <c r="B120" s="481" t="s">
        <v>189</v>
      </c>
      <c r="C120" s="481">
        <v>111</v>
      </c>
      <c r="D120" s="481">
        <v>5697</v>
      </c>
      <c r="E120" s="481" t="s">
        <v>597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67">
        <v>0.42730000000000001</v>
      </c>
      <c r="M120" s="1566">
        <v>0.42730000000000001</v>
      </c>
    </row>
    <row r="121" spans="1:13">
      <c r="A121" s="481" t="s">
        <v>421</v>
      </c>
      <c r="B121" s="481" t="s">
        <v>189</v>
      </c>
      <c r="C121" s="481">
        <v>111</v>
      </c>
      <c r="D121" s="481">
        <v>5697</v>
      </c>
      <c r="E121" s="481" t="s">
        <v>599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67">
        <v>0.42730000000000001</v>
      </c>
      <c r="M121" s="1566">
        <v>0.42730000000000001</v>
      </c>
    </row>
    <row r="122" spans="1:13">
      <c r="A122" s="481" t="s">
        <v>421</v>
      </c>
      <c r="B122" s="509" t="s">
        <v>425</v>
      </c>
      <c r="C122" s="509">
        <v>144</v>
      </c>
      <c r="D122" s="509">
        <v>86</v>
      </c>
      <c r="E122" s="481" t="s">
        <v>597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67">
        <v>0.42730000000000001</v>
      </c>
      <c r="M122" s="1566">
        <v>0.42730000000000001</v>
      </c>
    </row>
    <row r="123" spans="1:13">
      <c r="A123" s="481" t="s">
        <v>461</v>
      </c>
      <c r="B123" s="481" t="s">
        <v>206</v>
      </c>
      <c r="C123" s="608">
        <v>167</v>
      </c>
      <c r="D123" s="608">
        <v>396</v>
      </c>
      <c r="E123" s="481" t="s">
        <v>597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67">
        <v>0</v>
      </c>
      <c r="M123" s="867">
        <v>0</v>
      </c>
    </row>
    <row r="124" spans="1:13">
      <c r="A124" s="481" t="s">
        <v>461</v>
      </c>
      <c r="B124" s="481" t="s">
        <v>206</v>
      </c>
      <c r="C124" s="608">
        <v>167</v>
      </c>
      <c r="D124" s="608">
        <v>396</v>
      </c>
      <c r="E124" s="481" t="s">
        <v>599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67">
        <v>0</v>
      </c>
      <c r="M124" s="867">
        <v>0</v>
      </c>
    </row>
    <row r="125" spans="1:13">
      <c r="A125" s="481" t="s">
        <v>428</v>
      </c>
      <c r="B125" s="481" t="s">
        <v>189</v>
      </c>
      <c r="C125" s="481">
        <v>111</v>
      </c>
      <c r="D125" s="481">
        <v>5697</v>
      </c>
      <c r="E125" s="481" t="s">
        <v>597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67">
        <v>3.3399999999999999E-2</v>
      </c>
      <c r="M125" s="1566">
        <v>3.3399999999999999E-2</v>
      </c>
    </row>
    <row r="126" spans="1:13">
      <c r="A126" s="481" t="s">
        <v>433</v>
      </c>
      <c r="B126" s="481" t="s">
        <v>189</v>
      </c>
      <c r="C126" s="481">
        <v>111</v>
      </c>
      <c r="D126" s="481">
        <v>5697</v>
      </c>
      <c r="E126" s="481" t="s">
        <v>597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67">
        <v>0</v>
      </c>
      <c r="M126" s="867">
        <v>0</v>
      </c>
    </row>
    <row r="127" spans="1:13">
      <c r="A127" s="481" t="s">
        <v>466</v>
      </c>
      <c r="B127" s="481" t="s">
        <v>206</v>
      </c>
      <c r="C127" s="608">
        <v>167</v>
      </c>
      <c r="D127" s="608">
        <v>396</v>
      </c>
      <c r="E127" s="481" t="s">
        <v>602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67">
        <v>0</v>
      </c>
      <c r="M127" s="867">
        <v>0</v>
      </c>
    </row>
    <row r="128" spans="1:13">
      <c r="A128" s="481" t="s">
        <v>466</v>
      </c>
      <c r="B128" s="481" t="s">
        <v>206</v>
      </c>
      <c r="C128" s="608">
        <v>167</v>
      </c>
      <c r="D128" s="608">
        <v>396</v>
      </c>
      <c r="E128" s="481" t="s">
        <v>599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67">
        <v>0</v>
      </c>
      <c r="M128" s="867">
        <v>0</v>
      </c>
    </row>
    <row r="129" spans="1:14">
      <c r="A129" s="481" t="s">
        <v>466</v>
      </c>
      <c r="B129" s="481" t="s">
        <v>206</v>
      </c>
      <c r="C129" s="608">
        <v>167</v>
      </c>
      <c r="D129" s="608">
        <v>396</v>
      </c>
      <c r="E129" s="481" t="s">
        <v>597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67">
        <v>0</v>
      </c>
      <c r="M129" s="867">
        <v>0</v>
      </c>
    </row>
    <row r="130" spans="1:14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597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67">
        <v>0.28499999999999998</v>
      </c>
      <c r="M130" s="1566">
        <v>0.28499999999999998</v>
      </c>
    </row>
    <row r="131" spans="1:14">
      <c r="A131" s="481" t="s">
        <v>477</v>
      </c>
      <c r="B131" s="481" t="s">
        <v>206</v>
      </c>
      <c r="C131" s="608">
        <v>167</v>
      </c>
      <c r="D131" s="608">
        <v>396</v>
      </c>
      <c r="E131" s="481" t="s">
        <v>597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67">
        <v>0.214</v>
      </c>
      <c r="M131" s="1566">
        <v>0.214</v>
      </c>
    </row>
    <row r="132" spans="1:14">
      <c r="A132" s="481" t="s">
        <v>477</v>
      </c>
      <c r="B132" s="481" t="s">
        <v>206</v>
      </c>
      <c r="C132" s="608">
        <v>167</v>
      </c>
      <c r="D132" s="608">
        <v>396</v>
      </c>
      <c r="E132" s="481" t="s">
        <v>604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67">
        <v>2.07E-2</v>
      </c>
      <c r="M132" s="1566">
        <v>2.07E-2</v>
      </c>
    </row>
    <row r="133" spans="1:14">
      <c r="A133" s="481" t="s">
        <v>367</v>
      </c>
      <c r="B133" s="487" t="s">
        <v>163</v>
      </c>
      <c r="C133" s="481">
        <v>103</v>
      </c>
      <c r="D133" s="481">
        <v>383</v>
      </c>
      <c r="E133" s="481" t="s">
        <v>597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6">
        <v>0.38529999999999998</v>
      </c>
      <c r="L133" s="867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597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6">
        <v>0.38030000000000003</v>
      </c>
      <c r="L134" s="867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>
      <c r="A135" s="481" t="s">
        <v>390</v>
      </c>
      <c r="B135" s="481" t="s">
        <v>206</v>
      </c>
      <c r="C135" s="608">
        <v>167</v>
      </c>
      <c r="D135" s="608">
        <v>396</v>
      </c>
      <c r="E135" s="481" t="s">
        <v>597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6">
        <v>0.1401</v>
      </c>
      <c r="L135" s="867">
        <v>0.1401</v>
      </c>
      <c r="M135" s="1566">
        <v>0.1401</v>
      </c>
    </row>
    <row r="136" spans="1:14">
      <c r="A136" s="481" t="s">
        <v>494</v>
      </c>
      <c r="B136" s="481" t="s">
        <v>206</v>
      </c>
      <c r="C136" s="608">
        <v>167</v>
      </c>
      <c r="D136" s="608">
        <v>396</v>
      </c>
      <c r="E136" s="481" t="s">
        <v>597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6">
        <v>0.22370000000000001</v>
      </c>
      <c r="L136" s="867">
        <v>0.1273</v>
      </c>
      <c r="M136" s="1566">
        <v>0</v>
      </c>
    </row>
    <row r="137" spans="1:14">
      <c r="A137" s="481" t="s">
        <v>291</v>
      </c>
      <c r="B137" s="481" t="s">
        <v>607</v>
      </c>
      <c r="C137" s="481">
        <v>132</v>
      </c>
      <c r="D137" s="481">
        <v>2866</v>
      </c>
      <c r="E137" s="481" t="s">
        <v>601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6">
        <v>0.42030000000000001</v>
      </c>
      <c r="L137" s="867">
        <v>0.33839999999999998</v>
      </c>
      <c r="M137" s="1566">
        <v>0.33839999999999998</v>
      </c>
    </row>
    <row r="138" spans="1:14">
      <c r="A138" s="481" t="s">
        <v>291</v>
      </c>
      <c r="B138" s="481" t="s">
        <v>607</v>
      </c>
      <c r="C138" s="481">
        <v>132</v>
      </c>
      <c r="D138" s="481">
        <v>2866</v>
      </c>
      <c r="E138" s="481" t="s">
        <v>597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6">
        <v>0.4153</v>
      </c>
      <c r="L138" s="867">
        <v>0.33839999999999998</v>
      </c>
      <c r="M138" s="1566">
        <v>0.33839999999999998</v>
      </c>
    </row>
    <row r="139" spans="1:14">
      <c r="A139" s="481" t="s">
        <v>510</v>
      </c>
      <c r="B139" s="481" t="s">
        <v>608</v>
      </c>
      <c r="C139" s="481">
        <v>145</v>
      </c>
      <c r="D139" s="481">
        <v>385</v>
      </c>
      <c r="E139" s="481" t="s">
        <v>597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6">
        <v>4.3299999999999998E-2</v>
      </c>
      <c r="L139" s="867">
        <v>0</v>
      </c>
      <c r="M139" s="867">
        <v>0</v>
      </c>
    </row>
    <row r="140" spans="1:14">
      <c r="A140" s="481" t="s">
        <v>510</v>
      </c>
      <c r="B140" s="481" t="s">
        <v>150</v>
      </c>
      <c r="C140" s="481">
        <v>136</v>
      </c>
      <c r="D140" s="481">
        <v>63</v>
      </c>
      <c r="E140" s="481" t="s">
        <v>597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6">
        <v>4.3299999999999998E-2</v>
      </c>
      <c r="L140" s="867">
        <v>0</v>
      </c>
      <c r="M140" s="867">
        <v>0</v>
      </c>
    </row>
    <row r="141" spans="1:14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602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6">
        <v>0.3735</v>
      </c>
      <c r="L141" s="867">
        <v>0.29289999999999999</v>
      </c>
      <c r="M141" s="1566">
        <v>0.29289999999999999</v>
      </c>
    </row>
    <row r="142" spans="1:14">
      <c r="A142" s="481" t="s">
        <v>472</v>
      </c>
      <c r="B142" s="481" t="s">
        <v>189</v>
      </c>
      <c r="C142" s="481">
        <v>111</v>
      </c>
      <c r="D142" s="481">
        <v>5697</v>
      </c>
      <c r="E142" s="481" t="s">
        <v>597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6">
        <v>0.34079999999999999</v>
      </c>
      <c r="L142" s="867">
        <v>0.25679999999999997</v>
      </c>
      <c r="M142" s="1566">
        <v>0</v>
      </c>
    </row>
    <row r="143" spans="1:14">
      <c r="A143" s="481" t="s">
        <v>521</v>
      </c>
      <c r="B143" s="481" t="s">
        <v>189</v>
      </c>
      <c r="C143" s="481">
        <v>111</v>
      </c>
      <c r="D143" s="481">
        <v>5697</v>
      </c>
      <c r="E143" s="481" t="s">
        <v>602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6">
        <v>0.28170000000000001</v>
      </c>
      <c r="L143" s="867">
        <v>0.25019999999999998</v>
      </c>
      <c r="M143" s="1566">
        <v>0.25019999999999998</v>
      </c>
    </row>
    <row r="144" spans="1:14">
      <c r="A144" s="481" t="s">
        <v>556</v>
      </c>
      <c r="B144" s="481" t="s">
        <v>189</v>
      </c>
      <c r="C144" s="481">
        <v>111</v>
      </c>
      <c r="D144" s="481">
        <v>5697</v>
      </c>
      <c r="E144" s="481" t="s">
        <v>597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6">
        <v>0.16650000000000001</v>
      </c>
      <c r="L144" s="867">
        <v>0.1057</v>
      </c>
      <c r="M144" s="1566">
        <v>0.1057</v>
      </c>
    </row>
    <row r="145" spans="1:50">
      <c r="A145" s="481" t="s">
        <v>10</v>
      </c>
      <c r="B145" s="481" t="s">
        <v>354</v>
      </c>
      <c r="C145" s="481">
        <v>110</v>
      </c>
      <c r="D145" s="481">
        <v>5707</v>
      </c>
      <c r="E145" s="481" t="s">
        <v>597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6">
        <v>0.33779999999999999</v>
      </c>
      <c r="L145" s="867">
        <v>0.20419999999999999</v>
      </c>
      <c r="M145" s="1566">
        <v>9.0499999999999997E-2</v>
      </c>
    </row>
    <row r="146" spans="1:50">
      <c r="A146" s="481" t="s">
        <v>11</v>
      </c>
      <c r="B146" s="481" t="s">
        <v>354</v>
      </c>
      <c r="C146" s="481">
        <v>110</v>
      </c>
      <c r="D146" s="481">
        <v>5707</v>
      </c>
      <c r="E146" s="481" t="s">
        <v>597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6">
        <v>0.48630000000000001</v>
      </c>
      <c r="L146" s="867">
        <v>0.37609999999999999</v>
      </c>
      <c r="M146" s="1566">
        <v>0.37609999999999999</v>
      </c>
    </row>
    <row r="147" spans="1:50">
      <c r="A147" s="481" t="s">
        <v>328</v>
      </c>
      <c r="B147" s="481" t="s">
        <v>150</v>
      </c>
      <c r="C147" s="481">
        <v>136</v>
      </c>
      <c r="D147" s="481">
        <v>63</v>
      </c>
      <c r="E147" s="481" t="s">
        <v>602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6">
        <v>0.18690000000000001</v>
      </c>
      <c r="L147" s="867">
        <v>0.1603</v>
      </c>
      <c r="M147" s="511">
        <v>0</v>
      </c>
    </row>
    <row r="148" spans="1:50">
      <c r="A148" s="481" t="s">
        <v>328</v>
      </c>
      <c r="B148" s="481" t="s">
        <v>164</v>
      </c>
      <c r="C148" s="481">
        <v>145</v>
      </c>
      <c r="D148" s="481">
        <v>385</v>
      </c>
      <c r="E148" s="481" t="s">
        <v>597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6">
        <v>0.18690000000000001</v>
      </c>
      <c r="L148" s="867">
        <v>0.1603</v>
      </c>
      <c r="M148" s="511">
        <v>0</v>
      </c>
    </row>
    <row r="149" spans="1:50">
      <c r="A149" s="481" t="s">
        <v>321</v>
      </c>
      <c r="B149" s="481" t="s">
        <v>206</v>
      </c>
      <c r="C149" s="481">
        <v>167</v>
      </c>
      <c r="D149" s="481">
        <v>396</v>
      </c>
      <c r="E149" s="481" t="s">
        <v>597</v>
      </c>
      <c r="F149" s="481" t="str">
        <f>CONCATENATE(DescontosTE[[#This Row],[Permissionária]],DescontosTE[[#This Row],[codsariSUP]],DescontosTE[[#This Row],[Classe]])</f>
        <v>Celetro396A4</v>
      </c>
      <c r="G149" s="868"/>
      <c r="H149" s="868"/>
      <c r="I149" s="868"/>
      <c r="J149" s="513"/>
      <c r="K149" s="816"/>
      <c r="L149" s="867">
        <v>0.1426</v>
      </c>
      <c r="M149" s="1566">
        <v>0.1426</v>
      </c>
      <c r="AS149" s="859"/>
      <c r="AX149" s="859"/>
    </row>
    <row r="150" spans="1:50">
      <c r="A150" s="481" t="s">
        <v>321</v>
      </c>
      <c r="B150" s="481" t="s">
        <v>609</v>
      </c>
      <c r="C150" s="481">
        <v>164</v>
      </c>
      <c r="D150" s="481">
        <v>400</v>
      </c>
      <c r="E150" s="481" t="s">
        <v>597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566">
        <v>0.1426</v>
      </c>
      <c r="AS150" s="859"/>
      <c r="AX150" s="859"/>
    </row>
    <row r="154" spans="1:50">
      <c r="A154" s="656" t="s">
        <v>610</v>
      </c>
    </row>
    <row r="156" spans="1:50">
      <c r="A156" s="9" t="s">
        <v>22</v>
      </c>
      <c r="B156" s="657" t="s">
        <v>239</v>
      </c>
      <c r="C156" t="s">
        <v>611</v>
      </c>
      <c r="D156" s="9" t="s">
        <v>612</v>
      </c>
      <c r="E156" s="9" t="s">
        <v>613</v>
      </c>
      <c r="F156" t="s">
        <v>614</v>
      </c>
      <c r="G156" t="s">
        <v>590</v>
      </c>
      <c r="H156" t="s">
        <v>591</v>
      </c>
      <c r="I156" t="s">
        <v>592</v>
      </c>
      <c r="J156" t="s">
        <v>593</v>
      </c>
      <c r="K156" t="s">
        <v>594</v>
      </c>
      <c r="L156" t="s">
        <v>595</v>
      </c>
      <c r="M156" t="s">
        <v>596</v>
      </c>
      <c r="N156" t="s">
        <v>2165</v>
      </c>
    </row>
    <row r="157" spans="1:50">
      <c r="A157" s="9" t="s">
        <v>585</v>
      </c>
      <c r="B157" s="658" t="s">
        <v>280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4">
        <v>585.49</v>
      </c>
      <c r="L157">
        <v>716.79000000000008</v>
      </c>
      <c r="M157" s="417">
        <v>802.08</v>
      </c>
    </row>
    <row r="158" spans="1:50">
      <c r="A158" s="9" t="s">
        <v>585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4">
        <v>750.67</v>
      </c>
      <c r="L158">
        <v>694.52</v>
      </c>
      <c r="M158" s="417">
        <v>683.87</v>
      </c>
    </row>
    <row r="159" spans="1:50">
      <c r="A159" s="9" t="s">
        <v>585</v>
      </c>
      <c r="B159" s="658" t="s">
        <v>297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4">
        <v>687.25</v>
      </c>
      <c r="L159">
        <v>653.32000000000005</v>
      </c>
      <c r="M159" s="417">
        <v>636.51</v>
      </c>
    </row>
    <row r="160" spans="1:50">
      <c r="A160" s="9" t="s">
        <v>585</v>
      </c>
      <c r="B160" s="659" t="s">
        <v>303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4">
        <v>521.09</v>
      </c>
      <c r="L160">
        <v>586.86</v>
      </c>
      <c r="M160">
        <v>663.81999999999994</v>
      </c>
    </row>
    <row r="161" spans="1:13">
      <c r="A161" s="9" t="s">
        <v>585</v>
      </c>
      <c r="B161" s="658" t="s">
        <v>309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4">
        <v>531.81000000000006</v>
      </c>
      <c r="L161">
        <v>604.55999999999995</v>
      </c>
      <c r="M161" s="417">
        <v>688.71</v>
      </c>
    </row>
    <row r="162" spans="1:13">
      <c r="A162" s="9" t="s">
        <v>585</v>
      </c>
      <c r="B162" s="659" t="s">
        <v>316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4">
        <v>627.79</v>
      </c>
      <c r="L162">
        <f>419.13+242.86</f>
        <v>661.99</v>
      </c>
      <c r="M162" s="417">
        <v>820.92</v>
      </c>
    </row>
    <row r="163" spans="1:13">
      <c r="A163" s="9" t="s">
        <v>585</v>
      </c>
      <c r="B163" s="658" t="s">
        <v>322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4">
        <v>550.73</v>
      </c>
      <c r="L163">
        <f>343.12+245.73</f>
        <v>588.85</v>
      </c>
      <c r="M163" s="417">
        <v>603.04999999999995</v>
      </c>
    </row>
    <row r="164" spans="1:13">
      <c r="A164" s="9" t="s">
        <v>585</v>
      </c>
      <c r="B164" s="659" t="s">
        <v>329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4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585</v>
      </c>
      <c r="B165" s="658" t="s">
        <v>334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4">
        <v>589.30000000000007</v>
      </c>
      <c r="L165">
        <v>631.75</v>
      </c>
      <c r="M165" s="417">
        <v>678.01</v>
      </c>
    </row>
    <row r="166" spans="1:13">
      <c r="A166" s="9" t="s">
        <v>585</v>
      </c>
      <c r="B166" s="659" t="s">
        <v>340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4">
        <v>697.1</v>
      </c>
      <c r="L166">
        <f>452.4+266.08</f>
        <v>718.48</v>
      </c>
      <c r="M166" s="417">
        <v>711.11</v>
      </c>
    </row>
    <row r="167" spans="1:13">
      <c r="A167" s="9" t="s">
        <v>585</v>
      </c>
      <c r="B167" s="658" t="s">
        <v>315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4">
        <v>616.29</v>
      </c>
      <c r="L167">
        <v>657.39</v>
      </c>
      <c r="M167" s="417">
        <v>548.54000000000008</v>
      </c>
    </row>
    <row r="168" spans="1:13">
      <c r="A168" s="9" t="s">
        <v>585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4">
        <v>682.83</v>
      </c>
      <c r="L168">
        <v>725.14</v>
      </c>
      <c r="M168" s="417">
        <v>632.80000000000007</v>
      </c>
    </row>
    <row r="169" spans="1:13">
      <c r="A169" s="9" t="s">
        <v>585</v>
      </c>
      <c r="B169" s="658" t="s">
        <v>339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4">
        <v>496.86</v>
      </c>
      <c r="L169">
        <v>511.66</v>
      </c>
      <c r="M169" s="417">
        <v>518.32999999999993</v>
      </c>
    </row>
    <row r="170" spans="1:13">
      <c r="A170" s="9" t="s">
        <v>585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4">
        <v>663.57999999999993</v>
      </c>
      <c r="L170">
        <v>677.53</v>
      </c>
      <c r="M170" s="417">
        <v>632.93999999999994</v>
      </c>
    </row>
    <row r="171" spans="1:13">
      <c r="A171" s="9" t="s">
        <v>585</v>
      </c>
      <c r="B171" s="658" t="s">
        <v>362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4">
        <v>544.1</v>
      </c>
      <c r="L171">
        <v>589.07999999999993</v>
      </c>
      <c r="M171" s="661">
        <v>561.9</v>
      </c>
    </row>
    <row r="172" spans="1:13">
      <c r="A172" s="9" t="s">
        <v>585</v>
      </c>
      <c r="B172" s="659" t="s">
        <v>373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4">
        <v>580.39</v>
      </c>
      <c r="L172">
        <v>610.34</v>
      </c>
      <c r="M172" s="417">
        <v>628.70000000000005</v>
      </c>
    </row>
    <row r="173" spans="1:13">
      <c r="A173" s="9" t="s">
        <v>585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4">
        <v>655.47</v>
      </c>
      <c r="L173">
        <v>654.13</v>
      </c>
      <c r="M173" s="417">
        <v>721.68</v>
      </c>
    </row>
    <row r="174" spans="1:13">
      <c r="A174" s="9" t="s">
        <v>585</v>
      </c>
      <c r="B174" s="659" t="s">
        <v>384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4">
        <v>523.83000000000004</v>
      </c>
      <c r="L174">
        <v>545.07000000000005</v>
      </c>
      <c r="M174" s="417">
        <v>563.88</v>
      </c>
    </row>
    <row r="175" spans="1:13">
      <c r="A175" s="9" t="s">
        <v>585</v>
      </c>
      <c r="B175" s="658" t="s">
        <v>391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4">
        <v>559.04</v>
      </c>
      <c r="L175">
        <v>605.22</v>
      </c>
      <c r="M175" s="417">
        <v>641.27</v>
      </c>
    </row>
    <row r="176" spans="1:13">
      <c r="A176" s="9" t="s">
        <v>585</v>
      </c>
      <c r="B176" s="659" t="s">
        <v>396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4">
        <v>562.51</v>
      </c>
      <c r="L176">
        <v>608.16999999999996</v>
      </c>
      <c r="M176" s="417">
        <v>651.74</v>
      </c>
    </row>
    <row r="177" spans="1:13">
      <c r="A177" s="9" t="s">
        <v>585</v>
      </c>
      <c r="B177" s="658" t="s">
        <v>402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4">
        <v>633.44000000000005</v>
      </c>
      <c r="L177">
        <v>707.06999999999994</v>
      </c>
      <c r="M177" s="417">
        <v>705.72</v>
      </c>
    </row>
    <row r="178" spans="1:13">
      <c r="A178" s="9" t="s">
        <v>585</v>
      </c>
      <c r="B178" s="659" t="s">
        <v>407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4">
        <v>419.84</v>
      </c>
      <c r="L178">
        <v>440.52000000000004</v>
      </c>
      <c r="M178" s="417">
        <v>466</v>
      </c>
    </row>
    <row r="179" spans="1:13">
      <c r="A179" s="9" t="s">
        <v>585</v>
      </c>
      <c r="B179" s="658" t="s">
        <v>412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4">
        <v>620.12</v>
      </c>
      <c r="L179">
        <v>691.03000000000009</v>
      </c>
      <c r="M179" s="417">
        <v>729.03</v>
      </c>
    </row>
    <row r="180" spans="1:13">
      <c r="A180" s="9" t="s">
        <v>585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4">
        <v>387.09</v>
      </c>
      <c r="L180">
        <v>395.17</v>
      </c>
      <c r="M180" s="417">
        <v>403.03</v>
      </c>
    </row>
    <row r="181" spans="1:13">
      <c r="A181" s="9" t="s">
        <v>585</v>
      </c>
      <c r="B181" s="658" t="s">
        <v>421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4">
        <v>468.2</v>
      </c>
      <c r="L181">
        <v>502.33000000000004</v>
      </c>
      <c r="M181" s="417">
        <v>550.72</v>
      </c>
    </row>
    <row r="182" spans="1:13">
      <c r="A182" s="9" t="s">
        <v>585</v>
      </c>
      <c r="B182" s="659" t="s">
        <v>428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4">
        <v>506.32999999999993</v>
      </c>
      <c r="L182">
        <v>538.1</v>
      </c>
      <c r="M182" s="417">
        <v>614.15</v>
      </c>
    </row>
    <row r="183" spans="1:13">
      <c r="A183" s="9" t="s">
        <v>585</v>
      </c>
      <c r="B183" s="658" t="s">
        <v>433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4">
        <v>592.26</v>
      </c>
      <c r="L183">
        <v>622.27</v>
      </c>
      <c r="M183" s="417">
        <v>648.42999999999995</v>
      </c>
    </row>
    <row r="184" spans="1:13">
      <c r="A184" s="9" t="s">
        <v>585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4">
        <v>514.23</v>
      </c>
      <c r="L184">
        <v>496.95</v>
      </c>
      <c r="M184" s="417">
        <v>539.69000000000005</v>
      </c>
    </row>
    <row r="185" spans="1:13">
      <c r="A185" s="9" t="s">
        <v>585</v>
      </c>
      <c r="B185" s="658" t="s">
        <v>438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4">
        <v>666.96</v>
      </c>
      <c r="L185">
        <v>631.15</v>
      </c>
      <c r="M185" s="417">
        <v>604.07000000000005</v>
      </c>
    </row>
    <row r="186" spans="1:13">
      <c r="A186" s="9" t="s">
        <v>585</v>
      </c>
      <c r="B186" s="659" t="s">
        <v>450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4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585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4">
        <v>458.66</v>
      </c>
      <c r="L187">
        <v>484.06</v>
      </c>
      <c r="M187" s="417">
        <v>508.88999999999993</v>
      </c>
    </row>
    <row r="188" spans="1:13">
      <c r="A188" s="9" t="s">
        <v>585</v>
      </c>
      <c r="B188" s="659" t="s">
        <v>461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4">
        <v>503.84</v>
      </c>
      <c r="L188">
        <v>506.04</v>
      </c>
      <c r="M188" s="417">
        <v>514.01</v>
      </c>
    </row>
    <row r="189" spans="1:13">
      <c r="A189" s="9" t="s">
        <v>585</v>
      </c>
      <c r="B189" s="658" t="s">
        <v>466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4">
        <v>571.18000000000006</v>
      </c>
      <c r="L189">
        <f>279.82+218.08</f>
        <v>497.9</v>
      </c>
      <c r="M189" s="417">
        <v>458.09</v>
      </c>
    </row>
    <row r="190" spans="1:13">
      <c r="A190" s="9" t="s">
        <v>585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4">
        <v>592.31999999999994</v>
      </c>
      <c r="L190">
        <v>573.04999999999995</v>
      </c>
      <c r="M190" s="417">
        <v>611.82000000000005</v>
      </c>
    </row>
    <row r="191" spans="1:13">
      <c r="A191" s="9" t="s">
        <v>585</v>
      </c>
      <c r="B191" s="658" t="s">
        <v>477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4">
        <v>607.33000000000004</v>
      </c>
      <c r="L191">
        <v>642.19000000000005</v>
      </c>
      <c r="M191" s="417">
        <v>700.57</v>
      </c>
    </row>
    <row r="192" spans="1:13">
      <c r="A192" s="9" t="s">
        <v>585</v>
      </c>
      <c r="B192" s="659" t="s">
        <v>357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4">
        <v>469.96</v>
      </c>
      <c r="L192">
        <v>496.82</v>
      </c>
      <c r="M192" s="417">
        <v>587.54</v>
      </c>
    </row>
    <row r="193" spans="1:16">
      <c r="A193" s="9" t="s">
        <v>585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4">
        <v>884.76</v>
      </c>
      <c r="L193">
        <f>763.76+204.91</f>
        <v>968.67</v>
      </c>
      <c r="M193">
        <v>1025.47</v>
      </c>
    </row>
    <row r="194" spans="1:16">
      <c r="A194" s="9" t="s">
        <v>585</v>
      </c>
      <c r="B194" s="660" t="s">
        <v>372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4">
        <v>782.78000000000009</v>
      </c>
      <c r="L194">
        <f>513.49+240.36</f>
        <v>753.85</v>
      </c>
      <c r="M194" s="417">
        <v>761.28</v>
      </c>
    </row>
    <row r="195" spans="1:16">
      <c r="A195" s="9" t="s">
        <v>585</v>
      </c>
      <c r="B195" s="509" t="s">
        <v>367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4">
        <v>894.62</v>
      </c>
      <c r="L195">
        <f>765.89+213.34</f>
        <v>979.23</v>
      </c>
      <c r="M195">
        <v>1023.74</v>
      </c>
    </row>
    <row r="196" spans="1:16">
      <c r="A196" s="9" t="s">
        <v>585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4">
        <v>950.33</v>
      </c>
      <c r="L196">
        <v>1054.05</v>
      </c>
      <c r="M196">
        <v>1107.67</v>
      </c>
      <c r="N196" s="234"/>
    </row>
    <row r="197" spans="1:16">
      <c r="A197" s="9" t="s">
        <v>585</v>
      </c>
      <c r="B197" s="509" t="s">
        <v>390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4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585</v>
      </c>
      <c r="B198" s="509" t="s">
        <v>494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4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585</v>
      </c>
      <c r="B199" s="509" t="s">
        <v>291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4">
        <v>350.78999999999996</v>
      </c>
      <c r="L199">
        <v>369.5</v>
      </c>
      <c r="M199" s="417">
        <v>424.29</v>
      </c>
      <c r="N199" s="8"/>
    </row>
    <row r="200" spans="1:16">
      <c r="A200" s="9" t="s">
        <v>585</v>
      </c>
      <c r="B200" s="509" t="s">
        <v>510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4">
        <v>667.26</v>
      </c>
      <c r="L200">
        <v>648.54999999999995</v>
      </c>
      <c r="M200" s="417">
        <v>635.66</v>
      </c>
      <c r="N200" s="8"/>
    </row>
    <row r="201" spans="1:16">
      <c r="A201" s="9" t="s">
        <v>585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4">
        <v>374.59</v>
      </c>
      <c r="L201">
        <v>366.5</v>
      </c>
      <c r="M201" s="417">
        <v>409.78999999999996</v>
      </c>
      <c r="N201" s="8"/>
    </row>
    <row r="202" spans="1:16">
      <c r="A202" s="9" t="s">
        <v>585</v>
      </c>
      <c r="B202" s="509" t="s">
        <v>472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4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585</v>
      </c>
      <c r="B203" s="509" t="s">
        <v>521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4">
        <v>386.85</v>
      </c>
      <c r="L203">
        <v>418.26000000000005</v>
      </c>
      <c r="M203" s="417">
        <v>463.75</v>
      </c>
      <c r="N203" s="8"/>
    </row>
    <row r="204" spans="1:16">
      <c r="A204" s="9" t="s">
        <v>585</v>
      </c>
      <c r="B204" s="509" t="s">
        <v>556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4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585</v>
      </c>
      <c r="B205" s="509" t="s">
        <v>615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4">
        <v>595.43999999999994</v>
      </c>
      <c r="L205">
        <f>413.48+197.81</f>
        <v>611.29</v>
      </c>
      <c r="M205" s="417">
        <v>640.98</v>
      </c>
    </row>
    <row r="206" spans="1:16">
      <c r="A206" s="9" t="s">
        <v>585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4">
        <v>735.09</v>
      </c>
      <c r="L206">
        <f>616.69+148.58</f>
        <v>765.2700000000001</v>
      </c>
      <c r="M206" s="417">
        <v>815.69</v>
      </c>
    </row>
    <row r="207" spans="1:16">
      <c r="A207" s="266" t="s">
        <v>585</v>
      </c>
      <c r="B207" s="810" t="s">
        <v>328</v>
      </c>
      <c r="C207" s="234"/>
      <c r="D207" s="234"/>
      <c r="E207" s="234"/>
      <c r="F207" s="234"/>
      <c r="G207" s="234"/>
      <c r="H207" s="234"/>
      <c r="K207" s="814">
        <v>470.82</v>
      </c>
      <c r="L207">
        <f>281.75+226.45</f>
        <v>508.2</v>
      </c>
      <c r="M207" s="417">
        <v>536.98</v>
      </c>
    </row>
    <row r="208" spans="1:16">
      <c r="A208" s="266" t="s">
        <v>585</v>
      </c>
      <c r="B208" s="810" t="s">
        <v>321</v>
      </c>
      <c r="C208" s="234"/>
      <c r="D208" s="234"/>
      <c r="E208" s="234"/>
      <c r="F208" s="234"/>
      <c r="G208" s="234"/>
      <c r="H208" s="234"/>
      <c r="K208" s="814"/>
      <c r="L208">
        <f>357.76+231.81</f>
        <v>589.56999999999994</v>
      </c>
      <c r="M208" s="417">
        <v>677.96999999999991</v>
      </c>
      <c r="O208" s="854" t="s">
        <v>616</v>
      </c>
      <c r="P208" s="855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4">
        <f>397.32+270.9</f>
        <v>668.22</v>
      </c>
      <c r="L209">
        <v>683.67</v>
      </c>
      <c r="M209" s="520">
        <v>714.43999999999994</v>
      </c>
      <c r="N209">
        <v>838.02</v>
      </c>
      <c r="O209" s="854" t="s">
        <v>617</v>
      </c>
      <c r="P209" s="855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4">
        <v>469.78</v>
      </c>
      <c r="L210">
        <v>505.99000000000007</v>
      </c>
      <c r="M210" s="417">
        <v>532.24</v>
      </c>
      <c r="O210" s="854" t="s">
        <v>618</v>
      </c>
      <c r="P210" s="855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54" t="s">
        <v>619</v>
      </c>
      <c r="P211" s="855" t="e">
        <v>#N/A</v>
      </c>
    </row>
    <row r="212" spans="1:50">
      <c r="A212" s="9" t="s">
        <v>27</v>
      </c>
      <c r="B212" s="487" t="s">
        <v>600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4">
        <v>517.61</v>
      </c>
      <c r="L212">
        <v>512.77</v>
      </c>
      <c r="M212" s="417">
        <v>558.81000000000006</v>
      </c>
      <c r="O212" s="854" t="s">
        <v>620</v>
      </c>
      <c r="P212" s="855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4">
        <v>523.02</v>
      </c>
      <c r="L213">
        <v>550.20000000000005</v>
      </c>
      <c r="M213">
        <v>595.66</v>
      </c>
      <c r="N213">
        <v>678.65</v>
      </c>
      <c r="O213" s="854" t="s">
        <v>621</v>
      </c>
      <c r="P213" s="855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4">
        <v>490.18</v>
      </c>
      <c r="L214">
        <v>533.54999999999995</v>
      </c>
      <c r="M214" s="417">
        <v>619.94000000000005</v>
      </c>
      <c r="O214" s="854" t="s">
        <v>622</v>
      </c>
      <c r="P214" s="855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4">
        <f>303.99+243.7</f>
        <v>547.69000000000005</v>
      </c>
      <c r="L215">
        <v>541.15</v>
      </c>
      <c r="M215" s="860">
        <v>564.97</v>
      </c>
      <c r="N215">
        <v>606.77</v>
      </c>
      <c r="O215" s="854" t="s">
        <v>623</v>
      </c>
      <c r="P215" s="855" t="e">
        <v>#N/A</v>
      </c>
    </row>
    <row r="216" spans="1:50">
      <c r="A216" s="9" t="s">
        <v>27</v>
      </c>
      <c r="B216" s="487" t="s">
        <v>286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4">
        <v>525.73</v>
      </c>
      <c r="L216" s="661">
        <v>546.10945347732809</v>
      </c>
      <c r="M216" s="417">
        <v>635.92000000000007</v>
      </c>
      <c r="N216" s="852"/>
      <c r="O216" s="854" t="s">
        <v>624</v>
      </c>
      <c r="P216" s="855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4">
        <v>531.87</v>
      </c>
      <c r="L217" s="661">
        <v>555.04999999999995</v>
      </c>
      <c r="M217" s="417">
        <v>622.58000000000004</v>
      </c>
      <c r="O217" s="854" t="s">
        <v>625</v>
      </c>
      <c r="P217" s="855" t="e">
        <v>#N/A</v>
      </c>
    </row>
    <row r="218" spans="1:50">
      <c r="A218" s="9" t="s">
        <v>27</v>
      </c>
      <c r="B218" s="487" t="s">
        <v>313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4">
        <v>515.59</v>
      </c>
      <c r="L218" s="661">
        <v>534.19000000000005</v>
      </c>
      <c r="M218" s="417">
        <v>594.49</v>
      </c>
      <c r="O218" s="854" t="s">
        <v>626</v>
      </c>
      <c r="P218" s="855" t="e">
        <v>#N/A</v>
      </c>
    </row>
    <row r="219" spans="1:50">
      <c r="A219" s="9" t="s">
        <v>27</v>
      </c>
      <c r="B219" s="487" t="s">
        <v>603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4">
        <v>530.72</v>
      </c>
      <c r="L219" s="661">
        <v>535.51</v>
      </c>
      <c r="M219" s="234">
        <v>580.43681504518099</v>
      </c>
      <c r="N219">
        <v>677.99</v>
      </c>
      <c r="O219" s="854" t="s">
        <v>627</v>
      </c>
      <c r="P219" s="855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4">
        <v>560.27</v>
      </c>
      <c r="L220" s="661">
        <v>589.57000000000005</v>
      </c>
      <c r="M220" s="417">
        <v>643.09</v>
      </c>
      <c r="O220" s="854" t="s">
        <v>628</v>
      </c>
      <c r="P220" s="855" t="e">
        <v>#N/A</v>
      </c>
    </row>
    <row r="221" spans="1:50">
      <c r="A221" t="s">
        <v>27</v>
      </c>
      <c r="B221" s="481" t="s">
        <v>354</v>
      </c>
      <c r="J221">
        <v>547.6</v>
      </c>
      <c r="K221" s="814">
        <v>515.07000000000005</v>
      </c>
      <c r="L221">
        <v>548.96999999999991</v>
      </c>
      <c r="M221" s="417">
        <v>629.70000000000005</v>
      </c>
      <c r="O221" s="854" t="s">
        <v>629</v>
      </c>
      <c r="P221" s="855" t="e">
        <v>#N/A</v>
      </c>
    </row>
    <row r="222" spans="1:50">
      <c r="A222" t="s">
        <v>27</v>
      </c>
      <c r="B222" s="481" t="s">
        <v>609</v>
      </c>
      <c r="K222" s="814"/>
      <c r="L222">
        <v>571.71</v>
      </c>
      <c r="M222" s="417">
        <v>605.55000000000007</v>
      </c>
      <c r="O222" s="854" t="s">
        <v>630</v>
      </c>
      <c r="P222" s="869" t="e">
        <v>#N/A</v>
      </c>
      <c r="AS222" s="859"/>
      <c r="AX222" s="859"/>
    </row>
    <row r="223" spans="1:50">
      <c r="O223" s="854" t="s">
        <v>631</v>
      </c>
      <c r="P223" s="855" t="e">
        <v>#N/A</v>
      </c>
    </row>
    <row r="224" spans="1:50">
      <c r="O224" s="854" t="s">
        <v>632</v>
      </c>
      <c r="P224" s="855" t="e">
        <v>#N/A</v>
      </c>
    </row>
    <row r="225" spans="11:16">
      <c r="K225" s="855">
        <v>547.69000000000005</v>
      </c>
      <c r="O225" s="854" t="s">
        <v>633</v>
      </c>
      <c r="P225" s="855" t="e">
        <v>#N/A</v>
      </c>
    </row>
    <row r="226" spans="11:16">
      <c r="O226" s="854" t="s">
        <v>634</v>
      </c>
      <c r="P226" s="855" t="e">
        <v>#N/A</v>
      </c>
    </row>
    <row r="227" spans="11:16">
      <c r="O227" s="854" t="s">
        <v>635</v>
      </c>
      <c r="P227" s="856" t="e">
        <v>#N/A</v>
      </c>
    </row>
    <row r="228" spans="11:16">
      <c r="O228" s="854" t="s">
        <v>636</v>
      </c>
      <c r="P228" s="856" t="e">
        <v>#N/A</v>
      </c>
    </row>
    <row r="229" spans="11:16">
      <c r="O229" s="854" t="s">
        <v>637</v>
      </c>
      <c r="P229" s="856" t="e">
        <v>#N/A</v>
      </c>
    </row>
    <row r="230" spans="11:16">
      <c r="O230" s="854" t="s">
        <v>638</v>
      </c>
      <c r="P230" s="856" t="e">
        <v>#N/A</v>
      </c>
    </row>
    <row r="231" spans="11:16">
      <c r="O231" s="854" t="s">
        <v>639</v>
      </c>
      <c r="P231" s="856" t="e">
        <v>#N/A</v>
      </c>
    </row>
    <row r="232" spans="11:16">
      <c r="O232" s="854" t="s">
        <v>640</v>
      </c>
      <c r="P232" s="856" t="e">
        <v>#N/A</v>
      </c>
    </row>
    <row r="233" spans="11:16">
      <c r="O233" s="854" t="s">
        <v>641</v>
      </c>
      <c r="P233" s="856" t="e">
        <v>#N/A</v>
      </c>
    </row>
    <row r="234" spans="11:16">
      <c r="O234" s="854" t="s">
        <v>642</v>
      </c>
      <c r="P234" s="856" t="e">
        <v>#N/A</v>
      </c>
    </row>
    <row r="235" spans="11:16">
      <c r="O235" s="854" t="s">
        <v>643</v>
      </c>
      <c r="P235" s="856">
        <v>979.23</v>
      </c>
    </row>
    <row r="236" spans="11:16">
      <c r="O236" s="854" t="s">
        <v>644</v>
      </c>
      <c r="P236" s="856">
        <v>1054.05</v>
      </c>
    </row>
  </sheetData>
  <sortState xmlns:xlrd2="http://schemas.microsoft.com/office/spreadsheetml/2017/richdata2" ref="AR10:AR61">
    <sortCondition ref="AR10:AR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E16" zoomScale="91" zoomScaleNormal="91" workbookViewId="0">
      <selection activeCell="M22" sqref="M22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38" t="s">
        <v>2188</v>
      </c>
      <c r="C1" s="1039"/>
      <c r="D1" s="1039"/>
      <c r="M1" s="547"/>
      <c r="P1" s="892" t="str">
        <f>IF((VLOOKUP(LnkTXTSigla,Informacoes[],5,FALSE))="8.4","VERDADEIRO","FALSO")</f>
        <v>VERDADEIRO</v>
      </c>
      <c r="Q1" s="892" t="s">
        <v>645</v>
      </c>
      <c r="BA1" s="485"/>
      <c r="BB1" s="485"/>
      <c r="BC1" s="485"/>
      <c r="BD1" s="485"/>
    </row>
    <row r="2" spans="1:84" ht="25.5">
      <c r="B2" s="548" t="str">
        <f>CAPA!C9</f>
        <v>Cooperluz</v>
      </c>
      <c r="C2" s="638"/>
      <c r="D2" s="549"/>
      <c r="E2" s="589" t="s">
        <v>646</v>
      </c>
      <c r="F2" s="589"/>
      <c r="G2" s="589"/>
      <c r="H2" s="616"/>
      <c r="M2" s="547"/>
      <c r="AK2" s="486"/>
      <c r="AZ2" s="1786" t="s">
        <v>647</v>
      </c>
      <c r="BA2" s="1787"/>
      <c r="BB2" s="1787"/>
      <c r="BC2" s="1787"/>
      <c r="BD2" s="1787"/>
      <c r="BE2" s="1787"/>
      <c r="BF2" s="1787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2162</v>
      </c>
      <c r="F3" s="584"/>
      <c r="G3" s="584"/>
      <c r="H3" s="537"/>
      <c r="M3" s="547"/>
      <c r="O3" s="381">
        <f>VALUE(RIGHT(P3,2))</f>
        <v>42</v>
      </c>
      <c r="P3" s="1040" t="str">
        <f>VLOOKUP($C$9,Informacoes[],4,FALSE)</f>
        <v>C42</v>
      </c>
      <c r="Q3" s="1040" t="str">
        <f>VLOOKUP($C$9,Informacoes[],2,FALSE)</f>
        <v>Cooperativa Distribuidora de Energia Fronteira Noroeste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6" t="s">
        <v>2163</v>
      </c>
      <c r="F4" s="776"/>
      <c r="G4" s="776"/>
      <c r="H4" s="804"/>
      <c r="I4" s="550"/>
      <c r="M4" s="547"/>
      <c r="AZ4" s="892"/>
      <c r="BA4" s="1041">
        <v>40940</v>
      </c>
      <c r="BB4" s="1041" t="s">
        <v>612</v>
      </c>
      <c r="BC4" s="1041">
        <v>41306</v>
      </c>
      <c r="BD4" s="1041">
        <v>41671</v>
      </c>
      <c r="BE4" s="1042">
        <v>42036</v>
      </c>
      <c r="BF4" s="1043">
        <v>42401</v>
      </c>
      <c r="BG4" s="1043">
        <v>42767</v>
      </c>
      <c r="BI4" s="1044"/>
      <c r="BJ4" s="1044"/>
      <c r="BK4" s="1044"/>
      <c r="BL4" s="1044"/>
      <c r="BM4" s="1045"/>
      <c r="BN4" s="1045"/>
      <c r="BO4" s="1045"/>
      <c r="BP4" s="1045"/>
      <c r="BQ4" s="1045"/>
      <c r="BR4" s="1045"/>
      <c r="BS4" s="1045"/>
      <c r="BT4" s="1045"/>
      <c r="BU4" s="1045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6" t="s">
        <v>648</v>
      </c>
      <c r="F5" s="776"/>
      <c r="G5" s="776"/>
      <c r="H5" s="787"/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649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5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046" t="s">
        <v>461</v>
      </c>
      <c r="D9" s="9"/>
      <c r="E9" s="1788" t="s">
        <v>650</v>
      </c>
      <c r="F9" s="1789"/>
      <c r="G9" s="1789"/>
      <c r="H9" s="1789"/>
      <c r="I9" s="607"/>
      <c r="J9" s="493" t="s">
        <v>651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47" t="s">
        <v>652</v>
      </c>
      <c r="C10" s="1048" t="str">
        <f>IF(C9="Cercos","N/NE","S/SE/CO")</f>
        <v>S/SE/CO</v>
      </c>
      <c r="D10" s="9"/>
      <c r="E10" s="611"/>
      <c r="F10" s="612" t="s">
        <v>653</v>
      </c>
      <c r="G10" s="613">
        <v>44748.760416666664</v>
      </c>
      <c r="H10" s="1049"/>
      <c r="I10" s="608"/>
      <c r="J10" s="775" t="s">
        <v>654</v>
      </c>
      <c r="K10" s="1050">
        <f>IFERROR(O3+200,0)</f>
        <v>242</v>
      </c>
      <c r="L10" s="597"/>
      <c r="M10" s="560"/>
      <c r="N10" s="552"/>
      <c r="O10" s="9"/>
      <c r="P10" s="9" t="s">
        <v>2307</v>
      </c>
      <c r="Q10" s="538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655</v>
      </c>
      <c r="G11" s="613">
        <v>44750.500856481478</v>
      </c>
      <c r="H11" s="609"/>
      <c r="I11" s="610"/>
      <c r="J11" s="584" t="s">
        <v>656</v>
      </c>
      <c r="K11" s="615">
        <v>3627</v>
      </c>
      <c r="L11" s="597"/>
      <c r="M11" s="560"/>
      <c r="N11" s="552"/>
      <c r="O11" s="9"/>
      <c r="P11" s="275">
        <v>238</v>
      </c>
      <c r="Q11" s="785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657</v>
      </c>
      <c r="C12" s="9"/>
      <c r="D12" s="9"/>
      <c r="E12" s="611"/>
      <c r="F12" s="612" t="s">
        <v>825</v>
      </c>
      <c r="G12" s="613">
        <v>44748.769363425927</v>
      </c>
      <c r="H12" s="609"/>
      <c r="I12" s="610"/>
      <c r="J12" s="776" t="s">
        <v>658</v>
      </c>
      <c r="K12" s="786">
        <f>IF(idsreag=P11,Q11,idagente)</f>
        <v>3627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659</v>
      </c>
      <c r="C13" s="1051">
        <f ca="1">YEAR(TODAY())</f>
        <v>2022</v>
      </c>
      <c r="D13" s="266"/>
      <c r="E13" s="611"/>
      <c r="F13" s="612" t="s">
        <v>660</v>
      </c>
      <c r="G13" s="613">
        <v>44757.484560185185</v>
      </c>
      <c r="H13" s="609"/>
      <c r="I13" s="9"/>
      <c r="J13" s="493" t="s">
        <v>661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662</v>
      </c>
      <c r="C14" s="604">
        <v>44407</v>
      </c>
      <c r="D14" s="266"/>
      <c r="E14" s="611"/>
      <c r="F14" s="612" t="s">
        <v>663</v>
      </c>
      <c r="G14" s="613">
        <v>44757.48474537037</v>
      </c>
      <c r="H14" s="609"/>
      <c r="I14" s="9"/>
      <c r="J14" s="775" t="s">
        <v>664</v>
      </c>
      <c r="K14" s="1050">
        <f>VLOOKUP(SAS_RA0_DataFim,Índices!$B$7:$F$500,2,FALSE)</f>
        <v>1190.8820000000001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665</v>
      </c>
      <c r="C15" s="605">
        <v>44772</v>
      </c>
      <c r="D15" s="266"/>
      <c r="E15" s="611"/>
      <c r="F15" s="612" t="s">
        <v>666</v>
      </c>
      <c r="G15" s="613">
        <v>44750.503101851849</v>
      </c>
      <c r="H15" s="614"/>
      <c r="I15" s="9"/>
      <c r="J15" s="584" t="s">
        <v>667</v>
      </c>
      <c r="K15" s="615">
        <f>VLOOKUP(SAS_RA0_DataFim,Índices!$B$7:$F$500,3,FALSE)</f>
        <v>6455.85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225</v>
      </c>
      <c r="C16" s="606">
        <f>DATE(YEAR(C14),MONTH(C14),1)</f>
        <v>44378</v>
      </c>
      <c r="D16" s="266"/>
      <c r="E16" s="611"/>
      <c r="F16" s="612" t="s">
        <v>668</v>
      </c>
      <c r="G16" s="613">
        <v>44755.598229166666</v>
      </c>
      <c r="H16" s="1052"/>
      <c r="I16" s="9"/>
      <c r="J16" s="584" t="s">
        <v>669</v>
      </c>
      <c r="K16" s="591">
        <f>K14/VLOOKUP(DATE(YEAR(SAS_RA0_DataInicio),MONTH(SAS_RA0_DataInicio)-1,DAY(SAS_RA0_DataInicio)),Índices!$B$7:$F$500,2,FALSE)-1</f>
        <v>0.10704236088323049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227</v>
      </c>
      <c r="C17" s="606">
        <f>DATE(YEAR(C15),MONTH(C15)-1,1)</f>
        <v>44713</v>
      </c>
      <c r="D17" s="266"/>
      <c r="E17" s="611"/>
      <c r="F17" s="612" t="s">
        <v>670</v>
      </c>
      <c r="G17" s="613">
        <v>44755.434895833336</v>
      </c>
      <c r="H17" s="9"/>
      <c r="I17" s="375"/>
      <c r="J17" s="584" t="s">
        <v>671</v>
      </c>
      <c r="K17" s="1053">
        <f>K15/VLOOKUP(DATE(YEAR(SAS_RA0_DataInicio),MONTH(SAS_RA0_DataInicio)-1,DAY(SAS_RA0_DataInicio)),Índices!$B$7:$F$500,3,FALSE)-1</f>
        <v>0.11886869625198027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672</v>
      </c>
      <c r="C18" s="853" t="str">
        <f ca="1">C110</f>
        <v>REAJUSTE</v>
      </c>
      <c r="D18" s="266"/>
      <c r="E18" s="611"/>
      <c r="F18" s="612" t="s">
        <v>2305</v>
      </c>
      <c r="G18" s="613">
        <v>44762.462627314817</v>
      </c>
      <c r="I18" s="375"/>
      <c r="J18" s="589" t="s">
        <v>673</v>
      </c>
      <c r="K18" s="594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5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674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675</v>
      </c>
      <c r="C26" s="596"/>
      <c r="D26" s="1054"/>
      <c r="E26" s="1055"/>
      <c r="F26" s="1056"/>
      <c r="G26" s="1057"/>
      <c r="H26" s="1054"/>
      <c r="I26" s="1054"/>
      <c r="J26" s="1054"/>
      <c r="K26" s="1058"/>
      <c r="L26" s="1059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676</v>
      </c>
      <c r="C28" s="1777" t="s">
        <v>2373</v>
      </c>
      <c r="D28" s="1777"/>
      <c r="E28" s="9"/>
      <c r="F28" s="595" t="s">
        <v>677</v>
      </c>
      <c r="G28" s="596"/>
      <c r="H28" s="596"/>
      <c r="I28" s="9"/>
      <c r="J28" s="595" t="s">
        <v>678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 t="s">
        <v>2374</v>
      </c>
      <c r="D29" s="9"/>
      <c r="E29" s="9"/>
      <c r="F29" s="775" t="s">
        <v>679</v>
      </c>
      <c r="G29" s="775"/>
      <c r="H29" s="1060">
        <v>0.1389</v>
      </c>
      <c r="I29" s="9"/>
      <c r="J29" s="775" t="s">
        <v>680</v>
      </c>
      <c r="K29" s="1061">
        <f>BD!C26</f>
        <v>29100000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6" t="s">
        <v>681</v>
      </c>
      <c r="G30" s="776"/>
      <c r="H30" s="1062">
        <v>3.2099999999999997E-2</v>
      </c>
      <c r="I30" s="9"/>
      <c r="J30" s="584" t="s">
        <v>682</v>
      </c>
      <c r="K30" s="598">
        <f>IFERROR(VLOOKUP(LnkTXTSigla,Informacoes[],17,FALSE)*(1+K18),0)</f>
        <v>37073211.354755566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82" t="s">
        <v>683</v>
      </c>
      <c r="C31" s="1782"/>
      <c r="D31" s="809"/>
      <c r="E31" s="9"/>
      <c r="F31" s="1063"/>
      <c r="G31" s="1063"/>
      <c r="H31" s="1064"/>
      <c r="I31" s="9"/>
      <c r="J31" s="776" t="s">
        <v>684</v>
      </c>
      <c r="K31" s="1065">
        <f>D32+D33+D34</f>
        <v>31500000</v>
      </c>
      <c r="L31" s="17" t="s">
        <v>685</v>
      </c>
      <c r="M31" s="562" t="s">
        <v>686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66" t="s">
        <v>687</v>
      </c>
      <c r="C32" s="1066"/>
      <c r="D32" s="820">
        <v>17800000</v>
      </c>
      <c r="E32" s="9"/>
      <c r="F32" s="1067" t="s">
        <v>688</v>
      </c>
      <c r="G32" s="1068"/>
      <c r="H32" s="1068"/>
      <c r="I32" s="9"/>
      <c r="J32" s="775" t="s">
        <v>689</v>
      </c>
      <c r="K32" s="1069">
        <f ca="1">VLOOKUP(C9,Informacoes[],30,FALSE)*(VLOOKUP(DATE(AnoRefTar,MONTH(M32)-1,1),Índices!B6:F500,3,FALSE)/VLOOKUP(DATE(YEAR(M32),MONTH(L32)-1,1),Índices!B6:F500,3,FALSE))</f>
        <v>23888195.526273698</v>
      </c>
      <c r="L32" s="17">
        <f>VLOOKUP(C9,Informacoes[],31,FALSE)</f>
        <v>43270</v>
      </c>
      <c r="M32" s="850">
        <f>VLOOKUP(C9,Informacoes[],32,FALSE)</f>
        <v>43270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66" t="s">
        <v>690</v>
      </c>
      <c r="C33" s="1066"/>
      <c r="D33" s="821">
        <v>13700000</v>
      </c>
      <c r="E33" s="9"/>
      <c r="F33" s="584" t="s">
        <v>691</v>
      </c>
      <c r="G33" s="584"/>
      <c r="H33" s="500"/>
      <c r="I33" s="9"/>
      <c r="J33" s="776" t="s">
        <v>692</v>
      </c>
      <c r="K33" s="1070">
        <f ca="1">LnkTXTISubvencaoPB/12</f>
        <v>1990682.9605228081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071"/>
      <c r="C34" s="1071"/>
      <c r="D34" s="1072"/>
      <c r="E34" s="9"/>
      <c r="F34" s="776" t="s">
        <v>693</v>
      </c>
      <c r="G34" s="776"/>
      <c r="H34" s="1073"/>
      <c r="I34" s="9"/>
      <c r="J34" s="775" t="s">
        <v>694</v>
      </c>
      <c r="K34" s="1074">
        <f>LinkTXTPR</f>
        <v>0.13861467761837179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075"/>
      <c r="E35" s="9"/>
      <c r="F35" s="600"/>
      <c r="G35" s="1076"/>
      <c r="H35" s="475"/>
      <c r="I35" s="9"/>
      <c r="J35" s="584" t="s">
        <v>695</v>
      </c>
      <c r="K35" s="599">
        <f ca="1">IFERROR(Energia!M20/((Energia!M5+Energia!M6-Energia!M7+Energia!N16)+Energia!M20),0)</f>
        <v>0.14541348610430069</v>
      </c>
      <c r="L35" s="17"/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9"/>
      <c r="D36" s="822"/>
      <c r="E36" s="9"/>
      <c r="F36" s="600"/>
      <c r="G36" s="600"/>
      <c r="H36" s="475"/>
      <c r="I36" s="9"/>
      <c r="J36" s="776" t="s">
        <v>696</v>
      </c>
      <c r="K36" s="1077">
        <f ca="1">IFERROR(LNKTXTPercperdas,0)</f>
        <v>0.1227936802867703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91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697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802" t="s">
        <v>698</v>
      </c>
      <c r="G39" s="1802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803" t="s">
        <v>699</v>
      </c>
      <c r="G40" s="1803"/>
      <c r="H40" s="592"/>
      <c r="I40" s="9"/>
      <c r="J40" s="1790" t="str">
        <f ca="1">"Variação processo anterior e "&amp;AnoRevRea</f>
        <v>Variação processo anterior e 2022</v>
      </c>
      <c r="K40" s="1790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700</v>
      </c>
      <c r="C41" s="590"/>
      <c r="D41" s="1078">
        <f>BD!C5</f>
        <v>70306.714999999997</v>
      </c>
      <c r="E41" s="9"/>
      <c r="F41" s="1794" t="s">
        <v>701</v>
      </c>
      <c r="G41" s="1794"/>
      <c r="H41" s="1079">
        <f>LinkTXTPR</f>
        <v>0.13861467761837179</v>
      </c>
      <c r="I41" s="9"/>
      <c r="J41" s="589" t="s">
        <v>700</v>
      </c>
      <c r="K41" s="1080">
        <f ca="1">IFERROR(Calc_Mercado!J15,0)</f>
        <v>4.8762099039899587E-2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130406.50637804301</v>
      </c>
      <c r="E42" s="9"/>
      <c r="F42" s="1795" t="s">
        <v>702</v>
      </c>
      <c r="G42" s="1795"/>
      <c r="H42" s="593">
        <f>SUM(H43:H44)</f>
        <v>0</v>
      </c>
      <c r="I42" s="9"/>
      <c r="J42" s="584" t="s">
        <v>40</v>
      </c>
      <c r="K42" s="1080">
        <f ca="1">LnkTxtVarTFSEE</f>
        <v>-1.5867739664197078E-3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4170764.5632600002</v>
      </c>
      <c r="E43" s="9"/>
      <c r="F43" s="1795" t="s">
        <v>703</v>
      </c>
      <c r="G43" s="1795"/>
      <c r="H43" s="593">
        <f>VLOOKUP(B2,Informacoes[#Data],25,FALSE)</f>
        <v>0</v>
      </c>
      <c r="I43" s="9"/>
      <c r="J43" s="584" t="s">
        <v>41</v>
      </c>
      <c r="K43" s="591">
        <f ca="1">LnkTxtVarCDE</f>
        <v>0.21228525044702629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791" t="s">
        <v>264</v>
      </c>
      <c r="G44" s="1791"/>
      <c r="H44" s="1081">
        <f>VLOOKUP(B2,Informacoes[#Data],26,FALSE)</f>
        <v>0</v>
      </c>
      <c r="I44" s="9"/>
      <c r="J44" s="584" t="s">
        <v>126</v>
      </c>
      <c r="K44" s="475">
        <f>Resultado!F19</f>
        <v>0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220720.39</v>
      </c>
      <c r="E45" s="9"/>
      <c r="I45" s="376"/>
      <c r="J45" s="584" t="s">
        <v>46</v>
      </c>
      <c r="K45" s="475">
        <f ca="1">Resultado!F20</f>
        <v>9.1228193820554839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653303.65787999996</v>
      </c>
      <c r="E46" s="9"/>
      <c r="F46" s="9"/>
      <c r="G46" s="9"/>
      <c r="H46" s="9"/>
      <c r="I46" s="400"/>
      <c r="J46" s="584" t="s">
        <v>47</v>
      </c>
      <c r="K46" s="591">
        <f ca="1">Resultado!F21</f>
        <v>0.5156376135761751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2173</v>
      </c>
      <c r="C47" s="584"/>
      <c r="D47" s="374">
        <f>IFERROR(VLOOKUP("CDE Covid TUSD",BD!$B$7:$C$16,2,FALSE),0)</f>
        <v>0</v>
      </c>
      <c r="E47" s="9"/>
      <c r="I47" s="400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704</v>
      </c>
      <c r="G48" s="719"/>
      <c r="I48" s="400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5" t="s">
        <v>705</v>
      </c>
      <c r="C49" s="775"/>
      <c r="D49" s="1082">
        <f>BD!C18</f>
        <v>1987063.2</v>
      </c>
      <c r="E49" s="9"/>
      <c r="F49" s="718" t="s">
        <v>706</v>
      </c>
      <c r="G49" s="720"/>
      <c r="I49" s="400"/>
      <c r="J49" s="775" t="s">
        <v>705</v>
      </c>
      <c r="K49" s="1080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707</v>
      </c>
      <c r="C50" s="584"/>
      <c r="D50" s="374">
        <f>BD!C19</f>
        <v>669711.6</v>
      </c>
      <c r="E50" s="9"/>
      <c r="I50" s="400"/>
      <c r="J50" s="584" t="s">
        <v>707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6" t="s">
        <v>708</v>
      </c>
      <c r="C51" s="776"/>
      <c r="D51" s="1083"/>
      <c r="E51" s="9"/>
      <c r="I51" s="9"/>
      <c r="J51" s="776" t="s">
        <v>708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709</v>
      </c>
      <c r="C52" s="589"/>
      <c r="D52" s="1084">
        <f>BD!C25</f>
        <v>58690.684611999997</v>
      </c>
      <c r="E52" s="9"/>
      <c r="F52" s="9"/>
      <c r="G52" s="9"/>
      <c r="H52" s="9"/>
      <c r="I52" s="9"/>
      <c r="J52" s="589" t="s">
        <v>709</v>
      </c>
      <c r="K52" s="594">
        <f ca="1">Resultado!F32</f>
        <v>0.10876418265524901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710</v>
      </c>
      <c r="C53" s="589"/>
      <c r="D53" s="1084">
        <f>BD!C26</f>
        <v>29100000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711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085"/>
      <c r="E57" s="587"/>
      <c r="F57" s="588" t="s">
        <v>712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086" t="s">
        <v>271</v>
      </c>
      <c r="C58" s="1087"/>
      <c r="D58" s="805"/>
      <c r="E58" s="1785">
        <v>0</v>
      </c>
      <c r="F58" s="1785"/>
      <c r="G58" s="381"/>
      <c r="L58" s="792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713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93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714</v>
      </c>
      <c r="C61" s="582"/>
      <c r="D61" s="582" t="s">
        <v>715</v>
      </c>
      <c r="L61" s="564"/>
      <c r="M61" s="771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716</v>
      </c>
      <c r="C62" s="748" t="s">
        <v>717</v>
      </c>
      <c r="D62" s="748" t="s">
        <v>233</v>
      </c>
      <c r="E62" s="1778" t="s">
        <v>718</v>
      </c>
      <c r="F62" s="1779"/>
      <c r="G62" s="748" t="s">
        <v>719</v>
      </c>
      <c r="H62" s="749" t="s">
        <v>720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>
        <f>Indexador!B34</f>
        <v>44287</v>
      </c>
      <c r="C63" s="759"/>
      <c r="D63" s="759"/>
      <c r="E63" s="1796"/>
      <c r="F63" s="1797"/>
      <c r="G63" s="759"/>
      <c r="H63" s="760"/>
      <c r="I63" s="9" t="s">
        <v>721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>
        <f>Indexador!B35</f>
        <v>44317</v>
      </c>
      <c r="C64" s="765"/>
      <c r="D64" s="765"/>
      <c r="E64" s="1798"/>
      <c r="F64" s="1799"/>
      <c r="G64" s="765"/>
      <c r="H64" s="751">
        <f>SUMIF(BD!$A$41:$A$57,B64,BD!$C$41:$C$57)</f>
        <v>0</v>
      </c>
      <c r="I64" s="9" t="s">
        <v>722</v>
      </c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>
        <f>Indexador!B36</f>
        <v>44348</v>
      </c>
      <c r="C65" s="767">
        <v>93248.65</v>
      </c>
      <c r="D65" s="766"/>
      <c r="E65" s="1800"/>
      <c r="F65" s="1801"/>
      <c r="G65" s="766"/>
      <c r="H65" s="774">
        <f>SUMIF(BD!$A$41:$A$57,B65,BD!$C$41:$C$57)</f>
        <v>0</v>
      </c>
      <c r="I65" s="9"/>
      <c r="J65" s="586"/>
      <c r="K65" s="1770">
        <v>93248.65</v>
      </c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44378</v>
      </c>
      <c r="C66" s="767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104197.47</v>
      </c>
      <c r="D66" s="768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2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-0.01</v>
      </c>
      <c r="F66" s="1793"/>
      <c r="G66" s="768">
        <f>IFERROR(VLOOKUP(B66,transmissorapiscofins[#All],2,FALSE),0)</f>
        <v>19819.09</v>
      </c>
      <c r="H66" s="751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44409</v>
      </c>
      <c r="C67" s="767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122135.06</v>
      </c>
      <c r="D67" s="767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0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81"/>
      <c r="G67" s="767">
        <f>IFERROR(VLOOKUP(B67,transmissorapiscofins[#All],2,FALSE),0)</f>
        <v>20153.37</v>
      </c>
      <c r="H67" s="751">
        <f>SUMIF(BD!$A$41:$A$57,B67,BD!$C$41:$C$57)</f>
        <v>0</v>
      </c>
      <c r="I67" s="9"/>
      <c r="J67" s="9"/>
      <c r="K67" s="9"/>
      <c r="L67" s="17"/>
      <c r="M67" s="569"/>
      <c r="N67" s="773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44440</v>
      </c>
      <c r="C68" s="767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123244.77</v>
      </c>
      <c r="D68" s="767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0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81"/>
      <c r="G68" s="767">
        <f>IFERROR(VLOOKUP(B68,transmissorapiscofins[#All],2,FALSE),0)</f>
        <v>19637.349999999999</v>
      </c>
      <c r="H68" s="751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44470</v>
      </c>
      <c r="C69" s="767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127026.98999999999</v>
      </c>
      <c r="D69" s="767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0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81"/>
      <c r="G69" s="767">
        <f>IFERROR(VLOOKUP(B69,transmissorapiscofins[#All],2,FALSE),0)</f>
        <v>20773.73</v>
      </c>
      <c r="H69" s="751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44501</v>
      </c>
      <c r="C70" s="767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103742.39</v>
      </c>
      <c r="D70" s="767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0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81"/>
      <c r="G70" s="767">
        <f>IFERROR(VLOOKUP(B70,transmissorapiscofins[#All],2,FALSE),0)</f>
        <v>19537.03</v>
      </c>
      <c r="H70" s="751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44531</v>
      </c>
      <c r="C71" s="767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69193.69</v>
      </c>
      <c r="D71" s="767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0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-460.65</v>
      </c>
      <c r="F71" s="1781"/>
      <c r="G71" s="767">
        <f>IFERROR(VLOOKUP(B71,transmissorapiscofins[#All],2,FALSE),0)</f>
        <v>19117.21</v>
      </c>
      <c r="H71" s="751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44562</v>
      </c>
      <c r="C72" s="767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37.78</v>
      </c>
      <c r="D72" s="767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0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-1694.28</v>
      </c>
      <c r="F72" s="1781"/>
      <c r="G72" s="767">
        <f>IFERROR(VLOOKUP(B72,transmissorapiscofins[#All],2,FALSE),0)</f>
        <v>19716.86</v>
      </c>
      <c r="H72" s="751">
        <f>SUMIF(BD!$A$41:$A$57,B72,BD!$C$41:$C$57)</f>
        <v>0</v>
      </c>
      <c r="J72" s="487" t="s">
        <v>723</v>
      </c>
      <c r="K72" s="487" t="s">
        <v>724</v>
      </c>
      <c r="L72" s="607" t="s">
        <v>724</v>
      </c>
      <c r="M72" s="607" t="s">
        <v>725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44593</v>
      </c>
      <c r="C73" s="767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226.48000000000002</v>
      </c>
      <c r="D73" s="767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0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-0.01</v>
      </c>
      <c r="F73" s="1781"/>
      <c r="G73" s="767">
        <f>IFERROR(VLOOKUP(B73,transmissorapiscofins[#All],2,FALSE),0)</f>
        <v>21072.46</v>
      </c>
      <c r="H73" s="751">
        <f>SUMIF(BD!$A$41:$A$57,B73,BD!$C$41:$C$57)</f>
        <v>0</v>
      </c>
      <c r="J73" s="1088" t="str">
        <f ca="1">IFERROR(VLOOKUP(TRUE,BD!D41:F56,3,FALSE),"todos os meses")</f>
        <v>todos os meses</v>
      </c>
      <c r="K73" s="1089" t="s">
        <v>726</v>
      </c>
      <c r="L73" s="1090">
        <f ca="1">IF(Energia!F23*2/3=0,0.0000001,Energia!F23*2/3)</f>
        <v>9452993.5483967047</v>
      </c>
      <c r="M73" s="1091">
        <f ca="1">IFERROR(-LnkTXTBandeira/Energia!F23," ")</f>
        <v>0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44621</v>
      </c>
      <c r="C74" s="767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1005.6700000000001</v>
      </c>
      <c r="D74" s="767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0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81"/>
      <c r="G74" s="767">
        <f>IFERROR(VLOOKUP(B74,transmissorapiscofins[#All],2,FALSE),0)</f>
        <v>25079.42</v>
      </c>
      <c r="H74" s="751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44652</v>
      </c>
      <c r="C75" s="767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1026.83</v>
      </c>
      <c r="D75" s="767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0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-0.01</v>
      </c>
      <c r="F75" s="1781"/>
      <c r="G75" s="767">
        <f>IFERROR(VLOOKUP(B75,transmissorapiscofins[#All],2,FALSE),0)</f>
        <v>19971.02</v>
      </c>
      <c r="H75" s="751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44682</v>
      </c>
      <c r="C76" s="767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786.64</v>
      </c>
      <c r="D76" s="767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0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81"/>
      <c r="G76" s="767">
        <f>IFERROR(VLOOKUP(B76,transmissorapiscofins[#All],2,FALSE),0)</f>
        <v>19872.46</v>
      </c>
      <c r="H76" s="751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44713</v>
      </c>
      <c r="C77" s="769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81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3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84"/>
      <c r="G77" s="881">
        <f>IFERROR(VLOOKUP(B77,transmissorapiscofins[#All],2,FALSE),0)</f>
        <v>0</v>
      </c>
      <c r="H77" s="870"/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1"/>
      <c r="G79" s="532"/>
      <c r="H79" s="533"/>
      <c r="I79" s="527"/>
      <c r="J79" s="527"/>
      <c r="K79" s="528"/>
      <c r="L79" s="794"/>
      <c r="M79" s="772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727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93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5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728</v>
      </c>
      <c r="C82" s="1092">
        <f>H5</f>
        <v>0</v>
      </c>
      <c r="D82" s="1093"/>
      <c r="E82" s="1093"/>
      <c r="F82" s="1093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5" t="s">
        <v>729</v>
      </c>
      <c r="C83" s="1094">
        <f>VLOOKUP(LnkTXTSigla,Informacoes[],23,FALSE)</f>
        <v>2909</v>
      </c>
      <c r="D83" s="1095"/>
      <c r="E83" s="1095"/>
      <c r="F83" s="1095"/>
      <c r="G83" s="381"/>
      <c r="H83" s="568"/>
      <c r="I83" s="788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730</v>
      </c>
      <c r="C84" s="618" t="str">
        <f>'Informações Gerais'!X49</f>
        <v>27 de abril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5" t="s">
        <v>731</v>
      </c>
      <c r="C85" s="1096"/>
      <c r="D85" s="1097"/>
      <c r="E85" s="1097"/>
      <c r="F85" s="1097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732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6" t="s">
        <v>733</v>
      </c>
      <c r="C87" s="1098"/>
      <c r="D87" s="1099"/>
      <c r="E87" s="1099"/>
      <c r="F87" s="1099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734</v>
      </c>
      <c r="C88" s="620" t="str">
        <f>VLOOKUP(LnkTXTSigla,Informacoes[],20,FALSE)</f>
        <v>32/2010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735</v>
      </c>
      <c r="C89" s="620" t="str">
        <f>VLOOKUP(LnkTXTSigla,Informacoes[],21,FALSE)</f>
        <v>31 de maio de 2010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736</v>
      </c>
      <c r="C90" s="622" t="str">
        <f>Q3</f>
        <v>Cooperativa Distribuidora de Energia Fronteira Noroeste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737</v>
      </c>
      <c r="C91" s="622" t="str">
        <f>C9</f>
        <v>Cooperluz</v>
      </c>
      <c r="D91" s="540"/>
      <c r="E91" s="541"/>
      <c r="F91" s="540"/>
      <c r="H91" s="788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738</v>
      </c>
      <c r="C92" s="620" t="str">
        <f>D92&amp;" - "&amp;E92</f>
        <v>Santa Rosa - RS</v>
      </c>
      <c r="D92" s="542" t="str">
        <f>VLOOKUP(LnkTXTSigla,Informacoes[],6,FALSE)</f>
        <v>Santa Rosa</v>
      </c>
      <c r="E92" s="542" t="str">
        <f>VLOOKUP(LnkTXTSigla,Informacoes[],7,FALSE)</f>
        <v>RS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739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740</v>
      </c>
      <c r="C94" s="622">
        <f>DataRevRea</f>
        <v>44772</v>
      </c>
      <c r="D94" s="540"/>
      <c r="E94" s="540">
        <f>DATE(YEAR(DataRevRea)+1,MONTH(DataRevRea)-1,1)</f>
        <v>45078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741</v>
      </c>
      <c r="C95" s="624" t="str">
        <f>TEXT(E95,"mmmm")&amp;" de "&amp;TEXT(E95,"aaaa")&amp; " a "&amp;TEXT(E94,"mmmm")&amp;" de "&amp;TEXT(E94,"aaaa")</f>
        <v>julho de 2022 a junho de 2023</v>
      </c>
      <c r="D95" s="540"/>
      <c r="E95" s="540">
        <f>DATE(YEAR(DataRevRea),MONTH(DataRevRea),DAY(DataRevRea))</f>
        <v>44772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742</v>
      </c>
      <c r="C96" s="623">
        <f>C94</f>
        <v>44772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227</v>
      </c>
      <c r="C97" s="626">
        <f>DATE(YEAR(DataRevRea)+1,MONTH(DataRevRea),DAY(DataRevRea)-1)</f>
        <v>45136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743</v>
      </c>
      <c r="C98" s="626" t="str">
        <f>TEXT(C14,"mmmm")&amp;" de "&amp;TEXT(C14,"aaaa")&amp; " a "&amp;TEXT(C17,"mmmm")&amp;" de "&amp;TEXT(C17,"aaaa")</f>
        <v>julho de 2021 a junho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744</v>
      </c>
      <c r="C99" s="619">
        <f ca="1">IF(P1="verdadeiro",K36,H41)</f>
        <v>0.1227936802867703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702</v>
      </c>
      <c r="C100" s="619">
        <f>H42</f>
        <v>0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745</v>
      </c>
      <c r="C101" s="619">
        <f>LnkTXTIPCA-C100</f>
        <v>0.11886869625198027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746</v>
      </c>
      <c r="C102" s="627">
        <f ca="1">Resultado!D33</f>
        <v>14179490.322595056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747</v>
      </c>
      <c r="C103" s="627">
        <f>Resultado!D32</f>
        <v>67791.945926399989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748</v>
      </c>
      <c r="C104" s="627">
        <f>SUM(Resultado!D25:D29)</f>
        <v>3420685.1999999993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749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750</v>
      </c>
      <c r="C106" s="628">
        <f>ROUND(Calc_Mercado!J18/1000,0)</f>
        <v>17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751</v>
      </c>
      <c r="C107" s="628">
        <f ca="1">ROUND(Mercado_RA0_Reais/1000000,0)</f>
        <v>56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247</v>
      </c>
      <c r="C108" s="628" t="str">
        <f>VLOOKUP(LnkTXTSigla,Informacoes[],9,FALSE)</f>
        <v>RGE</v>
      </c>
      <c r="D108" s="540"/>
      <c r="E108" s="540">
        <f>VLOOKUP(LnkTXTSigla,Informacoes[],11,FALSE)</f>
        <v>0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6" t="s">
        <v>249</v>
      </c>
      <c r="C109" s="1100" t="str">
        <f>IF(E109=0,"!vazio!"," e "&amp;E109)</f>
        <v>!vazio!</v>
      </c>
      <c r="D109" s="1101" t="str">
        <f>IF(Energia!B29=Energia!B28,IF(Energia!B30=Energia!B28,Energia!B31,Energia!B29),Energia!B29)</f>
        <v>RGE SUL DISTRIBUIDORA DE ENERGIA S.A.</v>
      </c>
      <c r="E109" s="1101">
        <f>VLOOKUP(LnkTXTSigla,Informacoes[],11,FALSE)</f>
        <v>0</v>
      </c>
      <c r="F109" s="1101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6" t="s">
        <v>752</v>
      </c>
      <c r="C110" s="1100" t="str">
        <f ca="1">IF(AnoRevRea=VLOOKUP(LnkTXTSigla,Informacoes[],22,FALSE),"REVISÃO","REAJUSTE")</f>
        <v>REAJUSTE</v>
      </c>
      <c r="D110" s="1101"/>
      <c r="E110" s="1101"/>
      <c r="F110" s="1101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6" t="s">
        <v>753</v>
      </c>
      <c r="C111" s="1100" t="str">
        <f ca="1">IF(C110="Reajuste", "Reajuste Tarifário Anual - RTA", "Revisão Tarifária Periódica - RTP")</f>
        <v>Reajuste Tarifário Anual - RTA</v>
      </c>
      <c r="D111" s="1100"/>
      <c r="E111" s="1100"/>
      <c r="F111" s="1100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6" t="s">
        <v>754</v>
      </c>
      <c r="C112" s="780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0"/>
      <c r="E112" s="780"/>
      <c r="F112" s="780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5" t="s">
        <v>755</v>
      </c>
      <c r="C113" s="778" t="str">
        <f>VLOOKUP(C9,Informacoes[],37,FALSE)</f>
        <v>Não</v>
      </c>
      <c r="D113" s="778"/>
      <c r="E113" s="778"/>
      <c r="F113" s="778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6" t="s">
        <v>756</v>
      </c>
      <c r="C114" s="779">
        <f>VLOOKUP(C9,Informacoes[],38,FALSE)</f>
        <v>0</v>
      </c>
      <c r="D114" s="779"/>
      <c r="E114" s="779"/>
      <c r="F114" s="779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757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02" t="s">
        <v>239</v>
      </c>
      <c r="C119" s="1102" t="s">
        <v>239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03" t="str">
        <f>LnkTXTSigla</f>
        <v>Cooperluz</v>
      </c>
      <c r="C120" s="1104" t="str">
        <f>LnkTXTSuprid1</f>
        <v>RGE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4" priority="116" operator="containsText" text="Cuidado">
      <formula>NOT(ISERROR(SEARCH("Cuidado",I46)))</formula>
    </cfRule>
  </conditionalFormatting>
  <conditionalFormatting sqref="B30:D34 F28:H34 J28:K31 J34:K36">
    <cfRule type="expression" dxfId="453" priority="58">
      <formula>$P$1="FALSO"</formula>
    </cfRule>
  </conditionalFormatting>
  <conditionalFormatting sqref="F41">
    <cfRule type="expression" dxfId="452" priority="52">
      <formula>$P$1="VERDADEIRO"</formula>
    </cfRule>
  </conditionalFormatting>
  <conditionalFormatting sqref="F42">
    <cfRule type="expression" dxfId="451" priority="48">
      <formula>$P$1="VERDADEIRO"</formula>
    </cfRule>
  </conditionalFormatting>
  <conditionalFormatting sqref="H41">
    <cfRule type="expression" dxfId="450" priority="39">
      <formula>$P$1="VERDADEIRO"</formula>
    </cfRule>
  </conditionalFormatting>
  <conditionalFormatting sqref="H42">
    <cfRule type="expression" dxfId="449" priority="38">
      <formula>$P$1="VERDADEIRO"</formula>
    </cfRule>
  </conditionalFormatting>
  <conditionalFormatting sqref="H40">
    <cfRule type="expression" dxfId="448" priority="37">
      <formula>$P$1="VERDADEIRO"</formula>
    </cfRule>
  </conditionalFormatting>
  <conditionalFormatting sqref="F43:F44">
    <cfRule type="expression" dxfId="447" priority="36">
      <formula>$P$1="VERDADEIRO"</formula>
    </cfRule>
  </conditionalFormatting>
  <conditionalFormatting sqref="H43:H44">
    <cfRule type="expression" dxfId="446" priority="33">
      <formula>$P$1="VERDADEIRO"</formula>
    </cfRule>
  </conditionalFormatting>
  <conditionalFormatting sqref="B26">
    <cfRule type="expression" dxfId="445" priority="32">
      <formula>$P$1="FALSO"</formula>
    </cfRule>
  </conditionalFormatting>
  <conditionalFormatting sqref="C26">
    <cfRule type="expression" dxfId="444" priority="31">
      <formula>$P$1="FALSO"</formula>
    </cfRule>
  </conditionalFormatting>
  <conditionalFormatting sqref="F39">
    <cfRule type="expression" dxfId="443" priority="29">
      <formula>$P$1="VERDADEIRO"</formula>
    </cfRule>
  </conditionalFormatting>
  <conditionalFormatting sqref="F40">
    <cfRule type="expression" dxfId="442" priority="28">
      <formula>$P$1="VERDADEIRO"</formula>
    </cfRule>
  </conditionalFormatting>
  <conditionalFormatting sqref="H63:H77">
    <cfRule type="expression" dxfId="441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D1" zoomScaleNormal="100" workbookViewId="0">
      <selection activeCell="L20" sqref="L20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05" t="s">
        <v>758</v>
      </c>
      <c r="C1" s="1106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Cooperluz - REAJUSTE 2022</v>
      </c>
      <c r="C2" s="70"/>
      <c r="D2" s="70"/>
      <c r="E2" s="70"/>
      <c r="F2" s="70"/>
      <c r="G2" s="75"/>
      <c r="H2" s="381" t="s">
        <v>759</v>
      </c>
      <c r="I2" s="688">
        <v>44763.455046296294</v>
      </c>
      <c r="K2" s="723" t="s">
        <v>760</v>
      </c>
      <c r="L2" s="724"/>
    </row>
    <row r="3" spans="1:15" ht="16.5" customHeight="1">
      <c r="A3" s="139"/>
      <c r="B3" s="1013" t="s">
        <v>761</v>
      </c>
      <c r="C3" s="824"/>
      <c r="D3" s="75"/>
      <c r="E3" s="75"/>
      <c r="F3" s="75"/>
      <c r="G3" s="75"/>
      <c r="H3" s="689" t="s">
        <v>762</v>
      </c>
      <c r="I3" s="689">
        <v>25</v>
      </c>
      <c r="K3" s="725" t="s">
        <v>763</v>
      </c>
      <c r="L3" s="686">
        <v>6.4864460085662934E-3</v>
      </c>
    </row>
    <row r="4" spans="1:15" ht="16.5">
      <c r="A4" s="139"/>
      <c r="G4" s="75"/>
      <c r="J4" s="9"/>
      <c r="K4" s="725" t="s">
        <v>764</v>
      </c>
      <c r="L4" s="686">
        <v>3.0813199732107277E-2</v>
      </c>
    </row>
    <row r="5" spans="1:15" ht="16.5" customHeight="1">
      <c r="A5" s="139"/>
      <c r="B5" s="1107" t="s">
        <v>765</v>
      </c>
      <c r="C5" s="1108">
        <f ca="1">D39+D34</f>
        <v>57896350.721296914</v>
      </c>
      <c r="D5" s="144"/>
      <c r="E5" s="79"/>
      <c r="G5" s="75"/>
      <c r="H5" s="687"/>
      <c r="J5" s="275"/>
      <c r="K5" s="726" t="s">
        <v>766</v>
      </c>
      <c r="L5" s="694">
        <v>2.8792243386260408E-2</v>
      </c>
    </row>
    <row r="6" spans="1:15" ht="16.5" customHeight="1">
      <c r="A6" s="139"/>
      <c r="B6" s="76" t="s">
        <v>767</v>
      </c>
      <c r="C6" s="77">
        <f ca="1">Mercado_RA0_Reais</f>
        <v>56191945.232149981</v>
      </c>
      <c r="D6" s="77"/>
      <c r="E6" s="484"/>
      <c r="F6" s="75"/>
      <c r="G6" s="140"/>
      <c r="H6" s="81"/>
      <c r="J6" s="275"/>
      <c r="K6" s="727" t="s">
        <v>768</v>
      </c>
      <c r="L6" s="728">
        <v>504.65000000000003</v>
      </c>
      <c r="M6" s="79"/>
    </row>
    <row r="7" spans="1:15" ht="16.5" customHeight="1">
      <c r="A7" s="139"/>
      <c r="B7" s="1109" t="str">
        <f>IF(CAPA!P1="FALSO","IRT Economico","Variação econômica")</f>
        <v>Variação econômica</v>
      </c>
      <c r="C7" s="1110">
        <f ca="1">ROUND((C5/C6-1),4)</f>
        <v>3.0300000000000001E-2</v>
      </c>
      <c r="D7" s="501"/>
      <c r="E7" s="75"/>
      <c r="F7" s="75"/>
      <c r="G7" s="75"/>
      <c r="H7" s="81"/>
      <c r="K7" s="49" t="s">
        <v>769</v>
      </c>
      <c r="L7" s="1665">
        <f>L6/'Tabelas e Gráficos'!U39-1</f>
        <v>-1.8209762455983269E-2</v>
      </c>
    </row>
    <row r="8" spans="1:15" ht="16.5" customHeight="1">
      <c r="A8" s="139"/>
      <c r="B8" s="78" t="s">
        <v>770</v>
      </c>
      <c r="C8" s="257">
        <f ca="1">ROUND(Financeiros!E7,4)</f>
        <v>-0.33889999999999998</v>
      </c>
      <c r="D8" s="502"/>
      <c r="E8" s="75"/>
      <c r="F8" s="499"/>
      <c r="G8" s="75"/>
      <c r="H8" s="81"/>
      <c r="K8" s="729" t="s">
        <v>771</v>
      </c>
      <c r="L8" s="730" t="s">
        <v>2178</v>
      </c>
      <c r="M8" s="690" t="s">
        <v>773</v>
      </c>
    </row>
    <row r="9" spans="1:15" ht="16.5" customHeight="1">
      <c r="A9" s="139"/>
      <c r="B9" s="1111" t="str">
        <f>IF(CAPA!P1="FALSO","IRT Economico e Financeiro","Variação econômica e financeira")</f>
        <v>Variação econômica e financeira</v>
      </c>
      <c r="C9" s="1112">
        <f ca="1">ROUND((C7+C8),5)</f>
        <v>-0.30859999999999999</v>
      </c>
      <c r="D9" s="501"/>
      <c r="E9" s="501"/>
      <c r="F9" s="75"/>
      <c r="G9" s="75"/>
      <c r="K9" s="725" t="s">
        <v>774</v>
      </c>
      <c r="L9" s="731">
        <f>Aj.Subsídio!G28*12</f>
        <v>6465.7199999999993</v>
      </c>
      <c r="M9" s="731">
        <v>243945.0156613756</v>
      </c>
    </row>
    <row r="10" spans="1:15" ht="16.5" customHeight="1">
      <c r="A10" s="139"/>
      <c r="B10" s="1111" t="s">
        <v>775</v>
      </c>
      <c r="C10" s="1112">
        <f ca="1">ROUND((LnkTXTEfeito-LnkTXTIRTTotal),4)</f>
        <v>0.33739999999999998</v>
      </c>
      <c r="D10" s="734">
        <f ca="1">LnKTxTRA1+Financeiros!D5</f>
        <v>36058623.018305495</v>
      </c>
      <c r="E10" s="75"/>
      <c r="F10" s="75"/>
      <c r="G10" s="75"/>
      <c r="K10" s="725" t="s">
        <v>776</v>
      </c>
      <c r="L10" s="731">
        <f>Aj.Subsídio!G29*12</f>
        <v>15505.560000000001</v>
      </c>
      <c r="M10" s="731">
        <v>13679.001766005784</v>
      </c>
    </row>
    <row r="11" spans="1:15" ht="16.5" customHeight="1">
      <c r="A11" s="139"/>
      <c r="B11" s="1013" t="s">
        <v>777</v>
      </c>
      <c r="C11" s="824"/>
      <c r="D11" s="1113"/>
      <c r="E11" s="1113"/>
      <c r="F11" s="1113"/>
      <c r="G11" s="75"/>
      <c r="K11" s="725" t="s">
        <v>778</v>
      </c>
      <c r="L11" s="731">
        <f>Aj.Subsídio!G30*12</f>
        <v>0</v>
      </c>
      <c r="M11" s="731">
        <v>0</v>
      </c>
    </row>
    <row r="12" spans="1:15" ht="16.5" customHeight="1">
      <c r="E12" s="1114"/>
      <c r="F12" s="1114"/>
      <c r="K12" s="725" t="s">
        <v>779</v>
      </c>
      <c r="L12" s="731">
        <f>Aj.Subsídio!G31*12</f>
        <v>79307.64</v>
      </c>
      <c r="M12" s="731">
        <v>41691.177520942903</v>
      </c>
      <c r="O12" s="896"/>
    </row>
    <row r="13" spans="1:15" ht="15" customHeight="1">
      <c r="B13" s="1115"/>
      <c r="C13" s="1116" t="s">
        <v>772</v>
      </c>
      <c r="D13" s="1117" t="s">
        <v>773</v>
      </c>
      <c r="E13" s="1116" t="s">
        <v>780</v>
      </c>
      <c r="F13" s="1115" t="s">
        <v>781</v>
      </c>
      <c r="K13" s="725" t="s">
        <v>782</v>
      </c>
      <c r="L13" s="731">
        <f>Aj.Subsídio!G32*12</f>
        <v>2958965.16</v>
      </c>
      <c r="M13" s="731">
        <v>1463700.4466064132</v>
      </c>
      <c r="O13" s="896"/>
    </row>
    <row r="14" spans="1:15" ht="14.25">
      <c r="B14" s="1118" t="s">
        <v>783</v>
      </c>
      <c r="C14" s="1119">
        <f ca="1">SUM(C15:C23)</f>
        <v>5404593.6251707515</v>
      </c>
      <c r="D14" s="1120">
        <f ca="1">SUM(D15:D23)</f>
        <v>8728383.2527754605</v>
      </c>
      <c r="E14" s="1121">
        <f t="shared" ref="E14:E34" ca="1" si="0">(D14-C14)/LnkTXTRA0</f>
        <v>5.9150641855747983E-2</v>
      </c>
      <c r="F14" s="1122">
        <f ca="1">IF(ISERROR(D14/C14-1),"-",D14/C14-1)</f>
        <v>0.61499344041795512</v>
      </c>
      <c r="G14" s="292"/>
      <c r="H14" s="101"/>
      <c r="K14" s="725" t="s">
        <v>784</v>
      </c>
      <c r="L14" s="731">
        <f>Aj.Subsídio!G33*12</f>
        <v>322558.56</v>
      </c>
      <c r="M14" s="731">
        <v>463968.02664904279</v>
      </c>
      <c r="O14" s="896"/>
    </row>
    <row r="15" spans="1:15" ht="14.25">
      <c r="B15" s="78" t="s">
        <v>785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57"/>
      <c r="M15" s="49"/>
    </row>
    <row r="16" spans="1:15" ht="14.25">
      <c r="B16" s="78" t="s">
        <v>786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57"/>
    </row>
    <row r="17" spans="2:14" ht="14.25">
      <c r="B17" s="78" t="s">
        <v>787</v>
      </c>
      <c r="C17" s="225">
        <f ca="1">Mercado_Faturado_Encargo_TFSEE_BRUTO</f>
        <v>136147.25831243768</v>
      </c>
      <c r="D17" s="133">
        <f ca="1">Encargos!C6</f>
        <v>135931.22338734809</v>
      </c>
      <c r="E17" s="223">
        <f t="shared" ca="1" si="0"/>
        <v>-3.8445888320305488E-6</v>
      </c>
      <c r="F17" s="258">
        <f t="shared" ca="1" si="1"/>
        <v>-1.5867739664197078E-3</v>
      </c>
      <c r="G17" s="292"/>
    </row>
    <row r="18" spans="2:14" ht="14.25">
      <c r="B18" s="78" t="s">
        <v>788</v>
      </c>
      <c r="C18" s="226">
        <f ca="1">Mercado_Faturado_Encargo_CDE_BRUTO+Calc_Mercado!S75</f>
        <v>4359799.8740981584</v>
      </c>
      <c r="D18" s="227">
        <f ca="1">Encargos!C7</f>
        <v>5285321.0822699992</v>
      </c>
      <c r="E18" s="224">
        <f t="shared" ca="1" si="0"/>
        <v>1.647070953582699E-2</v>
      </c>
      <c r="F18" s="258">
        <f t="shared" ca="1" si="1"/>
        <v>0.21228525044702629</v>
      </c>
      <c r="G18" s="292"/>
      <c r="H18" s="142"/>
      <c r="K18" s="49" t="s">
        <v>789</v>
      </c>
      <c r="L18" s="732">
        <v>44763.459201388891</v>
      </c>
      <c r="M18" s="49"/>
      <c r="N18" s="631"/>
    </row>
    <row r="19" spans="2:14" ht="16.5" customHeight="1">
      <c r="B19" s="1765"/>
      <c r="C19" s="878"/>
      <c r="D19" s="877"/>
      <c r="E19" s="1766"/>
      <c r="F19" s="1767"/>
      <c r="G19" s="292"/>
      <c r="K19" s="725" t="s">
        <v>790</v>
      </c>
      <c r="L19" s="725"/>
      <c r="M19" s="725"/>
      <c r="N19" s="295"/>
    </row>
    <row r="20" spans="2:14" ht="14.25">
      <c r="B20" s="78" t="s">
        <v>791</v>
      </c>
      <c r="C20" s="225">
        <f ca="1">Mercado_Faturado_Encargo_ESSERR_BRUTO</f>
        <v>224225.79157262601</v>
      </c>
      <c r="D20" s="133">
        <f>Encargos!C9</f>
        <v>2269797.1888881116</v>
      </c>
      <c r="E20" s="223">
        <f t="shared" ca="1" si="0"/>
        <v>3.6403285005786212E-2</v>
      </c>
      <c r="F20" s="258">
        <f t="shared" ca="1" si="1"/>
        <v>9.1228193820554839</v>
      </c>
      <c r="G20" s="292"/>
      <c r="K20" s="725" t="s">
        <v>792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684420.70118752972</v>
      </c>
      <c r="D21" s="133">
        <f ca="1">Encargos!C10</f>
        <v>1037333.75823</v>
      </c>
      <c r="E21" s="223">
        <f t="shared" ca="1" si="0"/>
        <v>6.2804919029667726E-3</v>
      </c>
      <c r="F21" s="258">
        <f t="shared" ca="1" si="1"/>
        <v>0.5156376135761751</v>
      </c>
      <c r="G21" s="292"/>
      <c r="L21" s="198"/>
    </row>
    <row r="22" spans="2:14" ht="14.25">
      <c r="B22" s="78" t="s">
        <v>793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23" t="s">
        <v>794</v>
      </c>
      <c r="C24" s="1119">
        <f ca="1">SUM(C25:C32)</f>
        <v>2825852.3453226169</v>
      </c>
      <c r="D24" s="1120">
        <f>SUM(D25:D32)</f>
        <v>3488477.1459263992</v>
      </c>
      <c r="E24" s="1121">
        <f t="shared" ca="1" si="0"/>
        <v>1.1792166971017481E-2</v>
      </c>
      <c r="F24" s="1122">
        <f t="shared" ca="1" si="1"/>
        <v>0.23448670334830712</v>
      </c>
      <c r="G24" s="292"/>
      <c r="J24"/>
      <c r="K24" s="23"/>
      <c r="L24" s="198"/>
    </row>
    <row r="25" spans="2:14" ht="14.25">
      <c r="B25" s="81" t="s">
        <v>705</v>
      </c>
      <c r="C25" s="225">
        <f ca="1">IFERROR(Calc_Mercado!C91,0)</f>
        <v>2070052.8014501331</v>
      </c>
      <c r="D25" s="133">
        <f>'Rede Básica + Ajuste'!D9+'Rede Básica + Ajuste'!D10</f>
        <v>2901280.7999999993</v>
      </c>
      <c r="E25" s="223">
        <f t="shared" ref="E25:E32" ca="1" si="2">(D25-C25)/LnkTXTRA0</f>
        <v>1.4792653913576972E-2</v>
      </c>
      <c r="F25" s="259">
        <f t="shared" ca="1" si="1"/>
        <v>0.40154917689421565</v>
      </c>
      <c r="G25" s="292"/>
      <c r="J25" s="198"/>
      <c r="K25" s="198"/>
      <c r="L25" s="198"/>
    </row>
    <row r="26" spans="2:14" ht="14.25">
      <c r="B26" s="81" t="s">
        <v>707</v>
      </c>
      <c r="C26" s="225">
        <f ca="1">IFERROR(Calc_Mercado!C89,0)</f>
        <v>694657.64644569915</v>
      </c>
      <c r="D26" s="133">
        <f>'Rede Básica + Ajuste'!E9+'Rede Básica + Ajuste'!E10</f>
        <v>519404.39999999991</v>
      </c>
      <c r="E26" s="223">
        <f t="shared" ca="1" si="2"/>
        <v>-3.1188321693022447E-3</v>
      </c>
      <c r="F26" s="259">
        <f t="shared" ca="1" si="1"/>
        <v>-0.25228721995993841</v>
      </c>
      <c r="G26" s="292"/>
      <c r="J26" s="198"/>
      <c r="K26" s="198"/>
      <c r="L26" s="198"/>
    </row>
    <row r="27" spans="2:14" ht="14.25">
      <c r="B27" s="81" t="s">
        <v>795</v>
      </c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796</v>
      </c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797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798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708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709</v>
      </c>
      <c r="C32" s="225">
        <f ca="1">Calc_Mercado!C96</f>
        <v>61141.897426784686</v>
      </c>
      <c r="D32" s="133">
        <f>CUSD!C3</f>
        <v>67791.945926399989</v>
      </c>
      <c r="E32" s="223">
        <f t="shared" ca="1" si="2"/>
        <v>1.1834522674275576E-4</v>
      </c>
      <c r="F32" s="259">
        <f t="shared" ca="1" si="1"/>
        <v>0.10876418265524901</v>
      </c>
      <c r="G32" s="292"/>
    </row>
    <row r="33" spans="2:8" ht="14.25">
      <c r="B33" s="1123" t="s">
        <v>120</v>
      </c>
      <c r="C33" s="1119">
        <f ca="1">SUM(Calc_Mercado!C79:C84)</f>
        <v>17652501.85341147</v>
      </c>
      <c r="D33" s="1120">
        <f ca="1">Energia!F23</f>
        <v>14179490.322595056</v>
      </c>
      <c r="E33" s="1121">
        <f t="shared" ca="1" si="0"/>
        <v>-6.1806216468714537E-2</v>
      </c>
      <c r="F33" s="1122">
        <f ca="1">IF(ISERROR(D33/C33-1),"-",D33/C33-1)</f>
        <v>-0.19674330356437431</v>
      </c>
      <c r="G33" s="292"/>
    </row>
    <row r="34" spans="2:8" ht="14.25">
      <c r="B34" s="1124" t="s">
        <v>799</v>
      </c>
      <c r="C34" s="1125">
        <f ca="1">C14+C24+C33</f>
        <v>25882947.823904838</v>
      </c>
      <c r="D34" s="1126">
        <f ca="1">D33+D24+D14</f>
        <v>26396350.721296914</v>
      </c>
      <c r="E34" s="1127">
        <f t="shared" ca="1" si="0"/>
        <v>9.1365923580508865E-3</v>
      </c>
      <c r="F34" s="1128">
        <f ca="1">IF(ISERROR(D34/C34-1),"-",D34/C34-1)</f>
        <v>1.9835565132882982E-2</v>
      </c>
      <c r="G34" s="292"/>
    </row>
    <row r="35" spans="2:8" ht="14.25">
      <c r="G35" s="69"/>
      <c r="H35" s="108"/>
    </row>
    <row r="36" spans="2:8" ht="14.25">
      <c r="B36" s="1013" t="s">
        <v>109</v>
      </c>
      <c r="C36" s="824"/>
      <c r="D36" s="824"/>
      <c r="E36" s="1113"/>
      <c r="F36" s="1113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772</v>
      </c>
      <c r="D38" s="691" t="s">
        <v>773</v>
      </c>
      <c r="E38" s="1129" t="s">
        <v>780</v>
      </c>
      <c r="F38" s="691" t="s">
        <v>781</v>
      </c>
      <c r="G38" s="69"/>
      <c r="H38" s="143"/>
    </row>
    <row r="39" spans="2:8" ht="15.75" customHeight="1">
      <c r="B39" s="1130" t="s">
        <v>800</v>
      </c>
      <c r="C39" s="1131">
        <f ca="1">LnkTXTRA0-C34</f>
        <v>30308997.408245143</v>
      </c>
      <c r="D39" s="1132">
        <f>IFERROR(IF(CAPA!P1="VERDADEIRO",SMALL(IF(LnkTXTPBReq=0,CAPA!K29,LnkTXTPBReq):LNKTXTLImPB,1),C39*(1+LnkTXTIPCA-CAPA!H42)),0)</f>
        <v>31500000</v>
      </c>
      <c r="E39" s="1133">
        <f ca="1">(D39-C39)/LnkTXTRA0</f>
        <v>2.119525470838177E-2</v>
      </c>
      <c r="F39" s="1134">
        <f ca="1">IF(ISERROR(D39/C39-1),"-",D39/C39-1)</f>
        <v>3.929534770526133E-2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1013" t="s">
        <v>801</v>
      </c>
      <c r="C41" s="824"/>
      <c r="D41" s="824"/>
      <c r="E41" s="1113"/>
      <c r="F41" s="1113"/>
    </row>
    <row r="42" spans="2:8" ht="9" customHeight="1">
      <c r="E42" s="75"/>
      <c r="F42" s="75"/>
    </row>
    <row r="43" spans="2:8" ht="15.75" customHeight="1">
      <c r="B43" s="736"/>
      <c r="C43" s="1115" t="s">
        <v>802</v>
      </c>
      <c r="D43" s="1115" t="s">
        <v>780</v>
      </c>
      <c r="E43" s="473" t="s">
        <v>803</v>
      </c>
      <c r="F43" s="473"/>
      <c r="G43" s="473"/>
    </row>
    <row r="44" spans="2:8" ht="15.75" customHeight="1">
      <c r="B44" s="1135" t="s">
        <v>804</v>
      </c>
      <c r="C44" s="1136">
        <f ca="1">SUM(C45:C60)</f>
        <v>-22099189.566466507</v>
      </c>
      <c r="D44" s="1137">
        <f ca="1">C44/Financeiros!D4</f>
        <v>-0.39328037986879566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459">
        <f>Financeiros!D9</f>
        <v>818160.60193942254</v>
      </c>
      <c r="D45" s="478">
        <f ca="1">C45/Financeiros!$D$4</f>
        <v>1.4560104629930402E-2</v>
      </c>
      <c r="E45" s="473">
        <f t="shared" ca="1" si="3"/>
        <v>1</v>
      </c>
      <c r="F45" s="473"/>
      <c r="G45" s="473"/>
    </row>
    <row r="46" spans="2:8" ht="15.75" customHeight="1">
      <c r="B46" s="82" t="s">
        <v>805</v>
      </c>
      <c r="C46" s="459">
        <f ca="1">LnkTXTNeutralidade</f>
        <v>-239013.55637821872</v>
      </c>
      <c r="D46" s="478">
        <f ca="1">C46/Financeiros!$D$4</f>
        <v>-4.2535198842247619E-3</v>
      </c>
      <c r="E46" s="473">
        <f t="shared" ca="1" si="3"/>
        <v>1</v>
      </c>
      <c r="F46" s="473"/>
      <c r="G46" s="473"/>
    </row>
    <row r="47" spans="2:8" ht="15.75" hidden="1" customHeight="1">
      <c r="B47" s="83" t="str">
        <f>Financeiros!C23</f>
        <v>Manual de Contabilidade do Setor Elétrico</v>
      </c>
      <c r="C47" s="460">
        <f>Financeiros!D23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hidden="1" customHeight="1">
      <c r="B48" s="68" t="str">
        <f>Financeiros!C25</f>
        <v>Ajustes Processos anteriores</v>
      </c>
      <c r="C48" s="459">
        <f>Financeiros!D25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customHeight="1">
      <c r="B49" s="83" t="str">
        <f>Financeiros!C26</f>
        <v>Ajuste CUST + PISCONFINS Transmissão</v>
      </c>
      <c r="C49" s="460">
        <f>Financeiros!D26</f>
        <v>239387.88900525868</v>
      </c>
      <c r="D49" s="478">
        <f ca="1">C49/Financeiros!$D$4</f>
        <v>4.260181561899265E-3</v>
      </c>
      <c r="E49" s="473">
        <f t="shared" ca="1" si="3"/>
        <v>1</v>
      </c>
    </row>
    <row r="50" spans="2:5" ht="15.75" customHeight="1">
      <c r="B50" s="68" t="str">
        <f>Financeiros!C27</f>
        <v>Compensação DIC FIC</v>
      </c>
      <c r="C50" s="460">
        <f>Financeiros!D27</f>
        <v>-2276.7511681570618</v>
      </c>
      <c r="D50" s="478">
        <f ca="1">C50/Financeiros!$D$4</f>
        <v>-4.0517393707424604E-5</v>
      </c>
      <c r="E50" s="473">
        <f t="shared" ca="1" si="3"/>
        <v>1</v>
      </c>
    </row>
    <row r="51" spans="2:5" ht="15.75" customHeight="1">
      <c r="B51" s="68" t="str">
        <f>Financeiros!C28</f>
        <v>Subvenção CDE</v>
      </c>
      <c r="C51" s="460">
        <f ca="1">Financeiros!D28</f>
        <v>-23888195.526273698</v>
      </c>
      <c r="D51" s="478">
        <f ca="1">C51/Financeiros!$D$4</f>
        <v>-0.42511778917036258</v>
      </c>
      <c r="E51" s="473">
        <f t="shared" ca="1" si="3"/>
        <v>1</v>
      </c>
    </row>
    <row r="52" spans="2:5" ht="15.75" hidden="1" customHeight="1">
      <c r="B52" s="68" t="str">
        <f>Financeiros!C29</f>
        <v>Retenção de Adicionais de Bandeiras Tarifárias</v>
      </c>
      <c r="C52" s="460">
        <f>Financeiros!D29</f>
        <v>0</v>
      </c>
      <c r="D52" s="478">
        <f ca="1">C52/Financeiros!$D$4</f>
        <v>0</v>
      </c>
      <c r="E52" s="473">
        <f t="shared" ca="1" si="3"/>
        <v>0</v>
      </c>
    </row>
    <row r="53" spans="2:5" ht="15.75" hidden="1" customHeight="1">
      <c r="B53" s="68" t="str">
        <f>Financeiros!C30</f>
        <v>Multa LPT</v>
      </c>
      <c r="C53" s="460">
        <f>Financeiros!D30</f>
        <v>0</v>
      </c>
      <c r="D53" s="478">
        <f ca="1">C53/Financeiros!$D$4</f>
        <v>0</v>
      </c>
      <c r="E53" s="473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460">
        <f>Financeiros!D34</f>
        <v>0</v>
      </c>
      <c r="D54" s="478">
        <f ca="1">C54/Financeiros!$D$4</f>
        <v>0</v>
      </c>
      <c r="E54" s="473">
        <f t="shared" ca="1" si="3"/>
        <v>0</v>
      </c>
    </row>
    <row r="55" spans="2:5" ht="15.75" hidden="1" customHeight="1">
      <c r="B55" s="68" t="str">
        <f>Financeiros!C31</f>
        <v>Repasse de ICMS</v>
      </c>
      <c r="C55" s="460">
        <f>Financeiros!D31</f>
        <v>0</v>
      </c>
      <c r="D55" s="770">
        <f ca="1">C55/Financeiros!$D$4</f>
        <v>0</v>
      </c>
      <c r="E55" s="473">
        <f t="shared" ca="1" si="3"/>
        <v>0</v>
      </c>
    </row>
    <row r="56" spans="2:5" ht="15.75" customHeight="1">
      <c r="B56" s="68" t="str">
        <f>Financeiros!C36</f>
        <v>Previsão de Risco Hidrologico</v>
      </c>
      <c r="C56" s="460">
        <f>Financeiros!D36</f>
        <v>1176204.6459883365</v>
      </c>
      <c r="D56" s="478">
        <f ca="1">C56/Financeiros!$D$4</f>
        <v>2.0931908321183659E-2</v>
      </c>
      <c r="E56" s="473">
        <f t="shared" ca="1" si="3"/>
        <v>1</v>
      </c>
    </row>
    <row r="57" spans="2:5" ht="15.75" hidden="1" customHeight="1">
      <c r="B57" s="68" t="str">
        <f>Financeiros!C37</f>
        <v>Efeito COVID da Supridora</v>
      </c>
      <c r="C57" s="460">
        <f>Financeiros!D37</f>
        <v>0</v>
      </c>
      <c r="D57" s="478">
        <f ca="1">C57/Financeiros!$D$4</f>
        <v>0</v>
      </c>
      <c r="E57" s="473">
        <f t="shared" ca="1" si="3"/>
        <v>0</v>
      </c>
    </row>
    <row r="58" spans="2:5" ht="15.75" customHeight="1">
      <c r="B58" s="68" t="str">
        <f>Financeiros!C38</f>
        <v>Crédito de Pis Cofins sobre ICMS</v>
      </c>
      <c r="C58" s="460">
        <f>Financeiros!D38</f>
        <v>-952606.25</v>
      </c>
      <c r="D58" s="478">
        <f ca="1">C58/Financeiros!$D$4</f>
        <v>-1.6952718865033533E-2</v>
      </c>
      <c r="E58" s="473">
        <f t="shared" ca="1" si="3"/>
        <v>1</v>
      </c>
    </row>
    <row r="59" spans="2:5" ht="15.75" customHeight="1">
      <c r="B59" s="68" t="str">
        <f>Financeiros!C39</f>
        <v>Diferimento Pis Cofins TUSD 25% do valor remanecescente de 2020</v>
      </c>
      <c r="C59" s="460">
        <f>Financeiros!D39</f>
        <v>3282.0178737718174</v>
      </c>
      <c r="D59" s="478">
        <f ca="1">C59/Financeiros!$D$4</f>
        <v>5.8407265671486755E-5</v>
      </c>
      <c r="E59" s="473">
        <f t="shared" ca="1" si="3"/>
        <v>1</v>
      </c>
    </row>
    <row r="60" spans="2:5" ht="15.75" customHeight="1">
      <c r="B60" s="68" t="str">
        <f>Financeiros!C40</f>
        <v>Diferimento Pis Cofins TE 25% do valor remanecescente de 2020</v>
      </c>
      <c r="C60" s="460">
        <f>Financeiros!D40</f>
        <v>745867.36254677491</v>
      </c>
      <c r="D60" s="478">
        <f ca="1">C60/Financeiros!$D$4</f>
        <v>1.3273563665847789E-2</v>
      </c>
      <c r="E60" s="473">
        <f t="shared" ca="1" si="3"/>
        <v>1</v>
      </c>
    </row>
    <row r="61" spans="2:5" ht="15.75" customHeight="1">
      <c r="B61" s="68" t="str">
        <f>Financeiros!C41</f>
        <v>Financeiros associados ao §7º do Art. 88 da Ren 414/2021</v>
      </c>
      <c r="C61" s="460">
        <f>Financeiros!D41</f>
        <v>-3652.3295493700653</v>
      </c>
      <c r="D61" s="478">
        <f ca="1">C61/Financeiros!$D$4</f>
        <v>-6.4997385911466914E-5</v>
      </c>
      <c r="E61" s="473">
        <f t="shared" ca="1" si="3"/>
        <v>1</v>
      </c>
    </row>
    <row r="62" spans="2:5" ht="15.75" hidden="1" customHeight="1">
      <c r="B62" s="68">
        <f>Financeiros!C45</f>
        <v>0</v>
      </c>
      <c r="C62" s="460">
        <f>Financeiros!D45</f>
        <v>0</v>
      </c>
      <c r="D62" s="478">
        <f ca="1">C62/Financeiros!$D$4</f>
        <v>0</v>
      </c>
      <c r="E62" s="473">
        <f t="shared" ca="1" si="3"/>
        <v>0</v>
      </c>
    </row>
    <row r="63" spans="2:5" ht="15.75" hidden="1" customHeight="1">
      <c r="B63" s="68">
        <f>Financeiros!C46</f>
        <v>0</v>
      </c>
      <c r="C63" s="460">
        <f>Financeiros!D46</f>
        <v>0</v>
      </c>
      <c r="D63" s="478">
        <f ca="1">C63/Financeiros!$D$4</f>
        <v>0</v>
      </c>
      <c r="E63" s="473">
        <f t="shared" ca="1" si="3"/>
        <v>0</v>
      </c>
    </row>
    <row r="64" spans="2:5" ht="15.75" hidden="1" customHeight="1">
      <c r="B64" s="68">
        <f>Financeiros!C47</f>
        <v>0</v>
      </c>
      <c r="C64" s="460">
        <f>Financeiros!D47</f>
        <v>0</v>
      </c>
      <c r="D64" s="478">
        <f ca="1">C64/Financeiros!$D$4</f>
        <v>0</v>
      </c>
      <c r="E64" s="473">
        <f t="shared" ca="1" si="3"/>
        <v>0</v>
      </c>
    </row>
    <row r="65" spans="2:5" ht="15.75" hidden="1" customHeight="1">
      <c r="B65" s="68" t="str">
        <f>Financeiros!C48</f>
        <v>CVE ccc</v>
      </c>
      <c r="C65" s="460">
        <f>Financeiros!D48</f>
        <v>0</v>
      </c>
      <c r="D65" s="478">
        <f ca="1">C65/Financeiros!$D$4</f>
        <v>0</v>
      </c>
      <c r="E65" s="473">
        <f t="shared" ca="1" si="3"/>
        <v>0</v>
      </c>
    </row>
    <row r="66" spans="2:5" ht="15.75" hidden="1" customHeight="1">
      <c r="B66" s="68" t="str">
        <f>Financeiros!C49</f>
        <v>CVE cde</v>
      </c>
      <c r="C66" s="460">
        <f>Financeiros!D49</f>
        <v>0</v>
      </c>
      <c r="D66" s="478">
        <f ca="1">C66/Financeiros!$D$4</f>
        <v>0</v>
      </c>
      <c r="E66" s="473">
        <f t="shared" ca="1" si="3"/>
        <v>0</v>
      </c>
    </row>
    <row r="67" spans="2:5" ht="15.75" hidden="1" customHeight="1">
      <c r="B67" s="68" t="str">
        <f>Financeiros!C50</f>
        <v>CVE cde energia</v>
      </c>
      <c r="C67" s="460">
        <f>Financeiros!D50</f>
        <v>0</v>
      </c>
      <c r="D67" s="478">
        <f ca="1">C67/Financeiros!$D$4</f>
        <v>0</v>
      </c>
      <c r="E67" s="473">
        <f t="shared" ca="1" si="3"/>
        <v>0</v>
      </c>
    </row>
    <row r="68" spans="2:5" ht="15.75" hidden="1" customHeight="1">
      <c r="B68" s="68" t="str">
        <f>Financeiros!C51</f>
        <v>CVE RB - Nodal</v>
      </c>
      <c r="C68" s="460">
        <f>Financeiros!D51</f>
        <v>0</v>
      </c>
      <c r="D68" s="478">
        <f ca="1">C68/Financeiros!$D$4</f>
        <v>0</v>
      </c>
      <c r="E68" s="473">
        <f t="shared" ca="1" si="3"/>
        <v>0</v>
      </c>
    </row>
    <row r="69" spans="2:5" ht="15.75" hidden="1" customHeight="1">
      <c r="B69" s="68" t="str">
        <f>Financeiros!C52</f>
        <v>CVE RB - Fronteira</v>
      </c>
      <c r="C69" s="460">
        <f>Financeiros!D52</f>
        <v>0</v>
      </c>
      <c r="D69" s="478">
        <f ca="1">C69/Financeiros!$D$4</f>
        <v>0</v>
      </c>
      <c r="E69" s="473">
        <f t="shared" ca="1" si="3"/>
        <v>0</v>
      </c>
    </row>
    <row r="70" spans="2:5" ht="15.75" hidden="1" customHeight="1">
      <c r="B70" s="68" t="str">
        <f>Financeiros!C53</f>
        <v>CVE RB - TUSDg EXP</v>
      </c>
      <c r="C70" s="460">
        <f>Financeiros!D53</f>
        <v>0</v>
      </c>
      <c r="D70" s="478">
        <f ca="1">C70/Financeiros!$D$4</f>
        <v>0</v>
      </c>
      <c r="E70" s="473">
        <f t="shared" ca="1" si="3"/>
        <v>0</v>
      </c>
    </row>
    <row r="71" spans="2:5" ht="15.75" hidden="1" customHeight="1">
      <c r="B71" s="68" t="str">
        <f>Financeiros!C54</f>
        <v>CVE RB - TUSDg ONS</v>
      </c>
      <c r="C71" s="460">
        <f>Financeiros!D54</f>
        <v>0</v>
      </c>
      <c r="D71" s="478">
        <f ca="1">C71/Financeiros!$D$4</f>
        <v>0</v>
      </c>
      <c r="E71" s="473">
        <f t="shared" ca="1" si="3"/>
        <v>0</v>
      </c>
    </row>
    <row r="72" spans="2:5" ht="15.75" hidden="1" customHeight="1">
      <c r="B72" s="68" t="str">
        <f>Financeiros!C55</f>
        <v>CVE RB - EUST Itaipu</v>
      </c>
      <c r="C72" s="460">
        <f>Financeiros!D55</f>
        <v>0</v>
      </c>
      <c r="D72" s="478">
        <f ca="1">C72/Financeiros!$D$4</f>
        <v>0</v>
      </c>
      <c r="E72" s="473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460">
        <f>Financeiros!D56</f>
        <v>0</v>
      </c>
      <c r="D73" s="478">
        <f ca="1">C73/Financeiros!$D$4</f>
        <v>0</v>
      </c>
      <c r="E73" s="473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460">
        <f ca="1">Financeiros!D57</f>
        <v>365851.62107282039</v>
      </c>
      <c r="D74" s="478">
        <f ca="1">C74/Financeiros!$D$4</f>
        <v>6.5107484633491553E-3</v>
      </c>
      <c r="E74" s="473">
        <f t="shared" ca="1" si="3"/>
        <v>1</v>
      </c>
    </row>
    <row r="75" spans="2:5" ht="15.75" customHeight="1">
      <c r="B75" s="68" t="str">
        <f>Financeiros!C58</f>
        <v>CVE - Energia - Perda Não Técnica</v>
      </c>
      <c r="C75" s="460">
        <f ca="1">Financeiros!D58</f>
        <v>9296.3383585654246</v>
      </c>
      <c r="D75" s="478">
        <f ca="1">C75/Financeiros!$D$4</f>
        <v>1.6543898454055589E-4</v>
      </c>
      <c r="E75" s="473">
        <f t="shared" ca="1" si="3"/>
        <v>1</v>
      </c>
    </row>
    <row r="76" spans="2:5" ht="15.75" customHeight="1">
      <c r="B76" s="68" t="str">
        <f>Financeiros!C59</f>
        <v>CVE - Energia - Perda Técnica</v>
      </c>
      <c r="C76" s="460">
        <f ca="1">Financeiros!D59</f>
        <v>52514.211942421236</v>
      </c>
      <c r="D76" s="478">
        <f ca="1">C76/Financeiros!$D$4</f>
        <v>9.3455052544391107E-4</v>
      </c>
      <c r="E76" s="473">
        <f t="shared" ca="1" si="3"/>
        <v>1</v>
      </c>
    </row>
    <row r="77" spans="2:5" ht="15.75" customHeight="1">
      <c r="B77" s="68" t="str">
        <f>Financeiros!C60</f>
        <v>CVE - Energia -  Perda de RB sobre a distribuição</v>
      </c>
      <c r="C77" s="460">
        <f ca="1">Financeiros!D60</f>
        <v>2239.9006019563558</v>
      </c>
      <c r="D77" s="478">
        <f ca="1">C77/Financeiros!$D$4</f>
        <v>3.9861595691384007E-5</v>
      </c>
      <c r="E77" s="473">
        <f t="shared" ca="1" si="3"/>
        <v>1</v>
      </c>
    </row>
    <row r="78" spans="2:5" ht="15.75" customHeight="1">
      <c r="B78" s="68" t="str">
        <f>Financeiros!C61</f>
        <v>CVE - Energia -  Perda de RB sobre o mercado cativo</v>
      </c>
      <c r="C78" s="460">
        <f ca="1">Financeiros!D61</f>
        <v>13257.789524236576</v>
      </c>
      <c r="D78" s="478">
        <f ca="1">C78/Financeiros!$D$4</f>
        <v>2.3593754352983651E-4</v>
      </c>
      <c r="E78" s="473">
        <f t="shared" ca="1" si="3"/>
        <v>1</v>
      </c>
    </row>
    <row r="79" spans="2:5" ht="15.75" hidden="1" customHeight="1">
      <c r="B79" s="68" t="str">
        <f>Financeiros!C62</f>
        <v>CVE - Encargos - PROINFA</v>
      </c>
      <c r="C79" s="460">
        <f ca="1">Financeiros!D62</f>
        <v>0</v>
      </c>
      <c r="D79" s="478">
        <f ca="1">C79/Financeiros!$D$4</f>
        <v>0</v>
      </c>
      <c r="E79" s="473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460">
        <f>Financeiros!D63</f>
        <v>0</v>
      </c>
      <c r="D80" s="478">
        <f ca="1">C80/Financeiros!$D$4</f>
        <v>0</v>
      </c>
      <c r="E80" s="473">
        <f t="shared" ca="1" si="3"/>
        <v>0</v>
      </c>
    </row>
    <row r="81" spans="2:5" ht="15.75" customHeight="1">
      <c r="B81" s="68" t="str">
        <f>Financeiros!C64</f>
        <v>CVE - Encargos - ESS/EER</v>
      </c>
      <c r="C81" s="460">
        <f>Financeiros!D64</f>
        <v>699864.49190000002</v>
      </c>
      <c r="D81" s="478">
        <f ca="1">C81/Financeiros!$D$4</f>
        <v>1.2454889913645052E-2</v>
      </c>
      <c r="E81" s="473">
        <f t="shared" ca="1" si="3"/>
        <v>1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460">
        <f ca="1">Financeiros!D65</f>
        <v>0</v>
      </c>
      <c r="D82" s="478">
        <f ca="1">C82/Financeiros!$D$4</f>
        <v>0</v>
      </c>
      <c r="E82" s="473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460">
        <f ca="1">Financeiros!D66</f>
        <v>0</v>
      </c>
      <c r="D83" s="478">
        <f ca="1">C83/Financeiros!$D$4</f>
        <v>0</v>
      </c>
      <c r="E83" s="473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460">
        <f ca="1">Financeiros!D67</f>
        <v>0</v>
      </c>
      <c r="D84" s="478">
        <f ca="1">C84/Financeiros!$D$4</f>
        <v>0</v>
      </c>
      <c r="E84" s="473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460">
        <f ca="1">Financeiros!D68</f>
        <v>0</v>
      </c>
      <c r="D85" s="478">
        <f ca="1">C85/Financeiros!$D$4</f>
        <v>0</v>
      </c>
      <c r="E85" s="473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460">
        <f ca="1">Financeiros!D69</f>
        <v>0</v>
      </c>
      <c r="D86" s="478">
        <f ca="1">C86/Financeiros!$D$4</f>
        <v>0</v>
      </c>
      <c r="E86" s="473">
        <f t="shared" ca="1" si="3"/>
        <v>0</v>
      </c>
    </row>
    <row r="87" spans="2:5" ht="15.75" hidden="1" customHeight="1">
      <c r="B87" s="68" t="str">
        <f>Financeiros!C70</f>
        <v>Conta Escassez H. - Bônus Redução Voluntária</v>
      </c>
      <c r="C87" s="460">
        <f>Financeiros!D70</f>
        <v>0</v>
      </c>
      <c r="D87" s="478">
        <f ca="1">C87/Financeiros!$D$4</f>
        <v>0</v>
      </c>
      <c r="E87" s="473">
        <f t="shared" ca="1" si="3"/>
        <v>0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460">
        <f ca="1">Financeiros!D71</f>
        <v>0</v>
      </c>
      <c r="D88" s="478">
        <f ca="1">C88/Financeiros!$D$4</f>
        <v>0</v>
      </c>
      <c r="E88" s="473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460">
        <f ca="1">Financeiros!D72</f>
        <v>0</v>
      </c>
      <c r="D89" s="478">
        <f ca="1">C89/Financeiros!$D$4</f>
        <v>0</v>
      </c>
      <c r="E89" s="473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460">
        <f ca="1">Financeiros!D73</f>
        <v>0</v>
      </c>
      <c r="D90" s="478">
        <f ca="1">C90/Financeiros!$D$4</f>
        <v>0</v>
      </c>
      <c r="E90" s="473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460">
        <f ca="1">Financeiros!D74</f>
        <v>0</v>
      </c>
      <c r="D91" s="478">
        <f ca="1">C91/Financeiros!$D$4</f>
        <v>0</v>
      </c>
      <c r="E91" s="473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460">
        <f ca="1">Financeiros!D75</f>
        <v>0</v>
      </c>
      <c r="D92" s="478">
        <f ca="1">C92/Financeiros!$D$4</f>
        <v>0</v>
      </c>
      <c r="E92" s="473">
        <f t="shared" ca="1" si="3"/>
        <v>0</v>
      </c>
    </row>
    <row r="93" spans="2:5" ht="15.75" customHeight="1">
      <c r="B93" s="68" t="str">
        <f>Financeiros!C76</f>
        <v>Sobrecontratação/Reversão de Energia - Energia de Revenda</v>
      </c>
      <c r="C93" s="460">
        <f ca="1">Financeiros!D76</f>
        <v>-78619.751857702999</v>
      </c>
      <c r="D93" s="478">
        <f ca="1">C93/Financeiros!$D$4</f>
        <v>-1.3991284966714597E-3</v>
      </c>
      <c r="E93" s="473">
        <f t="shared" ca="1" si="3"/>
        <v>1</v>
      </c>
    </row>
    <row r="94" spans="2:5" ht="15.75" customHeight="1">
      <c r="B94" s="68" t="str">
        <f>Financeiros!C77</f>
        <v>Sobrecontratação/Reversão de Energia - Perda Não Técnica</v>
      </c>
      <c r="C94" s="460">
        <f ca="1">Financeiros!D77</f>
        <v>-1997.7383530307864</v>
      </c>
      <c r="D94" s="478">
        <f ca="1">C94/Financeiros!$D$4</f>
        <v>-3.5552041218316623E-5</v>
      </c>
      <c r="E94" s="473">
        <f t="shared" ca="1" si="3"/>
        <v>1</v>
      </c>
    </row>
    <row r="95" spans="2:5" ht="15.75" customHeight="1">
      <c r="B95" s="68" t="str">
        <f>Financeiros!C78</f>
        <v>Sobrecontratação/Reversão de Energia - Perda Técnica</v>
      </c>
      <c r="C95" s="460">
        <f ca="1">Financeiros!D78</f>
        <v>-11285.05129978418</v>
      </c>
      <c r="D95" s="478">
        <f ca="1">C95/Financeiros!$D$4</f>
        <v>-2.0083040822241346E-4</v>
      </c>
      <c r="E95" s="473">
        <f t="shared" ca="1" si="3"/>
        <v>1</v>
      </c>
    </row>
    <row r="96" spans="2:5" ht="15.75" customHeight="1">
      <c r="B96" s="68" t="str">
        <f>Financeiros!C79</f>
        <v>Sobrecontratação/Reversão de Energia - Perda Rede Básica sobre Dist.</v>
      </c>
      <c r="C96" s="460">
        <f ca="1">Financeiros!D79</f>
        <v>-481.3438546352009</v>
      </c>
      <c r="D96" s="478">
        <f ca="1">C96/Financeiros!$D$4</f>
        <v>-8.566064987545619E-6</v>
      </c>
      <c r="E96" s="473">
        <f t="shared" ca="1" si="3"/>
        <v>1</v>
      </c>
    </row>
    <row r="97" spans="2:5" ht="15.75" customHeight="1">
      <c r="B97" s="68" t="str">
        <f>Financeiros!C80</f>
        <v>Sobrecontratação/Reversão de Energia - Perda Rede Básica sobre mercado Cat.</v>
      </c>
      <c r="C97" s="460">
        <f ca="1">Financeiros!D80</f>
        <v>-2849.0351348468289</v>
      </c>
      <c r="D97" s="478">
        <f ca="1">C97/Financeiros!$D$4</f>
        <v>-5.0701842107020808E-5</v>
      </c>
      <c r="E97" s="473">
        <f t="shared" ca="1" si="3"/>
        <v>1</v>
      </c>
    </row>
    <row r="98" spans="2:5" ht="15.75" hidden="1" customHeight="1">
      <c r="B98" s="68">
        <f>Financeiros!C81</f>
        <v>0</v>
      </c>
      <c r="C98" s="460">
        <f>Financeiros!D81</f>
        <v>0</v>
      </c>
      <c r="D98" s="478">
        <f ca="1">C98/Financeiros!$D$4</f>
        <v>0</v>
      </c>
      <c r="E98" s="473">
        <f t="shared" ca="1" si="3"/>
        <v>0</v>
      </c>
    </row>
    <row r="99" spans="2:5" ht="15.75" customHeight="1">
      <c r="B99" s="824" t="str">
        <f>Financeiros!C82</f>
        <v>Reversão de Risco Hidrológico</v>
      </c>
      <c r="C99" s="987">
        <f>Financeiros!D82</f>
        <v>-782677.23987553886</v>
      </c>
      <c r="D99" s="988">
        <f ca="1">C99/Financeiros!$D$4</f>
        <v>-1.3928637576827175E-2</v>
      </c>
      <c r="E99" s="473">
        <f t="shared" ca="1" si="3"/>
        <v>1</v>
      </c>
    </row>
    <row r="100" spans="2:5" ht="15.75" customHeight="1">
      <c r="B100" s="736"/>
      <c r="C100" s="989"/>
      <c r="D100" s="990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R211" zoomScale="150" zoomScaleNormal="150" workbookViewId="0">
      <selection activeCell="AW225" sqref="AW225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806</v>
      </c>
      <c r="E2" s="303" t="s">
        <v>807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808</v>
      </c>
    </row>
    <row r="5" spans="2:49" ht="15" customHeight="1">
      <c r="B5" s="304" t="s">
        <v>809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4" t="s">
        <v>810</v>
      </c>
      <c r="K6" s="358" t="s">
        <v>811</v>
      </c>
      <c r="L6" s="308"/>
      <c r="S6" s="358" t="s">
        <v>811</v>
      </c>
      <c r="T6" s="358"/>
      <c r="U6" s="358"/>
      <c r="V6" s="358"/>
      <c r="AC6" s="23" t="str">
        <f>IF(LnkTXTSuprid2="!vazio!","","s")</f>
        <v/>
      </c>
      <c r="AD6" s="23">
        <f>SMALL(N41:N42,1)</f>
        <v>367.37750048440228</v>
      </c>
      <c r="AE6" s="23">
        <f>SMALL(Q41:Q42,1)</f>
        <v>448.49008525479559</v>
      </c>
    </row>
    <row r="7" spans="2:49" ht="18.75" customHeight="1">
      <c r="B7" s="304" t="s">
        <v>812</v>
      </c>
      <c r="K7" s="1138" t="s">
        <v>813</v>
      </c>
      <c r="L7" s="1138" t="s">
        <v>814</v>
      </c>
      <c r="S7" s="1804" t="s">
        <v>815</v>
      </c>
      <c r="T7" s="1804"/>
      <c r="U7" s="1804"/>
      <c r="V7" s="301" t="s">
        <v>816</v>
      </c>
      <c r="W7" s="301" t="s">
        <v>817</v>
      </c>
      <c r="X7" s="60" t="s">
        <v>818</v>
      </c>
    </row>
    <row r="8" spans="2:49" ht="15" customHeight="1">
      <c r="B8" s="306" t="s">
        <v>819</v>
      </c>
      <c r="K8" s="358" t="s">
        <v>820</v>
      </c>
      <c r="L8" s="20">
        <f ca="1">Resultado!E14</f>
        <v>5.9150641855747983E-2</v>
      </c>
      <c r="S8" s="47" t="s">
        <v>821</v>
      </c>
      <c r="T8" s="369">
        <f ca="1">U8/$U$15</f>
        <v>0.44736926564250862</v>
      </c>
      <c r="U8" s="56">
        <f>AU228</f>
        <v>31500000</v>
      </c>
      <c r="V8" s="61" t="s">
        <v>233</v>
      </c>
      <c r="W8" s="62">
        <f ca="1">T12</f>
        <v>0.15557983304160264</v>
      </c>
      <c r="X8" s="62">
        <f ca="1">W8/(1-$W$10)</f>
        <v>0.18921106044350455</v>
      </c>
    </row>
    <row r="9" spans="2:49" ht="15" customHeight="1">
      <c r="B9" s="306" t="s">
        <v>822</v>
      </c>
      <c r="K9" s="365" t="s">
        <v>794</v>
      </c>
      <c r="L9" s="366">
        <f ca="1">Resultado!E24</f>
        <v>1.1792166971017481E-2</v>
      </c>
      <c r="S9" s="47" t="s">
        <v>823</v>
      </c>
      <c r="T9" s="369">
        <f ca="1">U9/$U$15</f>
        <v>0.20137994199379075</v>
      </c>
      <c r="U9" s="56">
        <f ca="1">AU219</f>
        <v>14179490.322595056</v>
      </c>
      <c r="V9" s="47" t="s">
        <v>824</v>
      </c>
      <c r="W9" s="57">
        <f ca="1">T13</f>
        <v>2.2164677892755068E-2</v>
      </c>
      <c r="X9" s="62">
        <f ca="1">W9/(1-$W$10)</f>
        <v>2.6955950051414761E-2</v>
      </c>
      <c r="AD9" s="425"/>
      <c r="AE9" s="425"/>
    </row>
    <row r="10" spans="2:49" ht="27.75" customHeight="1">
      <c r="B10" s="306" t="s">
        <v>825</v>
      </c>
      <c r="K10" s="358" t="s">
        <v>826</v>
      </c>
      <c r="L10" s="25">
        <f ca="1">Resultado!E33</f>
        <v>-6.1806216468714537E-2</v>
      </c>
      <c r="S10" s="47" t="s">
        <v>827</v>
      </c>
      <c r="T10" s="369">
        <f ca="1">U10/$U$15</f>
        <v>4.9544046316945006E-2</v>
      </c>
      <c r="U10" s="56">
        <f>AU221</f>
        <v>3488477.1459263992</v>
      </c>
      <c r="V10" s="1139" t="s">
        <v>828</v>
      </c>
      <c r="W10" s="1140">
        <f ca="1">SUM(W8:W9)</f>
        <v>0.1777445109343577</v>
      </c>
      <c r="X10" s="1140">
        <f ca="1">SUM(X8:X9)</f>
        <v>0.21616701049491932</v>
      </c>
      <c r="AE10" s="425"/>
    </row>
    <row r="11" spans="2:49" ht="15" customHeight="1">
      <c r="B11" s="304" t="s">
        <v>823</v>
      </c>
      <c r="K11" s="358" t="s">
        <v>829</v>
      </c>
      <c r="L11" s="25">
        <f ca="1">Resultado!E39</f>
        <v>2.119525470838177E-2</v>
      </c>
      <c r="S11" s="1141" t="s">
        <v>820</v>
      </c>
      <c r="T11" s="1142">
        <f ca="1">U11/$U$15</f>
        <v>0.12396223511239773</v>
      </c>
      <c r="U11" s="1143">
        <f ca="1">AU208</f>
        <v>8728383.2527754605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830</v>
      </c>
      <c r="K12" s="23" t="s">
        <v>801</v>
      </c>
      <c r="L12" s="19">
        <f ca="1">LnkTXTIRTFin</f>
        <v>-0.33889999999999998</v>
      </c>
      <c r="S12" s="47" t="s">
        <v>233</v>
      </c>
      <c r="T12" s="57">
        <f ca="1">Calc_Mercado!J8</f>
        <v>0.15557983304160264</v>
      </c>
      <c r="U12" s="56">
        <f ca="1">T12*U15</f>
        <v>10954629.915785652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801</v>
      </c>
      <c r="K13" s="23" t="s">
        <v>831</v>
      </c>
      <c r="L13" s="19">
        <f ca="1">LnkTXTERFIN</f>
        <v>0.40579999999999999</v>
      </c>
      <c r="S13" s="47" t="s">
        <v>832</v>
      </c>
      <c r="T13" s="58">
        <f ca="1">Calc_Mercado!J9</f>
        <v>2.2164677892755068E-2</v>
      </c>
      <c r="U13" s="56">
        <f ca="1">T13*U15</f>
        <v>1560651.138202471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833</v>
      </c>
      <c r="K14" s="358" t="s">
        <v>834</v>
      </c>
      <c r="L14" s="366">
        <f>LnkTXTEfeito</f>
        <v>2.8792243386260408E-2</v>
      </c>
      <c r="S14" s="47" t="s">
        <v>835</v>
      </c>
      <c r="T14" s="369">
        <f ca="1">SUM(T12:T13)</f>
        <v>0.1777445109343577</v>
      </c>
      <c r="U14" s="56">
        <f ca="1">SUM(U12:U13)</f>
        <v>12515281.053988123</v>
      </c>
      <c r="V14" s="56"/>
      <c r="AD14" s="23" t="s">
        <v>109</v>
      </c>
      <c r="AE14" s="23" t="s">
        <v>120</v>
      </c>
      <c r="AF14" s="23" t="s">
        <v>794</v>
      </c>
      <c r="AG14" s="23" t="s">
        <v>783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836</v>
      </c>
      <c r="S15" s="1139" t="s">
        <v>837</v>
      </c>
      <c r="T15" s="1144">
        <f ca="1">SUM(T8:T11)+T14</f>
        <v>0.99999999999999989</v>
      </c>
      <c r="U15" s="1145">
        <f ca="1">SUM(U8:U11)/(1-T14)</f>
        <v>70411631.77528505</v>
      </c>
      <c r="V15" s="665"/>
      <c r="AC15" s="23" t="s">
        <v>838</v>
      </c>
      <c r="AD15" s="425">
        <f ca="1">Resultado!C39</f>
        <v>30308997.408245143</v>
      </c>
      <c r="AE15" s="425">
        <f ca="1">Resultado!C33</f>
        <v>17652501.85341147</v>
      </c>
      <c r="AF15" s="425">
        <f ca="1">Resultado!C24</f>
        <v>2825852.3453226169</v>
      </c>
      <c r="AG15" s="425">
        <f ca="1">Resultado!C14</f>
        <v>5404593.6251707515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839</v>
      </c>
      <c r="AC16" s="23" t="s">
        <v>840</v>
      </c>
      <c r="AD16" s="425">
        <f>Resultado!D39</f>
        <v>31500000</v>
      </c>
      <c r="AE16" s="425">
        <f ca="1">Resultado!D33</f>
        <v>14179490.322595056</v>
      </c>
      <c r="AF16" s="425">
        <f>Resultado!D24</f>
        <v>3488477.1459263992</v>
      </c>
      <c r="AG16" s="425">
        <f ca="1">Resultado!D14</f>
        <v>8728383.2527754605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705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841</v>
      </c>
      <c r="S19" s="358" t="s">
        <v>811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702</v>
      </c>
      <c r="S20" s="1808" t="s">
        <v>842</v>
      </c>
      <c r="T20" s="1808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821</v>
      </c>
      <c r="T21" s="55">
        <f ca="1">AX228</f>
        <v>0.54407574238375733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823</v>
      </c>
      <c r="T22" s="55">
        <f ca="1">AX219</f>
        <v>0.24491164202822879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827</v>
      </c>
      <c r="T23" s="55">
        <f ca="1">AX221</f>
        <v>6.0253834697100841E-2</v>
      </c>
      <c r="Z23" s="30" t="s">
        <v>843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844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1.7917083638372071E-2</v>
      </c>
      <c r="AL26" s="358"/>
    </row>
    <row r="27" spans="2:46" ht="15" customHeight="1">
      <c r="S27" s="47" t="s">
        <v>41</v>
      </c>
      <c r="T27" s="55">
        <f ca="1">AX212</f>
        <v>0.11123880869923215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2.3478375008763098E-3</v>
      </c>
      <c r="AD28" s="47"/>
      <c r="AE28" s="397"/>
      <c r="AF28" s="56"/>
      <c r="AL28" s="358"/>
    </row>
    <row r="29" spans="2:46" ht="15" customHeight="1">
      <c r="S29" s="47" t="s">
        <v>845</v>
      </c>
      <c r="T29" s="55">
        <f ca="1">AX215</f>
        <v>3.9204494939836972E-2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46" t="s">
        <v>846</v>
      </c>
      <c r="T31" s="1147">
        <f ca="1">SUM(T21:T30)</f>
        <v>1.0199494438874046</v>
      </c>
    </row>
    <row r="36" spans="1:36" ht="15" customHeight="1">
      <c r="N36" s="664" t="s">
        <v>847</v>
      </c>
      <c r="O36" s="664"/>
      <c r="P36" s="1148">
        <f>VLOOKUP(LnkTXTSigla,Informacoes[],35,FALSE)</f>
        <v>41365</v>
      </c>
      <c r="Q36" s="1149">
        <f>DATE(2013,MONTH(DataRevRea),1)</f>
        <v>41456</v>
      </c>
    </row>
    <row r="37" spans="1:36" ht="15" customHeight="1">
      <c r="L37" s="358" t="s">
        <v>811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50"/>
      <c r="M38" s="1151">
        <f t="shared" ref="M38:V38" si="0">DATE(M37,MONTH(DataRevRea),1)</f>
        <v>41456</v>
      </c>
      <c r="N38" s="1151">
        <f t="shared" si="0"/>
        <v>41821</v>
      </c>
      <c r="O38" s="1151">
        <f t="shared" si="0"/>
        <v>42186</v>
      </c>
      <c r="P38" s="1151">
        <f t="shared" si="0"/>
        <v>42552</v>
      </c>
      <c r="Q38" s="1151">
        <f t="shared" si="0"/>
        <v>42917</v>
      </c>
      <c r="R38" s="1151">
        <f t="shared" si="0"/>
        <v>43282</v>
      </c>
      <c r="S38" s="1151">
        <f t="shared" si="0"/>
        <v>43647</v>
      </c>
      <c r="T38" s="1151">
        <f t="shared" si="0"/>
        <v>44013</v>
      </c>
      <c r="U38" s="1151">
        <f t="shared" si="0"/>
        <v>44378</v>
      </c>
      <c r="V38" s="1151">
        <f t="shared" si="0"/>
        <v>44743</v>
      </c>
      <c r="W38" s="1151" t="s">
        <v>781</v>
      </c>
    </row>
    <row r="39" spans="1:36" ht="15" customHeight="1">
      <c r="L39" s="65" t="str">
        <f>CAPA!C9</f>
        <v>Cooperluz</v>
      </c>
      <c r="M39" s="410">
        <f>SUMIF(TAbtarifasb1[[#All],[Sigla]],LnkTXTSigla,TAbtarifasb1[[#All],[2013]])</f>
        <v>344.88</v>
      </c>
      <c r="N39" s="410">
        <f>SUMIF(TAbtarifasb1[[#All],[Sigla]],LnkTXTSigla,TAbtarifasb1[[#All],[2014]])</f>
        <v>366.2</v>
      </c>
      <c r="O39" s="410">
        <f>SUMIF(TAbtarifasb1[[#All],[Sigla]],LnkTXTSigla,TAbtarifasb1[[#All],[2015]])</f>
        <v>450.46000000000004</v>
      </c>
      <c r="P39" s="422">
        <f>SUMIF(TAbtarifasb1[[#All],[Sigla]],LnkTXTSigla,TAbtarifasb1[[#All],[2016]])</f>
        <v>424.82695202870184</v>
      </c>
      <c r="Q39" s="422">
        <f>SUMIF(TAbtarifasb1[[#All],[Sigla]],LnkTXTSigla,TAbtarifasb1[[#All],[2017]])</f>
        <v>507.06</v>
      </c>
      <c r="R39" s="790">
        <f>SUMIF(TAbtarifasb1[[#All],[Sigla]],LnkTXTSigla,TAbtarifasb1[[#All],[2018]])</f>
        <v>452.06</v>
      </c>
      <c r="S39" s="790">
        <f>SUMIF(TAbtarifasb1[[#All],[Sigla]],LnkTXTSigla,TAbtarifasb1[[#All],[2019]])</f>
        <v>503.84</v>
      </c>
      <c r="T39" s="425">
        <f>SUMIF(TAbtarifasb1[[#All],[Sigla]],LnkTXTSigla,TAbtarifasb1[[#All],[2020]])</f>
        <v>506.04</v>
      </c>
      <c r="U39" s="425">
        <f>SUMIF(TAbtarifasb1[[#All],[Sigla]],LnkTXTSigla,TAbtarifasb1[[#All],[2021]])</f>
        <v>514.01</v>
      </c>
      <c r="V39" s="425">
        <f>Resultado!L6</f>
        <v>504.65000000000003</v>
      </c>
      <c r="W39" s="777">
        <f>V39/M39-1</f>
        <v>0.46326258408721888</v>
      </c>
    </row>
    <row r="40" spans="1:36" ht="15" customHeight="1">
      <c r="L40" s="65" t="str">
        <f>LnkTXTSuprid1</f>
        <v>RGE</v>
      </c>
      <c r="M40" s="410">
        <f>SUMIF(TAbtarifasb1[[#All],[Sigla]],LnkTXTSuprid1,TAbtarifasb1[[#All],[2013]])</f>
        <v>284.77999999999997</v>
      </c>
      <c r="N40" s="410">
        <f>SUMIF(TAbtarifasb1[[#All],[Sigla]],LnkTXTSuprid1,TAbtarifasb1[[#All],[2014]])</f>
        <v>350.69</v>
      </c>
      <c r="O40" s="410">
        <f>SUMIF(TAbtarifasb1[[#All],[Sigla]],LnkTXTSuprid1,TAbtarifasb1[[#All],[2015]])</f>
        <v>446.79999999999995</v>
      </c>
      <c r="P40" s="410">
        <f>SUMIF(TAbtarifasb1[[#All],[Sigla]],LnkTXTSuprid1,TAbtarifasb1[[#All],[2016]])</f>
        <v>415.49</v>
      </c>
      <c r="Q40" s="410">
        <f>SUMIF(TAbtarifasb1[[#All],[Sigla]],LnkTXTSuprid1,TAbtarifasb1[[#All],[2017]])</f>
        <v>433.86</v>
      </c>
      <c r="R40" s="410">
        <f>SUMIF(TAbtarifasb1[[#All],[Sigla]],LnkTXTSuprid1,TAbtarifasb1[[#All],[2018]])</f>
        <v>527.58999999999992</v>
      </c>
      <c r="S40" s="410">
        <f>SUMIF(TAbtarifasb1[[#All],[Sigla]],LnkTXTSuprid1,TAbtarifasb1[[#All],[2019]])</f>
        <v>560.27</v>
      </c>
      <c r="T40" s="410">
        <f>SUMIF(TAbtarifasb1[[#All],[Sigla]],LnkTXTSuprid1,TAbtarifasb1[[#All],[2020]])</f>
        <v>589.57000000000005</v>
      </c>
      <c r="U40" s="410">
        <f>SUMIF(TAbtarifasb1[[#All],[Sigla]],LnkTXTSuprid1,TAbtarifasb1[[#All],[2021]])</f>
        <v>643.09</v>
      </c>
      <c r="V40" s="410">
        <f>SUMIF(TAbtarifasb1[[#All],[Sigla]],LnkTXTSuprid1,TAbtarifasb1[[#All],[2022]])</f>
        <v>0</v>
      </c>
      <c r="W40" s="777">
        <f>V40/M40-1</f>
        <v>-1</v>
      </c>
    </row>
    <row r="41" spans="1:36" ht="15" customHeight="1">
      <c r="L41" s="65" t="s">
        <v>848</v>
      </c>
      <c r="M41" s="411">
        <f>M39</f>
        <v>344.88</v>
      </c>
      <c r="N41" s="411">
        <f>VLOOKUP(DATE(YEAR(O38),MONTH(O38)-1,1),Índices!$B:$F,2,FALSE)/VLOOKUP(DATE(YEAR(Q36),MONTH(Q36)-1,1),Índices!$B:$F,2,FALSE)*M41</f>
        <v>386.8964580383817</v>
      </c>
      <c r="O41" s="411">
        <f>VLOOKUP(DATE(YEAR(O38),MONTH(O38)-1,1),Índices!$B:$F,2,FALSE)/VLOOKUP(DATE(YEAR(N38),MONTH(N38)-1,1),Índices!$B:$F,2,FALSE)*N41</f>
        <v>408.53458420755095</v>
      </c>
      <c r="P41" s="411">
        <f>VLOOKUP(DATE(YEAR(P38),MONTH(P38)-1,1),Índices!$B:$F,2,FALSE)/VLOOKUP(DATE(YEAR(O38),MONTH(O38)-1,1),Índices!$B:$F,2,FALSE)*O41</f>
        <v>458.40531977331381</v>
      </c>
      <c r="Q41" s="411">
        <f>VLOOKUP(DATE(YEAR(Q38),MONTH(Q38)-1,1),Índices!$B:$F,2,FALSE)/VLOOKUP(DATE(YEAR(P38),MONTH(P38)-1,1),Índices!$B:$F,2,FALSE)*P41</f>
        <v>454.83696149462986</v>
      </c>
      <c r="R41" s="368">
        <f>IF(R37=YEAR(CAPA!$C$114),'Tabelas e Gráficos'!R39,(VLOOKUP(DATE(YEAR(R38),MONTH(R38)-1,1),Índices!$B:$F,2,FALSE)/VLOOKUP(DATE(YEAR(Q38),MONTH(Q38)-1,1),Índices!$B:$F,2,FALSE)*Q41))</f>
        <v>486.31735914172612</v>
      </c>
      <c r="S41" s="368">
        <f>IF(S37=YEAR(CAPA!$C$114),'Tabelas e Gráficos'!S39,(VLOOKUP(DATE(YEAR(S38),MONTH(S38)-1,1),Índices!$B:$F,2,FALSE)/VLOOKUP(DATE(YEAR(R38),MONTH(R38)-1,1),Índices!$B:$F,2,FALSE)*R41))</f>
        <v>517.97733212189542</v>
      </c>
      <c r="T41" s="368">
        <f>IF(T37=YEAR(CAPA!$C$114),'Tabelas e Gráficos'!T39,(VLOOKUP(DATE(YEAR(T38),MONTH(T38)-1,1),Índices!$B:$F,2,FALSE)/VLOOKUP(DATE(YEAR(S38),MONTH(S38)-1,1),Índices!$B:$F,2,FALSE)*S41))</f>
        <v>555.8621156711705</v>
      </c>
      <c r="U41" s="411">
        <f>VLOOKUP(DATE(YEAR(U38),MONTH(U38)-1,1),Índices!$B:$F,2,FALSE)/VLOOKUP(DATE(YEAR(T38),MONTH(T38)-1,1),Índices!$B:$F,2,FALSE)*T41</f>
        <v>754.59028036239863</v>
      </c>
      <c r="V41" s="411">
        <f>VLOOKUP(DATE(YEAR(V38),MONTH(V38)-1,1),Índices!$B:$F,2,FALSE)/VLOOKUP(DATE(YEAR(U38),MONTH(U38)-1,1),Índices!$B:$F,2,FALSE)*U41</f>
        <v>835.36340547192856</v>
      </c>
      <c r="W41" s="777">
        <f>V41/M41-1</f>
        <v>1.4221857036416394</v>
      </c>
    </row>
    <row r="42" spans="1:36" ht="15" customHeight="1">
      <c r="L42" s="1152" t="s">
        <v>849</v>
      </c>
      <c r="M42" s="1154">
        <f>M39</f>
        <v>344.88</v>
      </c>
      <c r="N42" s="1154">
        <f>VLOOKUP(DATE(YEAR(N38),MONTH(N38)-1,1),Índices!$B:$F,3,FALSE)/VLOOKUP(DATE(YEAR(Q36),MONTH(Q36)-1,1),Índices!$B:$F,3,FALSE)*M42</f>
        <v>367.37750048440228</v>
      </c>
      <c r="O42" s="1154">
        <f>VLOOKUP(DATE(YEAR(O38),MONTH(O38)-1,1),Índices!$B:$F,3,FALSE)/VLOOKUP(DATE(YEAR(N38),MONTH(N38)-1,1),Índices!$B:$F,3,FALSE)*N42</f>
        <v>400.05363495446619</v>
      </c>
      <c r="P42" s="1154">
        <f>VLOOKUP(DATE(YEAR(P38),MONTH(P38)-1,1),Índices!$B:$F,3,FALSE)/VLOOKUP(DATE(YEAR(O38),MONTH(O38)-1,1),Índices!$B:$F,3,FALSE)*O42</f>
        <v>435.43336756442545</v>
      </c>
      <c r="Q42" s="1154">
        <f>VLOOKUP(DATE(YEAR(Q38),MONTH(Q38)-1,1),Índices!$B:$F,3,FALSE)/VLOOKUP(DATE(YEAR(P38),MONTH(P38)-1,1),Índices!$B:$F,3,FALSE)*P42</f>
        <v>448.49008525479559</v>
      </c>
      <c r="R42" s="1153">
        <f>IF(R37=YEAR(CAPA!$C$114),'Tabelas e Gráficos'!R39,(VLOOKUP(DATE(YEAR(R38),MONTH(R38)-1,1),Índices!$B:$F,3,FALSE)/VLOOKUP(DATE(YEAR(Q38),MONTH(Q38)-1,1),Índices!$B:$F,3,FALSE)*'Tabelas e Gráficos'!Q42))</f>
        <v>468.18375121100559</v>
      </c>
      <c r="S42" s="1153">
        <f>IF(S37=YEAR(CAPA!$C$114),'Tabelas e Gráficos'!S39,(VLOOKUP(DATE(YEAR(S38),MONTH(S38)-1,1),Índices!$B:$F,3,FALSE)/VLOOKUP(DATE(YEAR(R38),MONTH(R38)-1,1),Índices!$B:$F,3,FALSE)*'Tabelas e Gráficos'!R42))</f>
        <v>483.94406704127113</v>
      </c>
      <c r="T42" s="1153">
        <f>IF(T37=YEAR(CAPA!$C$114),'Tabelas e Gráficos'!T39,(VLOOKUP(DATE(YEAR(T38),MONTH(T38)-1,1),Índices!$B:$F,3,FALSE)/VLOOKUP(DATE(YEAR(S38),MONTH(S38)-1,1),Índices!$B:$F,3,FALSE)*'Tabelas e Gráficos'!S42))</f>
        <v>494.26377446231351</v>
      </c>
      <c r="U42" s="1154">
        <f>VLOOKUP(DATE(YEAR(U38),MONTH(U38)-1,1),Índices!$B:$F,3,FALSE)/VLOOKUP(DATE(YEAR(T38),MONTH(T38)-1,1),Índices!$B:$F,3,FALSE)*T42</f>
        <v>535.5203293935283</v>
      </c>
      <c r="V42" s="1154">
        <f>VLOOKUP(DATE(YEAR(V38),MONTH(V38)-1,1),Índices!$B:$F,3,FALSE)/VLOOKUP(DATE(YEAR(U38),MONTH(U38)-1,1),Índices!$B:$F,3,FALSE)*U42</f>
        <v>599.176932764968</v>
      </c>
      <c r="W42" s="777">
        <f>V42/M42-1</f>
        <v>0.73734902796615631</v>
      </c>
    </row>
    <row r="43" spans="1:36" ht="15" customHeight="1">
      <c r="X43" s="23">
        <v>938.62</v>
      </c>
    </row>
    <row r="44" spans="1:36" ht="15" customHeight="1">
      <c r="X44" s="895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806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808</v>
      </c>
      <c r="C50" s="308" t="s">
        <v>850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851</v>
      </c>
      <c r="C51" s="309" t="s">
        <v>852</v>
      </c>
      <c r="H51" s="23"/>
      <c r="K51" s="49"/>
      <c r="L51" s="1809"/>
      <c r="M51" s="1809"/>
      <c r="N51" s="1809"/>
      <c r="O51" s="49"/>
      <c r="P51" s="49"/>
    </row>
    <row r="52" spans="1:47" ht="15" customHeight="1">
      <c r="B52" s="310" t="s">
        <v>853</v>
      </c>
      <c r="C52" s="311">
        <f ca="1">Resultado!C5</f>
        <v>57896350.721296914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854</v>
      </c>
      <c r="C53" s="311">
        <f ca="1">Resultado!C6</f>
        <v>56191945.232149981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3.033184706643266E-2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801</v>
      </c>
      <c r="C55" s="314">
        <f ca="1">Resultado!C8</f>
        <v>-0.33889999999999998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155" t="str">
        <f>Resultado!B9</f>
        <v>Variação econômica e financeira</v>
      </c>
      <c r="C56" s="1156">
        <f ca="1">C54+C55</f>
        <v>-0.30856815293356732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809</v>
      </c>
      <c r="F58" s="316"/>
      <c r="G58" s="308" t="s">
        <v>850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855</v>
      </c>
      <c r="F59" s="309" t="s">
        <v>856</v>
      </c>
      <c r="G59" s="309" t="s">
        <v>857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858</v>
      </c>
      <c r="F60" s="311">
        <f ca="1">Calc_Mercado!C8</f>
        <v>71413.907999999996</v>
      </c>
      <c r="G60" s="311">
        <f ca="1">Calc_Mercado!D8</f>
        <v>55192361.424989976</v>
      </c>
      <c r="H60" s="318" t="s">
        <v>859</v>
      </c>
    </row>
    <row r="61" spans="1:47" ht="15" hidden="1" customHeight="1">
      <c r="E61" s="310" t="s">
        <v>860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861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862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863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864</v>
      </c>
      <c r="F65" s="311">
        <f ca="1">Calc_Mercado!C13</f>
        <v>6019.0920000000024</v>
      </c>
      <c r="G65" s="311">
        <f ca="1">Calc_Mercado!D13</f>
        <v>3956457.3260500007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865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866</v>
      </c>
      <c r="F67" s="311">
        <f ca="1">Calc_Mercado!C15</f>
        <v>65394.815999999992</v>
      </c>
      <c r="G67" s="311">
        <f ca="1">Calc_Mercado!D15</f>
        <v>51235904.098939978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867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868</v>
      </c>
      <c r="F69" s="311">
        <f ca="1">Calc_Mercado!C18</f>
        <v>2321.11</v>
      </c>
      <c r="G69" s="311">
        <f ca="1">Calc_Mercado!D18</f>
        <v>882707.88715999958</v>
      </c>
      <c r="H69" s="318">
        <f t="shared" ca="1" si="1"/>
        <v>1</v>
      </c>
    </row>
    <row r="70" spans="2:43" ht="15" customHeight="1">
      <c r="C70" s="315"/>
      <c r="D70" s="312"/>
      <c r="E70" s="1155" t="s">
        <v>846</v>
      </c>
      <c r="F70" s="1157">
        <f ca="1">Calc_Mercado!C25</f>
        <v>73735.017999999996</v>
      </c>
      <c r="G70" s="1157">
        <f ca="1">Calc_Mercado!D25</f>
        <v>56191945.232149981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810</v>
      </c>
      <c r="J72" s="316"/>
      <c r="K72" s="308" t="s">
        <v>850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869</v>
      </c>
      <c r="J73" s="301" t="s">
        <v>870</v>
      </c>
      <c r="K73" s="301" t="s">
        <v>871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06"/>
      <c r="D74" s="1806"/>
      <c r="E74" s="1806"/>
      <c r="I74" s="1158" t="s">
        <v>820</v>
      </c>
      <c r="J74" s="1159">
        <f ca="1">SUM(J75:J83)</f>
        <v>5404593.6251707515</v>
      </c>
      <c r="K74" s="1160">
        <f ca="1">SUM(K75:K83)</f>
        <v>9.618093132107014E-2</v>
      </c>
      <c r="L74" s="318" t="s">
        <v>859</v>
      </c>
      <c r="N74" s="34"/>
      <c r="AG74" s="49"/>
      <c r="AH74" s="1813"/>
      <c r="AI74" s="1813"/>
      <c r="AJ74" s="1813"/>
      <c r="AK74" s="667"/>
      <c r="AL74" s="49"/>
      <c r="AM74" s="49"/>
      <c r="AN74" s="49"/>
      <c r="AO74" s="49"/>
    </row>
    <row r="75" spans="2:43" ht="15" hidden="1" customHeight="1">
      <c r="B75" s="30"/>
      <c r="C75" s="1805"/>
      <c r="D75" s="1805"/>
      <c r="E75" s="1805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814"/>
      <c r="AI75" s="1814"/>
      <c r="AJ75" s="1814"/>
      <c r="AK75" s="668"/>
      <c r="AL75" s="429"/>
      <c r="AM75" s="49"/>
      <c r="AN75" s="49"/>
      <c r="AO75" s="49"/>
    </row>
    <row r="76" spans="2:43" ht="15" hidden="1" customHeight="1">
      <c r="B76" s="30"/>
      <c r="C76" s="1805"/>
      <c r="D76" s="1805"/>
      <c r="E76" s="1805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805"/>
      <c r="D77" s="1805"/>
      <c r="E77" s="1805"/>
      <c r="I77" s="35" t="str">
        <f>Resultado!B17</f>
        <v>Taxa de Fisc. de Serviços de E.E. – TFSEE</v>
      </c>
      <c r="J77" s="320">
        <f ca="1">Mercado_Faturado_Encargo_TFSEE_BRUTO</f>
        <v>136147.25831243768</v>
      </c>
      <c r="K77" s="36">
        <f t="shared" ca="1" si="2"/>
        <v>2.4228963377217563E-3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805"/>
      <c r="D78" s="1805"/>
      <c r="E78" s="1805"/>
      <c r="I78" s="35" t="str">
        <f>Resultado!B18</f>
        <v>Conta de Desenvolvimento Energético – CDE</v>
      </c>
      <c r="J78" s="320">
        <f ca="1">Mercado_Faturado_Encargo_CDE_BRUTO</f>
        <v>4359799.8740981584</v>
      </c>
      <c r="K78" s="36">
        <f t="shared" ca="1" si="2"/>
        <v>7.7587630328264864E-2</v>
      </c>
      <c r="L78" s="318">
        <f t="shared" ref="L78:L94" ca="1" si="3">IF(J78=0,0,1)</f>
        <v>1</v>
      </c>
      <c r="N78" s="36"/>
      <c r="AG78" s="49"/>
      <c r="AH78" s="1814"/>
      <c r="AI78" s="1814"/>
      <c r="AJ78" s="1814"/>
      <c r="AK78" s="668"/>
      <c r="AL78" s="429"/>
      <c r="AM78" s="49"/>
      <c r="AN78" s="49"/>
      <c r="AO78" s="49"/>
    </row>
    <row r="79" spans="2:43" ht="15" hidden="1" customHeight="1">
      <c r="B79" s="30"/>
      <c r="C79" s="1805"/>
      <c r="D79" s="1805"/>
      <c r="E79" s="1805"/>
      <c r="I79" s="35">
        <f>Resultado!B19</f>
        <v>0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805"/>
      <c r="D80" s="1805"/>
      <c r="E80" s="1805"/>
      <c r="I80" s="35" t="str">
        <f>Resultado!B20</f>
        <v>Encargos Serv. Sist. - ESS e Energ. Reserv. – EER</v>
      </c>
      <c r="J80" s="320">
        <f ca="1">Mercado_Faturado_Encargo_ESSERR_BRUTO</f>
        <v>224225.79157262601</v>
      </c>
      <c r="K80" s="36">
        <f t="shared" ca="1" si="2"/>
        <v>3.990354678882627E-3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805"/>
      <c r="D81" s="1805"/>
      <c r="E81" s="1805"/>
      <c r="I81" s="35" t="str">
        <f>Resultado!B21</f>
        <v>PROINFA</v>
      </c>
      <c r="J81" s="320">
        <f ca="1">Mercado_Faturado_Encargo_PROINFA_BRUTO</f>
        <v>684420.70118752972</v>
      </c>
      <c r="K81" s="36">
        <f t="shared" ca="1" si="2"/>
        <v>1.2180049976200884E-2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814"/>
      <c r="AI82" s="1814"/>
      <c r="AJ82" s="1814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158" t="s">
        <v>872</v>
      </c>
      <c r="J84" s="1159">
        <f ca="1">SUM(Calc_Mercado!C79:C85)</f>
        <v>17652501.85341147</v>
      </c>
      <c r="K84" s="1160">
        <f ca="1">SUM(K85)</f>
        <v>0.31414648096773246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873</v>
      </c>
      <c r="J85" s="320">
        <f ca="1">J84</f>
        <v>17652501.85341147</v>
      </c>
      <c r="K85" s="36">
        <f t="shared" ref="K85:K96" ca="1" si="4">J85/$J$97</f>
        <v>0.31414648096773246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812"/>
      <c r="C86" s="1812"/>
      <c r="D86" s="1812"/>
      <c r="E86" s="1812"/>
      <c r="F86" s="1812"/>
      <c r="G86" s="39"/>
      <c r="I86" s="1158" t="s">
        <v>874</v>
      </c>
      <c r="J86" s="1159">
        <f ca="1">Resultado!C24</f>
        <v>2825852.3453226169</v>
      </c>
      <c r="K86" s="1160">
        <f t="shared" ca="1" si="4"/>
        <v>5.0289277825281933E-2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customHeight="1">
      <c r="B87" s="1811"/>
      <c r="C87" s="1811"/>
      <c r="D87" s="1811"/>
      <c r="E87" s="1811"/>
      <c r="F87" s="1811"/>
      <c r="G87" s="42"/>
      <c r="I87" s="37" t="s">
        <v>705</v>
      </c>
      <c r="J87" s="320">
        <f ca="1">Resultado!C25</f>
        <v>2070052.8014501331</v>
      </c>
      <c r="K87" s="36">
        <f t="shared" ca="1" si="4"/>
        <v>3.6838959621311729E-2</v>
      </c>
      <c r="L87" s="318">
        <f t="shared" ca="1" si="3"/>
        <v>1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customHeight="1">
      <c r="B88" s="302"/>
      <c r="C88" s="302"/>
      <c r="D88" s="302"/>
      <c r="E88" s="302"/>
      <c r="F88" s="302"/>
      <c r="G88" s="42"/>
      <c r="I88" s="37" t="s">
        <v>707</v>
      </c>
      <c r="J88" s="320">
        <f ca="1">Resultado!C26</f>
        <v>694657.64644569915</v>
      </c>
      <c r="K88" s="36">
        <f t="shared" ca="1" si="4"/>
        <v>1.2362228137428027E-2</v>
      </c>
      <c r="L88" s="318">
        <f t="shared" ca="1" si="3"/>
        <v>1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811"/>
      <c r="C89" s="1811"/>
      <c r="D89" s="1811"/>
      <c r="E89" s="1811"/>
      <c r="F89" s="1811"/>
      <c r="G89" s="42"/>
      <c r="I89" s="37" t="s">
        <v>795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796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797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798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708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812"/>
      <c r="C94" s="1812"/>
      <c r="D94" s="1812"/>
      <c r="E94" s="1812"/>
      <c r="F94" s="1812"/>
      <c r="G94" s="42"/>
      <c r="I94" s="37" t="s">
        <v>709</v>
      </c>
      <c r="J94" s="320">
        <f ca="1">Resultado!C32</f>
        <v>61141.897426784686</v>
      </c>
      <c r="K94" s="36">
        <f t="shared" ca="1" si="4"/>
        <v>1.0880900665421814E-3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11"/>
      <c r="C95" s="1811"/>
      <c r="D95" s="1811"/>
      <c r="E95" s="1811"/>
      <c r="F95" s="1811"/>
      <c r="I95" s="1158" t="s">
        <v>875</v>
      </c>
      <c r="J95" s="1159">
        <f ca="1">J86+J84+J74</f>
        <v>25882947.823904838</v>
      </c>
      <c r="K95" s="1160">
        <f t="shared" ca="1" si="4"/>
        <v>0.46061669011408457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11"/>
      <c r="C96" s="1811"/>
      <c r="D96" s="1811"/>
      <c r="E96" s="1811"/>
      <c r="F96" s="1811"/>
      <c r="I96" s="1158" t="s">
        <v>876</v>
      </c>
      <c r="J96" s="1159">
        <f ca="1">J97-J95</f>
        <v>30308997.408245143</v>
      </c>
      <c r="K96" s="1160">
        <f t="shared" ca="1" si="4"/>
        <v>0.53938330988591543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12"/>
      <c r="C97" s="1812"/>
      <c r="D97" s="1812"/>
      <c r="E97" s="1812"/>
      <c r="F97" s="1812"/>
      <c r="G97" s="28"/>
      <c r="I97" s="1155" t="s">
        <v>877</v>
      </c>
      <c r="J97" s="1157">
        <f ca="1">Mercado_RA0_Reais</f>
        <v>56191945.232149981</v>
      </c>
      <c r="K97" s="1161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811"/>
      <c r="C98" s="1811"/>
      <c r="D98" s="1811"/>
      <c r="E98" s="1811"/>
      <c r="F98" s="1811"/>
      <c r="G98" s="42"/>
      <c r="M98" s="307" t="s">
        <v>812</v>
      </c>
      <c r="N98" s="308" t="s">
        <v>850</v>
      </c>
      <c r="AH98" s="430"/>
      <c r="AI98" s="431"/>
      <c r="AJ98" s="431"/>
      <c r="AL98" s="49"/>
      <c r="AM98" s="49"/>
      <c r="AN98" s="49"/>
    </row>
    <row r="99" spans="2:41" ht="15" customHeight="1">
      <c r="B99" s="1811"/>
      <c r="C99" s="1811"/>
      <c r="D99" s="1811"/>
      <c r="E99" s="1811"/>
      <c r="F99" s="1811"/>
      <c r="G99" s="42"/>
      <c r="M99" s="301" t="s">
        <v>820</v>
      </c>
      <c r="N99" s="301" t="s">
        <v>852</v>
      </c>
      <c r="O99" s="323" t="s">
        <v>859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135931.22338734809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5285321.0822699992</v>
      </c>
      <c r="O103" s="324">
        <f t="shared" ca="1" si="5"/>
        <v>1</v>
      </c>
    </row>
    <row r="104" spans="2:41" ht="15" hidden="1" customHeight="1">
      <c r="B104" s="1811"/>
      <c r="C104" s="1811"/>
      <c r="D104" s="1811"/>
      <c r="E104" s="1811"/>
      <c r="F104" s="1811"/>
      <c r="G104" s="45"/>
      <c r="M104" s="35" t="s">
        <v>878</v>
      </c>
      <c r="N104" s="320">
        <f>Encargos!I20</f>
        <v>0</v>
      </c>
      <c r="O104" s="324">
        <f t="shared" si="5"/>
        <v>0</v>
      </c>
    </row>
    <row r="105" spans="2:41" ht="15" customHeight="1">
      <c r="B105" s="1811"/>
      <c r="C105" s="1811"/>
      <c r="D105" s="1811"/>
      <c r="E105" s="1811"/>
      <c r="F105" s="1811"/>
      <c r="G105" s="45"/>
      <c r="M105" s="35" t="str">
        <f>Resultado!B20</f>
        <v>Encargos Serv. Sist. - ESS e Energ. Reserv. – EER</v>
      </c>
      <c r="N105" s="320">
        <f>Resultado!D20</f>
        <v>2269797.1888881116</v>
      </c>
      <c r="O105" s="324">
        <f t="shared" si="5"/>
        <v>1</v>
      </c>
    </row>
    <row r="106" spans="2:41" ht="15" customHeight="1">
      <c r="B106" s="1812"/>
      <c r="C106" s="1812"/>
      <c r="D106" s="1812"/>
      <c r="E106" s="1812"/>
      <c r="F106" s="1812"/>
      <c r="G106" s="39"/>
      <c r="M106" s="35" t="str">
        <f>Resultado!B21</f>
        <v>PROINFA</v>
      </c>
      <c r="N106" s="320">
        <f ca="1">Resultado!D21</f>
        <v>1037333.75823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55" t="s">
        <v>846</v>
      </c>
      <c r="N109" s="1157">
        <f ca="1">SUM(N100:N108)</f>
        <v>8728383.2527754605</v>
      </c>
    </row>
    <row r="110" spans="2:41" ht="15" customHeight="1">
      <c r="B110" s="29"/>
      <c r="C110" s="29"/>
      <c r="D110" s="29"/>
      <c r="P110" s="326" t="s">
        <v>819</v>
      </c>
      <c r="Q110" s="308" t="s">
        <v>850</v>
      </c>
    </row>
    <row r="111" spans="2:41" ht="15" customHeight="1">
      <c r="B111" s="46"/>
      <c r="C111" s="312"/>
      <c r="D111" s="312"/>
      <c r="P111" s="301" t="s">
        <v>855</v>
      </c>
      <c r="Q111" s="301" t="s">
        <v>879</v>
      </c>
    </row>
    <row r="112" spans="2:41" ht="15" customHeight="1">
      <c r="B112" s="46"/>
      <c r="C112" s="312"/>
      <c r="D112" s="312"/>
      <c r="P112" s="35" t="s">
        <v>880</v>
      </c>
      <c r="Q112" s="48">
        <f ca="1">Energia!N15</f>
        <v>3.623815984567607E-2</v>
      </c>
    </row>
    <row r="113" spans="2:44" ht="15" customHeight="1">
      <c r="B113" s="46"/>
      <c r="C113" s="312"/>
      <c r="D113" s="312"/>
      <c r="P113" s="35" t="s">
        <v>744</v>
      </c>
      <c r="Q113" s="1162">
        <f ca="1">Energia!N14</f>
        <v>0.1227936802867703</v>
      </c>
    </row>
    <row r="114" spans="2:44" ht="15" customHeight="1">
      <c r="B114" s="46"/>
      <c r="C114" s="312"/>
      <c r="D114" s="312"/>
      <c r="P114" s="1155" t="s">
        <v>846</v>
      </c>
      <c r="Q114" s="1161">
        <f ca="1">SUM(Q112:Q113)</f>
        <v>0.15903184013244637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881</v>
      </c>
      <c r="T117" s="308" t="s">
        <v>850</v>
      </c>
    </row>
    <row r="118" spans="2:44" ht="15" customHeight="1">
      <c r="B118" s="46"/>
      <c r="C118" s="312"/>
      <c r="D118" s="312"/>
      <c r="P118" s="44"/>
      <c r="Q118" s="312"/>
      <c r="S118" s="301" t="s">
        <v>855</v>
      </c>
      <c r="T118" s="301" t="s">
        <v>856</v>
      </c>
    </row>
    <row r="119" spans="2:44" ht="15" customHeight="1">
      <c r="B119" s="46"/>
      <c r="C119" s="312"/>
      <c r="D119" s="312"/>
      <c r="P119" s="44"/>
      <c r="Q119" s="312"/>
      <c r="S119" s="1163" t="s">
        <v>882</v>
      </c>
      <c r="T119" s="1164">
        <f ca="1">SUM(T120:T121)</f>
        <v>71413.907999999996</v>
      </c>
      <c r="U119" s="323" t="s">
        <v>859</v>
      </c>
    </row>
    <row r="120" spans="2:44" ht="15" customHeight="1">
      <c r="B120" s="46"/>
      <c r="C120" s="312"/>
      <c r="D120" s="312"/>
      <c r="P120" s="44"/>
      <c r="Q120" s="312"/>
      <c r="S120" s="47" t="s">
        <v>883</v>
      </c>
      <c r="T120" s="327">
        <f ca="1">Energia!C7</f>
        <v>71413.907999999996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884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63" t="s">
        <v>885</v>
      </c>
      <c r="T122" s="1165">
        <f ca="1">SUM(T123:T124)</f>
        <v>15090.499129999995</v>
      </c>
      <c r="U122" s="323">
        <v>1</v>
      </c>
    </row>
    <row r="123" spans="2:44" ht="15" customHeight="1">
      <c r="B123" s="46"/>
      <c r="C123" s="312"/>
      <c r="D123" s="312"/>
      <c r="P123" s="44"/>
      <c r="Q123" s="312"/>
      <c r="S123" s="47" t="s">
        <v>886</v>
      </c>
      <c r="T123" s="327">
        <f ca="1">SUM(Energia!C11:C12)</f>
        <v>3025.1351999999988</v>
      </c>
      <c r="U123" s="323">
        <f ca="1">IF(T123=0,0,1)</f>
        <v>1</v>
      </c>
    </row>
    <row r="124" spans="2:44" ht="15" customHeight="1">
      <c r="B124" s="46"/>
      <c r="C124" s="312"/>
      <c r="D124" s="312"/>
      <c r="P124" s="44"/>
      <c r="Q124" s="312"/>
      <c r="S124" s="47" t="s">
        <v>887</v>
      </c>
      <c r="T124" s="327">
        <f ca="1">SUM(Energia!C10:C10)</f>
        <v>12065.363929999996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55" t="s">
        <v>881</v>
      </c>
      <c r="T125" s="1166">
        <f ca="1">T119+T122</f>
        <v>86504.407129999992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67" t="s">
        <v>888</v>
      </c>
      <c r="W127" s="1167"/>
      <c r="X127" s="308" t="s">
        <v>850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50" t="s">
        <v>27</v>
      </c>
      <c r="W128" s="1168" t="s">
        <v>77</v>
      </c>
      <c r="X128" s="1150" t="s">
        <v>889</v>
      </c>
      <c r="Y128" s="323" t="s">
        <v>859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A3 ( 69 kV)</v>
      </c>
      <c r="X129" s="330">
        <f>Energia!H28</f>
        <v>273.92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RGE SUL DISTRIBUIDORA DE ENERGIA S.A.</v>
      </c>
      <c r="W130" s="329" t="str">
        <f>Energia!C29</f>
        <v>A4 (2,3 a 25 kV)</v>
      </c>
      <c r="X130" s="330">
        <f>Energia!H29</f>
        <v>273.92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69">
        <f>Energia!B32</f>
        <v>0</v>
      </c>
      <c r="W133" s="1169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70"/>
      <c r="W134" s="1171"/>
      <c r="X134" s="1172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67" t="s">
        <v>890</v>
      </c>
      <c r="AA136" s="1167"/>
      <c r="AB136" s="1167"/>
      <c r="AC136" s="308" t="s">
        <v>850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855</v>
      </c>
      <c r="AA137" s="301" t="s">
        <v>856</v>
      </c>
      <c r="AB137" s="301" t="s">
        <v>889</v>
      </c>
      <c r="AC137" s="301" t="s">
        <v>891</v>
      </c>
      <c r="AD137" s="334" t="s">
        <v>859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40986.022320000004</v>
      </c>
      <c r="AB138" s="336">
        <f>Energia!G35</f>
        <v>273.92</v>
      </c>
      <c r="AC138" s="337">
        <f>AA138*AB138</f>
        <v>11226891.233894402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73">
        <f>Energia!C19</f>
        <v>1247.13007399653</v>
      </c>
      <c r="AB140" s="1174">
        <f>Energia!D19</f>
        <v>0</v>
      </c>
      <c r="AC140" s="1175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63" t="s">
        <v>892</v>
      </c>
      <c r="AA141" s="1176">
        <f ca="1">Energia!N30-Energia!M30</f>
        <v>-3102.2154699328094</v>
      </c>
      <c r="AB141" s="1177">
        <f>Energia!M34</f>
        <v>0</v>
      </c>
      <c r="AC141" s="1177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55" t="s">
        <v>846</v>
      </c>
      <c r="AA142" s="1178">
        <f ca="1">SUM(AA138:AA141)</f>
        <v>39130.936924063724</v>
      </c>
      <c r="AB142" s="1179">
        <f ca="1">AC142/AA142</f>
        <v>286.90576092468621</v>
      </c>
      <c r="AC142" s="1179">
        <f ca="1">SUM(AC138:AC141)</f>
        <v>11226891.233894402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180" t="s">
        <v>830</v>
      </c>
      <c r="AF144" s="1180"/>
      <c r="AG144" s="1180"/>
      <c r="AH144" s="1180"/>
      <c r="AI144" s="1180"/>
      <c r="AJ144" s="1180"/>
      <c r="AK144" s="308" t="s">
        <v>850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50" t="s">
        <v>27</v>
      </c>
      <c r="AF145" s="1150" t="s">
        <v>77</v>
      </c>
      <c r="AG145" s="1150" t="s">
        <v>893</v>
      </c>
      <c r="AH145" s="1150" t="s">
        <v>894</v>
      </c>
      <c r="AI145" s="1150" t="s">
        <v>60</v>
      </c>
      <c r="AJ145" s="1150" t="s">
        <v>895</v>
      </c>
      <c r="AK145" s="1150" t="s">
        <v>891</v>
      </c>
      <c r="AL145" s="323" t="s">
        <v>859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RGE SUL DISTRIBUIDORA DE ENERGIA S.A.</v>
      </c>
      <c r="AF146" s="387" t="str">
        <f>CUSD!C6</f>
        <v>A3 ( 69 kV)</v>
      </c>
      <c r="AG146" s="339" t="str">
        <f>CUSD!F6</f>
        <v>Potência</v>
      </c>
      <c r="AH146" s="339" t="str">
        <f>CUSD!F6</f>
        <v>Potência</v>
      </c>
      <c r="AI146" s="405">
        <f>CUSD!H6</f>
        <v>0</v>
      </c>
      <c r="AJ146" s="406">
        <f>CUSD!J6</f>
        <v>0</v>
      </c>
      <c r="AK146" s="339">
        <f>IFERROR(AI146*AJ146,0)</f>
        <v>0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RGE SUL DISTRIBUIDORA DE ENERGIA S.A.</v>
      </c>
      <c r="AF147" s="387" t="str">
        <f>CUSD!C7</f>
        <v>A3 ( 69 kV)</v>
      </c>
      <c r="AG147" s="339" t="str">
        <f>CUSD!F7</f>
        <v>Potência</v>
      </c>
      <c r="AH147" s="339" t="str">
        <f>CUSD!F7</f>
        <v>Potência</v>
      </c>
      <c r="AI147" s="405">
        <f>CUSD!H7</f>
        <v>0</v>
      </c>
      <c r="AJ147" s="406">
        <f>CUSD!J7</f>
        <v>0</v>
      </c>
      <c r="AK147" s="339">
        <f t="shared" ref="AK147:AK153" si="7">IFERROR(AI147*AJ147,0)</f>
        <v>0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RGE SUL DISTRIBUIDORA DE ENERGIA S.A.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1367.74</v>
      </c>
      <c r="AJ148" s="406">
        <f>CUSD!J8</f>
        <v>19.98</v>
      </c>
      <c r="AK148" s="339">
        <f t="shared" si="7"/>
        <v>27327.445200000002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RGE SUL DISTRIBUIDORA DE ENERGIA S.A.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1339.32</v>
      </c>
      <c r="AJ149" s="406">
        <f>CUSD!J9</f>
        <v>26.9</v>
      </c>
      <c r="AK149" s="339">
        <f t="shared" si="7"/>
        <v>36027.707999999999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RGE SUL DISTRIBUIDORA DE ENERGIA S.A.</v>
      </c>
      <c r="AF150" s="387" t="str">
        <f>CUSD!C10</f>
        <v>A3 ( 69 kV)</v>
      </c>
      <c r="AG150" s="339" t="str">
        <f>CUSD!F10</f>
        <v>Energia</v>
      </c>
      <c r="AH150" s="339" t="str">
        <f>CUSD!F10</f>
        <v>Energia</v>
      </c>
      <c r="AI150" s="405">
        <f>CUSD!H10</f>
        <v>0</v>
      </c>
      <c r="AJ150" s="406">
        <f>CUSD!J10</f>
        <v>0</v>
      </c>
      <c r="AK150" s="339">
        <f t="shared" si="7"/>
        <v>0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RGE SUL DISTRIBUIDORA DE ENERGIA S.A.</v>
      </c>
      <c r="AF151" s="387" t="str">
        <f>CUSD!C11</f>
        <v>A3 ( 69 kV)</v>
      </c>
      <c r="AG151" s="339" t="str">
        <f>CUSD!F11</f>
        <v>Energia</v>
      </c>
      <c r="AH151" s="339" t="str">
        <f>CUSD!F11</f>
        <v>Energia</v>
      </c>
      <c r="AI151" s="405">
        <f>CUSD!H11</f>
        <v>0</v>
      </c>
      <c r="AJ151" s="406">
        <f>CUSD!J11</f>
        <v>0</v>
      </c>
      <c r="AK151" s="339">
        <f t="shared" si="7"/>
        <v>0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RGE SUL DISTRIBUIDORA DE ENERGIA S.A.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342.00752000000006</v>
      </c>
      <c r="AJ152" s="406">
        <f>CUSD!J12</f>
        <v>11.36</v>
      </c>
      <c r="AK152" s="339">
        <f t="shared" si="7"/>
        <v>3885.2054272000005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RGE SUL DISTRIBUIDORA DE ENERGIA S.A.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48.555219999999998</v>
      </c>
      <c r="AJ153" s="406">
        <f>CUSD!J13</f>
        <v>11.36</v>
      </c>
      <c r="AK153" s="339">
        <f t="shared" si="7"/>
        <v>551.58729919999996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55" t="s">
        <v>896</v>
      </c>
      <c r="AF161" s="1155"/>
      <c r="AG161" s="1155"/>
      <c r="AH161" s="1155"/>
      <c r="AI161" s="1181">
        <f>SUM(AI146:AI160)</f>
        <v>3097.6227400000002</v>
      </c>
      <c r="AJ161" s="1157"/>
      <c r="AK161" s="1157">
        <f>SUM(AK146:AK160)</f>
        <v>67791.945926399989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180" t="s">
        <v>897</v>
      </c>
      <c r="AN163" s="308" t="s">
        <v>850</v>
      </c>
    </row>
    <row r="164" spans="2:42" ht="15" customHeight="1">
      <c r="B164" s="46"/>
      <c r="C164" s="312"/>
      <c r="D164" s="312"/>
      <c r="P164" s="44"/>
      <c r="Q164" s="312"/>
      <c r="AM164" s="1182" t="s">
        <v>801</v>
      </c>
      <c r="AN164" s="1150" t="s">
        <v>852</v>
      </c>
      <c r="AO164" s="23" t="s">
        <v>859</v>
      </c>
      <c r="AP164" s="681" t="s">
        <v>898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90">
        <f>LnkTXTPISCOFINS</f>
        <v>818160.60193942254</v>
      </c>
      <c r="AO165" s="23">
        <f t="shared" ref="AO165:AO196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805</v>
      </c>
      <c r="AN166" s="890">
        <f ca="1">SUM(Financeiros!D12:D17)</f>
        <v>-239013.55637821872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2272</v>
      </c>
      <c r="AN167" s="425">
        <f ca="1">Financeiros!D18+Financeiros!D19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23" t="s">
        <v>2272</v>
      </c>
      <c r="AN168" s="425"/>
      <c r="AO168" s="681">
        <f>IF(AN168=0,0,1)</f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90">
        <f>Financeiros!D25</f>
        <v>0</v>
      </c>
      <c r="AO169" s="23">
        <f t="shared" si="9"/>
        <v>0</v>
      </c>
      <c r="AP169" s="681"/>
    </row>
    <row r="170" spans="2:42" ht="15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90">
        <f>Financeiros!D26</f>
        <v>239387.88900525868</v>
      </c>
      <c r="AO170" s="23">
        <f t="shared" si="9"/>
        <v>1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90">
        <f>LnkTXTDICFIC</f>
        <v>-2276.7511681570618</v>
      </c>
      <c r="AO171" s="23">
        <f t="shared" si="9"/>
        <v>1</v>
      </c>
      <c r="AP171" s="681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90">
        <f ca="1">LnkTxTSubvencaoCDE</f>
        <v>-23888195.526273698</v>
      </c>
      <c r="AO172" s="23">
        <f t="shared" ca="1" si="9"/>
        <v>1</v>
      </c>
      <c r="AP172" s="681"/>
    </row>
    <row r="173" spans="2:42" ht="15" hidden="1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90">
        <f>Financeiros!D29</f>
        <v>0</v>
      </c>
      <c r="AO173" s="23">
        <f t="shared" si="9"/>
        <v>0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">
        <v>899</v>
      </c>
      <c r="AN174" s="890">
        <f>Financeiros!D35</f>
        <v>0</v>
      </c>
      <c r="AO174" s="23">
        <f t="shared" si="9"/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90">
        <f>Financeiros!D31</f>
        <v>0</v>
      </c>
      <c r="AO175" s="23">
        <f t="shared" si="9"/>
        <v>0</v>
      </c>
      <c r="AP175" s="681"/>
    </row>
    <row r="176" spans="2:42" ht="15" customHeight="1">
      <c r="B176" s="46"/>
      <c r="C176" s="312"/>
      <c r="D176" s="312"/>
      <c r="P176" s="44"/>
      <c r="Q176" s="312"/>
      <c r="AM176" s="53" t="s">
        <v>900</v>
      </c>
      <c r="AN176" s="890">
        <f>Financeiros!D38</f>
        <v>-952606.25</v>
      </c>
      <c r="AO176" s="23">
        <f t="shared" si="9"/>
        <v>1</v>
      </c>
      <c r="AP176" s="681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91">
        <f>Financeiros!D36</f>
        <v>1176204.6459883365</v>
      </c>
      <c r="AO177" s="23">
        <f t="shared" si="9"/>
        <v>1</v>
      </c>
      <c r="AP177" s="681"/>
    </row>
    <row r="178" spans="2:42" ht="15" customHeight="1">
      <c r="B178" s="46"/>
      <c r="C178" s="312"/>
      <c r="D178" s="312"/>
      <c r="P178" s="44"/>
      <c r="Q178" s="312"/>
      <c r="AM178" s="53" t="s">
        <v>2379</v>
      </c>
      <c r="AN178" s="891">
        <f>Financeiros!D82</f>
        <v>-782677.23987553886</v>
      </c>
      <c r="AO178" s="23">
        <f t="shared" si="9"/>
        <v>1</v>
      </c>
      <c r="AP178" s="681"/>
    </row>
    <row r="179" spans="2:42" ht="15" hidden="1" customHeight="1">
      <c r="B179" s="46"/>
      <c r="C179" s="312"/>
      <c r="D179" s="312"/>
      <c r="P179" s="44"/>
      <c r="Q179" s="312"/>
      <c r="AM179" s="53" t="str">
        <f>Financeiros!C37</f>
        <v>Efeito COVID da Supridora</v>
      </c>
      <c r="AN179" s="890">
        <f>Financeiros!D37</f>
        <v>0</v>
      </c>
      <c r="AO179" s="23">
        <f t="shared" si="9"/>
        <v>0</v>
      </c>
      <c r="AP179" s="681"/>
    </row>
    <row r="180" spans="2:42" ht="15" customHeight="1">
      <c r="B180" s="46"/>
      <c r="C180" s="312"/>
      <c r="D180" s="312"/>
      <c r="P180" s="44"/>
      <c r="Q180" s="312"/>
      <c r="AM180" s="53" t="s">
        <v>901</v>
      </c>
      <c r="AN180" s="890">
        <f>Financeiros!D39+Financeiros!D40</f>
        <v>749149.38042054675</v>
      </c>
      <c r="AO180" s="23">
        <f t="shared" si="9"/>
        <v>1</v>
      </c>
      <c r="AP180" s="681"/>
    </row>
    <row r="181" spans="2:42" ht="15" customHeight="1">
      <c r="B181" s="46"/>
      <c r="C181" s="312"/>
      <c r="D181" s="312"/>
      <c r="P181" s="44"/>
      <c r="Q181" s="312"/>
      <c r="AM181" s="53" t="str">
        <f>Financeiros!C41</f>
        <v>Financeiros associados ao §7º do Art. 88 da Ren 414/2021</v>
      </c>
      <c r="AN181" s="890">
        <f>Financeiros!D41</f>
        <v>-3652.3295493700653</v>
      </c>
      <c r="AO181" s="23">
        <f t="shared" si="9"/>
        <v>1</v>
      </c>
      <c r="AP181" s="681"/>
    </row>
    <row r="182" spans="2:42" ht="15" hidden="1" customHeight="1">
      <c r="B182" s="46"/>
      <c r="C182" s="312"/>
      <c r="D182" s="312"/>
      <c r="P182" s="44"/>
      <c r="Q182" s="312"/>
      <c r="AM182" s="53">
        <f>Financeiros!C42</f>
        <v>0</v>
      </c>
      <c r="AN182" s="890">
        <f>Financeiros!D42</f>
        <v>0</v>
      </c>
      <c r="AO182" s="23">
        <f t="shared" si="9"/>
        <v>0</v>
      </c>
      <c r="AP182" s="681"/>
    </row>
    <row r="183" spans="2:42" ht="15" hidden="1" customHeight="1">
      <c r="B183" s="46"/>
      <c r="C183" s="312"/>
      <c r="D183" s="312"/>
      <c r="P183" s="44"/>
      <c r="Q183" s="312"/>
      <c r="AM183" s="53">
        <f>Financeiros!C43</f>
        <v>0</v>
      </c>
      <c r="AN183" s="890">
        <f>Financeiros!D43</f>
        <v>0</v>
      </c>
      <c r="AO183" s="23">
        <f t="shared" si="9"/>
        <v>0</v>
      </c>
      <c r="AP183" s="681"/>
    </row>
    <row r="184" spans="2:42" ht="15" hidden="1" customHeight="1">
      <c r="B184" s="46"/>
      <c r="C184" s="312"/>
      <c r="D184" s="312"/>
      <c r="P184" s="44"/>
      <c r="Q184" s="312"/>
      <c r="AM184" s="53">
        <f>Financeiros!C44</f>
        <v>0</v>
      </c>
      <c r="AN184" s="890">
        <f>Financeiros!D44</f>
        <v>0</v>
      </c>
      <c r="AO184" s="23">
        <f t="shared" si="9"/>
        <v>0</v>
      </c>
      <c r="AP184" s="681"/>
    </row>
    <row r="185" spans="2:42" ht="15" hidden="1" customHeight="1">
      <c r="B185" s="46"/>
      <c r="C185" s="312"/>
      <c r="D185" s="312"/>
      <c r="P185" s="44"/>
      <c r="Q185" s="312"/>
      <c r="AM185" s="53">
        <f>Financeiros!C45</f>
        <v>0</v>
      </c>
      <c r="AN185" s="890">
        <f>Financeiros!D45</f>
        <v>0</v>
      </c>
      <c r="AO185" s="23">
        <f t="shared" si="9"/>
        <v>0</v>
      </c>
      <c r="AP185" s="681"/>
    </row>
    <row r="186" spans="2:42" ht="15" hidden="1" customHeight="1">
      <c r="B186" s="46"/>
      <c r="C186" s="312"/>
      <c r="D186" s="312"/>
      <c r="P186" s="44"/>
      <c r="Q186" s="312"/>
      <c r="AM186" s="53">
        <f>Financeiros!C46</f>
        <v>0</v>
      </c>
      <c r="AN186" s="890">
        <f>Financeiros!D46</f>
        <v>0</v>
      </c>
      <c r="AO186" s="23">
        <f t="shared" si="9"/>
        <v>0</v>
      </c>
      <c r="AP186" s="991"/>
    </row>
    <row r="187" spans="2:42" ht="15" hidden="1" customHeight="1">
      <c r="B187" s="46"/>
      <c r="C187" s="312"/>
      <c r="D187" s="312"/>
      <c r="P187" s="44"/>
      <c r="Q187" s="312"/>
      <c r="AM187" s="53">
        <f>Financeiros!C47</f>
        <v>0</v>
      </c>
      <c r="AN187" s="890">
        <f>Financeiros!D47</f>
        <v>0</v>
      </c>
      <c r="AO187" s="23">
        <f t="shared" si="9"/>
        <v>0</v>
      </c>
      <c r="AP187" s="991"/>
    </row>
    <row r="188" spans="2:42" ht="15" customHeight="1">
      <c r="B188" s="46"/>
      <c r="C188" s="312"/>
      <c r="D188" s="312"/>
      <c r="P188" s="44"/>
      <c r="Q188" s="312"/>
      <c r="AM188" s="53" t="s">
        <v>2290</v>
      </c>
      <c r="AN188" s="890">
        <f ca="1">SUM(Financeiros!D57:D61)</f>
        <v>443159.86149999994</v>
      </c>
      <c r="AO188" s="23">
        <f t="shared" ca="1" si="9"/>
        <v>1</v>
      </c>
      <c r="AP188" s="681"/>
    </row>
    <row r="189" spans="2:42" ht="15" customHeight="1">
      <c r="B189" s="46"/>
      <c r="C189" s="312"/>
      <c r="D189" s="312"/>
      <c r="P189" s="44"/>
      <c r="Q189" s="312"/>
      <c r="AM189" s="53" t="s">
        <v>2300</v>
      </c>
      <c r="AN189" s="890">
        <f>Financeiros!D64</f>
        <v>699864.49190000002</v>
      </c>
      <c r="AO189" s="23">
        <f t="shared" si="9"/>
        <v>1</v>
      </c>
      <c r="AP189" s="681"/>
    </row>
    <row r="190" spans="2:42" ht="15" hidden="1" customHeight="1">
      <c r="B190" s="46"/>
      <c r="C190" s="312"/>
      <c r="D190" s="312"/>
      <c r="P190" s="44"/>
      <c r="Q190" s="312"/>
      <c r="AM190" s="53" t="s">
        <v>2375</v>
      </c>
      <c r="AN190" s="890">
        <f ca="1">SUM(Financeiros!D65:D69)</f>
        <v>0</v>
      </c>
      <c r="AO190" s="23">
        <f t="shared" ca="1" si="9"/>
        <v>0</v>
      </c>
      <c r="AP190" s="681"/>
    </row>
    <row r="191" spans="2:42" ht="15" hidden="1" customHeight="1">
      <c r="B191" s="46"/>
      <c r="C191" s="312"/>
      <c r="D191" s="312"/>
      <c r="P191" s="44"/>
      <c r="Q191" s="312"/>
      <c r="AM191" s="53" t="s">
        <v>2376</v>
      </c>
      <c r="AN191" s="890">
        <f>Financeiros!D70</f>
        <v>0</v>
      </c>
      <c r="AO191" s="23">
        <f t="shared" si="9"/>
        <v>0</v>
      </c>
      <c r="AP191" s="681"/>
    </row>
    <row r="192" spans="2:42" ht="15" hidden="1" customHeight="1">
      <c r="B192" s="46"/>
      <c r="C192" s="312"/>
      <c r="D192" s="312"/>
      <c r="P192" s="44"/>
      <c r="Q192" s="312"/>
      <c r="AM192" s="53" t="s">
        <v>2377</v>
      </c>
      <c r="AN192" s="890">
        <f ca="1">SUM(Financeiros!D71:D75)</f>
        <v>0</v>
      </c>
      <c r="AO192" s="23">
        <f t="shared" ca="1" si="9"/>
        <v>0</v>
      </c>
      <c r="AP192" s="681"/>
    </row>
    <row r="193" spans="2:54" ht="15" customHeight="1">
      <c r="B193" s="46"/>
      <c r="C193" s="312"/>
      <c r="D193" s="312"/>
      <c r="P193" s="44"/>
      <c r="Q193" s="312"/>
      <c r="AM193" s="53" t="s">
        <v>2378</v>
      </c>
      <c r="AN193" s="890">
        <f ca="1">SUM(Financeiros!D76:D80)</f>
        <v>-95232.920499999993</v>
      </c>
      <c r="AO193" s="23">
        <f t="shared" ca="1" si="9"/>
        <v>1</v>
      </c>
      <c r="AP193" s="681"/>
    </row>
    <row r="194" spans="2:54" ht="15" hidden="1" customHeight="1">
      <c r="B194" s="46"/>
      <c r="C194" s="312"/>
      <c r="D194" s="312"/>
      <c r="P194" s="44"/>
      <c r="Q194" s="312"/>
      <c r="AM194" s="53"/>
      <c r="AN194" s="890"/>
      <c r="AO194" s="23">
        <f t="shared" si="9"/>
        <v>0</v>
      </c>
      <c r="AP194" s="681"/>
    </row>
    <row r="195" spans="2:54" ht="15" hidden="1" customHeight="1">
      <c r="B195" s="46"/>
      <c r="C195" s="312"/>
      <c r="D195" s="312"/>
      <c r="P195" s="44"/>
      <c r="Q195" s="312"/>
      <c r="AM195" s="53"/>
      <c r="AN195" s="890"/>
      <c r="AO195" s="23">
        <f t="shared" si="9"/>
        <v>0</v>
      </c>
      <c r="AP195" s="681"/>
    </row>
    <row r="196" spans="2:54" ht="15" hidden="1" customHeight="1">
      <c r="B196" s="46"/>
      <c r="C196" s="312"/>
      <c r="D196" s="312"/>
      <c r="P196" s="44"/>
      <c r="Q196" s="312"/>
      <c r="AM196" s="53"/>
      <c r="AN196" s="890"/>
      <c r="AO196" s="23">
        <f t="shared" si="9"/>
        <v>0</v>
      </c>
      <c r="AP196" s="681"/>
    </row>
    <row r="197" spans="2:54" ht="15" customHeight="1">
      <c r="B197" s="46"/>
      <c r="C197" s="312"/>
      <c r="D197" s="312"/>
      <c r="P197" s="44"/>
      <c r="Q197" s="312"/>
      <c r="AM197" s="1155" t="s">
        <v>804</v>
      </c>
      <c r="AN197" s="1183">
        <f ca="1">SUM(AN165:AN187)</f>
        <v>-22885519.135891415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180" t="s">
        <v>902</v>
      </c>
      <c r="AQ200" s="308" t="s">
        <v>850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68" t="s">
        <v>903</v>
      </c>
      <c r="AQ201" s="1150" t="s">
        <v>904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905</v>
      </c>
      <c r="AQ202" s="230">
        <f>LnkTXTEfeitoAT</f>
        <v>6.4864460085662934E-3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906</v>
      </c>
      <c r="AQ203" s="230">
        <f>LnkTXTEfeitoBT</f>
        <v>3.0813199732107277E-2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55" t="s">
        <v>907</v>
      </c>
      <c r="AQ204" s="1161">
        <f>LnkTXTEfeito</f>
        <v>2.8792243386260408E-2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180" t="s">
        <v>908</v>
      </c>
      <c r="AT206" s="30"/>
      <c r="AU206" s="30"/>
      <c r="AV206" s="30"/>
      <c r="AW206" s="30"/>
      <c r="AX206" s="308" t="s">
        <v>850</v>
      </c>
    </row>
    <row r="207" spans="2:54" ht="39" customHeight="1" thickBot="1">
      <c r="B207" s="54"/>
      <c r="C207" s="322"/>
      <c r="D207" s="54"/>
      <c r="AS207" s="992" t="s">
        <v>909</v>
      </c>
      <c r="AT207" s="992" t="s">
        <v>870</v>
      </c>
      <c r="AU207" s="992" t="s">
        <v>910</v>
      </c>
      <c r="AV207" s="992" t="s">
        <v>911</v>
      </c>
      <c r="AW207" s="992" t="s">
        <v>912</v>
      </c>
      <c r="AX207" s="992" t="s">
        <v>913</v>
      </c>
      <c r="AY207" s="323" t="s">
        <v>859</v>
      </c>
      <c r="BB207" s="412"/>
    </row>
    <row r="208" spans="2:54" ht="15" customHeight="1" thickTop="1">
      <c r="B208" s="54"/>
      <c r="C208" s="322"/>
      <c r="D208" s="54"/>
      <c r="AS208" s="1184" t="s">
        <v>914</v>
      </c>
      <c r="AT208" s="1185">
        <f ca="1">SUM(AT209:AT218)</f>
        <v>5404593.6251707515</v>
      </c>
      <c r="AU208" s="1185">
        <f ca="1">SUM(AU209:AU218)</f>
        <v>8728383.2527754605</v>
      </c>
      <c r="AV208" s="1186">
        <f ca="1">IF(AU208=0,0,ROUND(AU208/AT208-1,4))</f>
        <v>0.61499999999999999</v>
      </c>
      <c r="AW208" s="1186">
        <f ca="1">SUM(AW209:AW218)</f>
        <v>5.9150641855747949E-2</v>
      </c>
      <c r="AX208" s="1186">
        <f t="shared" ref="AX208:AX213" ca="1" si="10">AU208/$AU$226</f>
        <v>0.1507587808909131</v>
      </c>
      <c r="AY208" s="323">
        <v>1</v>
      </c>
    </row>
    <row r="209" spans="2:51" ht="15" hidden="1" customHeight="1">
      <c r="AS209" s="993" t="str">
        <f t="shared" ref="AS209:AT212" si="11">I75</f>
        <v>Reserva Global de Reversão – RGR</v>
      </c>
      <c r="AT209" s="994">
        <f t="shared" si="11"/>
        <v>0</v>
      </c>
      <c r="AU209" s="994">
        <f>Resultado!D15</f>
        <v>0</v>
      </c>
      <c r="AV209" s="995">
        <f t="shared" ref="AV209:AV218" si="12">IF(AU209=0,0,ROUND(AU209/AT209-1,3))</f>
        <v>0</v>
      </c>
      <c r="AW209" s="995">
        <f t="shared" ref="AW209:AW218" ca="1" si="13">(AU209-AT209)/$AT$226</f>
        <v>0</v>
      </c>
      <c r="AX209" s="995">
        <f t="shared" ca="1" si="10"/>
        <v>0</v>
      </c>
      <c r="AY209" s="323">
        <f ca="1">IF(AW209=0,0,1)</f>
        <v>0</v>
      </c>
    </row>
    <row r="210" spans="2:51" ht="15" hidden="1" customHeight="1">
      <c r="H210" s="23"/>
      <c r="AS210" s="1771" t="str">
        <f t="shared" si="11"/>
        <v>Conta de Consumo de Combustíveis – CCC</v>
      </c>
      <c r="AT210" s="1772">
        <f t="shared" si="11"/>
        <v>0</v>
      </c>
      <c r="AU210" s="1772">
        <f>Resultado!D16</f>
        <v>0</v>
      </c>
      <c r="AV210" s="1773">
        <f t="shared" si="12"/>
        <v>0</v>
      </c>
      <c r="AW210" s="1773">
        <f t="shared" ca="1" si="13"/>
        <v>0</v>
      </c>
      <c r="AX210" s="995">
        <f t="shared" ca="1" si="10"/>
        <v>0</v>
      </c>
      <c r="AY210" s="323">
        <f t="shared" ref="AY210:AY264" ca="1" si="14">IF(AW210=0,0,1)</f>
        <v>0</v>
      </c>
    </row>
    <row r="211" spans="2:51" ht="15" customHeight="1">
      <c r="B211" s="29"/>
      <c r="C211" s="39"/>
      <c r="H211" s="23"/>
      <c r="AS211" s="1771" t="str">
        <f t="shared" si="11"/>
        <v>Taxa de Fisc. de Serviços de E.E. – TFSEE</v>
      </c>
      <c r="AT211" s="1772">
        <f t="shared" ca="1" si="11"/>
        <v>136147.25831243768</v>
      </c>
      <c r="AU211" s="1772">
        <f ca="1">Resultado!D17</f>
        <v>135931.22338734809</v>
      </c>
      <c r="AV211" s="1773">
        <f t="shared" ref="AV211:AV215" ca="1" si="15">IF(AU211=0,0,ROUND(AU211/AT211-1,4))</f>
        <v>-1.6000000000000001E-3</v>
      </c>
      <c r="AW211" s="1773">
        <f t="shared" ca="1" si="13"/>
        <v>-3.8445888320305488E-6</v>
      </c>
      <c r="AX211" s="995">
        <f t="shared" ca="1" si="10"/>
        <v>2.3478375008763098E-3</v>
      </c>
      <c r="AY211" s="323">
        <f t="shared" ca="1" si="14"/>
        <v>1</v>
      </c>
    </row>
    <row r="212" spans="2:51" ht="15" customHeight="1">
      <c r="C212" s="28"/>
      <c r="H212" s="23"/>
      <c r="AS212" s="1771" t="str">
        <f t="shared" si="11"/>
        <v>Conta de Desenvolvimento Energético – CDE</v>
      </c>
      <c r="AT212" s="1772">
        <f t="shared" ca="1" si="11"/>
        <v>4359799.8740981584</v>
      </c>
      <c r="AU212" s="1772">
        <f ca="1">Resultado!D18-Encargos!I20-Encargos!I21</f>
        <v>6440321.0822699992</v>
      </c>
      <c r="AV212" s="1773">
        <f t="shared" ca="1" si="15"/>
        <v>0.47720000000000001</v>
      </c>
      <c r="AW212" s="1773">
        <f t="shared" ca="1" si="13"/>
        <v>3.7025256904284556E-2</v>
      </c>
      <c r="AX212" s="995">
        <f t="shared" ca="1" si="10"/>
        <v>0.11123880869923215</v>
      </c>
      <c r="AY212" s="323">
        <f t="shared" ca="1" si="14"/>
        <v>1</v>
      </c>
    </row>
    <row r="213" spans="2:51" ht="15" hidden="1" customHeight="1">
      <c r="C213" s="28"/>
      <c r="H213" s="23"/>
      <c r="AS213" s="1771" t="s">
        <v>915</v>
      </c>
      <c r="AT213" s="1772">
        <f ca="1">Calc_Mercado!S75</f>
        <v>0</v>
      </c>
      <c r="AU213" s="1772">
        <f>Encargos!I20</f>
        <v>0</v>
      </c>
      <c r="AV213" s="1773">
        <f t="shared" si="15"/>
        <v>0</v>
      </c>
      <c r="AW213" s="1773">
        <f t="shared" ca="1" si="13"/>
        <v>0</v>
      </c>
      <c r="AX213" s="995">
        <f t="shared" ca="1" si="10"/>
        <v>0</v>
      </c>
      <c r="AY213" s="323">
        <f t="shared" ca="1" si="14"/>
        <v>0</v>
      </c>
    </row>
    <row r="214" spans="2:51" ht="15" customHeight="1">
      <c r="C214" s="28"/>
      <c r="H214" s="23"/>
      <c r="AS214" s="1771" t="s">
        <v>2214</v>
      </c>
      <c r="AT214" s="1772"/>
      <c r="AU214" s="1772">
        <f>Encargos!I21</f>
        <v>-1155000</v>
      </c>
      <c r="AV214" s="1773">
        <v>1</v>
      </c>
      <c r="AW214" s="1773">
        <f t="shared" ca="1" si="13"/>
        <v>-2.0554547368457566E-2</v>
      </c>
      <c r="AX214" s="995">
        <f t="shared" ref="AX214" ca="1" si="16">AU214/$AU$226</f>
        <v>-1.9949443887404435E-2</v>
      </c>
      <c r="AY214" s="986">
        <f ca="1">IF(AW214=0,0,1)</f>
        <v>1</v>
      </c>
    </row>
    <row r="215" spans="2:51" ht="12.75">
      <c r="C215" s="28"/>
      <c r="H215" s="23"/>
      <c r="AS215" s="1771" t="str">
        <f t="shared" ref="AS215:AT218" si="17">I80</f>
        <v>Encargos Serv. Sist. - ESS e Energ. Reserv. – EER</v>
      </c>
      <c r="AT215" s="1772">
        <f t="shared" ca="1" si="17"/>
        <v>224225.79157262601</v>
      </c>
      <c r="AU215" s="1772">
        <f>Resultado!D20</f>
        <v>2269797.1888881116</v>
      </c>
      <c r="AV215" s="1773">
        <f t="shared" ca="1" si="15"/>
        <v>9.1227999999999998</v>
      </c>
      <c r="AW215" s="1773">
        <f t="shared" ca="1" si="13"/>
        <v>3.6403285005786212E-2</v>
      </c>
      <c r="AX215" s="995">
        <f t="shared" ref="AX215:AX228" ca="1" si="18">AU215/$AU$226</f>
        <v>3.9204494939836972E-2</v>
      </c>
      <c r="AY215" s="323">
        <f ca="1">IF(AW215=0,0,1)</f>
        <v>1</v>
      </c>
    </row>
    <row r="216" spans="2:51" ht="15" customHeight="1">
      <c r="C216" s="28"/>
      <c r="H216" s="23"/>
      <c r="AS216" s="1771" t="str">
        <f t="shared" si="17"/>
        <v>PROINFA</v>
      </c>
      <c r="AT216" s="1772">
        <f t="shared" ca="1" si="17"/>
        <v>684420.70118752972</v>
      </c>
      <c r="AU216" s="1772">
        <f ca="1">Resultado!D21</f>
        <v>1037333.75823</v>
      </c>
      <c r="AV216" s="1773">
        <f ca="1">IF(AU216=0,0,ROUND(AU216/AT216-1,4))</f>
        <v>0.51559999999999995</v>
      </c>
      <c r="AW216" s="1773">
        <f t="shared" ca="1" si="13"/>
        <v>6.2804919029667726E-3</v>
      </c>
      <c r="AX216" s="995">
        <f t="shared" ca="1" si="18"/>
        <v>1.7917083638372071E-2</v>
      </c>
      <c r="AY216" s="323">
        <f t="shared" ca="1" si="14"/>
        <v>1</v>
      </c>
    </row>
    <row r="217" spans="2:51" ht="15" hidden="1" customHeight="1">
      <c r="B217" s="29"/>
      <c r="C217" s="39"/>
      <c r="H217" s="23"/>
      <c r="AS217" s="1771" t="str">
        <f t="shared" si="17"/>
        <v>P&amp;D e Eficiência Energética</v>
      </c>
      <c r="AT217" s="1772">
        <f t="shared" ca="1" si="17"/>
        <v>0</v>
      </c>
      <c r="AU217" s="1772">
        <f>Resultado!D22</f>
        <v>0</v>
      </c>
      <c r="AV217" s="1773">
        <f>IF(AU217=0,0,ROUND(AU217/AT217-1,4))</f>
        <v>0</v>
      </c>
      <c r="AW217" s="1773">
        <f t="shared" ca="1" si="13"/>
        <v>0</v>
      </c>
      <c r="AX217" s="995">
        <f t="shared" ca="1" si="18"/>
        <v>0</v>
      </c>
      <c r="AY217" s="323">
        <v>0</v>
      </c>
    </row>
    <row r="218" spans="2:51" ht="15" hidden="1" customHeight="1">
      <c r="C218" s="345"/>
      <c r="H218" s="23"/>
      <c r="AS218" s="993" t="str">
        <f t="shared" si="17"/>
        <v>ONS</v>
      </c>
      <c r="AT218" s="994">
        <f t="shared" ca="1" si="17"/>
        <v>0</v>
      </c>
      <c r="AU218" s="994">
        <f>Resultado!D23</f>
        <v>0</v>
      </c>
      <c r="AV218" s="995">
        <f t="shared" si="12"/>
        <v>0</v>
      </c>
      <c r="AW218" s="995">
        <f t="shared" ca="1" si="13"/>
        <v>0</v>
      </c>
      <c r="AX218" s="995">
        <f t="shared" ca="1" si="18"/>
        <v>0</v>
      </c>
      <c r="AY218" s="323">
        <v>0</v>
      </c>
    </row>
    <row r="219" spans="2:51" ht="15" customHeight="1">
      <c r="C219" s="312"/>
      <c r="H219" s="23"/>
      <c r="AS219" s="1184" t="s">
        <v>916</v>
      </c>
      <c r="AT219" s="1185">
        <f ca="1">AT220</f>
        <v>17652501.85341147</v>
      </c>
      <c r="AU219" s="1185">
        <f ca="1">AU220</f>
        <v>14179490.322595056</v>
      </c>
      <c r="AV219" s="1186">
        <f ca="1">IF(AU219=0,0,ROUND(AU219/AT219-1,4))</f>
        <v>-0.19670000000000001</v>
      </c>
      <c r="AW219" s="1186">
        <f ca="1">AW220</f>
        <v>-6.1806216468714537E-2</v>
      </c>
      <c r="AX219" s="1186">
        <f t="shared" ca="1" si="18"/>
        <v>0.24491164202822879</v>
      </c>
      <c r="AY219" s="323">
        <f t="shared" ca="1" si="14"/>
        <v>1</v>
      </c>
    </row>
    <row r="220" spans="2:51" ht="15" customHeight="1">
      <c r="C220" s="312"/>
      <c r="H220" s="23"/>
      <c r="AS220" s="993" t="s">
        <v>873</v>
      </c>
      <c r="AT220" s="994">
        <f ca="1">J85</f>
        <v>17652501.85341147</v>
      </c>
      <c r="AU220" s="994">
        <f ca="1">Resultado!D33</f>
        <v>14179490.322595056</v>
      </c>
      <c r="AV220" s="995">
        <f ca="1">IF(AU220=0,0,ROUND(AU220/AT220-1,4))</f>
        <v>-0.19670000000000001</v>
      </c>
      <c r="AW220" s="995">
        <f ca="1">(AU220-AT220)/$AT$226</f>
        <v>-6.1806216468714537E-2</v>
      </c>
      <c r="AX220" s="995">
        <f t="shared" ca="1" si="18"/>
        <v>0.24491164202822879</v>
      </c>
      <c r="AY220" s="323">
        <f t="shared" ca="1" si="14"/>
        <v>1</v>
      </c>
    </row>
    <row r="221" spans="2:51" ht="15" customHeight="1">
      <c r="AS221" s="1184" t="s">
        <v>917</v>
      </c>
      <c r="AT221" s="1185">
        <f ca="1">SUM(AT222:AT225)</f>
        <v>2825852.3453226169</v>
      </c>
      <c r="AU221" s="1185">
        <f>SUM(AU222:AU225)</f>
        <v>3488477.1459263992</v>
      </c>
      <c r="AV221" s="1186">
        <f ca="1">IF(AU221=0,0,ROUND(AU221/AT221-1,4))</f>
        <v>0.23449999999999999</v>
      </c>
      <c r="AW221" s="1186">
        <f ca="1">SUM(AW222:AW225)</f>
        <v>1.1792166971017483E-2</v>
      </c>
      <c r="AX221" s="1186">
        <f t="shared" ca="1" si="18"/>
        <v>6.0253834697100841E-2</v>
      </c>
      <c r="AY221" s="323">
        <f t="shared" ca="1" si="14"/>
        <v>1</v>
      </c>
    </row>
    <row r="222" spans="2:51" ht="15" customHeight="1">
      <c r="AS222" s="993" t="str">
        <f>Resultado!B25</f>
        <v>Rede Básica</v>
      </c>
      <c r="AT222" s="994">
        <f ca="1">J87</f>
        <v>2070052.8014501331</v>
      </c>
      <c r="AU222" s="994">
        <f>Resultado!D25</f>
        <v>2901280.7999999993</v>
      </c>
      <c r="AV222" s="995">
        <f t="shared" ref="AV222:AV224" ca="1" si="19">IF(AU222=0,0,ROUND(AU222/AT222-1,4))</f>
        <v>0.40150000000000002</v>
      </c>
      <c r="AW222" s="995">
        <f ca="1">(AU222-AT222)/$AT$226</f>
        <v>1.4792653913576972E-2</v>
      </c>
      <c r="AX222" s="995">
        <f t="shared" ca="1" si="18"/>
        <v>5.011163508329336E-2</v>
      </c>
      <c r="AY222" s="323">
        <f t="shared" ca="1" si="14"/>
        <v>1</v>
      </c>
    </row>
    <row r="223" spans="2:51" ht="15" customHeight="1">
      <c r="AS223" s="993" t="str">
        <f>Resultado!B26</f>
        <v>Rede Básica Fronteira</v>
      </c>
      <c r="AT223" s="994">
        <f ca="1">J88</f>
        <v>694657.64644569915</v>
      </c>
      <c r="AU223" s="994">
        <f>Resultado!D26</f>
        <v>519404.39999999991</v>
      </c>
      <c r="AV223" s="995">
        <f t="shared" ca="1" si="19"/>
        <v>-0.25230000000000002</v>
      </c>
      <c r="AW223" s="995">
        <f ca="1">(AU223-AT223)/$AT$226</f>
        <v>-3.1188321693022447E-3</v>
      </c>
      <c r="AX223" s="995">
        <f t="shared" ca="1" si="18"/>
        <v>8.9712804611869826E-3</v>
      </c>
      <c r="AY223" s="323">
        <f t="shared" ca="1" si="14"/>
        <v>1</v>
      </c>
    </row>
    <row r="224" spans="2:51" ht="15" hidden="1" customHeight="1">
      <c r="H224" s="23"/>
      <c r="AS224" s="993" t="str">
        <f>Resultado!B31</f>
        <v>Conexão</v>
      </c>
      <c r="AT224" s="994">
        <f ca="1">J93</f>
        <v>0</v>
      </c>
      <c r="AU224" s="994">
        <f>Resultado!D31</f>
        <v>0</v>
      </c>
      <c r="AV224" s="995">
        <f t="shared" si="19"/>
        <v>0</v>
      </c>
      <c r="AW224" s="995">
        <f ca="1">(AU224-AT224)/$AT$226</f>
        <v>0</v>
      </c>
      <c r="AX224" s="995">
        <f t="shared" ca="1" si="18"/>
        <v>0</v>
      </c>
      <c r="AY224" s="323">
        <f t="shared" ca="1" si="14"/>
        <v>0</v>
      </c>
    </row>
    <row r="225" spans="2:51" ht="15" customHeight="1">
      <c r="H225" s="23"/>
      <c r="AS225" s="993" t="str">
        <f>Resultado!B32</f>
        <v>Uso do sistema de distribuição</v>
      </c>
      <c r="AT225" s="994">
        <f ca="1">J94</f>
        <v>61141.897426784686</v>
      </c>
      <c r="AU225" s="994">
        <f>Resultado!D32</f>
        <v>67791.945926399989</v>
      </c>
      <c r="AV225" s="995">
        <f ca="1">IF(AU225=0,0,ROUND(AU225/AT225-1,4))</f>
        <v>0.10879999999999999</v>
      </c>
      <c r="AW225" s="995">
        <f ca="1">(AU225-AT225)/$AT$226</f>
        <v>1.1834522674275576E-4</v>
      </c>
      <c r="AX225" s="995">
        <f t="shared" ca="1" si="18"/>
        <v>1.1709191526204953E-3</v>
      </c>
      <c r="AY225" s="323">
        <f t="shared" ca="1" si="14"/>
        <v>1</v>
      </c>
    </row>
    <row r="226" spans="2:51" ht="15" hidden="1" customHeight="1">
      <c r="C226" s="19"/>
      <c r="AS226" s="1184" t="s">
        <v>918</v>
      </c>
      <c r="AT226" s="1185">
        <f ca="1">Mercado_RA0_Reais</f>
        <v>56191945.232149981</v>
      </c>
      <c r="AU226" s="1185">
        <f ca="1">AU208+AU219+AU221+AU228</f>
        <v>57896350.721296914</v>
      </c>
      <c r="AV226" s="1187"/>
      <c r="AW226" s="1187"/>
      <c r="AX226" s="1186">
        <f t="shared" ca="1" si="18"/>
        <v>1</v>
      </c>
      <c r="AY226" s="323">
        <f t="shared" si="14"/>
        <v>0</v>
      </c>
    </row>
    <row r="227" spans="2:51" ht="15" customHeight="1">
      <c r="C227" s="19"/>
      <c r="AS227" s="1188" t="s">
        <v>919</v>
      </c>
      <c r="AT227" s="1189">
        <f ca="1">AT208+AT219+AT221</f>
        <v>25882947.823904838</v>
      </c>
      <c r="AU227" s="1189">
        <f ca="1">AU208+AU219+AU221</f>
        <v>26396350.721296914</v>
      </c>
      <c r="AV227" s="1190">
        <f ca="1">IF(AU227=0,0,ROUND(AU227/AT227-1,4))</f>
        <v>1.9800000000000002E-2</v>
      </c>
      <c r="AW227" s="1190">
        <f ca="1">(AU227-AT227)/AT226</f>
        <v>9.1365923580508865E-3</v>
      </c>
      <c r="AX227" s="1190">
        <f t="shared" ca="1" si="18"/>
        <v>0.45592425761624272</v>
      </c>
      <c r="AY227" s="323">
        <f t="shared" ca="1" si="14"/>
        <v>1</v>
      </c>
    </row>
    <row r="228" spans="2:51" ht="15" customHeight="1">
      <c r="B228" s="28"/>
      <c r="C228" s="19"/>
      <c r="AS228" s="1188" t="s">
        <v>920</v>
      </c>
      <c r="AT228" s="1189">
        <f ca="1">AT226-AT227</f>
        <v>30308997.408245143</v>
      </c>
      <c r="AU228" s="1189">
        <f>Resultado!D39</f>
        <v>31500000</v>
      </c>
      <c r="AV228" s="1190">
        <f ca="1">IF(AU228=0,0,ROUND(AU228/AT228-1,4))</f>
        <v>3.9300000000000002E-2</v>
      </c>
      <c r="AW228" s="1190">
        <f ca="1">(AU228-AT228)/AT226</f>
        <v>2.119525470838177E-2</v>
      </c>
      <c r="AX228" s="1190">
        <f t="shared" ca="1" si="18"/>
        <v>0.54407574238375733</v>
      </c>
      <c r="AY228" s="323">
        <f t="shared" ca="1" si="14"/>
        <v>1</v>
      </c>
    </row>
    <row r="229" spans="2:51" ht="15" customHeight="1">
      <c r="AS229" s="1191" t="str">
        <f>Resultado!B7</f>
        <v>Variação econômica</v>
      </c>
      <c r="AT229" s="1191"/>
      <c r="AU229" s="1191"/>
      <c r="AV229" s="1192"/>
      <c r="AW229" s="1193">
        <f ca="1">ROUND((AU228+AU227)/(AT227+AT228)-1,4)</f>
        <v>3.0300000000000001E-2</v>
      </c>
      <c r="AX229" s="1192"/>
      <c r="AY229" s="323">
        <v>1</v>
      </c>
    </row>
    <row r="230" spans="2:51" ht="15" hidden="1" customHeight="1">
      <c r="AS230" s="996"/>
      <c r="AT230" s="996"/>
      <c r="AU230" s="996"/>
      <c r="AV230" s="997"/>
      <c r="AW230" s="998"/>
      <c r="AX230" s="998"/>
      <c r="AY230" s="323">
        <f t="shared" si="14"/>
        <v>0</v>
      </c>
    </row>
    <row r="231" spans="2:51" ht="15" customHeight="1">
      <c r="AS231" s="1184" t="s">
        <v>921</v>
      </c>
      <c r="AT231" s="1194"/>
      <c r="AU231" s="1194"/>
      <c r="AV231" s="1195"/>
      <c r="AW231" s="1186" t="s">
        <v>922</v>
      </c>
      <c r="AX231" s="1186"/>
      <c r="AY231" s="323">
        <v>1</v>
      </c>
    </row>
    <row r="232" spans="2:51" ht="15" customHeight="1">
      <c r="AS232" s="999" t="str">
        <f>Financeiros!C9</f>
        <v>Repasse de PIS COFINS</v>
      </c>
      <c r="AT232" s="999"/>
      <c r="AU232" s="1000">
        <f>LnkTXTPISCOFINS</f>
        <v>818160.60193942254</v>
      </c>
      <c r="AV232" s="1001"/>
      <c r="AW232" s="1001">
        <f ca="1">LnkTXTPISCOFINSPer</f>
        <v>1.4560104629930402E-2</v>
      </c>
      <c r="AX232" s="998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999" t="str">
        <f>AM166</f>
        <v>Neutralidade Encargos Setoriais</v>
      </c>
      <c r="AT233" s="999"/>
      <c r="AU233" s="1000">
        <f ca="1">LnkTXTNeutralidade</f>
        <v>-239013.55637821872</v>
      </c>
      <c r="AV233" s="1001"/>
      <c r="AW233" s="995">
        <f ca="1">AU233/Financeiros!$D$4</f>
        <v>-4.2535198842247619E-3</v>
      </c>
      <c r="AX233" s="998"/>
      <c r="AY233" s="323">
        <f t="shared" ref="AY233:AY241" ca="1" si="20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02" t="str">
        <f>AM167</f>
        <v>Neutralidade Financeiros e Encargos Conta Covid</v>
      </c>
      <c r="AT234" s="1002"/>
      <c r="AU234" s="1003">
        <f ca="1">AN167</f>
        <v>0</v>
      </c>
      <c r="AV234" s="1002"/>
      <c r="AW234" s="995">
        <f ca="1">AU234/Financeiros!$D$4</f>
        <v>0</v>
      </c>
      <c r="AX234" s="998"/>
      <c r="AY234" s="323">
        <f t="shared" ca="1" si="20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1002" t="str">
        <f t="shared" ref="AS235:AS260" si="21">AM169</f>
        <v>Ajustes Processos anteriores</v>
      </c>
      <c r="AT235" s="1002"/>
      <c r="AU235" s="1003">
        <f t="shared" ref="AU235:AU260" si="22">AN169</f>
        <v>0</v>
      </c>
      <c r="AV235" s="1001"/>
      <c r="AW235" s="995">
        <f ca="1">AU235/Financeiros!$D$4</f>
        <v>0</v>
      </c>
      <c r="AX235" s="998"/>
      <c r="AY235" s="323">
        <f t="shared" ca="1" si="20"/>
        <v>0</v>
      </c>
    </row>
    <row r="236" spans="2:51" ht="15" customHeight="1">
      <c r="B236" s="348"/>
      <c r="C236" s="349"/>
      <c r="D236" s="349"/>
      <c r="E236" s="349"/>
      <c r="F236" s="350"/>
      <c r="G236" s="350"/>
      <c r="H236" s="350"/>
      <c r="AS236" s="1002" t="str">
        <f t="shared" si="21"/>
        <v>Ajuste CUST + PISCONFINS Transmissão</v>
      </c>
      <c r="AT236" s="1002"/>
      <c r="AU236" s="1003">
        <f t="shared" si="22"/>
        <v>239387.88900525868</v>
      </c>
      <c r="AV236" s="1001"/>
      <c r="AW236" s="995">
        <f ca="1">AU236/Financeiros!$D$4</f>
        <v>4.260181561899265E-3</v>
      </c>
      <c r="AX236" s="998"/>
      <c r="AY236" s="323">
        <f t="shared" ca="1" si="20"/>
        <v>1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02" t="str">
        <f t="shared" si="21"/>
        <v>Compensação DIC FIC</v>
      </c>
      <c r="AT237" s="1002"/>
      <c r="AU237" s="1003">
        <f t="shared" si="22"/>
        <v>-2276.7511681570618</v>
      </c>
      <c r="AV237" s="1001"/>
      <c r="AW237" s="995">
        <f ca="1">AU237/Financeiros!$D$4</f>
        <v>-4.0517393707424604E-5</v>
      </c>
      <c r="AX237" s="998"/>
      <c r="AY237" s="323">
        <f t="shared" ca="1" si="20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02" t="str">
        <f t="shared" si="21"/>
        <v>Subvenção CDE</v>
      </c>
      <c r="AT238" s="1002"/>
      <c r="AU238" s="1003">
        <f t="shared" ca="1" si="22"/>
        <v>-23888195.526273698</v>
      </c>
      <c r="AV238" s="1001"/>
      <c r="AW238" s="995">
        <f ca="1">AU238/Financeiros!$D$4</f>
        <v>-0.42511778917036258</v>
      </c>
      <c r="AX238" s="998"/>
      <c r="AY238" s="323">
        <f t="shared" ca="1" si="20"/>
        <v>1</v>
      </c>
    </row>
    <row r="239" spans="2:51" ht="15" hidden="1" customHeight="1">
      <c r="B239" s="348"/>
      <c r="C239" s="349"/>
      <c r="D239" s="349"/>
      <c r="E239" s="349"/>
      <c r="F239" s="350"/>
      <c r="G239" s="350"/>
      <c r="H239" s="350"/>
      <c r="AS239" s="1002" t="str">
        <f t="shared" si="21"/>
        <v>Retenção de Adicionais de Bandeiras Tarifárias</v>
      </c>
      <c r="AT239" s="1002"/>
      <c r="AU239" s="1003">
        <f t="shared" si="22"/>
        <v>0</v>
      </c>
      <c r="AV239" s="1001"/>
      <c r="AW239" s="995">
        <f ca="1">AU239/Financeiros!$D$4</f>
        <v>0</v>
      </c>
      <c r="AX239" s="998"/>
      <c r="AY239" s="323">
        <f t="shared" ca="1" si="20"/>
        <v>0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02" t="str">
        <f t="shared" si="21"/>
        <v>Conta Covid-19</v>
      </c>
      <c r="AT240" s="1002"/>
      <c r="AU240" s="1003">
        <f t="shared" si="22"/>
        <v>0</v>
      </c>
      <c r="AV240" s="1001"/>
      <c r="AW240" s="995">
        <f ca="1">AU240/Financeiros!$D$4</f>
        <v>0</v>
      </c>
      <c r="AX240" s="998"/>
      <c r="AY240" s="323">
        <f t="shared" ca="1" si="20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02" t="str">
        <f t="shared" si="21"/>
        <v>Repasse de ICMS</v>
      </c>
      <c r="AT241" s="1002"/>
      <c r="AU241" s="1003">
        <f t="shared" si="22"/>
        <v>0</v>
      </c>
      <c r="AV241" s="1001"/>
      <c r="AW241" s="995">
        <f ca="1">AU241/Financeiros!$D$4</f>
        <v>0</v>
      </c>
      <c r="AX241" s="998"/>
      <c r="AY241" s="323">
        <f t="shared" ca="1" si="20"/>
        <v>0</v>
      </c>
    </row>
    <row r="242" spans="2:51" ht="15" customHeight="1">
      <c r="B242" s="348"/>
      <c r="C242" s="349"/>
      <c r="D242" s="349"/>
      <c r="E242" s="349"/>
      <c r="F242" s="350"/>
      <c r="G242" s="350"/>
      <c r="H242" s="350"/>
      <c r="AS242" s="1002" t="str">
        <f t="shared" si="21"/>
        <v>Crédito Pis Cofins sobre ICMS</v>
      </c>
      <c r="AT242" s="1002"/>
      <c r="AU242" s="1003">
        <f t="shared" si="22"/>
        <v>-952606.25</v>
      </c>
      <c r="AV242" s="1001"/>
      <c r="AW242" s="995">
        <f ca="1">AU242/Financeiros!$D$4</f>
        <v>-1.6952718865033533E-2</v>
      </c>
      <c r="AX242" s="998"/>
      <c r="AY242" s="986">
        <f ca="1">IF(AW242=0,0,1)</f>
        <v>1</v>
      </c>
    </row>
    <row r="243" spans="2:51" ht="15" customHeight="1">
      <c r="B243" s="348"/>
      <c r="C243" s="349"/>
      <c r="D243" s="349"/>
      <c r="E243" s="349"/>
      <c r="F243" s="350"/>
      <c r="G243" s="350"/>
      <c r="H243" s="350"/>
      <c r="AS243" s="1002" t="str">
        <f t="shared" si="21"/>
        <v>Previsão de Risco Hidrologico</v>
      </c>
      <c r="AT243" s="1002"/>
      <c r="AU243" s="1003">
        <f t="shared" si="22"/>
        <v>1176204.6459883365</v>
      </c>
      <c r="AV243" s="1001"/>
      <c r="AW243" s="995">
        <f ca="1">AU243/Financeiros!$D$4</f>
        <v>2.0931908321183659E-2</v>
      </c>
      <c r="AX243" s="998"/>
      <c r="AY243" s="986">
        <f t="shared" ref="AY243" ca="1" si="23">IF(AW243=0,0,1)</f>
        <v>1</v>
      </c>
    </row>
    <row r="244" spans="2:51" ht="15" customHeight="1">
      <c r="B244" s="348"/>
      <c r="C244" s="349"/>
      <c r="D244" s="349"/>
      <c r="E244" s="349"/>
      <c r="F244" s="350"/>
      <c r="G244" s="350"/>
      <c r="H244" s="350"/>
      <c r="AS244" s="1002" t="str">
        <f t="shared" si="21"/>
        <v>Reversão da Previsão de Risco Hidrologico</v>
      </c>
      <c r="AT244" s="1002"/>
      <c r="AU244" s="1003">
        <f t="shared" si="22"/>
        <v>-782677.23987553886</v>
      </c>
      <c r="AV244" s="1001"/>
      <c r="AW244" s="995">
        <f ca="1">AU244/Financeiros!$D$4</f>
        <v>-1.3928637576827175E-2</v>
      </c>
      <c r="AX244" s="998"/>
      <c r="AY244" s="986">
        <f t="shared" ref="AY244:AY260" ca="1" si="24">IF(AW244=0,0,1)</f>
        <v>1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02" t="str">
        <f t="shared" si="21"/>
        <v>Efeito COVID da Supridora</v>
      </c>
      <c r="AT245" s="1002"/>
      <c r="AU245" s="1003">
        <f t="shared" si="22"/>
        <v>0</v>
      </c>
      <c r="AV245" s="1001"/>
      <c r="AW245" s="995">
        <f ca="1">AU245/Financeiros!$D$4</f>
        <v>0</v>
      </c>
      <c r="AX245" s="998"/>
      <c r="AY245" s="986">
        <f t="shared" ca="1" si="24"/>
        <v>0</v>
      </c>
    </row>
    <row r="246" spans="2:51" ht="15" customHeight="1">
      <c r="B246" s="348"/>
      <c r="C246" s="349"/>
      <c r="D246" s="349"/>
      <c r="E246" s="349"/>
      <c r="F246" s="350"/>
      <c r="G246" s="350"/>
      <c r="H246" s="350"/>
      <c r="AS246" s="1002" t="str">
        <f t="shared" si="21"/>
        <v>Diferimento Pis Cofins</v>
      </c>
      <c r="AT246" s="1002"/>
      <c r="AU246" s="1003">
        <f t="shared" si="22"/>
        <v>749149.38042054675</v>
      </c>
      <c r="AV246" s="1001"/>
      <c r="AW246" s="995">
        <f ca="1">AU246/Financeiros!$D$4</f>
        <v>1.3331970931519277E-2</v>
      </c>
      <c r="AX246" s="998"/>
      <c r="AY246" s="986">
        <f t="shared" ca="1" si="24"/>
        <v>1</v>
      </c>
    </row>
    <row r="247" spans="2:51" ht="15" customHeight="1">
      <c r="B247" s="348"/>
      <c r="C247" s="349"/>
      <c r="D247" s="349"/>
      <c r="E247" s="349"/>
      <c r="F247" s="350"/>
      <c r="G247" s="350"/>
      <c r="H247" s="350"/>
      <c r="AS247" s="1002" t="str">
        <f t="shared" si="21"/>
        <v>Financeiros associados ao §7º do Art. 88 da Ren 414/2021</v>
      </c>
      <c r="AT247" s="1002"/>
      <c r="AU247" s="1003">
        <f t="shared" si="22"/>
        <v>-3652.3295493700653</v>
      </c>
      <c r="AV247" s="1001"/>
      <c r="AW247" s="995">
        <f ca="1">AU247/Financeiros!$D$4</f>
        <v>-6.4997385911466914E-5</v>
      </c>
      <c r="AX247" s="998"/>
      <c r="AY247" s="986">
        <f t="shared" ca="1" si="24"/>
        <v>1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1002">
        <f t="shared" si="21"/>
        <v>0</v>
      </c>
      <c r="AT248" s="1002"/>
      <c r="AU248" s="1003">
        <f t="shared" si="22"/>
        <v>0</v>
      </c>
      <c r="AV248" s="1001"/>
      <c r="AW248" s="995">
        <f ca="1">AU248/Financeiros!$D$4</f>
        <v>0</v>
      </c>
      <c r="AX248" s="998"/>
      <c r="AY248" s="986">
        <f t="shared" ca="1" si="24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02">
        <f t="shared" si="21"/>
        <v>0</v>
      </c>
      <c r="AT249" s="1002"/>
      <c r="AU249" s="1003">
        <f t="shared" si="22"/>
        <v>0</v>
      </c>
      <c r="AV249" s="1001"/>
      <c r="AW249" s="995">
        <f ca="1">AU249/Financeiros!$D$4</f>
        <v>0</v>
      </c>
      <c r="AX249" s="998"/>
      <c r="AY249" s="986">
        <f t="shared" ca="1" si="24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02">
        <f t="shared" si="21"/>
        <v>0</v>
      </c>
      <c r="AT250" s="1002"/>
      <c r="AU250" s="1003">
        <f t="shared" si="22"/>
        <v>0</v>
      </c>
      <c r="AV250" s="1001"/>
      <c r="AW250" s="995">
        <f ca="1">AU250/Financeiros!$D$4</f>
        <v>0</v>
      </c>
      <c r="AX250" s="998"/>
      <c r="AY250" s="986">
        <f t="shared" ca="1" si="24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02">
        <f t="shared" si="21"/>
        <v>0</v>
      </c>
      <c r="AT251" s="1002"/>
      <c r="AU251" s="1003">
        <f t="shared" si="22"/>
        <v>0</v>
      </c>
      <c r="AV251" s="1001"/>
      <c r="AW251" s="995">
        <f ca="1">AU251/Financeiros!$D$4</f>
        <v>0</v>
      </c>
      <c r="AX251" s="998"/>
      <c r="AY251" s="986">
        <f t="shared" ca="1" si="24"/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02">
        <f t="shared" si="21"/>
        <v>0</v>
      </c>
      <c r="AT252" s="1002"/>
      <c r="AU252" s="1003">
        <f t="shared" si="22"/>
        <v>0</v>
      </c>
      <c r="AV252" s="1001"/>
      <c r="AW252" s="995">
        <f ca="1">AU252/Financeiros!$D$4</f>
        <v>0</v>
      </c>
      <c r="AX252" s="998"/>
      <c r="AY252" s="986">
        <f t="shared" ca="1" si="24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02">
        <f t="shared" si="21"/>
        <v>0</v>
      </c>
      <c r="AT253" s="1002"/>
      <c r="AU253" s="1003">
        <f t="shared" si="22"/>
        <v>0</v>
      </c>
      <c r="AV253" s="1001"/>
      <c r="AW253" s="995">
        <f ca="1">AU253/Financeiros!$D$4</f>
        <v>0</v>
      </c>
      <c r="AX253" s="998"/>
      <c r="AY253" s="986">
        <f t="shared" ca="1" si="24"/>
        <v>0</v>
      </c>
    </row>
    <row r="254" spans="2:51" ht="15" customHeight="1">
      <c r="B254" s="348"/>
      <c r="C254" s="349"/>
      <c r="D254" s="349"/>
      <c r="E254" s="349"/>
      <c r="F254" s="350"/>
      <c r="G254" s="350"/>
      <c r="H254" s="350"/>
      <c r="AS254" s="1002" t="str">
        <f t="shared" si="21"/>
        <v>CVE Energia</v>
      </c>
      <c r="AT254" s="1002"/>
      <c r="AU254" s="1003">
        <f t="shared" ca="1" si="22"/>
        <v>443159.86149999994</v>
      </c>
      <c r="AV254" s="1001"/>
      <c r="AW254" s="995">
        <f ca="1">AU254/Financeiros!$D$4</f>
        <v>7.8865371125548429E-3</v>
      </c>
      <c r="AX254" s="998"/>
      <c r="AY254" s="986">
        <f t="shared" ca="1" si="24"/>
        <v>1</v>
      </c>
    </row>
    <row r="255" spans="2:51" ht="15" customHeight="1">
      <c r="B255" s="348"/>
      <c r="C255" s="349"/>
      <c r="D255" s="349"/>
      <c r="E255" s="349"/>
      <c r="F255" s="350"/>
      <c r="G255" s="350"/>
      <c r="H255" s="350"/>
      <c r="AS255" s="1002" t="str">
        <f t="shared" si="21"/>
        <v>CVE Encargos</v>
      </c>
      <c r="AT255" s="1002"/>
      <c r="AU255" s="1003">
        <f t="shared" si="22"/>
        <v>699864.49190000002</v>
      </c>
      <c r="AV255" s="1001"/>
      <c r="AW255" s="995">
        <f ca="1">AU255/Financeiros!$D$4</f>
        <v>1.2454889913645052E-2</v>
      </c>
      <c r="AX255" s="998"/>
      <c r="AY255" s="986">
        <f t="shared" ca="1" si="24"/>
        <v>1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02" t="str">
        <f t="shared" si="21"/>
        <v>Conta Escassez H. - Imp jul- ago/2021</v>
      </c>
      <c r="AT256" s="1002"/>
      <c r="AU256" s="1003">
        <f t="shared" ca="1" si="22"/>
        <v>0</v>
      </c>
      <c r="AV256" s="1001"/>
      <c r="AW256" s="995">
        <f ca="1">AU256/Financeiros!$D$4</f>
        <v>0</v>
      </c>
      <c r="AX256" s="998"/>
      <c r="AY256" s="986">
        <f t="shared" ca="1" si="24"/>
        <v>0</v>
      </c>
    </row>
    <row r="257" spans="2:84" ht="15" hidden="1" customHeight="1">
      <c r="B257" s="348"/>
      <c r="C257" s="349"/>
      <c r="D257" s="349"/>
      <c r="E257" s="349"/>
      <c r="F257" s="350"/>
      <c r="G257" s="350"/>
      <c r="H257" s="350"/>
      <c r="AS257" s="1002" t="str">
        <f t="shared" si="21"/>
        <v>Conta Escassez H. - Bônus Red. Voluntária</v>
      </c>
      <c r="AT257" s="1002"/>
      <c r="AU257" s="1003">
        <f t="shared" si="22"/>
        <v>0</v>
      </c>
      <c r="AV257" s="1001"/>
      <c r="AW257" s="995">
        <f ca="1">AU257/Financeiros!$D$4</f>
        <v>0</v>
      </c>
      <c r="AX257" s="998"/>
      <c r="AY257" s="986">
        <f t="shared" ca="1" si="24"/>
        <v>0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02" t="str">
        <f t="shared" si="21"/>
        <v>Conta Escassez H. - Diferimento</v>
      </c>
      <c r="AT258" s="1002"/>
      <c r="AU258" s="1003">
        <f t="shared" ca="1" si="22"/>
        <v>0</v>
      </c>
      <c r="AV258" s="1001"/>
      <c r="AW258" s="995">
        <f ca="1">AU258/Financeiros!$D$4</f>
        <v>0</v>
      </c>
      <c r="AX258" s="998"/>
      <c r="AY258" s="986">
        <f t="shared" ca="1" si="24"/>
        <v>0</v>
      </c>
    </row>
    <row r="259" spans="2:84" ht="15" customHeight="1">
      <c r="B259" s="348"/>
      <c r="C259" s="349"/>
      <c r="D259" s="349"/>
      <c r="E259" s="349"/>
      <c r="F259" s="350"/>
      <c r="G259" s="350"/>
      <c r="H259" s="350"/>
      <c r="AS259" s="1002" t="str">
        <f t="shared" si="21"/>
        <v>Sobrecontratação/Reversão de Energia</v>
      </c>
      <c r="AT259" s="1002"/>
      <c r="AU259" s="1003">
        <f t="shared" ca="1" si="22"/>
        <v>-95232.920499999993</v>
      </c>
      <c r="AV259" s="1001"/>
      <c r="AW259" s="995">
        <f ca="1">AU259/Financeiros!$D$4</f>
        <v>-1.6947788532067562E-3</v>
      </c>
      <c r="AX259" s="998"/>
      <c r="AY259" s="986">
        <f t="shared" ca="1" si="24"/>
        <v>1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02">
        <f t="shared" si="21"/>
        <v>0</v>
      </c>
      <c r="AT260" s="1002"/>
      <c r="AU260" s="1003">
        <f t="shared" si="22"/>
        <v>0</v>
      </c>
      <c r="AV260" s="1001"/>
      <c r="AW260" s="995">
        <f ca="1">AU260/Financeiros!$D$4</f>
        <v>0</v>
      </c>
      <c r="AX260" s="998"/>
      <c r="AY260" s="986">
        <f t="shared" ca="1" si="24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191" t="s">
        <v>923</v>
      </c>
      <c r="AT261" s="1191"/>
      <c r="AU261" s="1196">
        <f ca="1">SUM(AU232:AU260)</f>
        <v>-21837727.702991415</v>
      </c>
      <c r="AV261" s="1197"/>
      <c r="AW261" s="1197">
        <f ca="1">ROUND(SUM(AW232:AW252),4)</f>
        <v>-0.4073</v>
      </c>
      <c r="AX261" s="1197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198" t="str">
        <f>Resultado!B9</f>
        <v>Variação econômica e financeira</v>
      </c>
      <c r="AT262" s="1198"/>
      <c r="AU262" s="1198"/>
      <c r="AV262" s="1199"/>
      <c r="AW262" s="1199">
        <f ca="1">ROUND(AW229+AW261,4)</f>
        <v>-0.377</v>
      </c>
      <c r="AX262" s="1199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191" t="s">
        <v>924</v>
      </c>
      <c r="AT263" s="1191"/>
      <c r="AU263" s="1191"/>
      <c r="AV263" s="1191"/>
      <c r="AW263" s="1200">
        <f ca="1">ROUND(AW265-AW262,4)</f>
        <v>0.40579999999999999</v>
      </c>
      <c r="AX263" s="1200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01" t="s">
        <v>925</v>
      </c>
      <c r="AT264" s="1201"/>
      <c r="AU264" s="1196"/>
      <c r="AV264" s="1196"/>
      <c r="AW264" s="1202">
        <v>0</v>
      </c>
      <c r="AX264" s="1203"/>
      <c r="AY264" s="323">
        <f t="shared" si="14"/>
        <v>0</v>
      </c>
      <c r="BA264" s="806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807" t="s">
        <v>926</v>
      </c>
      <c r="AT265" s="1807"/>
      <c r="AU265" s="1807"/>
      <c r="AV265" s="1807"/>
      <c r="AW265" s="1199">
        <f>Resultado!L5</f>
        <v>2.8792243386260408E-2</v>
      </c>
      <c r="AX265" s="1199"/>
      <c r="AY265" s="323"/>
    </row>
    <row r="266" spans="2:84" ht="15" customHeight="1">
      <c r="AW266" s="808">
        <v>-0.1116</v>
      </c>
      <c r="BA266" s="1180" t="s">
        <v>927</v>
      </c>
      <c r="BB266" s="30" t="s">
        <v>928</v>
      </c>
      <c r="BC266" s="30"/>
      <c r="BD266" s="30"/>
      <c r="BE266" s="30"/>
      <c r="BF266" s="30"/>
      <c r="BG266" s="30"/>
      <c r="BH266" s="308" t="s">
        <v>850</v>
      </c>
      <c r="BI266" s="308" t="s">
        <v>850</v>
      </c>
    </row>
    <row r="267" spans="2:84" ht="45" customHeight="1">
      <c r="AU267" s="425"/>
      <c r="BA267" s="1004" t="s">
        <v>929</v>
      </c>
      <c r="BB267" s="1004" t="str">
        <f>"Cobertura "&amp;YEAR(CAPA!C14)&amp;"/"&amp;YEAR(CAPA!C14)+1</f>
        <v>Cobertura 2021/2022</v>
      </c>
      <c r="BC267" s="1004" t="str">
        <f>"Cobertura "&amp;YEAR(CAPA!C14)&amp;"/"&amp;YEAR(CAPA!C14)+1&amp;" Atualizada"</f>
        <v>Cobertura 2021/2022 Atualizada</v>
      </c>
      <c r="BD267" s="1004" t="s">
        <v>930</v>
      </c>
      <c r="BE267" s="1004" t="s">
        <v>931</v>
      </c>
      <c r="BF267" s="1004" t="s">
        <v>932</v>
      </c>
      <c r="BG267" s="1004" t="str">
        <f>"Previsão "&amp;YEAR(CAPA!C14)+1&amp;"/"&amp;YEAR(CAPA!C14)+2</f>
        <v>Previsão 2022/2023</v>
      </c>
      <c r="BH267" s="1004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803</v>
      </c>
    </row>
    <row r="268" spans="2:84" ht="15" customHeight="1">
      <c r="B268" s="356"/>
      <c r="C268" s="356"/>
      <c r="D268" s="356"/>
      <c r="E268" s="356"/>
      <c r="BA268" s="448" t="str">
        <f>BO288</f>
        <v>Subsidio Carga Fonte Incentivda</v>
      </c>
      <c r="BB268" s="1005" t="e">
        <f>Indexador!#REF!</f>
        <v>#REF!</v>
      </c>
      <c r="BC268" s="1005" t="e">
        <f>Indexador!#REF!</f>
        <v>#REF!</v>
      </c>
      <c r="BD268" s="1005" t="e">
        <f>Indexador!#REF!</f>
        <v>#REF!</v>
      </c>
      <c r="BE268" s="1005" t="e">
        <f>Indexador!#REF!</f>
        <v>#REF!</v>
      </c>
      <c r="BF268" s="1005">
        <f>BP288</f>
        <v>18930.070800372632</v>
      </c>
      <c r="BG268" s="1005">
        <f t="shared" ref="BG268:BH273" si="25">BQ288</f>
        <v>20328.751305114634</v>
      </c>
      <c r="BH268" s="1005">
        <f t="shared" si="25"/>
        <v>39258.82210548727</v>
      </c>
      <c r="BI268" s="357" t="e">
        <f>Indexador!#REF!</f>
        <v>#REF!</v>
      </c>
      <c r="BJ268" s="338">
        <f t="shared" ref="BJ268:BJ274" si="26">IF(BH268=0,0,1)</f>
        <v>1</v>
      </c>
    </row>
    <row r="269" spans="2:84" ht="15" customHeight="1">
      <c r="B269" s="348"/>
      <c r="C269" s="349"/>
      <c r="D269" s="349"/>
      <c r="E269" s="21"/>
      <c r="AZ269" s="358"/>
      <c r="BA269" s="448" t="str">
        <f t="shared" ref="BA269:BA273" si="27">BO289</f>
        <v>Subsidio Geração Fonte Incentivda</v>
      </c>
      <c r="BB269" s="1005" t="e">
        <f>Indexador!#REF!</f>
        <v>#REF!</v>
      </c>
      <c r="BC269" s="1005" t="e">
        <f>Indexador!#REF!</f>
        <v>#REF!</v>
      </c>
      <c r="BD269" s="1005" t="e">
        <f>Indexador!#REF!</f>
        <v>#REF!</v>
      </c>
      <c r="BE269" s="1005" t="e">
        <f>Indexador!#REF!</f>
        <v>#REF!</v>
      </c>
      <c r="BF269" s="1006">
        <f t="shared" ref="BF269:BF273" si="28">BP289</f>
        <v>-0.86980559323365014</v>
      </c>
      <c r="BG269" s="1006">
        <f t="shared" si="25"/>
        <v>1139.9168138338152</v>
      </c>
      <c r="BH269" s="1006">
        <f t="shared" si="25"/>
        <v>1139.0470082405816</v>
      </c>
      <c r="BI269" s="357" t="e">
        <f>Indexador!#REF!</f>
        <v>#REF!</v>
      </c>
      <c r="BJ269" s="338">
        <f t="shared" si="26"/>
        <v>1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27"/>
        <v>Subsidio Distribuição</v>
      </c>
      <c r="BB270" s="1005" t="e">
        <f>Indexador!#REF!</f>
        <v>#REF!</v>
      </c>
      <c r="BC270" s="1005" t="e">
        <f>Indexador!#REF!</f>
        <v>#REF!</v>
      </c>
      <c r="BD270" s="1005" t="e">
        <f>Indexador!#REF!</f>
        <v>#REF!</v>
      </c>
      <c r="BE270" s="1005" t="e">
        <f>Indexador!#REF!</f>
        <v>#REF!</v>
      </c>
      <c r="BF270" s="1006">
        <f t="shared" si="28"/>
        <v>0</v>
      </c>
      <c r="BG270" s="1006">
        <f t="shared" si="25"/>
        <v>0</v>
      </c>
      <c r="BH270" s="1006">
        <f t="shared" si="25"/>
        <v>0</v>
      </c>
      <c r="BI270" s="357" t="e">
        <f>Indexador!#REF!</f>
        <v>#REF!</v>
      </c>
      <c r="BJ270" s="338">
        <f t="shared" si="26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27"/>
        <v>Subsidio Água, Esgoto e Saneamento</v>
      </c>
      <c r="BB271" s="1005" t="e">
        <f>Indexador!#REF!</f>
        <v>#REF!</v>
      </c>
      <c r="BC271" s="1005" t="e">
        <f>Indexador!#REF!</f>
        <v>#REF!</v>
      </c>
      <c r="BD271" s="1005" t="e">
        <f>Indexador!#REF!</f>
        <v>#REF!</v>
      </c>
      <c r="BE271" s="1005" t="e">
        <f>Indexador!#REF!</f>
        <v>#REF!</v>
      </c>
      <c r="BF271" s="1006">
        <f t="shared" si="28"/>
        <v>484.83010085120259</v>
      </c>
      <c r="BG271" s="1006">
        <f t="shared" si="25"/>
        <v>3474.2647934119086</v>
      </c>
      <c r="BH271" s="1006">
        <f t="shared" si="25"/>
        <v>3959.0948942631112</v>
      </c>
      <c r="BI271" s="357" t="e">
        <f>Indexador!#REF!</f>
        <v>#REF!</v>
      </c>
      <c r="BJ271" s="338">
        <f t="shared" si="26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27"/>
        <v>Subsidio Rural</v>
      </c>
      <c r="BB272" s="1005" t="e">
        <f>Indexador!#REF!</f>
        <v>#REF!</v>
      </c>
      <c r="BC272" s="1005" t="e">
        <f>Indexador!#REF!</f>
        <v>#REF!</v>
      </c>
      <c r="BD272" s="1005" t="e">
        <f>Indexador!#REF!</f>
        <v>#REF!</v>
      </c>
      <c r="BE272" s="1005" t="e">
        <f>Indexador!#REF!</f>
        <v>#REF!</v>
      </c>
      <c r="BF272" s="1006">
        <f t="shared" si="28"/>
        <v>2128.6652435808987</v>
      </c>
      <c r="BG272" s="1006">
        <f t="shared" si="25"/>
        <v>121975.0372172011</v>
      </c>
      <c r="BH272" s="1006">
        <f t="shared" si="25"/>
        <v>124103.70246078199</v>
      </c>
      <c r="BI272" s="357" t="e">
        <f>Indexador!#REF!</f>
        <v>#REF!</v>
      </c>
      <c r="BJ272" s="338">
        <f t="shared" si="26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27"/>
        <v>Subsidio - Irrigante/Aquicultor</v>
      </c>
      <c r="BB273" s="1005" t="e">
        <f>Indexador!#REF!</f>
        <v>#REF!</v>
      </c>
      <c r="BC273" s="1005" t="e">
        <f>Indexador!#REF!</f>
        <v>#REF!</v>
      </c>
      <c r="BD273" s="1005" t="e">
        <f>Indexador!#REF!</f>
        <v>#REF!</v>
      </c>
      <c r="BE273" s="1005" t="e">
        <f>Indexador!#REF!</f>
        <v>#REF!</v>
      </c>
      <c r="BF273" s="1006">
        <f t="shared" si="28"/>
        <v>14375.894941642555</v>
      </c>
      <c r="BG273" s="1006">
        <f t="shared" si="25"/>
        <v>38664.002220753566</v>
      </c>
      <c r="BH273" s="1006">
        <f t="shared" si="25"/>
        <v>53039.897162396119</v>
      </c>
      <c r="BI273" s="357" t="e">
        <f>Indexador!#REF!</f>
        <v>#REF!</v>
      </c>
      <c r="BJ273" s="338">
        <f t="shared" si="26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191" t="s">
        <v>837</v>
      </c>
      <c r="BB274" s="1204" t="e">
        <f t="shared" ref="BB274:BI274" si="29">SUM(BB268:BB273)</f>
        <v>#REF!</v>
      </c>
      <c r="BC274" s="1204" t="e">
        <f t="shared" si="29"/>
        <v>#REF!</v>
      </c>
      <c r="BD274" s="1204" t="e">
        <f t="shared" si="29"/>
        <v>#REF!</v>
      </c>
      <c r="BE274" s="1204" t="e">
        <f t="shared" si="29"/>
        <v>#REF!</v>
      </c>
      <c r="BF274" s="1205">
        <f t="shared" si="29"/>
        <v>35918.591280854052</v>
      </c>
      <c r="BG274" s="1205">
        <f t="shared" si="29"/>
        <v>185581.97235031502</v>
      </c>
      <c r="BH274" s="1205">
        <f t="shared" si="29"/>
        <v>221500.56363116906</v>
      </c>
      <c r="BI274" s="1206" t="e">
        <f t="shared" si="29"/>
        <v>#REF!</v>
      </c>
      <c r="BJ274" s="340">
        <f t="shared" si="26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180" t="s">
        <v>705</v>
      </c>
      <c r="BL275" s="358"/>
      <c r="BM275" s="308" t="s">
        <v>850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07" t="s">
        <v>933</v>
      </c>
      <c r="BL276" s="1207" t="s">
        <v>870</v>
      </c>
      <c r="BM276" s="1207" t="s">
        <v>910</v>
      </c>
      <c r="BN276" s="474" t="s">
        <v>803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705</v>
      </c>
      <c r="BL277" s="360">
        <f ca="1">Resultado!C25</f>
        <v>2070052.8014501331</v>
      </c>
      <c r="BM277" s="360">
        <f>Resultado!D25</f>
        <v>2901280.7999999993</v>
      </c>
      <c r="BN277" s="338">
        <f t="shared" ref="BN277:BN284" si="30">IF(BM277=0,0,1)</f>
        <v>1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707</v>
      </c>
      <c r="BL278" s="360">
        <f ca="1">Resultado!C26</f>
        <v>694657.64644569915</v>
      </c>
      <c r="BM278" s="360">
        <f>Resultado!D26</f>
        <v>519404.39999999991</v>
      </c>
      <c r="BN278" s="338">
        <f t="shared" si="30"/>
        <v>1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795</v>
      </c>
      <c r="BL279" s="360"/>
      <c r="BM279" s="360"/>
      <c r="BN279" s="338">
        <f t="shared" si="30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796</v>
      </c>
      <c r="BL280" s="360"/>
      <c r="BM280" s="360"/>
      <c r="BN280" s="338">
        <f t="shared" si="30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797</v>
      </c>
      <c r="BL281" s="360"/>
      <c r="BM281" s="360"/>
      <c r="BN281" s="338">
        <f t="shared" si="30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798</v>
      </c>
      <c r="BL282" s="360"/>
      <c r="BM282" s="360"/>
      <c r="BN282" s="338">
        <f t="shared" si="30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708</v>
      </c>
      <c r="BL283" s="360">
        <f ca="1">Resultado!C31</f>
        <v>0</v>
      </c>
      <c r="BM283" s="360">
        <f>Resultado!D31</f>
        <v>0</v>
      </c>
      <c r="BN283" s="338">
        <f t="shared" si="30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709</v>
      </c>
      <c r="BL284" s="360">
        <f>Resultado!DJ283</f>
        <v>0</v>
      </c>
      <c r="BM284" s="360">
        <f>Resultado!DK283</f>
        <v>0</v>
      </c>
      <c r="BN284" s="340">
        <f t="shared" si="30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08" t="s">
        <v>934</v>
      </c>
      <c r="BL285" s="1206">
        <f ca="1">SUM(BL277:BL284)</f>
        <v>2764710.4478958324</v>
      </c>
      <c r="BM285" s="1206">
        <f>SUM(BM277:BM284)</f>
        <v>3420685.1999999993</v>
      </c>
      <c r="BN285" s="338">
        <f ca="1">IF(BL285=0,0,1)</f>
        <v>1</v>
      </c>
      <c r="BO285" s="1180" t="s">
        <v>935</v>
      </c>
      <c r="BP285" s="358"/>
      <c r="BQ285" s="358"/>
      <c r="BR285" s="308" t="s">
        <v>850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(Cooperluz).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09" t="s">
        <v>936</v>
      </c>
      <c r="BP287" s="1209" t="s">
        <v>937</v>
      </c>
      <c r="BQ287" s="1209" t="s">
        <v>938</v>
      </c>
      <c r="BR287" s="1210" t="s">
        <v>939</v>
      </c>
      <c r="BS287" s="413" t="s">
        <v>803</v>
      </c>
      <c r="BU287" s="358"/>
      <c r="BV287" s="358"/>
      <c r="BW287" s="308" t="s">
        <v>850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11" t="s">
        <v>940</v>
      </c>
      <c r="BP288" s="1212">
        <f>IFERROR(Aj.Subsídio!L5,0)</f>
        <v>18930.070800372632</v>
      </c>
      <c r="BQ288" s="1212">
        <f>IFERROR(Aj.Subsídio!M5,0)</f>
        <v>20328.751305114634</v>
      </c>
      <c r="BR288" s="1212">
        <f t="shared" ref="BR288:BR294" si="31">BP288+BQ288</f>
        <v>39258.82210548727</v>
      </c>
      <c r="BS288" s="414">
        <f t="shared" ref="BS288:BS294" si="32">IF(BR288=0,0,1)</f>
        <v>1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11" t="s">
        <v>941</v>
      </c>
      <c r="BP289" s="1212">
        <f>IFERROR(Aj.Subsídio!L6,0)</f>
        <v>-0.86980559323365014</v>
      </c>
      <c r="BQ289" s="1212">
        <f>IFERROR(Aj.Subsídio!M6,0)</f>
        <v>1139.9168138338152</v>
      </c>
      <c r="BR289" s="1213">
        <f t="shared" si="31"/>
        <v>1139.0470082405816</v>
      </c>
      <c r="BS289" s="363">
        <f t="shared" si="32"/>
        <v>1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11" t="s">
        <v>942</v>
      </c>
      <c r="BP290" s="1212">
        <f>IFERROR(Aj.Subsídio!L7,0)</f>
        <v>0</v>
      </c>
      <c r="BQ290" s="1212">
        <f>IFERROR(Aj.Subsídio!M7,0)</f>
        <v>0</v>
      </c>
      <c r="BR290" s="1213">
        <f t="shared" si="31"/>
        <v>0</v>
      </c>
      <c r="BS290" s="363">
        <f t="shared" si="32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11" t="s">
        <v>943</v>
      </c>
      <c r="BP291" s="1212">
        <f>IFERROR(Aj.Subsídio!L8,0)</f>
        <v>484.83010085120259</v>
      </c>
      <c r="BQ291" s="1212">
        <f>IFERROR(Aj.Subsídio!M8,0)</f>
        <v>3474.2647934119086</v>
      </c>
      <c r="BR291" s="1213">
        <f t="shared" si="31"/>
        <v>3959.0948942631112</v>
      </c>
      <c r="BS291" s="363">
        <f t="shared" si="32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11" t="s">
        <v>944</v>
      </c>
      <c r="BP292" s="1212">
        <f>IFERROR(Aj.Subsídio!L9,0)</f>
        <v>2128.6652435808987</v>
      </c>
      <c r="BQ292" s="1212">
        <f>IFERROR(Aj.Subsídio!M9,0)</f>
        <v>121975.0372172011</v>
      </c>
      <c r="BR292" s="1213">
        <f t="shared" si="31"/>
        <v>124103.70246078199</v>
      </c>
      <c r="BS292" s="363">
        <f t="shared" si="32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11" t="s">
        <v>945</v>
      </c>
      <c r="BP293" s="1212">
        <f>IFERROR(Aj.Subsídio!L10,0)</f>
        <v>14375.894941642555</v>
      </c>
      <c r="BQ293" s="1212">
        <f>IFERROR(Aj.Subsídio!M10,0)</f>
        <v>38664.002220753566</v>
      </c>
      <c r="BR293" s="1213">
        <f t="shared" si="31"/>
        <v>53039.897162396119</v>
      </c>
      <c r="BS293" s="363">
        <f t="shared" si="32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14" t="s">
        <v>846</v>
      </c>
      <c r="BP294" s="1212">
        <f>SUM(BP288:BP293)</f>
        <v>35918.591280854052</v>
      </c>
      <c r="BQ294" s="1212">
        <f>SUM(BQ288:BQ293)</f>
        <v>185581.97235031502</v>
      </c>
      <c r="BR294" s="1213">
        <f t="shared" si="31"/>
        <v>221500.56363116906</v>
      </c>
      <c r="BS294" s="414">
        <f t="shared" si="32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9" t="s">
        <v>946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12.7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947</v>
      </c>
      <c r="BW296" s="60" t="s">
        <v>948</v>
      </c>
      <c r="BY296" s="23" t="s">
        <v>803</v>
      </c>
      <c r="BZ296" s="681" t="s">
        <v>949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RGE SUL DISTRIBUIDORA DE ENERGIA S.A.</v>
      </c>
      <c r="BU297" s="311" t="str">
        <f>Energia!C28</f>
        <v>A3 ( 69 kV)</v>
      </c>
      <c r="BV297" s="432">
        <f>Energia!I28</f>
        <v>0</v>
      </c>
      <c r="BW297" s="432">
        <f>Energia!F28</f>
        <v>0</v>
      </c>
      <c r="BY297" s="23">
        <f t="shared" ref="BY297:BY303" si="33">IF(BU297=0,0,1)</f>
        <v>1</v>
      </c>
      <c r="BZ297" s="680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RGE SUL DISTRIBUIDORA DE ENERGIA S.A.</v>
      </c>
      <c r="BU298" s="311" t="str">
        <f>Energia!C29</f>
        <v>A4 (2,3 a 25 kV)</v>
      </c>
      <c r="BV298" s="432">
        <f>Energia!I29</f>
        <v>0</v>
      </c>
      <c r="BW298" s="432">
        <f>Energia!F29</f>
        <v>0</v>
      </c>
      <c r="BY298" s="23">
        <f t="shared" si="33"/>
        <v>1</v>
      </c>
      <c r="BZ298" s="680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3"/>
        <v>0</v>
      </c>
      <c r="BZ299" s="680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3"/>
        <v>0</v>
      </c>
      <c r="BZ300" s="680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3"/>
        <v>0</v>
      </c>
      <c r="BZ301" s="680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3"/>
        <v>0</v>
      </c>
      <c r="BZ302" s="680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3"/>
        <v>#REF!</v>
      </c>
      <c r="BZ303" s="682" t="s">
        <v>702</v>
      </c>
      <c r="CB303" s="308" t="s">
        <v>850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15" t="s">
        <v>702</v>
      </c>
      <c r="CA304" s="1216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950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17" t="s">
        <v>951</v>
      </c>
      <c r="CA306" s="1218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810"/>
      <c r="C315" s="1810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810"/>
      <c r="C321" s="1810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810"/>
      <c r="C330" s="1810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U224 AS222:AU222 AW222:AX222 AS223:AU223 AW223:AX223 AS267 AS265:AV265 AT264 AX264 AS215:AU215 AS212:AT212 AX212 AS208 AU208:AV208 AS229:AX231 AS228 AU228:AX228 AS227:AV227 AS226:AT226 AV226:AX226 AX227 AX208 AS262:AV262 AX262 AX263 AS211:AU211 AX211 AS217:AX218 AS216:AV216 AX216 AS221:AV221 AS219:AV219 AX219 AS220:AV220 AX220 AX221 AS225:AV225 AX225 K84 AW213:AX213 AW219:AW221 AW215:AX215 AX265 AW224:AX224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19" zoomScale="90" zoomScaleNormal="90" workbookViewId="0">
      <selection activeCell="D40" sqref="D40:D43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18.42578125" style="95" bestFit="1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09" t="s">
        <v>952</v>
      </c>
      <c r="C1" s="1106"/>
      <c r="D1" s="1010"/>
      <c r="E1" s="1010"/>
      <c r="F1" s="1010"/>
      <c r="G1" s="1219" t="s">
        <v>953</v>
      </c>
      <c r="H1" s="1220">
        <f ca="1">LnkTXTIRTEco</f>
        <v>3.0300000000000001E-2</v>
      </c>
      <c r="I1" s="70"/>
      <c r="J1" s="70"/>
      <c r="P1" s="1221" t="s">
        <v>954</v>
      </c>
      <c r="Q1" s="1222"/>
      <c r="S1" s="1223" t="s">
        <v>955</v>
      </c>
      <c r="T1" s="1222" t="s">
        <v>956</v>
      </c>
      <c r="W1" s="1221" t="s">
        <v>955</v>
      </c>
      <c r="X1" s="1222" t="s">
        <v>956</v>
      </c>
    </row>
    <row r="2" spans="2:24" ht="14.25">
      <c r="B2" s="138" t="str">
        <f>CAPA!C9</f>
        <v>Cooperluz</v>
      </c>
      <c r="C2" s="70"/>
      <c r="D2" s="70"/>
      <c r="G2" s="121" t="s">
        <v>957</v>
      </c>
      <c r="H2" s="122">
        <f ca="1">LnkTXTIRTTotal</f>
        <v>-0.30859999999999999</v>
      </c>
      <c r="P2" s="1224">
        <f>DATE(YEAR(P4),MONTH(P4)-1,1)</f>
        <v>44378</v>
      </c>
      <c r="Q2" s="693"/>
      <c r="S2" s="692" t="s">
        <v>958</v>
      </c>
      <c r="T2" s="693" t="s">
        <v>959</v>
      </c>
      <c r="W2" s="692" t="s">
        <v>960</v>
      </c>
      <c r="X2" s="693" t="s">
        <v>959</v>
      </c>
    </row>
    <row r="3" spans="2:24" ht="14.25">
      <c r="P3" s="1221" t="s">
        <v>954</v>
      </c>
      <c r="Q3" s="1222"/>
      <c r="S3" s="1223" t="s">
        <v>955</v>
      </c>
      <c r="T3" s="1222" t="s">
        <v>956</v>
      </c>
      <c r="W3" s="1221" t="s">
        <v>955</v>
      </c>
      <c r="X3" s="1222" t="s">
        <v>956</v>
      </c>
    </row>
    <row r="4" spans="2:24" ht="14.25">
      <c r="P4" s="1224">
        <f>DATE(YEAR(P6),MONTH(P6)-1,1)</f>
        <v>44409</v>
      </c>
      <c r="Q4" s="693"/>
      <c r="S4" s="692" t="s">
        <v>602</v>
      </c>
      <c r="T4" s="693" t="s">
        <v>959</v>
      </c>
      <c r="W4" s="692" t="s">
        <v>960</v>
      </c>
      <c r="X4" s="693" t="s">
        <v>959</v>
      </c>
    </row>
    <row r="5" spans="2:24" ht="14.25">
      <c r="P5" s="1221" t="s">
        <v>954</v>
      </c>
      <c r="Q5" s="1222"/>
      <c r="S5" s="1221" t="s">
        <v>955</v>
      </c>
      <c r="T5" s="1222" t="s">
        <v>956</v>
      </c>
      <c r="V5" s="96"/>
      <c r="W5" s="1221" t="s">
        <v>955</v>
      </c>
      <c r="X5" s="1222" t="s">
        <v>956</v>
      </c>
    </row>
    <row r="6" spans="2:24" ht="14.25">
      <c r="B6" s="112" t="s">
        <v>961</v>
      </c>
      <c r="F6" s="112" t="s">
        <v>962</v>
      </c>
      <c r="I6" s="112" t="s">
        <v>963</v>
      </c>
      <c r="P6" s="1224">
        <f>DATE(YEAR(P8),MONTH(P8)-1,1)</f>
        <v>44440</v>
      </c>
      <c r="Q6" s="693"/>
      <c r="S6" s="692" t="str">
        <f>"=A3"</f>
        <v>=A3</v>
      </c>
      <c r="T6" s="693" t="s">
        <v>959</v>
      </c>
      <c r="W6" s="692" t="s">
        <v>960</v>
      </c>
      <c r="X6" s="693" t="s">
        <v>959</v>
      </c>
    </row>
    <row r="7" spans="2:24" ht="14.25">
      <c r="B7" s="1225" t="s">
        <v>855</v>
      </c>
      <c r="C7" s="1225" t="s">
        <v>120</v>
      </c>
      <c r="D7" s="1225" t="s">
        <v>964</v>
      </c>
      <c r="E7" s="97"/>
      <c r="F7" s="1225" t="s">
        <v>855</v>
      </c>
      <c r="G7" s="1225" t="s">
        <v>964</v>
      </c>
      <c r="I7" s="1226" t="s">
        <v>855</v>
      </c>
      <c r="J7" s="1226" t="s">
        <v>965</v>
      </c>
      <c r="L7" s="428" t="s">
        <v>966</v>
      </c>
      <c r="M7" s="428"/>
      <c r="N7" s="428" t="s">
        <v>802</v>
      </c>
      <c r="P7" s="1221" t="s">
        <v>954</v>
      </c>
      <c r="Q7" s="1222"/>
      <c r="S7" s="1221" t="s">
        <v>955</v>
      </c>
      <c r="T7" s="1222" t="s">
        <v>956</v>
      </c>
      <c r="W7" s="1221" t="s">
        <v>955</v>
      </c>
      <c r="X7" s="1222" t="s">
        <v>956</v>
      </c>
    </row>
    <row r="8" spans="2:24" ht="14.25">
      <c r="B8" s="1227" t="s">
        <v>967</v>
      </c>
      <c r="C8" s="1228">
        <f ca="1">SUM(C9:C15)</f>
        <v>71413.907999999996</v>
      </c>
      <c r="D8" s="1229">
        <f ca="1">SUM(D9:D15)</f>
        <v>55192361.424989976</v>
      </c>
      <c r="E8" s="97"/>
      <c r="F8" s="97" t="s">
        <v>968</v>
      </c>
      <c r="G8" s="116">
        <f t="shared" ref="G8:G14" ca="1" si="0">SUM(INDIRECT("dados_Mercadobase["&amp;F8&amp;"]"))</f>
        <v>0</v>
      </c>
      <c r="I8" s="229" t="s">
        <v>233</v>
      </c>
      <c r="J8" s="117">
        <f ca="1">SUM(INDIRECT("dados_MercadoBase[ICMS]"))/SUM(INDIRECT("dados_MercadoBase[[PisPasep]:[ICMS]]"),INDIRECT("dados_MercadoBase[FinTotAj]"))</f>
        <v>0.15557983304160264</v>
      </c>
      <c r="L8" s="1230" t="s">
        <v>969</v>
      </c>
      <c r="M8" s="1231"/>
      <c r="N8" s="1232">
        <f>DSUM('BD MERCADO'!A2:AAA999998,"Total",S27:S28)</f>
        <v>8026614.6479200013</v>
      </c>
      <c r="P8" s="1224">
        <f>DATE(YEAR(P10),MONTH(P10)-1,1)</f>
        <v>44470</v>
      </c>
      <c r="Q8" s="693"/>
      <c r="S8" s="692" t="str">
        <f>"=A3a"</f>
        <v>=A3a</v>
      </c>
      <c r="T8" s="693" t="s">
        <v>959</v>
      </c>
      <c r="W8" s="692" t="s">
        <v>960</v>
      </c>
      <c r="X8" s="693" t="s">
        <v>959</v>
      </c>
    </row>
    <row r="9" spans="2:24" ht="14.25">
      <c r="B9" s="113" t="s">
        <v>958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33" t="s">
        <v>832</v>
      </c>
      <c r="J9" s="1234">
        <f ca="1">SUM(INDIRECT("dados_MercadoBase[[PisPasep]:[Cofins]]"))/SUM(INDIRECT("dados_MercadoBase[[PisPasep]:[ICMS]]"),INDIRECT("dados_MercadoBase[FinTotAj]"))</f>
        <v>2.2164677892755068E-2</v>
      </c>
      <c r="L9" s="97" t="s">
        <v>970</v>
      </c>
      <c r="M9" s="427"/>
      <c r="N9" s="116">
        <f>DSUM('BD MERCADO'!A2:AAA999998,"Total",S29:S30)</f>
        <v>2041644.3080299997</v>
      </c>
      <c r="P9" s="1221" t="s">
        <v>954</v>
      </c>
      <c r="Q9" s="1222"/>
      <c r="S9" s="1221" t="s">
        <v>955</v>
      </c>
      <c r="T9" s="1222" t="s">
        <v>956</v>
      </c>
      <c r="X9" s="98"/>
    </row>
    <row r="10" spans="2:24" ht="14.25">
      <c r="B10" s="113" t="s">
        <v>602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971</v>
      </c>
      <c r="G10" s="116">
        <f t="shared" ca="1" si="0"/>
        <v>224225.79157262581</v>
      </c>
      <c r="L10" s="97" t="s">
        <v>972</v>
      </c>
      <c r="M10" s="427"/>
      <c r="N10" s="116">
        <f>DSUM('BD MERCADO'!A2:AAA999998,"Total",S31:S32)</f>
        <v>3414416.5512300003</v>
      </c>
      <c r="P10" s="1224">
        <f>DATE(YEAR(P12),MONTH(P12)-1,1)</f>
        <v>44501</v>
      </c>
      <c r="Q10" s="693"/>
      <c r="S10" s="692" t="s">
        <v>597</v>
      </c>
      <c r="T10" s="693" t="s">
        <v>959</v>
      </c>
      <c r="U10" s="95" t="s">
        <v>973</v>
      </c>
      <c r="X10" s="98"/>
    </row>
    <row r="11" spans="2:24" ht="14.25">
      <c r="B11" s="113" t="s">
        <v>599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684420.7011875296</v>
      </c>
      <c r="L11" s="97" t="s">
        <v>974</v>
      </c>
      <c r="M11" s="427"/>
      <c r="N11" s="116">
        <f>DSUM('BD MERCADO'!A2:AAA999998,"Total",S33:S34)</f>
        <v>39645163.198140018</v>
      </c>
      <c r="P11" s="1221" t="s">
        <v>954</v>
      </c>
      <c r="Q11" s="1222"/>
      <c r="S11" s="1221" t="s">
        <v>955</v>
      </c>
      <c r="T11" s="1222" t="s">
        <v>956</v>
      </c>
      <c r="X11" s="98"/>
    </row>
    <row r="12" spans="2:24" ht="14.25">
      <c r="B12" s="113" t="s">
        <v>601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4359799.8740981631</v>
      </c>
      <c r="I12" s="112" t="s">
        <v>975</v>
      </c>
      <c r="L12" s="97" t="s">
        <v>976</v>
      </c>
      <c r="M12" s="427"/>
      <c r="N12" s="116">
        <f>DSUM('BD MERCADO'!A2:AAA999998,"Total",S35:S36)</f>
        <v>383680.50249999994</v>
      </c>
      <c r="P12" s="1224">
        <f>DATE(YEAR(P14),MONTH(P14)-1,1)</f>
        <v>44531</v>
      </c>
      <c r="Q12" s="693"/>
      <c r="S12" s="692" t="s">
        <v>977</v>
      </c>
      <c r="T12" s="693" t="s">
        <v>959</v>
      </c>
      <c r="X12" s="98"/>
    </row>
    <row r="13" spans="2:24" ht="14.25">
      <c r="B13" s="113" t="s">
        <v>597</v>
      </c>
      <c r="C13" s="99">
        <f t="shared" ca="1" si="2"/>
        <v>6019.0920000000024</v>
      </c>
      <c r="D13" s="114">
        <f t="shared" ca="1" si="1"/>
        <v>3956457.3260500007</v>
      </c>
      <c r="E13" s="97"/>
      <c r="F13" s="97" t="s">
        <v>40</v>
      </c>
      <c r="G13" s="116">
        <f t="shared" ca="1" si="0"/>
        <v>136147.2583124378</v>
      </c>
      <c r="I13" s="1226" t="s">
        <v>855</v>
      </c>
      <c r="J13" s="1226" t="s">
        <v>978</v>
      </c>
      <c r="L13" s="97" t="s">
        <v>979</v>
      </c>
      <c r="M13" s="427"/>
      <c r="N13" s="116">
        <f>DSUM('BD MERCADO'!A2:AAA999998,"Total",S37:S38)</f>
        <v>497787.91525000002</v>
      </c>
      <c r="P13" s="1221" t="s">
        <v>954</v>
      </c>
      <c r="Q13" s="1222"/>
      <c r="S13" s="1221" t="s">
        <v>955</v>
      </c>
      <c r="T13" s="1222" t="s">
        <v>956</v>
      </c>
      <c r="X13" s="98"/>
    </row>
    <row r="14" spans="2:24" ht="14.25">
      <c r="B14" s="113" t="s">
        <v>980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35" t="s">
        <v>981</v>
      </c>
      <c r="J14" s="1236">
        <f>CAPA!D41</f>
        <v>70306.714999999997</v>
      </c>
      <c r="L14" s="97" t="s">
        <v>982</v>
      </c>
      <c r="M14" s="427"/>
      <c r="N14" s="116">
        <f>DSUM('BD MERCADO'!A2:AAA999998,"Total",S39:S40)</f>
        <v>2062539.0582700004</v>
      </c>
      <c r="P14" s="1224">
        <f>DATE(YEAR(P16),MONTH(P16)-1,1)</f>
        <v>44562</v>
      </c>
      <c r="Q14" s="693"/>
      <c r="S14" s="692" t="s">
        <v>960</v>
      </c>
      <c r="T14" s="693" t="s">
        <v>959</v>
      </c>
      <c r="X14" s="98"/>
    </row>
    <row r="15" spans="2:24" ht="14.25">
      <c r="B15" s="113" t="s">
        <v>604</v>
      </c>
      <c r="C15" s="99">
        <f t="shared" ca="1" si="2"/>
        <v>65394.815999999992</v>
      </c>
      <c r="D15" s="114">
        <f t="shared" ca="1" si="1"/>
        <v>51235904.098939978</v>
      </c>
      <c r="E15" s="97"/>
      <c r="F15" s="97" t="s">
        <v>120</v>
      </c>
      <c r="G15" s="116">
        <f ca="1">SUM(C79:C84)</f>
        <v>17652501.85341147</v>
      </c>
      <c r="I15" s="1237" t="s">
        <v>911</v>
      </c>
      <c r="J15" s="1238">
        <f ca="1">IFERROR(Mercado_RA0_MWh/J14-1,0)</f>
        <v>4.8762099039899587E-2</v>
      </c>
      <c r="L15" s="1239" t="s">
        <v>983</v>
      </c>
      <c r="M15" s="1240"/>
      <c r="N15" s="1241">
        <f ca="1">D25-SUM(N8:N14)</f>
        <v>120099.05080996454</v>
      </c>
      <c r="P15" s="1221" t="s">
        <v>954</v>
      </c>
      <c r="Q15" s="1222"/>
      <c r="S15" s="1221" t="s">
        <v>984</v>
      </c>
      <c r="T15" s="1222" t="s">
        <v>956</v>
      </c>
      <c r="X15" s="98"/>
    </row>
    <row r="16" spans="2:24" ht="14.25">
      <c r="B16" s="1227" t="s">
        <v>985</v>
      </c>
      <c r="C16" s="1242">
        <f ca="1">DSUM(MercadoBase,"TUSD_E",INDIRECT("Mercado_CriterioResBr"))</f>
        <v>321.44700000000006</v>
      </c>
      <c r="D16" s="1243">
        <f ca="1">DSUM(MercadoBase,"Total",INDIRECT("Mercado_CriterioResBr"))</f>
        <v>231007.88654999994</v>
      </c>
      <c r="E16" s="97"/>
      <c r="F16" s="97" t="s">
        <v>986</v>
      </c>
      <c r="G16" s="116">
        <f ca="1">SUM(C87:C97)</f>
        <v>33135042.455652948</v>
      </c>
      <c r="P16" s="1224">
        <f>DATE(YEAR(P18),MONTH(P18)-1,1)</f>
        <v>44593</v>
      </c>
      <c r="Q16" s="693"/>
      <c r="S16" s="692" t="s">
        <v>987</v>
      </c>
      <c r="T16" s="693" t="s">
        <v>959</v>
      </c>
      <c r="X16" s="98"/>
    </row>
    <row r="17" spans="2:24" ht="14.25">
      <c r="B17" s="1227" t="s">
        <v>988</v>
      </c>
      <c r="C17" s="1242">
        <f ca="1">DSUM(MercadoBase,"TUSD_E",INDIRECT("Mercado_Criterio"&amp;$B17))</f>
        <v>0</v>
      </c>
      <c r="D17" s="1243">
        <f ca="1">DSUM(MercadoBase,"Total",INDIRECT("Mercado_Criterio"&amp;$B17))</f>
        <v>0</v>
      </c>
      <c r="E17" s="97"/>
      <c r="F17" s="1244" t="s">
        <v>837</v>
      </c>
      <c r="G17" s="1245">
        <f ca="1">SUM(G8:G16)</f>
        <v>56192137.93423517</v>
      </c>
      <c r="I17" s="228" t="str">
        <f>"Dado referente à "&amp;TEXT(P20,"mmmm/aaaa")</f>
        <v>Dado referente à abril/2022</v>
      </c>
      <c r="L17" s="79"/>
      <c r="P17" s="1221" t="s">
        <v>954</v>
      </c>
      <c r="Q17" s="1222"/>
      <c r="S17" s="1221" t="s">
        <v>956</v>
      </c>
      <c r="T17" s="1222"/>
      <c r="X17" s="98"/>
    </row>
    <row r="18" spans="2:24" ht="14.25">
      <c r="B18" s="1227" t="s">
        <v>989</v>
      </c>
      <c r="C18" s="1242">
        <f ca="1">DSUM(MercadoBase,"TUSD_E",INDIRECT("Mercado_Criterio"&amp;$B18))</f>
        <v>2321.11</v>
      </c>
      <c r="D18" s="1243">
        <f ca="1">DSUM(MercadoBase,"Total",INDIRECT("Mercado_Criterio"&amp;$B18))</f>
        <v>882707.88715999958</v>
      </c>
      <c r="E18" s="97"/>
      <c r="I18" s="1246" t="s">
        <v>990</v>
      </c>
      <c r="J18" s="1247">
        <f>DSUM('BD MERCADO'!B2:BU724,"UC",C101:C102)</f>
        <v>16717</v>
      </c>
      <c r="L18" s="79"/>
      <c r="P18" s="1224">
        <f>DATE(YEAR(P20),MONTH(P20)-1,1)</f>
        <v>44621</v>
      </c>
      <c r="Q18" s="693"/>
      <c r="S18" s="692" t="s">
        <v>867</v>
      </c>
      <c r="T18" s="693"/>
      <c r="X18" s="98"/>
    </row>
    <row r="19" spans="2:24" ht="14.25">
      <c r="B19" s="115" t="s">
        <v>991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21" t="s">
        <v>954</v>
      </c>
      <c r="Q19" s="1222"/>
      <c r="S19" s="1221" t="s">
        <v>956</v>
      </c>
      <c r="T19" s="1222" t="s">
        <v>955</v>
      </c>
      <c r="X19" s="98"/>
    </row>
    <row r="20" spans="2:24" ht="14.25">
      <c r="B20" s="115" t="s">
        <v>992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24">
        <f>DATE(YEAR(P22),MONTH(P22)-1,1)</f>
        <v>44652</v>
      </c>
      <c r="Q20" s="693"/>
      <c r="S20" s="692" t="s">
        <v>989</v>
      </c>
      <c r="T20" s="693" t="s">
        <v>958</v>
      </c>
    </row>
    <row r="21" spans="2:24" ht="14.25">
      <c r="B21" s="115" t="s">
        <v>993</v>
      </c>
      <c r="C21" s="99"/>
      <c r="D21" s="114">
        <f ca="1">DSUM(MercadoBase,"Total",INDIRECT("Mercado_Criterio"&amp;$B21))</f>
        <v>116875.92000000003</v>
      </c>
      <c r="E21" s="632"/>
      <c r="F21" s="633"/>
      <c r="G21" s="631"/>
      <c r="L21" s="79"/>
      <c r="P21" s="1221" t="s">
        <v>954</v>
      </c>
      <c r="Q21" s="1222"/>
      <c r="S21" s="1221" t="s">
        <v>956</v>
      </c>
      <c r="T21" s="1222"/>
    </row>
    <row r="22" spans="2:24" ht="14.25">
      <c r="B22" s="115" t="s">
        <v>994</v>
      </c>
      <c r="C22" s="99">
        <f ca="1">C18-C19</f>
        <v>2321.11</v>
      </c>
      <c r="D22" s="114">
        <f ca="1">D18-D19</f>
        <v>882707.88715999958</v>
      </c>
      <c r="F22" s="634"/>
      <c r="G22" s="635"/>
      <c r="L22" s="79"/>
      <c r="M22" s="101"/>
      <c r="N22" s="98"/>
      <c r="O22" s="98"/>
      <c r="P22" s="1224">
        <f>DATE(YEAR(P24),MONTH(P24)-1,1)</f>
        <v>44682</v>
      </c>
      <c r="Q22" s="693"/>
      <c r="S22" s="692" t="s">
        <v>829</v>
      </c>
      <c r="T22" s="693"/>
      <c r="X22" s="98"/>
    </row>
    <row r="23" spans="2:24" ht="14.25">
      <c r="B23" s="1227" t="s">
        <v>995</v>
      </c>
      <c r="C23" s="1242">
        <v>0</v>
      </c>
      <c r="D23" s="1243">
        <v>0</v>
      </c>
      <c r="E23" s="632"/>
      <c r="F23" s="634"/>
      <c r="G23" s="635"/>
      <c r="L23" s="79"/>
      <c r="M23" s="101"/>
      <c r="N23" s="98"/>
      <c r="O23" s="98"/>
      <c r="P23" s="1221" t="s">
        <v>954</v>
      </c>
      <c r="Q23" s="1222"/>
      <c r="S23" s="1221" t="s">
        <v>956</v>
      </c>
      <c r="T23" s="1222"/>
      <c r="X23" s="98"/>
    </row>
    <row r="24" spans="2:24" ht="14.25">
      <c r="B24" s="1227" t="s">
        <v>996</v>
      </c>
      <c r="C24" s="1248"/>
      <c r="D24" s="1249"/>
      <c r="E24" s="632"/>
      <c r="F24" s="634"/>
      <c r="G24" s="635"/>
      <c r="L24" s="79"/>
      <c r="P24" s="1224">
        <f>SAS_RA0_DataFim</f>
        <v>44713</v>
      </c>
      <c r="Q24" s="693"/>
      <c r="S24" s="692" t="s">
        <v>993</v>
      </c>
      <c r="T24" s="693"/>
      <c r="X24" s="98"/>
    </row>
    <row r="25" spans="2:24" ht="14.25">
      <c r="B25" s="1250" t="s">
        <v>837</v>
      </c>
      <c r="C25" s="1251">
        <f ca="1">C18+C8+C24+C20+C21+SuprimentoE</f>
        <v>73735.017999999996</v>
      </c>
      <c r="D25" s="1252">
        <f ca="1">D18+D8+D24+D20+D21+D17</f>
        <v>56191945.232149981</v>
      </c>
      <c r="E25" s="632"/>
      <c r="N25" s="69">
        <f>SUMIFS('BD MERCADO'!$P$3:$P$6000,'BD MERCADO'!$D$3:$D$6000,"A4",'BD MERCADO'!$I$3:$I$6000,U10)</f>
        <v>251.42700000000005</v>
      </c>
      <c r="S25" s="102" t="s">
        <v>956</v>
      </c>
      <c r="T25" s="103"/>
      <c r="X25" s="98"/>
    </row>
    <row r="26" spans="2:24" ht="14.25">
      <c r="F26" s="634"/>
      <c r="G26" s="635"/>
      <c r="S26" s="692" t="s">
        <v>997</v>
      </c>
      <c r="T26" s="693"/>
      <c r="X26" s="98"/>
    </row>
    <row r="27" spans="2:24" ht="14.25">
      <c r="F27" s="634"/>
      <c r="G27" s="635"/>
      <c r="I27" s="98"/>
      <c r="S27" s="1253" t="s">
        <v>588</v>
      </c>
      <c r="T27" s="1254"/>
      <c r="X27" s="98"/>
    </row>
    <row r="28" spans="2:24" ht="14.25">
      <c r="F28" s="228"/>
      <c r="G28" s="636"/>
      <c r="I28" s="98"/>
      <c r="S28" s="1255" t="s">
        <v>969</v>
      </c>
      <c r="T28" s="1256"/>
      <c r="X28" s="98"/>
    </row>
    <row r="29" spans="2:24" ht="14.25">
      <c r="I29" s="98"/>
      <c r="S29" s="1253" t="s">
        <v>588</v>
      </c>
      <c r="T29" s="1254"/>
    </row>
    <row r="30" spans="2:24" ht="14.25">
      <c r="I30" s="98"/>
      <c r="S30" s="1255" t="s">
        <v>970</v>
      </c>
      <c r="T30" s="1256"/>
    </row>
    <row r="31" spans="2:24" ht="16.5">
      <c r="B31"/>
      <c r="C31"/>
      <c r="H31" s="98"/>
      <c r="I31" s="98"/>
      <c r="S31" s="1253" t="s">
        <v>588</v>
      </c>
      <c r="T31" s="1254"/>
      <c r="X31" s="98"/>
    </row>
    <row r="32" spans="2:24" ht="14.25">
      <c r="H32" s="98"/>
      <c r="I32" s="98"/>
      <c r="S32" s="1255" t="s">
        <v>998</v>
      </c>
      <c r="T32" s="1256"/>
      <c r="X32" s="98"/>
    </row>
    <row r="33" spans="2:24" ht="14.25">
      <c r="B33" s="1762" t="s">
        <v>999</v>
      </c>
      <c r="C33" s="68" t="s">
        <v>1000</v>
      </c>
      <c r="D33" s="68" t="s">
        <v>2367</v>
      </c>
      <c r="S33" s="1253" t="s">
        <v>588</v>
      </c>
      <c r="T33" s="1254"/>
      <c r="X33" s="98"/>
    </row>
    <row r="34" spans="2:24" ht="14.25">
      <c r="B34" s="1763">
        <v>44378</v>
      </c>
      <c r="C34" s="93">
        <v>4870.4589999999989</v>
      </c>
      <c r="D34" s="93">
        <v>4715.5729999999985</v>
      </c>
      <c r="S34" s="1255" t="s">
        <v>974</v>
      </c>
      <c r="T34" s="1256"/>
      <c r="X34" s="98"/>
    </row>
    <row r="35" spans="2:24" ht="14.25">
      <c r="B35" s="1763">
        <v>44409</v>
      </c>
      <c r="C35" s="93">
        <v>5457.0909999999994</v>
      </c>
      <c r="D35" s="93">
        <v>5264.4929999999995</v>
      </c>
      <c r="S35" s="1253" t="s">
        <v>588</v>
      </c>
      <c r="T35" s="1254"/>
    </row>
    <row r="36" spans="2:24" ht="14.25">
      <c r="B36" s="1763">
        <v>44440</v>
      </c>
      <c r="C36" s="93">
        <v>5715.5809999999992</v>
      </c>
      <c r="D36" s="93">
        <v>5503.7729999999992</v>
      </c>
      <c r="M36" s="98"/>
      <c r="S36" s="1255" t="s">
        <v>976</v>
      </c>
      <c r="T36" s="1256"/>
    </row>
    <row r="37" spans="2:24" ht="14.25">
      <c r="B37" s="1763">
        <v>44470</v>
      </c>
      <c r="C37" s="93">
        <v>5685.1690000000008</v>
      </c>
      <c r="D37" s="93">
        <v>5465.6420000000007</v>
      </c>
      <c r="M37" s="98"/>
      <c r="S37" s="1253" t="s">
        <v>588</v>
      </c>
      <c r="T37" s="1254"/>
    </row>
    <row r="38" spans="2:24" ht="14.25">
      <c r="B38" s="1763">
        <v>44501</v>
      </c>
      <c r="C38" s="93">
        <v>6161.6689999999999</v>
      </c>
      <c r="D38" s="93">
        <v>5934.7449999999999</v>
      </c>
      <c r="M38" s="98"/>
      <c r="S38" s="1255" t="s">
        <v>979</v>
      </c>
      <c r="T38" s="1256"/>
    </row>
    <row r="39" spans="2:24" ht="14.25">
      <c r="B39" s="1763">
        <v>44531</v>
      </c>
      <c r="C39" s="93">
        <v>6744.2200000000012</v>
      </c>
      <c r="D39" s="93">
        <v>6525.7360000000008</v>
      </c>
      <c r="S39" s="1253" t="s">
        <v>588</v>
      </c>
      <c r="T39" s="1254"/>
    </row>
    <row r="40" spans="2:24" ht="14.25">
      <c r="B40" s="1763">
        <v>44562</v>
      </c>
      <c r="C40" s="93">
        <v>8303.4230000000007</v>
      </c>
      <c r="D40" s="93">
        <v>8089.3430000000008</v>
      </c>
      <c r="S40" s="1255" t="s">
        <v>1001</v>
      </c>
      <c r="T40" s="1256"/>
    </row>
    <row r="41" spans="2:24" ht="14.25">
      <c r="B41" s="1763">
        <v>44593</v>
      </c>
      <c r="C41" s="93">
        <v>8074.0929999999998</v>
      </c>
      <c r="D41" s="93">
        <v>7875.1790000000001</v>
      </c>
      <c r="N41" s="98"/>
      <c r="O41" s="98"/>
      <c r="P41" s="98"/>
      <c r="Q41" s="98"/>
      <c r="R41" s="98"/>
      <c r="S41" s="1253" t="s">
        <v>588</v>
      </c>
      <c r="T41" s="1254"/>
    </row>
    <row r="42" spans="2:24" ht="14.25">
      <c r="B42" s="1763">
        <v>44621</v>
      </c>
      <c r="C42" s="93">
        <v>6837.8140000000012</v>
      </c>
      <c r="D42" s="93">
        <v>6633.1770000000015</v>
      </c>
      <c r="N42" s="98"/>
      <c r="O42" s="98"/>
      <c r="P42" s="98"/>
      <c r="Q42" s="98"/>
      <c r="R42" s="98"/>
      <c r="S42" s="1255" t="s">
        <v>1002</v>
      </c>
      <c r="T42" s="1256"/>
    </row>
    <row r="43" spans="2:24" ht="14.25">
      <c r="B43" s="1763">
        <v>44652</v>
      </c>
      <c r="C43" s="93">
        <v>5538.3219999999992</v>
      </c>
      <c r="D43" s="93">
        <v>5373.7179999999998</v>
      </c>
      <c r="N43" s="98"/>
      <c r="O43" s="98"/>
      <c r="P43" s="98"/>
      <c r="Q43" s="98"/>
      <c r="R43" s="98"/>
      <c r="S43" s="1221" t="s">
        <v>955</v>
      </c>
      <c r="T43" s="1222" t="s">
        <v>956</v>
      </c>
    </row>
    <row r="44" spans="2:24" ht="14.25">
      <c r="B44" s="1763">
        <v>44682</v>
      </c>
      <c r="C44" s="93">
        <v>5101.9049999999997</v>
      </c>
      <c r="D44" s="93">
        <v>4945.3249999999998</v>
      </c>
      <c r="S44" s="692" t="s">
        <v>602</v>
      </c>
      <c r="T44" s="693" t="s">
        <v>989</v>
      </c>
    </row>
    <row r="45" spans="2:24" ht="14.25">
      <c r="B45" s="1763">
        <v>44713</v>
      </c>
      <c r="C45" s="93">
        <v>5245.2719999999999</v>
      </c>
      <c r="D45" s="93">
        <v>5087.2040000000006</v>
      </c>
      <c r="S45" s="1221" t="s">
        <v>955</v>
      </c>
      <c r="T45" s="1222" t="s">
        <v>956</v>
      </c>
    </row>
    <row r="46" spans="2:24" ht="14.25">
      <c r="B46" s="1763" t="s">
        <v>1003</v>
      </c>
      <c r="C46" s="93">
        <v>73735.017999999996</v>
      </c>
      <c r="D46" s="93">
        <v>71413.907999999996</v>
      </c>
      <c r="S46" s="692" t="s">
        <v>599</v>
      </c>
      <c r="T46" s="693" t="s">
        <v>989</v>
      </c>
    </row>
    <row r="47" spans="2:24" ht="16.5">
      <c r="B47"/>
      <c r="C47"/>
      <c r="D47"/>
      <c r="S47" s="1221" t="s">
        <v>955</v>
      </c>
      <c r="T47" s="1222" t="s">
        <v>956</v>
      </c>
    </row>
    <row r="48" spans="2:24" ht="16.5">
      <c r="B48"/>
      <c r="C48"/>
      <c r="D48"/>
      <c r="S48" s="692" t="s">
        <v>601</v>
      </c>
      <c r="T48" s="693" t="s">
        <v>989</v>
      </c>
    </row>
    <row r="49" spans="2:21" ht="16.5">
      <c r="B49"/>
      <c r="C49"/>
      <c r="D49"/>
      <c r="S49" s="1221" t="s">
        <v>955</v>
      </c>
      <c r="T49" s="1222" t="s">
        <v>956</v>
      </c>
    </row>
    <row r="50" spans="2:21" ht="16.5">
      <c r="B50"/>
      <c r="C50"/>
      <c r="D50"/>
      <c r="S50" s="692" t="s">
        <v>597</v>
      </c>
      <c r="T50" s="693" t="s">
        <v>989</v>
      </c>
    </row>
    <row r="51" spans="2:21" ht="16.5">
      <c r="B51"/>
      <c r="C51"/>
      <c r="S51" s="1221" t="s">
        <v>955</v>
      </c>
      <c r="T51" s="1222" t="s">
        <v>956</v>
      </c>
    </row>
    <row r="52" spans="2:21" ht="16.5">
      <c r="B52"/>
      <c r="C52"/>
      <c r="S52" s="692" t="s">
        <v>960</v>
      </c>
      <c r="T52" s="693" t="s">
        <v>989</v>
      </c>
    </row>
    <row r="53" spans="2:21" ht="16.5">
      <c r="B53"/>
      <c r="C53"/>
      <c r="S53" s="1221" t="s">
        <v>955</v>
      </c>
      <c r="T53" s="1222" t="s">
        <v>956</v>
      </c>
    </row>
    <row r="54" spans="2:21" ht="14.25">
      <c r="S54" s="692" t="s">
        <v>977</v>
      </c>
      <c r="T54" s="693" t="s">
        <v>989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1004</v>
      </c>
      <c r="K61" s="68"/>
    </row>
    <row r="62" spans="2:21" ht="14.25">
      <c r="B62" s="1257" t="s">
        <v>1005</v>
      </c>
      <c r="C62" s="1257"/>
      <c r="D62" s="1257" t="s">
        <v>968</v>
      </c>
      <c r="E62" s="1257" t="s">
        <v>49</v>
      </c>
      <c r="F62" s="1257" t="s">
        <v>971</v>
      </c>
      <c r="G62" s="1257" t="s">
        <v>47</v>
      </c>
      <c r="H62" s="1257" t="s">
        <v>41</v>
      </c>
      <c r="I62" s="1257" t="s">
        <v>40</v>
      </c>
      <c r="J62" s="1257" t="s">
        <v>126</v>
      </c>
      <c r="K62" s="1257" t="s">
        <v>1006</v>
      </c>
      <c r="L62" s="1257" t="s">
        <v>1007</v>
      </c>
      <c r="M62" s="1257" t="s">
        <v>1008</v>
      </c>
      <c r="N62" s="1257" t="s">
        <v>1009</v>
      </c>
      <c r="O62" s="1257" t="s">
        <v>1010</v>
      </c>
      <c r="P62" s="1257" t="s">
        <v>1011</v>
      </c>
      <c r="Q62" s="1257" t="s">
        <v>1012</v>
      </c>
      <c r="R62" s="1257" t="s">
        <v>1013</v>
      </c>
      <c r="S62" s="1257" t="s">
        <v>2166</v>
      </c>
      <c r="T62" s="1257" t="s">
        <v>1133</v>
      </c>
      <c r="U62" s="1257" t="s">
        <v>2253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ca="1">DSUM(MercadoBase,F$62,INDIRECT("P"&amp;5+2*(ROW()-65)&amp;":P"&amp;6+2*(ROW()-65)))</f>
        <v>14783.086431526148</v>
      </c>
      <c r="G63" s="104">
        <f t="shared" ca="1" si="4"/>
        <v>45189.708577404766</v>
      </c>
      <c r="H63" s="104">
        <f t="shared" ca="1" si="4"/>
        <v>288528.57878662122</v>
      </c>
      <c r="I63" s="104">
        <f t="shared" ca="1" si="4"/>
        <v>9025.4275354509391</v>
      </c>
      <c r="J63" s="104">
        <f t="shared" ca="1" si="4"/>
        <v>0</v>
      </c>
      <c r="K63" s="104">
        <f t="shared" ca="1" si="4"/>
        <v>14210.11261</v>
      </c>
      <c r="L63" s="104">
        <f t="shared" ca="1" si="4"/>
        <v>1291.3150000000001</v>
      </c>
      <c r="M63" s="104">
        <f t="shared" ca="1" si="4"/>
        <v>0</v>
      </c>
      <c r="N63" s="104">
        <f t="shared" ca="1" si="4"/>
        <v>6290.0026632000008</v>
      </c>
      <c r="O63" s="104">
        <f t="shared" ca="1" si="4"/>
        <v>200548.56829879995</v>
      </c>
      <c r="P63" s="104">
        <f t="shared" ca="1" si="4"/>
        <v>5688.4753220000002</v>
      </c>
      <c r="Q63" s="104">
        <f t="shared" ca="1" si="4"/>
        <v>2312.6846999999998</v>
      </c>
      <c r="R63" s="104">
        <f t="shared" ca="1" si="4"/>
        <v>2036060.9232369256</v>
      </c>
      <c r="S63" s="104">
        <f ca="1">DSUM(MercadoBase,S$62,INDIRECT("P"&amp;5+2*(ROW()-65)&amp;":P"&amp;6+2*(ROW()-65)))</f>
        <v>0</v>
      </c>
      <c r="T63" s="104">
        <f t="shared" ca="1" si="4"/>
        <v>-1495913.9491808312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16516.148160378245</v>
      </c>
      <c r="G64" s="104">
        <f t="shared" ca="1" si="4"/>
        <v>50677.118552516098</v>
      </c>
      <c r="H64" s="104">
        <f t="shared" ca="1" si="4"/>
        <v>323253.25590085186</v>
      </c>
      <c r="I64" s="104">
        <f t="shared" ca="1" si="4"/>
        <v>10098.395423041902</v>
      </c>
      <c r="J64" s="104">
        <f t="shared" ca="1" si="4"/>
        <v>0</v>
      </c>
      <c r="K64" s="104">
        <f t="shared" ca="1" si="4"/>
        <v>18676.877189999999</v>
      </c>
      <c r="L64" s="104">
        <f t="shared" ca="1" si="4"/>
        <v>1291.3150000000001</v>
      </c>
      <c r="M64" s="104">
        <f t="shared" ca="1" si="4"/>
        <v>0</v>
      </c>
      <c r="N64" s="104">
        <f t="shared" ca="1" si="4"/>
        <v>6570.4170114000081</v>
      </c>
      <c r="O64" s="104">
        <f t="shared" ca="1" si="4"/>
        <v>226904.77500319996</v>
      </c>
      <c r="P64" s="104">
        <f t="shared" ca="1" si="4"/>
        <v>11246.004801999999</v>
      </c>
      <c r="Q64" s="104">
        <f t="shared" ca="1" si="4"/>
        <v>2422.7170499999997</v>
      </c>
      <c r="R64" s="104">
        <f t="shared" ca="1" si="4"/>
        <v>2297739.3561228579</v>
      </c>
      <c r="S64" s="104">
        <f t="shared" ca="1" si="4"/>
        <v>0</v>
      </c>
      <c r="T64" s="104">
        <f t="shared" ca="1" si="4"/>
        <v>-1688171.6628309332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17275.071908656853</v>
      </c>
      <c r="G65" s="104">
        <f t="shared" ca="1" si="4"/>
        <v>53091.205570989223</v>
      </c>
      <c r="H65" s="104">
        <f t="shared" ca="1" si="4"/>
        <v>338985.39251265925</v>
      </c>
      <c r="I65" s="104">
        <f t="shared" ca="1" si="4"/>
        <v>10604.853388623293</v>
      </c>
      <c r="J65" s="104">
        <f t="shared" ca="1" si="4"/>
        <v>0</v>
      </c>
      <c r="K65" s="104">
        <f t="shared" ca="1" si="4"/>
        <v>20840.126664999996</v>
      </c>
      <c r="L65" s="104">
        <f t="shared" ca="1" si="4"/>
        <v>1291.3150000000001</v>
      </c>
      <c r="M65" s="104">
        <f t="shared" ca="1" si="4"/>
        <v>0</v>
      </c>
      <c r="N65" s="104">
        <f t="shared" ca="1" si="4"/>
        <v>6760.6925579999997</v>
      </c>
      <c r="O65" s="104">
        <f t="shared" ca="1" si="4"/>
        <v>242417.70938039996</v>
      </c>
      <c r="P65" s="104">
        <f t="shared" ca="1" si="4"/>
        <v>13792.035918</v>
      </c>
      <c r="Q65" s="104">
        <f t="shared" ca="1" si="4"/>
        <v>2554.8448699999999</v>
      </c>
      <c r="R65" s="104">
        <f t="shared" ca="1" si="4"/>
        <v>2413646.9456846793</v>
      </c>
      <c r="S65" s="104">
        <f t="shared" ca="1" si="4"/>
        <v>0</v>
      </c>
      <c r="T65" s="104">
        <f t="shared" ca="1" si="4"/>
        <v>-1773330.1067962546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17151.308115667627</v>
      </c>
      <c r="G66" s="104">
        <f t="shared" ca="1" si="4"/>
        <v>52811.243723190382</v>
      </c>
      <c r="H66" s="104">
        <f t="shared" ca="1" si="4"/>
        <v>335869.01278247597</v>
      </c>
      <c r="I66" s="104">
        <f t="shared" ca="1" si="4"/>
        <v>10454.079052815569</v>
      </c>
      <c r="J66" s="104">
        <f t="shared" ca="1" si="4"/>
        <v>0</v>
      </c>
      <c r="K66" s="104">
        <f t="shared" ca="1" si="4"/>
        <v>20561.540434999999</v>
      </c>
      <c r="L66" s="104">
        <f t="shared" ca="1" si="4"/>
        <v>1291.3150000000001</v>
      </c>
      <c r="M66" s="104">
        <f t="shared" ca="1" si="4"/>
        <v>0</v>
      </c>
      <c r="N66" s="104">
        <f t="shared" ca="1" si="4"/>
        <v>6577.9015638000055</v>
      </c>
      <c r="O66" s="104">
        <f t="shared" ca="1" si="4"/>
        <v>232385.15481039986</v>
      </c>
      <c r="P66" s="104">
        <f t="shared" ca="1" si="4"/>
        <v>18123.417766000002</v>
      </c>
      <c r="Q66" s="104">
        <f t="shared" ca="1" si="4"/>
        <v>2405.2729399999998</v>
      </c>
      <c r="R66" s="104">
        <f t="shared" ca="1" si="4"/>
        <v>2375275.2640013066</v>
      </c>
      <c r="S66" s="104">
        <f t="shared" ca="1" si="4"/>
        <v>0</v>
      </c>
      <c r="T66" s="104">
        <f t="shared" ca="1" si="4"/>
        <v>-1745138.0555523129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18635.634551229596</v>
      </c>
      <c r="G67" s="104">
        <f t="shared" ca="1" si="4"/>
        <v>57258.270349083628</v>
      </c>
      <c r="H67" s="104">
        <f t="shared" ca="1" si="4"/>
        <v>362442.64198547893</v>
      </c>
      <c r="I67" s="104">
        <f t="shared" ca="1" si="4"/>
        <v>11219.225104355501</v>
      </c>
      <c r="J67" s="104">
        <f t="shared" ca="1" si="4"/>
        <v>0</v>
      </c>
      <c r="K67" s="104">
        <f t="shared" ca="1" si="4"/>
        <v>20999.131089999999</v>
      </c>
      <c r="L67" s="104">
        <f t="shared" ca="1" si="4"/>
        <v>1291.3150000000001</v>
      </c>
      <c r="M67" s="104">
        <f t="shared" ca="1" si="4"/>
        <v>0</v>
      </c>
      <c r="N67" s="104">
        <f t="shared" ca="1" si="4"/>
        <v>6440.6773512000018</v>
      </c>
      <c r="O67" s="104">
        <f t="shared" ca="1" si="4"/>
        <v>237261.19336999991</v>
      </c>
      <c r="P67" s="104">
        <f t="shared" ca="1" si="4"/>
        <v>67065.384192000012</v>
      </c>
      <c r="Q67" s="104">
        <f t="shared" ca="1" si="4"/>
        <v>2582.0860199999993</v>
      </c>
      <c r="R67" s="104">
        <f t="shared" ca="1" si="4"/>
        <v>2430681.2470453563</v>
      </c>
      <c r="S67" s="104">
        <f t="shared" ca="1" si="4"/>
        <v>0</v>
      </c>
      <c r="T67" s="104">
        <f t="shared" ca="1" si="4"/>
        <v>-1785845.3752389485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20498.208128393631</v>
      </c>
      <c r="G68" s="104">
        <f t="shared" ca="1" si="4"/>
        <v>62702.209629421683</v>
      </c>
      <c r="H68" s="104">
        <f t="shared" ca="1" si="4"/>
        <v>396333.15699715441</v>
      </c>
      <c r="I68" s="104">
        <f t="shared" ca="1" si="4"/>
        <v>12244.071884640292</v>
      </c>
      <c r="J68" s="104">
        <f t="shared" ca="1" si="4"/>
        <v>0</v>
      </c>
      <c r="K68" s="104">
        <f t="shared" ca="1" si="4"/>
        <v>20470.63725</v>
      </c>
      <c r="L68" s="104">
        <f t="shared" ca="1" si="4"/>
        <v>1291.3150000000001</v>
      </c>
      <c r="M68" s="104">
        <f t="shared" ca="1" si="4"/>
        <v>0</v>
      </c>
      <c r="N68" s="104">
        <f t="shared" ca="1" si="4"/>
        <v>7187.2746515999979</v>
      </c>
      <c r="O68" s="104">
        <f t="shared" ca="1" si="4"/>
        <v>255297.81999559992</v>
      </c>
      <c r="P68" s="104">
        <f t="shared" ca="1" si="4"/>
        <v>110726.23763999999</v>
      </c>
      <c r="Q68" s="104">
        <f t="shared" ca="1" si="4"/>
        <v>2650.5651899999998</v>
      </c>
      <c r="R68" s="104">
        <f t="shared" ca="1" si="4"/>
        <v>2614509.0371314953</v>
      </c>
      <c r="S68" s="104">
        <f t="shared" ca="1" si="4"/>
        <v>0</v>
      </c>
      <c r="T68" s="104">
        <f t="shared" ca="1" si="4"/>
        <v>-1920905.4573310709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25435.148276143689</v>
      </c>
      <c r="G69" s="104">
        <f t="shared" ca="1" si="4"/>
        <v>77285.830732662071</v>
      </c>
      <c r="H69" s="104">
        <f t="shared" ca="1" si="4"/>
        <v>491210.0136618191</v>
      </c>
      <c r="I69" s="104">
        <f t="shared" ca="1" si="4"/>
        <v>15275.357444547035</v>
      </c>
      <c r="J69" s="104">
        <f t="shared" ca="1" si="4"/>
        <v>0</v>
      </c>
      <c r="K69" s="104">
        <f t="shared" ca="1" si="4"/>
        <v>20401.767444999998</v>
      </c>
      <c r="L69" s="104">
        <f t="shared" ca="1" si="4"/>
        <v>1291.3150000000001</v>
      </c>
      <c r="M69" s="104">
        <f t="shared" ca="1" si="4"/>
        <v>0</v>
      </c>
      <c r="N69" s="104">
        <f t="shared" ca="1" si="4"/>
        <v>8246.9429921999981</v>
      </c>
      <c r="O69" s="104">
        <f t="shared" ca="1" si="4"/>
        <v>323310.03751679999</v>
      </c>
      <c r="P69" s="104">
        <f t="shared" ca="1" si="4"/>
        <v>104606.662723</v>
      </c>
      <c r="Q69" s="104">
        <f t="shared" ca="1" si="4"/>
        <v>2778.9364500000001</v>
      </c>
      <c r="R69" s="104">
        <f t="shared" ca="1" si="4"/>
        <v>3342765.533574075</v>
      </c>
      <c r="S69" s="104">
        <f t="shared" ca="1" si="4"/>
        <v>0</v>
      </c>
      <c r="T69" s="104">
        <f t="shared" ca="1" si="4"/>
        <v>-2455962.6548721311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24769.208518651234</v>
      </c>
      <c r="G70" s="104">
        <f t="shared" ca="1" si="4"/>
        <v>75143.874359747759</v>
      </c>
      <c r="H70" s="104">
        <f t="shared" ca="1" si="4"/>
        <v>479785.38632404292</v>
      </c>
      <c r="I70" s="104">
        <f t="shared" ca="1" si="4"/>
        <v>15009.46801575706</v>
      </c>
      <c r="J70" s="104">
        <f t="shared" ca="1" si="4"/>
        <v>0</v>
      </c>
      <c r="K70" s="104">
        <f t="shared" ca="1" si="4"/>
        <v>19713.599585</v>
      </c>
      <c r="L70" s="104">
        <f t="shared" ca="1" si="4"/>
        <v>1291.3150000000001</v>
      </c>
      <c r="M70" s="104">
        <f t="shared" ca="1" si="4"/>
        <v>0</v>
      </c>
      <c r="N70" s="104">
        <f t="shared" ca="1" si="4"/>
        <v>8198.7487926000013</v>
      </c>
      <c r="O70" s="104">
        <f t="shared" ca="1" si="4"/>
        <v>329156.98126479983</v>
      </c>
      <c r="P70" s="104">
        <f t="shared" ca="1" si="4"/>
        <v>88308.501034999994</v>
      </c>
      <c r="Q70" s="104">
        <f t="shared" ca="1" si="4"/>
        <v>2823.6659799999998</v>
      </c>
      <c r="R70" s="104">
        <f t="shared" ca="1" si="4"/>
        <v>3344232.7220696658</v>
      </c>
      <c r="S70" s="104">
        <f t="shared" ca="1" si="4"/>
        <v>0</v>
      </c>
      <c r="T70" s="104">
        <f t="shared" ca="1" si="4"/>
        <v>-2457040.6126638572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20837.292242476877</v>
      </c>
      <c r="G71" s="104">
        <f t="shared" ca="1" si="4"/>
        <v>63449.08482415929</v>
      </c>
      <c r="H71" s="104">
        <f t="shared" ca="1" si="4"/>
        <v>405040.69159107306</v>
      </c>
      <c r="I71" s="104">
        <f t="shared" ca="1" si="4"/>
        <v>12691.905092218627</v>
      </c>
      <c r="J71" s="104">
        <f t="shared" ca="1" si="4"/>
        <v>0</v>
      </c>
      <c r="K71" s="104">
        <f t="shared" ca="1" si="4"/>
        <v>19500.936865</v>
      </c>
      <c r="L71" s="104">
        <f t="shared" ca="1" si="4"/>
        <v>1291.3150000000001</v>
      </c>
      <c r="M71" s="104">
        <f t="shared" ca="1" si="4"/>
        <v>0</v>
      </c>
      <c r="N71" s="104">
        <f t="shared" ca="1" si="4"/>
        <v>8024.4811134000074</v>
      </c>
      <c r="O71" s="104">
        <f t="shared" ca="1" si="4"/>
        <v>276172.72667999996</v>
      </c>
      <c r="P71" s="104">
        <f t="shared" ca="1" si="4"/>
        <v>44368.284695000002</v>
      </c>
      <c r="Q71" s="104">
        <f t="shared" ca="1" si="4"/>
        <v>4175.2704099999992</v>
      </c>
      <c r="R71" s="104">
        <f t="shared" ca="1" si="4"/>
        <v>2838470.0485587516</v>
      </c>
      <c r="S71" s="104">
        <f t="shared" ca="1" si="4"/>
        <v>0</v>
      </c>
      <c r="T71" s="104">
        <f t="shared" ca="1" si="4"/>
        <v>-2085451.8111474661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16863.188145046173</v>
      </c>
      <c r="G72" s="104">
        <f t="shared" ca="1" si="4"/>
        <v>51195.518457051337</v>
      </c>
      <c r="H72" s="104">
        <f t="shared" ca="1" si="4"/>
        <v>327070.5616568852</v>
      </c>
      <c r="I72" s="104">
        <f t="shared" ca="1" si="4"/>
        <v>10287.752573618316</v>
      </c>
      <c r="J72" s="104">
        <f t="shared" ca="1" si="4"/>
        <v>0</v>
      </c>
      <c r="K72" s="104">
        <f t="shared" ca="1" si="4"/>
        <v>15027.220405</v>
      </c>
      <c r="L72" s="104">
        <f t="shared" ca="1" si="4"/>
        <v>1291.3150000000001</v>
      </c>
      <c r="M72" s="104">
        <f t="shared" ca="1" si="4"/>
        <v>0</v>
      </c>
      <c r="N72" s="104">
        <f t="shared" ca="1" si="4"/>
        <v>6932.9311427999974</v>
      </c>
      <c r="O72" s="104">
        <f t="shared" ca="1" si="4"/>
        <v>229879.67408359994</v>
      </c>
      <c r="P72" s="104">
        <f t="shared" ca="1" si="4"/>
        <v>9167.0909749999992</v>
      </c>
      <c r="Q72" s="104">
        <f t="shared" ca="1" si="4"/>
        <v>5598.5312699999995</v>
      </c>
      <c r="R72" s="104">
        <f t="shared" ca="1" si="4"/>
        <v>2307870.3732823841</v>
      </c>
      <c r="S72" s="104">
        <f t="shared" ca="1" si="4"/>
        <v>0</v>
      </c>
      <c r="T72" s="104">
        <f t="shared" ca="1" si="4"/>
        <v>-1695615.0205985531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15506.449119609273</v>
      </c>
      <c r="G73" s="104">
        <f t="shared" ca="1" si="4"/>
        <v>47147.208243777335</v>
      </c>
      <c r="H73" s="104">
        <f t="shared" ca="1" si="4"/>
        <v>301323.00364516809</v>
      </c>
      <c r="I73" s="104">
        <f t="shared" ca="1" si="4"/>
        <v>9477.685779145284</v>
      </c>
      <c r="J73" s="104">
        <f t="shared" ca="1" si="4"/>
        <v>0</v>
      </c>
      <c r="K73" s="104">
        <f t="shared" ca="1" si="4"/>
        <v>13834.848925</v>
      </c>
      <c r="L73" s="104">
        <f t="shared" ca="1" si="4"/>
        <v>1291.3150000000001</v>
      </c>
      <c r="M73" s="104">
        <f t="shared" ca="1" si="4"/>
        <v>0</v>
      </c>
      <c r="N73" s="104">
        <f t="shared" ca="1" si="4"/>
        <v>6961.6301868000064</v>
      </c>
      <c r="O73" s="104">
        <f t="shared" ca="1" si="4"/>
        <v>210641.32219199996</v>
      </c>
      <c r="P73" s="104">
        <f t="shared" ca="1" si="4"/>
        <v>3391.0716469999998</v>
      </c>
      <c r="Q73" s="104">
        <f t="shared" ca="1" si="4"/>
        <v>5248.4395299999996</v>
      </c>
      <c r="R73" s="104">
        <f t="shared" ca="1" si="4"/>
        <v>2126625.4297728413</v>
      </c>
      <c r="S73" s="104">
        <f t="shared" ca="1" si="4"/>
        <v>0</v>
      </c>
      <c r="T73" s="104">
        <f t="shared" ca="1" si="4"/>
        <v>-1562452.5812431634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15955.047974846615</v>
      </c>
      <c r="G74" s="104">
        <f t="shared" ca="1" si="4"/>
        <v>48469.428167525999</v>
      </c>
      <c r="H74" s="104">
        <f t="shared" ca="1" si="4"/>
        <v>309958.17825392861</v>
      </c>
      <c r="I74" s="104">
        <f t="shared" ca="1" si="4"/>
        <v>9759.0370182238767</v>
      </c>
      <c r="J74" s="104">
        <f t="shared" ca="1" si="4"/>
        <v>0</v>
      </c>
      <c r="K74" s="104">
        <f t="shared" ca="1" si="4"/>
        <v>14403.637005</v>
      </c>
      <c r="L74" s="104">
        <f t="shared" ca="1" si="4"/>
        <v>1291.3150000000001</v>
      </c>
      <c r="M74" s="104">
        <f t="shared" ca="1" si="4"/>
        <v>0</v>
      </c>
      <c r="N74" s="104">
        <f t="shared" ca="1" si="4"/>
        <v>6617.539598400007</v>
      </c>
      <c r="O74" s="104">
        <f t="shared" ca="1" si="4"/>
        <v>217531.36732679995</v>
      </c>
      <c r="P74" s="104">
        <f t="shared" ca="1" si="4"/>
        <v>3064.0676739999999</v>
      </c>
      <c r="Q74" s="104">
        <f t="shared" ca="1" si="4"/>
        <v>5311.8210399999998</v>
      </c>
      <c r="R74" s="104">
        <f t="shared" ca="1" si="4"/>
        <v>2181313.2298499853</v>
      </c>
      <c r="S74" s="104">
        <f t="shared" ca="1" si="4"/>
        <v>0</v>
      </c>
      <c r="T74" s="104">
        <f t="shared" ca="1" si="4"/>
        <v>-1602632.2448533038</v>
      </c>
      <c r="U74" s="104">
        <f t="shared" ca="1" si="4"/>
        <v>0</v>
      </c>
    </row>
    <row r="75" spans="2:21" ht="14.25">
      <c r="B75" s="1258" t="s">
        <v>1014</v>
      </c>
      <c r="C75" s="1259"/>
      <c r="D75" s="1259">
        <f t="shared" ref="D75:Q75" ca="1" si="5">SUM(D63:D74)</f>
        <v>0</v>
      </c>
      <c r="E75" s="1259">
        <f t="shared" ca="1" si="5"/>
        <v>0</v>
      </c>
      <c r="F75" s="1259">
        <f t="shared" ca="1" si="5"/>
        <v>224225.79157262601</v>
      </c>
      <c r="G75" s="1259">
        <f t="shared" ca="1" si="5"/>
        <v>684420.70118752972</v>
      </c>
      <c r="H75" s="1259">
        <f t="shared" ca="1" si="5"/>
        <v>4359799.8740981584</v>
      </c>
      <c r="I75" s="1259">
        <f t="shared" ca="1" si="5"/>
        <v>136147.25831243768</v>
      </c>
      <c r="J75" s="1259">
        <f t="shared" ca="1" si="5"/>
        <v>0</v>
      </c>
      <c r="K75" s="1259">
        <f t="shared" ca="1" si="5"/>
        <v>218640.43546999997</v>
      </c>
      <c r="L75" s="1259">
        <f t="shared" ca="1" si="5"/>
        <v>15495.780000000004</v>
      </c>
      <c r="M75" s="1259">
        <f t="shared" ca="1" si="5"/>
        <v>0</v>
      </c>
      <c r="N75" s="1259">
        <f t="shared" ca="1" si="5"/>
        <v>84809.23962540002</v>
      </c>
      <c r="O75" s="1259">
        <f t="shared" ca="1" si="5"/>
        <v>2981507.329922399</v>
      </c>
      <c r="P75" s="1259">
        <f t="shared" ca="1" si="5"/>
        <v>479547.23438899999</v>
      </c>
      <c r="Q75" s="1259">
        <f t="shared" ca="1" si="5"/>
        <v>40864.835449999991</v>
      </c>
      <c r="R75" s="1259">
        <f t="shared" ref="R75:S75" ca="1" si="6">SUM(R63:R74)</f>
        <v>30309190.110330328</v>
      </c>
      <c r="S75" s="1259">
        <f t="shared" ca="1" si="6"/>
        <v>0</v>
      </c>
      <c r="T75" s="1259">
        <f t="shared" ref="T75:U75" ca="1" si="7">SUM(T63:T74)</f>
        <v>-22268459.532308824</v>
      </c>
      <c r="U75" s="1259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1015</v>
      </c>
    </row>
    <row r="78" spans="2:21" ht="14.25">
      <c r="J78" s="95" t="s">
        <v>1016</v>
      </c>
      <c r="K78" s="1260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61" t="s">
        <v>1017</v>
      </c>
      <c r="C79" s="1262">
        <f t="shared" ref="C79:C84" ca="1" si="8">SUM(INDIRECT("dados_MercadoBase["&amp;B79&amp;"]"))</f>
        <v>15169092.84715117</v>
      </c>
      <c r="J79" s="95" t="s">
        <v>1018</v>
      </c>
      <c r="K79" s="1263"/>
      <c r="L79" s="1263"/>
      <c r="M79" s="1263">
        <f>SUMIFS(M63:M74,$B$63:$B$74,42826)</f>
        <v>0</v>
      </c>
      <c r="N79" s="1263">
        <f>SUMIFS(N63:N74,$B$63:$B$74,42826)</f>
        <v>0</v>
      </c>
      <c r="O79" s="1263">
        <f>SUMIFS(O63:O74,$B$63:$B$74,42826)</f>
        <v>0</v>
      </c>
      <c r="P79" s="1263">
        <f>SUMIFS(P63:P74,$B$63:$B$74,42826)</f>
        <v>0</v>
      </c>
      <c r="Q79" s="1263">
        <f>SUMIFS(Q63:Q74,$B$63:$B$74,42826)</f>
        <v>0</v>
      </c>
    </row>
    <row r="80" spans="2:21" ht="14.25">
      <c r="B80" s="118" t="s">
        <v>1019</v>
      </c>
      <c r="C80" s="104">
        <f t="shared" ca="1" si="8"/>
        <v>42491.561689757356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1020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1021</v>
      </c>
      <c r="C82" s="104">
        <f t="shared" ca="1" si="8"/>
        <v>0</v>
      </c>
    </row>
    <row r="83" spans="2:13" ht="14.25">
      <c r="B83" s="118" t="s">
        <v>1022</v>
      </c>
      <c r="C83" s="104">
        <f t="shared" ca="1" si="8"/>
        <v>2440917.4445705442</v>
      </c>
    </row>
    <row r="84" spans="2:13" ht="14.25">
      <c r="B84" s="118" t="s">
        <v>1021</v>
      </c>
      <c r="C84" s="104">
        <f t="shared" ca="1" si="8"/>
        <v>0</v>
      </c>
    </row>
    <row r="85" spans="2:13" ht="14.25">
      <c r="B85" s="1264"/>
      <c r="C85" s="1265"/>
    </row>
    <row r="86" spans="2:13" ht="14.25"/>
    <row r="87" spans="2:13" ht="14.25">
      <c r="B87" s="1261" t="s">
        <v>1023</v>
      </c>
      <c r="C87" s="1262">
        <f t="shared" ref="C87:C97" ca="1" si="9">SUM(INDIRECT("dados_MercadoBase["&amp;B87&amp;"]"))</f>
        <v>0</v>
      </c>
    </row>
    <row r="88" spans="2:13" ht="14.25">
      <c r="B88" s="118" t="s">
        <v>1024</v>
      </c>
      <c r="C88" s="104">
        <f t="shared" ca="1" si="9"/>
        <v>0</v>
      </c>
    </row>
    <row r="89" spans="2:13" ht="14.25">
      <c r="B89" s="118" t="s">
        <v>1025</v>
      </c>
      <c r="C89" s="104">
        <f t="shared" ca="1" si="9"/>
        <v>694657.64644569915</v>
      </c>
    </row>
    <row r="90" spans="2:13" ht="14.25">
      <c r="B90" s="118" t="s">
        <v>1026</v>
      </c>
      <c r="C90" s="104">
        <f t="shared" ca="1" si="9"/>
        <v>0</v>
      </c>
    </row>
    <row r="91" spans="2:13" ht="14.25">
      <c r="B91" s="118" t="s">
        <v>1027</v>
      </c>
      <c r="C91" s="104">
        <f t="shared" ca="1" si="9"/>
        <v>2070052.8014501331</v>
      </c>
    </row>
    <row r="92" spans="2:13" ht="14.25">
      <c r="B92" s="118" t="s">
        <v>1028</v>
      </c>
      <c r="C92" s="104">
        <f t="shared" ca="1" si="9"/>
        <v>0</v>
      </c>
      <c r="G92" s="105"/>
    </row>
    <row r="93" spans="2:13" ht="14.25">
      <c r="B93" s="118" t="s">
        <v>1029</v>
      </c>
      <c r="C93" s="104">
        <f t="shared" ca="1" si="9"/>
        <v>0</v>
      </c>
      <c r="E93" s="106"/>
      <c r="G93" s="79"/>
    </row>
    <row r="94" spans="2:13" ht="14.25">
      <c r="B94" s="118" t="s">
        <v>1030</v>
      </c>
      <c r="C94" s="104">
        <f t="shared" ca="1" si="9"/>
        <v>0</v>
      </c>
      <c r="E94" s="106"/>
      <c r="G94" s="106"/>
    </row>
    <row r="95" spans="2:13" ht="14.25">
      <c r="B95" s="118" t="s">
        <v>1031</v>
      </c>
      <c r="C95" s="104">
        <f t="shared" ca="1" si="9"/>
        <v>0</v>
      </c>
      <c r="E95" s="106"/>
      <c r="G95" s="106"/>
    </row>
    <row r="96" spans="2:13" ht="14.25">
      <c r="B96" s="118" t="s">
        <v>1032</v>
      </c>
      <c r="C96" s="104">
        <f ca="1">SUM(INDIRECT("dados_MercadoBase["&amp;B96&amp;"]"))</f>
        <v>61141.897426784686</v>
      </c>
      <c r="E96" s="106"/>
      <c r="G96" s="106"/>
    </row>
    <row r="97" spans="1:7" ht="14.25">
      <c r="B97" s="1264" t="s">
        <v>1033</v>
      </c>
      <c r="C97" s="1265">
        <f t="shared" ca="1" si="9"/>
        <v>30309190.110330332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1034</v>
      </c>
      <c r="C100" s="231"/>
      <c r="D100" s="232"/>
      <c r="E100" s="106"/>
      <c r="G100" s="252"/>
    </row>
    <row r="101" spans="1:7" ht="12.75" customHeight="1">
      <c r="A101" s="232"/>
      <c r="B101" s="1253" t="s">
        <v>1035</v>
      </c>
      <c r="C101" s="1254" t="s">
        <v>954</v>
      </c>
      <c r="D101" s="232"/>
    </row>
    <row r="102" spans="1:7" ht="12.75" customHeight="1">
      <c r="A102" s="232"/>
      <c r="B102" s="1255" t="s">
        <v>1036</v>
      </c>
      <c r="C102" s="1266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1037</v>
      </c>
      <c r="E109" s="111"/>
    </row>
    <row r="111" spans="1:7" ht="12.75" customHeight="1">
      <c r="B111" s="1225" t="s">
        <v>855</v>
      </c>
      <c r="C111" s="1225" t="s">
        <v>120</v>
      </c>
      <c r="D111" s="1225" t="s">
        <v>964</v>
      </c>
    </row>
    <row r="112" spans="1:7" ht="12.75" customHeight="1">
      <c r="B112" s="1227" t="s">
        <v>989</v>
      </c>
      <c r="C112" s="1228"/>
      <c r="D112" s="1229"/>
    </row>
    <row r="113" spans="2:4" ht="12.75" customHeight="1">
      <c r="B113" s="113"/>
      <c r="C113" s="99"/>
      <c r="D113" s="114"/>
    </row>
    <row r="114" spans="2:4" ht="12.75" customHeight="1">
      <c r="B114" s="113" t="s">
        <v>602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599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601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597</v>
      </c>
      <c r="C117" s="99">
        <f ca="1">DSUM(MercadoBase,"TUSD_E",INDIRECT("Mercado_Livre"&amp;$B117))</f>
        <v>2321.11</v>
      </c>
      <c r="D117" s="114">
        <f t="shared" ca="1" si="11"/>
        <v>882707.88715999958</v>
      </c>
    </row>
    <row r="118" spans="2:4" ht="12.75" customHeight="1">
      <c r="B118" s="113" t="s">
        <v>977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604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50" t="s">
        <v>846</v>
      </c>
      <c r="C120" s="1251">
        <f ca="1">SUM(C114:C119)</f>
        <v>2321.11</v>
      </c>
      <c r="D120" s="1252">
        <f ca="1">SUM(D114:D119)</f>
        <v>882707.88715999958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EG1" zoomScaleNormal="100" workbookViewId="0">
      <pane ySplit="2" topLeftCell="A3" activePane="bottomLeft" state="frozen"/>
      <selection pane="bottomLeft" activeCell="FF4" sqref="FF4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1.28515625" style="291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DZ1" s="235"/>
      <c r="EC1" s="235"/>
      <c r="EP1" s="235"/>
    </row>
    <row r="2" spans="1:165">
      <c r="A2" s="266" t="s">
        <v>1038</v>
      </c>
      <c r="B2" s="264" t="s">
        <v>1035</v>
      </c>
      <c r="C2" s="265" t="s">
        <v>58</v>
      </c>
      <c r="D2" s="264" t="s">
        <v>955</v>
      </c>
      <c r="E2" s="265" t="s">
        <v>588</v>
      </c>
      <c r="F2" s="265" t="s">
        <v>984</v>
      </c>
      <c r="G2" s="265" t="s">
        <v>1039</v>
      </c>
      <c r="H2" s="265" t="s">
        <v>1040</v>
      </c>
      <c r="I2" s="265" t="s">
        <v>1041</v>
      </c>
      <c r="J2" s="265" t="s">
        <v>1042</v>
      </c>
      <c r="K2" s="498" t="s">
        <v>954</v>
      </c>
      <c r="L2" s="291" t="s">
        <v>1043</v>
      </c>
      <c r="M2" s="291" t="s">
        <v>1044</v>
      </c>
      <c r="N2" s="291" t="s">
        <v>1045</v>
      </c>
      <c r="O2" s="291" t="s">
        <v>1046</v>
      </c>
      <c r="P2" s="291" t="s">
        <v>1047</v>
      </c>
      <c r="Q2" s="291" t="s">
        <v>1048</v>
      </c>
      <c r="R2" s="265" t="s">
        <v>1049</v>
      </c>
      <c r="S2" s="265" t="s">
        <v>1050</v>
      </c>
      <c r="T2" s="265" t="s">
        <v>1051</v>
      </c>
      <c r="U2" s="265" t="s">
        <v>1052</v>
      </c>
      <c r="V2" s="265" t="s">
        <v>1053</v>
      </c>
      <c r="W2" s="265" t="s">
        <v>846</v>
      </c>
      <c r="X2" s="265" t="s">
        <v>1054</v>
      </c>
      <c r="Y2" s="265" t="s">
        <v>39</v>
      </c>
      <c r="Z2" s="265" t="s">
        <v>41</v>
      </c>
      <c r="AA2" s="265" t="s">
        <v>126</v>
      </c>
      <c r="AB2" s="265" t="s">
        <v>1030</v>
      </c>
      <c r="AC2" s="265" t="s">
        <v>1031</v>
      </c>
      <c r="AD2" s="265" t="s">
        <v>1032</v>
      </c>
      <c r="AE2" s="265" t="s">
        <v>1033</v>
      </c>
      <c r="AF2" s="265" t="s">
        <v>1017</v>
      </c>
      <c r="AG2" s="265" t="s">
        <v>971</v>
      </c>
      <c r="AH2" s="265" t="s">
        <v>1055</v>
      </c>
      <c r="AI2" s="265" t="s">
        <v>49</v>
      </c>
      <c r="AJ2" s="265" t="s">
        <v>1029</v>
      </c>
      <c r="AK2" s="265" t="s">
        <v>968</v>
      </c>
      <c r="AL2" s="265" t="s">
        <v>47</v>
      </c>
      <c r="AM2" s="265" t="s">
        <v>38</v>
      </c>
      <c r="AN2" s="265" t="s">
        <v>40</v>
      </c>
      <c r="AO2" s="265" t="s">
        <v>1025</v>
      </c>
      <c r="AP2" s="265" t="s">
        <v>1027</v>
      </c>
      <c r="AQ2" s="265" t="s">
        <v>1026</v>
      </c>
      <c r="AR2" s="265" t="s">
        <v>1023</v>
      </c>
      <c r="AS2" s="265" t="s">
        <v>1024</v>
      </c>
      <c r="AT2" s="265" t="s">
        <v>1028</v>
      </c>
      <c r="AU2" s="265" t="s">
        <v>1056</v>
      </c>
      <c r="AV2" s="265" t="s">
        <v>1057</v>
      </c>
      <c r="AW2" s="265" t="s">
        <v>1058</v>
      </c>
      <c r="AX2" s="265" t="s">
        <v>1059</v>
      </c>
      <c r="AY2" s="265" t="s">
        <v>1060</v>
      </c>
      <c r="AZ2" s="265" t="s">
        <v>1061</v>
      </c>
      <c r="BA2" s="265" t="s">
        <v>1062</v>
      </c>
      <c r="BB2" s="265" t="s">
        <v>1063</v>
      </c>
      <c r="BC2" s="265" t="s">
        <v>1064</v>
      </c>
      <c r="BD2" s="265" t="s">
        <v>1065</v>
      </c>
      <c r="BE2" s="265" t="s">
        <v>1066</v>
      </c>
      <c r="BF2" s="265" t="s">
        <v>1067</v>
      </c>
      <c r="BG2" s="265" t="s">
        <v>1068</v>
      </c>
      <c r="BH2" s="265" t="s">
        <v>1069</v>
      </c>
      <c r="BI2" s="265" t="s">
        <v>1070</v>
      </c>
      <c r="BJ2" s="265" t="s">
        <v>1071</v>
      </c>
      <c r="BK2" s="265" t="s">
        <v>233</v>
      </c>
      <c r="BL2" s="265" t="s">
        <v>1072</v>
      </c>
      <c r="BM2" s="265" t="s">
        <v>1073</v>
      </c>
      <c r="BN2" s="265" t="s">
        <v>1006</v>
      </c>
      <c r="BO2" s="265" t="s">
        <v>1007</v>
      </c>
      <c r="BP2" s="265" t="s">
        <v>1008</v>
      </c>
      <c r="BQ2" s="265" t="s">
        <v>1009</v>
      </c>
      <c r="BR2" s="291" t="s">
        <v>1010</v>
      </c>
      <c r="BS2" s="291" t="s">
        <v>1011</v>
      </c>
      <c r="BT2" s="291" t="s">
        <v>1012</v>
      </c>
      <c r="BU2" s="291" t="s">
        <v>1074</v>
      </c>
      <c r="BV2" s="291" t="s">
        <v>1075</v>
      </c>
      <c r="BW2" s="266" t="s">
        <v>1076</v>
      </c>
      <c r="BX2" s="266" t="s">
        <v>1077</v>
      </c>
      <c r="BY2" s="266" t="s">
        <v>1078</v>
      </c>
      <c r="BZ2" s="266" t="s">
        <v>1079</v>
      </c>
      <c r="CA2" s="266" t="s">
        <v>1080</v>
      </c>
      <c r="CB2" s="266" t="s">
        <v>1081</v>
      </c>
      <c r="CC2" s="266" t="s">
        <v>1082</v>
      </c>
      <c r="CD2" s="266" t="s">
        <v>1083</v>
      </c>
      <c r="CE2" s="266" t="s">
        <v>1084</v>
      </c>
      <c r="CF2" s="266" t="s">
        <v>1085</v>
      </c>
      <c r="CG2" s="266" t="s">
        <v>1086</v>
      </c>
      <c r="CH2" s="266" t="s">
        <v>1087</v>
      </c>
      <c r="CI2" s="266" t="s">
        <v>1088</v>
      </c>
      <c r="CJ2" s="291" t="s">
        <v>1089</v>
      </c>
      <c r="CK2" s="266" t="s">
        <v>1090</v>
      </c>
      <c r="CL2" s="266" t="s">
        <v>1091</v>
      </c>
      <c r="CM2" s="266" t="s">
        <v>1092</v>
      </c>
      <c r="CN2" s="266" t="s">
        <v>1093</v>
      </c>
      <c r="CO2" s="291" t="s">
        <v>1094</v>
      </c>
      <c r="CP2" s="291" t="s">
        <v>1095</v>
      </c>
      <c r="CQ2" s="291" t="s">
        <v>1096</v>
      </c>
      <c r="CR2" s="291" t="s">
        <v>1097</v>
      </c>
      <c r="CS2" s="291" t="s">
        <v>1098</v>
      </c>
      <c r="CT2" s="291" t="s">
        <v>1099</v>
      </c>
      <c r="CU2" s="291" t="s">
        <v>1100</v>
      </c>
      <c r="CV2" s="291" t="s">
        <v>1101</v>
      </c>
      <c r="CW2" s="291" t="s">
        <v>1102</v>
      </c>
      <c r="CX2" s="291" t="s">
        <v>1103</v>
      </c>
      <c r="CY2" s="291" t="s">
        <v>1104</v>
      </c>
      <c r="CZ2" s="291" t="s">
        <v>1105</v>
      </c>
      <c r="DA2" s="291" t="s">
        <v>1106</v>
      </c>
      <c r="DB2" s="291" t="s">
        <v>1107</v>
      </c>
      <c r="DC2" s="291" t="s">
        <v>1108</v>
      </c>
      <c r="DD2" s="291" t="s">
        <v>1109</v>
      </c>
      <c r="DE2" s="291" t="s">
        <v>1110</v>
      </c>
      <c r="DF2" s="291" t="s">
        <v>1111</v>
      </c>
      <c r="DG2" s="291" t="s">
        <v>1112</v>
      </c>
      <c r="DH2" s="291" t="s">
        <v>1113</v>
      </c>
      <c r="DI2" s="291" t="s">
        <v>1114</v>
      </c>
      <c r="DJ2" s="291" t="s">
        <v>1115</v>
      </c>
      <c r="DK2" s="291" t="s">
        <v>1116</v>
      </c>
      <c r="DL2" s="291" t="s">
        <v>1117</v>
      </c>
      <c r="DM2" s="291" t="s">
        <v>1118</v>
      </c>
      <c r="DN2" s="291" t="s">
        <v>1119</v>
      </c>
      <c r="DO2" s="291" t="s">
        <v>1120</v>
      </c>
      <c r="DP2" s="291" t="s">
        <v>1121</v>
      </c>
      <c r="DQ2" s="291" t="s">
        <v>1122</v>
      </c>
      <c r="DR2" s="291" t="s">
        <v>2253</v>
      </c>
      <c r="DS2" s="291" t="s">
        <v>1123</v>
      </c>
      <c r="DT2" s="266" t="s">
        <v>1124</v>
      </c>
      <c r="DU2" s="266" t="s">
        <v>1125</v>
      </c>
      <c r="DV2" s="266" t="s">
        <v>1126</v>
      </c>
      <c r="DW2" s="266" t="s">
        <v>1127</v>
      </c>
      <c r="DX2" s="266" t="s">
        <v>1128</v>
      </c>
      <c r="DY2" s="291" t="s">
        <v>1129</v>
      </c>
      <c r="DZ2" s="291" t="s">
        <v>1130</v>
      </c>
      <c r="EA2" s="266" t="s">
        <v>1131</v>
      </c>
      <c r="EB2" s="266" t="s">
        <v>1132</v>
      </c>
      <c r="EC2" s="291" t="s">
        <v>1133</v>
      </c>
      <c r="ED2" s="266" t="s">
        <v>1134</v>
      </c>
      <c r="EE2" s="266" t="s">
        <v>1135</v>
      </c>
      <c r="EF2" s="266" t="s">
        <v>1136</v>
      </c>
      <c r="EG2" s="266" t="s">
        <v>1137</v>
      </c>
      <c r="EH2" s="266" t="s">
        <v>1138</v>
      </c>
      <c r="EI2" s="266" t="s">
        <v>1139</v>
      </c>
      <c r="EJ2" s="266" t="s">
        <v>1140</v>
      </c>
      <c r="EK2" s="266" t="s">
        <v>1141</v>
      </c>
      <c r="EL2" s="266" t="s">
        <v>1142</v>
      </c>
      <c r="EM2" s="266" t="s">
        <v>1143</v>
      </c>
      <c r="EN2" s="266" t="s">
        <v>1144</v>
      </c>
      <c r="EO2" s="266" t="s">
        <v>1145</v>
      </c>
      <c r="EP2" s="291" t="s">
        <v>2166</v>
      </c>
      <c r="EQ2" s="266" t="s">
        <v>2167</v>
      </c>
      <c r="ER2" s="266" t="s">
        <v>2168</v>
      </c>
      <c r="ES2" s="266" t="s">
        <v>2169</v>
      </c>
      <c r="ET2" s="266" t="s">
        <v>2170</v>
      </c>
      <c r="EU2" s="266" t="s">
        <v>2171</v>
      </c>
      <c r="EV2" s="266" t="s">
        <v>1146</v>
      </c>
      <c r="EW2" s="266" t="s">
        <v>1147</v>
      </c>
      <c r="EX2" s="266" t="s">
        <v>1148</v>
      </c>
      <c r="EY2" s="266" t="s">
        <v>1149</v>
      </c>
      <c r="EZ2" s="266" t="s">
        <v>1150</v>
      </c>
      <c r="FA2" s="266" t="s">
        <v>1151</v>
      </c>
      <c r="FB2" s="266" t="s">
        <v>1152</v>
      </c>
      <c r="FC2" s="266" t="s">
        <v>1153</v>
      </c>
      <c r="FD2" s="266" t="s">
        <v>1154</v>
      </c>
      <c r="FE2" s="266" t="s">
        <v>1155</v>
      </c>
      <c r="FF2" s="266" t="s">
        <v>1156</v>
      </c>
      <c r="FG2" s="266" t="s">
        <v>1157</v>
      </c>
      <c r="FH2" s="266" t="s">
        <v>1158</v>
      </c>
      <c r="FI2" s="266" t="s">
        <v>1159</v>
      </c>
    </row>
    <row r="3" spans="1:165" customFormat="1">
      <c r="A3" s="408">
        <v>1</v>
      </c>
      <c r="B3" s="408" t="s">
        <v>1036</v>
      </c>
      <c r="C3" s="408" t="s">
        <v>2231</v>
      </c>
      <c r="D3" s="408" t="s">
        <v>1952</v>
      </c>
      <c r="E3" s="408" t="s">
        <v>969</v>
      </c>
      <c r="F3" s="408" t="s">
        <v>969</v>
      </c>
      <c r="G3" s="408" t="s">
        <v>1322</v>
      </c>
      <c r="H3" s="408" t="s">
        <v>1322</v>
      </c>
      <c r="I3" s="408" t="s">
        <v>1322</v>
      </c>
      <c r="J3" s="408" t="s">
        <v>2232</v>
      </c>
      <c r="K3" s="828">
        <v>44378</v>
      </c>
      <c r="L3" s="408">
        <v>0</v>
      </c>
      <c r="M3" s="408">
        <v>0</v>
      </c>
      <c r="N3" s="408">
        <v>650.58199999999999</v>
      </c>
      <c r="O3" s="408">
        <v>650.58199999999999</v>
      </c>
      <c r="P3" s="408">
        <v>650.58199999999999</v>
      </c>
      <c r="Q3" s="408">
        <v>650.58199999999999</v>
      </c>
      <c r="R3" s="408"/>
      <c r="S3" s="408">
        <v>571.87</v>
      </c>
      <c r="T3" s="408">
        <v>216.76</v>
      </c>
      <c r="U3" s="408"/>
      <c r="V3" s="408">
        <v>513068.48265999998</v>
      </c>
      <c r="W3" s="408">
        <v>513068.48265999998</v>
      </c>
      <c r="X3" s="408">
        <v>334405.65382000001</v>
      </c>
      <c r="Y3" s="408">
        <v>0</v>
      </c>
      <c r="Z3" s="408">
        <v>39432.176457745176</v>
      </c>
      <c r="AA3" s="408">
        <v>0</v>
      </c>
      <c r="AB3" s="408">
        <v>0</v>
      </c>
      <c r="AC3" s="408">
        <v>0</v>
      </c>
      <c r="AD3" s="408">
        <v>534.72225845339949</v>
      </c>
      <c r="AE3" s="408">
        <v>277397.54000668257</v>
      </c>
      <c r="AF3" s="408">
        <v>138965.29160884276</v>
      </c>
      <c r="AG3" s="408">
        <v>2054.1506882506492</v>
      </c>
      <c r="AH3" s="408">
        <v>0</v>
      </c>
      <c r="AI3" s="408">
        <v>0</v>
      </c>
      <c r="AJ3" s="408">
        <v>0</v>
      </c>
      <c r="AK3" s="408">
        <v>0</v>
      </c>
      <c r="AL3" s="408">
        <v>6098.3173328596376</v>
      </c>
      <c r="AM3" s="408"/>
      <c r="AN3" s="408">
        <v>1248.1217607825167</v>
      </c>
      <c r="AO3" s="408">
        <v>5778.2726850068229</v>
      </c>
      <c r="AP3" s="408">
        <v>18103.8136999052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387.14158474283846</v>
      </c>
      <c r="BE3" s="408">
        <v>0</v>
      </c>
      <c r="BF3" s="408">
        <v>0</v>
      </c>
      <c r="BG3" s="408">
        <v>23068.4910474346</v>
      </c>
      <c r="BH3" s="408">
        <v>0</v>
      </c>
      <c r="BI3" s="408">
        <v>2546.63</v>
      </c>
      <c r="BJ3" s="408">
        <v>11772.94</v>
      </c>
      <c r="BK3" s="408">
        <v>162624.64000000001</v>
      </c>
      <c r="BL3" s="408">
        <v>4399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162420.9242410202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334404.62580000004</v>
      </c>
      <c r="CJ3" s="408">
        <v>-178663.88685999997</v>
      </c>
      <c r="CK3" s="408"/>
      <c r="CL3" s="408"/>
      <c r="CM3" s="408"/>
      <c r="CN3" s="408"/>
      <c r="CO3" s="408">
        <v>-199891.31950000001</v>
      </c>
      <c r="CP3" s="408">
        <v>21228.490659999996</v>
      </c>
      <c r="CQ3" s="408">
        <v>31</v>
      </c>
      <c r="CR3" s="408">
        <v>25145.193278230843</v>
      </c>
      <c r="CS3" s="408">
        <v>596.03763456000524</v>
      </c>
      <c r="CT3" s="408">
        <v>1867.4359765341578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52.282500597976764</v>
      </c>
      <c r="DA3" s="408">
        <v>0</v>
      </c>
      <c r="DB3" s="408">
        <v>0</v>
      </c>
      <c r="DC3" s="408">
        <v>21231.218890830205</v>
      </c>
      <c r="DD3" s="408">
        <v>0</v>
      </c>
      <c r="DE3" s="408">
        <v>0</v>
      </c>
      <c r="DF3" s="408">
        <v>59.147774471299499</v>
      </c>
      <c r="DG3" s="408">
        <v>3524.4209344579031</v>
      </c>
      <c r="DH3" s="408">
        <v>0</v>
      </c>
      <c r="DI3" s="408">
        <v>-1883.9588078856032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-247.10753291579476</v>
      </c>
      <c r="DP3" s="408">
        <v>-54.284092419298076</v>
      </c>
      <c r="DQ3" s="408">
        <v>0</v>
      </c>
      <c r="DR3" s="408">
        <v>0</v>
      </c>
      <c r="DS3" s="408"/>
      <c r="DT3" s="408"/>
      <c r="DU3" s="408"/>
      <c r="DV3" s="408">
        <v>277397.54000668257</v>
      </c>
      <c r="DW3" s="408">
        <v>0</v>
      </c>
      <c r="DX3" s="408">
        <v>0</v>
      </c>
      <c r="DY3" s="408">
        <v>-199891.31950000001</v>
      </c>
      <c r="DZ3" s="234">
        <v>21228.490659999981</v>
      </c>
      <c r="EA3" s="408">
        <v>0</v>
      </c>
      <c r="EB3" s="408">
        <v>0</v>
      </c>
      <c r="EC3" s="408">
        <v>-203806.69597289705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242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2233</v>
      </c>
      <c r="C4" s="408" t="s">
        <v>2231</v>
      </c>
      <c r="D4" s="408" t="s">
        <v>1952</v>
      </c>
      <c r="E4" s="408" t="s">
        <v>969</v>
      </c>
      <c r="F4" s="408" t="s">
        <v>969</v>
      </c>
      <c r="G4" s="408" t="s">
        <v>1322</v>
      </c>
      <c r="H4" s="408" t="s">
        <v>1322</v>
      </c>
      <c r="I4" s="408" t="s">
        <v>1322</v>
      </c>
      <c r="J4" s="408" t="s">
        <v>2232</v>
      </c>
      <c r="K4" s="828">
        <v>44378</v>
      </c>
      <c r="L4" s="408">
        <v>0</v>
      </c>
      <c r="M4" s="408">
        <v>0</v>
      </c>
      <c r="N4" s="408">
        <v>-0.38100000000000001</v>
      </c>
      <c r="O4" s="408">
        <v>-0.38100000000000001</v>
      </c>
      <c r="P4" s="408">
        <v>-0.38100000000000001</v>
      </c>
      <c r="Q4" s="408">
        <v>-0.38100000000000001</v>
      </c>
      <c r="R4" s="408"/>
      <c r="S4" s="408">
        <v>571.87</v>
      </c>
      <c r="T4" s="408">
        <v>216.76</v>
      </c>
      <c r="U4" s="408"/>
      <c r="V4" s="408">
        <v>-300.46803</v>
      </c>
      <c r="W4" s="408">
        <v>-300.46803</v>
      </c>
      <c r="X4" s="408">
        <v>-195.83780999999999</v>
      </c>
      <c r="Y4" s="408">
        <v>0</v>
      </c>
      <c r="Z4" s="408">
        <v>-23.092645093778973</v>
      </c>
      <c r="AA4" s="408">
        <v>0</v>
      </c>
      <c r="AB4" s="408">
        <v>0</v>
      </c>
      <c r="AC4" s="408">
        <v>0</v>
      </c>
      <c r="AD4" s="408">
        <v>-0.31314911951259827</v>
      </c>
      <c r="AE4" s="408">
        <v>-162.45217780778756</v>
      </c>
      <c r="AF4" s="408">
        <v>-81.382171813805314</v>
      </c>
      <c r="AG4" s="408">
        <v>-1.2029712045883492</v>
      </c>
      <c r="AH4" s="408">
        <v>0</v>
      </c>
      <c r="AI4" s="408">
        <v>0</v>
      </c>
      <c r="AJ4" s="408">
        <v>0</v>
      </c>
      <c r="AK4" s="408">
        <v>0</v>
      </c>
      <c r="AL4" s="408">
        <v>-3.5713544239150821</v>
      </c>
      <c r="AM4" s="408"/>
      <c r="AN4" s="408">
        <v>-0.73093690089510455</v>
      </c>
      <c r="AO4" s="408">
        <v>-3.3839268424081816</v>
      </c>
      <c r="AP4" s="408">
        <v>-10.602127048802274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-0.22672152593680961</v>
      </c>
      <c r="BE4" s="408">
        <v>0</v>
      </c>
      <c r="BF4" s="408">
        <v>0</v>
      </c>
      <c r="BG4" s="408">
        <v>-13.5095884747389</v>
      </c>
      <c r="BH4" s="408">
        <v>0</v>
      </c>
      <c r="BI4" s="408">
        <v>-1.21</v>
      </c>
      <c r="BJ4" s="408">
        <v>-5.54</v>
      </c>
      <c r="BK4" s="408">
        <v>-115.26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-95.118481814481029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-195.32380000000001</v>
      </c>
      <c r="CJ4" s="408">
        <v>105.11423000000002</v>
      </c>
      <c r="CK4" s="408"/>
      <c r="CL4" s="408"/>
      <c r="CM4" s="408"/>
      <c r="CN4" s="408"/>
      <c r="CO4" s="408">
        <v>117.06225000000001</v>
      </c>
      <c r="CP4" s="408">
        <v>-12.432029999999999</v>
      </c>
      <c r="CQ4" s="408">
        <v>31</v>
      </c>
      <c r="CR4" s="408">
        <v>-14.725766527518374</v>
      </c>
      <c r="CS4" s="408">
        <v>-0.34905721149272795</v>
      </c>
      <c r="CT4" s="408">
        <v>-1.0936255645860395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-3.0618173770299739E-2</v>
      </c>
      <c r="DA4" s="408">
        <v>0</v>
      </c>
      <c r="DB4" s="408">
        <v>0</v>
      </c>
      <c r="DC4" s="408">
        <v>-12.433627732409306</v>
      </c>
      <c r="DD4" s="408">
        <v>0</v>
      </c>
      <c r="DE4" s="408">
        <v>0</v>
      </c>
      <c r="DF4" s="408">
        <v>-3.463868055612529E-2</v>
      </c>
      <c r="DG4" s="408">
        <v>-2.0640048080464286</v>
      </c>
      <c r="DH4" s="408">
        <v>0</v>
      </c>
      <c r="DI4" s="408">
        <v>1.1033018217602333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0.14471345662947588</v>
      </c>
      <c r="DP4" s="408">
        <v>3.1790364952846262E-2</v>
      </c>
      <c r="DQ4" s="408">
        <v>0</v>
      </c>
      <c r="DR4" s="408">
        <v>0</v>
      </c>
      <c r="DS4" s="408"/>
      <c r="DT4" s="408"/>
      <c r="DU4" s="408"/>
      <c r="DV4" s="408">
        <v>-162.45217780778756</v>
      </c>
      <c r="DW4" s="408">
        <v>0</v>
      </c>
      <c r="DX4" s="408">
        <v>0</v>
      </c>
      <c r="DY4" s="408">
        <v>117.06225000000001</v>
      </c>
      <c r="DZ4" s="234">
        <v>-12.432029999999999</v>
      </c>
      <c r="EA4" s="408">
        <v>0</v>
      </c>
      <c r="EB4" s="408">
        <v>0</v>
      </c>
      <c r="EC4" s="408">
        <v>119.35520989771277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242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2234</v>
      </c>
      <c r="C5" s="408" t="s">
        <v>2231</v>
      </c>
      <c r="D5" s="408" t="s">
        <v>1952</v>
      </c>
      <c r="E5" s="408" t="s">
        <v>969</v>
      </c>
      <c r="F5" s="408" t="s">
        <v>969</v>
      </c>
      <c r="G5" s="408" t="s">
        <v>1322</v>
      </c>
      <c r="H5" s="408" t="s">
        <v>1322</v>
      </c>
      <c r="I5" s="408" t="s">
        <v>1322</v>
      </c>
      <c r="J5" s="408" t="s">
        <v>2232</v>
      </c>
      <c r="K5" s="828">
        <v>44378</v>
      </c>
      <c r="L5" s="408">
        <v>0</v>
      </c>
      <c r="M5" s="408">
        <v>0</v>
      </c>
      <c r="N5" s="408">
        <v>12.275</v>
      </c>
      <c r="O5" s="408">
        <v>12.275</v>
      </c>
      <c r="P5" s="408">
        <v>12.275</v>
      </c>
      <c r="Q5" s="408">
        <v>12.275</v>
      </c>
      <c r="R5" s="408"/>
      <c r="S5" s="408">
        <v>571.87</v>
      </c>
      <c r="T5" s="408">
        <v>216.76</v>
      </c>
      <c r="U5" s="408"/>
      <c r="V5" s="408">
        <v>9680.43325</v>
      </c>
      <c r="W5" s="408">
        <v>9680.43325</v>
      </c>
      <c r="X5" s="408">
        <v>6309.4727499999999</v>
      </c>
      <c r="Y5" s="408">
        <v>0</v>
      </c>
      <c r="Z5" s="408">
        <v>743.9953242155824</v>
      </c>
      <c r="AA5" s="408">
        <v>0</v>
      </c>
      <c r="AB5" s="408">
        <v>0</v>
      </c>
      <c r="AC5" s="408">
        <v>0</v>
      </c>
      <c r="AD5" s="408">
        <v>10.08899066146232</v>
      </c>
      <c r="AE5" s="408">
        <v>5233.8595343585102</v>
      </c>
      <c r="AF5" s="408">
        <v>2621.9584226101319</v>
      </c>
      <c r="AG5" s="408">
        <v>38.757143139952724</v>
      </c>
      <c r="AH5" s="408">
        <v>0</v>
      </c>
      <c r="AI5" s="408">
        <v>0</v>
      </c>
      <c r="AJ5" s="408">
        <v>0</v>
      </c>
      <c r="AK5" s="408">
        <v>0</v>
      </c>
      <c r="AL5" s="408">
        <v>115.06135315894392</v>
      </c>
      <c r="AM5" s="408"/>
      <c r="AN5" s="408">
        <v>23.549213801804221</v>
      </c>
      <c r="AO5" s="408">
        <v>109.02283987023735</v>
      </c>
      <c r="AP5" s="408">
        <v>341.57771528621504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7.3044796085940629</v>
      </c>
      <c r="BE5" s="408">
        <v>0</v>
      </c>
      <c r="BF5" s="408">
        <v>0</v>
      </c>
      <c r="BG5" s="408">
        <v>435.24986490136479</v>
      </c>
      <c r="BH5" s="408">
        <v>0</v>
      </c>
      <c r="BI5" s="408">
        <v>49.36</v>
      </c>
      <c r="BJ5" s="408">
        <v>228.04</v>
      </c>
      <c r="BK5" s="408">
        <v>5563.11</v>
      </c>
      <c r="BL5" s="408">
        <v>115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3064.5127671200908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6312.0427999999993</v>
      </c>
      <c r="CJ5" s="408">
        <v>-3368.4204500000014</v>
      </c>
      <c r="CK5" s="408"/>
      <c r="CL5" s="408"/>
      <c r="CM5" s="408"/>
      <c r="CN5" s="408"/>
      <c r="CO5" s="408">
        <v>-3771.4937500000001</v>
      </c>
      <c r="CP5" s="408">
        <v>400.53324999999995</v>
      </c>
      <c r="CQ5" s="408">
        <v>31</v>
      </c>
      <c r="CR5" s="408">
        <v>474.43250426584746</v>
      </c>
      <c r="CS5" s="408">
        <v>11.245872102554429</v>
      </c>
      <c r="CT5" s="408">
        <v>35.234261956151215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0.9864516614971901</v>
      </c>
      <c r="DA5" s="408">
        <v>0</v>
      </c>
      <c r="DB5" s="408">
        <v>0</v>
      </c>
      <c r="DC5" s="408">
        <v>400.58472549953876</v>
      </c>
      <c r="DD5" s="408">
        <v>0</v>
      </c>
      <c r="DE5" s="408">
        <v>0</v>
      </c>
      <c r="DF5" s="408">
        <v>1.1159837370772649</v>
      </c>
      <c r="DG5" s="408">
        <v>66.497792700183538</v>
      </c>
      <c r="DH5" s="408">
        <v>0</v>
      </c>
      <c r="DI5" s="408">
        <v>-35.546010136763357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-4.6623561158184117</v>
      </c>
      <c r="DP5" s="408">
        <v>-1.0242171385726699</v>
      </c>
      <c r="DQ5" s="408">
        <v>0</v>
      </c>
      <c r="DR5" s="408">
        <v>0</v>
      </c>
      <c r="DS5" s="408"/>
      <c r="DT5" s="408"/>
      <c r="DU5" s="408"/>
      <c r="DV5" s="408">
        <v>5233.8595343585102</v>
      </c>
      <c r="DW5" s="408">
        <v>0</v>
      </c>
      <c r="DX5" s="408">
        <v>0</v>
      </c>
      <c r="DY5" s="408">
        <v>-3771.4937500000005</v>
      </c>
      <c r="DZ5" s="234">
        <v>400.53324999999995</v>
      </c>
      <c r="EA5" s="408">
        <v>0</v>
      </c>
      <c r="EB5" s="408">
        <v>0</v>
      </c>
      <c r="EC5" s="408">
        <v>-3845.3679829249982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242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1036</v>
      </c>
      <c r="C6" s="408" t="s">
        <v>2231</v>
      </c>
      <c r="D6" s="408" t="s">
        <v>1952</v>
      </c>
      <c r="E6" s="408" t="s">
        <v>969</v>
      </c>
      <c r="F6" s="408" t="s">
        <v>2235</v>
      </c>
      <c r="G6" s="408" t="s">
        <v>1322</v>
      </c>
      <c r="H6" s="408" t="s">
        <v>1322</v>
      </c>
      <c r="I6" s="408" t="s">
        <v>1322</v>
      </c>
      <c r="J6" s="408" t="s">
        <v>2232</v>
      </c>
      <c r="K6" s="828">
        <v>44378</v>
      </c>
      <c r="L6" s="408">
        <v>0</v>
      </c>
      <c r="M6" s="408">
        <v>0</v>
      </c>
      <c r="N6" s="408">
        <v>3.33</v>
      </c>
      <c r="O6" s="408">
        <v>3.33</v>
      </c>
      <c r="P6" s="408">
        <v>3.33</v>
      </c>
      <c r="Q6" s="408">
        <v>3.33</v>
      </c>
      <c r="R6" s="408"/>
      <c r="S6" s="408">
        <v>501.89</v>
      </c>
      <c r="T6" s="408">
        <v>216.76</v>
      </c>
      <c r="U6" s="408"/>
      <c r="V6" s="408">
        <v>2393.1044999999999</v>
      </c>
      <c r="W6" s="408">
        <v>2393.1044999999999</v>
      </c>
      <c r="X6" s="408">
        <v>1489.509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2.7369726193620796</v>
      </c>
      <c r="AE6" s="408">
        <v>1419.8576170601905</v>
      </c>
      <c r="AF6" s="408">
        <v>711.29299774270794</v>
      </c>
      <c r="AG6" s="408">
        <v>10.51415777238636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6.3885036219965832</v>
      </c>
      <c r="AO6" s="408">
        <v>29.576053504512455</v>
      </c>
      <c r="AP6" s="408">
        <v>92.664260032838783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1.9815818408650288</v>
      </c>
      <c r="BE6" s="408">
        <v>0</v>
      </c>
      <c r="BF6" s="408">
        <v>0</v>
      </c>
      <c r="BG6" s="408">
        <v>118.07593076346598</v>
      </c>
      <c r="BH6" s="408">
        <v>0</v>
      </c>
      <c r="BI6" s="408">
        <v>3.22</v>
      </c>
      <c r="BJ6" s="408">
        <v>15.38</v>
      </c>
      <c r="BK6" s="408">
        <v>212</v>
      </c>
      <c r="BL6" s="408">
        <v>6</v>
      </c>
      <c r="BM6" s="408"/>
      <c r="BN6" s="408"/>
      <c r="BO6" s="408"/>
      <c r="BP6" s="408"/>
      <c r="BQ6" s="408"/>
      <c r="BR6" s="408"/>
      <c r="BS6" s="408"/>
      <c r="BT6" s="408">
        <v>968.16419999999994</v>
      </c>
      <c r="BU6" s="408"/>
      <c r="BV6" s="408">
        <v>831.35051034703895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521.34479999999996</v>
      </c>
      <c r="CJ6" s="408">
        <v>-316.28010000000006</v>
      </c>
      <c r="CK6" s="408"/>
      <c r="CL6" s="408"/>
      <c r="CM6" s="408"/>
      <c r="CN6" s="408"/>
      <c r="CO6" s="408">
        <v>-1012.2534000000001</v>
      </c>
      <c r="CP6" s="408">
        <v>108.65789999999998</v>
      </c>
      <c r="CQ6" s="408">
        <v>31</v>
      </c>
      <c r="CR6" s="408">
        <v>139.61336853982652</v>
      </c>
      <c r="CS6" s="408">
        <v>3.0508149980860502</v>
      </c>
      <c r="CT6" s="408">
        <v>9.5584596589803255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0.26760766051206852</v>
      </c>
      <c r="DA6" s="408">
        <v>0</v>
      </c>
      <c r="DB6" s="408">
        <v>0</v>
      </c>
      <c r="DC6" s="408">
        <v>108.67186443286869</v>
      </c>
      <c r="DD6" s="408">
        <v>0</v>
      </c>
      <c r="DE6" s="408">
        <v>0</v>
      </c>
      <c r="DF6" s="408">
        <v>0.30274752297085894</v>
      </c>
      <c r="DG6" s="408">
        <v>18.039727062453039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-0.27785279604456203</v>
      </c>
      <c r="DQ6" s="408">
        <v>0</v>
      </c>
      <c r="DR6" s="408">
        <v>0</v>
      </c>
      <c r="DS6" s="408"/>
      <c r="DT6" s="408"/>
      <c r="DU6" s="408"/>
      <c r="DV6" s="408">
        <v>1419.8576170601905</v>
      </c>
      <c r="DW6" s="408">
        <v>0</v>
      </c>
      <c r="DX6" s="408">
        <v>0</v>
      </c>
      <c r="DY6" s="408">
        <v>-1012.2533999999999</v>
      </c>
      <c r="DZ6" s="234">
        <v>108.65790000000004</v>
      </c>
      <c r="EA6" s="408">
        <v>0</v>
      </c>
      <c r="EB6" s="408">
        <v>0</v>
      </c>
      <c r="EC6" s="408">
        <v>-1043.1833306020565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242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1036</v>
      </c>
      <c r="C7" s="408" t="s">
        <v>2231</v>
      </c>
      <c r="D7" s="408" t="s">
        <v>1952</v>
      </c>
      <c r="E7" s="408" t="s">
        <v>969</v>
      </c>
      <c r="F7" s="408" t="s">
        <v>2236</v>
      </c>
      <c r="G7" s="408" t="s">
        <v>1322</v>
      </c>
      <c r="H7" s="408" t="s">
        <v>1322</v>
      </c>
      <c r="I7" s="408" t="s">
        <v>1322</v>
      </c>
      <c r="J7" s="408" t="s">
        <v>2232</v>
      </c>
      <c r="K7" s="828">
        <v>44378</v>
      </c>
      <c r="L7" s="408">
        <v>0</v>
      </c>
      <c r="M7" s="408">
        <v>0</v>
      </c>
      <c r="N7" s="408">
        <v>6.33</v>
      </c>
      <c r="O7" s="408">
        <v>6.33</v>
      </c>
      <c r="P7" s="408">
        <v>6.33</v>
      </c>
      <c r="Q7" s="408">
        <v>6.33</v>
      </c>
      <c r="R7" s="408"/>
      <c r="S7" s="408">
        <v>501.89</v>
      </c>
      <c r="T7" s="408">
        <v>216.76</v>
      </c>
      <c r="U7" s="408"/>
      <c r="V7" s="408">
        <v>4549.0545000000002</v>
      </c>
      <c r="W7" s="408">
        <v>4549.0545000000002</v>
      </c>
      <c r="X7" s="408">
        <v>2831.4089999999997</v>
      </c>
      <c r="Y7" s="408">
        <v>0</v>
      </c>
      <c r="Z7" s="408">
        <v>0</v>
      </c>
      <c r="AA7" s="408">
        <v>0</v>
      </c>
      <c r="AB7" s="408">
        <v>0</v>
      </c>
      <c r="AC7" s="408">
        <v>0</v>
      </c>
      <c r="AD7" s="408">
        <v>5.2027137178864757</v>
      </c>
      <c r="AE7" s="408">
        <v>2699.0086234207224</v>
      </c>
      <c r="AF7" s="408">
        <v>1352.0975002136158</v>
      </c>
      <c r="AG7" s="408">
        <v>19.986371981743439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12.143912290461973</v>
      </c>
      <c r="AO7" s="408">
        <v>56.221146751820974</v>
      </c>
      <c r="AP7" s="408">
        <v>176.14557537773857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3.766790706509199</v>
      </c>
      <c r="BE7" s="408">
        <v>0</v>
      </c>
      <c r="BF7" s="408">
        <v>0</v>
      </c>
      <c r="BG7" s="408">
        <v>224.45064316298487</v>
      </c>
      <c r="BH7" s="408">
        <v>0</v>
      </c>
      <c r="BI7" s="408">
        <v>12.17</v>
      </c>
      <c r="BJ7" s="408">
        <v>56.19</v>
      </c>
      <c r="BK7" s="408">
        <v>784.31</v>
      </c>
      <c r="BL7" s="408">
        <v>35</v>
      </c>
      <c r="BM7" s="408"/>
      <c r="BN7" s="408"/>
      <c r="BO7" s="408"/>
      <c r="BP7" s="408"/>
      <c r="BQ7" s="408"/>
      <c r="BR7" s="408"/>
      <c r="BS7" s="408"/>
      <c r="BT7" s="408">
        <v>1132.5002999999999</v>
      </c>
      <c r="BU7" s="408"/>
      <c r="BV7" s="408">
        <v>1580.3149340831101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1698.9087</v>
      </c>
      <c r="CJ7" s="408">
        <v>-1030.5540000000001</v>
      </c>
      <c r="CK7" s="408"/>
      <c r="CL7" s="408"/>
      <c r="CM7" s="408"/>
      <c r="CN7" s="408"/>
      <c r="CO7" s="408">
        <v>-1924.1934000000001</v>
      </c>
      <c r="CP7" s="408">
        <v>206.54789999999997</v>
      </c>
      <c r="CQ7" s="408">
        <v>31</v>
      </c>
      <c r="CR7" s="408">
        <v>265.39117803516547</v>
      </c>
      <c r="CS7" s="408">
        <v>5.7992969783437474</v>
      </c>
      <c r="CT7" s="408">
        <v>18.169684576980643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0.50869564295537284</v>
      </c>
      <c r="DA7" s="408">
        <v>0</v>
      </c>
      <c r="DB7" s="408">
        <v>0</v>
      </c>
      <c r="DC7" s="408">
        <v>206.57444500302086</v>
      </c>
      <c r="DD7" s="408">
        <v>0</v>
      </c>
      <c r="DE7" s="408">
        <v>0</v>
      </c>
      <c r="DF7" s="408">
        <v>0.57549303916082195</v>
      </c>
      <c r="DG7" s="408">
        <v>34.291733425023324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0</v>
      </c>
      <c r="DN7" s="408">
        <v>0</v>
      </c>
      <c r="DO7" s="408">
        <v>0</v>
      </c>
      <c r="DP7" s="408">
        <v>-0.52817063031894129</v>
      </c>
      <c r="DQ7" s="408">
        <v>0</v>
      </c>
      <c r="DR7" s="408">
        <v>0</v>
      </c>
      <c r="DS7" s="408"/>
      <c r="DT7" s="408"/>
      <c r="DU7" s="408"/>
      <c r="DV7" s="408">
        <v>2699.0086234207224</v>
      </c>
      <c r="DW7" s="408">
        <v>0</v>
      </c>
      <c r="DX7" s="408">
        <v>0</v>
      </c>
      <c r="DY7" s="408">
        <v>-1924.1933999999999</v>
      </c>
      <c r="DZ7" s="234">
        <v>206.54790000000003</v>
      </c>
      <c r="EA7" s="408">
        <v>0</v>
      </c>
      <c r="EB7" s="408">
        <v>0</v>
      </c>
      <c r="EC7" s="408">
        <v>-1982.9881329462514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242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1036</v>
      </c>
      <c r="C8" s="408" t="s">
        <v>2231</v>
      </c>
      <c r="D8" s="408" t="s">
        <v>1952</v>
      </c>
      <c r="E8" s="408" t="s">
        <v>969</v>
      </c>
      <c r="F8" s="408" t="s">
        <v>2237</v>
      </c>
      <c r="G8" s="408" t="s">
        <v>1322</v>
      </c>
      <c r="H8" s="408" t="s">
        <v>1322</v>
      </c>
      <c r="I8" s="408" t="s">
        <v>1322</v>
      </c>
      <c r="J8" s="408" t="s">
        <v>2232</v>
      </c>
      <c r="K8" s="828">
        <v>44378</v>
      </c>
      <c r="L8" s="408">
        <v>0</v>
      </c>
      <c r="M8" s="408">
        <v>0</v>
      </c>
      <c r="N8" s="408">
        <v>4.74</v>
      </c>
      <c r="O8" s="408">
        <v>4.74</v>
      </c>
      <c r="P8" s="408">
        <v>4.74</v>
      </c>
      <c r="Q8" s="408">
        <v>4.74</v>
      </c>
      <c r="R8" s="408"/>
      <c r="S8" s="408">
        <v>501.89</v>
      </c>
      <c r="T8" s="408">
        <v>216.76</v>
      </c>
      <c r="U8" s="408"/>
      <c r="V8" s="408">
        <v>3406.4009999999998</v>
      </c>
      <c r="W8" s="408">
        <v>3406.4009999999998</v>
      </c>
      <c r="X8" s="408">
        <v>2120.2020000000002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3.8958709356685457</v>
      </c>
      <c r="AE8" s="408">
        <v>2021.0585900496405</v>
      </c>
      <c r="AF8" s="408">
        <v>1012.4711139040347</v>
      </c>
      <c r="AG8" s="408">
        <v>14.966098450784187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9.0935456961753172</v>
      </c>
      <c r="AO8" s="408">
        <v>42.09924733074746</v>
      </c>
      <c r="AP8" s="408">
        <v>131.9004782449417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2.8206300077177886</v>
      </c>
      <c r="BE8" s="408">
        <v>0</v>
      </c>
      <c r="BF8" s="408">
        <v>0</v>
      </c>
      <c r="BG8" s="408">
        <v>168.07204559123986</v>
      </c>
      <c r="BH8" s="408">
        <v>0</v>
      </c>
      <c r="BI8" s="408">
        <v>15.23</v>
      </c>
      <c r="BJ8" s="408">
        <v>71.16</v>
      </c>
      <c r="BK8" s="408">
        <v>1011.71</v>
      </c>
      <c r="BL8" s="408">
        <v>50</v>
      </c>
      <c r="BM8" s="408"/>
      <c r="BN8" s="408"/>
      <c r="BO8" s="408"/>
      <c r="BP8" s="408"/>
      <c r="BQ8" s="408"/>
      <c r="BR8" s="408"/>
      <c r="BS8" s="408"/>
      <c r="BT8" s="408">
        <v>212.02019999999996</v>
      </c>
      <c r="BU8" s="408"/>
      <c r="BV8" s="408">
        <v>1183.3637895029924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1908.1818000000001</v>
      </c>
      <c r="CJ8" s="408">
        <v>-1157.5854000000006</v>
      </c>
      <c r="CK8" s="408"/>
      <c r="CL8" s="408"/>
      <c r="CM8" s="408"/>
      <c r="CN8" s="408"/>
      <c r="CO8" s="408">
        <v>-1440.8652000000002</v>
      </c>
      <c r="CP8" s="408">
        <v>154.66619999999998</v>
      </c>
      <c r="CQ8" s="408">
        <v>31</v>
      </c>
      <c r="CR8" s="408">
        <v>198.7289390026358</v>
      </c>
      <c r="CS8" s="408">
        <v>4.3426015288071653</v>
      </c>
      <c r="CT8" s="408">
        <v>13.60573537044047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0.38091901226042157</v>
      </c>
      <c r="DA8" s="408">
        <v>0</v>
      </c>
      <c r="DB8" s="408">
        <v>0</v>
      </c>
      <c r="DC8" s="408">
        <v>154.68607730084011</v>
      </c>
      <c r="DD8" s="408">
        <v>0</v>
      </c>
      <c r="DE8" s="408">
        <v>0</v>
      </c>
      <c r="DF8" s="408">
        <v>0.43093791558014161</v>
      </c>
      <c r="DG8" s="408">
        <v>25.678170052861077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-0.39550217815352084</v>
      </c>
      <c r="DQ8" s="408">
        <v>0</v>
      </c>
      <c r="DR8" s="408">
        <v>0</v>
      </c>
      <c r="DS8" s="408"/>
      <c r="DT8" s="408"/>
      <c r="DU8" s="408"/>
      <c r="DV8" s="408">
        <v>2021.0585900496405</v>
      </c>
      <c r="DW8" s="408">
        <v>0</v>
      </c>
      <c r="DX8" s="408">
        <v>0</v>
      </c>
      <c r="DY8" s="408">
        <v>-1440.8652</v>
      </c>
      <c r="DZ8" s="234">
        <v>154.66620000000012</v>
      </c>
      <c r="EA8" s="408">
        <v>0</v>
      </c>
      <c r="EB8" s="408">
        <v>0</v>
      </c>
      <c r="EC8" s="408">
        <v>-1484.891587703828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242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1036</v>
      </c>
      <c r="C9" s="408" t="s">
        <v>2231</v>
      </c>
      <c r="D9" s="408" t="s">
        <v>1952</v>
      </c>
      <c r="E9" s="408" t="s">
        <v>969</v>
      </c>
      <c r="F9" s="408" t="s">
        <v>2238</v>
      </c>
      <c r="G9" s="408" t="s">
        <v>1322</v>
      </c>
      <c r="H9" s="408" t="s">
        <v>1322</v>
      </c>
      <c r="I9" s="408" t="s">
        <v>1322</v>
      </c>
      <c r="J9" s="408" t="s">
        <v>2232</v>
      </c>
      <c r="K9" s="828">
        <v>44378</v>
      </c>
      <c r="L9" s="408">
        <v>0</v>
      </c>
      <c r="M9" s="408">
        <v>0</v>
      </c>
      <c r="N9" s="408">
        <v>1.585</v>
      </c>
      <c r="O9" s="408">
        <v>1.585</v>
      </c>
      <c r="P9" s="408">
        <v>1.585</v>
      </c>
      <c r="Q9" s="408">
        <v>1.585</v>
      </c>
      <c r="R9" s="408"/>
      <c r="S9" s="408">
        <v>501.89</v>
      </c>
      <c r="T9" s="408">
        <v>216.76</v>
      </c>
      <c r="U9" s="408"/>
      <c r="V9" s="408">
        <v>1139.06025</v>
      </c>
      <c r="W9" s="408">
        <v>1139.06025</v>
      </c>
      <c r="X9" s="408">
        <v>708.9704999999999</v>
      </c>
      <c r="Y9" s="408">
        <v>0</v>
      </c>
      <c r="Z9" s="408">
        <v>0</v>
      </c>
      <c r="AA9" s="408">
        <v>0</v>
      </c>
      <c r="AB9" s="408">
        <v>0</v>
      </c>
      <c r="AC9" s="408">
        <v>0</v>
      </c>
      <c r="AD9" s="408">
        <v>1.3027332137203891</v>
      </c>
      <c r="AE9" s="408">
        <v>675.81811502714777</v>
      </c>
      <c r="AF9" s="408">
        <v>338.55837880546306</v>
      </c>
      <c r="AG9" s="408">
        <v>5.0044865072769902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3.0407742465058809</v>
      </c>
      <c r="AO9" s="408">
        <v>14.077490932328001</v>
      </c>
      <c r="AP9" s="408">
        <v>44.105961607222056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0.94318535068200315</v>
      </c>
      <c r="BE9" s="408">
        <v>0</v>
      </c>
      <c r="BF9" s="408">
        <v>0</v>
      </c>
      <c r="BG9" s="408">
        <v>56.201306384412483</v>
      </c>
      <c r="BH9" s="408">
        <v>0</v>
      </c>
      <c r="BI9" s="408">
        <v>7.44</v>
      </c>
      <c r="BJ9" s="408">
        <v>34.61</v>
      </c>
      <c r="BK9" s="408">
        <v>490.62</v>
      </c>
      <c r="BL9" s="408">
        <v>20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>
        <v>395.70287054055757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711.20699999999999</v>
      </c>
      <c r="CJ9" s="408">
        <v>-427.88324999999998</v>
      </c>
      <c r="CK9" s="408"/>
      <c r="CL9" s="408"/>
      <c r="CM9" s="408"/>
      <c r="CN9" s="408"/>
      <c r="CO9" s="408">
        <v>-481.80830000000003</v>
      </c>
      <c r="CP9" s="408">
        <v>51.718549999999993</v>
      </c>
      <c r="CQ9" s="408">
        <v>31</v>
      </c>
      <c r="CR9" s="408">
        <v>66.452609350037505</v>
      </c>
      <c r="CS9" s="408">
        <v>1.4521146462361507</v>
      </c>
      <c r="CT9" s="408">
        <v>4.5495971650101623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0.12737481739087952</v>
      </c>
      <c r="DA9" s="408">
        <v>0</v>
      </c>
      <c r="DB9" s="408">
        <v>0</v>
      </c>
      <c r="DC9" s="408">
        <v>51.72519673456361</v>
      </c>
      <c r="DD9" s="408">
        <v>0</v>
      </c>
      <c r="DE9" s="408">
        <v>0</v>
      </c>
      <c r="DF9" s="408">
        <v>0.14410054772036385</v>
      </c>
      <c r="DG9" s="408">
        <v>8.58647669489131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0</v>
      </c>
      <c r="DP9" s="408">
        <v>-0.13225125577496399</v>
      </c>
      <c r="DQ9" s="408">
        <v>0</v>
      </c>
      <c r="DR9" s="408">
        <v>0</v>
      </c>
      <c r="DS9" s="408"/>
      <c r="DT9" s="408"/>
      <c r="DU9" s="408"/>
      <c r="DV9" s="408">
        <v>675.81811502714777</v>
      </c>
      <c r="DW9" s="408">
        <v>0</v>
      </c>
      <c r="DX9" s="408">
        <v>0</v>
      </c>
      <c r="DY9" s="408">
        <v>-481.80829999999997</v>
      </c>
      <c r="DZ9" s="234">
        <v>51.718549999999993</v>
      </c>
      <c r="EA9" s="408">
        <v>0</v>
      </c>
      <c r="EB9" s="408">
        <v>0</v>
      </c>
      <c r="EC9" s="408">
        <v>-496.53020390518304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242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1036</v>
      </c>
      <c r="C10" s="408" t="s">
        <v>2231</v>
      </c>
      <c r="D10" s="408" t="s">
        <v>1955</v>
      </c>
      <c r="E10" s="408" t="s">
        <v>970</v>
      </c>
      <c r="F10" s="408" t="s">
        <v>1322</v>
      </c>
      <c r="G10" s="408" t="s">
        <v>1322</v>
      </c>
      <c r="H10" s="408" t="s">
        <v>1322</v>
      </c>
      <c r="I10" s="408" t="s">
        <v>1322</v>
      </c>
      <c r="J10" s="408" t="s">
        <v>2232</v>
      </c>
      <c r="K10" s="828">
        <v>44378</v>
      </c>
      <c r="L10" s="408">
        <v>0</v>
      </c>
      <c r="M10" s="408">
        <v>0</v>
      </c>
      <c r="N10" s="408">
        <v>28.652999999999999</v>
      </c>
      <c r="O10" s="408">
        <v>28.652999999999999</v>
      </c>
      <c r="P10" s="408">
        <v>28.652999999999999</v>
      </c>
      <c r="Q10" s="408">
        <v>28.652999999999999</v>
      </c>
      <c r="R10" s="408"/>
      <c r="S10" s="408">
        <v>571.87</v>
      </c>
      <c r="T10" s="408">
        <v>216.76</v>
      </c>
      <c r="U10" s="408"/>
      <c r="V10" s="408">
        <v>22596.615389999999</v>
      </c>
      <c r="W10" s="408">
        <v>22596.615389999999</v>
      </c>
      <c r="X10" s="408">
        <v>14727.928529999999</v>
      </c>
      <c r="Y10" s="408">
        <v>0</v>
      </c>
      <c r="Z10" s="408">
        <v>1736.6760101628581</v>
      </c>
      <c r="AA10" s="408">
        <v>0</v>
      </c>
      <c r="AB10" s="408">
        <v>0</v>
      </c>
      <c r="AC10" s="408">
        <v>0</v>
      </c>
      <c r="AD10" s="408">
        <v>23.550293232006503</v>
      </c>
      <c r="AE10" s="408">
        <v>12217.171261749441</v>
      </c>
      <c r="AF10" s="408">
        <v>6120.3238030996417</v>
      </c>
      <c r="AG10" s="408">
        <v>90.469117913569463</v>
      </c>
      <c r="AH10" s="408">
        <v>0</v>
      </c>
      <c r="AI10" s="408">
        <v>0</v>
      </c>
      <c r="AJ10" s="408">
        <v>0</v>
      </c>
      <c r="AK10" s="408">
        <v>0</v>
      </c>
      <c r="AL10" s="408">
        <v>268.5827252189996</v>
      </c>
      <c r="AM10" s="408"/>
      <c r="AN10" s="408">
        <v>54.969908192512932</v>
      </c>
      <c r="AO10" s="408">
        <v>254.48728560504364</v>
      </c>
      <c r="AP10" s="408">
        <v>797.33004285913796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17.050529875767467</v>
      </c>
      <c r="BE10" s="408">
        <v>0</v>
      </c>
      <c r="BF10" s="408">
        <v>0</v>
      </c>
      <c r="BG10" s="408">
        <v>1015.9848781278049</v>
      </c>
      <c r="BH10" s="408">
        <v>0</v>
      </c>
      <c r="BI10" s="408">
        <v>96.22</v>
      </c>
      <c r="BJ10" s="408">
        <v>441.65</v>
      </c>
      <c r="BK10" s="408">
        <v>3679.4</v>
      </c>
      <c r="BL10" s="408">
        <v>22</v>
      </c>
      <c r="BM10" s="408"/>
      <c r="BN10" s="408"/>
      <c r="BO10" s="408"/>
      <c r="BP10" s="408"/>
      <c r="BQ10" s="408"/>
      <c r="BR10" s="408"/>
      <c r="BS10" s="408"/>
      <c r="BT10" s="408"/>
      <c r="BU10" s="408"/>
      <c r="BV10" s="408">
        <v>7153.359211103214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14726.386499999999</v>
      </c>
      <c r="CJ10" s="408">
        <v>-7870.2588899999955</v>
      </c>
      <c r="CK10" s="408"/>
      <c r="CL10" s="408"/>
      <c r="CM10" s="408"/>
      <c r="CN10" s="408"/>
      <c r="CO10" s="408">
        <v>-8803.6342499999992</v>
      </c>
      <c r="CP10" s="408">
        <v>934.94738999999981</v>
      </c>
      <c r="CQ10" s="408">
        <v>31</v>
      </c>
      <c r="CR10" s="408">
        <v>1107.4472134199041</v>
      </c>
      <c r="CS10" s="408">
        <v>26.250751393441277</v>
      </c>
      <c r="CT10" s="408">
        <v>82.245809191820854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2.3026313203160065</v>
      </c>
      <c r="DA10" s="408">
        <v>0</v>
      </c>
      <c r="DB10" s="408">
        <v>0</v>
      </c>
      <c r="DC10" s="408">
        <v>935.06754702552189</v>
      </c>
      <c r="DD10" s="408">
        <v>0</v>
      </c>
      <c r="DE10" s="408">
        <v>0</v>
      </c>
      <c r="DF10" s="408">
        <v>2.6049924251303374</v>
      </c>
      <c r="DG10" s="408">
        <v>155.22291276890905</v>
      </c>
      <c r="DH10" s="408">
        <v>0</v>
      </c>
      <c r="DI10" s="408">
        <v>-82.973509445921309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-10.883135624158456</v>
      </c>
      <c r="DP10" s="408">
        <v>-2.3907856351546002</v>
      </c>
      <c r="DQ10" s="408">
        <v>0</v>
      </c>
      <c r="DR10" s="408">
        <v>0</v>
      </c>
      <c r="DS10" s="408"/>
      <c r="DT10" s="408"/>
      <c r="DU10" s="408"/>
      <c r="DV10" s="408">
        <v>12217.171261749441</v>
      </c>
      <c r="DW10" s="408">
        <v>0</v>
      </c>
      <c r="DX10" s="408">
        <v>0</v>
      </c>
      <c r="DY10" s="408">
        <v>-8803.6342499999992</v>
      </c>
      <c r="DZ10" s="234">
        <v>934.94738999999936</v>
      </c>
      <c r="EA10" s="408">
        <v>0</v>
      </c>
      <c r="EB10" s="408">
        <v>0</v>
      </c>
      <c r="EC10" s="408">
        <v>-8976.0756671894069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242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2234</v>
      </c>
      <c r="C11" s="408" t="s">
        <v>2231</v>
      </c>
      <c r="D11" s="408" t="s">
        <v>1955</v>
      </c>
      <c r="E11" s="408" t="s">
        <v>970</v>
      </c>
      <c r="F11" s="408" t="s">
        <v>1322</v>
      </c>
      <c r="G11" s="408" t="s">
        <v>1322</v>
      </c>
      <c r="H11" s="408" t="s">
        <v>1322</v>
      </c>
      <c r="I11" s="408" t="s">
        <v>1322</v>
      </c>
      <c r="J11" s="408" t="s">
        <v>2232</v>
      </c>
      <c r="K11" s="828">
        <v>44378</v>
      </c>
      <c r="L11" s="408">
        <v>0</v>
      </c>
      <c r="M11" s="408">
        <v>0</v>
      </c>
      <c r="N11" s="408">
        <v>1.9019999999999999</v>
      </c>
      <c r="O11" s="408">
        <v>1.9019999999999999</v>
      </c>
      <c r="P11" s="408">
        <v>1.9019999999999999</v>
      </c>
      <c r="Q11" s="408">
        <v>1.9019999999999999</v>
      </c>
      <c r="R11" s="408"/>
      <c r="S11" s="408">
        <v>571.87</v>
      </c>
      <c r="T11" s="408">
        <v>216.76</v>
      </c>
      <c r="U11" s="408"/>
      <c r="V11" s="408">
        <v>1499.97426</v>
      </c>
      <c r="W11" s="408">
        <v>1499.97426</v>
      </c>
      <c r="X11" s="408">
        <v>977.64701999999988</v>
      </c>
      <c r="Y11" s="408">
        <v>0</v>
      </c>
      <c r="Z11" s="408">
        <v>115.28139361776275</v>
      </c>
      <c r="AA11" s="408">
        <v>0</v>
      </c>
      <c r="AB11" s="408">
        <v>0</v>
      </c>
      <c r="AC11" s="408">
        <v>0</v>
      </c>
      <c r="AD11" s="408">
        <v>1.563279856464467</v>
      </c>
      <c r="AE11" s="408">
        <v>810.98173803257725</v>
      </c>
      <c r="AF11" s="408">
        <v>406.27005456655564</v>
      </c>
      <c r="AG11" s="408">
        <v>6.0053838087323888</v>
      </c>
      <c r="AH11" s="408">
        <v>0</v>
      </c>
      <c r="AI11" s="408">
        <v>0</v>
      </c>
      <c r="AJ11" s="408">
        <v>0</v>
      </c>
      <c r="AK11" s="408">
        <v>0</v>
      </c>
      <c r="AL11" s="408">
        <v>17.828651218599699</v>
      </c>
      <c r="AM11" s="408"/>
      <c r="AN11" s="408">
        <v>3.6489290958070568</v>
      </c>
      <c r="AO11" s="408">
        <v>16.892989118793601</v>
      </c>
      <c r="AP11" s="408">
        <v>52.927153928666471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1.1318224208184038</v>
      </c>
      <c r="BE11" s="408">
        <v>0</v>
      </c>
      <c r="BF11" s="408">
        <v>0</v>
      </c>
      <c r="BG11" s="408">
        <v>67.441567661294968</v>
      </c>
      <c r="BH11" s="408">
        <v>0</v>
      </c>
      <c r="BI11" s="408">
        <v>5.9</v>
      </c>
      <c r="BJ11" s="408">
        <v>27.13</v>
      </c>
      <c r="BK11" s="408">
        <v>734.08</v>
      </c>
      <c r="BL11" s="408">
        <v>4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>
        <v>474.84344464866905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976.61899999999991</v>
      </c>
      <c r="CJ11" s="408">
        <v>-523.38526000000002</v>
      </c>
      <c r="CK11" s="408"/>
      <c r="CL11" s="408"/>
      <c r="CM11" s="408"/>
      <c r="CN11" s="408"/>
      <c r="CO11" s="408">
        <v>-584.3895</v>
      </c>
      <c r="CP11" s="408">
        <v>62.062259999999988</v>
      </c>
      <c r="CQ11" s="408">
        <v>31</v>
      </c>
      <c r="CR11" s="408">
        <v>73.512881720052633</v>
      </c>
      <c r="CS11" s="408">
        <v>1.7425375754833823</v>
      </c>
      <c r="CT11" s="408">
        <v>5.4595165980121934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0.15284978086905521</v>
      </c>
      <c r="DA11" s="408">
        <v>0</v>
      </c>
      <c r="DB11" s="408">
        <v>0</v>
      </c>
      <c r="DC11" s="408">
        <v>62.070236081476367</v>
      </c>
      <c r="DD11" s="408">
        <v>0</v>
      </c>
      <c r="DE11" s="408">
        <v>0</v>
      </c>
      <c r="DF11" s="408">
        <v>0.17292065726443639</v>
      </c>
      <c r="DG11" s="408">
        <v>10.303772033869578</v>
      </c>
      <c r="DH11" s="408">
        <v>0</v>
      </c>
      <c r="DI11" s="408">
        <v>-5.5078216928817909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-0.72242780711092536</v>
      </c>
      <c r="DP11" s="408">
        <v>-0.15870150692995644</v>
      </c>
      <c r="DQ11" s="408">
        <v>0</v>
      </c>
      <c r="DR11" s="408">
        <v>0</v>
      </c>
      <c r="DS11" s="408"/>
      <c r="DT11" s="408"/>
      <c r="DU11" s="408"/>
      <c r="DV11" s="408">
        <v>810.98173803257725</v>
      </c>
      <c r="DW11" s="408">
        <v>0</v>
      </c>
      <c r="DX11" s="408">
        <v>0</v>
      </c>
      <c r="DY11" s="408">
        <v>-584.38949999999988</v>
      </c>
      <c r="DZ11" s="234">
        <v>62.062259999999981</v>
      </c>
      <c r="EA11" s="408">
        <v>0</v>
      </c>
      <c r="EB11" s="408">
        <v>0</v>
      </c>
      <c r="EC11" s="408">
        <v>-595.83624468621963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242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1036</v>
      </c>
      <c r="C12" s="408" t="s">
        <v>2239</v>
      </c>
      <c r="D12" s="408" t="s">
        <v>597</v>
      </c>
      <c r="E12" s="408" t="s">
        <v>970</v>
      </c>
      <c r="F12" s="408" t="s">
        <v>1322</v>
      </c>
      <c r="G12" s="408" t="s">
        <v>1322</v>
      </c>
      <c r="H12" s="408" t="s">
        <v>1322</v>
      </c>
      <c r="I12" s="408" t="s">
        <v>973</v>
      </c>
      <c r="J12" s="408" t="s">
        <v>2232</v>
      </c>
      <c r="K12" s="828">
        <v>44378</v>
      </c>
      <c r="L12" s="408">
        <v>0</v>
      </c>
      <c r="M12" s="408">
        <v>0</v>
      </c>
      <c r="N12" s="408">
        <v>7.8550000000000004</v>
      </c>
      <c r="O12" s="408">
        <v>7.8550000000000004</v>
      </c>
      <c r="P12" s="408">
        <v>7.8550000000000004</v>
      </c>
      <c r="Q12" s="408">
        <v>7.8550000000000004</v>
      </c>
      <c r="R12" s="408"/>
      <c r="S12" s="408">
        <v>2592.54</v>
      </c>
      <c r="T12" s="408">
        <v>216.76</v>
      </c>
      <c r="U12" s="408"/>
      <c r="V12" s="408">
        <v>22067.051500000001</v>
      </c>
      <c r="W12" s="408">
        <v>22067.051500000001</v>
      </c>
      <c r="X12" s="408">
        <v>9278.3260000000009</v>
      </c>
      <c r="Y12" s="408">
        <v>0</v>
      </c>
      <c r="Z12" s="408">
        <v>414.20386528640807</v>
      </c>
      <c r="AA12" s="408">
        <v>0</v>
      </c>
      <c r="AB12" s="408">
        <v>0</v>
      </c>
      <c r="AC12" s="408">
        <v>0</v>
      </c>
      <c r="AD12" s="408">
        <v>39.719869551509014</v>
      </c>
      <c r="AE12" s="408">
        <v>17994.952767170635</v>
      </c>
      <c r="AF12" s="408">
        <v>1677.839788969661</v>
      </c>
      <c r="AG12" s="408">
        <v>24.801414204833289</v>
      </c>
      <c r="AH12" s="408">
        <v>0</v>
      </c>
      <c r="AI12" s="408">
        <v>0</v>
      </c>
      <c r="AJ12" s="408">
        <v>0</v>
      </c>
      <c r="AK12" s="408">
        <v>0</v>
      </c>
      <c r="AL12" s="408">
        <v>73.629892388065542</v>
      </c>
      <c r="AM12" s="408"/>
      <c r="AN12" s="408">
        <v>10.78666035351889</v>
      </c>
      <c r="AO12" s="408">
        <v>354.3773159532401</v>
      </c>
      <c r="AP12" s="408">
        <v>1344.7818812298951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  <c r="AY12" s="408">
        <v>0</v>
      </c>
      <c r="AZ12" s="408">
        <v>0</v>
      </c>
      <c r="BA12" s="408"/>
      <c r="BB12" s="408">
        <v>0</v>
      </c>
      <c r="BC12" s="408">
        <v>0</v>
      </c>
      <c r="BD12" s="408">
        <v>3.5920812763636798</v>
      </c>
      <c r="BE12" s="408">
        <v>0</v>
      </c>
      <c r="BF12" s="408">
        <v>0</v>
      </c>
      <c r="BG12" s="408">
        <v>128.32051187651703</v>
      </c>
      <c r="BH12" s="408">
        <v>0</v>
      </c>
      <c r="BI12" s="408">
        <v>0</v>
      </c>
      <c r="BJ12" s="408">
        <v>0</v>
      </c>
      <c r="BK12" s="408">
        <v>0</v>
      </c>
      <c r="BL12" s="408">
        <v>0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1809.7523821225416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9284.232</v>
      </c>
      <c r="CJ12" s="408">
        <v>-12782.849499999997</v>
      </c>
      <c r="CK12" s="408"/>
      <c r="CL12" s="408"/>
      <c r="CM12" s="408"/>
      <c r="CN12" s="408"/>
      <c r="CO12" s="408">
        <v>-13045.034150000001</v>
      </c>
      <c r="CP12" s="408">
        <v>256.30865</v>
      </c>
      <c r="CQ12" s="408">
        <v>31</v>
      </c>
      <c r="CR12" s="408">
        <v>432.40759883837291</v>
      </c>
      <c r="CS12" s="408">
        <v>36.554560273792617</v>
      </c>
      <c r="CT12" s="408">
        <v>138.71630073242727</v>
      </c>
      <c r="CU12" s="408">
        <v>0</v>
      </c>
      <c r="CV12" s="408">
        <v>0</v>
      </c>
      <c r="CW12" s="408">
        <v>0</v>
      </c>
      <c r="CX12" s="408">
        <v>0</v>
      </c>
      <c r="CY12" s="408">
        <v>0</v>
      </c>
      <c r="CZ12" s="408">
        <v>3.8836126058876559</v>
      </c>
      <c r="DA12" s="408">
        <v>0</v>
      </c>
      <c r="DB12" s="408">
        <v>0</v>
      </c>
      <c r="DC12" s="408">
        <v>256.34159012618125</v>
      </c>
      <c r="DD12" s="408">
        <v>0</v>
      </c>
      <c r="DE12" s="408">
        <v>0</v>
      </c>
      <c r="DF12" s="408">
        <v>0.54880080464119629</v>
      </c>
      <c r="DG12" s="408">
        <v>19.604901657763435</v>
      </c>
      <c r="DH12" s="408">
        <v>0</v>
      </c>
      <c r="DI12" s="408">
        <v>-19.789499093532811</v>
      </c>
      <c r="DJ12" s="408"/>
      <c r="DK12" s="408">
        <v>0</v>
      </c>
      <c r="DL12" s="408">
        <v>0</v>
      </c>
      <c r="DM12" s="408">
        <v>0</v>
      </c>
      <c r="DN12" s="408">
        <v>0</v>
      </c>
      <c r="DO12" s="408">
        <v>-2.9835280887783</v>
      </c>
      <c r="DP12" s="408">
        <v>-0.46914018000847157</v>
      </c>
      <c r="DQ12" s="408">
        <v>0</v>
      </c>
      <c r="DR12" s="408">
        <v>0</v>
      </c>
      <c r="DS12" s="408"/>
      <c r="DT12" s="408"/>
      <c r="DU12" s="408"/>
      <c r="DV12" s="408">
        <v>17994.952767170635</v>
      </c>
      <c r="DW12" s="408">
        <v>0</v>
      </c>
      <c r="DX12" s="408">
        <v>0</v>
      </c>
      <c r="DY12" s="408">
        <v>-13045.034150000003</v>
      </c>
      <c r="DZ12" s="234">
        <v>256.30865000000017</v>
      </c>
      <c r="EA12" s="408">
        <v>0</v>
      </c>
      <c r="EB12" s="408">
        <v>0</v>
      </c>
      <c r="EC12" s="408">
        <v>-13221.068462168187</v>
      </c>
      <c r="ED12" s="408">
        <v>0</v>
      </c>
      <c r="EE12" s="408">
        <v>0</v>
      </c>
      <c r="EF12" s="408">
        <v>0</v>
      </c>
      <c r="EG12" s="408">
        <v>0</v>
      </c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>
        <v>0</v>
      </c>
      <c r="EN12" s="408">
        <v>0</v>
      </c>
      <c r="EO12" s="408">
        <v>0</v>
      </c>
      <c r="EP12" s="408">
        <v>0</v>
      </c>
      <c r="EQ12" s="408">
        <v>0</v>
      </c>
      <c r="ER12" s="408">
        <v>0</v>
      </c>
      <c r="ES12" s="408">
        <v>0</v>
      </c>
      <c r="ET12" s="408">
        <v>0</v>
      </c>
      <c r="EU12" s="408">
        <v>0</v>
      </c>
      <c r="EV12" s="408">
        <v>242</v>
      </c>
      <c r="EW12" s="408">
        <v>0</v>
      </c>
      <c r="EX12" s="408">
        <v>0</v>
      </c>
      <c r="EY12" s="408">
        <v>0</v>
      </c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1036</v>
      </c>
      <c r="C13" s="408" t="s">
        <v>2239</v>
      </c>
      <c r="D13" s="408" t="s">
        <v>597</v>
      </c>
      <c r="E13" s="408" t="s">
        <v>970</v>
      </c>
      <c r="F13" s="408" t="s">
        <v>1322</v>
      </c>
      <c r="G13" s="408" t="s">
        <v>1322</v>
      </c>
      <c r="H13" s="408" t="s">
        <v>1322</v>
      </c>
      <c r="I13" s="408" t="s">
        <v>2240</v>
      </c>
      <c r="J13" s="408" t="s">
        <v>2232</v>
      </c>
      <c r="K13" s="828">
        <v>44378</v>
      </c>
      <c r="L13" s="408">
        <v>0</v>
      </c>
      <c r="M13" s="408">
        <v>0</v>
      </c>
      <c r="N13" s="408">
        <v>125.55</v>
      </c>
      <c r="O13" s="408">
        <v>125.55</v>
      </c>
      <c r="P13" s="408">
        <v>125.55</v>
      </c>
      <c r="Q13" s="408">
        <v>125.55</v>
      </c>
      <c r="R13" s="408"/>
      <c r="S13" s="408">
        <v>80.27</v>
      </c>
      <c r="T13" s="408">
        <v>216.76</v>
      </c>
      <c r="U13" s="408"/>
      <c r="V13" s="408">
        <v>37292.116499999996</v>
      </c>
      <c r="W13" s="408">
        <v>37292.116499999996</v>
      </c>
      <c r="X13" s="408">
        <v>41339.8485</v>
      </c>
      <c r="Y13" s="408">
        <v>0</v>
      </c>
      <c r="Z13" s="408">
        <v>6620.4067837948478</v>
      </c>
      <c r="AA13" s="408">
        <v>0</v>
      </c>
      <c r="AB13" s="408">
        <v>0</v>
      </c>
      <c r="AC13" s="408">
        <v>0</v>
      </c>
      <c r="AD13" s="408">
        <v>0</v>
      </c>
      <c r="AE13" s="408">
        <v>0</v>
      </c>
      <c r="AF13" s="408">
        <v>26817.668428407498</v>
      </c>
      <c r="AG13" s="408">
        <v>396.41216466159381</v>
      </c>
      <c r="AH13" s="408">
        <v>0</v>
      </c>
      <c r="AI13" s="408">
        <v>0</v>
      </c>
      <c r="AJ13" s="408">
        <v>0</v>
      </c>
      <c r="AK13" s="408">
        <v>0</v>
      </c>
      <c r="AL13" s="408">
        <v>1176.8597058334344</v>
      </c>
      <c r="AM13" s="408"/>
      <c r="AN13" s="408">
        <v>172.40804677075704</v>
      </c>
      <c r="AO13" s="408">
        <v>0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57.413851591019728</v>
      </c>
      <c r="BE13" s="408">
        <v>0</v>
      </c>
      <c r="BF13" s="408">
        <v>0</v>
      </c>
      <c r="BG13" s="408">
        <v>2051.0044896367554</v>
      </c>
      <c r="BH13" s="408">
        <v>0</v>
      </c>
      <c r="BI13" s="408">
        <v>0</v>
      </c>
      <c r="BJ13" s="408">
        <v>0</v>
      </c>
      <c r="BK13" s="408">
        <v>0</v>
      </c>
      <c r="BL13" s="408">
        <v>0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28926.086769635273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41339.8485</v>
      </c>
      <c r="CJ13" s="408">
        <v>4047.7020000000048</v>
      </c>
      <c r="CK13" s="408"/>
      <c r="CL13" s="408"/>
      <c r="CM13" s="408"/>
      <c r="CN13" s="408"/>
      <c r="CO13" s="408">
        <v>-48.964500000000072</v>
      </c>
      <c r="CP13" s="408">
        <v>4096.6964999999991</v>
      </c>
      <c r="CQ13" s="408">
        <v>31</v>
      </c>
      <c r="CR13" s="408">
        <v>4047.8586724580236</v>
      </c>
      <c r="CS13" s="408">
        <v>0</v>
      </c>
      <c r="CT13" s="408">
        <v>0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0</v>
      </c>
      <c r="DA13" s="408">
        <v>0</v>
      </c>
      <c r="DB13" s="408">
        <v>0</v>
      </c>
      <c r="DC13" s="408">
        <v>4097.2229968608626</v>
      </c>
      <c r="DD13" s="408">
        <v>0</v>
      </c>
      <c r="DE13" s="408">
        <v>0</v>
      </c>
      <c r="DF13" s="408">
        <v>8.7717302384089422</v>
      </c>
      <c r="DG13" s="408">
        <v>313.35396602574156</v>
      </c>
      <c r="DH13" s="408">
        <v>0</v>
      </c>
      <c r="DI13" s="408">
        <v>-316.30446991636472</v>
      </c>
      <c r="DJ13" s="408"/>
      <c r="DK13" s="408">
        <v>0</v>
      </c>
      <c r="DL13" s="408">
        <v>0</v>
      </c>
      <c r="DM13" s="408">
        <v>0</v>
      </c>
      <c r="DN13" s="408">
        <v>0</v>
      </c>
      <c r="DO13" s="408">
        <v>-47.687072125539771</v>
      </c>
      <c r="DP13" s="408">
        <v>-7.4984786250876709</v>
      </c>
      <c r="DQ13" s="408">
        <v>0</v>
      </c>
      <c r="DR13" s="408">
        <v>0</v>
      </c>
      <c r="DS13" s="408"/>
      <c r="DT13" s="408"/>
      <c r="DU13" s="408"/>
      <c r="DV13" s="408">
        <v>0</v>
      </c>
      <c r="DW13" s="408">
        <v>0</v>
      </c>
      <c r="DX13" s="408">
        <v>0</v>
      </c>
      <c r="DY13" s="408">
        <v>-48.964500000000044</v>
      </c>
      <c r="DZ13" s="234">
        <v>4096.6965000000018</v>
      </c>
      <c r="EA13" s="408">
        <v>0</v>
      </c>
      <c r="EB13" s="408">
        <v>0</v>
      </c>
      <c r="EC13" s="408">
        <v>0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0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242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1036</v>
      </c>
      <c r="C14" s="408" t="s">
        <v>2239</v>
      </c>
      <c r="D14" s="408" t="s">
        <v>597</v>
      </c>
      <c r="E14" s="408" t="s">
        <v>970</v>
      </c>
      <c r="F14" s="408" t="s">
        <v>1322</v>
      </c>
      <c r="G14" s="408" t="s">
        <v>1322</v>
      </c>
      <c r="H14" s="408" t="s">
        <v>1322</v>
      </c>
      <c r="I14" s="408" t="s">
        <v>1322</v>
      </c>
      <c r="J14" s="408" t="s">
        <v>2232</v>
      </c>
      <c r="K14" s="828">
        <v>44378</v>
      </c>
      <c r="L14" s="408">
        <v>925</v>
      </c>
      <c r="M14" s="408">
        <v>925</v>
      </c>
      <c r="N14" s="408">
        <v>0</v>
      </c>
      <c r="O14" s="408">
        <v>0</v>
      </c>
      <c r="P14" s="408">
        <v>0</v>
      </c>
      <c r="Q14" s="408">
        <v>0</v>
      </c>
      <c r="R14" s="408">
        <v>32.17</v>
      </c>
      <c r="S14" s="408"/>
      <c r="T14" s="408"/>
      <c r="U14" s="408">
        <v>29757.25</v>
      </c>
      <c r="V14" s="408"/>
      <c r="W14" s="408">
        <v>29757.25</v>
      </c>
      <c r="X14" s="408">
        <v>11960.25</v>
      </c>
      <c r="Y14" s="408">
        <v>0</v>
      </c>
      <c r="Z14" s="408">
        <v>0</v>
      </c>
      <c r="AA14" s="408">
        <v>0</v>
      </c>
      <c r="AB14" s="408">
        <v>0</v>
      </c>
      <c r="AC14" s="408">
        <v>0</v>
      </c>
      <c r="AD14" s="408">
        <v>92.422508246429743</v>
      </c>
      <c r="AE14" s="408">
        <v>24907.230271356024</v>
      </c>
      <c r="AF14" s="408"/>
      <c r="AG14" s="408"/>
      <c r="AH14" s="408"/>
      <c r="AI14" s="408">
        <v>0</v>
      </c>
      <c r="AJ14" s="408">
        <v>0</v>
      </c>
      <c r="AK14" s="408">
        <v>0</v>
      </c>
      <c r="AL14" s="408">
        <v>0</v>
      </c>
      <c r="AM14" s="408"/>
      <c r="AN14" s="408">
        <v>0</v>
      </c>
      <c r="AO14" s="408">
        <v>1632.0895234327004</v>
      </c>
      <c r="AP14" s="408">
        <v>3129.1502780372539</v>
      </c>
      <c r="AQ14" s="408">
        <v>0</v>
      </c>
      <c r="AR14" s="408">
        <v>0</v>
      </c>
      <c r="AS14" s="408"/>
      <c r="AT14" s="408"/>
      <c r="AU14" s="408">
        <v>0</v>
      </c>
      <c r="AV14" s="408">
        <v>0</v>
      </c>
      <c r="AW14" s="408">
        <v>0</v>
      </c>
      <c r="AX14" s="408"/>
      <c r="AY14" s="408"/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/>
      <c r="BG14" s="408">
        <v>0</v>
      </c>
      <c r="BH14" s="408">
        <v>0</v>
      </c>
      <c r="BI14" s="408">
        <v>435.24</v>
      </c>
      <c r="BJ14" s="408">
        <v>1996.13</v>
      </c>
      <c r="BK14" s="408">
        <v>16552.53</v>
      </c>
      <c r="BL14" s="408">
        <v>6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0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11960.25</v>
      </c>
      <c r="CJ14" s="408">
        <v>-17797.029999999995</v>
      </c>
      <c r="CK14" s="408"/>
      <c r="CL14" s="408"/>
      <c r="CM14" s="408"/>
      <c r="CN14" s="408"/>
      <c r="CO14" s="408">
        <v>-17797.000000000004</v>
      </c>
      <c r="CP14" s="408">
        <v>0</v>
      </c>
      <c r="CQ14" s="408">
        <v>31</v>
      </c>
      <c r="CR14" s="408">
        <v>500.16575872291105</v>
      </c>
      <c r="CS14" s="408">
        <v>168.35252193292195</v>
      </c>
      <c r="CT14" s="408">
        <v>322.77662055367091</v>
      </c>
      <c r="CU14" s="408">
        <v>0</v>
      </c>
      <c r="CV14" s="408">
        <v>0</v>
      </c>
      <c r="CW14" s="408"/>
      <c r="CX14" s="408"/>
      <c r="CY14" s="408"/>
      <c r="CZ14" s="408">
        <v>9.036616236318082</v>
      </c>
      <c r="DA14" s="408">
        <v>0</v>
      </c>
      <c r="DB14" s="408">
        <v>0</v>
      </c>
      <c r="DC14" s="408"/>
      <c r="DD14" s="408"/>
      <c r="DE14" s="408">
        <v>0</v>
      </c>
      <c r="DF14" s="408">
        <v>0</v>
      </c>
      <c r="DG14" s="408">
        <v>0</v>
      </c>
      <c r="DH14" s="408">
        <v>0</v>
      </c>
      <c r="DI14" s="408">
        <v>0</v>
      </c>
      <c r="DJ14" s="408"/>
      <c r="DK14" s="408">
        <v>0</v>
      </c>
      <c r="DL14" s="408">
        <v>0</v>
      </c>
      <c r="DM14" s="408"/>
      <c r="DN14" s="408">
        <v>0</v>
      </c>
      <c r="DO14" s="408">
        <v>0</v>
      </c>
      <c r="DP14" s="408">
        <v>0</v>
      </c>
      <c r="DQ14" s="408">
        <v>0</v>
      </c>
      <c r="DR14" s="408">
        <v>0</v>
      </c>
      <c r="DS14" s="408"/>
      <c r="DT14" s="408"/>
      <c r="DU14" s="408">
        <v>24907.230271356024</v>
      </c>
      <c r="DV14" s="408"/>
      <c r="DW14" s="408">
        <v>0</v>
      </c>
      <c r="DX14" s="408">
        <v>0</v>
      </c>
      <c r="DY14" s="408">
        <v>-17797</v>
      </c>
      <c r="DZ14" s="234"/>
      <c r="EA14" s="408">
        <v>0</v>
      </c>
      <c r="EB14" s="408"/>
      <c r="EC14" s="408">
        <v>-18299.586605270189</v>
      </c>
      <c r="ED14" s="408"/>
      <c r="EE14" s="408">
        <v>0</v>
      </c>
      <c r="EF14" s="408">
        <v>0</v>
      </c>
      <c r="EG14" s="408"/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/>
      <c r="EN14" s="408"/>
      <c r="EO14" s="408">
        <v>0</v>
      </c>
      <c r="EP14" s="408">
        <v>0</v>
      </c>
      <c r="EQ14" s="408"/>
      <c r="ER14" s="408">
        <v>0</v>
      </c>
      <c r="ES14" s="408"/>
      <c r="ET14" s="408">
        <v>0</v>
      </c>
      <c r="EU14" s="408"/>
      <c r="EV14" s="408">
        <v>242</v>
      </c>
      <c r="EW14" s="408"/>
      <c r="EX14" s="408"/>
      <c r="EY14" s="408"/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1036</v>
      </c>
      <c r="C15" s="408" t="s">
        <v>2231</v>
      </c>
      <c r="D15" s="408" t="s">
        <v>1955</v>
      </c>
      <c r="E15" s="408" t="s">
        <v>998</v>
      </c>
      <c r="F15" s="408" t="s">
        <v>1322</v>
      </c>
      <c r="G15" s="408" t="s">
        <v>1322</v>
      </c>
      <c r="H15" s="408" t="s">
        <v>1322</v>
      </c>
      <c r="I15" s="408" t="s">
        <v>1322</v>
      </c>
      <c r="J15" s="408" t="s">
        <v>2232</v>
      </c>
      <c r="K15" s="828">
        <v>44378</v>
      </c>
      <c r="L15" s="408">
        <v>0</v>
      </c>
      <c r="M15" s="408">
        <v>0</v>
      </c>
      <c r="N15" s="408">
        <v>196.85900000000001</v>
      </c>
      <c r="O15" s="408">
        <v>196.85900000000001</v>
      </c>
      <c r="P15" s="408">
        <v>196.85900000000001</v>
      </c>
      <c r="Q15" s="408">
        <v>196.85900000000001</v>
      </c>
      <c r="R15" s="408"/>
      <c r="S15" s="408">
        <v>571.87</v>
      </c>
      <c r="T15" s="408">
        <v>216.76</v>
      </c>
      <c r="U15" s="408"/>
      <c r="V15" s="408">
        <v>155248.91317000001</v>
      </c>
      <c r="W15" s="408">
        <v>155248.91317000001</v>
      </c>
      <c r="X15" s="408">
        <v>101187.49459</v>
      </c>
      <c r="Y15" s="408">
        <v>0</v>
      </c>
      <c r="Z15" s="408">
        <v>11931.745460672533</v>
      </c>
      <c r="AA15" s="408">
        <v>0</v>
      </c>
      <c r="AB15" s="408">
        <v>0</v>
      </c>
      <c r="AC15" s="408">
        <v>0</v>
      </c>
      <c r="AD15" s="408">
        <v>161.80110897147136</v>
      </c>
      <c r="AE15" s="408">
        <v>83937.462653709328</v>
      </c>
      <c r="AF15" s="408">
        <v>42049.377850640165</v>
      </c>
      <c r="AG15" s="408">
        <v>621.5635390132752</v>
      </c>
      <c r="AH15" s="408">
        <v>0</v>
      </c>
      <c r="AI15" s="408">
        <v>0</v>
      </c>
      <c r="AJ15" s="408">
        <v>0</v>
      </c>
      <c r="AK15" s="408">
        <v>0</v>
      </c>
      <c r="AL15" s="408">
        <v>1845.2841483923862</v>
      </c>
      <c r="AM15" s="408"/>
      <c r="AN15" s="408">
        <v>377.66799835514274</v>
      </c>
      <c r="AO15" s="408">
        <v>1748.442137190636</v>
      </c>
      <c r="AP15" s="408">
        <v>5478.0160858272102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117.14481069394856</v>
      </c>
      <c r="BE15" s="408">
        <v>0</v>
      </c>
      <c r="BF15" s="408">
        <v>0</v>
      </c>
      <c r="BG15" s="408">
        <v>6980.2731694189633</v>
      </c>
      <c r="BH15" s="408">
        <v>0</v>
      </c>
      <c r="BI15" s="408">
        <v>774.56</v>
      </c>
      <c r="BJ15" s="408">
        <v>3566.92</v>
      </c>
      <c r="BK15" s="408">
        <v>51110.12</v>
      </c>
      <c r="BL15" s="408">
        <v>692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49146.795830753079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101188.0086</v>
      </c>
      <c r="CJ15" s="408">
        <v>-54060.934570000012</v>
      </c>
      <c r="CK15" s="408"/>
      <c r="CL15" s="408"/>
      <c r="CM15" s="408"/>
      <c r="CN15" s="408"/>
      <c r="CO15" s="408">
        <v>-60484.927750000003</v>
      </c>
      <c r="CP15" s="408">
        <v>6423.5091699999994</v>
      </c>
      <c r="CQ15" s="408">
        <v>31</v>
      </c>
      <c r="CR15" s="408">
        <v>7608.6605586371297</v>
      </c>
      <c r="CS15" s="408">
        <v>180.35447138385007</v>
      </c>
      <c r="CT15" s="408">
        <v>565.06570871087388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15.820113045268869</v>
      </c>
      <c r="DA15" s="408">
        <v>0</v>
      </c>
      <c r="DB15" s="408">
        <v>0</v>
      </c>
      <c r="DC15" s="408">
        <v>6424.3347028198477</v>
      </c>
      <c r="DD15" s="408">
        <v>0</v>
      </c>
      <c r="DE15" s="408">
        <v>0</v>
      </c>
      <c r="DF15" s="408">
        <v>17.897469857213309</v>
      </c>
      <c r="DG15" s="408">
        <v>1066.4512401764096</v>
      </c>
      <c r="DH15" s="408">
        <v>0</v>
      </c>
      <c r="DI15" s="408">
        <v>-570.06533682387817</v>
      </c>
      <c r="DJ15" s="408"/>
      <c r="DK15" s="408">
        <v>0</v>
      </c>
      <c r="DL15" s="408">
        <v>0</v>
      </c>
      <c r="DM15" s="408">
        <v>0</v>
      </c>
      <c r="DN15" s="408">
        <v>0</v>
      </c>
      <c r="DO15" s="408">
        <v>-74.772037686671865</v>
      </c>
      <c r="DP15" s="408">
        <v>-16.425772845806705</v>
      </c>
      <c r="DQ15" s="408">
        <v>0</v>
      </c>
      <c r="DR15" s="408">
        <v>0</v>
      </c>
      <c r="DS15" s="408"/>
      <c r="DT15" s="408"/>
      <c r="DU15" s="408"/>
      <c r="DV15" s="408">
        <v>83937.462653709328</v>
      </c>
      <c r="DW15" s="408">
        <v>0</v>
      </c>
      <c r="DX15" s="408">
        <v>0</v>
      </c>
      <c r="DY15" s="408">
        <v>-60484.927750000003</v>
      </c>
      <c r="DZ15" s="234">
        <v>6423.5091699999975</v>
      </c>
      <c r="EA15" s="408">
        <v>0</v>
      </c>
      <c r="EB15" s="408">
        <v>0</v>
      </c>
      <c r="EC15" s="408">
        <v>-61669.677861558637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0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242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2233</v>
      </c>
      <c r="C16" s="408" t="s">
        <v>2231</v>
      </c>
      <c r="D16" s="408" t="s">
        <v>1955</v>
      </c>
      <c r="E16" s="408" t="s">
        <v>998</v>
      </c>
      <c r="F16" s="408" t="s">
        <v>1322</v>
      </c>
      <c r="G16" s="408" t="s">
        <v>1322</v>
      </c>
      <c r="H16" s="408" t="s">
        <v>1322</v>
      </c>
      <c r="I16" s="408" t="s">
        <v>1322</v>
      </c>
      <c r="J16" s="408" t="s">
        <v>2232</v>
      </c>
      <c r="K16" s="828">
        <v>44378</v>
      </c>
      <c r="L16" s="408">
        <v>0</v>
      </c>
      <c r="M16" s="408">
        <v>0</v>
      </c>
      <c r="N16" s="408">
        <v>-0.154</v>
      </c>
      <c r="O16" s="408">
        <v>-0.154</v>
      </c>
      <c r="P16" s="408">
        <v>-0.154</v>
      </c>
      <c r="Q16" s="408">
        <v>-0.154</v>
      </c>
      <c r="R16" s="408"/>
      <c r="S16" s="408">
        <v>571.87</v>
      </c>
      <c r="T16" s="408">
        <v>216.76</v>
      </c>
      <c r="U16" s="408"/>
      <c r="V16" s="408">
        <v>-121.44902</v>
      </c>
      <c r="W16" s="408">
        <v>-121.44902</v>
      </c>
      <c r="X16" s="408">
        <v>-79.157539999999997</v>
      </c>
      <c r="Y16" s="408">
        <v>0</v>
      </c>
      <c r="Z16" s="408">
        <v>-9.334035024782052</v>
      </c>
      <c r="AA16" s="408">
        <v>0</v>
      </c>
      <c r="AB16" s="408">
        <v>0</v>
      </c>
      <c r="AC16" s="408">
        <v>0</v>
      </c>
      <c r="AD16" s="408">
        <v>-0.12657470972425233</v>
      </c>
      <c r="AE16" s="408">
        <v>-65.663084993173982</v>
      </c>
      <c r="AF16" s="408">
        <v>-32.894631126839947</v>
      </c>
      <c r="AG16" s="408">
        <v>-0.48624032941366346</v>
      </c>
      <c r="AH16" s="408">
        <v>0</v>
      </c>
      <c r="AI16" s="408">
        <v>0</v>
      </c>
      <c r="AJ16" s="408">
        <v>0</v>
      </c>
      <c r="AK16" s="408">
        <v>0</v>
      </c>
      <c r="AL16" s="408">
        <v>-1.4435395834197444</v>
      </c>
      <c r="AM16" s="408"/>
      <c r="AN16" s="408">
        <v>-0.29544431164788998</v>
      </c>
      <c r="AO16" s="408">
        <v>-1.3677814533618373</v>
      </c>
      <c r="AP16" s="408">
        <v>-4.2853741877048561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-9.1640721769734063E-2</v>
      </c>
      <c r="BE16" s="408">
        <v>0</v>
      </c>
      <c r="BF16" s="408">
        <v>0</v>
      </c>
      <c r="BG16" s="408">
        <v>-5.4605685698419695</v>
      </c>
      <c r="BH16" s="408">
        <v>0</v>
      </c>
      <c r="BI16" s="408">
        <v>-0.52</v>
      </c>
      <c r="BJ16" s="408">
        <v>-2.34</v>
      </c>
      <c r="BK16" s="408">
        <v>-38.14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-38.44684041845165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-77.101499999999987</v>
      </c>
      <c r="CJ16" s="408">
        <v>44.317520000000002</v>
      </c>
      <c r="CK16" s="408"/>
      <c r="CL16" s="408"/>
      <c r="CM16" s="408"/>
      <c r="CN16" s="408"/>
      <c r="CO16" s="408">
        <v>47.316499999999998</v>
      </c>
      <c r="CP16" s="408">
        <v>-5.0250199999999996</v>
      </c>
      <c r="CQ16" s="408">
        <v>31</v>
      </c>
      <c r="CR16" s="408">
        <v>-5.9521471003617563</v>
      </c>
      <c r="CS16" s="408">
        <v>-0.14108874165322849</v>
      </c>
      <c r="CT16" s="408">
        <v>-0.44204287912401607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-1.2375849765422969E-2</v>
      </c>
      <c r="DA16" s="408">
        <v>0</v>
      </c>
      <c r="DB16" s="408">
        <v>0</v>
      </c>
      <c r="DC16" s="408">
        <v>-5.0256658026011323</v>
      </c>
      <c r="DD16" s="408">
        <v>0</v>
      </c>
      <c r="DE16" s="408">
        <v>0</v>
      </c>
      <c r="DF16" s="408">
        <v>-1.4000936497751429E-2</v>
      </c>
      <c r="DG16" s="408">
        <v>-0.83426965994527613</v>
      </c>
      <c r="DH16" s="408">
        <v>0</v>
      </c>
      <c r="DI16" s="408">
        <v>0.44595401719442407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5.8493103204565022E-2</v>
      </c>
      <c r="DP16" s="408">
        <v>1.2849648826084803E-2</v>
      </c>
      <c r="DQ16" s="408">
        <v>0</v>
      </c>
      <c r="DR16" s="408">
        <v>0</v>
      </c>
      <c r="DS16" s="408"/>
      <c r="DT16" s="408"/>
      <c r="DU16" s="408"/>
      <c r="DV16" s="408">
        <v>-65.663084993173982</v>
      </c>
      <c r="DW16" s="408">
        <v>0</v>
      </c>
      <c r="DX16" s="408">
        <v>0</v>
      </c>
      <c r="DY16" s="408">
        <v>47.316500000000005</v>
      </c>
      <c r="DZ16" s="234">
        <v>-5.0250199999999978</v>
      </c>
      <c r="EA16" s="408">
        <v>0</v>
      </c>
      <c r="EB16" s="408">
        <v>0</v>
      </c>
      <c r="EC16" s="408">
        <v>48.243313187002016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242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2234</v>
      </c>
      <c r="C17" s="408" t="s">
        <v>2231</v>
      </c>
      <c r="D17" s="408" t="s">
        <v>1955</v>
      </c>
      <c r="E17" s="408" t="s">
        <v>998</v>
      </c>
      <c r="F17" s="408" t="s">
        <v>1322</v>
      </c>
      <c r="G17" s="408" t="s">
        <v>1322</v>
      </c>
      <c r="H17" s="408" t="s">
        <v>1322</v>
      </c>
      <c r="I17" s="408" t="s">
        <v>1322</v>
      </c>
      <c r="J17" s="408" t="s">
        <v>2232</v>
      </c>
      <c r="K17" s="828">
        <v>44378</v>
      </c>
      <c r="L17" s="408">
        <v>0</v>
      </c>
      <c r="M17" s="408">
        <v>0</v>
      </c>
      <c r="N17" s="408">
        <v>7.1520000000000001</v>
      </c>
      <c r="O17" s="408">
        <v>7.1520000000000001</v>
      </c>
      <c r="P17" s="408">
        <v>7.1520000000000001</v>
      </c>
      <c r="Q17" s="408">
        <v>7.1520000000000001</v>
      </c>
      <c r="R17" s="408"/>
      <c r="S17" s="408">
        <v>571.87</v>
      </c>
      <c r="T17" s="408">
        <v>216.76</v>
      </c>
      <c r="U17" s="408"/>
      <c r="V17" s="408">
        <v>5640.2817599999998</v>
      </c>
      <c r="W17" s="408">
        <v>5640.2817599999998</v>
      </c>
      <c r="X17" s="408">
        <v>3676.1995200000001</v>
      </c>
      <c r="Y17" s="408">
        <v>0</v>
      </c>
      <c r="Z17" s="408">
        <v>433.48713309896908</v>
      </c>
      <c r="AA17" s="408">
        <v>0</v>
      </c>
      <c r="AB17" s="408">
        <v>0</v>
      </c>
      <c r="AC17" s="408">
        <v>0</v>
      </c>
      <c r="AD17" s="408">
        <v>5.87832677888216</v>
      </c>
      <c r="AE17" s="408">
        <v>3049.4959991635083</v>
      </c>
      <c r="AF17" s="408">
        <v>1527.6779338906447</v>
      </c>
      <c r="AG17" s="408">
        <v>22.581758675107281</v>
      </c>
      <c r="AH17" s="408">
        <v>0</v>
      </c>
      <c r="AI17" s="408">
        <v>0</v>
      </c>
      <c r="AJ17" s="408">
        <v>0</v>
      </c>
      <c r="AK17" s="408">
        <v>0</v>
      </c>
      <c r="AL17" s="408">
        <v>67.040227926090992</v>
      </c>
      <c r="AM17" s="408"/>
      <c r="AN17" s="408">
        <v>13.720894265621489</v>
      </c>
      <c r="AO17" s="408">
        <v>63.521902301583509</v>
      </c>
      <c r="AP17" s="408">
        <v>199.01945578224112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4.2559379356957017</v>
      </c>
      <c r="BE17" s="408">
        <v>0</v>
      </c>
      <c r="BF17" s="408">
        <v>0</v>
      </c>
      <c r="BG17" s="408">
        <v>253.59731436045305</v>
      </c>
      <c r="BH17" s="408">
        <v>0</v>
      </c>
      <c r="BI17" s="408">
        <v>28.47</v>
      </c>
      <c r="BJ17" s="408">
        <v>130.80000000000001</v>
      </c>
      <c r="BK17" s="408">
        <v>2498.88</v>
      </c>
      <c r="BL17" s="408">
        <v>16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1785.5311861867935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3675.1715000000004</v>
      </c>
      <c r="CJ17" s="408">
        <v>-1965.1402600000001</v>
      </c>
      <c r="CK17" s="408"/>
      <c r="CL17" s="408"/>
      <c r="CM17" s="408"/>
      <c r="CN17" s="408"/>
      <c r="CO17" s="408">
        <v>-2197.4520000000002</v>
      </c>
      <c r="CP17" s="408">
        <v>233.36975999999999</v>
      </c>
      <c r="CQ17" s="408">
        <v>31</v>
      </c>
      <c r="CR17" s="408">
        <v>276.42698741420281</v>
      </c>
      <c r="CS17" s="408">
        <v>6.5523810409343639</v>
      </c>
      <c r="CT17" s="408">
        <v>20.529160204512721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0.57475375014483898</v>
      </c>
      <c r="DA17" s="408">
        <v>0</v>
      </c>
      <c r="DB17" s="408">
        <v>0</v>
      </c>
      <c r="DC17" s="408">
        <v>233.39975207924249</v>
      </c>
      <c r="DD17" s="408">
        <v>0</v>
      </c>
      <c r="DE17" s="408">
        <v>0</v>
      </c>
      <c r="DF17" s="408">
        <v>0.65022531059687161</v>
      </c>
      <c r="DG17" s="408">
        <v>38.744783168367604</v>
      </c>
      <c r="DH17" s="408">
        <v>0</v>
      </c>
      <c r="DI17" s="408">
        <v>-20.710799551782657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-2.7165108709029226</v>
      </c>
      <c r="DP17" s="408">
        <v>-0.59675771691012081</v>
      </c>
      <c r="DQ17" s="408">
        <v>0</v>
      </c>
      <c r="DR17" s="408">
        <v>0</v>
      </c>
      <c r="DS17" s="408"/>
      <c r="DT17" s="408"/>
      <c r="DU17" s="408"/>
      <c r="DV17" s="408">
        <v>3049.4959991635083</v>
      </c>
      <c r="DW17" s="408">
        <v>0</v>
      </c>
      <c r="DX17" s="408">
        <v>0</v>
      </c>
      <c r="DY17" s="408">
        <v>-2197.4520000000002</v>
      </c>
      <c r="DZ17" s="234">
        <v>233.36976000000004</v>
      </c>
      <c r="EA17" s="408">
        <v>0</v>
      </c>
      <c r="EB17" s="408">
        <v>0</v>
      </c>
      <c r="EC17" s="408">
        <v>-2240.4946487885609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0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242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1036</v>
      </c>
      <c r="C18" s="408" t="s">
        <v>2239</v>
      </c>
      <c r="D18" s="408" t="s">
        <v>597</v>
      </c>
      <c r="E18" s="408" t="s">
        <v>998</v>
      </c>
      <c r="F18" s="408" t="s">
        <v>1322</v>
      </c>
      <c r="G18" s="408" t="s">
        <v>1322</v>
      </c>
      <c r="H18" s="408" t="s">
        <v>1322</v>
      </c>
      <c r="I18" s="408" t="s">
        <v>973</v>
      </c>
      <c r="J18" s="408" t="s">
        <v>2232</v>
      </c>
      <c r="K18" s="828">
        <v>44378</v>
      </c>
      <c r="L18" s="408">
        <v>0</v>
      </c>
      <c r="M18" s="408">
        <v>0</v>
      </c>
      <c r="N18" s="408">
        <v>6.0579999999999998</v>
      </c>
      <c r="O18" s="408">
        <v>6.0579999999999998</v>
      </c>
      <c r="P18" s="408">
        <v>6.0579999999999998</v>
      </c>
      <c r="Q18" s="408">
        <v>6.0579999999999998</v>
      </c>
      <c r="R18" s="408"/>
      <c r="S18" s="408">
        <v>2592.54</v>
      </c>
      <c r="T18" s="408">
        <v>216.76</v>
      </c>
      <c r="U18" s="408"/>
      <c r="V18" s="408">
        <v>17018.739399999999</v>
      </c>
      <c r="W18" s="408">
        <v>17018.739399999999</v>
      </c>
      <c r="X18" s="408">
        <v>7155.7095999999992</v>
      </c>
      <c r="Y18" s="408">
        <v>0</v>
      </c>
      <c r="Z18" s="408">
        <v>319.44583270592744</v>
      </c>
      <c r="AA18" s="408">
        <v>0</v>
      </c>
      <c r="AB18" s="408">
        <v>0</v>
      </c>
      <c r="AC18" s="408">
        <v>0</v>
      </c>
      <c r="AD18" s="408">
        <v>30.633096084410131</v>
      </c>
      <c r="AE18" s="408">
        <v>13878.220733738981</v>
      </c>
      <c r="AF18" s="408">
        <v>1293.9978919895868</v>
      </c>
      <c r="AG18" s="408">
        <v>19.127557893428396</v>
      </c>
      <c r="AH18" s="408">
        <v>0</v>
      </c>
      <c r="AI18" s="408">
        <v>0</v>
      </c>
      <c r="AJ18" s="408">
        <v>0</v>
      </c>
      <c r="AK18" s="408">
        <v>0</v>
      </c>
      <c r="AL18" s="408">
        <v>56.78547270361566</v>
      </c>
      <c r="AM18" s="408"/>
      <c r="AN18" s="408">
        <v>8.3189800664057838</v>
      </c>
      <c r="AO18" s="408">
        <v>273.3058917943639</v>
      </c>
      <c r="AP18" s="408">
        <v>1037.1341357722092</v>
      </c>
      <c r="AQ18" s="408">
        <v>0</v>
      </c>
      <c r="AR18" s="408">
        <v>0</v>
      </c>
      <c r="AS18" s="408">
        <v>0</v>
      </c>
      <c r="AT18" s="408">
        <v>0</v>
      </c>
      <c r="AU18" s="408">
        <v>0</v>
      </c>
      <c r="AV18" s="408">
        <v>0</v>
      </c>
      <c r="AW18" s="408">
        <v>0</v>
      </c>
      <c r="AX18" s="408">
        <v>0</v>
      </c>
      <c r="AY18" s="408">
        <v>0</v>
      </c>
      <c r="AZ18" s="408">
        <v>0</v>
      </c>
      <c r="BA18" s="408"/>
      <c r="BB18" s="408">
        <v>0</v>
      </c>
      <c r="BC18" s="408">
        <v>0</v>
      </c>
      <c r="BD18" s="408">
        <v>2.7703155152401235</v>
      </c>
      <c r="BE18" s="408">
        <v>0</v>
      </c>
      <c r="BF18" s="408">
        <v>0</v>
      </c>
      <c r="BG18" s="408">
        <v>98.96443805829918</v>
      </c>
      <c r="BH18" s="408">
        <v>0</v>
      </c>
      <c r="BI18" s="408">
        <v>0</v>
      </c>
      <c r="BJ18" s="408">
        <v>0</v>
      </c>
      <c r="BK18" s="408">
        <v>0</v>
      </c>
      <c r="BL18" s="408">
        <v>0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1395.7326455631262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7158.0719999999992</v>
      </c>
      <c r="CJ18" s="408">
        <v>-9860.6973999999973</v>
      </c>
      <c r="CK18" s="408"/>
      <c r="CL18" s="408"/>
      <c r="CM18" s="408"/>
      <c r="CN18" s="408"/>
      <c r="CO18" s="408">
        <v>-10060.70234</v>
      </c>
      <c r="CP18" s="408">
        <v>197.67253999999997</v>
      </c>
      <c r="CQ18" s="408">
        <v>31</v>
      </c>
      <c r="CR18" s="408">
        <v>333.4850711346744</v>
      </c>
      <c r="CS18" s="408">
        <v>28.191919304727605</v>
      </c>
      <c r="CT18" s="408">
        <v>106.98196687931818</v>
      </c>
      <c r="CU18" s="408">
        <v>0</v>
      </c>
      <c r="CV18" s="408">
        <v>0</v>
      </c>
      <c r="CW18" s="408">
        <v>0</v>
      </c>
      <c r="CX18" s="408">
        <v>0</v>
      </c>
      <c r="CY18" s="408">
        <v>0</v>
      </c>
      <c r="CZ18" s="408">
        <v>2.9951527901295272</v>
      </c>
      <c r="DA18" s="408">
        <v>0</v>
      </c>
      <c r="DB18" s="408">
        <v>0</v>
      </c>
      <c r="DC18" s="408">
        <v>197.69794436466032</v>
      </c>
      <c r="DD18" s="408">
        <v>0</v>
      </c>
      <c r="DE18" s="408">
        <v>0</v>
      </c>
      <c r="DF18" s="408">
        <v>0.42325083061952506</v>
      </c>
      <c r="DG18" s="408">
        <v>15.119859228864541</v>
      </c>
      <c r="DH18" s="408">
        <v>0</v>
      </c>
      <c r="DI18" s="408">
        <v>-15.262226035470633</v>
      </c>
      <c r="DJ18" s="408"/>
      <c r="DK18" s="408">
        <v>0</v>
      </c>
      <c r="DL18" s="408">
        <v>0</v>
      </c>
      <c r="DM18" s="408">
        <v>0</v>
      </c>
      <c r="DN18" s="408">
        <v>0</v>
      </c>
      <c r="DO18" s="408">
        <v>-2.300981942943217</v>
      </c>
      <c r="DP18" s="408">
        <v>-0.36181428523123138</v>
      </c>
      <c r="DQ18" s="408">
        <v>0</v>
      </c>
      <c r="DR18" s="408">
        <v>0</v>
      </c>
      <c r="DS18" s="408"/>
      <c r="DT18" s="408"/>
      <c r="DU18" s="408"/>
      <c r="DV18" s="408">
        <v>13878.220733738981</v>
      </c>
      <c r="DW18" s="408">
        <v>0</v>
      </c>
      <c r="DX18" s="408">
        <v>0</v>
      </c>
      <c r="DY18" s="408">
        <v>-10060.70234</v>
      </c>
      <c r="DZ18" s="234">
        <v>197.67254000000003</v>
      </c>
      <c r="EA18" s="408">
        <v>0</v>
      </c>
      <c r="EB18" s="408">
        <v>0</v>
      </c>
      <c r="EC18" s="408">
        <v>-10196.465021491391</v>
      </c>
      <c r="ED18" s="408">
        <v>0</v>
      </c>
      <c r="EE18" s="408">
        <v>0</v>
      </c>
      <c r="EF18" s="408">
        <v>0</v>
      </c>
      <c r="EG18" s="408">
        <v>0</v>
      </c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>
        <v>0</v>
      </c>
      <c r="EN18" s="408">
        <v>0</v>
      </c>
      <c r="EO18" s="408">
        <v>0</v>
      </c>
      <c r="EP18" s="408">
        <v>0</v>
      </c>
      <c r="EQ18" s="408">
        <v>0</v>
      </c>
      <c r="ER18" s="408">
        <v>0</v>
      </c>
      <c r="ES18" s="408">
        <v>0</v>
      </c>
      <c r="ET18" s="408">
        <v>0</v>
      </c>
      <c r="EU18" s="408">
        <v>0</v>
      </c>
      <c r="EV18" s="408">
        <v>242</v>
      </c>
      <c r="EW18" s="408">
        <v>0</v>
      </c>
      <c r="EX18" s="408">
        <v>0</v>
      </c>
      <c r="EY18" s="408">
        <v>0</v>
      </c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1036</v>
      </c>
      <c r="C19" s="408" t="s">
        <v>2239</v>
      </c>
      <c r="D19" s="408" t="s">
        <v>597</v>
      </c>
      <c r="E19" s="408" t="s">
        <v>998</v>
      </c>
      <c r="F19" s="408" t="s">
        <v>1322</v>
      </c>
      <c r="G19" s="408" t="s">
        <v>1322</v>
      </c>
      <c r="H19" s="408" t="s">
        <v>1322</v>
      </c>
      <c r="I19" s="408" t="s">
        <v>2240</v>
      </c>
      <c r="J19" s="408" t="s">
        <v>2232</v>
      </c>
      <c r="K19" s="828">
        <v>44378</v>
      </c>
      <c r="L19" s="408">
        <v>0</v>
      </c>
      <c r="M19" s="408">
        <v>0</v>
      </c>
      <c r="N19" s="408">
        <v>57.792999999999999</v>
      </c>
      <c r="O19" s="408">
        <v>57.792999999999999</v>
      </c>
      <c r="P19" s="408">
        <v>57.792999999999999</v>
      </c>
      <c r="Q19" s="408">
        <v>57.792999999999999</v>
      </c>
      <c r="R19" s="408"/>
      <c r="S19" s="408">
        <v>80.27</v>
      </c>
      <c r="T19" s="408">
        <v>216.76</v>
      </c>
      <c r="U19" s="408"/>
      <c r="V19" s="408">
        <v>17166.254789999999</v>
      </c>
      <c r="W19" s="408">
        <v>17166.254789999999</v>
      </c>
      <c r="X19" s="408">
        <v>19029.501109999997</v>
      </c>
      <c r="Y19" s="408">
        <v>0</v>
      </c>
      <c r="Z19" s="408">
        <v>3047.4963700187627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12344.671537100396</v>
      </c>
      <c r="AG19" s="408">
        <v>182.47589193379125</v>
      </c>
      <c r="AH19" s="408">
        <v>0</v>
      </c>
      <c r="AI19" s="408">
        <v>0</v>
      </c>
      <c r="AJ19" s="408">
        <v>0</v>
      </c>
      <c r="AK19" s="408">
        <v>0</v>
      </c>
      <c r="AL19" s="408">
        <v>541.73041002972263</v>
      </c>
      <c r="AM19" s="408"/>
      <c r="AN19" s="408">
        <v>79.3626304024083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26.428663679807272</v>
      </c>
      <c r="BE19" s="408">
        <v>0</v>
      </c>
      <c r="BF19" s="408">
        <v>0</v>
      </c>
      <c r="BG19" s="408">
        <v>944.11551150598962</v>
      </c>
      <c r="BH19" s="408">
        <v>0</v>
      </c>
      <c r="BI19" s="408">
        <v>0</v>
      </c>
      <c r="BJ19" s="408">
        <v>0</v>
      </c>
      <c r="BK19" s="408">
        <v>0</v>
      </c>
      <c r="BL19" s="408">
        <v>0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13315.215712286194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19028.513299999999</v>
      </c>
      <c r="CJ19" s="408">
        <v>1862.2285100000008</v>
      </c>
      <c r="CK19" s="408"/>
      <c r="CL19" s="408"/>
      <c r="CM19" s="408"/>
      <c r="CN19" s="408"/>
      <c r="CO19" s="408">
        <v>-22.539270000000034</v>
      </c>
      <c r="CP19" s="408">
        <v>1885.7855899999997</v>
      </c>
      <c r="CQ19" s="408">
        <v>31</v>
      </c>
      <c r="CR19" s="408">
        <v>1863.3046296883003</v>
      </c>
      <c r="CS19" s="408">
        <v>0</v>
      </c>
      <c r="CT19" s="408">
        <v>0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0</v>
      </c>
      <c r="DA19" s="408">
        <v>0</v>
      </c>
      <c r="DB19" s="408">
        <v>0</v>
      </c>
      <c r="DC19" s="408">
        <v>1886.0279462969302</v>
      </c>
      <c r="DD19" s="408">
        <v>0</v>
      </c>
      <c r="DE19" s="408">
        <v>0</v>
      </c>
      <c r="DF19" s="408">
        <v>4.0377905668527916</v>
      </c>
      <c r="DG19" s="408">
        <v>144.24265837137136</v>
      </c>
      <c r="DH19" s="408">
        <v>0</v>
      </c>
      <c r="DI19" s="408">
        <v>-145.60083018619252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-21.951246191567748</v>
      </c>
      <c r="DP19" s="408">
        <v>-3.4516891690935267</v>
      </c>
      <c r="DQ19" s="408">
        <v>0</v>
      </c>
      <c r="DR19" s="408">
        <v>0</v>
      </c>
      <c r="DS19" s="408"/>
      <c r="DT19" s="408"/>
      <c r="DU19" s="408"/>
      <c r="DV19" s="408">
        <v>0</v>
      </c>
      <c r="DW19" s="408">
        <v>0</v>
      </c>
      <c r="DX19" s="408">
        <v>0</v>
      </c>
      <c r="DY19" s="408">
        <v>-22.539270000000215</v>
      </c>
      <c r="DZ19" s="234">
        <v>1885.7855899999995</v>
      </c>
      <c r="EA19" s="408">
        <v>0</v>
      </c>
      <c r="EB19" s="408">
        <v>0</v>
      </c>
      <c r="EC19" s="408">
        <v>0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242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1036</v>
      </c>
      <c r="C20" s="408" t="s">
        <v>2239</v>
      </c>
      <c r="D20" s="408" t="s">
        <v>597</v>
      </c>
      <c r="E20" s="408" t="s">
        <v>998</v>
      </c>
      <c r="F20" s="408" t="s">
        <v>1322</v>
      </c>
      <c r="G20" s="408" t="s">
        <v>1322</v>
      </c>
      <c r="H20" s="408" t="s">
        <v>1322</v>
      </c>
      <c r="I20" s="408" t="s">
        <v>1322</v>
      </c>
      <c r="J20" s="408" t="s">
        <v>2232</v>
      </c>
      <c r="K20" s="828">
        <v>44378</v>
      </c>
      <c r="L20" s="408">
        <v>883</v>
      </c>
      <c r="M20" s="408">
        <v>883</v>
      </c>
      <c r="N20" s="408">
        <v>0</v>
      </c>
      <c r="O20" s="408">
        <v>0</v>
      </c>
      <c r="P20" s="408">
        <v>0</v>
      </c>
      <c r="Q20" s="408">
        <v>0</v>
      </c>
      <c r="R20" s="408">
        <v>32.17</v>
      </c>
      <c r="S20" s="408"/>
      <c r="T20" s="408"/>
      <c r="U20" s="408">
        <v>28406.11</v>
      </c>
      <c r="V20" s="408"/>
      <c r="W20" s="408">
        <v>28406.11</v>
      </c>
      <c r="X20" s="408">
        <v>11417.19</v>
      </c>
      <c r="Y20" s="408">
        <v>0</v>
      </c>
      <c r="Z20" s="408">
        <v>0</v>
      </c>
      <c r="AA20" s="408">
        <v>0</v>
      </c>
      <c r="AB20" s="408">
        <v>0</v>
      </c>
      <c r="AC20" s="408">
        <v>0</v>
      </c>
      <c r="AD20" s="408">
        <v>88.22602679091618</v>
      </c>
      <c r="AE20" s="408">
        <v>23776.307383359319</v>
      </c>
      <c r="AF20" s="408"/>
      <c r="AG20" s="408"/>
      <c r="AH20" s="408"/>
      <c r="AI20" s="408">
        <v>0</v>
      </c>
      <c r="AJ20" s="408">
        <v>0</v>
      </c>
      <c r="AK20" s="408">
        <v>0</v>
      </c>
      <c r="AL20" s="408">
        <v>0</v>
      </c>
      <c r="AM20" s="408"/>
      <c r="AN20" s="408">
        <v>0</v>
      </c>
      <c r="AO20" s="408">
        <v>1557.9838369633237</v>
      </c>
      <c r="AP20" s="408">
        <v>2987.0699410885354</v>
      </c>
      <c r="AQ20" s="408">
        <v>0</v>
      </c>
      <c r="AR20" s="408">
        <v>0</v>
      </c>
      <c r="AS20" s="408"/>
      <c r="AT20" s="408"/>
      <c r="AU20" s="408">
        <v>0</v>
      </c>
      <c r="AV20" s="408">
        <v>0</v>
      </c>
      <c r="AW20" s="408">
        <v>0</v>
      </c>
      <c r="AX20" s="408"/>
      <c r="AY20" s="408"/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/>
      <c r="BG20" s="408">
        <v>0</v>
      </c>
      <c r="BH20" s="408">
        <v>0</v>
      </c>
      <c r="BI20" s="408">
        <v>289.87</v>
      </c>
      <c r="BJ20" s="408">
        <v>1329.51</v>
      </c>
      <c r="BK20" s="408">
        <v>18899.900000000001</v>
      </c>
      <c r="BL20" s="408">
        <v>8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0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11417.19</v>
      </c>
      <c r="CJ20" s="408">
        <v>-16988.949999999997</v>
      </c>
      <c r="CK20" s="408"/>
      <c r="CL20" s="408"/>
      <c r="CM20" s="408"/>
      <c r="CN20" s="408"/>
      <c r="CO20" s="408">
        <v>-16988.920000000002</v>
      </c>
      <c r="CP20" s="408">
        <v>0</v>
      </c>
      <c r="CQ20" s="408">
        <v>31</v>
      </c>
      <c r="CR20" s="408">
        <v>477.45552967819458</v>
      </c>
      <c r="CS20" s="408">
        <v>160.70840742353539</v>
      </c>
      <c r="CT20" s="408">
        <v>308.12081724204472</v>
      </c>
      <c r="CU20" s="408">
        <v>0</v>
      </c>
      <c r="CV20" s="408">
        <v>0</v>
      </c>
      <c r="CW20" s="408"/>
      <c r="CX20" s="408"/>
      <c r="CY20" s="408"/>
      <c r="CZ20" s="408">
        <v>8.6263050126149921</v>
      </c>
      <c r="DA20" s="408">
        <v>0</v>
      </c>
      <c r="DB20" s="408">
        <v>0</v>
      </c>
      <c r="DC20" s="408"/>
      <c r="DD20" s="408"/>
      <c r="DE20" s="408">
        <v>0</v>
      </c>
      <c r="DF20" s="408">
        <v>0</v>
      </c>
      <c r="DG20" s="408">
        <v>0</v>
      </c>
      <c r="DH20" s="408">
        <v>0</v>
      </c>
      <c r="DI20" s="408">
        <v>0</v>
      </c>
      <c r="DJ20" s="408"/>
      <c r="DK20" s="408">
        <v>0</v>
      </c>
      <c r="DL20" s="408">
        <v>0</v>
      </c>
      <c r="DM20" s="408"/>
      <c r="DN20" s="408">
        <v>0</v>
      </c>
      <c r="DO20" s="408">
        <v>0</v>
      </c>
      <c r="DP20" s="408">
        <v>0</v>
      </c>
      <c r="DQ20" s="408">
        <v>0</v>
      </c>
      <c r="DR20" s="408">
        <v>0</v>
      </c>
      <c r="DS20" s="408"/>
      <c r="DT20" s="408"/>
      <c r="DU20" s="408">
        <v>23776.307383359319</v>
      </c>
      <c r="DV20" s="408"/>
      <c r="DW20" s="408">
        <v>0</v>
      </c>
      <c r="DX20" s="408">
        <v>0</v>
      </c>
      <c r="DY20" s="408">
        <v>-16988.919999999998</v>
      </c>
      <c r="DZ20" s="234"/>
      <c r="EA20" s="408">
        <v>0</v>
      </c>
      <c r="EB20" s="408"/>
      <c r="EC20" s="408">
        <v>-17468.686456706571</v>
      </c>
      <c r="ED20" s="408"/>
      <c r="EE20" s="408">
        <v>0</v>
      </c>
      <c r="EF20" s="408">
        <v>0</v>
      </c>
      <c r="EG20" s="408"/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/>
      <c r="EN20" s="408"/>
      <c r="EO20" s="408">
        <v>0</v>
      </c>
      <c r="EP20" s="408">
        <v>0</v>
      </c>
      <c r="EQ20" s="408"/>
      <c r="ER20" s="408">
        <v>0</v>
      </c>
      <c r="ES20" s="408"/>
      <c r="ET20" s="408">
        <v>0</v>
      </c>
      <c r="EU20" s="408"/>
      <c r="EV20" s="408">
        <v>242</v>
      </c>
      <c r="EW20" s="408"/>
      <c r="EX20" s="408"/>
      <c r="EY20" s="408"/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1036</v>
      </c>
      <c r="C21" s="408" t="s">
        <v>2231</v>
      </c>
      <c r="D21" s="408" t="s">
        <v>2241</v>
      </c>
      <c r="E21" s="408" t="s">
        <v>974</v>
      </c>
      <c r="F21" s="408" t="s">
        <v>1322</v>
      </c>
      <c r="G21" s="408" t="s">
        <v>1322</v>
      </c>
      <c r="H21" s="408" t="s">
        <v>1322</v>
      </c>
      <c r="I21" s="408" t="s">
        <v>1322</v>
      </c>
      <c r="J21" s="408" t="s">
        <v>2232</v>
      </c>
      <c r="K21" s="828">
        <v>44378</v>
      </c>
      <c r="L21" s="408">
        <v>0</v>
      </c>
      <c r="M21" s="408">
        <v>0</v>
      </c>
      <c r="N21" s="408">
        <v>3180.0059999999999</v>
      </c>
      <c r="O21" s="408">
        <v>3180.0059999999999</v>
      </c>
      <c r="P21" s="408">
        <v>3180.0059999999999</v>
      </c>
      <c r="Q21" s="408">
        <v>3180.0059999999999</v>
      </c>
      <c r="R21" s="408"/>
      <c r="S21" s="408">
        <v>571.87</v>
      </c>
      <c r="T21" s="408">
        <v>216.76</v>
      </c>
      <c r="U21" s="408"/>
      <c r="V21" s="408">
        <v>2507848.1317799999</v>
      </c>
      <c r="W21" s="408">
        <v>2507848.1317799999</v>
      </c>
      <c r="X21" s="408">
        <v>1634554.8840599998</v>
      </c>
      <c r="Y21" s="408">
        <v>0</v>
      </c>
      <c r="Z21" s="408">
        <v>192742.12586374723</v>
      </c>
      <c r="AA21" s="408">
        <v>0</v>
      </c>
      <c r="AB21" s="408">
        <v>0</v>
      </c>
      <c r="AC21" s="408">
        <v>0</v>
      </c>
      <c r="AD21" s="408">
        <v>2613.6904959180565</v>
      </c>
      <c r="AE21" s="408">
        <v>1355902.6250441766</v>
      </c>
      <c r="AF21" s="408">
        <v>679254.0542281674</v>
      </c>
      <c r="AG21" s="408">
        <v>10040.566006346924</v>
      </c>
      <c r="AH21" s="408">
        <v>0</v>
      </c>
      <c r="AI21" s="408">
        <v>0</v>
      </c>
      <c r="AJ21" s="408">
        <v>0</v>
      </c>
      <c r="AK21" s="408">
        <v>0</v>
      </c>
      <c r="AL21" s="408">
        <v>29808.211276053815</v>
      </c>
      <c r="AM21" s="408"/>
      <c r="AN21" s="408">
        <v>6100.7446993906497</v>
      </c>
      <c r="AO21" s="408">
        <v>28243.852132333523</v>
      </c>
      <c r="AP21" s="408">
        <v>88490.361228224472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1892.3249680005515</v>
      </c>
      <c r="BE21" s="408">
        <v>0</v>
      </c>
      <c r="BF21" s="408">
        <v>0</v>
      </c>
      <c r="BG21" s="408">
        <v>112757.40789291482</v>
      </c>
      <c r="BH21" s="408">
        <v>0</v>
      </c>
      <c r="BI21" s="408">
        <v>7791.9</v>
      </c>
      <c r="BJ21" s="408">
        <v>35970.21</v>
      </c>
      <c r="BK21" s="408">
        <v>113483.66</v>
      </c>
      <c r="BL21" s="408">
        <v>10590</v>
      </c>
      <c r="BM21" s="408"/>
      <c r="BN21" s="408"/>
      <c r="BO21" s="408"/>
      <c r="BP21" s="408"/>
      <c r="BQ21" s="408"/>
      <c r="BR21" s="408">
        <v>196142.77007999993</v>
      </c>
      <c r="BS21" s="408"/>
      <c r="BT21" s="408"/>
      <c r="BU21" s="408"/>
      <c r="BV21" s="408">
        <v>793903.78708908276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1438413.9233000001</v>
      </c>
      <c r="CJ21" s="408">
        <v>-768510.27069999953</v>
      </c>
      <c r="CK21" s="408"/>
      <c r="CL21" s="408"/>
      <c r="CM21" s="408"/>
      <c r="CN21" s="408"/>
      <c r="CO21" s="408">
        <v>-977056.84349999996</v>
      </c>
      <c r="CP21" s="408">
        <v>103763.59577999997</v>
      </c>
      <c r="CQ21" s="408">
        <v>31</v>
      </c>
      <c r="CR21" s="408">
        <v>122908.20449372078</v>
      </c>
      <c r="CS21" s="408">
        <v>2913.396396037122</v>
      </c>
      <c r="CT21" s="408">
        <v>9127.9156355301529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255.55374356586844</v>
      </c>
      <c r="DA21" s="408">
        <v>0</v>
      </c>
      <c r="DB21" s="408">
        <v>0</v>
      </c>
      <c r="DC21" s="408">
        <v>103776.9312095223</v>
      </c>
      <c r="DD21" s="408">
        <v>0</v>
      </c>
      <c r="DE21" s="408">
        <v>0</v>
      </c>
      <c r="DF21" s="408">
        <v>289.11079265239323</v>
      </c>
      <c r="DG21" s="408">
        <v>17227.159248337237</v>
      </c>
      <c r="DH21" s="408">
        <v>0</v>
      </c>
      <c r="DI21" s="408">
        <v>-9208.6782493660576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-1207.8468775917936</v>
      </c>
      <c r="DP21" s="408">
        <v>-265.3374049665108</v>
      </c>
      <c r="DQ21" s="408">
        <v>0</v>
      </c>
      <c r="DR21" s="408">
        <v>0</v>
      </c>
      <c r="DS21" s="408"/>
      <c r="DT21" s="408"/>
      <c r="DU21" s="408"/>
      <c r="DV21" s="408">
        <v>1355902.6250441766</v>
      </c>
      <c r="DW21" s="408">
        <v>0</v>
      </c>
      <c r="DX21" s="408">
        <v>0</v>
      </c>
      <c r="DY21" s="408">
        <v>-977056.84350000008</v>
      </c>
      <c r="DZ21" s="234">
        <v>103763.59577999997</v>
      </c>
      <c r="EA21" s="408">
        <v>0</v>
      </c>
      <c r="EB21" s="408">
        <v>0</v>
      </c>
      <c r="EC21" s="408">
        <v>-996194.97009445145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242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2233</v>
      </c>
      <c r="C22" s="408" t="s">
        <v>2231</v>
      </c>
      <c r="D22" s="408" t="s">
        <v>2241</v>
      </c>
      <c r="E22" s="408" t="s">
        <v>974</v>
      </c>
      <c r="F22" s="408" t="s">
        <v>1322</v>
      </c>
      <c r="G22" s="408" t="s">
        <v>1322</v>
      </c>
      <c r="H22" s="408" t="s">
        <v>1322</v>
      </c>
      <c r="I22" s="408" t="s">
        <v>1322</v>
      </c>
      <c r="J22" s="408" t="s">
        <v>2232</v>
      </c>
      <c r="K22" s="828">
        <v>44378</v>
      </c>
      <c r="L22" s="408">
        <v>0</v>
      </c>
      <c r="M22" s="408">
        <v>0</v>
      </c>
      <c r="N22" s="408">
        <v>-2.7629999999999999</v>
      </c>
      <c r="O22" s="408">
        <v>-2.7629999999999999</v>
      </c>
      <c r="P22" s="408">
        <v>-2.7629999999999999</v>
      </c>
      <c r="Q22" s="408">
        <v>-2.7629999999999999</v>
      </c>
      <c r="R22" s="408"/>
      <c r="S22" s="408">
        <v>571.87</v>
      </c>
      <c r="T22" s="408">
        <v>216.76</v>
      </c>
      <c r="U22" s="408"/>
      <c r="V22" s="408">
        <v>-2178.9846900000002</v>
      </c>
      <c r="W22" s="408">
        <v>-2178.9846900000002</v>
      </c>
      <c r="X22" s="408">
        <v>-1420.2096299999998</v>
      </c>
      <c r="Y22" s="408">
        <v>0</v>
      </c>
      <c r="Z22" s="408">
        <v>-167.46713489268058</v>
      </c>
      <c r="AA22" s="408">
        <v>0</v>
      </c>
      <c r="AB22" s="408">
        <v>0</v>
      </c>
      <c r="AC22" s="408">
        <v>0</v>
      </c>
      <c r="AD22" s="408">
        <v>-2.2709475517409685</v>
      </c>
      <c r="AE22" s="408">
        <v>-1178.09807685805</v>
      </c>
      <c r="AF22" s="408">
        <v>-590.18094677570627</v>
      </c>
      <c r="AG22" s="408">
        <v>-8.7239092868178698</v>
      </c>
      <c r="AH22" s="408">
        <v>0</v>
      </c>
      <c r="AI22" s="408">
        <v>0</v>
      </c>
      <c r="AJ22" s="408">
        <v>0</v>
      </c>
      <c r="AK22" s="408">
        <v>0</v>
      </c>
      <c r="AL22" s="408">
        <v>-25.899349798628272</v>
      </c>
      <c r="AM22" s="408"/>
      <c r="AN22" s="408">
        <v>-5.3007313836566237</v>
      </c>
      <c r="AO22" s="408">
        <v>-24.540130880771144</v>
      </c>
      <c r="AP22" s="408">
        <v>-76.886291432652712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-1.6441773652582805</v>
      </c>
      <c r="BE22" s="408">
        <v>0</v>
      </c>
      <c r="BF22" s="408">
        <v>0</v>
      </c>
      <c r="BG22" s="408">
        <v>-97.97111011995689</v>
      </c>
      <c r="BH22" s="408">
        <v>0</v>
      </c>
      <c r="BI22" s="408">
        <v>-6.41</v>
      </c>
      <c r="BJ22" s="408">
        <v>-28.73</v>
      </c>
      <c r="BK22" s="408">
        <v>-230.81</v>
      </c>
      <c r="BL22" s="408">
        <v>0</v>
      </c>
      <c r="BM22" s="408"/>
      <c r="BN22" s="408"/>
      <c r="BO22" s="408"/>
      <c r="BP22" s="408"/>
      <c r="BQ22" s="408"/>
      <c r="BR22" s="408">
        <v>-170.42183999999992</v>
      </c>
      <c r="BS22" s="408"/>
      <c r="BT22" s="408"/>
      <c r="BU22" s="408"/>
      <c r="BV22" s="408">
        <v>-689.79623426092144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-1248.4307999999999</v>
      </c>
      <c r="CJ22" s="408">
        <v>669.0612000000001</v>
      </c>
      <c r="CK22" s="408"/>
      <c r="CL22" s="408"/>
      <c r="CM22" s="408"/>
      <c r="CN22" s="408"/>
      <c r="CO22" s="408">
        <v>848.93174999999997</v>
      </c>
      <c r="CP22" s="408">
        <v>-90.156689999999983</v>
      </c>
      <c r="CQ22" s="408">
        <v>31</v>
      </c>
      <c r="CR22" s="408">
        <v>-106.79079505389336</v>
      </c>
      <c r="CS22" s="408">
        <v>-2.5313519038173418</v>
      </c>
      <c r="CT22" s="408">
        <v>-7.9309381494782798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-0.22204203183028381</v>
      </c>
      <c r="DA22" s="408">
        <v>0</v>
      </c>
      <c r="DB22" s="408">
        <v>0</v>
      </c>
      <c r="DC22" s="408">
        <v>-90.168276705109975</v>
      </c>
      <c r="DD22" s="408">
        <v>0</v>
      </c>
      <c r="DE22" s="408">
        <v>0</v>
      </c>
      <c r="DF22" s="408">
        <v>-0.25119862041095598</v>
      </c>
      <c r="DG22" s="408">
        <v>-14.968097859927255</v>
      </c>
      <c r="DH22" s="408">
        <v>0</v>
      </c>
      <c r="DI22" s="408">
        <v>8.0011100617415138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1.049457429572815</v>
      </c>
      <c r="DP22" s="408">
        <v>0.23054272536670339</v>
      </c>
      <c r="DQ22" s="408">
        <v>0</v>
      </c>
      <c r="DR22" s="408">
        <v>0</v>
      </c>
      <c r="DS22" s="408"/>
      <c r="DT22" s="408"/>
      <c r="DU22" s="408"/>
      <c r="DV22" s="408">
        <v>-1178.09807685805</v>
      </c>
      <c r="DW22" s="408">
        <v>0</v>
      </c>
      <c r="DX22" s="408">
        <v>0</v>
      </c>
      <c r="DY22" s="408">
        <v>848.93175000000008</v>
      </c>
      <c r="DZ22" s="234">
        <v>-90.156689999999912</v>
      </c>
      <c r="EA22" s="408">
        <v>0</v>
      </c>
      <c r="EB22" s="408">
        <v>0</v>
      </c>
      <c r="EC22" s="408">
        <v>865.56022295900368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242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2234</v>
      </c>
      <c r="C23" s="408" t="s">
        <v>2231</v>
      </c>
      <c r="D23" s="408" t="s">
        <v>2241</v>
      </c>
      <c r="E23" s="408" t="s">
        <v>974</v>
      </c>
      <c r="F23" s="408" t="s">
        <v>1322</v>
      </c>
      <c r="G23" s="408" t="s">
        <v>1322</v>
      </c>
      <c r="H23" s="408" t="s">
        <v>1322</v>
      </c>
      <c r="I23" s="408" t="s">
        <v>1322</v>
      </c>
      <c r="J23" s="408" t="s">
        <v>2232</v>
      </c>
      <c r="K23" s="828">
        <v>44378</v>
      </c>
      <c r="L23" s="408">
        <v>0</v>
      </c>
      <c r="M23" s="408">
        <v>0</v>
      </c>
      <c r="N23" s="408">
        <v>38.567</v>
      </c>
      <c r="O23" s="408">
        <v>38.567</v>
      </c>
      <c r="P23" s="408">
        <v>38.567</v>
      </c>
      <c r="Q23" s="408">
        <v>38.567</v>
      </c>
      <c r="R23" s="408"/>
      <c r="S23" s="408">
        <v>571.87</v>
      </c>
      <c r="T23" s="408">
        <v>216.76</v>
      </c>
      <c r="U23" s="408"/>
      <c r="V23" s="408">
        <v>30415.093209999999</v>
      </c>
      <c r="W23" s="408">
        <v>30415.093209999999</v>
      </c>
      <c r="X23" s="408">
        <v>19823.823669999998</v>
      </c>
      <c r="Y23" s="408">
        <v>0</v>
      </c>
      <c r="Z23" s="408">
        <v>2337.5696675374638</v>
      </c>
      <c r="AA23" s="408">
        <v>0</v>
      </c>
      <c r="AB23" s="408">
        <v>0</v>
      </c>
      <c r="AC23" s="408">
        <v>0</v>
      </c>
      <c r="AD23" s="408">
        <v>31.698745648930124</v>
      </c>
      <c r="AE23" s="408">
        <v>16444.338954102212</v>
      </c>
      <c r="AF23" s="408">
        <v>8237.9690822651701</v>
      </c>
      <c r="AG23" s="408">
        <v>121.77162847075817</v>
      </c>
      <c r="AH23" s="408">
        <v>0</v>
      </c>
      <c r="AI23" s="408">
        <v>0</v>
      </c>
      <c r="AJ23" s="408">
        <v>0</v>
      </c>
      <c r="AK23" s="408">
        <v>0</v>
      </c>
      <c r="AL23" s="408">
        <v>361.51292931006031</v>
      </c>
      <c r="AM23" s="408"/>
      <c r="AN23" s="408">
        <v>73.989615372234894</v>
      </c>
      <c r="AO23" s="408">
        <v>342.54043708964923</v>
      </c>
      <c r="AP23" s="408">
        <v>1073.2079629689169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22.950050107099567</v>
      </c>
      <c r="BE23" s="408">
        <v>0</v>
      </c>
      <c r="BF23" s="408">
        <v>0</v>
      </c>
      <c r="BG23" s="408">
        <v>1367.5178443707484</v>
      </c>
      <c r="BH23" s="408">
        <v>0</v>
      </c>
      <c r="BI23" s="408">
        <v>90.16</v>
      </c>
      <c r="BJ23" s="408">
        <v>415.56</v>
      </c>
      <c r="BK23" s="408">
        <v>765.44</v>
      </c>
      <c r="BL23" s="408">
        <v>94</v>
      </c>
      <c r="BM23" s="408"/>
      <c r="BN23" s="408"/>
      <c r="BO23" s="408"/>
      <c r="BP23" s="408"/>
      <c r="BQ23" s="408"/>
      <c r="BR23" s="408">
        <v>2378.8125599999994</v>
      </c>
      <c r="BS23" s="408"/>
      <c r="BT23" s="408"/>
      <c r="BU23" s="408"/>
      <c r="BV23" s="408">
        <v>9628.436976743018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17446.3681</v>
      </c>
      <c r="CJ23" s="408">
        <v>-9319.1598999999951</v>
      </c>
      <c r="CK23" s="408"/>
      <c r="CL23" s="408"/>
      <c r="CM23" s="408"/>
      <c r="CN23" s="408"/>
      <c r="CO23" s="408">
        <v>-11849.71075</v>
      </c>
      <c r="CP23" s="408">
        <v>1258.4412099999997</v>
      </c>
      <c r="CQ23" s="408">
        <v>31</v>
      </c>
      <c r="CR23" s="408">
        <v>1490.6263455821536</v>
      </c>
      <c r="CS23" s="408">
        <v>35.333568177532868</v>
      </c>
      <c r="CT23" s="408">
        <v>110.70303713750582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3.0993467396303167</v>
      </c>
      <c r="DA23" s="408">
        <v>0</v>
      </c>
      <c r="DB23" s="408">
        <v>0</v>
      </c>
      <c r="DC23" s="408">
        <v>1258.602941616351</v>
      </c>
      <c r="DD23" s="408">
        <v>0</v>
      </c>
      <c r="DE23" s="408">
        <v>0</v>
      </c>
      <c r="DF23" s="408">
        <v>3.5063254409661013</v>
      </c>
      <c r="DG23" s="408">
        <v>208.93037646174957</v>
      </c>
      <c r="DH23" s="408">
        <v>0</v>
      </c>
      <c r="DI23" s="408">
        <v>-111.68252325413914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-14.648724099288756</v>
      </c>
      <c r="DP23" s="408">
        <v>-3.2180026381533366</v>
      </c>
      <c r="DQ23" s="408">
        <v>0</v>
      </c>
      <c r="DR23" s="408">
        <v>0</v>
      </c>
      <c r="DS23" s="408"/>
      <c r="DT23" s="408"/>
      <c r="DU23" s="408"/>
      <c r="DV23" s="408">
        <v>16444.338954102212</v>
      </c>
      <c r="DW23" s="408">
        <v>0</v>
      </c>
      <c r="DX23" s="408">
        <v>0</v>
      </c>
      <c r="DY23" s="408">
        <v>-11849.71075</v>
      </c>
      <c r="DZ23" s="234">
        <v>1258.441209999999</v>
      </c>
      <c r="EA23" s="408">
        <v>0</v>
      </c>
      <c r="EB23" s="408">
        <v>0</v>
      </c>
      <c r="EC23" s="408">
        <v>-12081.817270669522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242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1036</v>
      </c>
      <c r="C24" s="408" t="s">
        <v>2231</v>
      </c>
      <c r="D24" s="408" t="s">
        <v>1955</v>
      </c>
      <c r="E24" s="408" t="s">
        <v>2242</v>
      </c>
      <c r="F24" s="408" t="s">
        <v>1322</v>
      </c>
      <c r="G24" s="408" t="s">
        <v>1322</v>
      </c>
      <c r="H24" s="408" t="s">
        <v>1322</v>
      </c>
      <c r="I24" s="408" t="s">
        <v>1322</v>
      </c>
      <c r="J24" s="408" t="s">
        <v>2232</v>
      </c>
      <c r="K24" s="828">
        <v>44378</v>
      </c>
      <c r="L24" s="408">
        <v>0</v>
      </c>
      <c r="M24" s="408">
        <v>0</v>
      </c>
      <c r="N24" s="408">
        <v>31.838000000000001</v>
      </c>
      <c r="O24" s="408">
        <v>31.838000000000001</v>
      </c>
      <c r="P24" s="408">
        <v>31.838000000000001</v>
      </c>
      <c r="Q24" s="408">
        <v>31.838000000000001</v>
      </c>
      <c r="R24" s="408"/>
      <c r="S24" s="408">
        <v>571.87</v>
      </c>
      <c r="T24" s="408">
        <v>216.76</v>
      </c>
      <c r="U24" s="408"/>
      <c r="V24" s="408">
        <v>25108.401940000003</v>
      </c>
      <c r="W24" s="408">
        <v>25108.401940000003</v>
      </c>
      <c r="X24" s="408">
        <v>16365.050380000001</v>
      </c>
      <c r="Y24" s="408">
        <v>0</v>
      </c>
      <c r="Z24" s="408">
        <v>1929.7208254481234</v>
      </c>
      <c r="AA24" s="408">
        <v>0</v>
      </c>
      <c r="AB24" s="408">
        <v>0</v>
      </c>
      <c r="AC24" s="408">
        <v>0</v>
      </c>
      <c r="AD24" s="408">
        <v>26.168088364939905</v>
      </c>
      <c r="AE24" s="408">
        <v>13575.203246835539</v>
      </c>
      <c r="AF24" s="408">
        <v>6800.6445832229228</v>
      </c>
      <c r="AG24" s="408">
        <v>100.52545199917024</v>
      </c>
      <c r="AH24" s="408">
        <v>0</v>
      </c>
      <c r="AI24" s="408">
        <v>0</v>
      </c>
      <c r="AJ24" s="408">
        <v>0</v>
      </c>
      <c r="AK24" s="408">
        <v>0</v>
      </c>
      <c r="AL24" s="408">
        <v>298.43774842154431</v>
      </c>
      <c r="AM24" s="408"/>
      <c r="AN24" s="408">
        <v>61.080233728867029</v>
      </c>
      <c r="AO24" s="408">
        <v>282.7754929359362</v>
      </c>
      <c r="AP24" s="408">
        <v>885.95937265030659</v>
      </c>
      <c r="AQ24" s="408">
        <v>0</v>
      </c>
      <c r="AR24" s="408">
        <v>0</v>
      </c>
      <c r="AS24" s="408">
        <v>0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  <c r="AY24" s="408">
        <v>0</v>
      </c>
      <c r="AZ24" s="408">
        <v>0</v>
      </c>
      <c r="BA24" s="408"/>
      <c r="BB24" s="408">
        <v>0</v>
      </c>
      <c r="BC24" s="408">
        <v>0</v>
      </c>
      <c r="BD24" s="408">
        <v>18.945826621459695</v>
      </c>
      <c r="BE24" s="408">
        <v>0</v>
      </c>
      <c r="BF24" s="408">
        <v>0</v>
      </c>
      <c r="BG24" s="408">
        <v>1128.9193644586276</v>
      </c>
      <c r="BH24" s="408">
        <v>0</v>
      </c>
      <c r="BI24" s="408">
        <v>122.74</v>
      </c>
      <c r="BJ24" s="408">
        <v>565.48</v>
      </c>
      <c r="BK24" s="408">
        <v>7546.26</v>
      </c>
      <c r="BL24" s="408">
        <v>105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7948.5097743030101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16366.078399999999</v>
      </c>
      <c r="CJ24" s="408">
        <v>-8742.3535400000001</v>
      </c>
      <c r="CK24" s="408"/>
      <c r="CL24" s="408"/>
      <c r="CM24" s="408"/>
      <c r="CN24" s="408"/>
      <c r="CO24" s="408">
        <v>-9782.2255000000005</v>
      </c>
      <c r="CP24" s="408">
        <v>1038.8739399999999</v>
      </c>
      <c r="CQ24" s="408">
        <v>31</v>
      </c>
      <c r="CR24" s="408">
        <v>1230.5484375410197</v>
      </c>
      <c r="CS24" s="408">
        <v>29.168723095814926</v>
      </c>
      <c r="CT24" s="408">
        <v>91.388059646431202</v>
      </c>
      <c r="CU24" s="408">
        <v>0</v>
      </c>
      <c r="CV24" s="408">
        <v>0</v>
      </c>
      <c r="CW24" s="408">
        <v>0</v>
      </c>
      <c r="CX24" s="408">
        <v>0</v>
      </c>
      <c r="CY24" s="408">
        <v>0</v>
      </c>
      <c r="CZ24" s="408">
        <v>2.5585863950099821</v>
      </c>
      <c r="DA24" s="408">
        <v>0</v>
      </c>
      <c r="DB24" s="408">
        <v>0</v>
      </c>
      <c r="DC24" s="408">
        <v>1039.0074533975003</v>
      </c>
      <c r="DD24" s="408">
        <v>0</v>
      </c>
      <c r="DE24" s="408">
        <v>0</v>
      </c>
      <c r="DF24" s="408">
        <v>2.8945572481520152</v>
      </c>
      <c r="DG24" s="408">
        <v>172.47712619050435</v>
      </c>
      <c r="DH24" s="408">
        <v>0</v>
      </c>
      <c r="DI24" s="408">
        <v>-92.19664934698767</v>
      </c>
      <c r="DJ24" s="408"/>
      <c r="DK24" s="408">
        <v>0</v>
      </c>
      <c r="DL24" s="408">
        <v>0</v>
      </c>
      <c r="DM24" s="408">
        <v>0</v>
      </c>
      <c r="DN24" s="408">
        <v>0</v>
      </c>
      <c r="DO24" s="408">
        <v>-12.092879349525617</v>
      </c>
      <c r="DP24" s="408">
        <v>-2.6565397358759029</v>
      </c>
      <c r="DQ24" s="408">
        <v>0</v>
      </c>
      <c r="DR24" s="408">
        <v>0</v>
      </c>
      <c r="DS24" s="408"/>
      <c r="DT24" s="408"/>
      <c r="DU24" s="408"/>
      <c r="DV24" s="408">
        <v>13575.203246835539</v>
      </c>
      <c r="DW24" s="408">
        <v>0</v>
      </c>
      <c r="DX24" s="408">
        <v>0</v>
      </c>
      <c r="DY24" s="408">
        <v>-9782.2255000000023</v>
      </c>
      <c r="DZ24" s="234">
        <v>1038.8739399999995</v>
      </c>
      <c r="EA24" s="408">
        <v>0</v>
      </c>
      <c r="EB24" s="408">
        <v>0</v>
      </c>
      <c r="EC24" s="408">
        <v>-9973.8350990114941</v>
      </c>
      <c r="ED24" s="408">
        <v>0</v>
      </c>
      <c r="EE24" s="408">
        <v>0</v>
      </c>
      <c r="EF24" s="408">
        <v>0</v>
      </c>
      <c r="EG24" s="408">
        <v>0</v>
      </c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>
        <v>0</v>
      </c>
      <c r="EN24" s="408">
        <v>0</v>
      </c>
      <c r="EO24" s="408">
        <v>0</v>
      </c>
      <c r="EP24" s="408">
        <v>0</v>
      </c>
      <c r="EQ24" s="408">
        <v>0</v>
      </c>
      <c r="ER24" s="408">
        <v>0</v>
      </c>
      <c r="ES24" s="408">
        <v>0</v>
      </c>
      <c r="ET24" s="408">
        <v>0</v>
      </c>
      <c r="EU24" s="408">
        <v>0</v>
      </c>
      <c r="EV24" s="408">
        <v>242</v>
      </c>
      <c r="EW24" s="408">
        <v>0</v>
      </c>
      <c r="EX24" s="408">
        <v>0</v>
      </c>
      <c r="EY24" s="408">
        <v>0</v>
      </c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2234</v>
      </c>
      <c r="C25" s="408" t="s">
        <v>2231</v>
      </c>
      <c r="D25" s="408" t="s">
        <v>1955</v>
      </c>
      <c r="E25" s="408" t="s">
        <v>2242</v>
      </c>
      <c r="F25" s="408" t="s">
        <v>1322</v>
      </c>
      <c r="G25" s="408" t="s">
        <v>1322</v>
      </c>
      <c r="H25" s="408" t="s">
        <v>1322</v>
      </c>
      <c r="I25" s="408" t="s">
        <v>1322</v>
      </c>
      <c r="J25" s="408" t="s">
        <v>2232</v>
      </c>
      <c r="K25" s="828">
        <v>44378</v>
      </c>
      <c r="L25" s="408">
        <v>0</v>
      </c>
      <c r="M25" s="408">
        <v>0</v>
      </c>
      <c r="N25" s="408">
        <v>0.1</v>
      </c>
      <c r="O25" s="408">
        <v>0.1</v>
      </c>
      <c r="P25" s="408">
        <v>0.1</v>
      </c>
      <c r="Q25" s="408">
        <v>0.1</v>
      </c>
      <c r="R25" s="408"/>
      <c r="S25" s="408">
        <v>571.87</v>
      </c>
      <c r="T25" s="408">
        <v>216.76</v>
      </c>
      <c r="U25" s="408"/>
      <c r="V25" s="408">
        <v>78.863</v>
      </c>
      <c r="W25" s="408">
        <v>78.863</v>
      </c>
      <c r="X25" s="408">
        <v>51.401000000000003</v>
      </c>
      <c r="Y25" s="408">
        <v>0</v>
      </c>
      <c r="Z25" s="408">
        <v>6.0610617044039303</v>
      </c>
      <c r="AA25" s="408">
        <v>0</v>
      </c>
      <c r="AB25" s="408">
        <v>0</v>
      </c>
      <c r="AC25" s="408">
        <v>0</v>
      </c>
      <c r="AD25" s="408">
        <v>8.2191369950813206E-2</v>
      </c>
      <c r="AE25" s="408">
        <v>42.638366878684401</v>
      </c>
      <c r="AF25" s="408">
        <v>21.360150082363603</v>
      </c>
      <c r="AG25" s="408">
        <v>0.31574047364523605</v>
      </c>
      <c r="AH25" s="408">
        <v>0</v>
      </c>
      <c r="AI25" s="408">
        <v>0</v>
      </c>
      <c r="AJ25" s="408">
        <v>0</v>
      </c>
      <c r="AK25" s="408">
        <v>0</v>
      </c>
      <c r="AL25" s="408">
        <v>0.93736336585697699</v>
      </c>
      <c r="AM25" s="408"/>
      <c r="AN25" s="408">
        <v>0.19184695561551302</v>
      </c>
      <c r="AO25" s="408">
        <v>0.88816977491028393</v>
      </c>
      <c r="AP25" s="408">
        <v>2.7827105114966599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5.9506962188139001E-2</v>
      </c>
      <c r="BE25" s="408">
        <v>0</v>
      </c>
      <c r="BF25" s="408">
        <v>0</v>
      </c>
      <c r="BG25" s="408">
        <v>3.5458237466506297</v>
      </c>
      <c r="BH25" s="408">
        <v>0</v>
      </c>
      <c r="BI25" s="408">
        <v>0.4</v>
      </c>
      <c r="BJ25" s="408">
        <v>1.83</v>
      </c>
      <c r="BK25" s="408">
        <v>133.93</v>
      </c>
      <c r="BL25" s="408">
        <v>1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>
        <v>24.965480791202371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51.401000000000003</v>
      </c>
      <c r="CJ25" s="408">
        <v>-27.492000000000012</v>
      </c>
      <c r="CK25" s="408"/>
      <c r="CL25" s="408"/>
      <c r="CM25" s="408"/>
      <c r="CN25" s="408"/>
      <c r="CO25" s="408">
        <v>-30.725000000000001</v>
      </c>
      <c r="CP25" s="408">
        <v>3.2629999999999999</v>
      </c>
      <c r="CQ25" s="408">
        <v>31</v>
      </c>
      <c r="CR25" s="408">
        <v>3.8650305846504907</v>
      </c>
      <c r="CS25" s="408">
        <v>9.1616066008590069E-2</v>
      </c>
      <c r="CT25" s="408">
        <v>0.28704083060001029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8.0362660814434911E-3</v>
      </c>
      <c r="DA25" s="408">
        <v>0</v>
      </c>
      <c r="DB25" s="408">
        <v>0</v>
      </c>
      <c r="DC25" s="408">
        <v>3.2634193523383992</v>
      </c>
      <c r="DD25" s="408">
        <v>0</v>
      </c>
      <c r="DE25" s="408">
        <v>0</v>
      </c>
      <c r="DF25" s="408">
        <v>9.0915172063320976E-3</v>
      </c>
      <c r="DG25" s="408">
        <v>0.5417335454190102</v>
      </c>
      <c r="DH25" s="408">
        <v>0</v>
      </c>
      <c r="DI25" s="408">
        <v>-0.28958053064572997</v>
      </c>
      <c r="DJ25" s="408"/>
      <c r="DK25" s="408">
        <v>0</v>
      </c>
      <c r="DL25" s="408">
        <v>0</v>
      </c>
      <c r="DM25" s="408">
        <v>0</v>
      </c>
      <c r="DN25" s="408">
        <v>0</v>
      </c>
      <c r="DO25" s="408">
        <v>-3.7982534548418934E-2</v>
      </c>
      <c r="DP25" s="408">
        <v>-8.3439278091460012E-3</v>
      </c>
      <c r="DQ25" s="408">
        <v>0</v>
      </c>
      <c r="DR25" s="408">
        <v>0</v>
      </c>
      <c r="DS25" s="408"/>
      <c r="DT25" s="408"/>
      <c r="DU25" s="408"/>
      <c r="DV25" s="408">
        <v>42.638366878684401</v>
      </c>
      <c r="DW25" s="408">
        <v>0</v>
      </c>
      <c r="DX25" s="408">
        <v>0</v>
      </c>
      <c r="DY25" s="408">
        <v>-30.725000000000001</v>
      </c>
      <c r="DZ25" s="234">
        <v>3.2629999999999981</v>
      </c>
      <c r="EA25" s="408">
        <v>0</v>
      </c>
      <c r="EB25" s="408">
        <v>0</v>
      </c>
      <c r="EC25" s="408">
        <v>-31.326826744806503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242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1036</v>
      </c>
      <c r="C26" s="408" t="s">
        <v>2239</v>
      </c>
      <c r="D26" s="408" t="s">
        <v>597</v>
      </c>
      <c r="E26" s="408" t="s">
        <v>2242</v>
      </c>
      <c r="F26" s="408" t="s">
        <v>1322</v>
      </c>
      <c r="G26" s="408" t="s">
        <v>1322</v>
      </c>
      <c r="H26" s="408" t="s">
        <v>1322</v>
      </c>
      <c r="I26" s="408" t="s">
        <v>973</v>
      </c>
      <c r="J26" s="408" t="s">
        <v>2232</v>
      </c>
      <c r="K26" s="828">
        <v>44378</v>
      </c>
      <c r="L26" s="408">
        <v>0</v>
      </c>
      <c r="M26" s="408">
        <v>0</v>
      </c>
      <c r="N26" s="408">
        <v>1.246</v>
      </c>
      <c r="O26" s="408">
        <v>1.246</v>
      </c>
      <c r="P26" s="408">
        <v>1.246</v>
      </c>
      <c r="Q26" s="408">
        <v>1.246</v>
      </c>
      <c r="R26" s="408"/>
      <c r="S26" s="408">
        <v>2592.54</v>
      </c>
      <c r="T26" s="408">
        <v>216.76</v>
      </c>
      <c r="U26" s="408"/>
      <c r="V26" s="408">
        <v>3500.3878</v>
      </c>
      <c r="W26" s="408">
        <v>3500.3878</v>
      </c>
      <c r="X26" s="408">
        <v>1471.7751999999998</v>
      </c>
      <c r="Y26" s="408">
        <v>0</v>
      </c>
      <c r="Z26" s="408">
        <v>65.703121088079499</v>
      </c>
      <c r="AA26" s="408">
        <v>0</v>
      </c>
      <c r="AB26" s="408">
        <v>0</v>
      </c>
      <c r="AC26" s="408">
        <v>0</v>
      </c>
      <c r="AD26" s="408">
        <v>6.3005674680051209</v>
      </c>
      <c r="AE26" s="408">
        <v>2854.4508144996321</v>
      </c>
      <c r="AF26" s="408">
        <v>266.14747002625046</v>
      </c>
      <c r="AG26" s="408">
        <v>3.9341263016196408</v>
      </c>
      <c r="AH26" s="408">
        <v>0</v>
      </c>
      <c r="AI26" s="408">
        <v>0</v>
      </c>
      <c r="AJ26" s="408">
        <v>0</v>
      </c>
      <c r="AK26" s="408">
        <v>0</v>
      </c>
      <c r="AL26" s="408">
        <v>11.679547538577932</v>
      </c>
      <c r="AM26" s="408"/>
      <c r="AN26" s="408">
        <v>1.7110348568408067</v>
      </c>
      <c r="AO26" s="408">
        <v>56.213129939877426</v>
      </c>
      <c r="AP26" s="408">
        <v>213.31613291056004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0.56979417827487522</v>
      </c>
      <c r="BE26" s="408">
        <v>0</v>
      </c>
      <c r="BF26" s="408">
        <v>0</v>
      </c>
      <c r="BG26" s="408">
        <v>20.35485140651053</v>
      </c>
      <c r="BH26" s="408">
        <v>0</v>
      </c>
      <c r="BI26" s="408">
        <v>0</v>
      </c>
      <c r="BJ26" s="408">
        <v>0</v>
      </c>
      <c r="BK26" s="408">
        <v>0</v>
      </c>
      <c r="BL26" s="408">
        <v>0</v>
      </c>
      <c r="BM26" s="408"/>
      <c r="BN26" s="408"/>
      <c r="BO26" s="408"/>
      <c r="BP26" s="408"/>
      <c r="BQ26" s="408"/>
      <c r="BR26" s="408"/>
      <c r="BS26" s="408"/>
      <c r="BT26" s="408"/>
      <c r="BU26" s="408"/>
      <c r="BV26" s="408">
        <v>287.07211561103588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1476.4999999999998</v>
      </c>
      <c r="CJ26" s="408">
        <v>-2023.9178000000009</v>
      </c>
      <c r="CK26" s="408"/>
      <c r="CL26" s="408"/>
      <c r="CM26" s="408"/>
      <c r="CN26" s="408"/>
      <c r="CO26" s="408">
        <v>-2069.2695800000001</v>
      </c>
      <c r="CP26" s="408">
        <v>40.656979999999997</v>
      </c>
      <c r="CQ26" s="408">
        <v>31</v>
      </c>
      <c r="CR26" s="408">
        <v>68.5906897711792</v>
      </c>
      <c r="CS26" s="408">
        <v>5.7984700319726983</v>
      </c>
      <c r="CT26" s="408">
        <v>22.003884240942625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0.6160383586169349</v>
      </c>
      <c r="DA26" s="408">
        <v>0</v>
      </c>
      <c r="DB26" s="408">
        <v>0</v>
      </c>
      <c r="DC26" s="408">
        <v>40.662205130136442</v>
      </c>
      <c r="DD26" s="408">
        <v>0</v>
      </c>
      <c r="DE26" s="408">
        <v>0</v>
      </c>
      <c r="DF26" s="408">
        <v>8.7053571302728283E-2</v>
      </c>
      <c r="DG26" s="408">
        <v>3.1098290853689683</v>
      </c>
      <c r="DH26" s="408">
        <v>0</v>
      </c>
      <c r="DI26" s="408">
        <v>-3.139110868305778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-0.47326238047329916</v>
      </c>
      <c r="DP26" s="408">
        <v>-7.4417398381993127E-2</v>
      </c>
      <c r="DQ26" s="408">
        <v>0</v>
      </c>
      <c r="DR26" s="408">
        <v>0</v>
      </c>
      <c r="DS26" s="408"/>
      <c r="DT26" s="408"/>
      <c r="DU26" s="408"/>
      <c r="DV26" s="408">
        <v>2854.4508144996321</v>
      </c>
      <c r="DW26" s="408">
        <v>0</v>
      </c>
      <c r="DX26" s="408">
        <v>0</v>
      </c>
      <c r="DY26" s="408">
        <v>-2069.2695800000001</v>
      </c>
      <c r="DZ26" s="234">
        <v>40.656979999999976</v>
      </c>
      <c r="EA26" s="408">
        <v>0</v>
      </c>
      <c r="EB26" s="408">
        <v>0</v>
      </c>
      <c r="EC26" s="408">
        <v>-2097.1930367742279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242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1036</v>
      </c>
      <c r="C27" s="408" t="s">
        <v>2239</v>
      </c>
      <c r="D27" s="408" t="s">
        <v>597</v>
      </c>
      <c r="E27" s="408" t="s">
        <v>2242</v>
      </c>
      <c r="F27" s="408" t="s">
        <v>1322</v>
      </c>
      <c r="G27" s="408" t="s">
        <v>1322</v>
      </c>
      <c r="H27" s="408" t="s">
        <v>1322</v>
      </c>
      <c r="I27" s="408" t="s">
        <v>2240</v>
      </c>
      <c r="J27" s="408" t="s">
        <v>2232</v>
      </c>
      <c r="K27" s="828">
        <v>44378</v>
      </c>
      <c r="L27" s="408">
        <v>0</v>
      </c>
      <c r="M27" s="408">
        <v>0</v>
      </c>
      <c r="N27" s="408">
        <v>10.206</v>
      </c>
      <c r="O27" s="408">
        <v>10.206</v>
      </c>
      <c r="P27" s="408">
        <v>10.206</v>
      </c>
      <c r="Q27" s="408">
        <v>10.206</v>
      </c>
      <c r="R27" s="408"/>
      <c r="S27" s="408">
        <v>80.27</v>
      </c>
      <c r="T27" s="408">
        <v>216.76</v>
      </c>
      <c r="U27" s="408"/>
      <c r="V27" s="408">
        <v>3031.4881799999998</v>
      </c>
      <c r="W27" s="408">
        <v>3031.4881799999998</v>
      </c>
      <c r="X27" s="408">
        <v>3360.5296199999998</v>
      </c>
      <c r="Y27" s="408">
        <v>0</v>
      </c>
      <c r="Z27" s="408">
        <v>538.17500306977468</v>
      </c>
      <c r="AA27" s="408">
        <v>0</v>
      </c>
      <c r="AB27" s="408">
        <v>0</v>
      </c>
      <c r="AC27" s="408">
        <v>0</v>
      </c>
      <c r="AD27" s="408">
        <v>0</v>
      </c>
      <c r="AE27" s="408">
        <v>0</v>
      </c>
      <c r="AF27" s="408">
        <v>2180.0169174060288</v>
      </c>
      <c r="AG27" s="408">
        <v>32.224472740232784</v>
      </c>
      <c r="AH27" s="408">
        <v>0</v>
      </c>
      <c r="AI27" s="408">
        <v>0</v>
      </c>
      <c r="AJ27" s="408">
        <v>0</v>
      </c>
      <c r="AK27" s="408">
        <v>0</v>
      </c>
      <c r="AL27" s="408">
        <v>95.667305119363064</v>
      </c>
      <c r="AM27" s="408"/>
      <c r="AN27" s="408">
        <v>14.015105737493798</v>
      </c>
      <c r="AO27" s="408">
        <v>0</v>
      </c>
      <c r="AP27" s="408">
        <v>0</v>
      </c>
      <c r="AQ27" s="408">
        <v>0</v>
      </c>
      <c r="AR27" s="408">
        <v>0</v>
      </c>
      <c r="AS27" s="408">
        <v>0</v>
      </c>
      <c r="AT27" s="408">
        <v>0</v>
      </c>
      <c r="AU27" s="408">
        <v>0</v>
      </c>
      <c r="AV27" s="408">
        <v>0</v>
      </c>
      <c r="AW27" s="408">
        <v>0</v>
      </c>
      <c r="AX27" s="408">
        <v>0</v>
      </c>
      <c r="AY27" s="408">
        <v>0</v>
      </c>
      <c r="AZ27" s="408">
        <v>0</v>
      </c>
      <c r="BA27" s="408"/>
      <c r="BB27" s="408">
        <v>0</v>
      </c>
      <c r="BC27" s="408">
        <v>0</v>
      </c>
      <c r="BD27" s="408">
        <v>4.6671905164312806</v>
      </c>
      <c r="BE27" s="408">
        <v>0</v>
      </c>
      <c r="BF27" s="408">
        <v>0</v>
      </c>
      <c r="BG27" s="408">
        <v>166.72681657692331</v>
      </c>
      <c r="BH27" s="408">
        <v>0</v>
      </c>
      <c r="BI27" s="408">
        <v>0</v>
      </c>
      <c r="BJ27" s="408">
        <v>0</v>
      </c>
      <c r="BK27" s="408">
        <v>0</v>
      </c>
      <c r="BL27" s="408">
        <v>0</v>
      </c>
      <c r="BM27" s="408"/>
      <c r="BN27" s="408"/>
      <c r="BO27" s="408"/>
      <c r="BP27" s="408"/>
      <c r="BQ27" s="408"/>
      <c r="BR27" s="408"/>
      <c r="BS27" s="408"/>
      <c r="BT27" s="408"/>
      <c r="BU27" s="408"/>
      <c r="BV27" s="408">
        <v>2351.4109244993833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3361.8467000000001</v>
      </c>
      <c r="CJ27" s="408">
        <v>330.32852000000003</v>
      </c>
      <c r="CK27" s="408"/>
      <c r="CL27" s="408"/>
      <c r="CM27" s="408"/>
      <c r="CN27" s="408"/>
      <c r="CO27" s="408">
        <v>-3.9803400000000058</v>
      </c>
      <c r="CP27" s="408">
        <v>333.02177999999992</v>
      </c>
      <c r="CQ27" s="408">
        <v>31</v>
      </c>
      <c r="CR27" s="408">
        <v>329.0517372449749</v>
      </c>
      <c r="CS27" s="408">
        <v>0</v>
      </c>
      <c r="CT27" s="408">
        <v>0</v>
      </c>
      <c r="CU27" s="408">
        <v>0</v>
      </c>
      <c r="CV27" s="408">
        <v>0</v>
      </c>
      <c r="CW27" s="408">
        <v>0</v>
      </c>
      <c r="CX27" s="408">
        <v>0</v>
      </c>
      <c r="CY27" s="408">
        <v>0</v>
      </c>
      <c r="CZ27" s="408">
        <v>0</v>
      </c>
      <c r="DA27" s="408">
        <v>0</v>
      </c>
      <c r="DB27" s="408">
        <v>0</v>
      </c>
      <c r="DC27" s="408">
        <v>333.06457909965729</v>
      </c>
      <c r="DD27" s="408">
        <v>0</v>
      </c>
      <c r="DE27" s="408">
        <v>0</v>
      </c>
      <c r="DF27" s="408">
        <v>0.71305678067066314</v>
      </c>
      <c r="DG27" s="408">
        <v>25.472644980157071</v>
      </c>
      <c r="DH27" s="408">
        <v>0</v>
      </c>
      <c r="DI27" s="408">
        <v>-25.71249239320116</v>
      </c>
      <c r="DJ27" s="408"/>
      <c r="DK27" s="408">
        <v>0</v>
      </c>
      <c r="DL27" s="408">
        <v>0</v>
      </c>
      <c r="DM27" s="408">
        <v>0</v>
      </c>
      <c r="DN27" s="408">
        <v>0</v>
      </c>
      <c r="DO27" s="408">
        <v>-3.876497476011636</v>
      </c>
      <c r="DP27" s="408">
        <v>-0.60955374629745052</v>
      </c>
      <c r="DQ27" s="408">
        <v>0</v>
      </c>
      <c r="DR27" s="408">
        <v>0</v>
      </c>
      <c r="DS27" s="408"/>
      <c r="DT27" s="408"/>
      <c r="DU27" s="408"/>
      <c r="DV27" s="408">
        <v>0</v>
      </c>
      <c r="DW27" s="408">
        <v>0</v>
      </c>
      <c r="DX27" s="408">
        <v>0</v>
      </c>
      <c r="DY27" s="408">
        <v>-3.9803399999999556</v>
      </c>
      <c r="DZ27" s="234">
        <v>333.02178000000004</v>
      </c>
      <c r="EA27" s="408">
        <v>0</v>
      </c>
      <c r="EB27" s="408">
        <v>0</v>
      </c>
      <c r="EC27" s="408">
        <v>0</v>
      </c>
      <c r="ED27" s="408">
        <v>0</v>
      </c>
      <c r="EE27" s="408">
        <v>0</v>
      </c>
      <c r="EF27" s="408">
        <v>0</v>
      </c>
      <c r="EG27" s="408">
        <v>0</v>
      </c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>
        <v>0</v>
      </c>
      <c r="EN27" s="408">
        <v>0</v>
      </c>
      <c r="EO27" s="408">
        <v>0</v>
      </c>
      <c r="EP27" s="408">
        <v>0</v>
      </c>
      <c r="EQ27" s="408">
        <v>0</v>
      </c>
      <c r="ER27" s="408">
        <v>0</v>
      </c>
      <c r="ES27" s="408">
        <v>0</v>
      </c>
      <c r="ET27" s="408">
        <v>0</v>
      </c>
      <c r="EU27" s="408">
        <v>0</v>
      </c>
      <c r="EV27" s="408">
        <v>242</v>
      </c>
      <c r="EW27" s="408">
        <v>0</v>
      </c>
      <c r="EX27" s="408">
        <v>0</v>
      </c>
      <c r="EY27" s="408">
        <v>0</v>
      </c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1036</v>
      </c>
      <c r="C28" s="408" t="s">
        <v>2239</v>
      </c>
      <c r="D28" s="408" t="s">
        <v>597</v>
      </c>
      <c r="E28" s="408" t="s">
        <v>2242</v>
      </c>
      <c r="F28" s="408" t="s">
        <v>1322</v>
      </c>
      <c r="G28" s="408" t="s">
        <v>1322</v>
      </c>
      <c r="H28" s="408" t="s">
        <v>1322</v>
      </c>
      <c r="I28" s="408" t="s">
        <v>1322</v>
      </c>
      <c r="J28" s="408" t="s">
        <v>2232</v>
      </c>
      <c r="K28" s="828">
        <v>44378</v>
      </c>
      <c r="L28" s="408">
        <v>70</v>
      </c>
      <c r="M28" s="408">
        <v>70</v>
      </c>
      <c r="N28" s="408">
        <v>0</v>
      </c>
      <c r="O28" s="408">
        <v>0</v>
      </c>
      <c r="P28" s="408">
        <v>0</v>
      </c>
      <c r="Q28" s="408">
        <v>0</v>
      </c>
      <c r="R28" s="408">
        <v>32.17</v>
      </c>
      <c r="S28" s="408"/>
      <c r="T28" s="408"/>
      <c r="U28" s="408">
        <v>2251.9</v>
      </c>
      <c r="V28" s="408"/>
      <c r="W28" s="408">
        <v>2251.9</v>
      </c>
      <c r="X28" s="408">
        <v>905.1</v>
      </c>
      <c r="Y28" s="408">
        <v>0</v>
      </c>
      <c r="Z28" s="408">
        <v>0</v>
      </c>
      <c r="AA28" s="408">
        <v>0</v>
      </c>
      <c r="AB28" s="408">
        <v>0</v>
      </c>
      <c r="AC28" s="408">
        <v>0</v>
      </c>
      <c r="AD28" s="408">
        <v>6.9941357591892785</v>
      </c>
      <c r="AE28" s="408">
        <v>1884.8714799945101</v>
      </c>
      <c r="AF28" s="408"/>
      <c r="AG28" s="408"/>
      <c r="AH28" s="408"/>
      <c r="AI28" s="408">
        <v>0</v>
      </c>
      <c r="AJ28" s="408">
        <v>0</v>
      </c>
      <c r="AK28" s="408">
        <v>0</v>
      </c>
      <c r="AL28" s="408">
        <v>0</v>
      </c>
      <c r="AM28" s="408"/>
      <c r="AN28" s="408">
        <v>0</v>
      </c>
      <c r="AO28" s="408">
        <v>123.50947744896111</v>
      </c>
      <c r="AP28" s="408">
        <v>236.8005615811976</v>
      </c>
      <c r="AQ28" s="408">
        <v>0</v>
      </c>
      <c r="AR28" s="408">
        <v>0</v>
      </c>
      <c r="AS28" s="408"/>
      <c r="AT28" s="408"/>
      <c r="AU28" s="408">
        <v>0</v>
      </c>
      <c r="AV28" s="408">
        <v>0</v>
      </c>
      <c r="AW28" s="408">
        <v>0</v>
      </c>
      <c r="AX28" s="408"/>
      <c r="AY28" s="408"/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/>
      <c r="BG28" s="408">
        <v>0</v>
      </c>
      <c r="BH28" s="408">
        <v>0</v>
      </c>
      <c r="BI28" s="408">
        <v>46.16</v>
      </c>
      <c r="BJ28" s="408">
        <v>211.71</v>
      </c>
      <c r="BK28" s="408">
        <v>3009.58</v>
      </c>
      <c r="BL28" s="408">
        <v>1</v>
      </c>
      <c r="BM28" s="408"/>
      <c r="BN28" s="408"/>
      <c r="BO28" s="408"/>
      <c r="BP28" s="408"/>
      <c r="BQ28" s="408"/>
      <c r="BR28" s="408"/>
      <c r="BS28" s="408"/>
      <c r="BT28" s="408"/>
      <c r="BU28" s="408"/>
      <c r="BV28" s="408">
        <v>0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905.1</v>
      </c>
      <c r="CJ28" s="408">
        <v>-1346.8300000000008</v>
      </c>
      <c r="CK28" s="408"/>
      <c r="CL28" s="408"/>
      <c r="CM28" s="408"/>
      <c r="CN28" s="408"/>
      <c r="CO28" s="408">
        <v>-1346.8000000000002</v>
      </c>
      <c r="CP28" s="408">
        <v>0</v>
      </c>
      <c r="CQ28" s="408">
        <v>31</v>
      </c>
      <c r="CR28" s="408">
        <v>37.850381741193246</v>
      </c>
      <c r="CS28" s="408">
        <v>12.740190848977889</v>
      </c>
      <c r="CT28" s="408">
        <v>24.426338852710217</v>
      </c>
      <c r="CU28" s="408">
        <v>0</v>
      </c>
      <c r="CV28" s="408">
        <v>0</v>
      </c>
      <c r="CW28" s="408"/>
      <c r="CX28" s="408"/>
      <c r="CY28" s="408"/>
      <c r="CZ28" s="408">
        <v>0.68385203950515105</v>
      </c>
      <c r="DA28" s="408">
        <v>0</v>
      </c>
      <c r="DB28" s="408">
        <v>0</v>
      </c>
      <c r="DC28" s="408"/>
      <c r="DD28" s="408"/>
      <c r="DE28" s="408">
        <v>0</v>
      </c>
      <c r="DF28" s="408">
        <v>0</v>
      </c>
      <c r="DG28" s="408">
        <v>0</v>
      </c>
      <c r="DH28" s="408">
        <v>0</v>
      </c>
      <c r="DI28" s="408">
        <v>0</v>
      </c>
      <c r="DJ28" s="408"/>
      <c r="DK28" s="408">
        <v>0</v>
      </c>
      <c r="DL28" s="408">
        <v>0</v>
      </c>
      <c r="DM28" s="408"/>
      <c r="DN28" s="408">
        <v>0</v>
      </c>
      <c r="DO28" s="408">
        <v>0</v>
      </c>
      <c r="DP28" s="408">
        <v>0</v>
      </c>
      <c r="DQ28" s="408">
        <v>0</v>
      </c>
      <c r="DR28" s="408">
        <v>0</v>
      </c>
      <c r="DS28" s="408"/>
      <c r="DT28" s="408"/>
      <c r="DU28" s="408">
        <v>1884.8714799945101</v>
      </c>
      <c r="DV28" s="408"/>
      <c r="DW28" s="408">
        <v>0</v>
      </c>
      <c r="DX28" s="408">
        <v>0</v>
      </c>
      <c r="DY28" s="408">
        <v>-1346.8000000000002</v>
      </c>
      <c r="DZ28" s="234"/>
      <c r="EA28" s="408">
        <v>0</v>
      </c>
      <c r="EB28" s="408"/>
      <c r="EC28" s="408">
        <v>-1384.8335809393659</v>
      </c>
      <c r="ED28" s="408"/>
      <c r="EE28" s="408">
        <v>0</v>
      </c>
      <c r="EF28" s="408">
        <v>0</v>
      </c>
      <c r="EG28" s="408"/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/>
      <c r="EN28" s="408"/>
      <c r="EO28" s="408">
        <v>0</v>
      </c>
      <c r="EP28" s="408">
        <v>0</v>
      </c>
      <c r="EQ28" s="408"/>
      <c r="ER28" s="408">
        <v>0</v>
      </c>
      <c r="ES28" s="408"/>
      <c r="ET28" s="408">
        <v>0</v>
      </c>
      <c r="EU28" s="408"/>
      <c r="EV28" s="408">
        <v>242</v>
      </c>
      <c r="EW28" s="408"/>
      <c r="EX28" s="408"/>
      <c r="EY28" s="408"/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1036</v>
      </c>
      <c r="C29" s="408" t="s">
        <v>2231</v>
      </c>
      <c r="D29" s="408" t="s">
        <v>2243</v>
      </c>
      <c r="E29" s="408" t="s">
        <v>2244</v>
      </c>
      <c r="F29" s="408" t="s">
        <v>2245</v>
      </c>
      <c r="G29" s="408" t="s">
        <v>1322</v>
      </c>
      <c r="H29" s="408" t="s">
        <v>1322</v>
      </c>
      <c r="I29" s="408" t="s">
        <v>1322</v>
      </c>
      <c r="J29" s="408" t="s">
        <v>2232</v>
      </c>
      <c r="K29" s="828">
        <v>44378</v>
      </c>
      <c r="L29" s="408">
        <v>0</v>
      </c>
      <c r="M29" s="408">
        <v>0</v>
      </c>
      <c r="N29" s="408">
        <v>74.524000000000001</v>
      </c>
      <c r="O29" s="408">
        <v>74.524000000000001</v>
      </c>
      <c r="P29" s="408">
        <v>74.524000000000001</v>
      </c>
      <c r="Q29" s="408">
        <v>74.524000000000001</v>
      </c>
      <c r="R29" s="408"/>
      <c r="S29" s="408">
        <v>314.52999999999997</v>
      </c>
      <c r="T29" s="408">
        <v>119.22</v>
      </c>
      <c r="U29" s="408"/>
      <c r="V29" s="408">
        <v>32324.785</v>
      </c>
      <c r="W29" s="408">
        <v>32324.785</v>
      </c>
      <c r="X29" s="408">
        <v>21068.680039999999</v>
      </c>
      <c r="Y29" s="408">
        <v>0</v>
      </c>
      <c r="Z29" s="408">
        <v>2484.3200935244904</v>
      </c>
      <c r="AA29" s="408">
        <v>0</v>
      </c>
      <c r="AB29" s="408">
        <v>0</v>
      </c>
      <c r="AC29" s="408">
        <v>0</v>
      </c>
      <c r="AD29" s="408">
        <v>33.688763098179244</v>
      </c>
      <c r="AE29" s="408">
        <v>17476.699092968905</v>
      </c>
      <c r="AF29" s="408">
        <v>8755.1410360593709</v>
      </c>
      <c r="AG29" s="408">
        <v>129.41633681865676</v>
      </c>
      <c r="AH29" s="408">
        <v>0</v>
      </c>
      <c r="AI29" s="408">
        <v>0</v>
      </c>
      <c r="AJ29" s="408">
        <v>0</v>
      </c>
      <c r="AK29" s="408">
        <v>0</v>
      </c>
      <c r="AL29" s="408">
        <v>384.20837112418917</v>
      </c>
      <c r="AM29" s="408"/>
      <c r="AN29" s="408">
        <v>78.6346138615976</v>
      </c>
      <c r="AO29" s="408">
        <v>364.04480367977692</v>
      </c>
      <c r="AP29" s="408">
        <v>1140.5829498732717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24.390832675598826</v>
      </c>
      <c r="BE29" s="408">
        <v>0</v>
      </c>
      <c r="BF29" s="408">
        <v>0</v>
      </c>
      <c r="BG29" s="408">
        <v>1453.3693289246562</v>
      </c>
      <c r="BH29" s="408">
        <v>0</v>
      </c>
      <c r="BI29" s="408">
        <v>165.25</v>
      </c>
      <c r="BJ29" s="408">
        <v>758.12</v>
      </c>
      <c r="BK29" s="408">
        <v>7184.6</v>
      </c>
      <c r="BL29" s="408">
        <v>10</v>
      </c>
      <c r="BM29" s="408"/>
      <c r="BN29" s="408"/>
      <c r="BO29" s="408"/>
      <c r="BP29" s="408"/>
      <c r="BQ29" s="408"/>
      <c r="BR29" s="408"/>
      <c r="BS29" s="408"/>
      <c r="BT29" s="408"/>
      <c r="BU29" s="408"/>
      <c r="BV29" s="408">
        <v>10232.901197659627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21067.549199999998</v>
      </c>
      <c r="CJ29" s="408">
        <v>-11257.265799999997</v>
      </c>
      <c r="CK29" s="408"/>
      <c r="CL29" s="408"/>
      <c r="CM29" s="408"/>
      <c r="CN29" s="408"/>
      <c r="CO29" s="408">
        <v>-12593.810759999998</v>
      </c>
      <c r="CP29" s="408">
        <v>1337.7057999999993</v>
      </c>
      <c r="CQ29" s="408">
        <v>31</v>
      </c>
      <c r="CR29" s="408">
        <v>1584.2064660977012</v>
      </c>
      <c r="CS29" s="408">
        <v>37.551776367733225</v>
      </c>
      <c r="CT29" s="408">
        <v>117.65286972799686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3.2939208139942053</v>
      </c>
      <c r="DA29" s="408">
        <v>0</v>
      </c>
      <c r="DB29" s="408">
        <v>0</v>
      </c>
      <c r="DC29" s="408">
        <v>1337.6168509751551</v>
      </c>
      <c r="DD29" s="408">
        <v>0</v>
      </c>
      <c r="DE29" s="408">
        <v>0</v>
      </c>
      <c r="DF29" s="408">
        <v>3.7264492555657718</v>
      </c>
      <c r="DG29" s="408">
        <v>222.04682906343055</v>
      </c>
      <c r="DH29" s="408">
        <v>0</v>
      </c>
      <c r="DI29" s="408">
        <v>-118.69384706213168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-15.568357225774719</v>
      </c>
      <c r="DP29" s="408">
        <v>-3.4200258182681722</v>
      </c>
      <c r="DQ29" s="408">
        <v>0</v>
      </c>
      <c r="DR29" s="408">
        <v>0</v>
      </c>
      <c r="DS29" s="408"/>
      <c r="DT29" s="408"/>
      <c r="DU29" s="408"/>
      <c r="DV29" s="408">
        <v>17476.699092968905</v>
      </c>
      <c r="DW29" s="408">
        <v>0</v>
      </c>
      <c r="DX29" s="408">
        <v>0</v>
      </c>
      <c r="DY29" s="408">
        <v>-12593.81076</v>
      </c>
      <c r="DZ29" s="234">
        <v>1337.7057999999979</v>
      </c>
      <c r="EA29" s="408">
        <v>0</v>
      </c>
      <c r="EB29" s="408">
        <v>0</v>
      </c>
      <c r="EC29" s="408">
        <v>-12840.302399814753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242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1036</v>
      </c>
      <c r="C30" s="408" t="s">
        <v>2231</v>
      </c>
      <c r="D30" s="408" t="s">
        <v>1955</v>
      </c>
      <c r="E30" s="408" t="s">
        <v>1001</v>
      </c>
      <c r="F30" s="408" t="s">
        <v>2246</v>
      </c>
      <c r="G30" s="408" t="s">
        <v>1322</v>
      </c>
      <c r="H30" s="408" t="s">
        <v>1322</v>
      </c>
      <c r="I30" s="408" t="s">
        <v>1322</v>
      </c>
      <c r="J30" s="408" t="s">
        <v>2232</v>
      </c>
      <c r="K30" s="828">
        <v>44378</v>
      </c>
      <c r="L30" s="408">
        <v>0</v>
      </c>
      <c r="M30" s="408">
        <v>0</v>
      </c>
      <c r="N30" s="408">
        <v>125.253</v>
      </c>
      <c r="O30" s="408">
        <v>117.73782</v>
      </c>
      <c r="P30" s="408">
        <v>125.253</v>
      </c>
      <c r="Q30" s="408">
        <v>117.73782</v>
      </c>
      <c r="R30" s="408"/>
      <c r="S30" s="408">
        <v>571.87</v>
      </c>
      <c r="T30" s="408">
        <v>216.76</v>
      </c>
      <c r="U30" s="408"/>
      <c r="V30" s="408">
        <v>98778.273390000002</v>
      </c>
      <c r="W30" s="408">
        <v>98778.273390000002</v>
      </c>
      <c r="X30" s="408">
        <v>64381.294529999999</v>
      </c>
      <c r="Y30" s="408">
        <v>0</v>
      </c>
      <c r="Z30" s="408">
        <v>7591.6616166170543</v>
      </c>
      <c r="AA30" s="408">
        <v>0</v>
      </c>
      <c r="AB30" s="408">
        <v>0</v>
      </c>
      <c r="AC30" s="408">
        <v>0</v>
      </c>
      <c r="AD30" s="408">
        <v>102.94715660449205</v>
      </c>
      <c r="AE30" s="408">
        <v>53405.833666558574</v>
      </c>
      <c r="AF30" s="408">
        <v>26754.228782662882</v>
      </c>
      <c r="AG30" s="408">
        <v>395.47441545486748</v>
      </c>
      <c r="AH30" s="408">
        <v>0</v>
      </c>
      <c r="AI30" s="408">
        <v>0</v>
      </c>
      <c r="AJ30" s="408">
        <v>0</v>
      </c>
      <c r="AK30" s="408">
        <v>0</v>
      </c>
      <c r="AL30" s="408">
        <v>1174.0757366368393</v>
      </c>
      <c r="AM30" s="408"/>
      <c r="AN30" s="408">
        <v>240.2940673170985</v>
      </c>
      <c r="AO30" s="408">
        <v>1112.459288168378</v>
      </c>
      <c r="AP30" s="408">
        <v>3485.4283969649114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74.534255349509749</v>
      </c>
      <c r="BE30" s="408">
        <v>0</v>
      </c>
      <c r="BF30" s="408">
        <v>0</v>
      </c>
      <c r="BG30" s="408">
        <v>4441.250617392313</v>
      </c>
      <c r="BH30" s="408">
        <v>0</v>
      </c>
      <c r="BI30" s="408">
        <v>460.06</v>
      </c>
      <c r="BJ30" s="408">
        <v>2111.8000000000002</v>
      </c>
      <c r="BK30" s="408">
        <v>32018.51</v>
      </c>
      <c r="BL30" s="408">
        <v>91</v>
      </c>
      <c r="BM30" s="408"/>
      <c r="BN30" s="408"/>
      <c r="BO30" s="408"/>
      <c r="BP30" s="408"/>
      <c r="BQ30" s="408">
        <v>3862.8776718000004</v>
      </c>
      <c r="BR30" s="408"/>
      <c r="BS30" s="408"/>
      <c r="BT30" s="408"/>
      <c r="BU30" s="408"/>
      <c r="BV30" s="408">
        <v>31270.013655404706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60519.537399999994</v>
      </c>
      <c r="CJ30" s="408">
        <v>-32332.069586599995</v>
      </c>
      <c r="CK30" s="408"/>
      <c r="CL30" s="408"/>
      <c r="CM30" s="408"/>
      <c r="CN30" s="408"/>
      <c r="CO30" s="408">
        <v>-38483.984250000001</v>
      </c>
      <c r="CP30" s="408">
        <v>4087.0053899999994</v>
      </c>
      <c r="CQ30" s="408">
        <v>31</v>
      </c>
      <c r="CR30" s="408">
        <v>4841.0667581922826</v>
      </c>
      <c r="CS30" s="408">
        <v>114.75187115773929</v>
      </c>
      <c r="CT30" s="408">
        <v>359.52725155143071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10.065664354990432</v>
      </c>
      <c r="DA30" s="408">
        <v>0</v>
      </c>
      <c r="DB30" s="408">
        <v>0</v>
      </c>
      <c r="DC30" s="408">
        <v>4087.5306413844155</v>
      </c>
      <c r="DD30" s="408">
        <v>0</v>
      </c>
      <c r="DE30" s="408">
        <v>0</v>
      </c>
      <c r="DF30" s="408">
        <v>11.387398046447146</v>
      </c>
      <c r="DG30" s="408">
        <v>678.5375176436728</v>
      </c>
      <c r="DH30" s="408">
        <v>0</v>
      </c>
      <c r="DI30" s="408">
        <v>-362.70830204969661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-47.574263997931212</v>
      </c>
      <c r="DP30" s="408">
        <v>-10.451019898789639</v>
      </c>
      <c r="DQ30" s="408">
        <v>0</v>
      </c>
      <c r="DR30" s="408">
        <v>0</v>
      </c>
      <c r="DS30" s="408"/>
      <c r="DT30" s="408"/>
      <c r="DU30" s="408"/>
      <c r="DV30" s="408">
        <v>53405.833666558574</v>
      </c>
      <c r="DW30" s="408">
        <v>0</v>
      </c>
      <c r="DX30" s="408">
        <v>0</v>
      </c>
      <c r="DY30" s="408">
        <v>-38483.984249999994</v>
      </c>
      <c r="DZ30" s="234">
        <v>4087.0053899999984</v>
      </c>
      <c r="EA30" s="408">
        <v>0</v>
      </c>
      <c r="EB30" s="408">
        <v>0</v>
      </c>
      <c r="EC30" s="408">
        <v>-39237.790302672489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242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1036</v>
      </c>
      <c r="C31" s="408" t="s">
        <v>2239</v>
      </c>
      <c r="D31" s="408" t="s">
        <v>597</v>
      </c>
      <c r="E31" s="408" t="s">
        <v>1001</v>
      </c>
      <c r="F31" s="408" t="s">
        <v>2246</v>
      </c>
      <c r="G31" s="408" t="s">
        <v>1322</v>
      </c>
      <c r="H31" s="408" t="s">
        <v>1322</v>
      </c>
      <c r="I31" s="408" t="s">
        <v>973</v>
      </c>
      <c r="J31" s="408" t="s">
        <v>2232</v>
      </c>
      <c r="K31" s="828">
        <v>44378</v>
      </c>
      <c r="L31" s="408">
        <v>0</v>
      </c>
      <c r="M31" s="408">
        <v>0</v>
      </c>
      <c r="N31" s="408">
        <v>3.74</v>
      </c>
      <c r="O31" s="408">
        <v>3.5156000000000001</v>
      </c>
      <c r="P31" s="408">
        <v>3.74</v>
      </c>
      <c r="Q31" s="408">
        <v>3.5156000000000001</v>
      </c>
      <c r="R31" s="408"/>
      <c r="S31" s="408">
        <v>2592.54</v>
      </c>
      <c r="T31" s="408">
        <v>216.76</v>
      </c>
      <c r="U31" s="408"/>
      <c r="V31" s="408">
        <v>10506.781999999999</v>
      </c>
      <c r="W31" s="408">
        <v>10506.781999999999</v>
      </c>
      <c r="X31" s="408">
        <v>4417.6880000000001</v>
      </c>
      <c r="Y31" s="408">
        <v>0</v>
      </c>
      <c r="Z31" s="408">
        <v>197.21482573789513</v>
      </c>
      <c r="AA31" s="408">
        <v>0</v>
      </c>
      <c r="AB31" s="408">
        <v>0</v>
      </c>
      <c r="AC31" s="408">
        <v>0</v>
      </c>
      <c r="AD31" s="408">
        <v>18.911815674429498</v>
      </c>
      <c r="AE31" s="408">
        <v>8567.9342265077248</v>
      </c>
      <c r="AF31" s="408">
        <v>798.86961308039872</v>
      </c>
      <c r="AG31" s="408">
        <v>11.808693714331827</v>
      </c>
      <c r="AH31" s="408">
        <v>0</v>
      </c>
      <c r="AI31" s="408">
        <v>0</v>
      </c>
      <c r="AJ31" s="408">
        <v>0</v>
      </c>
      <c r="AK31" s="408">
        <v>0</v>
      </c>
      <c r="AL31" s="408">
        <v>35.057389883050938</v>
      </c>
      <c r="AM31" s="408"/>
      <c r="AN31" s="408">
        <v>5.1358510149154233</v>
      </c>
      <c r="AO31" s="408">
        <v>168.72961956271394</v>
      </c>
      <c r="AP31" s="408">
        <v>640.29080022912888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1.7102971322215357</v>
      </c>
      <c r="BE31" s="408">
        <v>0</v>
      </c>
      <c r="BF31" s="408">
        <v>0</v>
      </c>
      <c r="BG31" s="408">
        <v>61.097226533185705</v>
      </c>
      <c r="BH31" s="408">
        <v>0</v>
      </c>
      <c r="BI31" s="408">
        <v>0</v>
      </c>
      <c r="BJ31" s="408">
        <v>0</v>
      </c>
      <c r="BK31" s="408">
        <v>0</v>
      </c>
      <c r="BL31" s="408">
        <v>0</v>
      </c>
      <c r="BM31" s="408"/>
      <c r="BN31" s="408"/>
      <c r="BO31" s="408"/>
      <c r="BP31" s="408"/>
      <c r="BQ31" s="408">
        <v>265.06128000000018</v>
      </c>
      <c r="BR31" s="408"/>
      <c r="BS31" s="408"/>
      <c r="BT31" s="408"/>
      <c r="BU31" s="408"/>
      <c r="BV31" s="408">
        <v>861.67713674580591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4157.8239999999996</v>
      </c>
      <c r="CJ31" s="408">
        <v>-5718.5810800000027</v>
      </c>
      <c r="CK31" s="408"/>
      <c r="CL31" s="408"/>
      <c r="CM31" s="408"/>
      <c r="CN31" s="408"/>
      <c r="CO31" s="408">
        <v>-6211.1302000000005</v>
      </c>
      <c r="CP31" s="408">
        <v>122.03619999999999</v>
      </c>
      <c r="CQ31" s="408">
        <v>31</v>
      </c>
      <c r="CR31" s="408">
        <v>205.88216672890076</v>
      </c>
      <c r="CS31" s="408">
        <v>17.404717431442947</v>
      </c>
      <c r="CT31" s="408">
        <v>66.046971959169696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1.8491039014665631</v>
      </c>
      <c r="DA31" s="408">
        <v>0</v>
      </c>
      <c r="DB31" s="408">
        <v>0</v>
      </c>
      <c r="DC31" s="408">
        <v>122.05188377745617</v>
      </c>
      <c r="DD31" s="408">
        <v>0</v>
      </c>
      <c r="DE31" s="408">
        <v>0</v>
      </c>
      <c r="DF31" s="408">
        <v>0.26130044676741893</v>
      </c>
      <c r="DG31" s="408">
        <v>9.3344789560834158</v>
      </c>
      <c r="DH31" s="408">
        <v>0</v>
      </c>
      <c r="DI31" s="408">
        <v>-9.4223713061505805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-1.4205467921108692</v>
      </c>
      <c r="DP31" s="408">
        <v>-0.22337164522363917</v>
      </c>
      <c r="DQ31" s="408">
        <v>0</v>
      </c>
      <c r="DR31" s="408">
        <v>0</v>
      </c>
      <c r="DS31" s="408"/>
      <c r="DT31" s="408"/>
      <c r="DU31" s="408"/>
      <c r="DV31" s="408">
        <v>8567.9342265077248</v>
      </c>
      <c r="DW31" s="408">
        <v>0</v>
      </c>
      <c r="DX31" s="408">
        <v>0</v>
      </c>
      <c r="DY31" s="408">
        <v>-6211.1301999999996</v>
      </c>
      <c r="DZ31" s="234">
        <v>122.03620000000001</v>
      </c>
      <c r="EA31" s="408">
        <v>0</v>
      </c>
      <c r="EB31" s="408">
        <v>0</v>
      </c>
      <c r="EC31" s="408">
        <v>-6294.9453912805893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242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1036</v>
      </c>
      <c r="C32" s="408" t="s">
        <v>2239</v>
      </c>
      <c r="D32" s="408" t="s">
        <v>597</v>
      </c>
      <c r="E32" s="408" t="s">
        <v>1001</v>
      </c>
      <c r="F32" s="408" t="s">
        <v>2246</v>
      </c>
      <c r="G32" s="408" t="s">
        <v>1322</v>
      </c>
      <c r="H32" s="408" t="s">
        <v>1322</v>
      </c>
      <c r="I32" s="408" t="s">
        <v>2240</v>
      </c>
      <c r="J32" s="408" t="s">
        <v>2232</v>
      </c>
      <c r="K32" s="828">
        <v>44378</v>
      </c>
      <c r="L32" s="408">
        <v>0</v>
      </c>
      <c r="M32" s="408">
        <v>0</v>
      </c>
      <c r="N32" s="408">
        <v>86.897000000000006</v>
      </c>
      <c r="O32" s="408">
        <v>81.683180000000007</v>
      </c>
      <c r="P32" s="408">
        <v>86.897000000000006</v>
      </c>
      <c r="Q32" s="408">
        <v>81.683180000000007</v>
      </c>
      <c r="R32" s="408"/>
      <c r="S32" s="408">
        <v>80.27</v>
      </c>
      <c r="T32" s="408">
        <v>216.76</v>
      </c>
      <c r="U32" s="408"/>
      <c r="V32" s="408">
        <v>25811.015910000002</v>
      </c>
      <c r="W32" s="408">
        <v>25811.015910000002</v>
      </c>
      <c r="X32" s="408">
        <v>28612.57519</v>
      </c>
      <c r="Y32" s="408">
        <v>0</v>
      </c>
      <c r="Z32" s="408">
        <v>4582.1862866700194</v>
      </c>
      <c r="AA32" s="408">
        <v>0</v>
      </c>
      <c r="AB32" s="408">
        <v>0</v>
      </c>
      <c r="AC32" s="408">
        <v>0</v>
      </c>
      <c r="AD32" s="408">
        <v>0</v>
      </c>
      <c r="AE32" s="408">
        <v>0</v>
      </c>
      <c r="AF32" s="408">
        <v>18561.3296170715</v>
      </c>
      <c r="AG32" s="408">
        <v>274.36899938350075</v>
      </c>
      <c r="AH32" s="408">
        <v>0</v>
      </c>
      <c r="AI32" s="408">
        <v>0</v>
      </c>
      <c r="AJ32" s="408">
        <v>0</v>
      </c>
      <c r="AK32" s="408">
        <v>0</v>
      </c>
      <c r="AL32" s="408">
        <v>814.54064402873735</v>
      </c>
      <c r="AM32" s="408"/>
      <c r="AN32" s="408">
        <v>119.3288892093865</v>
      </c>
      <c r="AO32" s="408">
        <v>0</v>
      </c>
      <c r="AP32" s="408">
        <v>0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39.737884999640315</v>
      </c>
      <c r="BE32" s="408">
        <v>0</v>
      </c>
      <c r="BF32" s="408">
        <v>0</v>
      </c>
      <c r="BG32" s="408">
        <v>1419.5630198005983</v>
      </c>
      <c r="BH32" s="408">
        <v>0</v>
      </c>
      <c r="BI32" s="408">
        <v>0</v>
      </c>
      <c r="BJ32" s="408">
        <v>0</v>
      </c>
      <c r="BK32" s="408">
        <v>0</v>
      </c>
      <c r="BL32" s="408">
        <v>0</v>
      </c>
      <c r="BM32" s="408"/>
      <c r="BN32" s="408"/>
      <c r="BO32" s="408"/>
      <c r="BP32" s="408"/>
      <c r="BQ32" s="408">
        <v>1716.7545113999993</v>
      </c>
      <c r="BR32" s="408"/>
      <c r="BS32" s="408"/>
      <c r="BT32" s="408"/>
      <c r="BU32" s="408"/>
      <c r="BV32" s="408">
        <v>20020.630521871739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26894.7736</v>
      </c>
      <c r="CJ32" s="408">
        <v>2632.3886446000033</v>
      </c>
      <c r="CK32" s="408"/>
      <c r="CL32" s="408"/>
      <c r="CM32" s="408"/>
      <c r="CN32" s="408"/>
      <c r="CO32" s="408">
        <v>-33.889830000000053</v>
      </c>
      <c r="CP32" s="408">
        <v>2835.4491099999996</v>
      </c>
      <c r="CQ32" s="408">
        <v>31</v>
      </c>
      <c r="CR32" s="408">
        <v>2801.6469538875608</v>
      </c>
      <c r="CS32" s="408">
        <v>0</v>
      </c>
      <c r="CT32" s="408">
        <v>0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0</v>
      </c>
      <c r="DA32" s="408">
        <v>0</v>
      </c>
      <c r="DB32" s="408">
        <v>0</v>
      </c>
      <c r="DC32" s="408">
        <v>2835.8135146014974</v>
      </c>
      <c r="DD32" s="408">
        <v>0</v>
      </c>
      <c r="DE32" s="408">
        <v>0</v>
      </c>
      <c r="DF32" s="408">
        <v>6.0711831344247074</v>
      </c>
      <c r="DG32" s="408">
        <v>216.88187642962066</v>
      </c>
      <c r="DH32" s="408">
        <v>0</v>
      </c>
      <c r="DI32" s="408">
        <v>-218.92401053223693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-33.005683046539616</v>
      </c>
      <c r="DP32" s="408">
        <v>-5.1899266991974713</v>
      </c>
      <c r="DQ32" s="408">
        <v>0</v>
      </c>
      <c r="DR32" s="408">
        <v>0</v>
      </c>
      <c r="DS32" s="408"/>
      <c r="DT32" s="408"/>
      <c r="DU32" s="408"/>
      <c r="DV32" s="408">
        <v>0</v>
      </c>
      <c r="DW32" s="408">
        <v>0</v>
      </c>
      <c r="DX32" s="408">
        <v>0</v>
      </c>
      <c r="DY32" s="408">
        <v>-33.889830000000075</v>
      </c>
      <c r="DZ32" s="234">
        <v>2835.4491099999977</v>
      </c>
      <c r="EA32" s="408">
        <v>0</v>
      </c>
      <c r="EB32" s="408">
        <v>0</v>
      </c>
      <c r="EC32" s="408">
        <v>0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242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1036</v>
      </c>
      <c r="C33" s="408" t="s">
        <v>2239</v>
      </c>
      <c r="D33" s="408" t="s">
        <v>597</v>
      </c>
      <c r="E33" s="408" t="s">
        <v>1001</v>
      </c>
      <c r="F33" s="408" t="s">
        <v>2246</v>
      </c>
      <c r="G33" s="408" t="s">
        <v>1322</v>
      </c>
      <c r="H33" s="408" t="s">
        <v>1322</v>
      </c>
      <c r="I33" s="408" t="s">
        <v>1322</v>
      </c>
      <c r="J33" s="408" t="s">
        <v>2232</v>
      </c>
      <c r="K33" s="828">
        <v>44378</v>
      </c>
      <c r="L33" s="408">
        <v>574</v>
      </c>
      <c r="M33" s="408">
        <v>539.55999999999995</v>
      </c>
      <c r="N33" s="408">
        <v>0</v>
      </c>
      <c r="O33" s="408">
        <v>0</v>
      </c>
      <c r="P33" s="408">
        <v>0</v>
      </c>
      <c r="Q33" s="408">
        <v>0</v>
      </c>
      <c r="R33" s="408">
        <v>32.17</v>
      </c>
      <c r="S33" s="408"/>
      <c r="T33" s="408"/>
      <c r="U33" s="408">
        <v>18465.580000000002</v>
      </c>
      <c r="V33" s="408"/>
      <c r="W33" s="408">
        <v>18465.580000000002</v>
      </c>
      <c r="X33" s="408">
        <v>7421.82</v>
      </c>
      <c r="Y33" s="408">
        <v>0</v>
      </c>
      <c r="Z33" s="408">
        <v>0</v>
      </c>
      <c r="AA33" s="408">
        <v>0</v>
      </c>
      <c r="AB33" s="408">
        <v>0</v>
      </c>
      <c r="AC33" s="408">
        <v>0</v>
      </c>
      <c r="AD33" s="408">
        <v>57.351913225352085</v>
      </c>
      <c r="AE33" s="408">
        <v>15455.946135954982</v>
      </c>
      <c r="AF33" s="408"/>
      <c r="AG33" s="408"/>
      <c r="AH33" s="408"/>
      <c r="AI33" s="408">
        <v>0</v>
      </c>
      <c r="AJ33" s="408">
        <v>0</v>
      </c>
      <c r="AK33" s="408">
        <v>0</v>
      </c>
      <c r="AL33" s="408">
        <v>0</v>
      </c>
      <c r="AM33" s="408"/>
      <c r="AN33" s="408">
        <v>0</v>
      </c>
      <c r="AO33" s="408">
        <v>1012.777715081481</v>
      </c>
      <c r="AP33" s="408">
        <v>1941.7646049658204</v>
      </c>
      <c r="AQ33" s="408">
        <v>0</v>
      </c>
      <c r="AR33" s="408">
        <v>0</v>
      </c>
      <c r="AS33" s="408"/>
      <c r="AT33" s="408"/>
      <c r="AU33" s="408">
        <v>0</v>
      </c>
      <c r="AV33" s="408">
        <v>0</v>
      </c>
      <c r="AW33" s="408">
        <v>0</v>
      </c>
      <c r="AX33" s="408"/>
      <c r="AY33" s="408"/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/>
      <c r="BG33" s="408">
        <v>0</v>
      </c>
      <c r="BH33" s="408">
        <v>0</v>
      </c>
      <c r="BI33" s="408">
        <v>327.63</v>
      </c>
      <c r="BJ33" s="408">
        <v>1502.6</v>
      </c>
      <c r="BK33" s="408">
        <v>22498.5</v>
      </c>
      <c r="BL33" s="408">
        <v>2</v>
      </c>
      <c r="BM33" s="408"/>
      <c r="BN33" s="408"/>
      <c r="BO33" s="408"/>
      <c r="BP33" s="408"/>
      <c r="BQ33" s="408">
        <v>445.30920000000071</v>
      </c>
      <c r="BR33" s="408"/>
      <c r="BS33" s="408"/>
      <c r="BT33" s="408"/>
      <c r="BU33" s="408"/>
      <c r="BV33" s="408">
        <v>0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6976.5107999999991</v>
      </c>
      <c r="CJ33" s="408">
        <v>-10381.164399999994</v>
      </c>
      <c r="CK33" s="408"/>
      <c r="CL33" s="408"/>
      <c r="CM33" s="408"/>
      <c r="CN33" s="408"/>
      <c r="CO33" s="408">
        <v>-11043.760000000002</v>
      </c>
      <c r="CP33" s="408">
        <v>0</v>
      </c>
      <c r="CQ33" s="408">
        <v>31</v>
      </c>
      <c r="CR33" s="408">
        <v>310.37313027778418</v>
      </c>
      <c r="CS33" s="408">
        <v>104.46956496161886</v>
      </c>
      <c r="CT33" s="408">
        <v>200.29597859222372</v>
      </c>
      <c r="CU33" s="408">
        <v>0</v>
      </c>
      <c r="CV33" s="408">
        <v>0</v>
      </c>
      <c r="CW33" s="408"/>
      <c r="CX33" s="408"/>
      <c r="CY33" s="408"/>
      <c r="CZ33" s="408">
        <v>5.6075867239422408</v>
      </c>
      <c r="DA33" s="408">
        <v>0</v>
      </c>
      <c r="DB33" s="408">
        <v>0</v>
      </c>
      <c r="DC33" s="408"/>
      <c r="DD33" s="408"/>
      <c r="DE33" s="408">
        <v>0</v>
      </c>
      <c r="DF33" s="408">
        <v>0</v>
      </c>
      <c r="DG33" s="408">
        <v>0</v>
      </c>
      <c r="DH33" s="408">
        <v>0</v>
      </c>
      <c r="DI33" s="408">
        <v>0</v>
      </c>
      <c r="DJ33" s="408"/>
      <c r="DK33" s="408">
        <v>0</v>
      </c>
      <c r="DL33" s="408">
        <v>0</v>
      </c>
      <c r="DM33" s="408"/>
      <c r="DN33" s="408">
        <v>0</v>
      </c>
      <c r="DO33" s="408">
        <v>0</v>
      </c>
      <c r="DP33" s="408">
        <v>0</v>
      </c>
      <c r="DQ33" s="408">
        <v>0</v>
      </c>
      <c r="DR33" s="408">
        <v>0</v>
      </c>
      <c r="DS33" s="408"/>
      <c r="DT33" s="408"/>
      <c r="DU33" s="408">
        <v>15455.946135954982</v>
      </c>
      <c r="DV33" s="408"/>
      <c r="DW33" s="408">
        <v>0</v>
      </c>
      <c r="DX33" s="408">
        <v>0</v>
      </c>
      <c r="DY33" s="408">
        <v>-11043.760000000002</v>
      </c>
      <c r="DZ33" s="234"/>
      <c r="EA33" s="408">
        <v>0</v>
      </c>
      <c r="EB33" s="408"/>
      <c r="EC33" s="408">
        <v>-11355.635363702801</v>
      </c>
      <c r="ED33" s="408"/>
      <c r="EE33" s="408">
        <v>0</v>
      </c>
      <c r="EF33" s="408">
        <v>0</v>
      </c>
      <c r="EG33" s="408"/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/>
      <c r="EN33" s="408"/>
      <c r="EO33" s="408">
        <v>0</v>
      </c>
      <c r="EP33" s="408">
        <v>0</v>
      </c>
      <c r="EQ33" s="408"/>
      <c r="ER33" s="408">
        <v>0</v>
      </c>
      <c r="ES33" s="408"/>
      <c r="ET33" s="408">
        <v>0</v>
      </c>
      <c r="EU33" s="408"/>
      <c r="EV33" s="408">
        <v>242</v>
      </c>
      <c r="EW33" s="408"/>
      <c r="EX33" s="408"/>
      <c r="EY33" s="408"/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1036</v>
      </c>
      <c r="C34" s="408" t="s">
        <v>2231</v>
      </c>
      <c r="D34" s="408" t="s">
        <v>1955</v>
      </c>
      <c r="E34" s="408" t="s">
        <v>2247</v>
      </c>
      <c r="F34" s="408" t="s">
        <v>1322</v>
      </c>
      <c r="G34" s="408" t="s">
        <v>1322</v>
      </c>
      <c r="H34" s="408" t="s">
        <v>1322</v>
      </c>
      <c r="I34" s="408" t="s">
        <v>1322</v>
      </c>
      <c r="J34" s="408" t="s">
        <v>2232</v>
      </c>
      <c r="K34" s="828">
        <v>44378</v>
      </c>
      <c r="L34" s="408">
        <v>0</v>
      </c>
      <c r="M34" s="408">
        <v>0</v>
      </c>
      <c r="N34" s="408">
        <v>0.20799999999999999</v>
      </c>
      <c r="O34" s="408">
        <v>0.20799999999999999</v>
      </c>
      <c r="P34" s="408">
        <v>0.20799999999999999</v>
      </c>
      <c r="Q34" s="408">
        <v>0.20799999999999999</v>
      </c>
      <c r="R34" s="408"/>
      <c r="S34" s="408">
        <v>571.87</v>
      </c>
      <c r="T34" s="408">
        <v>216.76</v>
      </c>
      <c r="U34" s="408"/>
      <c r="V34" s="408">
        <v>164.03503999999998</v>
      </c>
      <c r="W34" s="408">
        <v>164.03503999999998</v>
      </c>
      <c r="X34" s="408">
        <v>106.91407999999998</v>
      </c>
      <c r="Y34" s="408">
        <v>0</v>
      </c>
      <c r="Z34" s="408">
        <v>12.607008345160175</v>
      </c>
      <c r="AA34" s="408">
        <v>0</v>
      </c>
      <c r="AB34" s="408">
        <v>0</v>
      </c>
      <c r="AC34" s="408">
        <v>0</v>
      </c>
      <c r="AD34" s="408">
        <v>0.17095804949769144</v>
      </c>
      <c r="AE34" s="408">
        <v>88.687803107663541</v>
      </c>
      <c r="AF34" s="408">
        <v>44.429112171316284</v>
      </c>
      <c r="AG34" s="408">
        <v>0.65674018518209087</v>
      </c>
      <c r="AH34" s="408">
        <v>0</v>
      </c>
      <c r="AI34" s="408">
        <v>0</v>
      </c>
      <c r="AJ34" s="408">
        <v>0</v>
      </c>
      <c r="AK34" s="408">
        <v>0</v>
      </c>
      <c r="AL34" s="408">
        <v>1.949715800982512</v>
      </c>
      <c r="AM34" s="408"/>
      <c r="AN34" s="408">
        <v>0.399041667680267</v>
      </c>
      <c r="AO34" s="408">
        <v>1.8473931318133905</v>
      </c>
      <c r="AP34" s="408">
        <v>5.7880378639130523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0.12377448135132911</v>
      </c>
      <c r="BE34" s="408">
        <v>0</v>
      </c>
      <c r="BF34" s="408">
        <v>0</v>
      </c>
      <c r="BG34" s="408">
        <v>7.3753133930333092</v>
      </c>
      <c r="BH34" s="408">
        <v>0</v>
      </c>
      <c r="BI34" s="408">
        <v>0.82</v>
      </c>
      <c r="BJ34" s="408">
        <v>3.81</v>
      </c>
      <c r="BK34" s="408">
        <v>54.08</v>
      </c>
      <c r="BL34" s="408">
        <v>2</v>
      </c>
      <c r="BM34" s="408"/>
      <c r="BN34" s="408"/>
      <c r="BO34" s="408"/>
      <c r="BP34" s="408"/>
      <c r="BQ34" s="408"/>
      <c r="BR34" s="408"/>
      <c r="BS34" s="408"/>
      <c r="BT34" s="408"/>
      <c r="BU34" s="408"/>
      <c r="BV34" s="408">
        <v>51.928200045700919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107.9421</v>
      </c>
      <c r="CJ34" s="408">
        <v>-56.122940000000014</v>
      </c>
      <c r="CK34" s="408"/>
      <c r="CL34" s="408"/>
      <c r="CM34" s="408"/>
      <c r="CN34" s="408"/>
      <c r="CO34" s="408">
        <v>-63.907999999999994</v>
      </c>
      <c r="CP34" s="408">
        <v>6.7870399999999984</v>
      </c>
      <c r="CQ34" s="408">
        <v>31</v>
      </c>
      <c r="CR34" s="408">
        <v>8.0392636160730433</v>
      </c>
      <c r="CS34" s="408">
        <v>0.19056141729786735</v>
      </c>
      <c r="CT34" s="408">
        <v>0.59704492764802097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1.6715433449402489E-2</v>
      </c>
      <c r="DA34" s="408">
        <v>0</v>
      </c>
      <c r="DB34" s="408">
        <v>0</v>
      </c>
      <c r="DC34" s="408">
        <v>6.787912252863876</v>
      </c>
      <c r="DD34" s="408">
        <v>0</v>
      </c>
      <c r="DE34" s="408">
        <v>0</v>
      </c>
      <c r="DF34" s="408">
        <v>1.891035578917076E-2</v>
      </c>
      <c r="DG34" s="408">
        <v>1.1268057744715421</v>
      </c>
      <c r="DH34" s="408">
        <v>0</v>
      </c>
      <c r="DI34" s="408">
        <v>-0.60232750374312083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-7.9003671860711444E-2</v>
      </c>
      <c r="DP34" s="408">
        <v>-1.735536984302366E-2</v>
      </c>
      <c r="DQ34" s="408">
        <v>0</v>
      </c>
      <c r="DR34" s="408">
        <v>0</v>
      </c>
      <c r="DS34" s="408"/>
      <c r="DT34" s="408"/>
      <c r="DU34" s="408"/>
      <c r="DV34" s="408">
        <v>88.687803107663541</v>
      </c>
      <c r="DW34" s="408">
        <v>0</v>
      </c>
      <c r="DX34" s="408">
        <v>0</v>
      </c>
      <c r="DY34" s="408">
        <v>-63.908000000000001</v>
      </c>
      <c r="DZ34" s="234">
        <v>6.7870399999999975</v>
      </c>
      <c r="EA34" s="408">
        <v>0</v>
      </c>
      <c r="EB34" s="408">
        <v>0</v>
      </c>
      <c r="EC34" s="408">
        <v>-65.159799629197508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242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33</v>
      </c>
      <c r="B35" s="408" t="s">
        <v>1036</v>
      </c>
      <c r="C35" s="408" t="s">
        <v>2231</v>
      </c>
      <c r="D35" s="408" t="s">
        <v>2241</v>
      </c>
      <c r="E35" s="408" t="s">
        <v>974</v>
      </c>
      <c r="F35" s="408" t="s">
        <v>2248</v>
      </c>
      <c r="G35" s="408" t="s">
        <v>2249</v>
      </c>
      <c r="H35" s="408" t="s">
        <v>1322</v>
      </c>
      <c r="I35" s="408" t="s">
        <v>1322</v>
      </c>
      <c r="J35" s="408" t="s">
        <v>2232</v>
      </c>
      <c r="K35" s="828">
        <v>44378</v>
      </c>
      <c r="L35" s="408">
        <v>0</v>
      </c>
      <c r="M35" s="408">
        <v>0</v>
      </c>
      <c r="N35" s="408">
        <v>0</v>
      </c>
      <c r="O35" s="408">
        <v>0</v>
      </c>
      <c r="P35" s="408">
        <v>0</v>
      </c>
      <c r="Q35" s="408">
        <v>0</v>
      </c>
      <c r="R35" s="408"/>
      <c r="S35" s="408"/>
      <c r="T35" s="408"/>
      <c r="U35" s="408"/>
      <c r="V35" s="408"/>
      <c r="W35" s="408"/>
      <c r="X35" s="408"/>
      <c r="Y35" s="408"/>
      <c r="Z35" s="408"/>
      <c r="AA35" s="408">
        <v>0</v>
      </c>
      <c r="AB35" s="408"/>
      <c r="AC35" s="408"/>
      <c r="AD35" s="408"/>
      <c r="AE35" s="408"/>
      <c r="AF35" s="408"/>
      <c r="AG35" s="408"/>
      <c r="AH35" s="408"/>
      <c r="AI35" s="408"/>
      <c r="AJ35" s="408"/>
      <c r="AK35" s="408"/>
      <c r="AL35" s="408"/>
      <c r="AM35" s="408"/>
      <c r="AN35" s="408"/>
      <c r="AO35" s="408"/>
      <c r="AP35" s="408"/>
      <c r="AQ35" s="408"/>
      <c r="AR35" s="408"/>
      <c r="AS35" s="408"/>
      <c r="AT35" s="408"/>
      <c r="AU35" s="408"/>
      <c r="AV35" s="408"/>
      <c r="AW35" s="408"/>
      <c r="AX35" s="408"/>
      <c r="AY35" s="408"/>
      <c r="AZ35" s="408">
        <v>0</v>
      </c>
      <c r="BA35" s="408"/>
      <c r="BB35" s="408"/>
      <c r="BC35" s="408"/>
      <c r="BD35" s="408"/>
      <c r="BE35" s="408"/>
      <c r="BF35" s="408"/>
      <c r="BG35" s="408"/>
      <c r="BH35" s="408"/>
      <c r="BI35" s="408">
        <v>66.09</v>
      </c>
      <c r="BJ35" s="408">
        <v>306.04000000000002</v>
      </c>
      <c r="BK35" s="408">
        <v>854.54</v>
      </c>
      <c r="BL35" s="408">
        <v>129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/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/>
      <c r="CJ35" s="408">
        <v>-0.03</v>
      </c>
      <c r="CK35" s="408"/>
      <c r="CL35" s="408"/>
      <c r="CM35" s="408"/>
      <c r="CN35" s="408"/>
      <c r="CO35" s="408">
        <v>0</v>
      </c>
      <c r="CP35" s="408">
        <v>0</v>
      </c>
      <c r="CQ35" s="408">
        <v>31</v>
      </c>
      <c r="CR35" s="408"/>
      <c r="CS35" s="408"/>
      <c r="CT35" s="408"/>
      <c r="CU35" s="408"/>
      <c r="CV35" s="408"/>
      <c r="CW35" s="408"/>
      <c r="CX35" s="408"/>
      <c r="CY35" s="408"/>
      <c r="CZ35" s="408"/>
      <c r="DA35" s="408"/>
      <c r="DB35" s="408"/>
      <c r="DC35" s="408"/>
      <c r="DD35" s="408"/>
      <c r="DE35" s="408"/>
      <c r="DF35" s="408"/>
      <c r="DG35" s="408"/>
      <c r="DH35" s="408"/>
      <c r="DI35" s="408"/>
      <c r="DJ35" s="408"/>
      <c r="DK35" s="408">
        <v>0</v>
      </c>
      <c r="DL35" s="408"/>
      <c r="DM35" s="408"/>
      <c r="DN35" s="408"/>
      <c r="DO35" s="408"/>
      <c r="DP35" s="408"/>
      <c r="DQ35" s="408"/>
      <c r="DR35" s="408"/>
      <c r="DS35" s="408"/>
      <c r="DT35" s="408"/>
      <c r="DU35" s="408"/>
      <c r="DV35" s="408"/>
      <c r="DW35" s="408"/>
      <c r="DX35" s="408"/>
      <c r="DY35" s="408"/>
      <c r="DZ35" s="234"/>
      <c r="EA35" s="408"/>
      <c r="EB35" s="408"/>
      <c r="EC35" s="408"/>
      <c r="ED35" s="408"/>
      <c r="EE35" s="408"/>
      <c r="EF35" s="408"/>
      <c r="EG35" s="408"/>
      <c r="EH35" s="408"/>
      <c r="EI35" s="408"/>
      <c r="EJ35" s="408"/>
      <c r="EK35" s="408"/>
      <c r="EL35" s="408"/>
      <c r="EM35" s="408"/>
      <c r="EN35" s="408"/>
      <c r="EO35" s="408"/>
      <c r="EP35" s="408"/>
      <c r="EQ35" s="408"/>
      <c r="ER35" s="408"/>
      <c r="ES35" s="408"/>
      <c r="ET35" s="408"/>
      <c r="EU35" s="408"/>
      <c r="EV35" s="408">
        <v>242</v>
      </c>
      <c r="EW35" s="408"/>
      <c r="EX35" s="408"/>
      <c r="EY35" s="408"/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34</v>
      </c>
      <c r="B36" s="408" t="s">
        <v>2233</v>
      </c>
      <c r="C36" s="408" t="s">
        <v>2231</v>
      </c>
      <c r="D36" s="408" t="s">
        <v>2241</v>
      </c>
      <c r="E36" s="408" t="s">
        <v>974</v>
      </c>
      <c r="F36" s="408" t="s">
        <v>2248</v>
      </c>
      <c r="G36" s="408" t="s">
        <v>2249</v>
      </c>
      <c r="H36" s="408" t="s">
        <v>1322</v>
      </c>
      <c r="I36" s="408" t="s">
        <v>1322</v>
      </c>
      <c r="J36" s="408" t="s">
        <v>2232</v>
      </c>
      <c r="K36" s="828">
        <v>44378</v>
      </c>
      <c r="L36" s="408">
        <v>0</v>
      </c>
      <c r="M36" s="408">
        <v>0</v>
      </c>
      <c r="N36" s="408">
        <v>0</v>
      </c>
      <c r="O36" s="408">
        <v>0</v>
      </c>
      <c r="P36" s="408">
        <v>0</v>
      </c>
      <c r="Q36" s="408">
        <v>0</v>
      </c>
      <c r="R36" s="408"/>
      <c r="S36" s="408"/>
      <c r="T36" s="408"/>
      <c r="U36" s="408"/>
      <c r="V36" s="408"/>
      <c r="W36" s="408"/>
      <c r="X36" s="408"/>
      <c r="Y36" s="408"/>
      <c r="Z36" s="408"/>
      <c r="AA36" s="408">
        <v>0</v>
      </c>
      <c r="AB36" s="408"/>
      <c r="AC36" s="408"/>
      <c r="AD36" s="408"/>
      <c r="AE36" s="408"/>
      <c r="AF36" s="408"/>
      <c r="AG36" s="408"/>
      <c r="AH36" s="408"/>
      <c r="AI36" s="408"/>
      <c r="AJ36" s="408"/>
      <c r="AK36" s="408"/>
      <c r="AL36" s="408"/>
      <c r="AM36" s="408"/>
      <c r="AN36" s="408"/>
      <c r="AO36" s="408"/>
      <c r="AP36" s="408"/>
      <c r="AQ36" s="408"/>
      <c r="AR36" s="408"/>
      <c r="AS36" s="408"/>
      <c r="AT36" s="408"/>
      <c r="AU36" s="408"/>
      <c r="AV36" s="408"/>
      <c r="AW36" s="408"/>
      <c r="AX36" s="408"/>
      <c r="AY36" s="408"/>
      <c r="AZ36" s="408">
        <v>0</v>
      </c>
      <c r="BA36" s="408"/>
      <c r="BB36" s="408"/>
      <c r="BC36" s="408"/>
      <c r="BD36" s="408"/>
      <c r="BE36" s="408"/>
      <c r="BF36" s="408"/>
      <c r="BG36" s="408"/>
      <c r="BH36" s="408"/>
      <c r="BI36" s="408">
        <v>-1.31</v>
      </c>
      <c r="BJ36" s="408">
        <v>-6</v>
      </c>
      <c r="BK36" s="408">
        <v>0</v>
      </c>
      <c r="BL36" s="408">
        <v>0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/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/>
      <c r="CJ36" s="408">
        <v>-0.03</v>
      </c>
      <c r="CK36" s="408"/>
      <c r="CL36" s="408"/>
      <c r="CM36" s="408"/>
      <c r="CN36" s="408"/>
      <c r="CO36" s="408">
        <v>0</v>
      </c>
      <c r="CP36" s="408">
        <v>0</v>
      </c>
      <c r="CQ36" s="408">
        <v>31</v>
      </c>
      <c r="CR36" s="408"/>
      <c r="CS36" s="408"/>
      <c r="CT36" s="408"/>
      <c r="CU36" s="408"/>
      <c r="CV36" s="408"/>
      <c r="CW36" s="408"/>
      <c r="CX36" s="408"/>
      <c r="CY36" s="408"/>
      <c r="CZ36" s="408"/>
      <c r="DA36" s="408"/>
      <c r="DB36" s="408"/>
      <c r="DC36" s="408"/>
      <c r="DD36" s="408"/>
      <c r="DE36" s="408"/>
      <c r="DF36" s="408"/>
      <c r="DG36" s="408"/>
      <c r="DH36" s="408"/>
      <c r="DI36" s="408"/>
      <c r="DJ36" s="408"/>
      <c r="DK36" s="408">
        <v>0</v>
      </c>
      <c r="DL36" s="408"/>
      <c r="DM36" s="408"/>
      <c r="DN36" s="408"/>
      <c r="DO36" s="408"/>
      <c r="DP36" s="408"/>
      <c r="DQ36" s="408"/>
      <c r="DR36" s="408"/>
      <c r="DS36" s="408"/>
      <c r="DT36" s="408"/>
      <c r="DU36" s="408"/>
      <c r="DV36" s="408"/>
      <c r="DW36" s="408"/>
      <c r="DX36" s="408"/>
      <c r="DY36" s="408"/>
      <c r="DZ36" s="234"/>
      <c r="EA36" s="408"/>
      <c r="EB36" s="408"/>
      <c r="EC36" s="408"/>
      <c r="ED36" s="408"/>
      <c r="EE36" s="408"/>
      <c r="EF36" s="408"/>
      <c r="EG36" s="408"/>
      <c r="EH36" s="408"/>
      <c r="EI36" s="408"/>
      <c r="EJ36" s="408"/>
      <c r="EK36" s="408"/>
      <c r="EL36" s="408"/>
      <c r="EM36" s="408"/>
      <c r="EN36" s="408"/>
      <c r="EO36" s="408"/>
      <c r="EP36" s="408"/>
      <c r="EQ36" s="408"/>
      <c r="ER36" s="408"/>
      <c r="ES36" s="408"/>
      <c r="ET36" s="408"/>
      <c r="EU36" s="408"/>
      <c r="EV36" s="408">
        <v>242</v>
      </c>
      <c r="EW36" s="408"/>
      <c r="EX36" s="408"/>
      <c r="EY36" s="408"/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35</v>
      </c>
      <c r="B37" s="408" t="s">
        <v>1036</v>
      </c>
      <c r="C37" s="408" t="s">
        <v>2231</v>
      </c>
      <c r="D37" s="408" t="s">
        <v>2241</v>
      </c>
      <c r="E37" s="408" t="s">
        <v>974</v>
      </c>
      <c r="F37" s="408" t="s">
        <v>2248</v>
      </c>
      <c r="G37" s="408" t="s">
        <v>2249</v>
      </c>
      <c r="H37" s="408" t="s">
        <v>1322</v>
      </c>
      <c r="I37" s="408" t="s">
        <v>1322</v>
      </c>
      <c r="J37" s="408" t="s">
        <v>2232</v>
      </c>
      <c r="K37" s="828">
        <v>44378</v>
      </c>
      <c r="L37" s="408">
        <v>0</v>
      </c>
      <c r="M37" s="408">
        <v>0</v>
      </c>
      <c r="N37" s="408">
        <v>23.038</v>
      </c>
      <c r="O37" s="408">
        <v>23.038</v>
      </c>
      <c r="P37" s="408">
        <v>23.038</v>
      </c>
      <c r="Q37" s="408">
        <v>23.038</v>
      </c>
      <c r="R37" s="408"/>
      <c r="S37" s="408">
        <v>571.87</v>
      </c>
      <c r="T37" s="408">
        <v>216.76</v>
      </c>
      <c r="U37" s="408"/>
      <c r="V37" s="408">
        <v>18168.45794</v>
      </c>
      <c r="W37" s="408">
        <v>18168.45794</v>
      </c>
      <c r="X37" s="408">
        <v>11841.76238</v>
      </c>
      <c r="Y37" s="408">
        <v>0</v>
      </c>
      <c r="Z37" s="408">
        <v>1396.3473954605774</v>
      </c>
      <c r="AA37" s="408">
        <v>0</v>
      </c>
      <c r="AB37" s="408">
        <v>0</v>
      </c>
      <c r="AC37" s="408">
        <v>0</v>
      </c>
      <c r="AD37" s="408">
        <v>18.935247809268343</v>
      </c>
      <c r="AE37" s="408">
        <v>9823.026961511312</v>
      </c>
      <c r="AF37" s="408">
        <v>4920.9513759749261</v>
      </c>
      <c r="AG37" s="408">
        <v>72.740290318389469</v>
      </c>
      <c r="AH37" s="408">
        <v>0</v>
      </c>
      <c r="AI37" s="408">
        <v>0</v>
      </c>
      <c r="AJ37" s="408">
        <v>0</v>
      </c>
      <c r="AK37" s="408">
        <v>0</v>
      </c>
      <c r="AL37" s="408">
        <v>215.94977222613034</v>
      </c>
      <c r="AM37" s="408"/>
      <c r="AN37" s="408">
        <v>44.197701634701886</v>
      </c>
      <c r="AO37" s="408">
        <v>204.61655274383122</v>
      </c>
      <c r="AP37" s="408">
        <v>641.08084763860052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13.709213948903463</v>
      </c>
      <c r="BE37" s="408">
        <v>0</v>
      </c>
      <c r="BF37" s="408">
        <v>0</v>
      </c>
      <c r="BG37" s="408">
        <v>816.88687475337213</v>
      </c>
      <c r="BH37" s="408">
        <v>0</v>
      </c>
      <c r="BI37" s="408">
        <v>0</v>
      </c>
      <c r="BJ37" s="408">
        <v>0</v>
      </c>
      <c r="BK37" s="408">
        <v>0</v>
      </c>
      <c r="BL37" s="408">
        <v>0</v>
      </c>
      <c r="BM37" s="408"/>
      <c r="BN37" s="408"/>
      <c r="BO37" s="408"/>
      <c r="BP37" s="408"/>
      <c r="BQ37" s="408"/>
      <c r="BR37" s="408">
        <v>1420.9838399999994</v>
      </c>
      <c r="BS37" s="408"/>
      <c r="BT37" s="408"/>
      <c r="BU37" s="408"/>
      <c r="BV37" s="408">
        <v>5751.5474646772018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10421.683199999999</v>
      </c>
      <c r="CJ37" s="408">
        <v>-5566.7188000000006</v>
      </c>
      <c r="CK37" s="408"/>
      <c r="CL37" s="408"/>
      <c r="CM37" s="408"/>
      <c r="CN37" s="408"/>
      <c r="CO37" s="408">
        <v>-7078.4255000000003</v>
      </c>
      <c r="CP37" s="408">
        <v>751.72993999999994</v>
      </c>
      <c r="CQ37" s="408">
        <v>31</v>
      </c>
      <c r="CR37" s="408">
        <v>890.42574609177791</v>
      </c>
      <c r="CS37" s="408">
        <v>21.106509287058969</v>
      </c>
      <c r="CT37" s="408">
        <v>66.128466553630346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1.8513949798429543</v>
      </c>
      <c r="DA37" s="408">
        <v>0</v>
      </c>
      <c r="DB37" s="408">
        <v>0</v>
      </c>
      <c r="DC37" s="408">
        <v>751.82655039172096</v>
      </c>
      <c r="DD37" s="408">
        <v>0</v>
      </c>
      <c r="DE37" s="408">
        <v>0</v>
      </c>
      <c r="DF37" s="408">
        <v>2.0945037339947898</v>
      </c>
      <c r="DG37" s="408">
        <v>124.80457419363154</v>
      </c>
      <c r="DH37" s="408">
        <v>0</v>
      </c>
      <c r="DI37" s="408">
        <v>-66.71356265016334</v>
      </c>
      <c r="DJ37" s="408"/>
      <c r="DK37" s="408">
        <v>0</v>
      </c>
      <c r="DL37" s="408">
        <v>0</v>
      </c>
      <c r="DM37" s="408">
        <v>0</v>
      </c>
      <c r="DN37" s="408">
        <v>0</v>
      </c>
      <c r="DO37" s="408">
        <v>-8.7504163092647502</v>
      </c>
      <c r="DP37" s="408">
        <v>-1.9222740886710525</v>
      </c>
      <c r="DQ37" s="408">
        <v>0</v>
      </c>
      <c r="DR37" s="408">
        <v>0</v>
      </c>
      <c r="DS37" s="408"/>
      <c r="DT37" s="408"/>
      <c r="DU37" s="408"/>
      <c r="DV37" s="408">
        <v>9823.026961511312</v>
      </c>
      <c r="DW37" s="408">
        <v>0</v>
      </c>
      <c r="DX37" s="408">
        <v>0</v>
      </c>
      <c r="DY37" s="408">
        <v>-7078.4255000000003</v>
      </c>
      <c r="DZ37" s="234">
        <v>751.72994000000017</v>
      </c>
      <c r="EA37" s="408">
        <v>0</v>
      </c>
      <c r="EB37" s="408">
        <v>0</v>
      </c>
      <c r="EC37" s="408">
        <v>-7217.0743454685216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242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36</v>
      </c>
      <c r="B38" s="408" t="s">
        <v>2233</v>
      </c>
      <c r="C38" s="408" t="s">
        <v>2231</v>
      </c>
      <c r="D38" s="408" t="s">
        <v>2241</v>
      </c>
      <c r="E38" s="408" t="s">
        <v>974</v>
      </c>
      <c r="F38" s="408" t="s">
        <v>2248</v>
      </c>
      <c r="G38" s="408" t="s">
        <v>2249</v>
      </c>
      <c r="H38" s="408" t="s">
        <v>1322</v>
      </c>
      <c r="I38" s="408" t="s">
        <v>1322</v>
      </c>
      <c r="J38" s="408" t="s">
        <v>2232</v>
      </c>
      <c r="K38" s="828">
        <v>44378</v>
      </c>
      <c r="L38" s="408">
        <v>0</v>
      </c>
      <c r="M38" s="408">
        <v>0</v>
      </c>
      <c r="N38" s="408">
        <v>-0.312</v>
      </c>
      <c r="O38" s="408">
        <v>-0.312</v>
      </c>
      <c r="P38" s="408">
        <v>-0.312</v>
      </c>
      <c r="Q38" s="408">
        <v>-0.312</v>
      </c>
      <c r="R38" s="408"/>
      <c r="S38" s="408">
        <v>571.87</v>
      </c>
      <c r="T38" s="408">
        <v>216.76</v>
      </c>
      <c r="U38" s="408"/>
      <c r="V38" s="408">
        <v>-246.05256</v>
      </c>
      <c r="W38" s="408">
        <v>-246.05256</v>
      </c>
      <c r="X38" s="408">
        <v>-160.37112000000002</v>
      </c>
      <c r="Y38" s="408">
        <v>0</v>
      </c>
      <c r="Z38" s="408">
        <v>-18.910512517740262</v>
      </c>
      <c r="AA38" s="408">
        <v>0</v>
      </c>
      <c r="AB38" s="408">
        <v>0</v>
      </c>
      <c r="AC38" s="408">
        <v>0</v>
      </c>
      <c r="AD38" s="408">
        <v>-0.25643707424653717</v>
      </c>
      <c r="AE38" s="408">
        <v>-133.03170466149533</v>
      </c>
      <c r="AF38" s="408">
        <v>-66.643668256974436</v>
      </c>
      <c r="AG38" s="408">
        <v>-0.98511027777313631</v>
      </c>
      <c r="AH38" s="408">
        <v>0</v>
      </c>
      <c r="AI38" s="408">
        <v>0</v>
      </c>
      <c r="AJ38" s="408">
        <v>0</v>
      </c>
      <c r="AK38" s="408">
        <v>0</v>
      </c>
      <c r="AL38" s="408">
        <v>-2.9245737014737681</v>
      </c>
      <c r="AM38" s="408"/>
      <c r="AN38" s="408">
        <v>-0.59856250152040058</v>
      </c>
      <c r="AO38" s="408">
        <v>-2.7710896977200861</v>
      </c>
      <c r="AP38" s="408">
        <v>-8.6820567958695793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-0.18566172202699369</v>
      </c>
      <c r="BE38" s="408">
        <v>0</v>
      </c>
      <c r="BF38" s="408">
        <v>0</v>
      </c>
      <c r="BG38" s="408">
        <v>-11.062970089549964</v>
      </c>
      <c r="BH38" s="408">
        <v>0</v>
      </c>
      <c r="BI38" s="408">
        <v>0</v>
      </c>
      <c r="BJ38" s="408">
        <v>0</v>
      </c>
      <c r="BK38" s="408">
        <v>0</v>
      </c>
      <c r="BL38" s="408">
        <v>0</v>
      </c>
      <c r="BM38" s="408"/>
      <c r="BN38" s="408"/>
      <c r="BO38" s="408"/>
      <c r="BP38" s="408"/>
      <c r="BQ38" s="408"/>
      <c r="BR38" s="408">
        <v>-19.244159999999994</v>
      </c>
      <c r="BS38" s="408"/>
      <c r="BT38" s="408"/>
      <c r="BU38" s="408"/>
      <c r="BV38" s="408">
        <v>-77.892300068551393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-140.22230000000002</v>
      </c>
      <c r="CJ38" s="408">
        <v>76.275700000000029</v>
      </c>
      <c r="CK38" s="408"/>
      <c r="CL38" s="408"/>
      <c r="CM38" s="408"/>
      <c r="CN38" s="408"/>
      <c r="CO38" s="408">
        <v>95.861999999999995</v>
      </c>
      <c r="CP38" s="408">
        <v>-10.180559999999998</v>
      </c>
      <c r="CQ38" s="408">
        <v>31</v>
      </c>
      <c r="CR38" s="408">
        <v>-12.058895424109551</v>
      </c>
      <c r="CS38" s="408">
        <v>-0.2858421259468007</v>
      </c>
      <c r="CT38" s="408">
        <v>-0.89556739147203146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-2.507315017410372E-2</v>
      </c>
      <c r="DA38" s="408">
        <v>0</v>
      </c>
      <c r="DB38" s="408">
        <v>0</v>
      </c>
      <c r="DC38" s="408">
        <v>-10.181868379295807</v>
      </c>
      <c r="DD38" s="408">
        <v>0</v>
      </c>
      <c r="DE38" s="408">
        <v>0</v>
      </c>
      <c r="DF38" s="408">
        <v>-2.8365533683756161E-2</v>
      </c>
      <c r="DG38" s="408">
        <v>-1.6902086617073131</v>
      </c>
      <c r="DH38" s="408">
        <v>0</v>
      </c>
      <c r="DI38" s="408">
        <v>0.90349125561467858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0.11850550779106683</v>
      </c>
      <c r="DP38" s="408">
        <v>2.6033054764535546E-2</v>
      </c>
      <c r="DQ38" s="408">
        <v>0</v>
      </c>
      <c r="DR38" s="408">
        <v>0</v>
      </c>
      <c r="DS38" s="408"/>
      <c r="DT38" s="408"/>
      <c r="DU38" s="408"/>
      <c r="DV38" s="408">
        <v>-133.03170466149533</v>
      </c>
      <c r="DW38" s="408">
        <v>0</v>
      </c>
      <c r="DX38" s="408">
        <v>0</v>
      </c>
      <c r="DY38" s="408">
        <v>95.861999999999995</v>
      </c>
      <c r="DZ38" s="234">
        <v>-10.18056</v>
      </c>
      <c r="EA38" s="408">
        <v>0</v>
      </c>
      <c r="EB38" s="408">
        <v>0</v>
      </c>
      <c r="EC38" s="408">
        <v>97.739699443796269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242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37</v>
      </c>
      <c r="B39" s="408" t="s">
        <v>1036</v>
      </c>
      <c r="C39" s="408" t="s">
        <v>2231</v>
      </c>
      <c r="D39" s="408" t="s">
        <v>2241</v>
      </c>
      <c r="E39" s="408" t="s">
        <v>974</v>
      </c>
      <c r="F39" s="408" t="s">
        <v>2248</v>
      </c>
      <c r="G39" s="408" t="s">
        <v>2250</v>
      </c>
      <c r="H39" s="408" t="s">
        <v>1322</v>
      </c>
      <c r="I39" s="408" t="s">
        <v>1322</v>
      </c>
      <c r="J39" s="408" t="s">
        <v>2232</v>
      </c>
      <c r="K39" s="828">
        <v>44378</v>
      </c>
      <c r="L39" s="408">
        <v>0</v>
      </c>
      <c r="M39" s="408">
        <v>0</v>
      </c>
      <c r="N39" s="408">
        <v>10.096</v>
      </c>
      <c r="O39" s="408">
        <v>4.0384000000000002</v>
      </c>
      <c r="P39" s="408">
        <v>10.096</v>
      </c>
      <c r="Q39" s="408">
        <v>4.0384000000000002</v>
      </c>
      <c r="R39" s="408"/>
      <c r="S39" s="408">
        <v>571.87</v>
      </c>
      <c r="T39" s="408">
        <v>216.76</v>
      </c>
      <c r="U39" s="408"/>
      <c r="V39" s="408">
        <v>7962.0084799999995</v>
      </c>
      <c r="W39" s="408">
        <v>7962.0084799999995</v>
      </c>
      <c r="X39" s="408">
        <v>5189.4449599999998</v>
      </c>
      <c r="Y39" s="408">
        <v>0</v>
      </c>
      <c r="Z39" s="408">
        <v>611.92478967662078</v>
      </c>
      <c r="AA39" s="408">
        <v>0</v>
      </c>
      <c r="AB39" s="408">
        <v>0</v>
      </c>
      <c r="AC39" s="408">
        <v>0</v>
      </c>
      <c r="AD39" s="408">
        <v>8.2980407102341012</v>
      </c>
      <c r="AE39" s="408">
        <v>4304.7695200719772</v>
      </c>
      <c r="AF39" s="408">
        <v>2156.520752315429</v>
      </c>
      <c r="AG39" s="408">
        <v>31.877158219223027</v>
      </c>
      <c r="AH39" s="408">
        <v>0</v>
      </c>
      <c r="AI39" s="408">
        <v>0</v>
      </c>
      <c r="AJ39" s="408">
        <v>0</v>
      </c>
      <c r="AK39" s="408">
        <v>0</v>
      </c>
      <c r="AL39" s="408">
        <v>94.63620541692039</v>
      </c>
      <c r="AM39" s="408"/>
      <c r="AN39" s="408">
        <v>19.368868638942192</v>
      </c>
      <c r="AO39" s="408">
        <v>89.669620474942263</v>
      </c>
      <c r="AP39" s="408">
        <v>280.94245324070278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6.0078229025145138</v>
      </c>
      <c r="BE39" s="408">
        <v>0</v>
      </c>
      <c r="BF39" s="408">
        <v>0</v>
      </c>
      <c r="BG39" s="408">
        <v>357.98636546184758</v>
      </c>
      <c r="BH39" s="408">
        <v>0</v>
      </c>
      <c r="BI39" s="408">
        <v>0</v>
      </c>
      <c r="BJ39" s="408">
        <v>0</v>
      </c>
      <c r="BK39" s="408">
        <v>0</v>
      </c>
      <c r="BL39" s="408">
        <v>0</v>
      </c>
      <c r="BM39" s="408"/>
      <c r="BN39" s="408"/>
      <c r="BO39" s="408"/>
      <c r="BP39" s="408"/>
      <c r="BQ39" s="408"/>
      <c r="BR39" s="408"/>
      <c r="BS39" s="408">
        <v>3362.7554879999998</v>
      </c>
      <c r="BT39" s="408"/>
      <c r="BU39" s="408"/>
      <c r="BV39" s="408">
        <v>2520.5149406797909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1827.4132</v>
      </c>
      <c r="CJ39" s="408">
        <v>-975.26640000000043</v>
      </c>
      <c r="CK39" s="408"/>
      <c r="CL39" s="408"/>
      <c r="CM39" s="408"/>
      <c r="CN39" s="408"/>
      <c r="CO39" s="408">
        <v>-3101.9960000000001</v>
      </c>
      <c r="CP39" s="408">
        <v>329.43247999999994</v>
      </c>
      <c r="CQ39" s="408">
        <v>31</v>
      </c>
      <c r="CR39" s="408">
        <v>390.21348782631367</v>
      </c>
      <c r="CS39" s="408">
        <v>9.2495580242272553</v>
      </c>
      <c r="CT39" s="408">
        <v>28.979642257377009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0.81134142358253492</v>
      </c>
      <c r="DA39" s="408">
        <v>0</v>
      </c>
      <c r="DB39" s="408">
        <v>0</v>
      </c>
      <c r="DC39" s="408">
        <v>329.47481781208489</v>
      </c>
      <c r="DD39" s="408">
        <v>0</v>
      </c>
      <c r="DE39" s="408">
        <v>0</v>
      </c>
      <c r="DF39" s="408">
        <v>0.91787957715128865</v>
      </c>
      <c r="DG39" s="408">
        <v>54.693418745503266</v>
      </c>
      <c r="DH39" s="408">
        <v>0</v>
      </c>
      <c r="DI39" s="408">
        <v>-29.236050373992953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-3.8347166880083705</v>
      </c>
      <c r="DP39" s="408">
        <v>-0.84240295161137979</v>
      </c>
      <c r="DQ39" s="408">
        <v>0</v>
      </c>
      <c r="DR39" s="408">
        <v>0</v>
      </c>
      <c r="DS39" s="408"/>
      <c r="DT39" s="408"/>
      <c r="DU39" s="408"/>
      <c r="DV39" s="408">
        <v>4304.7695200719772</v>
      </c>
      <c r="DW39" s="408">
        <v>0</v>
      </c>
      <c r="DX39" s="408">
        <v>0</v>
      </c>
      <c r="DY39" s="408">
        <v>-3101.9959999999996</v>
      </c>
      <c r="DZ39" s="234">
        <v>329.43247999999994</v>
      </c>
      <c r="EA39" s="408">
        <v>0</v>
      </c>
      <c r="EB39" s="408">
        <v>0</v>
      </c>
      <c r="EC39" s="408">
        <v>-3162.7564281556643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242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38</v>
      </c>
      <c r="B40" s="408" t="s">
        <v>2233</v>
      </c>
      <c r="C40" s="408" t="s">
        <v>2231</v>
      </c>
      <c r="D40" s="408" t="s">
        <v>2241</v>
      </c>
      <c r="E40" s="408" t="s">
        <v>974</v>
      </c>
      <c r="F40" s="408" t="s">
        <v>2248</v>
      </c>
      <c r="G40" s="408" t="s">
        <v>2250</v>
      </c>
      <c r="H40" s="408" t="s">
        <v>1322</v>
      </c>
      <c r="I40" s="408" t="s">
        <v>1322</v>
      </c>
      <c r="J40" s="408" t="s">
        <v>2232</v>
      </c>
      <c r="K40" s="828">
        <v>44378</v>
      </c>
      <c r="L40" s="408">
        <v>0</v>
      </c>
      <c r="M40" s="408">
        <v>0</v>
      </c>
      <c r="N40" s="408">
        <v>-0.92800000000000005</v>
      </c>
      <c r="O40" s="408">
        <v>-0.37119999999999997</v>
      </c>
      <c r="P40" s="408">
        <v>-0.92800000000000005</v>
      </c>
      <c r="Q40" s="408">
        <v>-0.37119999999999997</v>
      </c>
      <c r="R40" s="408"/>
      <c r="S40" s="408">
        <v>571.87</v>
      </c>
      <c r="T40" s="408">
        <v>216.76</v>
      </c>
      <c r="U40" s="408"/>
      <c r="V40" s="408">
        <v>-731.84864000000005</v>
      </c>
      <c r="W40" s="408">
        <v>-731.84864000000005</v>
      </c>
      <c r="X40" s="408">
        <v>-477.00128000000001</v>
      </c>
      <c r="Y40" s="408">
        <v>0</v>
      </c>
      <c r="Z40" s="408">
        <v>-56.246652616868474</v>
      </c>
      <c r="AA40" s="408">
        <v>0</v>
      </c>
      <c r="AB40" s="408">
        <v>0</v>
      </c>
      <c r="AC40" s="408">
        <v>0</v>
      </c>
      <c r="AD40" s="408">
        <v>-0.7627359131435465</v>
      </c>
      <c r="AE40" s="408">
        <v>-395.68404463419125</v>
      </c>
      <c r="AF40" s="408">
        <v>-198.22219276433421</v>
      </c>
      <c r="AG40" s="408">
        <v>-2.9300715954277905</v>
      </c>
      <c r="AH40" s="408">
        <v>0</v>
      </c>
      <c r="AI40" s="408">
        <v>0</v>
      </c>
      <c r="AJ40" s="408">
        <v>0</v>
      </c>
      <c r="AK40" s="408">
        <v>0</v>
      </c>
      <c r="AL40" s="408">
        <v>-8.6987320351527462</v>
      </c>
      <c r="AM40" s="408"/>
      <c r="AN40" s="408">
        <v>-1.7803397481119607</v>
      </c>
      <c r="AO40" s="408">
        <v>-8.2422155111674353</v>
      </c>
      <c r="AP40" s="408">
        <v>-25.823553546689006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-0.55222460910592996</v>
      </c>
      <c r="BE40" s="408">
        <v>0</v>
      </c>
      <c r="BF40" s="408">
        <v>0</v>
      </c>
      <c r="BG40" s="408">
        <v>-32.905244368917849</v>
      </c>
      <c r="BH40" s="408">
        <v>0</v>
      </c>
      <c r="BI40" s="408">
        <v>0</v>
      </c>
      <c r="BJ40" s="408">
        <v>0</v>
      </c>
      <c r="BK40" s="408">
        <v>0</v>
      </c>
      <c r="BL40" s="408">
        <v>0</v>
      </c>
      <c r="BM40" s="408"/>
      <c r="BN40" s="408"/>
      <c r="BO40" s="408"/>
      <c r="BP40" s="408"/>
      <c r="BQ40" s="408"/>
      <c r="BR40" s="408"/>
      <c r="BS40" s="408">
        <v>-309.096384</v>
      </c>
      <c r="BT40" s="408"/>
      <c r="BU40" s="408"/>
      <c r="BV40" s="408">
        <v>-231.67966174235801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-167.3621</v>
      </c>
      <c r="CJ40" s="408">
        <v>90.220700000000022</v>
      </c>
      <c r="CK40" s="408"/>
      <c r="CL40" s="408"/>
      <c r="CM40" s="408"/>
      <c r="CN40" s="408"/>
      <c r="CO40" s="408">
        <v>285.12800000000004</v>
      </c>
      <c r="CP40" s="408">
        <v>-30.280639999999998</v>
      </c>
      <c r="CQ40" s="408">
        <v>31</v>
      </c>
      <c r="CR40" s="408">
        <v>-35.867483825556405</v>
      </c>
      <c r="CS40" s="408">
        <v>-0.85019709255971598</v>
      </c>
      <c r="CT40" s="408">
        <v>-2.6637389079680922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-7.4576549235795708E-2</v>
      </c>
      <c r="DA40" s="408">
        <v>0</v>
      </c>
      <c r="DB40" s="408">
        <v>0</v>
      </c>
      <c r="DC40" s="408">
        <v>-30.28453158970035</v>
      </c>
      <c r="DD40" s="408">
        <v>0</v>
      </c>
      <c r="DE40" s="408">
        <v>0</v>
      </c>
      <c r="DF40" s="408">
        <v>-8.4369279674761932E-2</v>
      </c>
      <c r="DG40" s="408">
        <v>-5.0272873014884141</v>
      </c>
      <c r="DH40" s="408">
        <v>0</v>
      </c>
      <c r="DI40" s="408">
        <v>2.6873073243923784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0.35247792060932781</v>
      </c>
      <c r="DP40" s="408">
        <v>7.7431650068874758E-2</v>
      </c>
      <c r="DQ40" s="408">
        <v>0</v>
      </c>
      <c r="DR40" s="408">
        <v>0</v>
      </c>
      <c r="DS40" s="408"/>
      <c r="DT40" s="408"/>
      <c r="DU40" s="408"/>
      <c r="DV40" s="408">
        <v>-395.68404463419125</v>
      </c>
      <c r="DW40" s="408">
        <v>0</v>
      </c>
      <c r="DX40" s="408">
        <v>0</v>
      </c>
      <c r="DY40" s="408">
        <v>285.12800000000004</v>
      </c>
      <c r="DZ40" s="234">
        <v>-30.280640000000005</v>
      </c>
      <c r="EA40" s="408">
        <v>0</v>
      </c>
      <c r="EB40" s="408">
        <v>0</v>
      </c>
      <c r="EC40" s="408">
        <v>290.71295219180433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242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39</v>
      </c>
      <c r="B41" s="408" t="s">
        <v>1036</v>
      </c>
      <c r="C41" s="408" t="s">
        <v>2239</v>
      </c>
      <c r="D41" s="408" t="s">
        <v>597</v>
      </c>
      <c r="E41" s="408" t="s">
        <v>974</v>
      </c>
      <c r="F41" s="408" t="s">
        <v>2248</v>
      </c>
      <c r="G41" s="408" t="s">
        <v>1322</v>
      </c>
      <c r="H41" s="408" t="s">
        <v>1322</v>
      </c>
      <c r="I41" s="408" t="s">
        <v>973</v>
      </c>
      <c r="J41" s="408" t="s">
        <v>2232</v>
      </c>
      <c r="K41" s="828">
        <v>44378</v>
      </c>
      <c r="L41" s="408">
        <v>0</v>
      </c>
      <c r="M41" s="408">
        <v>0</v>
      </c>
      <c r="N41" s="408">
        <v>0.56599999999999995</v>
      </c>
      <c r="O41" s="408">
        <v>0.54335999999999995</v>
      </c>
      <c r="P41" s="408">
        <v>0.56599999999999995</v>
      </c>
      <c r="Q41" s="408">
        <v>0.54335999999999995</v>
      </c>
      <c r="R41" s="408"/>
      <c r="S41" s="408">
        <v>2592.54</v>
      </c>
      <c r="T41" s="408">
        <v>216.76</v>
      </c>
      <c r="U41" s="408"/>
      <c r="V41" s="408">
        <v>1590.0637999999999</v>
      </c>
      <c r="W41" s="408">
        <v>1590.0637999999999</v>
      </c>
      <c r="X41" s="408">
        <v>668.55919999999992</v>
      </c>
      <c r="Y41" s="408">
        <v>0</v>
      </c>
      <c r="Z41" s="408">
        <v>29.845880044825837</v>
      </c>
      <c r="AA41" s="408">
        <v>0</v>
      </c>
      <c r="AB41" s="408">
        <v>0</v>
      </c>
      <c r="AC41" s="408">
        <v>0</v>
      </c>
      <c r="AD41" s="408">
        <v>2.8620555271997579</v>
      </c>
      <c r="AE41" s="408">
        <v>1296.6445914982276</v>
      </c>
      <c r="AF41" s="408">
        <v>120.89844946617796</v>
      </c>
      <c r="AG41" s="408">
        <v>1.7870910808320357</v>
      </c>
      <c r="AH41" s="408">
        <v>0</v>
      </c>
      <c r="AI41" s="408">
        <v>0</v>
      </c>
      <c r="AJ41" s="408">
        <v>0</v>
      </c>
      <c r="AK41" s="408">
        <v>0</v>
      </c>
      <c r="AL41" s="408">
        <v>5.3054766507504887</v>
      </c>
      <c r="AM41" s="408"/>
      <c r="AN41" s="408">
        <v>0.77724376321982058</v>
      </c>
      <c r="AO41" s="408">
        <v>25.535017292111252</v>
      </c>
      <c r="AP41" s="408">
        <v>96.899623777991152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0.2588310633255051</v>
      </c>
      <c r="BE41" s="408">
        <v>0</v>
      </c>
      <c r="BF41" s="408">
        <v>0</v>
      </c>
      <c r="BG41" s="408">
        <v>9.2462647641131284</v>
      </c>
      <c r="BH41" s="408">
        <v>0</v>
      </c>
      <c r="BI41" s="408">
        <v>0</v>
      </c>
      <c r="BJ41" s="408">
        <v>0</v>
      </c>
      <c r="BK41" s="408">
        <v>0</v>
      </c>
      <c r="BL41" s="408">
        <v>0</v>
      </c>
      <c r="BM41" s="408"/>
      <c r="BN41" s="408"/>
      <c r="BO41" s="408"/>
      <c r="BP41" s="408"/>
      <c r="BQ41" s="408"/>
      <c r="BR41" s="408">
        <v>26.742367999999992</v>
      </c>
      <c r="BS41" s="408"/>
      <c r="BT41" s="408"/>
      <c r="BU41" s="408"/>
      <c r="BV41" s="408">
        <v>130.40354529361659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637.84799999999996</v>
      </c>
      <c r="CJ41" s="408">
        <v>-888.64324799999986</v>
      </c>
      <c r="CK41" s="408"/>
      <c r="CL41" s="408"/>
      <c r="CM41" s="408"/>
      <c r="CN41" s="408"/>
      <c r="CO41" s="408">
        <v>-939.97317999999996</v>
      </c>
      <c r="CP41" s="408">
        <v>18.468579999999996</v>
      </c>
      <c r="CQ41" s="408">
        <v>31</v>
      </c>
      <c r="CR41" s="408">
        <v>31.157568547742756</v>
      </c>
      <c r="CS41" s="408">
        <v>2.6339759535285268</v>
      </c>
      <c r="CT41" s="408">
        <v>9.9953438847299481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0.27983764925937793</v>
      </c>
      <c r="DA41" s="408">
        <v>0</v>
      </c>
      <c r="DB41" s="408">
        <v>0</v>
      </c>
      <c r="DC41" s="408">
        <v>18.470953534235349</v>
      </c>
      <c r="DD41" s="408">
        <v>0</v>
      </c>
      <c r="DE41" s="408">
        <v>0</v>
      </c>
      <c r="DF41" s="408">
        <v>3.954439916319763E-2</v>
      </c>
      <c r="DG41" s="408">
        <v>1.4126510933538015</v>
      </c>
      <c r="DH41" s="408">
        <v>0</v>
      </c>
      <c r="DI41" s="408">
        <v>-1.4259524490056741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-0.21498114554405046</v>
      </c>
      <c r="DP41" s="408">
        <v>-3.3804371977695147E-2</v>
      </c>
      <c r="DQ41" s="408">
        <v>0</v>
      </c>
      <c r="DR41" s="408">
        <v>0</v>
      </c>
      <c r="DS41" s="408"/>
      <c r="DT41" s="408"/>
      <c r="DU41" s="408"/>
      <c r="DV41" s="408">
        <v>1296.6445914982276</v>
      </c>
      <c r="DW41" s="408">
        <v>0</v>
      </c>
      <c r="DX41" s="408">
        <v>0</v>
      </c>
      <c r="DY41" s="408">
        <v>-939.97317999999996</v>
      </c>
      <c r="DZ41" s="234">
        <v>18.468579999999989</v>
      </c>
      <c r="EA41" s="408">
        <v>0</v>
      </c>
      <c r="EB41" s="408">
        <v>0</v>
      </c>
      <c r="EC41" s="408">
        <v>-952.65751108684822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242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40</v>
      </c>
      <c r="B42" s="408" t="s">
        <v>1036</v>
      </c>
      <c r="C42" s="408" t="s">
        <v>2239</v>
      </c>
      <c r="D42" s="408" t="s">
        <v>597</v>
      </c>
      <c r="E42" s="408" t="s">
        <v>974</v>
      </c>
      <c r="F42" s="408" t="s">
        <v>2248</v>
      </c>
      <c r="G42" s="408" t="s">
        <v>1322</v>
      </c>
      <c r="H42" s="408" t="s">
        <v>1322</v>
      </c>
      <c r="I42" s="408" t="s">
        <v>2240</v>
      </c>
      <c r="J42" s="408" t="s">
        <v>2232</v>
      </c>
      <c r="K42" s="828">
        <v>44378</v>
      </c>
      <c r="L42" s="408">
        <v>0</v>
      </c>
      <c r="M42" s="408">
        <v>0</v>
      </c>
      <c r="N42" s="408">
        <v>7.101</v>
      </c>
      <c r="O42" s="408">
        <v>6.8169599999999999</v>
      </c>
      <c r="P42" s="408">
        <v>7.101</v>
      </c>
      <c r="Q42" s="408">
        <v>6.8169599999999999</v>
      </c>
      <c r="R42" s="408"/>
      <c r="S42" s="408">
        <v>80.27</v>
      </c>
      <c r="T42" s="408">
        <v>216.76</v>
      </c>
      <c r="U42" s="408"/>
      <c r="V42" s="408">
        <v>2109.2100299999997</v>
      </c>
      <c r="W42" s="408">
        <v>2109.2100299999997</v>
      </c>
      <c r="X42" s="408">
        <v>2338.1462699999997</v>
      </c>
      <c r="Y42" s="408">
        <v>0</v>
      </c>
      <c r="Z42" s="408">
        <v>374.44451271785914</v>
      </c>
      <c r="AA42" s="408">
        <v>0</v>
      </c>
      <c r="AB42" s="408">
        <v>0</v>
      </c>
      <c r="AC42" s="408">
        <v>0</v>
      </c>
      <c r="AD42" s="408">
        <v>0</v>
      </c>
      <c r="AE42" s="408">
        <v>0</v>
      </c>
      <c r="AF42" s="408">
        <v>1516.7842573486394</v>
      </c>
      <c r="AG42" s="408">
        <v>22.420731033548208</v>
      </c>
      <c r="AH42" s="408">
        <v>0</v>
      </c>
      <c r="AI42" s="408">
        <v>0</v>
      </c>
      <c r="AJ42" s="408">
        <v>0</v>
      </c>
      <c r="AK42" s="408">
        <v>0</v>
      </c>
      <c r="AL42" s="408">
        <v>66.562172609503932</v>
      </c>
      <c r="AM42" s="408"/>
      <c r="AN42" s="408">
        <v>9.7512508173567962</v>
      </c>
      <c r="AO42" s="408">
        <v>0</v>
      </c>
      <c r="AP42" s="408">
        <v>0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3.2472780577286429</v>
      </c>
      <c r="BE42" s="408">
        <v>0</v>
      </c>
      <c r="BF42" s="408">
        <v>0</v>
      </c>
      <c r="BG42" s="408">
        <v>116.00304962891755</v>
      </c>
      <c r="BH42" s="408">
        <v>0</v>
      </c>
      <c r="BI42" s="408">
        <v>0</v>
      </c>
      <c r="BJ42" s="408">
        <v>0</v>
      </c>
      <c r="BK42" s="408">
        <v>0</v>
      </c>
      <c r="BL42" s="408">
        <v>0</v>
      </c>
      <c r="BM42" s="408"/>
      <c r="BN42" s="408"/>
      <c r="BO42" s="408"/>
      <c r="BP42" s="408"/>
      <c r="BQ42" s="408"/>
      <c r="BR42" s="408">
        <v>93.525850800000015</v>
      </c>
      <c r="BS42" s="408"/>
      <c r="BT42" s="408"/>
      <c r="BU42" s="408"/>
      <c r="BV42" s="408">
        <v>1636.0345850352855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2245.6214</v>
      </c>
      <c r="CJ42" s="408">
        <v>220.74977120000017</v>
      </c>
      <c r="CK42" s="408"/>
      <c r="CL42" s="408"/>
      <c r="CM42" s="408"/>
      <c r="CN42" s="408"/>
      <c r="CO42" s="408">
        <v>-2.769390000000004</v>
      </c>
      <c r="CP42" s="408">
        <v>231.70562999999996</v>
      </c>
      <c r="CQ42" s="408">
        <v>31</v>
      </c>
      <c r="CR42" s="408">
        <v>228.94340448525963</v>
      </c>
      <c r="CS42" s="408">
        <v>0</v>
      </c>
      <c r="CT42" s="408">
        <v>0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0</v>
      </c>
      <c r="DA42" s="408">
        <v>0</v>
      </c>
      <c r="DB42" s="408">
        <v>0</v>
      </c>
      <c r="DC42" s="408">
        <v>231.73540820954963</v>
      </c>
      <c r="DD42" s="408">
        <v>0</v>
      </c>
      <c r="DE42" s="408">
        <v>0</v>
      </c>
      <c r="DF42" s="408">
        <v>0.49612151671001126</v>
      </c>
      <c r="DG42" s="408">
        <v>17.723030766617228</v>
      </c>
      <c r="DH42" s="408">
        <v>0</v>
      </c>
      <c r="DI42" s="408">
        <v>-17.889908728602961</v>
      </c>
      <c r="DJ42" s="408"/>
      <c r="DK42" s="408">
        <v>0</v>
      </c>
      <c r="DL42" s="408">
        <v>0</v>
      </c>
      <c r="DM42" s="408">
        <v>0</v>
      </c>
      <c r="DN42" s="408">
        <v>0</v>
      </c>
      <c r="DO42" s="408">
        <v>-2.6971397782832298</v>
      </c>
      <c r="DP42" s="408">
        <v>-0.42410750073076464</v>
      </c>
      <c r="DQ42" s="408">
        <v>0</v>
      </c>
      <c r="DR42" s="408">
        <v>0</v>
      </c>
      <c r="DS42" s="408"/>
      <c r="DT42" s="408"/>
      <c r="DU42" s="408"/>
      <c r="DV42" s="408">
        <v>0</v>
      </c>
      <c r="DW42" s="408">
        <v>0</v>
      </c>
      <c r="DX42" s="408">
        <v>0</v>
      </c>
      <c r="DY42" s="408">
        <v>-2.769390000000044</v>
      </c>
      <c r="DZ42" s="234">
        <v>231.70562999999993</v>
      </c>
      <c r="EA42" s="408">
        <v>0</v>
      </c>
      <c r="EB42" s="408">
        <v>0</v>
      </c>
      <c r="EC42" s="408">
        <v>0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0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242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41</v>
      </c>
      <c r="B43" s="408" t="s">
        <v>1036</v>
      </c>
      <c r="C43" s="408" t="s">
        <v>2239</v>
      </c>
      <c r="D43" s="408" t="s">
        <v>597</v>
      </c>
      <c r="E43" s="408" t="s">
        <v>974</v>
      </c>
      <c r="F43" s="408" t="s">
        <v>2248</v>
      </c>
      <c r="G43" s="408" t="s">
        <v>1322</v>
      </c>
      <c r="H43" s="408" t="s">
        <v>1322</v>
      </c>
      <c r="I43" s="408" t="s">
        <v>1322</v>
      </c>
      <c r="J43" s="408" t="s">
        <v>2232</v>
      </c>
      <c r="K43" s="828">
        <v>44378</v>
      </c>
      <c r="L43" s="408">
        <v>483</v>
      </c>
      <c r="M43" s="408">
        <v>463.68</v>
      </c>
      <c r="N43" s="408">
        <v>0</v>
      </c>
      <c r="O43" s="408">
        <v>0</v>
      </c>
      <c r="P43" s="408">
        <v>0</v>
      </c>
      <c r="Q43" s="408">
        <v>0</v>
      </c>
      <c r="R43" s="408">
        <v>32.17</v>
      </c>
      <c r="S43" s="408"/>
      <c r="T43" s="408"/>
      <c r="U43" s="408">
        <v>15538.11</v>
      </c>
      <c r="V43" s="408"/>
      <c r="W43" s="408">
        <v>15538.11</v>
      </c>
      <c r="X43" s="408">
        <v>6245.19</v>
      </c>
      <c r="Y43" s="408">
        <v>0</v>
      </c>
      <c r="Z43" s="408">
        <v>0</v>
      </c>
      <c r="AA43" s="408">
        <v>0</v>
      </c>
      <c r="AB43" s="408">
        <v>0</v>
      </c>
      <c r="AC43" s="408">
        <v>0</v>
      </c>
      <c r="AD43" s="408">
        <v>48.25953673840602</v>
      </c>
      <c r="AE43" s="408">
        <v>13005.61321196212</v>
      </c>
      <c r="AF43" s="408"/>
      <c r="AG43" s="408"/>
      <c r="AH43" s="408"/>
      <c r="AI43" s="408">
        <v>0</v>
      </c>
      <c r="AJ43" s="408">
        <v>0</v>
      </c>
      <c r="AK43" s="408">
        <v>0</v>
      </c>
      <c r="AL43" s="408">
        <v>0</v>
      </c>
      <c r="AM43" s="408"/>
      <c r="AN43" s="408">
        <v>0</v>
      </c>
      <c r="AO43" s="408">
        <v>852.21539439783157</v>
      </c>
      <c r="AP43" s="408">
        <v>1633.9238749102635</v>
      </c>
      <c r="AQ43" s="408">
        <v>0</v>
      </c>
      <c r="AR43" s="408">
        <v>0</v>
      </c>
      <c r="AS43" s="408"/>
      <c r="AT43" s="408"/>
      <c r="AU43" s="408">
        <v>0</v>
      </c>
      <c r="AV43" s="408">
        <v>0</v>
      </c>
      <c r="AW43" s="408">
        <v>0</v>
      </c>
      <c r="AX43" s="408"/>
      <c r="AY43" s="408"/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/>
      <c r="BG43" s="408">
        <v>0</v>
      </c>
      <c r="BH43" s="408">
        <v>0</v>
      </c>
      <c r="BI43" s="408">
        <v>43.54</v>
      </c>
      <c r="BJ43" s="408">
        <v>199.82</v>
      </c>
      <c r="BK43" s="408">
        <v>77.67</v>
      </c>
      <c r="BL43" s="408">
        <v>12</v>
      </c>
      <c r="BM43" s="408"/>
      <c r="BN43" s="408"/>
      <c r="BO43" s="408"/>
      <c r="BP43" s="408"/>
      <c r="BQ43" s="408"/>
      <c r="BR43" s="408">
        <v>249.80759999999989</v>
      </c>
      <c r="BS43" s="408"/>
      <c r="BT43" s="408"/>
      <c r="BU43" s="408"/>
      <c r="BV43" s="408">
        <v>0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5995.3823999999995</v>
      </c>
      <c r="CJ43" s="408">
        <v>-8921.2332000000024</v>
      </c>
      <c r="CK43" s="408"/>
      <c r="CL43" s="408"/>
      <c r="CM43" s="408"/>
      <c r="CN43" s="408"/>
      <c r="CO43" s="408">
        <v>-9292.92</v>
      </c>
      <c r="CP43" s="408">
        <v>0</v>
      </c>
      <c r="CQ43" s="408">
        <v>31</v>
      </c>
      <c r="CR43" s="408">
        <v>261.1676340142335</v>
      </c>
      <c r="CS43" s="408">
        <v>87.907316857947535</v>
      </c>
      <c r="CT43" s="408">
        <v>168.54173808370047</v>
      </c>
      <c r="CU43" s="408">
        <v>0</v>
      </c>
      <c r="CV43" s="408">
        <v>0</v>
      </c>
      <c r="CW43" s="408"/>
      <c r="CX43" s="408"/>
      <c r="CY43" s="408"/>
      <c r="CZ43" s="408">
        <v>4.7185790725855483</v>
      </c>
      <c r="DA43" s="408">
        <v>0</v>
      </c>
      <c r="DB43" s="408">
        <v>0</v>
      </c>
      <c r="DC43" s="408"/>
      <c r="DD43" s="408"/>
      <c r="DE43" s="408">
        <v>0</v>
      </c>
      <c r="DF43" s="408">
        <v>0</v>
      </c>
      <c r="DG43" s="408">
        <v>0</v>
      </c>
      <c r="DH43" s="408">
        <v>0</v>
      </c>
      <c r="DI43" s="408">
        <v>0</v>
      </c>
      <c r="DJ43" s="408"/>
      <c r="DK43" s="408">
        <v>0</v>
      </c>
      <c r="DL43" s="408">
        <v>0</v>
      </c>
      <c r="DM43" s="408"/>
      <c r="DN43" s="408">
        <v>0</v>
      </c>
      <c r="DO43" s="408">
        <v>0</v>
      </c>
      <c r="DP43" s="408">
        <v>0</v>
      </c>
      <c r="DQ43" s="408">
        <v>0</v>
      </c>
      <c r="DR43" s="408">
        <v>0</v>
      </c>
      <c r="DS43" s="408"/>
      <c r="DT43" s="408"/>
      <c r="DU43" s="408">
        <v>13005.61321196212</v>
      </c>
      <c r="DV43" s="408"/>
      <c r="DW43" s="408">
        <v>0</v>
      </c>
      <c r="DX43" s="408">
        <v>0</v>
      </c>
      <c r="DY43" s="408">
        <v>-9292.9200000000019</v>
      </c>
      <c r="DZ43" s="234"/>
      <c r="EA43" s="408">
        <v>0</v>
      </c>
      <c r="EB43" s="408"/>
      <c r="EC43" s="408">
        <v>-9555.3517084816249</v>
      </c>
      <c r="ED43" s="408"/>
      <c r="EE43" s="408">
        <v>0</v>
      </c>
      <c r="EF43" s="408">
        <v>0</v>
      </c>
      <c r="EG43" s="408"/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/>
      <c r="EN43" s="408"/>
      <c r="EO43" s="408">
        <v>0</v>
      </c>
      <c r="EP43" s="408">
        <v>0</v>
      </c>
      <c r="EQ43" s="408"/>
      <c r="ER43" s="408">
        <v>0</v>
      </c>
      <c r="ES43" s="408"/>
      <c r="ET43" s="408">
        <v>0</v>
      </c>
      <c r="EU43" s="408"/>
      <c r="EV43" s="408">
        <v>242</v>
      </c>
      <c r="EW43" s="408"/>
      <c r="EX43" s="408"/>
      <c r="EY43" s="408"/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42</v>
      </c>
      <c r="B44" s="408" t="s">
        <v>1036</v>
      </c>
      <c r="C44" s="408" t="s">
        <v>2239</v>
      </c>
      <c r="D44" s="408" t="s">
        <v>597</v>
      </c>
      <c r="E44" s="408" t="s">
        <v>974</v>
      </c>
      <c r="F44" s="408" t="s">
        <v>2248</v>
      </c>
      <c r="G44" s="408" t="s">
        <v>2250</v>
      </c>
      <c r="H44" s="408" t="s">
        <v>1322</v>
      </c>
      <c r="I44" s="408" t="s">
        <v>2240</v>
      </c>
      <c r="J44" s="408" t="s">
        <v>2232</v>
      </c>
      <c r="K44" s="828">
        <v>44378</v>
      </c>
      <c r="L44" s="408">
        <v>0</v>
      </c>
      <c r="M44" s="408">
        <v>0</v>
      </c>
      <c r="N44" s="408">
        <v>4.0599999999999996</v>
      </c>
      <c r="O44" s="408">
        <v>1.218</v>
      </c>
      <c r="P44" s="408">
        <v>4.0599999999999996</v>
      </c>
      <c r="Q44" s="408">
        <v>1.218</v>
      </c>
      <c r="R44" s="408"/>
      <c r="S44" s="408">
        <v>80.27</v>
      </c>
      <c r="T44" s="408">
        <v>216.76</v>
      </c>
      <c r="U44" s="408"/>
      <c r="V44" s="408">
        <v>1205.9417999999998</v>
      </c>
      <c r="W44" s="408">
        <v>1205.9417999999998</v>
      </c>
      <c r="X44" s="408">
        <v>1336.8361999999997</v>
      </c>
      <c r="Y44" s="408">
        <v>0</v>
      </c>
      <c r="Z44" s="408">
        <v>214.08882152295564</v>
      </c>
      <c r="AA44" s="408">
        <v>0</v>
      </c>
      <c r="AB44" s="408">
        <v>0</v>
      </c>
      <c r="AC44" s="408">
        <v>0</v>
      </c>
      <c r="AD44" s="408">
        <v>0</v>
      </c>
      <c r="AE44" s="408">
        <v>0</v>
      </c>
      <c r="AF44" s="408">
        <v>867.22209334396211</v>
      </c>
      <c r="AG44" s="408">
        <v>12.81906322999658</v>
      </c>
      <c r="AH44" s="408">
        <v>0</v>
      </c>
      <c r="AI44" s="408">
        <v>0</v>
      </c>
      <c r="AJ44" s="408">
        <v>0</v>
      </c>
      <c r="AK44" s="408">
        <v>0</v>
      </c>
      <c r="AL44" s="408">
        <v>38.05695265379326</v>
      </c>
      <c r="AM44" s="408"/>
      <c r="AN44" s="408">
        <v>5.5752821177958864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1.8566327157271212</v>
      </c>
      <c r="BE44" s="408">
        <v>0</v>
      </c>
      <c r="BF44" s="408">
        <v>0</v>
      </c>
      <c r="BG44" s="408">
        <v>66.324796717843299</v>
      </c>
      <c r="BH44" s="408">
        <v>0</v>
      </c>
      <c r="BI44" s="408">
        <v>0</v>
      </c>
      <c r="BJ44" s="408">
        <v>0</v>
      </c>
      <c r="BK44" s="408">
        <v>0</v>
      </c>
      <c r="BL44" s="408">
        <v>0</v>
      </c>
      <c r="BM44" s="408"/>
      <c r="BN44" s="408"/>
      <c r="BO44" s="408"/>
      <c r="BP44" s="408"/>
      <c r="BQ44" s="408"/>
      <c r="BR44" s="408"/>
      <c r="BS44" s="408">
        <v>935.78533999999991</v>
      </c>
      <c r="BT44" s="408"/>
      <c r="BU44" s="408"/>
      <c r="BV44" s="408">
        <v>935.40352277753254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401.70939999999996</v>
      </c>
      <c r="CJ44" s="408">
        <v>39.896860000000004</v>
      </c>
      <c r="CK44" s="408"/>
      <c r="CL44" s="408"/>
      <c r="CM44" s="408"/>
      <c r="CN44" s="408"/>
      <c r="CO44" s="408">
        <v>-1.5834000000000021</v>
      </c>
      <c r="CP44" s="408">
        <v>132.47779999999997</v>
      </c>
      <c r="CQ44" s="408">
        <v>31</v>
      </c>
      <c r="CR44" s="408">
        <v>130.8984962977263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0</v>
      </c>
      <c r="DA44" s="408">
        <v>0</v>
      </c>
      <c r="DB44" s="408">
        <v>0</v>
      </c>
      <c r="DC44" s="408">
        <v>132.49482570493899</v>
      </c>
      <c r="DD44" s="408">
        <v>0</v>
      </c>
      <c r="DE44" s="408">
        <v>0</v>
      </c>
      <c r="DF44" s="408">
        <v>0.28365770424484515</v>
      </c>
      <c r="DG44" s="408">
        <v>10.133150952325849</v>
      </c>
      <c r="DH44" s="408">
        <v>0</v>
      </c>
      <c r="DI44" s="408">
        <v>-10.22856350346828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-1.5420909026658052</v>
      </c>
      <c r="DP44" s="408">
        <v>-0.24248365764919111</v>
      </c>
      <c r="DQ44" s="408">
        <v>0</v>
      </c>
      <c r="DR44" s="408">
        <v>0</v>
      </c>
      <c r="DS44" s="408"/>
      <c r="DT44" s="408"/>
      <c r="DU44" s="408"/>
      <c r="DV44" s="408">
        <v>0</v>
      </c>
      <c r="DW44" s="408">
        <v>0</v>
      </c>
      <c r="DX44" s="408">
        <v>0</v>
      </c>
      <c r="DY44" s="408">
        <v>-1.5834000000000401</v>
      </c>
      <c r="DZ44" s="234">
        <v>132.47779999999989</v>
      </c>
      <c r="EA44" s="408">
        <v>0</v>
      </c>
      <c r="EB44" s="408">
        <v>0</v>
      </c>
      <c r="EC44" s="408">
        <v>0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242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43</v>
      </c>
      <c r="B45" s="408" t="s">
        <v>1036</v>
      </c>
      <c r="C45" s="408" t="s">
        <v>2231</v>
      </c>
      <c r="D45" s="408" t="s">
        <v>2241</v>
      </c>
      <c r="E45" s="408" t="s">
        <v>974</v>
      </c>
      <c r="F45" s="408" t="s">
        <v>2251</v>
      </c>
      <c r="G45" s="408" t="s">
        <v>2249</v>
      </c>
      <c r="H45" s="408" t="s">
        <v>1322</v>
      </c>
      <c r="I45" s="408" t="s">
        <v>1322</v>
      </c>
      <c r="J45" s="408" t="s">
        <v>2232</v>
      </c>
      <c r="K45" s="828">
        <v>44378</v>
      </c>
      <c r="L45" s="408">
        <v>0</v>
      </c>
      <c r="M45" s="408">
        <v>0</v>
      </c>
      <c r="N45" s="408">
        <v>0</v>
      </c>
      <c r="O45" s="408">
        <v>0</v>
      </c>
      <c r="P45" s="408">
        <v>0</v>
      </c>
      <c r="Q45" s="408">
        <v>0</v>
      </c>
      <c r="R45" s="408"/>
      <c r="S45" s="408"/>
      <c r="T45" s="408"/>
      <c r="U45" s="408"/>
      <c r="V45" s="408"/>
      <c r="W45" s="408"/>
      <c r="X45" s="408"/>
      <c r="Y45" s="408"/>
      <c r="Z45" s="408"/>
      <c r="AA45" s="408">
        <v>0</v>
      </c>
      <c r="AB45" s="408"/>
      <c r="AC45" s="408"/>
      <c r="AD45" s="408"/>
      <c r="AE45" s="408"/>
      <c r="AF45" s="408"/>
      <c r="AG45" s="408"/>
      <c r="AH45" s="408"/>
      <c r="AI45" s="408"/>
      <c r="AJ45" s="408"/>
      <c r="AK45" s="408"/>
      <c r="AL45" s="408"/>
      <c r="AM45" s="408"/>
      <c r="AN45" s="408"/>
      <c r="AO45" s="408"/>
      <c r="AP45" s="408"/>
      <c r="AQ45" s="408"/>
      <c r="AR45" s="408"/>
      <c r="AS45" s="408"/>
      <c r="AT45" s="408"/>
      <c r="AU45" s="408"/>
      <c r="AV45" s="408"/>
      <c r="AW45" s="408"/>
      <c r="AX45" s="408"/>
      <c r="AY45" s="408"/>
      <c r="AZ45" s="408">
        <v>0</v>
      </c>
      <c r="BA45" s="408"/>
      <c r="BB45" s="408"/>
      <c r="BC45" s="408"/>
      <c r="BD45" s="408"/>
      <c r="BE45" s="408"/>
      <c r="BF45" s="408"/>
      <c r="BG45" s="408"/>
      <c r="BH45" s="408"/>
      <c r="BI45" s="408">
        <v>20.97</v>
      </c>
      <c r="BJ45" s="408">
        <v>96.36</v>
      </c>
      <c r="BK45" s="408">
        <v>69.14</v>
      </c>
      <c r="BL45" s="408">
        <v>9</v>
      </c>
      <c r="BM45" s="408"/>
      <c r="BN45" s="408"/>
      <c r="BO45" s="408"/>
      <c r="BP45" s="408"/>
      <c r="BQ45" s="408"/>
      <c r="BR45" s="408"/>
      <c r="BS45" s="408"/>
      <c r="BT45" s="408"/>
      <c r="BU45" s="408"/>
      <c r="BV45" s="408"/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/>
      <c r="CJ45" s="408">
        <v>-0.03</v>
      </c>
      <c r="CK45" s="408"/>
      <c r="CL45" s="408"/>
      <c r="CM45" s="408"/>
      <c r="CN45" s="408"/>
      <c r="CO45" s="408">
        <v>0</v>
      </c>
      <c r="CP45" s="408">
        <v>0</v>
      </c>
      <c r="CQ45" s="408">
        <v>31</v>
      </c>
      <c r="CR45" s="408"/>
      <c r="CS45" s="408"/>
      <c r="CT45" s="408"/>
      <c r="CU45" s="408"/>
      <c r="CV45" s="408"/>
      <c r="CW45" s="408"/>
      <c r="CX45" s="408"/>
      <c r="CY45" s="408"/>
      <c r="CZ45" s="408"/>
      <c r="DA45" s="408"/>
      <c r="DB45" s="408"/>
      <c r="DC45" s="408"/>
      <c r="DD45" s="408"/>
      <c r="DE45" s="408"/>
      <c r="DF45" s="408"/>
      <c r="DG45" s="408"/>
      <c r="DH45" s="408"/>
      <c r="DI45" s="408"/>
      <c r="DJ45" s="408"/>
      <c r="DK45" s="408">
        <v>0</v>
      </c>
      <c r="DL45" s="408"/>
      <c r="DM45" s="408"/>
      <c r="DN45" s="408"/>
      <c r="DO45" s="408"/>
      <c r="DP45" s="408"/>
      <c r="DQ45" s="408"/>
      <c r="DR45" s="408"/>
      <c r="DS45" s="408"/>
      <c r="DT45" s="408"/>
      <c r="DU45" s="408"/>
      <c r="DV45" s="408"/>
      <c r="DW45" s="408"/>
      <c r="DX45" s="408"/>
      <c r="DY45" s="408"/>
      <c r="DZ45" s="234"/>
      <c r="EA45" s="408"/>
      <c r="EB45" s="408"/>
      <c r="EC45" s="408"/>
      <c r="ED45" s="408"/>
      <c r="EE45" s="408"/>
      <c r="EF45" s="408"/>
      <c r="EG45" s="408"/>
      <c r="EH45" s="408"/>
      <c r="EI45" s="408"/>
      <c r="EJ45" s="408"/>
      <c r="EK45" s="408"/>
      <c r="EL45" s="408"/>
      <c r="EM45" s="408"/>
      <c r="EN45" s="408"/>
      <c r="EO45" s="408"/>
      <c r="EP45" s="408"/>
      <c r="EQ45" s="408"/>
      <c r="ER45" s="408"/>
      <c r="ES45" s="408"/>
      <c r="ET45" s="408"/>
      <c r="EU45" s="408"/>
      <c r="EV45" s="408">
        <v>242</v>
      </c>
      <c r="EW45" s="408"/>
      <c r="EX45" s="408"/>
      <c r="EY45" s="408"/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44</v>
      </c>
      <c r="B46" s="408" t="s">
        <v>1036</v>
      </c>
      <c r="C46" s="408" t="s">
        <v>2231</v>
      </c>
      <c r="D46" s="408" t="s">
        <v>2241</v>
      </c>
      <c r="E46" s="408" t="s">
        <v>974</v>
      </c>
      <c r="F46" s="408" t="s">
        <v>2251</v>
      </c>
      <c r="G46" s="408" t="s">
        <v>2249</v>
      </c>
      <c r="H46" s="408" t="s">
        <v>1322</v>
      </c>
      <c r="I46" s="408" t="s">
        <v>1322</v>
      </c>
      <c r="J46" s="408" t="s">
        <v>2232</v>
      </c>
      <c r="K46" s="828">
        <v>44378</v>
      </c>
      <c r="L46" s="408">
        <v>0</v>
      </c>
      <c r="M46" s="408">
        <v>0</v>
      </c>
      <c r="N46" s="408">
        <v>6.9</v>
      </c>
      <c r="O46" s="408">
        <v>6.9</v>
      </c>
      <c r="P46" s="408">
        <v>6.9</v>
      </c>
      <c r="Q46" s="408">
        <v>6.9</v>
      </c>
      <c r="R46" s="408"/>
      <c r="S46" s="408">
        <v>571.87</v>
      </c>
      <c r="T46" s="408">
        <v>216.76</v>
      </c>
      <c r="U46" s="408"/>
      <c r="V46" s="408">
        <v>5441.5470000000005</v>
      </c>
      <c r="W46" s="408">
        <v>5441.5470000000005</v>
      </c>
      <c r="X46" s="408">
        <v>3546.6689999999999</v>
      </c>
      <c r="Y46" s="408">
        <v>0</v>
      </c>
      <c r="Z46" s="408">
        <v>418.21325760387123</v>
      </c>
      <c r="AA46" s="408">
        <v>0</v>
      </c>
      <c r="AB46" s="408">
        <v>0</v>
      </c>
      <c r="AC46" s="408">
        <v>0</v>
      </c>
      <c r="AD46" s="408">
        <v>5.6712045266061111</v>
      </c>
      <c r="AE46" s="408">
        <v>2942.0473146292238</v>
      </c>
      <c r="AF46" s="408">
        <v>1473.8503556830885</v>
      </c>
      <c r="AG46" s="408">
        <v>21.786092681521286</v>
      </c>
      <c r="AH46" s="408">
        <v>0</v>
      </c>
      <c r="AI46" s="408">
        <v>0</v>
      </c>
      <c r="AJ46" s="408">
        <v>0</v>
      </c>
      <c r="AK46" s="408">
        <v>0</v>
      </c>
      <c r="AL46" s="408">
        <v>64.678072244131414</v>
      </c>
      <c r="AM46" s="408"/>
      <c r="AN46" s="408">
        <v>13.237439937470397</v>
      </c>
      <c r="AO46" s="408">
        <v>61.283714468809592</v>
      </c>
      <c r="AP46" s="408">
        <v>192.00702529326955</v>
      </c>
      <c r="AQ46" s="408">
        <v>0</v>
      </c>
      <c r="AR46" s="408">
        <v>0</v>
      </c>
      <c r="AS46" s="408">
        <v>0</v>
      </c>
      <c r="AT46" s="408">
        <v>0</v>
      </c>
      <c r="AU46" s="408">
        <v>0</v>
      </c>
      <c r="AV46" s="408">
        <v>0</v>
      </c>
      <c r="AW46" s="408">
        <v>0</v>
      </c>
      <c r="AX46" s="408">
        <v>0</v>
      </c>
      <c r="AY46" s="408">
        <v>0</v>
      </c>
      <c r="AZ46" s="408">
        <v>0</v>
      </c>
      <c r="BA46" s="408"/>
      <c r="BB46" s="408">
        <v>0</v>
      </c>
      <c r="BC46" s="408">
        <v>0</v>
      </c>
      <c r="BD46" s="408">
        <v>4.1059803909815908</v>
      </c>
      <c r="BE46" s="408">
        <v>0</v>
      </c>
      <c r="BF46" s="408">
        <v>0</v>
      </c>
      <c r="BG46" s="408">
        <v>244.66183851889346</v>
      </c>
      <c r="BH46" s="408">
        <v>0</v>
      </c>
      <c r="BI46" s="408">
        <v>0</v>
      </c>
      <c r="BJ46" s="408">
        <v>0</v>
      </c>
      <c r="BK46" s="408">
        <v>0</v>
      </c>
      <c r="BL46" s="408">
        <v>0</v>
      </c>
      <c r="BM46" s="408"/>
      <c r="BN46" s="408"/>
      <c r="BO46" s="408"/>
      <c r="BP46" s="408"/>
      <c r="BQ46" s="408"/>
      <c r="BR46" s="408">
        <v>425.59199999999987</v>
      </c>
      <c r="BS46" s="408"/>
      <c r="BT46" s="408"/>
      <c r="BU46" s="408"/>
      <c r="BV46" s="408">
        <v>1722.6181745929637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3121.0770000000002</v>
      </c>
      <c r="CJ46" s="408">
        <v>-1667.5530000000008</v>
      </c>
      <c r="CK46" s="408"/>
      <c r="CL46" s="408"/>
      <c r="CM46" s="408"/>
      <c r="CN46" s="408"/>
      <c r="CO46" s="408">
        <v>-2120.0250000000001</v>
      </c>
      <c r="CP46" s="408">
        <v>225.14699999999999</v>
      </c>
      <c r="CQ46" s="408">
        <v>31</v>
      </c>
      <c r="CR46" s="408">
        <v>266.68711034088392</v>
      </c>
      <c r="CS46" s="408">
        <v>6.321508554592711</v>
      </c>
      <c r="CT46" s="408">
        <v>19.805817311400688</v>
      </c>
      <c r="CU46" s="408">
        <v>0</v>
      </c>
      <c r="CV46" s="408">
        <v>0</v>
      </c>
      <c r="CW46" s="408">
        <v>0</v>
      </c>
      <c r="CX46" s="408">
        <v>0</v>
      </c>
      <c r="CY46" s="408">
        <v>0</v>
      </c>
      <c r="CZ46" s="408">
        <v>0.55450235961960104</v>
      </c>
      <c r="DA46" s="408">
        <v>0</v>
      </c>
      <c r="DB46" s="408">
        <v>0</v>
      </c>
      <c r="DC46" s="408">
        <v>225.17593531134958</v>
      </c>
      <c r="DD46" s="408">
        <v>0</v>
      </c>
      <c r="DE46" s="408">
        <v>0</v>
      </c>
      <c r="DF46" s="408">
        <v>0.62731468723691552</v>
      </c>
      <c r="DG46" s="408">
        <v>37.3796146339117</v>
      </c>
      <c r="DH46" s="408">
        <v>0</v>
      </c>
      <c r="DI46" s="408">
        <v>-19.981056614555428</v>
      </c>
      <c r="DJ46" s="408"/>
      <c r="DK46" s="408">
        <v>0</v>
      </c>
      <c r="DL46" s="408">
        <v>0</v>
      </c>
      <c r="DM46" s="408">
        <v>0</v>
      </c>
      <c r="DN46" s="408">
        <v>0</v>
      </c>
      <c r="DO46" s="408">
        <v>-2.6207948838409081</v>
      </c>
      <c r="DP46" s="408">
        <v>-0.57573101883107292</v>
      </c>
      <c r="DQ46" s="408">
        <v>0</v>
      </c>
      <c r="DR46" s="408">
        <v>0</v>
      </c>
      <c r="DS46" s="408"/>
      <c r="DT46" s="408"/>
      <c r="DU46" s="408"/>
      <c r="DV46" s="408">
        <v>2942.0473146292238</v>
      </c>
      <c r="DW46" s="408">
        <v>0</v>
      </c>
      <c r="DX46" s="408">
        <v>0</v>
      </c>
      <c r="DY46" s="408">
        <v>-2120.0250000000001</v>
      </c>
      <c r="DZ46" s="234">
        <v>225.14699999999993</v>
      </c>
      <c r="EA46" s="408">
        <v>0</v>
      </c>
      <c r="EB46" s="408">
        <v>0</v>
      </c>
      <c r="EC46" s="408">
        <v>-2161.5510453916486</v>
      </c>
      <c r="ED46" s="408">
        <v>0</v>
      </c>
      <c r="EE46" s="408">
        <v>0</v>
      </c>
      <c r="EF46" s="408">
        <v>0</v>
      </c>
      <c r="EG46" s="408">
        <v>0</v>
      </c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>
        <v>0</v>
      </c>
      <c r="EN46" s="408">
        <v>0</v>
      </c>
      <c r="EO46" s="408">
        <v>0</v>
      </c>
      <c r="EP46" s="408">
        <v>0</v>
      </c>
      <c r="EQ46" s="408">
        <v>0</v>
      </c>
      <c r="ER46" s="408">
        <v>0</v>
      </c>
      <c r="ES46" s="408">
        <v>0</v>
      </c>
      <c r="ET46" s="408">
        <v>0</v>
      </c>
      <c r="EU46" s="408">
        <v>0</v>
      </c>
      <c r="EV46" s="408">
        <v>242</v>
      </c>
      <c r="EW46" s="408">
        <v>0</v>
      </c>
      <c r="EX46" s="408">
        <v>0</v>
      </c>
      <c r="EY46" s="408">
        <v>0</v>
      </c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45</v>
      </c>
      <c r="B47" s="408" t="s">
        <v>1036</v>
      </c>
      <c r="C47" s="408" t="s">
        <v>2231</v>
      </c>
      <c r="D47" s="408" t="s">
        <v>2241</v>
      </c>
      <c r="E47" s="408" t="s">
        <v>974</v>
      </c>
      <c r="F47" s="408" t="s">
        <v>2251</v>
      </c>
      <c r="G47" s="408" t="s">
        <v>2250</v>
      </c>
      <c r="H47" s="408" t="s">
        <v>1322</v>
      </c>
      <c r="I47" s="408" t="s">
        <v>1322</v>
      </c>
      <c r="J47" s="408" t="s">
        <v>2232</v>
      </c>
      <c r="K47" s="828">
        <v>44378</v>
      </c>
      <c r="L47" s="408">
        <v>0</v>
      </c>
      <c r="M47" s="408">
        <v>0</v>
      </c>
      <c r="N47" s="408">
        <v>5.101</v>
      </c>
      <c r="O47" s="408">
        <v>2.0404</v>
      </c>
      <c r="P47" s="408">
        <v>5.101</v>
      </c>
      <c r="Q47" s="408">
        <v>2.0404</v>
      </c>
      <c r="R47" s="408"/>
      <c r="S47" s="408">
        <v>571.87</v>
      </c>
      <c r="T47" s="408">
        <v>216.76</v>
      </c>
      <c r="U47" s="408"/>
      <c r="V47" s="408">
        <v>4022.8016299999999</v>
      </c>
      <c r="W47" s="408">
        <v>4022.8016299999999</v>
      </c>
      <c r="X47" s="408">
        <v>2621.9650099999999</v>
      </c>
      <c r="Y47" s="408">
        <v>0</v>
      </c>
      <c r="Z47" s="408">
        <v>309.17475754164445</v>
      </c>
      <c r="AA47" s="408">
        <v>0</v>
      </c>
      <c r="AB47" s="408">
        <v>0</v>
      </c>
      <c r="AC47" s="408">
        <v>0</v>
      </c>
      <c r="AD47" s="408">
        <v>4.1925817811909809</v>
      </c>
      <c r="AE47" s="408">
        <v>2174.9830944816913</v>
      </c>
      <c r="AF47" s="408">
        <v>1089.5812557013674</v>
      </c>
      <c r="AG47" s="408">
        <v>16.105921560643488</v>
      </c>
      <c r="AH47" s="408">
        <v>0</v>
      </c>
      <c r="AI47" s="408">
        <v>0</v>
      </c>
      <c r="AJ47" s="408">
        <v>0</v>
      </c>
      <c r="AK47" s="408">
        <v>0</v>
      </c>
      <c r="AL47" s="408">
        <v>47.814905292364394</v>
      </c>
      <c r="AM47" s="408"/>
      <c r="AN47" s="408">
        <v>9.7861132059473181</v>
      </c>
      <c r="AO47" s="408">
        <v>45.305540218173583</v>
      </c>
      <c r="AP47" s="408">
        <v>141.94606319144464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3.0354501412169705</v>
      </c>
      <c r="BE47" s="408">
        <v>0</v>
      </c>
      <c r="BF47" s="408">
        <v>0</v>
      </c>
      <c r="BG47" s="408">
        <v>180.87246931664862</v>
      </c>
      <c r="BH47" s="408">
        <v>0</v>
      </c>
      <c r="BI47" s="408">
        <v>0</v>
      </c>
      <c r="BJ47" s="408">
        <v>0</v>
      </c>
      <c r="BK47" s="408">
        <v>0</v>
      </c>
      <c r="BL47" s="408">
        <v>0</v>
      </c>
      <c r="BM47" s="408"/>
      <c r="BN47" s="408"/>
      <c r="BO47" s="408"/>
      <c r="BP47" s="408"/>
      <c r="BQ47" s="408"/>
      <c r="BR47" s="408"/>
      <c r="BS47" s="408">
        <v>1699.030878</v>
      </c>
      <c r="BT47" s="408"/>
      <c r="BU47" s="408"/>
      <c r="BV47" s="408">
        <v>1273.4891751592329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922.75320000000011</v>
      </c>
      <c r="CJ47" s="408">
        <v>-493.31439999999998</v>
      </c>
      <c r="CK47" s="408"/>
      <c r="CL47" s="408"/>
      <c r="CM47" s="408"/>
      <c r="CN47" s="408"/>
      <c r="CO47" s="408">
        <v>-1567.28225</v>
      </c>
      <c r="CP47" s="408">
        <v>166.44562999999997</v>
      </c>
      <c r="CQ47" s="408">
        <v>31</v>
      </c>
      <c r="CR47" s="408">
        <v>197.15521012302202</v>
      </c>
      <c r="CS47" s="408">
        <v>4.6733355270981747</v>
      </c>
      <c r="CT47" s="408">
        <v>14.641952768906492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0.4099299328144328</v>
      </c>
      <c r="DA47" s="408">
        <v>0</v>
      </c>
      <c r="DB47" s="408">
        <v>0</v>
      </c>
      <c r="DC47" s="408">
        <v>166.46702116278175</v>
      </c>
      <c r="DD47" s="408">
        <v>0</v>
      </c>
      <c r="DE47" s="408">
        <v>0</v>
      </c>
      <c r="DF47" s="408">
        <v>0.46375829269500013</v>
      </c>
      <c r="DG47" s="408">
        <v>27.633828151823707</v>
      </c>
      <c r="DH47" s="408">
        <v>0</v>
      </c>
      <c r="DI47" s="408">
        <v>-14.771502868238713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-1.9374890873148516</v>
      </c>
      <c r="DP47" s="408">
        <v>-0.42562375754453718</v>
      </c>
      <c r="DQ47" s="408">
        <v>0</v>
      </c>
      <c r="DR47" s="408">
        <v>0</v>
      </c>
      <c r="DS47" s="408"/>
      <c r="DT47" s="408"/>
      <c r="DU47" s="408"/>
      <c r="DV47" s="408">
        <v>2174.9830944816913</v>
      </c>
      <c r="DW47" s="408">
        <v>0</v>
      </c>
      <c r="DX47" s="408">
        <v>0</v>
      </c>
      <c r="DY47" s="408">
        <v>-1567.28225</v>
      </c>
      <c r="DZ47" s="234">
        <v>166.44562999999994</v>
      </c>
      <c r="EA47" s="408">
        <v>0</v>
      </c>
      <c r="EB47" s="408">
        <v>0</v>
      </c>
      <c r="EC47" s="408">
        <v>-1597.9814322525797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242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46</v>
      </c>
      <c r="B48" s="408" t="s">
        <v>1036</v>
      </c>
      <c r="C48" s="408" t="s">
        <v>2231</v>
      </c>
      <c r="D48" s="408" t="s">
        <v>1952</v>
      </c>
      <c r="E48" s="408" t="s">
        <v>969</v>
      </c>
      <c r="F48" s="408" t="s">
        <v>969</v>
      </c>
      <c r="G48" s="408" t="s">
        <v>1322</v>
      </c>
      <c r="H48" s="408" t="s">
        <v>1322</v>
      </c>
      <c r="I48" s="408" t="s">
        <v>1322</v>
      </c>
      <c r="J48" s="408" t="s">
        <v>2232</v>
      </c>
      <c r="K48" s="828">
        <v>44409</v>
      </c>
      <c r="L48" s="408">
        <v>0</v>
      </c>
      <c r="M48" s="408">
        <v>0</v>
      </c>
      <c r="N48" s="408">
        <v>717.05399999999997</v>
      </c>
      <c r="O48" s="408">
        <v>717.05399999999997</v>
      </c>
      <c r="P48" s="408">
        <v>717.05399999999997</v>
      </c>
      <c r="Q48" s="408">
        <v>717.05399999999997</v>
      </c>
      <c r="R48" s="408"/>
      <c r="S48" s="408">
        <v>571.87</v>
      </c>
      <c r="T48" s="408">
        <v>216.76</v>
      </c>
      <c r="U48" s="408"/>
      <c r="V48" s="408">
        <v>565490.29602000001</v>
      </c>
      <c r="W48" s="408">
        <v>565490.29602000001</v>
      </c>
      <c r="X48" s="408">
        <v>368572.92653999996</v>
      </c>
      <c r="Y48" s="408">
        <v>0</v>
      </c>
      <c r="Z48" s="408">
        <v>43461.085393896559</v>
      </c>
      <c r="AA48" s="408">
        <v>0</v>
      </c>
      <c r="AB48" s="408">
        <v>0</v>
      </c>
      <c r="AC48" s="408">
        <v>0</v>
      </c>
      <c r="AD48" s="408">
        <v>589.35650588710405</v>
      </c>
      <c r="AE48" s="408">
        <v>305740.11523828161</v>
      </c>
      <c r="AF48" s="408">
        <v>153163.81057159149</v>
      </c>
      <c r="AG48" s="408">
        <v>2264.0296958921103</v>
      </c>
      <c r="AH48" s="408">
        <v>0</v>
      </c>
      <c r="AI48" s="408">
        <v>0</v>
      </c>
      <c r="AJ48" s="408">
        <v>0</v>
      </c>
      <c r="AK48" s="408">
        <v>0</v>
      </c>
      <c r="AL48" s="408">
        <v>6721.4015094120869</v>
      </c>
      <c r="AM48" s="408"/>
      <c r="AN48" s="408">
        <v>1375.6462691192605</v>
      </c>
      <c r="AO48" s="408">
        <v>6368.6568977851866</v>
      </c>
      <c r="AP48" s="408">
        <v>19953.537031107258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426.6970526485382</v>
      </c>
      <c r="BE48" s="408">
        <v>0</v>
      </c>
      <c r="BF48" s="408">
        <v>0</v>
      </c>
      <c r="BG48" s="408">
        <v>25425.471008308206</v>
      </c>
      <c r="BH48" s="408">
        <v>0</v>
      </c>
      <c r="BI48" s="408">
        <v>1833.03</v>
      </c>
      <c r="BJ48" s="408">
        <v>8491.2900000000009</v>
      </c>
      <c r="BK48" s="408">
        <v>184591.49</v>
      </c>
      <c r="BL48" s="408">
        <v>4419</v>
      </c>
      <c r="BM48" s="408"/>
      <c r="BN48" s="408"/>
      <c r="BO48" s="408"/>
      <c r="BP48" s="408"/>
      <c r="BQ48" s="408"/>
      <c r="BR48" s="408"/>
      <c r="BS48" s="408"/>
      <c r="BT48" s="408"/>
      <c r="BU48" s="408"/>
      <c r="BV48" s="408">
        <v>179015.97863254821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368570.87049999996</v>
      </c>
      <c r="CJ48" s="408">
        <v>-196919.45552000008</v>
      </c>
      <c r="CK48" s="408"/>
      <c r="CL48" s="408"/>
      <c r="CM48" s="408"/>
      <c r="CN48" s="408"/>
      <c r="CO48" s="408">
        <v>-220314.84149999998</v>
      </c>
      <c r="CP48" s="408">
        <v>23397.472019999997</v>
      </c>
      <c r="CQ48" s="408">
        <v>31</v>
      </c>
      <c r="CR48" s="408">
        <v>27714.356408459629</v>
      </c>
      <c r="CS48" s="408">
        <v>656.93666595723516</v>
      </c>
      <c r="CT48" s="408">
        <v>2058.237757450599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57.624367387633811</v>
      </c>
      <c r="DA48" s="408">
        <v>0</v>
      </c>
      <c r="DB48" s="408">
        <v>0</v>
      </c>
      <c r="DC48" s="408">
        <v>23400.479002716573</v>
      </c>
      <c r="DD48" s="408">
        <v>0</v>
      </c>
      <c r="DE48" s="408">
        <v>0</v>
      </c>
      <c r="DF48" s="408">
        <v>65.191087788692585</v>
      </c>
      <c r="DG48" s="408">
        <v>3884.5220567688266</v>
      </c>
      <c r="DH48" s="408">
        <v>0</v>
      </c>
      <c r="DI48" s="408">
        <v>-2076.4487782164433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-272.35528328081909</v>
      </c>
      <c r="DP48" s="408">
        <v>-59.830468112593735</v>
      </c>
      <c r="DQ48" s="408">
        <v>0</v>
      </c>
      <c r="DR48" s="408">
        <v>0</v>
      </c>
      <c r="DS48" s="408"/>
      <c r="DT48" s="408"/>
      <c r="DU48" s="408"/>
      <c r="DV48" s="408">
        <v>305740.11523828161</v>
      </c>
      <c r="DW48" s="408">
        <v>0</v>
      </c>
      <c r="DX48" s="408">
        <v>0</v>
      </c>
      <c r="DY48" s="408">
        <v>-220314.84150000001</v>
      </c>
      <c r="DZ48" s="234">
        <v>23397.472019999987</v>
      </c>
      <c r="EA48" s="408">
        <v>0</v>
      </c>
      <c r="EB48" s="408">
        <v>0</v>
      </c>
      <c r="EC48" s="408">
        <v>-224630.26424670476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242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47</v>
      </c>
      <c r="B49" s="408" t="s">
        <v>2233</v>
      </c>
      <c r="C49" s="408" t="s">
        <v>2231</v>
      </c>
      <c r="D49" s="408" t="s">
        <v>1952</v>
      </c>
      <c r="E49" s="408" t="s">
        <v>969</v>
      </c>
      <c r="F49" s="408" t="s">
        <v>969</v>
      </c>
      <c r="G49" s="408" t="s">
        <v>1322</v>
      </c>
      <c r="H49" s="408" t="s">
        <v>1322</v>
      </c>
      <c r="I49" s="408" t="s">
        <v>1322</v>
      </c>
      <c r="J49" s="408" t="s">
        <v>2232</v>
      </c>
      <c r="K49" s="828">
        <v>44409</v>
      </c>
      <c r="L49" s="408">
        <v>0</v>
      </c>
      <c r="M49" s="408">
        <v>0</v>
      </c>
      <c r="N49" s="408">
        <v>-2.3479999999999999</v>
      </c>
      <c r="O49" s="408">
        <v>-2.3479999999999999</v>
      </c>
      <c r="P49" s="408">
        <v>-2.3479999999999999</v>
      </c>
      <c r="Q49" s="408">
        <v>-2.3479999999999999</v>
      </c>
      <c r="R49" s="408"/>
      <c r="S49" s="408">
        <v>571.87</v>
      </c>
      <c r="T49" s="408">
        <v>216.76</v>
      </c>
      <c r="U49" s="408"/>
      <c r="V49" s="408">
        <v>-1851.7032399999998</v>
      </c>
      <c r="W49" s="408">
        <v>-1851.7032399999998</v>
      </c>
      <c r="X49" s="408">
        <v>-1206.8954799999999</v>
      </c>
      <c r="Y49" s="408">
        <v>0</v>
      </c>
      <c r="Z49" s="408">
        <v>-142.31372881940428</v>
      </c>
      <c r="AA49" s="408">
        <v>0</v>
      </c>
      <c r="AB49" s="408">
        <v>0</v>
      </c>
      <c r="AC49" s="408">
        <v>0</v>
      </c>
      <c r="AD49" s="408">
        <v>-1.9298533664450939</v>
      </c>
      <c r="AE49" s="408">
        <v>-1001.1488543115097</v>
      </c>
      <c r="AF49" s="408">
        <v>-501.53632393389728</v>
      </c>
      <c r="AG49" s="408">
        <v>-7.4135863211901407</v>
      </c>
      <c r="AH49" s="408">
        <v>0</v>
      </c>
      <c r="AI49" s="408">
        <v>0</v>
      </c>
      <c r="AJ49" s="408">
        <v>0</v>
      </c>
      <c r="AK49" s="408">
        <v>0</v>
      </c>
      <c r="AL49" s="408">
        <v>-22.009291830321818</v>
      </c>
      <c r="AM49" s="408"/>
      <c r="AN49" s="408">
        <v>-4.5045665178522452</v>
      </c>
      <c r="AO49" s="408">
        <v>-20.854226314893467</v>
      </c>
      <c r="AP49" s="408">
        <v>-65.33804280994157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-1.3972234721775036</v>
      </c>
      <c r="BE49" s="408">
        <v>0</v>
      </c>
      <c r="BF49" s="408">
        <v>0</v>
      </c>
      <c r="BG49" s="408">
        <v>-83.255941571356786</v>
      </c>
      <c r="BH49" s="408">
        <v>0</v>
      </c>
      <c r="BI49" s="408">
        <v>-9.34</v>
      </c>
      <c r="BJ49" s="408">
        <v>-42.85</v>
      </c>
      <c r="BK49" s="408">
        <v>-612.66</v>
      </c>
      <c r="BL49" s="408">
        <v>0</v>
      </c>
      <c r="BM49" s="408"/>
      <c r="BN49" s="408"/>
      <c r="BO49" s="408"/>
      <c r="BP49" s="408"/>
      <c r="BQ49" s="408"/>
      <c r="BR49" s="408"/>
      <c r="BS49" s="408"/>
      <c r="BT49" s="408"/>
      <c r="BU49" s="408"/>
      <c r="BV49" s="408">
        <v>-586.18948897743155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-1207.9235000000001</v>
      </c>
      <c r="CJ49" s="408">
        <v>643.74973999999975</v>
      </c>
      <c r="CK49" s="408"/>
      <c r="CL49" s="408"/>
      <c r="CM49" s="408"/>
      <c r="CN49" s="408"/>
      <c r="CO49" s="408">
        <v>721.423</v>
      </c>
      <c r="CP49" s="408">
        <v>-76.615239999999986</v>
      </c>
      <c r="CQ49" s="408">
        <v>31</v>
      </c>
      <c r="CR49" s="408">
        <v>-90.750918127593536</v>
      </c>
      <c r="CS49" s="408">
        <v>-2.151145229881692</v>
      </c>
      <c r="CT49" s="408">
        <v>-6.7397187024882328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-0.18869152759229335</v>
      </c>
      <c r="DA49" s="408">
        <v>0</v>
      </c>
      <c r="DB49" s="408">
        <v>0</v>
      </c>
      <c r="DC49" s="408">
        <v>-76.6250863929057</v>
      </c>
      <c r="DD49" s="408">
        <v>0</v>
      </c>
      <c r="DE49" s="408">
        <v>0</v>
      </c>
      <c r="DF49" s="408">
        <v>-0.21346882400467782</v>
      </c>
      <c r="DG49" s="408">
        <v>-12.719903646438354</v>
      </c>
      <c r="DH49" s="408">
        <v>0</v>
      </c>
      <c r="DI49" s="408">
        <v>6.7993508595617413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0.89182991119687571</v>
      </c>
      <c r="DP49" s="408">
        <v>0.19591542495874847</v>
      </c>
      <c r="DQ49" s="408">
        <v>0</v>
      </c>
      <c r="DR49" s="408">
        <v>0</v>
      </c>
      <c r="DS49" s="408"/>
      <c r="DT49" s="408"/>
      <c r="DU49" s="408"/>
      <c r="DV49" s="408">
        <v>-1001.1488543115097</v>
      </c>
      <c r="DW49" s="408">
        <v>0</v>
      </c>
      <c r="DX49" s="408">
        <v>0</v>
      </c>
      <c r="DY49" s="408">
        <v>721.42299999999989</v>
      </c>
      <c r="DZ49" s="234">
        <v>-76.615239999999972</v>
      </c>
      <c r="EA49" s="408">
        <v>0</v>
      </c>
      <c r="EB49" s="408">
        <v>0</v>
      </c>
      <c r="EC49" s="408">
        <v>735.55389196805663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242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48</v>
      </c>
      <c r="B50" s="408" t="s">
        <v>2234</v>
      </c>
      <c r="C50" s="408" t="s">
        <v>2231</v>
      </c>
      <c r="D50" s="408" t="s">
        <v>1952</v>
      </c>
      <c r="E50" s="408" t="s">
        <v>969</v>
      </c>
      <c r="F50" s="408" t="s">
        <v>969</v>
      </c>
      <c r="G50" s="408" t="s">
        <v>1322</v>
      </c>
      <c r="H50" s="408" t="s">
        <v>1322</v>
      </c>
      <c r="I50" s="408" t="s">
        <v>1322</v>
      </c>
      <c r="J50" s="408" t="s">
        <v>2232</v>
      </c>
      <c r="K50" s="828">
        <v>44409</v>
      </c>
      <c r="L50" s="408">
        <v>0</v>
      </c>
      <c r="M50" s="408">
        <v>0</v>
      </c>
      <c r="N50" s="408">
        <v>7.25</v>
      </c>
      <c r="O50" s="408">
        <v>7.25</v>
      </c>
      <c r="P50" s="408">
        <v>7.25</v>
      </c>
      <c r="Q50" s="408">
        <v>7.25</v>
      </c>
      <c r="R50" s="408"/>
      <c r="S50" s="408">
        <v>571.87</v>
      </c>
      <c r="T50" s="408">
        <v>216.76</v>
      </c>
      <c r="U50" s="408"/>
      <c r="V50" s="408">
        <v>5717.5675000000001</v>
      </c>
      <c r="W50" s="408">
        <v>5717.5675000000001</v>
      </c>
      <c r="X50" s="408">
        <v>3726.5725000000002</v>
      </c>
      <c r="Y50" s="408">
        <v>0</v>
      </c>
      <c r="Z50" s="408">
        <v>439.42697356928494</v>
      </c>
      <c r="AA50" s="408">
        <v>0</v>
      </c>
      <c r="AB50" s="408">
        <v>0</v>
      </c>
      <c r="AC50" s="408">
        <v>0</v>
      </c>
      <c r="AD50" s="408">
        <v>5.9588743214339566</v>
      </c>
      <c r="AE50" s="408">
        <v>3091.2815987046188</v>
      </c>
      <c r="AF50" s="408">
        <v>1548.610880971361</v>
      </c>
      <c r="AG50" s="408">
        <v>22.891184339279611</v>
      </c>
      <c r="AH50" s="408">
        <v>0</v>
      </c>
      <c r="AI50" s="408">
        <v>0</v>
      </c>
      <c r="AJ50" s="408">
        <v>0</v>
      </c>
      <c r="AK50" s="408">
        <v>0</v>
      </c>
      <c r="AL50" s="408">
        <v>67.958844024630821</v>
      </c>
      <c r="AM50" s="408"/>
      <c r="AN50" s="408">
        <v>13.908904282124691</v>
      </c>
      <c r="AO50" s="408">
        <v>64.392308680995583</v>
      </c>
      <c r="AP50" s="408">
        <v>201.74651208350784</v>
      </c>
      <c r="AQ50" s="408">
        <v>0</v>
      </c>
      <c r="AR50" s="408">
        <v>0</v>
      </c>
      <c r="AS50" s="408">
        <v>0</v>
      </c>
      <c r="AT50" s="408">
        <v>0</v>
      </c>
      <c r="AU50" s="408">
        <v>0</v>
      </c>
      <c r="AV50" s="408">
        <v>0</v>
      </c>
      <c r="AW50" s="408">
        <v>0</v>
      </c>
      <c r="AX50" s="408">
        <v>0</v>
      </c>
      <c r="AY50" s="408">
        <v>0</v>
      </c>
      <c r="AZ50" s="408">
        <v>0</v>
      </c>
      <c r="BA50" s="408"/>
      <c r="BB50" s="408">
        <v>0</v>
      </c>
      <c r="BC50" s="408">
        <v>0</v>
      </c>
      <c r="BD50" s="408">
        <v>4.3142547586400779</v>
      </c>
      <c r="BE50" s="408">
        <v>0</v>
      </c>
      <c r="BF50" s="408">
        <v>0</v>
      </c>
      <c r="BG50" s="408">
        <v>257.07222163217068</v>
      </c>
      <c r="BH50" s="408">
        <v>0</v>
      </c>
      <c r="BI50" s="408">
        <v>18.329999999999998</v>
      </c>
      <c r="BJ50" s="408">
        <v>86.43</v>
      </c>
      <c r="BK50" s="408">
        <v>5175.74</v>
      </c>
      <c r="BL50" s="408">
        <v>117</v>
      </c>
      <c r="BM50" s="408"/>
      <c r="BN50" s="408"/>
      <c r="BO50" s="408"/>
      <c r="BP50" s="408"/>
      <c r="BQ50" s="408"/>
      <c r="BR50" s="408"/>
      <c r="BS50" s="408"/>
      <c r="BT50" s="408"/>
      <c r="BU50" s="408"/>
      <c r="BV50" s="408">
        <v>1809.9973573621719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3726.5725000000002</v>
      </c>
      <c r="CJ50" s="408">
        <v>-1991.0250000000005</v>
      </c>
      <c r="CK50" s="408"/>
      <c r="CL50" s="408"/>
      <c r="CM50" s="408"/>
      <c r="CN50" s="408"/>
      <c r="CO50" s="408">
        <v>-2227.5625</v>
      </c>
      <c r="CP50" s="408">
        <v>236.56749999999997</v>
      </c>
      <c r="CQ50" s="408">
        <v>31</v>
      </c>
      <c r="CR50" s="408">
        <v>280.21471738716036</v>
      </c>
      <c r="CS50" s="408">
        <v>6.6421647856227821</v>
      </c>
      <c r="CT50" s="408">
        <v>20.810460218500737</v>
      </c>
      <c r="CU50" s="408">
        <v>0</v>
      </c>
      <c r="CV50" s="408">
        <v>0</v>
      </c>
      <c r="CW50" s="408">
        <v>0</v>
      </c>
      <c r="CX50" s="408">
        <v>0</v>
      </c>
      <c r="CY50" s="408">
        <v>0</v>
      </c>
      <c r="CZ50" s="408">
        <v>0.58262929090465398</v>
      </c>
      <c r="DA50" s="408">
        <v>0</v>
      </c>
      <c r="DB50" s="408">
        <v>0</v>
      </c>
      <c r="DC50" s="408">
        <v>236.59790304453395</v>
      </c>
      <c r="DD50" s="408">
        <v>0</v>
      </c>
      <c r="DE50" s="408">
        <v>0</v>
      </c>
      <c r="DF50" s="408">
        <v>0.659134997459077</v>
      </c>
      <c r="DG50" s="408">
        <v>39.275682042878202</v>
      </c>
      <c r="DH50" s="408">
        <v>0</v>
      </c>
      <c r="DI50" s="408">
        <v>-20.994588471815462</v>
      </c>
      <c r="DJ50" s="408"/>
      <c r="DK50" s="408">
        <v>0</v>
      </c>
      <c r="DL50" s="408">
        <v>0</v>
      </c>
      <c r="DM50" s="408">
        <v>0</v>
      </c>
      <c r="DN50" s="408">
        <v>0</v>
      </c>
      <c r="DO50" s="408">
        <v>-2.7537337547603613</v>
      </c>
      <c r="DP50" s="408">
        <v>-0.60493476616308328</v>
      </c>
      <c r="DQ50" s="408">
        <v>0</v>
      </c>
      <c r="DR50" s="408">
        <v>0</v>
      </c>
      <c r="DS50" s="408"/>
      <c r="DT50" s="408"/>
      <c r="DU50" s="408"/>
      <c r="DV50" s="408">
        <v>3091.2815987046188</v>
      </c>
      <c r="DW50" s="408">
        <v>0</v>
      </c>
      <c r="DX50" s="408">
        <v>0</v>
      </c>
      <c r="DY50" s="408">
        <v>-2227.5625</v>
      </c>
      <c r="DZ50" s="234">
        <v>236.56749999999988</v>
      </c>
      <c r="EA50" s="408">
        <v>0</v>
      </c>
      <c r="EB50" s="408">
        <v>0</v>
      </c>
      <c r="EC50" s="408">
        <v>-2271.1949389984711</v>
      </c>
      <c r="ED50" s="408">
        <v>0</v>
      </c>
      <c r="EE50" s="408">
        <v>0</v>
      </c>
      <c r="EF50" s="408">
        <v>0</v>
      </c>
      <c r="EG50" s="408">
        <v>0</v>
      </c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>
        <v>0</v>
      </c>
      <c r="EN50" s="408">
        <v>0</v>
      </c>
      <c r="EO50" s="408">
        <v>0</v>
      </c>
      <c r="EP50" s="408">
        <v>0</v>
      </c>
      <c r="EQ50" s="408">
        <v>0</v>
      </c>
      <c r="ER50" s="408">
        <v>0</v>
      </c>
      <c r="ES50" s="408">
        <v>0</v>
      </c>
      <c r="ET50" s="408">
        <v>0</v>
      </c>
      <c r="EU50" s="408">
        <v>0</v>
      </c>
      <c r="EV50" s="408">
        <v>242</v>
      </c>
      <c r="EW50" s="408">
        <v>0</v>
      </c>
      <c r="EX50" s="408">
        <v>0</v>
      </c>
      <c r="EY50" s="408">
        <v>0</v>
      </c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49</v>
      </c>
      <c r="B51" s="408" t="s">
        <v>2234</v>
      </c>
      <c r="C51" s="408" t="s">
        <v>2231</v>
      </c>
      <c r="D51" s="408" t="s">
        <v>1952</v>
      </c>
      <c r="E51" s="408" t="s">
        <v>969</v>
      </c>
      <c r="F51" s="408" t="s">
        <v>969</v>
      </c>
      <c r="G51" s="408" t="s">
        <v>1322</v>
      </c>
      <c r="H51" s="408" t="s">
        <v>1322</v>
      </c>
      <c r="I51" s="408" t="s">
        <v>1322</v>
      </c>
      <c r="J51" s="408" t="s">
        <v>2232</v>
      </c>
      <c r="K51" s="828">
        <v>44409</v>
      </c>
      <c r="L51" s="408">
        <v>0</v>
      </c>
      <c r="M51" s="408">
        <v>0</v>
      </c>
      <c r="N51" s="408">
        <v>-0.27300000000000002</v>
      </c>
      <c r="O51" s="408">
        <v>-0.27300000000000002</v>
      </c>
      <c r="P51" s="408">
        <v>-0.27300000000000002</v>
      </c>
      <c r="Q51" s="408">
        <v>-0.27300000000000002</v>
      </c>
      <c r="R51" s="408"/>
      <c r="S51" s="408">
        <v>571.87</v>
      </c>
      <c r="T51" s="408">
        <v>216.76</v>
      </c>
      <c r="U51" s="408"/>
      <c r="V51" s="408">
        <v>-215.29599000000002</v>
      </c>
      <c r="W51" s="408">
        <v>-215.29599000000002</v>
      </c>
      <c r="X51" s="408">
        <v>-140.32473000000002</v>
      </c>
      <c r="Y51" s="408">
        <v>0</v>
      </c>
      <c r="Z51" s="408">
        <v>-16.546698453022731</v>
      </c>
      <c r="AA51" s="408">
        <v>0</v>
      </c>
      <c r="AB51" s="408">
        <v>0</v>
      </c>
      <c r="AC51" s="408">
        <v>0</v>
      </c>
      <c r="AD51" s="408">
        <v>-0.22438243996572005</v>
      </c>
      <c r="AE51" s="408">
        <v>-116.40274157880842</v>
      </c>
      <c r="AF51" s="408">
        <v>-58.313209724852634</v>
      </c>
      <c r="AG51" s="408">
        <v>-0.86197149305149434</v>
      </c>
      <c r="AH51" s="408">
        <v>0</v>
      </c>
      <c r="AI51" s="408">
        <v>0</v>
      </c>
      <c r="AJ51" s="408">
        <v>0</v>
      </c>
      <c r="AK51" s="408">
        <v>0</v>
      </c>
      <c r="AL51" s="408">
        <v>-2.559001988789547</v>
      </c>
      <c r="AM51" s="408"/>
      <c r="AN51" s="408">
        <v>-0.52374218883035051</v>
      </c>
      <c r="AO51" s="408">
        <v>-2.4247034855050753</v>
      </c>
      <c r="AP51" s="408">
        <v>-7.5967996963858822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-0.16245400677361949</v>
      </c>
      <c r="BE51" s="408">
        <v>0</v>
      </c>
      <c r="BF51" s="408">
        <v>0</v>
      </c>
      <c r="BG51" s="408">
        <v>-9.6800988283562202</v>
      </c>
      <c r="BH51" s="408">
        <v>0</v>
      </c>
      <c r="BI51" s="408">
        <v>-1.71</v>
      </c>
      <c r="BJ51" s="408">
        <v>-7.83</v>
      </c>
      <c r="BK51" s="408">
        <v>-96.38</v>
      </c>
      <c r="BL51" s="408">
        <v>2</v>
      </c>
      <c r="BM51" s="408"/>
      <c r="BN51" s="408"/>
      <c r="BO51" s="408"/>
      <c r="BP51" s="408"/>
      <c r="BQ51" s="408"/>
      <c r="BR51" s="408"/>
      <c r="BS51" s="408"/>
      <c r="BT51" s="408"/>
      <c r="BU51" s="408"/>
      <c r="BV51" s="408">
        <v>-68.155762559982477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-138.78270000000001</v>
      </c>
      <c r="CJ51" s="408">
        <v>76.483290000000039</v>
      </c>
      <c r="CK51" s="408"/>
      <c r="CL51" s="408"/>
      <c r="CM51" s="408"/>
      <c r="CN51" s="408"/>
      <c r="CO51" s="408">
        <v>83.879250000000013</v>
      </c>
      <c r="CP51" s="408">
        <v>-8.9079899999999999</v>
      </c>
      <c r="CQ51" s="408">
        <v>31</v>
      </c>
      <c r="CR51" s="408">
        <v>-10.551533496095828</v>
      </c>
      <c r="CS51" s="408">
        <v>-0.25011186020345066</v>
      </c>
      <c r="CT51" s="408">
        <v>-0.78362146753802708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-2.1939006402340755E-2</v>
      </c>
      <c r="DA51" s="408">
        <v>0</v>
      </c>
      <c r="DB51" s="408">
        <v>0</v>
      </c>
      <c r="DC51" s="408">
        <v>-8.9091348318838257</v>
      </c>
      <c r="DD51" s="408">
        <v>0</v>
      </c>
      <c r="DE51" s="408">
        <v>0</v>
      </c>
      <c r="DF51" s="408">
        <v>-2.4819841973286627E-2</v>
      </c>
      <c r="DG51" s="408">
        <v>-1.4789325789938985</v>
      </c>
      <c r="DH51" s="408">
        <v>0</v>
      </c>
      <c r="DI51" s="408">
        <v>0.79055484866284509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0.10369231931718348</v>
      </c>
      <c r="DP51" s="408">
        <v>2.2778922918968547E-2</v>
      </c>
      <c r="DQ51" s="408">
        <v>0</v>
      </c>
      <c r="DR51" s="408">
        <v>0</v>
      </c>
      <c r="DS51" s="408"/>
      <c r="DT51" s="408"/>
      <c r="DU51" s="408"/>
      <c r="DV51" s="408">
        <v>-116.40274157880842</v>
      </c>
      <c r="DW51" s="408">
        <v>0</v>
      </c>
      <c r="DX51" s="408">
        <v>0</v>
      </c>
      <c r="DY51" s="408">
        <v>83.879250000000013</v>
      </c>
      <c r="DZ51" s="234">
        <v>-8.9079900000000052</v>
      </c>
      <c r="EA51" s="408">
        <v>0</v>
      </c>
      <c r="EB51" s="408">
        <v>0</v>
      </c>
      <c r="EC51" s="408">
        <v>85.522237013321757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242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50</v>
      </c>
      <c r="B52" s="408" t="s">
        <v>1036</v>
      </c>
      <c r="C52" s="408" t="s">
        <v>2231</v>
      </c>
      <c r="D52" s="408" t="s">
        <v>1952</v>
      </c>
      <c r="E52" s="408" t="s">
        <v>969</v>
      </c>
      <c r="F52" s="408" t="s">
        <v>2235</v>
      </c>
      <c r="G52" s="408" t="s">
        <v>1322</v>
      </c>
      <c r="H52" s="408" t="s">
        <v>1322</v>
      </c>
      <c r="I52" s="408" t="s">
        <v>1322</v>
      </c>
      <c r="J52" s="408" t="s">
        <v>2232</v>
      </c>
      <c r="K52" s="828">
        <v>44409</v>
      </c>
      <c r="L52" s="408">
        <v>0</v>
      </c>
      <c r="M52" s="408">
        <v>0</v>
      </c>
      <c r="N52" s="408">
        <v>3.39</v>
      </c>
      <c r="O52" s="408">
        <v>3.39</v>
      </c>
      <c r="P52" s="408">
        <v>3.39</v>
      </c>
      <c r="Q52" s="408">
        <v>3.39</v>
      </c>
      <c r="R52" s="408"/>
      <c r="S52" s="408">
        <v>501.89</v>
      </c>
      <c r="T52" s="408">
        <v>216.76</v>
      </c>
      <c r="U52" s="408"/>
      <c r="V52" s="408">
        <v>2436.2235000000001</v>
      </c>
      <c r="W52" s="408">
        <v>2436.2235000000001</v>
      </c>
      <c r="X52" s="408">
        <v>1516.347</v>
      </c>
      <c r="Y52" s="408">
        <v>0</v>
      </c>
      <c r="Z52" s="408">
        <v>0</v>
      </c>
      <c r="AA52" s="408">
        <v>0</v>
      </c>
      <c r="AB52" s="408">
        <v>0</v>
      </c>
      <c r="AC52" s="408">
        <v>0</v>
      </c>
      <c r="AD52" s="408">
        <v>2.7862874413325676</v>
      </c>
      <c r="AE52" s="408">
        <v>1445.4406371874013</v>
      </c>
      <c r="AF52" s="408">
        <v>724.10908779212605</v>
      </c>
      <c r="AG52" s="408">
        <v>10.703602056573501</v>
      </c>
      <c r="AH52" s="408">
        <v>0</v>
      </c>
      <c r="AI52" s="408">
        <v>0</v>
      </c>
      <c r="AJ52" s="408">
        <v>0</v>
      </c>
      <c r="AK52" s="408">
        <v>0</v>
      </c>
      <c r="AL52" s="408">
        <v>0</v>
      </c>
      <c r="AM52" s="408"/>
      <c r="AN52" s="408">
        <v>6.5036117953658907</v>
      </c>
      <c r="AO52" s="408">
        <v>30.108955369458627</v>
      </c>
      <c r="AP52" s="408">
        <v>94.333886339736779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2.0172860181779124</v>
      </c>
      <c r="BE52" s="408">
        <v>0</v>
      </c>
      <c r="BF52" s="408">
        <v>0</v>
      </c>
      <c r="BG52" s="408">
        <v>120.20342501145635</v>
      </c>
      <c r="BH52" s="408">
        <v>0</v>
      </c>
      <c r="BI52" s="408">
        <v>2.12</v>
      </c>
      <c r="BJ52" s="408">
        <v>10.050000000000001</v>
      </c>
      <c r="BK52" s="408">
        <v>213.08</v>
      </c>
      <c r="BL52" s="408">
        <v>8</v>
      </c>
      <c r="BM52" s="408"/>
      <c r="BN52" s="408"/>
      <c r="BO52" s="408"/>
      <c r="BP52" s="408"/>
      <c r="BQ52" s="408"/>
      <c r="BR52" s="408"/>
      <c r="BS52" s="408"/>
      <c r="BT52" s="408">
        <v>985.6085999999998</v>
      </c>
      <c r="BU52" s="408"/>
      <c r="BV52" s="408">
        <v>846.32979882176028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530.73840000000007</v>
      </c>
      <c r="CJ52" s="408">
        <v>-321.97829999999988</v>
      </c>
      <c r="CK52" s="408"/>
      <c r="CL52" s="408"/>
      <c r="CM52" s="408"/>
      <c r="CN52" s="408"/>
      <c r="CO52" s="408">
        <v>-1030.4922000000001</v>
      </c>
      <c r="CP52" s="408">
        <v>110.61569999999999</v>
      </c>
      <c r="CQ52" s="408">
        <v>31</v>
      </c>
      <c r="CR52" s="408">
        <v>142.12892472973317</v>
      </c>
      <c r="CS52" s="408">
        <v>3.1057846376912011</v>
      </c>
      <c r="CT52" s="408">
        <v>9.7306841573403347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0.27242942016093474</v>
      </c>
      <c r="DA52" s="408">
        <v>0</v>
      </c>
      <c r="DB52" s="408">
        <v>0</v>
      </c>
      <c r="DC52" s="408">
        <v>110.62991604427179</v>
      </c>
      <c r="DD52" s="408">
        <v>0</v>
      </c>
      <c r="DE52" s="408">
        <v>0</v>
      </c>
      <c r="DF52" s="408">
        <v>0.30820243329465802</v>
      </c>
      <c r="DG52" s="408">
        <v>18.364767189704452</v>
      </c>
      <c r="DH52" s="408">
        <v>0</v>
      </c>
      <c r="DI52" s="408">
        <v>0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0</v>
      </c>
      <c r="DP52" s="408">
        <v>-0.28285915273004925</v>
      </c>
      <c r="DQ52" s="408">
        <v>0</v>
      </c>
      <c r="DR52" s="408">
        <v>0</v>
      </c>
      <c r="DS52" s="408"/>
      <c r="DT52" s="408"/>
      <c r="DU52" s="408"/>
      <c r="DV52" s="408">
        <v>1445.4406371874013</v>
      </c>
      <c r="DW52" s="408">
        <v>0</v>
      </c>
      <c r="DX52" s="408">
        <v>0</v>
      </c>
      <c r="DY52" s="408">
        <v>-1030.4922000000001</v>
      </c>
      <c r="DZ52" s="234">
        <v>110.61569999999995</v>
      </c>
      <c r="EA52" s="408">
        <v>0</v>
      </c>
      <c r="EB52" s="408">
        <v>0</v>
      </c>
      <c r="EC52" s="408">
        <v>-1061.9794266489405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242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51</v>
      </c>
      <c r="B53" s="408" t="s">
        <v>1036</v>
      </c>
      <c r="C53" s="408" t="s">
        <v>2231</v>
      </c>
      <c r="D53" s="408" t="s">
        <v>1952</v>
      </c>
      <c r="E53" s="408" t="s">
        <v>969</v>
      </c>
      <c r="F53" s="408" t="s">
        <v>2236</v>
      </c>
      <c r="G53" s="408" t="s">
        <v>1322</v>
      </c>
      <c r="H53" s="408" t="s">
        <v>1322</v>
      </c>
      <c r="I53" s="408" t="s">
        <v>1322</v>
      </c>
      <c r="J53" s="408" t="s">
        <v>2232</v>
      </c>
      <c r="K53" s="828">
        <v>44409</v>
      </c>
      <c r="L53" s="408">
        <v>0</v>
      </c>
      <c r="M53" s="408">
        <v>0</v>
      </c>
      <c r="N53" s="408">
        <v>6.6449999999999996</v>
      </c>
      <c r="O53" s="408">
        <v>6.6449999999999996</v>
      </c>
      <c r="P53" s="408">
        <v>6.6449999999999996</v>
      </c>
      <c r="Q53" s="408">
        <v>6.6449999999999996</v>
      </c>
      <c r="R53" s="408"/>
      <c r="S53" s="408">
        <v>501.89</v>
      </c>
      <c r="T53" s="408">
        <v>216.76</v>
      </c>
      <c r="U53" s="408"/>
      <c r="V53" s="408">
        <v>4775.4292499999992</v>
      </c>
      <c r="W53" s="408">
        <v>4775.4292499999992</v>
      </c>
      <c r="X53" s="408">
        <v>2972.3085000000001</v>
      </c>
      <c r="Y53" s="408">
        <v>0</v>
      </c>
      <c r="Z53" s="408">
        <v>0</v>
      </c>
      <c r="AA53" s="408">
        <v>0</v>
      </c>
      <c r="AB53" s="408">
        <v>0</v>
      </c>
      <c r="AC53" s="408">
        <v>0</v>
      </c>
      <c r="AD53" s="408">
        <v>5.4616165332315365</v>
      </c>
      <c r="AE53" s="408">
        <v>2833.3194790885782</v>
      </c>
      <c r="AF53" s="408">
        <v>1419.3819729730612</v>
      </c>
      <c r="AG53" s="408">
        <v>20.98095447372593</v>
      </c>
      <c r="AH53" s="408">
        <v>0</v>
      </c>
      <c r="AI53" s="408">
        <v>0</v>
      </c>
      <c r="AJ53" s="408">
        <v>0</v>
      </c>
      <c r="AK53" s="408">
        <v>0</v>
      </c>
      <c r="AL53" s="408">
        <v>0</v>
      </c>
      <c r="AM53" s="408"/>
      <c r="AN53" s="408">
        <v>12.748230200650838</v>
      </c>
      <c r="AO53" s="408">
        <v>59.018881542788364</v>
      </c>
      <c r="AP53" s="408">
        <v>184.91111348895305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3.9542376374018362</v>
      </c>
      <c r="BE53" s="408">
        <v>0</v>
      </c>
      <c r="BF53" s="408">
        <v>0</v>
      </c>
      <c r="BG53" s="408">
        <v>235.61998796493432</v>
      </c>
      <c r="BH53" s="408">
        <v>0</v>
      </c>
      <c r="BI53" s="408">
        <v>7.9</v>
      </c>
      <c r="BJ53" s="408">
        <v>37.020000000000003</v>
      </c>
      <c r="BK53" s="408">
        <v>816.46</v>
      </c>
      <c r="BL53" s="408">
        <v>28</v>
      </c>
      <c r="BM53" s="408"/>
      <c r="BN53" s="408"/>
      <c r="BO53" s="408"/>
      <c r="BP53" s="408"/>
      <c r="BQ53" s="408"/>
      <c r="BR53" s="408"/>
      <c r="BS53" s="408"/>
      <c r="BT53" s="408">
        <v>1188.8569499999999</v>
      </c>
      <c r="BU53" s="408"/>
      <c r="BV53" s="408">
        <v>1658.9561985753974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1784.7935</v>
      </c>
      <c r="CJ53" s="408">
        <v>-1080.49405</v>
      </c>
      <c r="CK53" s="408"/>
      <c r="CL53" s="408"/>
      <c r="CM53" s="408"/>
      <c r="CN53" s="408"/>
      <c r="CO53" s="408">
        <v>-2019.9471000000001</v>
      </c>
      <c r="CP53" s="408">
        <v>216.82634999999996</v>
      </c>
      <c r="CQ53" s="408">
        <v>31</v>
      </c>
      <c r="CR53" s="408">
        <v>278.59784803217599</v>
      </c>
      <c r="CS53" s="408">
        <v>6.0878875862708099</v>
      </c>
      <c r="CT53" s="408">
        <v>19.07386319337067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0.53400988111192049</v>
      </c>
      <c r="DA53" s="408">
        <v>0</v>
      </c>
      <c r="DB53" s="408">
        <v>0</v>
      </c>
      <c r="DC53" s="408">
        <v>216.85421596288666</v>
      </c>
      <c r="DD53" s="408">
        <v>0</v>
      </c>
      <c r="DE53" s="408">
        <v>0</v>
      </c>
      <c r="DF53" s="408">
        <v>0.60413131836076861</v>
      </c>
      <c r="DG53" s="408">
        <v>35.998194093093247</v>
      </c>
      <c r="DH53" s="408">
        <v>0</v>
      </c>
      <c r="DI53" s="408">
        <v>0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0</v>
      </c>
      <c r="DP53" s="408">
        <v>-0.55445400291775115</v>
      </c>
      <c r="DQ53" s="408">
        <v>0</v>
      </c>
      <c r="DR53" s="408">
        <v>0</v>
      </c>
      <c r="DS53" s="408"/>
      <c r="DT53" s="408"/>
      <c r="DU53" s="408"/>
      <c r="DV53" s="408">
        <v>2833.3194790885782</v>
      </c>
      <c r="DW53" s="408">
        <v>0</v>
      </c>
      <c r="DX53" s="408">
        <v>0</v>
      </c>
      <c r="DY53" s="408">
        <v>-2019.9470999999999</v>
      </c>
      <c r="DZ53" s="234">
        <v>216.82635000000005</v>
      </c>
      <c r="EA53" s="408">
        <v>0</v>
      </c>
      <c r="EB53" s="408">
        <v>0</v>
      </c>
      <c r="EC53" s="408">
        <v>-2081.6676371923918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242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52</v>
      </c>
      <c r="B54" s="408" t="s">
        <v>1036</v>
      </c>
      <c r="C54" s="408" t="s">
        <v>2231</v>
      </c>
      <c r="D54" s="408" t="s">
        <v>1952</v>
      </c>
      <c r="E54" s="408" t="s">
        <v>969</v>
      </c>
      <c r="F54" s="408" t="s">
        <v>2237</v>
      </c>
      <c r="G54" s="408" t="s">
        <v>1322</v>
      </c>
      <c r="H54" s="408" t="s">
        <v>1322</v>
      </c>
      <c r="I54" s="408" t="s">
        <v>1322</v>
      </c>
      <c r="J54" s="408" t="s">
        <v>2232</v>
      </c>
      <c r="K54" s="828">
        <v>44409</v>
      </c>
      <c r="L54" s="408">
        <v>0</v>
      </c>
      <c r="M54" s="408">
        <v>0</v>
      </c>
      <c r="N54" s="408">
        <v>5.55</v>
      </c>
      <c r="O54" s="408">
        <v>5.55</v>
      </c>
      <c r="P54" s="408">
        <v>5.55</v>
      </c>
      <c r="Q54" s="408">
        <v>5.55</v>
      </c>
      <c r="R54" s="408"/>
      <c r="S54" s="408">
        <v>501.89</v>
      </c>
      <c r="T54" s="408">
        <v>216.76</v>
      </c>
      <c r="U54" s="408"/>
      <c r="V54" s="408">
        <v>3988.5074999999997</v>
      </c>
      <c r="W54" s="408">
        <v>3988.5074999999997</v>
      </c>
      <c r="X54" s="408">
        <v>2482.5149999999999</v>
      </c>
      <c r="Y54" s="408">
        <v>0</v>
      </c>
      <c r="Z54" s="408">
        <v>0</v>
      </c>
      <c r="AA54" s="408">
        <v>0</v>
      </c>
      <c r="AB54" s="408">
        <v>0</v>
      </c>
      <c r="AC54" s="408">
        <v>0</v>
      </c>
      <c r="AD54" s="408">
        <v>4.561621032270132</v>
      </c>
      <c r="AE54" s="408">
        <v>2366.4293617669841</v>
      </c>
      <c r="AF54" s="408">
        <v>1185.4883295711797</v>
      </c>
      <c r="AG54" s="408">
        <v>17.523596287310596</v>
      </c>
      <c r="AH54" s="408">
        <v>0</v>
      </c>
      <c r="AI54" s="408">
        <v>0</v>
      </c>
      <c r="AJ54" s="408">
        <v>0</v>
      </c>
      <c r="AK54" s="408">
        <v>0</v>
      </c>
      <c r="AL54" s="408">
        <v>0</v>
      </c>
      <c r="AM54" s="408"/>
      <c r="AN54" s="408">
        <v>10.647506036660971</v>
      </c>
      <c r="AO54" s="408">
        <v>49.293422507520759</v>
      </c>
      <c r="AP54" s="408">
        <v>154.44043338806463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3.3026364014417147</v>
      </c>
      <c r="BE54" s="408">
        <v>0</v>
      </c>
      <c r="BF54" s="408">
        <v>0</v>
      </c>
      <c r="BG54" s="408">
        <v>196.79321793910995</v>
      </c>
      <c r="BH54" s="408">
        <v>0</v>
      </c>
      <c r="BI54" s="408">
        <v>11.83</v>
      </c>
      <c r="BJ54" s="408">
        <v>55.3</v>
      </c>
      <c r="BK54" s="408">
        <v>1227.31</v>
      </c>
      <c r="BL54" s="408">
        <v>58</v>
      </c>
      <c r="BM54" s="408"/>
      <c r="BN54" s="408"/>
      <c r="BO54" s="408"/>
      <c r="BP54" s="408"/>
      <c r="BQ54" s="408"/>
      <c r="BR54" s="408"/>
      <c r="BS54" s="408"/>
      <c r="BT54" s="408">
        <v>248.25149999999991</v>
      </c>
      <c r="BU54" s="408"/>
      <c r="BV54" s="408">
        <v>1385.5841839117315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2234.2635</v>
      </c>
      <c r="CJ54" s="408">
        <v>-1355.3955000000005</v>
      </c>
      <c r="CK54" s="408"/>
      <c r="CL54" s="408"/>
      <c r="CM54" s="408"/>
      <c r="CN54" s="408"/>
      <c r="CO54" s="408">
        <v>-1687.0889999999999</v>
      </c>
      <c r="CP54" s="408">
        <v>181.09649999999996</v>
      </c>
      <c r="CQ54" s="408">
        <v>31</v>
      </c>
      <c r="CR54" s="408">
        <v>232.68894756637746</v>
      </c>
      <c r="CS54" s="408">
        <v>5.0846916634767467</v>
      </c>
      <c r="CT54" s="408">
        <v>15.930766098300552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0.44601276752011465</v>
      </c>
      <c r="DA54" s="408">
        <v>0</v>
      </c>
      <c r="DB54" s="408">
        <v>0</v>
      </c>
      <c r="DC54" s="408">
        <v>181.11977405478115</v>
      </c>
      <c r="DD54" s="408">
        <v>0</v>
      </c>
      <c r="DE54" s="408">
        <v>0</v>
      </c>
      <c r="DF54" s="408">
        <v>0.50457920495143149</v>
      </c>
      <c r="DG54" s="408">
        <v>30.066211770755046</v>
      </c>
      <c r="DH54" s="408">
        <v>0</v>
      </c>
      <c r="DI54" s="408">
        <v>0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0</v>
      </c>
      <c r="DP54" s="408">
        <v>-0.46308799340760309</v>
      </c>
      <c r="DQ54" s="408">
        <v>0</v>
      </c>
      <c r="DR54" s="408">
        <v>0</v>
      </c>
      <c r="DS54" s="408"/>
      <c r="DT54" s="408"/>
      <c r="DU54" s="408"/>
      <c r="DV54" s="408">
        <v>2366.4293617669841</v>
      </c>
      <c r="DW54" s="408">
        <v>0</v>
      </c>
      <c r="DX54" s="408">
        <v>0</v>
      </c>
      <c r="DY54" s="408">
        <v>-1687.0889999999997</v>
      </c>
      <c r="DZ54" s="234">
        <v>181.09650000000011</v>
      </c>
      <c r="EA54" s="408">
        <v>0</v>
      </c>
      <c r="EB54" s="408">
        <v>0</v>
      </c>
      <c r="EC54" s="408">
        <v>-1738.6388843367608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242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53</v>
      </c>
      <c r="B55" s="408" t="s">
        <v>1036</v>
      </c>
      <c r="C55" s="408" t="s">
        <v>2231</v>
      </c>
      <c r="D55" s="408" t="s">
        <v>1952</v>
      </c>
      <c r="E55" s="408" t="s">
        <v>969</v>
      </c>
      <c r="F55" s="408" t="s">
        <v>2238</v>
      </c>
      <c r="G55" s="408" t="s">
        <v>1322</v>
      </c>
      <c r="H55" s="408" t="s">
        <v>1322</v>
      </c>
      <c r="I55" s="408" t="s">
        <v>1322</v>
      </c>
      <c r="J55" s="408" t="s">
        <v>2232</v>
      </c>
      <c r="K55" s="828">
        <v>44409</v>
      </c>
      <c r="L55" s="408">
        <v>0</v>
      </c>
      <c r="M55" s="408">
        <v>0</v>
      </c>
      <c r="N55" s="408">
        <v>1.591</v>
      </c>
      <c r="O55" s="408">
        <v>1.591</v>
      </c>
      <c r="P55" s="408">
        <v>1.591</v>
      </c>
      <c r="Q55" s="408">
        <v>1.591</v>
      </c>
      <c r="R55" s="408"/>
      <c r="S55" s="408">
        <v>501.89</v>
      </c>
      <c r="T55" s="408">
        <v>216.76</v>
      </c>
      <c r="U55" s="408"/>
      <c r="V55" s="408">
        <v>1143.3721499999999</v>
      </c>
      <c r="W55" s="408">
        <v>1143.3721499999999</v>
      </c>
      <c r="X55" s="408">
        <v>711.65429999999992</v>
      </c>
      <c r="Y55" s="408">
        <v>0</v>
      </c>
      <c r="Z55" s="408">
        <v>0</v>
      </c>
      <c r="AA55" s="408">
        <v>0</v>
      </c>
      <c r="AB55" s="408">
        <v>0</v>
      </c>
      <c r="AC55" s="408">
        <v>0</v>
      </c>
      <c r="AD55" s="408">
        <v>1.3076646959174381</v>
      </c>
      <c r="AE55" s="408">
        <v>678.37641703986878</v>
      </c>
      <c r="AF55" s="408">
        <v>339.83998781040486</v>
      </c>
      <c r="AG55" s="408">
        <v>5.0234309356957052</v>
      </c>
      <c r="AH55" s="408">
        <v>0</v>
      </c>
      <c r="AI55" s="408">
        <v>0</v>
      </c>
      <c r="AJ55" s="408">
        <v>0</v>
      </c>
      <c r="AK55" s="408">
        <v>0</v>
      </c>
      <c r="AL55" s="408">
        <v>0</v>
      </c>
      <c r="AM55" s="408"/>
      <c r="AN55" s="408">
        <v>3.0522850638428118</v>
      </c>
      <c r="AO55" s="408">
        <v>14.130781118822616</v>
      </c>
      <c r="AP55" s="408">
        <v>44.272924237911859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0.94675576841329145</v>
      </c>
      <c r="BE55" s="408">
        <v>0</v>
      </c>
      <c r="BF55" s="408">
        <v>0</v>
      </c>
      <c r="BG55" s="408">
        <v>56.414055809211519</v>
      </c>
      <c r="BH55" s="408">
        <v>0</v>
      </c>
      <c r="BI55" s="408">
        <v>4.84</v>
      </c>
      <c r="BJ55" s="408">
        <v>22.76</v>
      </c>
      <c r="BK55" s="408">
        <v>504.76</v>
      </c>
      <c r="BL55" s="408">
        <v>19</v>
      </c>
      <c r="BM55" s="408"/>
      <c r="BN55" s="408"/>
      <c r="BO55" s="408"/>
      <c r="BP55" s="408"/>
      <c r="BQ55" s="408"/>
      <c r="BR55" s="408"/>
      <c r="BS55" s="408"/>
      <c r="BT55" s="408"/>
      <c r="BU55" s="408"/>
      <c r="BV55" s="408">
        <v>397.20079938802968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711.20699999999999</v>
      </c>
      <c r="CJ55" s="408">
        <v>-432.1951499999999</v>
      </c>
      <c r="CK55" s="408"/>
      <c r="CL55" s="408"/>
      <c r="CM55" s="408"/>
      <c r="CN55" s="408"/>
      <c r="CO55" s="408">
        <v>-483.63218000000001</v>
      </c>
      <c r="CP55" s="408">
        <v>51.914329999999993</v>
      </c>
      <c r="CQ55" s="408">
        <v>31</v>
      </c>
      <c r="CR55" s="408">
        <v>66.704164969028284</v>
      </c>
      <c r="CS55" s="408">
        <v>1.4576116101966683</v>
      </c>
      <c r="CT55" s="408">
        <v>4.5668196148461604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0.12785699335576606</v>
      </c>
      <c r="DA55" s="408">
        <v>0</v>
      </c>
      <c r="DB55" s="408">
        <v>0</v>
      </c>
      <c r="DC55" s="408">
        <v>51.921001895703967</v>
      </c>
      <c r="DD55" s="408">
        <v>0</v>
      </c>
      <c r="DE55" s="408">
        <v>0</v>
      </c>
      <c r="DF55" s="408">
        <v>0.14464603875274373</v>
      </c>
      <c r="DG55" s="408">
        <v>8.6189807076164442</v>
      </c>
      <c r="DH55" s="408">
        <v>0</v>
      </c>
      <c r="DI55" s="408">
        <v>0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0</v>
      </c>
      <c r="DP55" s="408">
        <v>-0.13275189144351307</v>
      </c>
      <c r="DQ55" s="408">
        <v>0</v>
      </c>
      <c r="DR55" s="408">
        <v>0</v>
      </c>
      <c r="DS55" s="408"/>
      <c r="DT55" s="408"/>
      <c r="DU55" s="408"/>
      <c r="DV55" s="408">
        <v>678.37641703986878</v>
      </c>
      <c r="DW55" s="408">
        <v>0</v>
      </c>
      <c r="DX55" s="408">
        <v>0</v>
      </c>
      <c r="DY55" s="408">
        <v>-483.63218000000001</v>
      </c>
      <c r="DZ55" s="234">
        <v>51.91432999999995</v>
      </c>
      <c r="EA55" s="408">
        <v>0</v>
      </c>
      <c r="EB55" s="408">
        <v>0</v>
      </c>
      <c r="EC55" s="408">
        <v>-498.40981350987141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242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54</v>
      </c>
      <c r="B56" s="408" t="s">
        <v>1036</v>
      </c>
      <c r="C56" s="408" t="s">
        <v>2231</v>
      </c>
      <c r="D56" s="408" t="s">
        <v>1955</v>
      </c>
      <c r="E56" s="408" t="s">
        <v>970</v>
      </c>
      <c r="F56" s="408" t="s">
        <v>1322</v>
      </c>
      <c r="G56" s="408" t="s">
        <v>1322</v>
      </c>
      <c r="H56" s="408" t="s">
        <v>1322</v>
      </c>
      <c r="I56" s="408" t="s">
        <v>1322</v>
      </c>
      <c r="J56" s="408" t="s">
        <v>2232</v>
      </c>
      <c r="K56" s="828">
        <v>44409</v>
      </c>
      <c r="L56" s="408">
        <v>0</v>
      </c>
      <c r="M56" s="408">
        <v>0</v>
      </c>
      <c r="N56" s="408">
        <v>32.612000000000002</v>
      </c>
      <c r="O56" s="408">
        <v>32.612000000000002</v>
      </c>
      <c r="P56" s="408">
        <v>32.612000000000002</v>
      </c>
      <c r="Q56" s="408">
        <v>32.612000000000002</v>
      </c>
      <c r="R56" s="408"/>
      <c r="S56" s="408">
        <v>571.87</v>
      </c>
      <c r="T56" s="408">
        <v>216.76</v>
      </c>
      <c r="U56" s="408"/>
      <c r="V56" s="408">
        <v>25718.80156</v>
      </c>
      <c r="W56" s="408">
        <v>25718.80156</v>
      </c>
      <c r="X56" s="408">
        <v>16762.894120000001</v>
      </c>
      <c r="Y56" s="408">
        <v>0</v>
      </c>
      <c r="Z56" s="408">
        <v>1976.6334430402098</v>
      </c>
      <c r="AA56" s="408">
        <v>0</v>
      </c>
      <c r="AB56" s="408">
        <v>0</v>
      </c>
      <c r="AC56" s="408">
        <v>0</v>
      </c>
      <c r="AD56" s="408">
        <v>26.8042495683592</v>
      </c>
      <c r="AE56" s="408">
        <v>13905.224206476558</v>
      </c>
      <c r="AF56" s="408">
        <v>6965.9721448604178</v>
      </c>
      <c r="AG56" s="408">
        <v>102.96928326518437</v>
      </c>
      <c r="AH56" s="408">
        <v>0</v>
      </c>
      <c r="AI56" s="408">
        <v>0</v>
      </c>
      <c r="AJ56" s="408">
        <v>0</v>
      </c>
      <c r="AK56" s="408">
        <v>0</v>
      </c>
      <c r="AL56" s="408">
        <v>305.69294087327734</v>
      </c>
      <c r="AM56" s="408"/>
      <c r="AN56" s="408">
        <v>62.565129165331101</v>
      </c>
      <c r="AO56" s="408">
        <v>289.64992699374181</v>
      </c>
      <c r="AP56" s="408">
        <v>907.49755200929076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19.406410508795894</v>
      </c>
      <c r="BE56" s="408">
        <v>0</v>
      </c>
      <c r="BF56" s="408">
        <v>0</v>
      </c>
      <c r="BG56" s="408">
        <v>1156.3640402577034</v>
      </c>
      <c r="BH56" s="408">
        <v>0</v>
      </c>
      <c r="BI56" s="408">
        <v>73.25</v>
      </c>
      <c r="BJ56" s="408">
        <v>336.32</v>
      </c>
      <c r="BK56" s="408">
        <v>4276.3500000000004</v>
      </c>
      <c r="BL56" s="408">
        <v>23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>
        <v>8141.7425956269162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16761.866099999999</v>
      </c>
      <c r="CJ56" s="408">
        <v>-8956.9654599999958</v>
      </c>
      <c r="CK56" s="408"/>
      <c r="CL56" s="408"/>
      <c r="CM56" s="408"/>
      <c r="CN56" s="408"/>
      <c r="CO56" s="408">
        <v>-10020.037</v>
      </c>
      <c r="CP56" s="408">
        <v>1064.1295599999999</v>
      </c>
      <c r="CQ56" s="408">
        <v>31</v>
      </c>
      <c r="CR56" s="408">
        <v>1260.463774266218</v>
      </c>
      <c r="CS56" s="408">
        <v>29.877831446721359</v>
      </c>
      <c r="CT56" s="408">
        <v>93.609755675275323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2.620787094480356</v>
      </c>
      <c r="DA56" s="408">
        <v>0</v>
      </c>
      <c r="DB56" s="408">
        <v>0</v>
      </c>
      <c r="DC56" s="408">
        <v>1064.2663191845986</v>
      </c>
      <c r="DD56" s="408">
        <v>0</v>
      </c>
      <c r="DE56" s="408">
        <v>0</v>
      </c>
      <c r="DF56" s="408">
        <v>2.964925591329024</v>
      </c>
      <c r="DG56" s="408">
        <v>176.67014383204764</v>
      </c>
      <c r="DH56" s="408">
        <v>0</v>
      </c>
      <c r="DI56" s="408">
        <v>-94.438002654185766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-12.386864166930366</v>
      </c>
      <c r="DP56" s="408">
        <v>-2.7211217371186933</v>
      </c>
      <c r="DQ56" s="408">
        <v>0</v>
      </c>
      <c r="DR56" s="408">
        <v>0</v>
      </c>
      <c r="DS56" s="408"/>
      <c r="DT56" s="408"/>
      <c r="DU56" s="408"/>
      <c r="DV56" s="408">
        <v>13905.224206476558</v>
      </c>
      <c r="DW56" s="408">
        <v>0</v>
      </c>
      <c r="DX56" s="408">
        <v>0</v>
      </c>
      <c r="DY56" s="408">
        <v>-10020.037</v>
      </c>
      <c r="DZ56" s="234">
        <v>1064.1295599999994</v>
      </c>
      <c r="EA56" s="408">
        <v>0</v>
      </c>
      <c r="EB56" s="408">
        <v>0</v>
      </c>
      <c r="EC56" s="408">
        <v>-10216.304738016297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242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55</v>
      </c>
      <c r="B57" s="408" t="s">
        <v>2234</v>
      </c>
      <c r="C57" s="408" t="s">
        <v>2231</v>
      </c>
      <c r="D57" s="408" t="s">
        <v>1955</v>
      </c>
      <c r="E57" s="408" t="s">
        <v>970</v>
      </c>
      <c r="F57" s="408" t="s">
        <v>1322</v>
      </c>
      <c r="G57" s="408" t="s">
        <v>1322</v>
      </c>
      <c r="H57" s="408" t="s">
        <v>1322</v>
      </c>
      <c r="I57" s="408" t="s">
        <v>1322</v>
      </c>
      <c r="J57" s="408" t="s">
        <v>2232</v>
      </c>
      <c r="K57" s="828">
        <v>44409</v>
      </c>
      <c r="L57" s="408">
        <v>0</v>
      </c>
      <c r="M57" s="408">
        <v>0</v>
      </c>
      <c r="N57" s="408">
        <v>1.6739999999999999</v>
      </c>
      <c r="O57" s="408">
        <v>1.6739999999999999</v>
      </c>
      <c r="P57" s="408">
        <v>1.6739999999999999</v>
      </c>
      <c r="Q57" s="408">
        <v>1.6739999999999999</v>
      </c>
      <c r="R57" s="408"/>
      <c r="S57" s="408">
        <v>571.87</v>
      </c>
      <c r="T57" s="408">
        <v>216.76</v>
      </c>
      <c r="U57" s="408"/>
      <c r="V57" s="408">
        <v>1320.16662</v>
      </c>
      <c r="W57" s="408">
        <v>1320.16662</v>
      </c>
      <c r="X57" s="408">
        <v>860.45273999999995</v>
      </c>
      <c r="Y57" s="408">
        <v>0</v>
      </c>
      <c r="Z57" s="408">
        <v>101.46217293172178</v>
      </c>
      <c r="AA57" s="408">
        <v>0</v>
      </c>
      <c r="AB57" s="408">
        <v>0</v>
      </c>
      <c r="AC57" s="408">
        <v>0</v>
      </c>
      <c r="AD57" s="408">
        <v>1.3758835329766128</v>
      </c>
      <c r="AE57" s="408">
        <v>713.76626154917687</v>
      </c>
      <c r="AF57" s="408">
        <v>357.56891237876664</v>
      </c>
      <c r="AG57" s="408">
        <v>5.2854955288212508</v>
      </c>
      <c r="AH57" s="408">
        <v>0</v>
      </c>
      <c r="AI57" s="408">
        <v>0</v>
      </c>
      <c r="AJ57" s="408">
        <v>0</v>
      </c>
      <c r="AK57" s="408">
        <v>0</v>
      </c>
      <c r="AL57" s="408">
        <v>15.691462744445793</v>
      </c>
      <c r="AM57" s="408"/>
      <c r="AN57" s="408">
        <v>3.2115180370036875</v>
      </c>
      <c r="AO57" s="408">
        <v>14.867962031998152</v>
      </c>
      <c r="AP57" s="408">
        <v>46.582573962454084</v>
      </c>
      <c r="AQ57" s="408">
        <v>0</v>
      </c>
      <c r="AR57" s="408">
        <v>0</v>
      </c>
      <c r="AS57" s="408">
        <v>0</v>
      </c>
      <c r="AT57" s="408">
        <v>0</v>
      </c>
      <c r="AU57" s="408">
        <v>0</v>
      </c>
      <c r="AV57" s="408">
        <v>0</v>
      </c>
      <c r="AW57" s="408">
        <v>0</v>
      </c>
      <c r="AX57" s="408">
        <v>0</v>
      </c>
      <c r="AY57" s="408">
        <v>0</v>
      </c>
      <c r="AZ57" s="408">
        <v>0</v>
      </c>
      <c r="BA57" s="408"/>
      <c r="BB57" s="408">
        <v>0</v>
      </c>
      <c r="BC57" s="408">
        <v>0</v>
      </c>
      <c r="BD57" s="408">
        <v>0.99614654702944683</v>
      </c>
      <c r="BE57" s="408">
        <v>0</v>
      </c>
      <c r="BF57" s="408">
        <v>0</v>
      </c>
      <c r="BG57" s="408">
        <v>59.357089518931538</v>
      </c>
      <c r="BH57" s="408">
        <v>0</v>
      </c>
      <c r="BI57" s="408">
        <v>4.5599999999999996</v>
      </c>
      <c r="BJ57" s="408">
        <v>21.02</v>
      </c>
      <c r="BK57" s="408">
        <v>742.76</v>
      </c>
      <c r="BL57" s="408">
        <v>4</v>
      </c>
      <c r="BM57" s="408"/>
      <c r="BN57" s="408"/>
      <c r="BO57" s="408"/>
      <c r="BP57" s="408"/>
      <c r="BQ57" s="408"/>
      <c r="BR57" s="408"/>
      <c r="BS57" s="408"/>
      <c r="BT57" s="408"/>
      <c r="BU57" s="408"/>
      <c r="BV57" s="408">
        <v>417.92214844472767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858.39670000000001</v>
      </c>
      <c r="CJ57" s="408">
        <v>-461.79991999999993</v>
      </c>
      <c r="CK57" s="408"/>
      <c r="CL57" s="408"/>
      <c r="CM57" s="408"/>
      <c r="CN57" s="408"/>
      <c r="CO57" s="408">
        <v>-514.3365</v>
      </c>
      <c r="CP57" s="408">
        <v>54.622619999999991</v>
      </c>
      <c r="CQ57" s="408">
        <v>31</v>
      </c>
      <c r="CR57" s="408">
        <v>64.700611987049456</v>
      </c>
      <c r="CS57" s="408">
        <v>1.5336529449837979</v>
      </c>
      <c r="CT57" s="408">
        <v>4.8050635042441669</v>
      </c>
      <c r="CU57" s="408">
        <v>0</v>
      </c>
      <c r="CV57" s="408">
        <v>0</v>
      </c>
      <c r="CW57" s="408">
        <v>0</v>
      </c>
      <c r="CX57" s="408">
        <v>0</v>
      </c>
      <c r="CY57" s="408">
        <v>0</v>
      </c>
      <c r="CZ57" s="408">
        <v>0.13452709420336428</v>
      </c>
      <c r="DA57" s="408">
        <v>0</v>
      </c>
      <c r="DB57" s="408">
        <v>0</v>
      </c>
      <c r="DC57" s="408">
        <v>54.629639958144821</v>
      </c>
      <c r="DD57" s="408">
        <v>0</v>
      </c>
      <c r="DE57" s="408">
        <v>0</v>
      </c>
      <c r="DF57" s="408">
        <v>0.15219199803399941</v>
      </c>
      <c r="DG57" s="408">
        <v>9.0686195503142315</v>
      </c>
      <c r="DH57" s="408">
        <v>0</v>
      </c>
      <c r="DI57" s="408">
        <v>-4.8475780830095232</v>
      </c>
      <c r="DJ57" s="408"/>
      <c r="DK57" s="408">
        <v>0</v>
      </c>
      <c r="DL57" s="408">
        <v>0</v>
      </c>
      <c r="DM57" s="408">
        <v>0</v>
      </c>
      <c r="DN57" s="408">
        <v>0</v>
      </c>
      <c r="DO57" s="408">
        <v>-0.63582762834053241</v>
      </c>
      <c r="DP57" s="408">
        <v>-0.13967735152510397</v>
      </c>
      <c r="DQ57" s="408">
        <v>0</v>
      </c>
      <c r="DR57" s="408">
        <v>0</v>
      </c>
      <c r="DS57" s="408"/>
      <c r="DT57" s="408"/>
      <c r="DU57" s="408"/>
      <c r="DV57" s="408">
        <v>713.76626154917687</v>
      </c>
      <c r="DW57" s="408">
        <v>0</v>
      </c>
      <c r="DX57" s="408">
        <v>0</v>
      </c>
      <c r="DY57" s="408">
        <v>-514.3365</v>
      </c>
      <c r="DZ57" s="234">
        <v>54.622619999999984</v>
      </c>
      <c r="EA57" s="408">
        <v>0</v>
      </c>
      <c r="EB57" s="408">
        <v>0</v>
      </c>
      <c r="EC57" s="408">
        <v>-524.41107970806081</v>
      </c>
      <c r="ED57" s="408">
        <v>0</v>
      </c>
      <c r="EE57" s="408">
        <v>0</v>
      </c>
      <c r="EF57" s="408">
        <v>0</v>
      </c>
      <c r="EG57" s="408">
        <v>0</v>
      </c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>
        <v>0</v>
      </c>
      <c r="EN57" s="408">
        <v>0</v>
      </c>
      <c r="EO57" s="408">
        <v>0</v>
      </c>
      <c r="EP57" s="408">
        <v>0</v>
      </c>
      <c r="EQ57" s="408">
        <v>0</v>
      </c>
      <c r="ER57" s="408">
        <v>0</v>
      </c>
      <c r="ES57" s="408">
        <v>0</v>
      </c>
      <c r="ET57" s="408">
        <v>0</v>
      </c>
      <c r="EU57" s="408">
        <v>0</v>
      </c>
      <c r="EV57" s="408">
        <v>242</v>
      </c>
      <c r="EW57" s="408">
        <v>0</v>
      </c>
      <c r="EX57" s="408">
        <v>0</v>
      </c>
      <c r="EY57" s="408">
        <v>0</v>
      </c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56</v>
      </c>
      <c r="B58" s="408" t="s">
        <v>1036</v>
      </c>
      <c r="C58" s="408" t="s">
        <v>2239</v>
      </c>
      <c r="D58" s="408" t="s">
        <v>597</v>
      </c>
      <c r="E58" s="408" t="s">
        <v>970</v>
      </c>
      <c r="F58" s="408" t="s">
        <v>1322</v>
      </c>
      <c r="G58" s="408" t="s">
        <v>1322</v>
      </c>
      <c r="H58" s="408" t="s">
        <v>1322</v>
      </c>
      <c r="I58" s="408" t="s">
        <v>973</v>
      </c>
      <c r="J58" s="408" t="s">
        <v>2232</v>
      </c>
      <c r="K58" s="828">
        <v>44409</v>
      </c>
      <c r="L58" s="408">
        <v>0</v>
      </c>
      <c r="M58" s="408">
        <v>0</v>
      </c>
      <c r="N58" s="408">
        <v>9.6489999999999991</v>
      </c>
      <c r="O58" s="408">
        <v>9.6489999999999991</v>
      </c>
      <c r="P58" s="408">
        <v>9.6489999999999991</v>
      </c>
      <c r="Q58" s="408">
        <v>9.6489999999999991</v>
      </c>
      <c r="R58" s="408"/>
      <c r="S58" s="408">
        <v>2592.54</v>
      </c>
      <c r="T58" s="408">
        <v>216.76</v>
      </c>
      <c r="U58" s="408"/>
      <c r="V58" s="408">
        <v>27106.935699999998</v>
      </c>
      <c r="W58" s="408">
        <v>27106.935699999998</v>
      </c>
      <c r="X58" s="408">
        <v>11397.398799999999</v>
      </c>
      <c r="Y58" s="408">
        <v>0</v>
      </c>
      <c r="Z58" s="408">
        <v>508.80370415640368</v>
      </c>
      <c r="AA58" s="408">
        <v>0</v>
      </c>
      <c r="AB58" s="408">
        <v>0</v>
      </c>
      <c r="AC58" s="408">
        <v>0</v>
      </c>
      <c r="AD58" s="408">
        <v>48.791473112986687</v>
      </c>
      <c r="AE58" s="408">
        <v>22104.81212608904</v>
      </c>
      <c r="AF58" s="408">
        <v>2061.0408814472635</v>
      </c>
      <c r="AG58" s="408">
        <v>30.465798302028819</v>
      </c>
      <c r="AH58" s="408">
        <v>0</v>
      </c>
      <c r="AI58" s="408">
        <v>0</v>
      </c>
      <c r="AJ58" s="408">
        <v>0</v>
      </c>
      <c r="AK58" s="408">
        <v>0</v>
      </c>
      <c r="AL58" s="408">
        <v>90.446191171539695</v>
      </c>
      <c r="AM58" s="408"/>
      <c r="AN58" s="408">
        <v>13.25022097404249</v>
      </c>
      <c r="AO58" s="408">
        <v>435.31339549749373</v>
      </c>
      <c r="AP58" s="408">
        <v>1651.9160244414074</v>
      </c>
      <c r="AQ58" s="408">
        <v>0</v>
      </c>
      <c r="AR58" s="408">
        <v>0</v>
      </c>
      <c r="AS58" s="408">
        <v>0</v>
      </c>
      <c r="AT58" s="408">
        <v>0</v>
      </c>
      <c r="AU58" s="408">
        <v>0</v>
      </c>
      <c r="AV58" s="408">
        <v>0</v>
      </c>
      <c r="AW58" s="408">
        <v>0</v>
      </c>
      <c r="AX58" s="408">
        <v>0</v>
      </c>
      <c r="AY58" s="408">
        <v>0</v>
      </c>
      <c r="AZ58" s="408">
        <v>0</v>
      </c>
      <c r="BA58" s="408"/>
      <c r="BB58" s="408">
        <v>0</v>
      </c>
      <c r="BC58" s="408">
        <v>0</v>
      </c>
      <c r="BD58" s="408">
        <v>4.4124751413918704</v>
      </c>
      <c r="BE58" s="408">
        <v>0</v>
      </c>
      <c r="BF58" s="408">
        <v>0</v>
      </c>
      <c r="BG58" s="408">
        <v>157.62757722425368</v>
      </c>
      <c r="BH58" s="408">
        <v>0</v>
      </c>
      <c r="BI58" s="408">
        <v>0</v>
      </c>
      <c r="BJ58" s="408">
        <v>0</v>
      </c>
      <c r="BK58" s="408">
        <v>0</v>
      </c>
      <c r="BL58" s="408">
        <v>0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>
        <v>2223.0809338129093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11398.58</v>
      </c>
      <c r="CJ58" s="408">
        <v>-15708.385699999993</v>
      </c>
      <c r="CK58" s="408"/>
      <c r="CL58" s="408"/>
      <c r="CM58" s="408"/>
      <c r="CN58" s="408"/>
      <c r="CO58" s="408">
        <v>-16024.383769999999</v>
      </c>
      <c r="CP58" s="408">
        <v>314.84686999999991</v>
      </c>
      <c r="CQ58" s="408">
        <v>31</v>
      </c>
      <c r="CR58" s="408">
        <v>531.16498041902832</v>
      </c>
      <c r="CS58" s="408">
        <v>44.903240239570266</v>
      </c>
      <c r="CT58" s="408">
        <v>170.39765573102363</v>
      </c>
      <c r="CU58" s="408">
        <v>0</v>
      </c>
      <c r="CV58" s="408">
        <v>0</v>
      </c>
      <c r="CW58" s="408">
        <v>0</v>
      </c>
      <c r="CX58" s="408">
        <v>0</v>
      </c>
      <c r="CY58" s="408">
        <v>0</v>
      </c>
      <c r="CZ58" s="408">
        <v>4.7705891832221496</v>
      </c>
      <c r="DA58" s="408">
        <v>0</v>
      </c>
      <c r="DB58" s="408">
        <v>0</v>
      </c>
      <c r="DC58" s="408">
        <v>314.88733330713239</v>
      </c>
      <c r="DD58" s="408">
        <v>0</v>
      </c>
      <c r="DE58" s="408">
        <v>0</v>
      </c>
      <c r="DF58" s="408">
        <v>0.67414117937401752</v>
      </c>
      <c r="DG58" s="408">
        <v>24.082456536697578</v>
      </c>
      <c r="DH58" s="408">
        <v>0</v>
      </c>
      <c r="DI58" s="408">
        <v>-24.309214099745134</v>
      </c>
      <c r="DJ58" s="408"/>
      <c r="DK58" s="408">
        <v>0</v>
      </c>
      <c r="DL58" s="408">
        <v>0</v>
      </c>
      <c r="DM58" s="408">
        <v>0</v>
      </c>
      <c r="DN58" s="408">
        <v>0</v>
      </c>
      <c r="DO58" s="408">
        <v>-3.6649347585769334</v>
      </c>
      <c r="DP58" s="408">
        <v>-0.57628689966922408</v>
      </c>
      <c r="DQ58" s="408">
        <v>0</v>
      </c>
      <c r="DR58" s="408">
        <v>0</v>
      </c>
      <c r="DS58" s="408"/>
      <c r="DT58" s="408"/>
      <c r="DU58" s="408"/>
      <c r="DV58" s="408">
        <v>22104.81212608904</v>
      </c>
      <c r="DW58" s="408">
        <v>0</v>
      </c>
      <c r="DX58" s="408">
        <v>0</v>
      </c>
      <c r="DY58" s="408">
        <v>-16024.383769999999</v>
      </c>
      <c r="DZ58" s="234">
        <v>314.84686999999985</v>
      </c>
      <c r="EA58" s="408">
        <v>0</v>
      </c>
      <c r="EB58" s="408">
        <v>0</v>
      </c>
      <c r="EC58" s="408">
        <v>-16240.622481408123</v>
      </c>
      <c r="ED58" s="408">
        <v>0</v>
      </c>
      <c r="EE58" s="408">
        <v>0</v>
      </c>
      <c r="EF58" s="408">
        <v>0</v>
      </c>
      <c r="EG58" s="408">
        <v>0</v>
      </c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>
        <v>0</v>
      </c>
      <c r="EN58" s="408">
        <v>0</v>
      </c>
      <c r="EO58" s="408">
        <v>0</v>
      </c>
      <c r="EP58" s="408">
        <v>0</v>
      </c>
      <c r="EQ58" s="408">
        <v>0</v>
      </c>
      <c r="ER58" s="408">
        <v>0</v>
      </c>
      <c r="ES58" s="408">
        <v>0</v>
      </c>
      <c r="ET58" s="408">
        <v>0</v>
      </c>
      <c r="EU58" s="408">
        <v>0</v>
      </c>
      <c r="EV58" s="408">
        <v>242</v>
      </c>
      <c r="EW58" s="408">
        <v>0</v>
      </c>
      <c r="EX58" s="408">
        <v>0</v>
      </c>
      <c r="EY58" s="408">
        <v>0</v>
      </c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57</v>
      </c>
      <c r="B59" s="408" t="s">
        <v>1036</v>
      </c>
      <c r="C59" s="408" t="s">
        <v>2239</v>
      </c>
      <c r="D59" s="408" t="s">
        <v>597</v>
      </c>
      <c r="E59" s="408" t="s">
        <v>970</v>
      </c>
      <c r="F59" s="408" t="s">
        <v>1322</v>
      </c>
      <c r="G59" s="408" t="s">
        <v>1322</v>
      </c>
      <c r="H59" s="408" t="s">
        <v>1322</v>
      </c>
      <c r="I59" s="408" t="s">
        <v>2240</v>
      </c>
      <c r="J59" s="408" t="s">
        <v>2232</v>
      </c>
      <c r="K59" s="828">
        <v>44409</v>
      </c>
      <c r="L59" s="408">
        <v>0</v>
      </c>
      <c r="M59" s="408">
        <v>0</v>
      </c>
      <c r="N59" s="408">
        <v>130.499</v>
      </c>
      <c r="O59" s="408">
        <v>130.499</v>
      </c>
      <c r="P59" s="408">
        <v>130.499</v>
      </c>
      <c r="Q59" s="408">
        <v>130.499</v>
      </c>
      <c r="R59" s="408"/>
      <c r="S59" s="408">
        <v>80.27</v>
      </c>
      <c r="T59" s="408">
        <v>216.76</v>
      </c>
      <c r="U59" s="408"/>
      <c r="V59" s="408">
        <v>38762.117969999992</v>
      </c>
      <c r="W59" s="408">
        <v>38762.117969999992</v>
      </c>
      <c r="X59" s="408">
        <v>42969.405729999999</v>
      </c>
      <c r="Y59" s="408">
        <v>0</v>
      </c>
      <c r="Z59" s="408">
        <v>6881.373674858175</v>
      </c>
      <c r="AA59" s="408">
        <v>0</v>
      </c>
      <c r="AB59" s="408">
        <v>0</v>
      </c>
      <c r="AC59" s="408">
        <v>0</v>
      </c>
      <c r="AD59" s="408">
        <v>0</v>
      </c>
      <c r="AE59" s="408">
        <v>0</v>
      </c>
      <c r="AF59" s="408">
        <v>27874.782255983675</v>
      </c>
      <c r="AG59" s="408">
        <v>412.03816070229652</v>
      </c>
      <c r="AH59" s="408">
        <v>0</v>
      </c>
      <c r="AI59" s="408">
        <v>0</v>
      </c>
      <c r="AJ59" s="408">
        <v>0</v>
      </c>
      <c r="AK59" s="408">
        <v>0</v>
      </c>
      <c r="AL59" s="408">
        <v>1223.2498188096963</v>
      </c>
      <c r="AM59" s="408"/>
      <c r="AN59" s="408">
        <v>179.20412342124271</v>
      </c>
      <c r="AO59" s="408">
        <v>0</v>
      </c>
      <c r="AP59" s="408">
        <v>0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59.677022849673307</v>
      </c>
      <c r="BE59" s="408">
        <v>0</v>
      </c>
      <c r="BF59" s="408">
        <v>0</v>
      </c>
      <c r="BG59" s="408">
        <v>2131.8521297738503</v>
      </c>
      <c r="BH59" s="408">
        <v>0</v>
      </c>
      <c r="BI59" s="408">
        <v>0</v>
      </c>
      <c r="BJ59" s="408">
        <v>0</v>
      </c>
      <c r="BK59" s="408">
        <v>0</v>
      </c>
      <c r="BL59" s="408">
        <v>0</v>
      </c>
      <c r="BM59" s="408"/>
      <c r="BN59" s="408"/>
      <c r="BO59" s="408"/>
      <c r="BP59" s="408"/>
      <c r="BQ59" s="408"/>
      <c r="BR59" s="408"/>
      <c r="BS59" s="408"/>
      <c r="BT59" s="408"/>
      <c r="BU59" s="408"/>
      <c r="BV59" s="408">
        <v>30066.311408607198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42969.735000000001</v>
      </c>
      <c r="CJ59" s="408">
        <v>4207.5870300000024</v>
      </c>
      <c r="CK59" s="408"/>
      <c r="CL59" s="408"/>
      <c r="CM59" s="408"/>
      <c r="CN59" s="408"/>
      <c r="CO59" s="408">
        <v>-50.894610000000071</v>
      </c>
      <c r="CP59" s="408">
        <v>4258.1823699999995</v>
      </c>
      <c r="CQ59" s="408">
        <v>31</v>
      </c>
      <c r="CR59" s="408">
        <v>4207.4194257036943</v>
      </c>
      <c r="CS59" s="408">
        <v>0</v>
      </c>
      <c r="CT59" s="408">
        <v>0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0</v>
      </c>
      <c r="DA59" s="408">
        <v>0</v>
      </c>
      <c r="DB59" s="408">
        <v>0</v>
      </c>
      <c r="DC59" s="408">
        <v>4258.7296206080864</v>
      </c>
      <c r="DD59" s="408">
        <v>0</v>
      </c>
      <c r="DE59" s="408">
        <v>0</v>
      </c>
      <c r="DF59" s="408">
        <v>9.1174991985832605</v>
      </c>
      <c r="DG59" s="408">
        <v>325.70592761762873</v>
      </c>
      <c r="DH59" s="408">
        <v>0</v>
      </c>
      <c r="DI59" s="408">
        <v>-328.77273611800683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-49.566827760341312</v>
      </c>
      <c r="DP59" s="408">
        <v>-7.794057842256592</v>
      </c>
      <c r="DQ59" s="408">
        <v>0</v>
      </c>
      <c r="DR59" s="408">
        <v>0</v>
      </c>
      <c r="DS59" s="408"/>
      <c r="DT59" s="408"/>
      <c r="DU59" s="408"/>
      <c r="DV59" s="408">
        <v>0</v>
      </c>
      <c r="DW59" s="408">
        <v>0</v>
      </c>
      <c r="DX59" s="408">
        <v>0</v>
      </c>
      <c r="DY59" s="408">
        <v>-50.894609999999375</v>
      </c>
      <c r="DZ59" s="234">
        <v>4258.1823699999986</v>
      </c>
      <c r="EA59" s="408">
        <v>0</v>
      </c>
      <c r="EB59" s="408">
        <v>0</v>
      </c>
      <c r="EC59" s="408">
        <v>0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242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58</v>
      </c>
      <c r="B60" s="408" t="s">
        <v>1036</v>
      </c>
      <c r="C60" s="408" t="s">
        <v>2239</v>
      </c>
      <c r="D60" s="408" t="s">
        <v>597</v>
      </c>
      <c r="E60" s="408" t="s">
        <v>970</v>
      </c>
      <c r="F60" s="408" t="s">
        <v>1322</v>
      </c>
      <c r="G60" s="408" t="s">
        <v>1322</v>
      </c>
      <c r="H60" s="408" t="s">
        <v>1322</v>
      </c>
      <c r="I60" s="408" t="s">
        <v>1322</v>
      </c>
      <c r="J60" s="408" t="s">
        <v>2232</v>
      </c>
      <c r="K60" s="828">
        <v>44409</v>
      </c>
      <c r="L60" s="408">
        <v>925</v>
      </c>
      <c r="M60" s="408">
        <v>925</v>
      </c>
      <c r="N60" s="408">
        <v>0</v>
      </c>
      <c r="O60" s="408">
        <v>0</v>
      </c>
      <c r="P60" s="408">
        <v>0</v>
      </c>
      <c r="Q60" s="408">
        <v>0</v>
      </c>
      <c r="R60" s="408">
        <v>32.17</v>
      </c>
      <c r="S60" s="408"/>
      <c r="T60" s="408"/>
      <c r="U60" s="408">
        <v>29757.25</v>
      </c>
      <c r="V60" s="408"/>
      <c r="W60" s="408">
        <v>29757.25</v>
      </c>
      <c r="X60" s="408">
        <v>11960.25</v>
      </c>
      <c r="Y60" s="408">
        <v>0</v>
      </c>
      <c r="Z60" s="408">
        <v>0</v>
      </c>
      <c r="AA60" s="408">
        <v>0</v>
      </c>
      <c r="AB60" s="408">
        <v>0</v>
      </c>
      <c r="AC60" s="408">
        <v>0</v>
      </c>
      <c r="AD60" s="408">
        <v>92.422508246429743</v>
      </c>
      <c r="AE60" s="408">
        <v>24907.230271356024</v>
      </c>
      <c r="AF60" s="408"/>
      <c r="AG60" s="408"/>
      <c r="AH60" s="408"/>
      <c r="AI60" s="408">
        <v>0</v>
      </c>
      <c r="AJ60" s="408">
        <v>0</v>
      </c>
      <c r="AK60" s="408">
        <v>0</v>
      </c>
      <c r="AL60" s="408">
        <v>0</v>
      </c>
      <c r="AM60" s="408"/>
      <c r="AN60" s="408">
        <v>0</v>
      </c>
      <c r="AO60" s="408">
        <v>1632.0895234327004</v>
      </c>
      <c r="AP60" s="408">
        <v>3129.1502780372539</v>
      </c>
      <c r="AQ60" s="408">
        <v>0</v>
      </c>
      <c r="AR60" s="408">
        <v>0</v>
      </c>
      <c r="AS60" s="408"/>
      <c r="AT60" s="408"/>
      <c r="AU60" s="408">
        <v>0</v>
      </c>
      <c r="AV60" s="408">
        <v>0</v>
      </c>
      <c r="AW60" s="408">
        <v>0</v>
      </c>
      <c r="AX60" s="408"/>
      <c r="AY60" s="408"/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/>
      <c r="BG60" s="408">
        <v>0</v>
      </c>
      <c r="BH60" s="408">
        <v>0</v>
      </c>
      <c r="BI60" s="408">
        <v>287.95999999999998</v>
      </c>
      <c r="BJ60" s="408">
        <v>1320.38</v>
      </c>
      <c r="BK60" s="408">
        <v>16657.86</v>
      </c>
      <c r="BL60" s="408">
        <v>6</v>
      </c>
      <c r="BM60" s="408"/>
      <c r="BN60" s="408"/>
      <c r="BO60" s="408"/>
      <c r="BP60" s="408"/>
      <c r="BQ60" s="408"/>
      <c r="BR60" s="408"/>
      <c r="BS60" s="408"/>
      <c r="BT60" s="408"/>
      <c r="BU60" s="408"/>
      <c r="BV60" s="408">
        <v>0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11960.25</v>
      </c>
      <c r="CJ60" s="408">
        <v>-17797.029999999995</v>
      </c>
      <c r="CK60" s="408"/>
      <c r="CL60" s="408"/>
      <c r="CM60" s="408"/>
      <c r="CN60" s="408"/>
      <c r="CO60" s="408">
        <v>-17797.000000000004</v>
      </c>
      <c r="CP60" s="408">
        <v>0</v>
      </c>
      <c r="CQ60" s="408">
        <v>31</v>
      </c>
      <c r="CR60" s="408">
        <v>500.16575872291105</v>
      </c>
      <c r="CS60" s="408">
        <v>168.35252193292195</v>
      </c>
      <c r="CT60" s="408">
        <v>322.77662055367091</v>
      </c>
      <c r="CU60" s="408">
        <v>0</v>
      </c>
      <c r="CV60" s="408">
        <v>0</v>
      </c>
      <c r="CW60" s="408"/>
      <c r="CX60" s="408"/>
      <c r="CY60" s="408"/>
      <c r="CZ60" s="408">
        <v>9.036616236318082</v>
      </c>
      <c r="DA60" s="408">
        <v>0</v>
      </c>
      <c r="DB60" s="408">
        <v>0</v>
      </c>
      <c r="DC60" s="408"/>
      <c r="DD60" s="408"/>
      <c r="DE60" s="408">
        <v>0</v>
      </c>
      <c r="DF60" s="408">
        <v>0</v>
      </c>
      <c r="DG60" s="408">
        <v>0</v>
      </c>
      <c r="DH60" s="408">
        <v>0</v>
      </c>
      <c r="DI60" s="408">
        <v>0</v>
      </c>
      <c r="DJ60" s="408"/>
      <c r="DK60" s="408">
        <v>0</v>
      </c>
      <c r="DL60" s="408">
        <v>0</v>
      </c>
      <c r="DM60" s="408"/>
      <c r="DN60" s="408">
        <v>0</v>
      </c>
      <c r="DO60" s="408">
        <v>0</v>
      </c>
      <c r="DP60" s="408">
        <v>0</v>
      </c>
      <c r="DQ60" s="408">
        <v>0</v>
      </c>
      <c r="DR60" s="408">
        <v>0</v>
      </c>
      <c r="DS60" s="408"/>
      <c r="DT60" s="408"/>
      <c r="DU60" s="408">
        <v>24907.230271356024</v>
      </c>
      <c r="DV60" s="408"/>
      <c r="DW60" s="408">
        <v>0</v>
      </c>
      <c r="DX60" s="408">
        <v>0</v>
      </c>
      <c r="DY60" s="408">
        <v>-17797</v>
      </c>
      <c r="DZ60" s="234"/>
      <c r="EA60" s="408">
        <v>0</v>
      </c>
      <c r="EB60" s="408"/>
      <c r="EC60" s="408">
        <v>-18299.586605270189</v>
      </c>
      <c r="ED60" s="408"/>
      <c r="EE60" s="408">
        <v>0</v>
      </c>
      <c r="EF60" s="408">
        <v>0</v>
      </c>
      <c r="EG60" s="408"/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/>
      <c r="EN60" s="408"/>
      <c r="EO60" s="408">
        <v>0</v>
      </c>
      <c r="EP60" s="408">
        <v>0</v>
      </c>
      <c r="EQ60" s="408"/>
      <c r="ER60" s="408">
        <v>0</v>
      </c>
      <c r="ES60" s="408"/>
      <c r="ET60" s="408">
        <v>0</v>
      </c>
      <c r="EU60" s="408"/>
      <c r="EV60" s="408">
        <v>242</v>
      </c>
      <c r="EW60" s="408"/>
      <c r="EX60" s="408"/>
      <c r="EY60" s="408"/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59</v>
      </c>
      <c r="B61" s="408" t="s">
        <v>2233</v>
      </c>
      <c r="C61" s="408" t="s">
        <v>2239</v>
      </c>
      <c r="D61" s="408" t="s">
        <v>597</v>
      </c>
      <c r="E61" s="408" t="s">
        <v>970</v>
      </c>
      <c r="F61" s="408" t="s">
        <v>1322</v>
      </c>
      <c r="G61" s="408" t="s">
        <v>1322</v>
      </c>
      <c r="H61" s="408" t="s">
        <v>1322</v>
      </c>
      <c r="I61" s="408" t="s">
        <v>1322</v>
      </c>
      <c r="J61" s="408" t="s">
        <v>2232</v>
      </c>
      <c r="K61" s="828">
        <v>44409</v>
      </c>
      <c r="L61" s="408">
        <v>0</v>
      </c>
      <c r="M61" s="408">
        <v>0</v>
      </c>
      <c r="N61" s="408">
        <v>0</v>
      </c>
      <c r="O61" s="408">
        <v>0</v>
      </c>
      <c r="P61" s="408">
        <v>0</v>
      </c>
      <c r="Q61" s="408">
        <v>0</v>
      </c>
      <c r="R61" s="408"/>
      <c r="S61" s="408"/>
      <c r="T61" s="408"/>
      <c r="U61" s="408"/>
      <c r="V61" s="408"/>
      <c r="W61" s="408"/>
      <c r="X61" s="408"/>
      <c r="Y61" s="408"/>
      <c r="Z61" s="408"/>
      <c r="AA61" s="408">
        <v>0</v>
      </c>
      <c r="AB61" s="408"/>
      <c r="AC61" s="408"/>
      <c r="AD61" s="408"/>
      <c r="AE61" s="408"/>
      <c r="AF61" s="408"/>
      <c r="AG61" s="408"/>
      <c r="AH61" s="408"/>
      <c r="AI61" s="408"/>
      <c r="AJ61" s="408"/>
      <c r="AK61" s="408"/>
      <c r="AL61" s="408"/>
      <c r="AM61" s="408"/>
      <c r="AN61" s="408"/>
      <c r="AO61" s="408"/>
      <c r="AP61" s="408"/>
      <c r="AQ61" s="408"/>
      <c r="AR61" s="408"/>
      <c r="AS61" s="408"/>
      <c r="AT61" s="408"/>
      <c r="AU61" s="408"/>
      <c r="AV61" s="408"/>
      <c r="AW61" s="408"/>
      <c r="AX61" s="408"/>
      <c r="AY61" s="408"/>
      <c r="AZ61" s="408">
        <v>0</v>
      </c>
      <c r="BA61" s="408"/>
      <c r="BB61" s="408"/>
      <c r="BC61" s="408"/>
      <c r="BD61" s="408"/>
      <c r="BE61" s="408"/>
      <c r="BF61" s="408"/>
      <c r="BG61" s="408"/>
      <c r="BH61" s="408"/>
      <c r="BI61" s="408">
        <v>-6.73</v>
      </c>
      <c r="BJ61" s="408">
        <v>-30.89</v>
      </c>
      <c r="BK61" s="408">
        <v>-1578.75</v>
      </c>
      <c r="BL61" s="408">
        <v>0</v>
      </c>
      <c r="BM61" s="408"/>
      <c r="BN61" s="408"/>
      <c r="BO61" s="408"/>
      <c r="BP61" s="408"/>
      <c r="BQ61" s="408"/>
      <c r="BR61" s="408"/>
      <c r="BS61" s="408"/>
      <c r="BT61" s="408"/>
      <c r="BU61" s="408"/>
      <c r="BV61" s="408"/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/>
      <c r="CJ61" s="408">
        <v>-0.03</v>
      </c>
      <c r="CK61" s="408"/>
      <c r="CL61" s="408"/>
      <c r="CM61" s="408"/>
      <c r="CN61" s="408"/>
      <c r="CO61" s="408">
        <v>0</v>
      </c>
      <c r="CP61" s="408">
        <v>0</v>
      </c>
      <c r="CQ61" s="408">
        <v>31</v>
      </c>
      <c r="CR61" s="408"/>
      <c r="CS61" s="408"/>
      <c r="CT61" s="408"/>
      <c r="CU61" s="408"/>
      <c r="CV61" s="408"/>
      <c r="CW61" s="408"/>
      <c r="CX61" s="408"/>
      <c r="CY61" s="408"/>
      <c r="CZ61" s="408"/>
      <c r="DA61" s="408"/>
      <c r="DB61" s="408"/>
      <c r="DC61" s="408"/>
      <c r="DD61" s="408"/>
      <c r="DE61" s="408"/>
      <c r="DF61" s="408"/>
      <c r="DG61" s="408"/>
      <c r="DH61" s="408"/>
      <c r="DI61" s="408"/>
      <c r="DJ61" s="408"/>
      <c r="DK61" s="408">
        <v>0</v>
      </c>
      <c r="DL61" s="408"/>
      <c r="DM61" s="408"/>
      <c r="DN61" s="408"/>
      <c r="DO61" s="408"/>
      <c r="DP61" s="408"/>
      <c r="DQ61" s="408"/>
      <c r="DR61" s="408"/>
      <c r="DS61" s="408"/>
      <c r="DT61" s="408"/>
      <c r="DU61" s="408"/>
      <c r="DV61" s="408"/>
      <c r="DW61" s="408"/>
      <c r="DX61" s="408"/>
      <c r="DY61" s="408"/>
      <c r="DZ61" s="234"/>
      <c r="EA61" s="408"/>
      <c r="EB61" s="408"/>
      <c r="EC61" s="408"/>
      <c r="ED61" s="408"/>
      <c r="EE61" s="408"/>
      <c r="EF61" s="408"/>
      <c r="EG61" s="408"/>
      <c r="EH61" s="408"/>
      <c r="EI61" s="408"/>
      <c r="EJ61" s="408"/>
      <c r="EK61" s="408"/>
      <c r="EL61" s="408"/>
      <c r="EM61" s="408"/>
      <c r="EN61" s="408"/>
      <c r="EO61" s="408"/>
      <c r="EP61" s="408"/>
      <c r="EQ61" s="408"/>
      <c r="ER61" s="408"/>
      <c r="ES61" s="408"/>
      <c r="ET61" s="408"/>
      <c r="EU61" s="408"/>
      <c r="EV61" s="408">
        <v>242</v>
      </c>
      <c r="EW61" s="408"/>
      <c r="EX61" s="408"/>
      <c r="EY61" s="408"/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60</v>
      </c>
      <c r="B62" s="408" t="s">
        <v>1036</v>
      </c>
      <c r="C62" s="408" t="s">
        <v>2231</v>
      </c>
      <c r="D62" s="408" t="s">
        <v>1955</v>
      </c>
      <c r="E62" s="408" t="s">
        <v>998</v>
      </c>
      <c r="F62" s="408" t="s">
        <v>1322</v>
      </c>
      <c r="G62" s="408" t="s">
        <v>1322</v>
      </c>
      <c r="H62" s="408" t="s">
        <v>1322</v>
      </c>
      <c r="I62" s="408" t="s">
        <v>1322</v>
      </c>
      <c r="J62" s="408" t="s">
        <v>2232</v>
      </c>
      <c r="K62" s="828">
        <v>44409</v>
      </c>
      <c r="L62" s="408">
        <v>0</v>
      </c>
      <c r="M62" s="408">
        <v>0</v>
      </c>
      <c r="N62" s="408">
        <v>211.48599999999999</v>
      </c>
      <c r="O62" s="408">
        <v>211.48599999999999</v>
      </c>
      <c r="P62" s="408">
        <v>211.48599999999999</v>
      </c>
      <c r="Q62" s="408">
        <v>211.48599999999999</v>
      </c>
      <c r="R62" s="408"/>
      <c r="S62" s="408">
        <v>571.87</v>
      </c>
      <c r="T62" s="408">
        <v>216.76</v>
      </c>
      <c r="U62" s="408"/>
      <c r="V62" s="408">
        <v>166784.20418</v>
      </c>
      <c r="W62" s="408">
        <v>166784.20418</v>
      </c>
      <c r="X62" s="408">
        <v>108705.91885999999</v>
      </c>
      <c r="Y62" s="408">
        <v>0</v>
      </c>
      <c r="Z62" s="408">
        <v>12818.296956175695</v>
      </c>
      <c r="AA62" s="408">
        <v>0</v>
      </c>
      <c r="AB62" s="408">
        <v>0</v>
      </c>
      <c r="AC62" s="408">
        <v>0</v>
      </c>
      <c r="AD62" s="408">
        <v>173.8232406541768</v>
      </c>
      <c r="AE62" s="408">
        <v>90174.176577054488</v>
      </c>
      <c r="AF62" s="408">
        <v>45173.72700318748</v>
      </c>
      <c r="AG62" s="408">
        <v>667.74689809336382</v>
      </c>
      <c r="AH62" s="408">
        <v>0</v>
      </c>
      <c r="AI62" s="408">
        <v>0</v>
      </c>
      <c r="AJ62" s="408">
        <v>0</v>
      </c>
      <c r="AK62" s="408">
        <v>0</v>
      </c>
      <c r="AL62" s="408">
        <v>1982.392287916286</v>
      </c>
      <c r="AM62" s="408"/>
      <c r="AN62" s="408">
        <v>405.7294525530238</v>
      </c>
      <c r="AO62" s="408">
        <v>1878.3547301667629</v>
      </c>
      <c r="AP62" s="408">
        <v>5885.0431523438256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125.84889405320764</v>
      </c>
      <c r="BE62" s="408">
        <v>0</v>
      </c>
      <c r="BF62" s="408">
        <v>0</v>
      </c>
      <c r="BG62" s="408">
        <v>7498.9208088415508</v>
      </c>
      <c r="BH62" s="408">
        <v>0</v>
      </c>
      <c r="BI62" s="408">
        <v>558.97</v>
      </c>
      <c r="BJ62" s="408">
        <v>2581.39</v>
      </c>
      <c r="BK62" s="408">
        <v>56189.23</v>
      </c>
      <c r="BL62" s="408">
        <v>696</v>
      </c>
      <c r="BM62" s="408"/>
      <c r="BN62" s="408"/>
      <c r="BO62" s="408"/>
      <c r="BP62" s="408"/>
      <c r="BQ62" s="408"/>
      <c r="BR62" s="408"/>
      <c r="BS62" s="408"/>
      <c r="BT62" s="408"/>
      <c r="BU62" s="408"/>
      <c r="BV62" s="408">
        <v>52798.496706082238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108707.9749</v>
      </c>
      <c r="CJ62" s="408">
        <v>-58076.259279999969</v>
      </c>
      <c r="CK62" s="408"/>
      <c r="CL62" s="408"/>
      <c r="CM62" s="408"/>
      <c r="CN62" s="408"/>
      <c r="CO62" s="408">
        <v>-64979.073499999999</v>
      </c>
      <c r="CP62" s="408">
        <v>6900.7881799999986</v>
      </c>
      <c r="CQ62" s="408">
        <v>31</v>
      </c>
      <c r="CR62" s="408">
        <v>8173.9985822539311</v>
      </c>
      <c r="CS62" s="408">
        <v>193.75515335892692</v>
      </c>
      <c r="CT62" s="408">
        <v>607.05117100273765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16.995577685001592</v>
      </c>
      <c r="DA62" s="408">
        <v>0</v>
      </c>
      <c r="DB62" s="408">
        <v>0</v>
      </c>
      <c r="DC62" s="408">
        <v>6901.6750514863888</v>
      </c>
      <c r="DD62" s="408">
        <v>0</v>
      </c>
      <c r="DE62" s="408">
        <v>0</v>
      </c>
      <c r="DF62" s="408">
        <v>19.227286078983511</v>
      </c>
      <c r="DG62" s="408">
        <v>1145.6906058648474</v>
      </c>
      <c r="DH62" s="408">
        <v>0</v>
      </c>
      <c r="DI62" s="408">
        <v>-612.4222810414285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-80.327743015069018</v>
      </c>
      <c r="DP62" s="408">
        <v>-17.646239166450528</v>
      </c>
      <c r="DQ62" s="408">
        <v>0</v>
      </c>
      <c r="DR62" s="408">
        <v>0</v>
      </c>
      <c r="DS62" s="408"/>
      <c r="DT62" s="408"/>
      <c r="DU62" s="408"/>
      <c r="DV62" s="408">
        <v>90174.176577054488</v>
      </c>
      <c r="DW62" s="408">
        <v>0</v>
      </c>
      <c r="DX62" s="408">
        <v>0</v>
      </c>
      <c r="DY62" s="408">
        <v>-64979.073499999999</v>
      </c>
      <c r="DZ62" s="234">
        <v>6900.7881800000032</v>
      </c>
      <c r="EA62" s="408">
        <v>0</v>
      </c>
      <c r="EB62" s="408">
        <v>0</v>
      </c>
      <c r="EC62" s="408">
        <v>-66251.852809521471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242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61</v>
      </c>
      <c r="B63" s="408" t="s">
        <v>2233</v>
      </c>
      <c r="C63" s="408" t="s">
        <v>2231</v>
      </c>
      <c r="D63" s="408" t="s">
        <v>1955</v>
      </c>
      <c r="E63" s="408" t="s">
        <v>998</v>
      </c>
      <c r="F63" s="408" t="s">
        <v>1322</v>
      </c>
      <c r="G63" s="408" t="s">
        <v>1322</v>
      </c>
      <c r="H63" s="408" t="s">
        <v>1322</v>
      </c>
      <c r="I63" s="408" t="s">
        <v>1322</v>
      </c>
      <c r="J63" s="408" t="s">
        <v>2232</v>
      </c>
      <c r="K63" s="828">
        <v>44409</v>
      </c>
      <c r="L63" s="408">
        <v>0</v>
      </c>
      <c r="M63" s="408">
        <v>0</v>
      </c>
      <c r="N63" s="408">
        <v>-1.1060000000000001</v>
      </c>
      <c r="O63" s="408">
        <v>-1.1060000000000001</v>
      </c>
      <c r="P63" s="408">
        <v>-1.1060000000000001</v>
      </c>
      <c r="Q63" s="408">
        <v>-1.1060000000000001</v>
      </c>
      <c r="R63" s="408"/>
      <c r="S63" s="408">
        <v>571.87</v>
      </c>
      <c r="T63" s="408">
        <v>216.76</v>
      </c>
      <c r="U63" s="408"/>
      <c r="V63" s="408">
        <v>-872.22478000000001</v>
      </c>
      <c r="W63" s="408">
        <v>-872.22478000000001</v>
      </c>
      <c r="X63" s="408">
        <v>-568.49505999999997</v>
      </c>
      <c r="Y63" s="408">
        <v>0</v>
      </c>
      <c r="Z63" s="408">
        <v>-67.035342450707475</v>
      </c>
      <c r="AA63" s="408">
        <v>0</v>
      </c>
      <c r="AB63" s="408">
        <v>0</v>
      </c>
      <c r="AC63" s="408">
        <v>0</v>
      </c>
      <c r="AD63" s="408">
        <v>-0.90903655165599406</v>
      </c>
      <c r="AE63" s="408">
        <v>-471.58033767824952</v>
      </c>
      <c r="AF63" s="408">
        <v>-236.24325991094145</v>
      </c>
      <c r="AG63" s="408">
        <v>-3.4920896385163105</v>
      </c>
      <c r="AH63" s="408">
        <v>0</v>
      </c>
      <c r="AI63" s="408">
        <v>0</v>
      </c>
      <c r="AJ63" s="408">
        <v>0</v>
      </c>
      <c r="AK63" s="408">
        <v>0</v>
      </c>
      <c r="AL63" s="408">
        <v>-10.367238826378166</v>
      </c>
      <c r="AM63" s="408"/>
      <c r="AN63" s="408">
        <v>-2.1218273291075738</v>
      </c>
      <c r="AO63" s="408">
        <v>-9.8231577105077417</v>
      </c>
      <c r="AP63" s="408">
        <v>-30.776778257153062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-0.65814700180081742</v>
      </c>
      <c r="BE63" s="408">
        <v>0</v>
      </c>
      <c r="BF63" s="408">
        <v>0</v>
      </c>
      <c r="BG63" s="408">
        <v>-39.216810637955966</v>
      </c>
      <c r="BH63" s="408">
        <v>0</v>
      </c>
      <c r="BI63" s="408">
        <v>-4.4000000000000004</v>
      </c>
      <c r="BJ63" s="408">
        <v>-20.16</v>
      </c>
      <c r="BK63" s="408">
        <v>-286.58</v>
      </c>
      <c r="BL63" s="408">
        <v>0</v>
      </c>
      <c r="BM63" s="408"/>
      <c r="BN63" s="408"/>
      <c r="BO63" s="408"/>
      <c r="BP63" s="408"/>
      <c r="BQ63" s="408"/>
      <c r="BR63" s="408"/>
      <c r="BS63" s="408"/>
      <c r="BT63" s="408"/>
      <c r="BU63" s="408"/>
      <c r="BV63" s="408">
        <v>-276.1182175506982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-570.55110000000002</v>
      </c>
      <c r="CJ63" s="408">
        <v>301.64368000000002</v>
      </c>
      <c r="CK63" s="408"/>
      <c r="CL63" s="408"/>
      <c r="CM63" s="408"/>
      <c r="CN63" s="408"/>
      <c r="CO63" s="408">
        <v>339.81850000000003</v>
      </c>
      <c r="CP63" s="408">
        <v>-36.08878</v>
      </c>
      <c r="CQ63" s="408">
        <v>31</v>
      </c>
      <c r="CR63" s="408">
        <v>-42.747238266234262</v>
      </c>
      <c r="CS63" s="408">
        <v>-1.013273690055005</v>
      </c>
      <c r="CT63" s="408">
        <v>-3.1746715864361121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-8.8881102860765115E-2</v>
      </c>
      <c r="DA63" s="408">
        <v>0</v>
      </c>
      <c r="DB63" s="408">
        <v>0</v>
      </c>
      <c r="DC63" s="408">
        <v>-36.093418036862715</v>
      </c>
      <c r="DD63" s="408">
        <v>0</v>
      </c>
      <c r="DE63" s="408">
        <v>0</v>
      </c>
      <c r="DF63" s="408">
        <v>-0.10055218030203306</v>
      </c>
      <c r="DG63" s="408">
        <v>-5.991573012334257</v>
      </c>
      <c r="DH63" s="408">
        <v>0</v>
      </c>
      <c r="DI63" s="408">
        <v>3.202760668941778</v>
      </c>
      <c r="DJ63" s="408"/>
      <c r="DK63" s="408">
        <v>0</v>
      </c>
      <c r="DL63" s="408">
        <v>0</v>
      </c>
      <c r="DM63" s="408">
        <v>0</v>
      </c>
      <c r="DN63" s="408">
        <v>0</v>
      </c>
      <c r="DO63" s="408">
        <v>0.42008683210551467</v>
      </c>
      <c r="DP63" s="408">
        <v>9.2283841569154479E-2</v>
      </c>
      <c r="DQ63" s="408">
        <v>0</v>
      </c>
      <c r="DR63" s="408">
        <v>0</v>
      </c>
      <c r="DS63" s="408"/>
      <c r="DT63" s="408"/>
      <c r="DU63" s="408"/>
      <c r="DV63" s="408">
        <v>-471.58033767824952</v>
      </c>
      <c r="DW63" s="408">
        <v>0</v>
      </c>
      <c r="DX63" s="408">
        <v>0</v>
      </c>
      <c r="DY63" s="408">
        <v>339.81850000000003</v>
      </c>
      <c r="DZ63" s="234">
        <v>-36.088779999999986</v>
      </c>
      <c r="EA63" s="408">
        <v>0</v>
      </c>
      <c r="EB63" s="408">
        <v>0</v>
      </c>
      <c r="EC63" s="408">
        <v>346.47470379755993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242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62</v>
      </c>
      <c r="B64" s="408" t="s">
        <v>2234</v>
      </c>
      <c r="C64" s="408" t="s">
        <v>2231</v>
      </c>
      <c r="D64" s="408" t="s">
        <v>1955</v>
      </c>
      <c r="E64" s="408" t="s">
        <v>998</v>
      </c>
      <c r="F64" s="408" t="s">
        <v>1322</v>
      </c>
      <c r="G64" s="408" t="s">
        <v>1322</v>
      </c>
      <c r="H64" s="408" t="s">
        <v>1322</v>
      </c>
      <c r="I64" s="408" t="s">
        <v>1322</v>
      </c>
      <c r="J64" s="408" t="s">
        <v>2232</v>
      </c>
      <c r="K64" s="828">
        <v>44409</v>
      </c>
      <c r="L64" s="408">
        <v>0</v>
      </c>
      <c r="M64" s="408">
        <v>0</v>
      </c>
      <c r="N64" s="408">
        <v>5.5119999999999996</v>
      </c>
      <c r="O64" s="408">
        <v>5.5119999999999996</v>
      </c>
      <c r="P64" s="408">
        <v>5.5119999999999996</v>
      </c>
      <c r="Q64" s="408">
        <v>5.5119999999999996</v>
      </c>
      <c r="R64" s="408"/>
      <c r="S64" s="408">
        <v>571.87</v>
      </c>
      <c r="T64" s="408">
        <v>216.76</v>
      </c>
      <c r="U64" s="408"/>
      <c r="V64" s="408">
        <v>4346.9285599999994</v>
      </c>
      <c r="W64" s="408">
        <v>4346.9285599999994</v>
      </c>
      <c r="X64" s="408">
        <v>2833.2231199999997</v>
      </c>
      <c r="Y64" s="408">
        <v>0</v>
      </c>
      <c r="Z64" s="408">
        <v>334.08572114674462</v>
      </c>
      <c r="AA64" s="408">
        <v>0</v>
      </c>
      <c r="AB64" s="408">
        <v>0</v>
      </c>
      <c r="AC64" s="408">
        <v>0</v>
      </c>
      <c r="AD64" s="408">
        <v>4.5303883116888235</v>
      </c>
      <c r="AE64" s="408">
        <v>2350.2267823530838</v>
      </c>
      <c r="AF64" s="408">
        <v>1177.3714725398816</v>
      </c>
      <c r="AG64" s="408">
        <v>17.403614907325409</v>
      </c>
      <c r="AH64" s="408">
        <v>0</v>
      </c>
      <c r="AI64" s="408">
        <v>0</v>
      </c>
      <c r="AJ64" s="408">
        <v>0</v>
      </c>
      <c r="AK64" s="408">
        <v>0</v>
      </c>
      <c r="AL64" s="408">
        <v>51.667468726036567</v>
      </c>
      <c r="AM64" s="408"/>
      <c r="AN64" s="408">
        <v>10.574604193527076</v>
      </c>
      <c r="AO64" s="408">
        <v>48.955917993054847</v>
      </c>
      <c r="AP64" s="408">
        <v>153.38300339369587</v>
      </c>
      <c r="AQ64" s="408">
        <v>0</v>
      </c>
      <c r="AR64" s="408">
        <v>0</v>
      </c>
      <c r="AS64" s="408">
        <v>0</v>
      </c>
      <c r="AT64" s="408">
        <v>0</v>
      </c>
      <c r="AU64" s="408">
        <v>0</v>
      </c>
      <c r="AV64" s="408">
        <v>0</v>
      </c>
      <c r="AW64" s="408">
        <v>0</v>
      </c>
      <c r="AX64" s="408">
        <v>0</v>
      </c>
      <c r="AY64" s="408">
        <v>0</v>
      </c>
      <c r="AZ64" s="408">
        <v>0</v>
      </c>
      <c r="BA64" s="408"/>
      <c r="BB64" s="408">
        <v>0</v>
      </c>
      <c r="BC64" s="408">
        <v>0</v>
      </c>
      <c r="BD64" s="408">
        <v>3.2800237558102214</v>
      </c>
      <c r="BE64" s="408">
        <v>0</v>
      </c>
      <c r="BF64" s="408">
        <v>0</v>
      </c>
      <c r="BG64" s="408">
        <v>195.44580491538269</v>
      </c>
      <c r="BH64" s="408">
        <v>0</v>
      </c>
      <c r="BI64" s="408">
        <v>14.28</v>
      </c>
      <c r="BJ64" s="408">
        <v>65.8</v>
      </c>
      <c r="BK64" s="408">
        <v>2526.34</v>
      </c>
      <c r="BL64" s="408">
        <v>16</v>
      </c>
      <c r="BM64" s="408"/>
      <c r="BN64" s="408"/>
      <c r="BO64" s="408"/>
      <c r="BP64" s="408"/>
      <c r="BQ64" s="408"/>
      <c r="BR64" s="408"/>
      <c r="BS64" s="408"/>
      <c r="BT64" s="408"/>
      <c r="BU64" s="408"/>
      <c r="BV64" s="408">
        <v>1376.0973012110744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2832.1950999999999</v>
      </c>
      <c r="CJ64" s="408">
        <v>-1514.7634600000001</v>
      </c>
      <c r="CK64" s="408"/>
      <c r="CL64" s="408"/>
      <c r="CM64" s="408"/>
      <c r="CN64" s="408"/>
      <c r="CO64" s="408">
        <v>-1693.5619999999999</v>
      </c>
      <c r="CP64" s="408">
        <v>179.85655999999997</v>
      </c>
      <c r="CQ64" s="408">
        <v>31</v>
      </c>
      <c r="CR64" s="408">
        <v>213.04048582593555</v>
      </c>
      <c r="CS64" s="408">
        <v>5.049877558393483</v>
      </c>
      <c r="CT64" s="408">
        <v>15.821690582672574</v>
      </c>
      <c r="CU64" s="408">
        <v>0</v>
      </c>
      <c r="CV64" s="408">
        <v>0</v>
      </c>
      <c r="CW64" s="408">
        <v>0</v>
      </c>
      <c r="CX64" s="408">
        <v>0</v>
      </c>
      <c r="CY64" s="408">
        <v>0</v>
      </c>
      <c r="CZ64" s="408">
        <v>0.44295898640916498</v>
      </c>
      <c r="DA64" s="408">
        <v>0</v>
      </c>
      <c r="DB64" s="408">
        <v>0</v>
      </c>
      <c r="DC64" s="408">
        <v>179.87967470089256</v>
      </c>
      <c r="DD64" s="408">
        <v>0</v>
      </c>
      <c r="DE64" s="408">
        <v>0</v>
      </c>
      <c r="DF64" s="408">
        <v>0.5011244284130254</v>
      </c>
      <c r="DG64" s="408">
        <v>29.860353023495833</v>
      </c>
      <c r="DH64" s="408">
        <v>0</v>
      </c>
      <c r="DI64" s="408">
        <v>-15.961678849192651</v>
      </c>
      <c r="DJ64" s="408"/>
      <c r="DK64" s="408">
        <v>0</v>
      </c>
      <c r="DL64" s="408">
        <v>0</v>
      </c>
      <c r="DM64" s="408">
        <v>0</v>
      </c>
      <c r="DN64" s="408">
        <v>0</v>
      </c>
      <c r="DO64" s="408">
        <v>-2.0935973043088509</v>
      </c>
      <c r="DP64" s="408">
        <v>-0.45991730084012694</v>
      </c>
      <c r="DQ64" s="408">
        <v>0</v>
      </c>
      <c r="DR64" s="408">
        <v>0</v>
      </c>
      <c r="DS64" s="408"/>
      <c r="DT64" s="408"/>
      <c r="DU64" s="408"/>
      <c r="DV64" s="408">
        <v>2350.2267823530838</v>
      </c>
      <c r="DW64" s="408">
        <v>0</v>
      </c>
      <c r="DX64" s="408">
        <v>0</v>
      </c>
      <c r="DY64" s="408">
        <v>-1693.5619999999999</v>
      </c>
      <c r="DZ64" s="234">
        <v>179.85655999999994</v>
      </c>
      <c r="EA64" s="408">
        <v>0</v>
      </c>
      <c r="EB64" s="408">
        <v>0</v>
      </c>
      <c r="EC64" s="408">
        <v>-1726.734690173734</v>
      </c>
      <c r="ED64" s="408">
        <v>0</v>
      </c>
      <c r="EE64" s="408">
        <v>0</v>
      </c>
      <c r="EF64" s="408">
        <v>0</v>
      </c>
      <c r="EG64" s="408">
        <v>0</v>
      </c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>
        <v>0</v>
      </c>
      <c r="EN64" s="408">
        <v>0</v>
      </c>
      <c r="EO64" s="408">
        <v>0</v>
      </c>
      <c r="EP64" s="408">
        <v>0</v>
      </c>
      <c r="EQ64" s="408">
        <v>0</v>
      </c>
      <c r="ER64" s="408">
        <v>0</v>
      </c>
      <c r="ES64" s="408">
        <v>0</v>
      </c>
      <c r="ET64" s="408">
        <v>0</v>
      </c>
      <c r="EU64" s="408">
        <v>0</v>
      </c>
      <c r="EV64" s="408">
        <v>242</v>
      </c>
      <c r="EW64" s="408">
        <v>0</v>
      </c>
      <c r="EX64" s="408">
        <v>0</v>
      </c>
      <c r="EY64" s="408">
        <v>0</v>
      </c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63</v>
      </c>
      <c r="B65" s="408" t="s">
        <v>1036</v>
      </c>
      <c r="C65" s="408" t="s">
        <v>2239</v>
      </c>
      <c r="D65" s="408" t="s">
        <v>597</v>
      </c>
      <c r="E65" s="408" t="s">
        <v>998</v>
      </c>
      <c r="F65" s="408" t="s">
        <v>1322</v>
      </c>
      <c r="G65" s="408" t="s">
        <v>1322</v>
      </c>
      <c r="H65" s="408" t="s">
        <v>1322</v>
      </c>
      <c r="I65" s="408" t="s">
        <v>973</v>
      </c>
      <c r="J65" s="408" t="s">
        <v>2232</v>
      </c>
      <c r="K65" s="828">
        <v>44409</v>
      </c>
      <c r="L65" s="408">
        <v>0</v>
      </c>
      <c r="M65" s="408">
        <v>0</v>
      </c>
      <c r="N65" s="408">
        <v>5.694</v>
      </c>
      <c r="O65" s="408">
        <v>5.694</v>
      </c>
      <c r="P65" s="408">
        <v>5.694</v>
      </c>
      <c r="Q65" s="408">
        <v>5.694</v>
      </c>
      <c r="R65" s="408"/>
      <c r="S65" s="408">
        <v>2592.54</v>
      </c>
      <c r="T65" s="408">
        <v>216.76</v>
      </c>
      <c r="U65" s="408"/>
      <c r="V65" s="408">
        <v>15996.154199999999</v>
      </c>
      <c r="W65" s="408">
        <v>15996.154199999999</v>
      </c>
      <c r="X65" s="408">
        <v>6725.7528000000002</v>
      </c>
      <c r="Y65" s="408">
        <v>0</v>
      </c>
      <c r="Z65" s="408">
        <v>300.25166250042105</v>
      </c>
      <c r="AA65" s="408">
        <v>0</v>
      </c>
      <c r="AB65" s="408">
        <v>0</v>
      </c>
      <c r="AC65" s="408">
        <v>0</v>
      </c>
      <c r="AD65" s="408">
        <v>28.792480869037849</v>
      </c>
      <c r="AE65" s="408">
        <v>13044.336226132347</v>
      </c>
      <c r="AF65" s="408">
        <v>1216.2469456897834</v>
      </c>
      <c r="AG65" s="408">
        <v>17.978262569359739</v>
      </c>
      <c r="AH65" s="408">
        <v>0</v>
      </c>
      <c r="AI65" s="408">
        <v>0</v>
      </c>
      <c r="AJ65" s="408">
        <v>0</v>
      </c>
      <c r="AK65" s="408">
        <v>0</v>
      </c>
      <c r="AL65" s="408">
        <v>53.373470051896263</v>
      </c>
      <c r="AM65" s="408"/>
      <c r="AN65" s="408">
        <v>7.819127186879256</v>
      </c>
      <c r="AO65" s="408">
        <v>256.88407855350084</v>
      </c>
      <c r="AP65" s="408">
        <v>974.81706323654009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2.6038587890025195</v>
      </c>
      <c r="BE65" s="408">
        <v>0</v>
      </c>
      <c r="BF65" s="408">
        <v>0</v>
      </c>
      <c r="BG65" s="408">
        <v>93.018076973251169</v>
      </c>
      <c r="BH65" s="408">
        <v>0</v>
      </c>
      <c r="BI65" s="408">
        <v>0</v>
      </c>
      <c r="BJ65" s="408">
        <v>0</v>
      </c>
      <c r="BK65" s="408">
        <v>0</v>
      </c>
      <c r="BL65" s="408">
        <v>0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1311.8688814520372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6721.0280000000002</v>
      </c>
      <c r="CJ65" s="408">
        <v>-9275.1561999999994</v>
      </c>
      <c r="CK65" s="408"/>
      <c r="CL65" s="408"/>
      <c r="CM65" s="408"/>
      <c r="CN65" s="408"/>
      <c r="CO65" s="408">
        <v>-9456.1966200000006</v>
      </c>
      <c r="CP65" s="408">
        <v>185.79521999999997</v>
      </c>
      <c r="CQ65" s="408">
        <v>31</v>
      </c>
      <c r="CR65" s="408">
        <v>313.44734153859963</v>
      </c>
      <c r="CS65" s="408">
        <v>26.497984239207483</v>
      </c>
      <c r="CT65" s="408">
        <v>100.5538658651102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2.815186528061659</v>
      </c>
      <c r="DA65" s="408">
        <v>0</v>
      </c>
      <c r="DB65" s="408">
        <v>0</v>
      </c>
      <c r="DC65" s="408">
        <v>185.81909792214856</v>
      </c>
      <c r="DD65" s="408">
        <v>0</v>
      </c>
      <c r="DE65" s="408">
        <v>0</v>
      </c>
      <c r="DF65" s="408">
        <v>0.39781945023895293</v>
      </c>
      <c r="DG65" s="408">
        <v>14.211369833138775</v>
      </c>
      <c r="DH65" s="408">
        <v>0</v>
      </c>
      <c r="DI65" s="408">
        <v>-14.34518241102171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-2.1627255171869706</v>
      </c>
      <c r="DP65" s="408">
        <v>-0.34007437109716587</v>
      </c>
      <c r="DQ65" s="408">
        <v>0</v>
      </c>
      <c r="DR65" s="408">
        <v>0</v>
      </c>
      <c r="DS65" s="408"/>
      <c r="DT65" s="408"/>
      <c r="DU65" s="408"/>
      <c r="DV65" s="408">
        <v>13044.336226132347</v>
      </c>
      <c r="DW65" s="408">
        <v>0</v>
      </c>
      <c r="DX65" s="408">
        <v>0</v>
      </c>
      <c r="DY65" s="408">
        <v>-9456.1966199999988</v>
      </c>
      <c r="DZ65" s="234">
        <v>185.79521999999997</v>
      </c>
      <c r="EA65" s="408">
        <v>0</v>
      </c>
      <c r="EB65" s="408">
        <v>0</v>
      </c>
      <c r="EC65" s="408">
        <v>-9583.8018871528529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242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64</v>
      </c>
      <c r="B66" s="408" t="s">
        <v>1036</v>
      </c>
      <c r="C66" s="408" t="s">
        <v>2239</v>
      </c>
      <c r="D66" s="408" t="s">
        <v>597</v>
      </c>
      <c r="E66" s="408" t="s">
        <v>998</v>
      </c>
      <c r="F66" s="408" t="s">
        <v>1322</v>
      </c>
      <c r="G66" s="408" t="s">
        <v>1322</v>
      </c>
      <c r="H66" s="408" t="s">
        <v>1322</v>
      </c>
      <c r="I66" s="408" t="s">
        <v>2240</v>
      </c>
      <c r="J66" s="408" t="s">
        <v>2232</v>
      </c>
      <c r="K66" s="828">
        <v>44409</v>
      </c>
      <c r="L66" s="408">
        <v>0</v>
      </c>
      <c r="M66" s="408">
        <v>0</v>
      </c>
      <c r="N66" s="408">
        <v>53.183</v>
      </c>
      <c r="O66" s="408">
        <v>53.183</v>
      </c>
      <c r="P66" s="408">
        <v>53.183</v>
      </c>
      <c r="Q66" s="408">
        <v>53.183</v>
      </c>
      <c r="R66" s="408"/>
      <c r="S66" s="408">
        <v>80.27</v>
      </c>
      <c r="T66" s="408">
        <v>216.76</v>
      </c>
      <c r="U66" s="408"/>
      <c r="V66" s="408">
        <v>15796.946489999998</v>
      </c>
      <c r="W66" s="408">
        <v>15796.946489999998</v>
      </c>
      <c r="X66" s="408">
        <v>17511.566409999999</v>
      </c>
      <c r="Y66" s="408">
        <v>0</v>
      </c>
      <c r="Z66" s="408">
        <v>2804.4053682402341</v>
      </c>
      <c r="AA66" s="408">
        <v>0</v>
      </c>
      <c r="AB66" s="408">
        <v>0</v>
      </c>
      <c r="AC66" s="408">
        <v>0</v>
      </c>
      <c r="AD66" s="408">
        <v>0</v>
      </c>
      <c r="AE66" s="408">
        <v>0</v>
      </c>
      <c r="AF66" s="408">
        <v>11359.968618303434</v>
      </c>
      <c r="AG66" s="408">
        <v>167.92025609874585</v>
      </c>
      <c r="AH66" s="408">
        <v>0</v>
      </c>
      <c r="AI66" s="408">
        <v>0</v>
      </c>
      <c r="AJ66" s="408">
        <v>0</v>
      </c>
      <c r="AK66" s="408">
        <v>0</v>
      </c>
      <c r="AL66" s="408">
        <v>498.51795886371605</v>
      </c>
      <c r="AM66" s="408"/>
      <c r="AN66" s="408">
        <v>73.032076076536612</v>
      </c>
      <c r="AO66" s="408">
        <v>0</v>
      </c>
      <c r="AP66" s="408">
        <v>0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24.320516679929927</v>
      </c>
      <c r="BE66" s="408">
        <v>0</v>
      </c>
      <c r="BF66" s="408">
        <v>0</v>
      </c>
      <c r="BG66" s="408">
        <v>868.80582853326598</v>
      </c>
      <c r="BH66" s="408">
        <v>0</v>
      </c>
      <c r="BI66" s="408">
        <v>0</v>
      </c>
      <c r="BJ66" s="408">
        <v>0</v>
      </c>
      <c r="BK66" s="408">
        <v>0</v>
      </c>
      <c r="BL66" s="408">
        <v>0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>
        <v>12253.094963516631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17510.578600000001</v>
      </c>
      <c r="CJ66" s="408">
        <v>1713.6021100000016</v>
      </c>
      <c r="CK66" s="408"/>
      <c r="CL66" s="408"/>
      <c r="CM66" s="408"/>
      <c r="CN66" s="408"/>
      <c r="CO66" s="408">
        <v>-20.741370000000032</v>
      </c>
      <c r="CP66" s="408">
        <v>1735.3612899999998</v>
      </c>
      <c r="CQ66" s="408">
        <v>31</v>
      </c>
      <c r="CR66" s="408">
        <v>1714.6735784733974</v>
      </c>
      <c r="CS66" s="408">
        <v>0</v>
      </c>
      <c r="CT66" s="408">
        <v>0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0</v>
      </c>
      <c r="DA66" s="408">
        <v>0</v>
      </c>
      <c r="DB66" s="408">
        <v>0</v>
      </c>
      <c r="DC66" s="408">
        <v>1735.5843141541318</v>
      </c>
      <c r="DD66" s="408">
        <v>0</v>
      </c>
      <c r="DE66" s="408">
        <v>0</v>
      </c>
      <c r="DF66" s="408">
        <v>3.715706326318621</v>
      </c>
      <c r="DG66" s="408">
        <v>132.73678992550401</v>
      </c>
      <c r="DH66" s="408">
        <v>0</v>
      </c>
      <c r="DI66" s="408">
        <v>-133.98662384358431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-20.200251348885615</v>
      </c>
      <c r="DP66" s="408">
        <v>-3.1763567400879111</v>
      </c>
      <c r="DQ66" s="408">
        <v>0</v>
      </c>
      <c r="DR66" s="408">
        <v>0</v>
      </c>
      <c r="DS66" s="408"/>
      <c r="DT66" s="408"/>
      <c r="DU66" s="408"/>
      <c r="DV66" s="408">
        <v>0</v>
      </c>
      <c r="DW66" s="408">
        <v>0</v>
      </c>
      <c r="DX66" s="408">
        <v>0</v>
      </c>
      <c r="DY66" s="408">
        <v>-20.741369999999733</v>
      </c>
      <c r="DZ66" s="234">
        <v>1735.3612899999989</v>
      </c>
      <c r="EA66" s="408">
        <v>0</v>
      </c>
      <c r="EB66" s="408">
        <v>0</v>
      </c>
      <c r="EC66" s="408">
        <v>0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242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65</v>
      </c>
      <c r="B67" s="408" t="s">
        <v>1036</v>
      </c>
      <c r="C67" s="408" t="s">
        <v>2239</v>
      </c>
      <c r="D67" s="408" t="s">
        <v>597</v>
      </c>
      <c r="E67" s="408" t="s">
        <v>998</v>
      </c>
      <c r="F67" s="408" t="s">
        <v>1322</v>
      </c>
      <c r="G67" s="408" t="s">
        <v>1322</v>
      </c>
      <c r="H67" s="408" t="s">
        <v>1322</v>
      </c>
      <c r="I67" s="408" t="s">
        <v>1322</v>
      </c>
      <c r="J67" s="408" t="s">
        <v>2232</v>
      </c>
      <c r="K67" s="828">
        <v>44409</v>
      </c>
      <c r="L67" s="408">
        <v>883</v>
      </c>
      <c r="M67" s="408">
        <v>883</v>
      </c>
      <c r="N67" s="408">
        <v>0</v>
      </c>
      <c r="O67" s="408">
        <v>0</v>
      </c>
      <c r="P67" s="408">
        <v>0</v>
      </c>
      <c r="Q67" s="408">
        <v>0</v>
      </c>
      <c r="R67" s="408">
        <v>32.17</v>
      </c>
      <c r="S67" s="408"/>
      <c r="T67" s="408"/>
      <c r="U67" s="408">
        <v>28406.11</v>
      </c>
      <c r="V67" s="408"/>
      <c r="W67" s="408">
        <v>28406.11</v>
      </c>
      <c r="X67" s="408">
        <v>11417.19</v>
      </c>
      <c r="Y67" s="408">
        <v>0</v>
      </c>
      <c r="Z67" s="408">
        <v>0</v>
      </c>
      <c r="AA67" s="408">
        <v>0</v>
      </c>
      <c r="AB67" s="408">
        <v>0</v>
      </c>
      <c r="AC67" s="408">
        <v>0</v>
      </c>
      <c r="AD67" s="408">
        <v>88.22602679091618</v>
      </c>
      <c r="AE67" s="408">
        <v>23776.307383359319</v>
      </c>
      <c r="AF67" s="408"/>
      <c r="AG67" s="408"/>
      <c r="AH67" s="408"/>
      <c r="AI67" s="408">
        <v>0</v>
      </c>
      <c r="AJ67" s="408">
        <v>0</v>
      </c>
      <c r="AK67" s="408">
        <v>0</v>
      </c>
      <c r="AL67" s="408">
        <v>0</v>
      </c>
      <c r="AM67" s="408"/>
      <c r="AN67" s="408">
        <v>0</v>
      </c>
      <c r="AO67" s="408">
        <v>1557.9838369633237</v>
      </c>
      <c r="AP67" s="408">
        <v>2987.0699410885354</v>
      </c>
      <c r="AQ67" s="408">
        <v>0</v>
      </c>
      <c r="AR67" s="408">
        <v>0</v>
      </c>
      <c r="AS67" s="408"/>
      <c r="AT67" s="408"/>
      <c r="AU67" s="408">
        <v>0</v>
      </c>
      <c r="AV67" s="408">
        <v>0</v>
      </c>
      <c r="AW67" s="408">
        <v>0</v>
      </c>
      <c r="AX67" s="408"/>
      <c r="AY67" s="408"/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/>
      <c r="BG67" s="408">
        <v>0</v>
      </c>
      <c r="BH67" s="408">
        <v>0</v>
      </c>
      <c r="BI67" s="408">
        <v>168.31</v>
      </c>
      <c r="BJ67" s="408">
        <v>771.83</v>
      </c>
      <c r="BK67" s="408">
        <v>15041.69</v>
      </c>
      <c r="BL67" s="408">
        <v>8</v>
      </c>
      <c r="BM67" s="408"/>
      <c r="BN67" s="408"/>
      <c r="BO67" s="408"/>
      <c r="BP67" s="408"/>
      <c r="BQ67" s="408"/>
      <c r="BR67" s="408"/>
      <c r="BS67" s="408"/>
      <c r="BT67" s="408"/>
      <c r="BU67" s="408"/>
      <c r="BV67" s="408">
        <v>0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11417.19</v>
      </c>
      <c r="CJ67" s="408">
        <v>-16988.949999999997</v>
      </c>
      <c r="CK67" s="408"/>
      <c r="CL67" s="408"/>
      <c r="CM67" s="408"/>
      <c r="CN67" s="408"/>
      <c r="CO67" s="408">
        <v>-16988.920000000002</v>
      </c>
      <c r="CP67" s="408">
        <v>0</v>
      </c>
      <c r="CQ67" s="408">
        <v>31</v>
      </c>
      <c r="CR67" s="408">
        <v>477.45552967819458</v>
      </c>
      <c r="CS67" s="408">
        <v>160.70840742353539</v>
      </c>
      <c r="CT67" s="408">
        <v>308.12081724204472</v>
      </c>
      <c r="CU67" s="408">
        <v>0</v>
      </c>
      <c r="CV67" s="408">
        <v>0</v>
      </c>
      <c r="CW67" s="408"/>
      <c r="CX67" s="408"/>
      <c r="CY67" s="408"/>
      <c r="CZ67" s="408">
        <v>8.6263050126149921</v>
      </c>
      <c r="DA67" s="408">
        <v>0</v>
      </c>
      <c r="DB67" s="408">
        <v>0</v>
      </c>
      <c r="DC67" s="408"/>
      <c r="DD67" s="408"/>
      <c r="DE67" s="408">
        <v>0</v>
      </c>
      <c r="DF67" s="408">
        <v>0</v>
      </c>
      <c r="DG67" s="408">
        <v>0</v>
      </c>
      <c r="DH67" s="408">
        <v>0</v>
      </c>
      <c r="DI67" s="408">
        <v>0</v>
      </c>
      <c r="DJ67" s="408"/>
      <c r="DK67" s="408">
        <v>0</v>
      </c>
      <c r="DL67" s="408">
        <v>0</v>
      </c>
      <c r="DM67" s="408"/>
      <c r="DN67" s="408">
        <v>0</v>
      </c>
      <c r="DO67" s="408">
        <v>0</v>
      </c>
      <c r="DP67" s="408">
        <v>0</v>
      </c>
      <c r="DQ67" s="408">
        <v>0</v>
      </c>
      <c r="DR67" s="408">
        <v>0</v>
      </c>
      <c r="DS67" s="408"/>
      <c r="DT67" s="408"/>
      <c r="DU67" s="408">
        <v>23776.307383359319</v>
      </c>
      <c r="DV67" s="408"/>
      <c r="DW67" s="408">
        <v>0</v>
      </c>
      <c r="DX67" s="408">
        <v>0</v>
      </c>
      <c r="DY67" s="408">
        <v>-16988.919999999998</v>
      </c>
      <c r="DZ67" s="234"/>
      <c r="EA67" s="408">
        <v>0</v>
      </c>
      <c r="EB67" s="408"/>
      <c r="EC67" s="408">
        <v>-17468.686456706571</v>
      </c>
      <c r="ED67" s="408"/>
      <c r="EE67" s="408">
        <v>0</v>
      </c>
      <c r="EF67" s="408">
        <v>0</v>
      </c>
      <c r="EG67" s="408"/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/>
      <c r="EN67" s="408"/>
      <c r="EO67" s="408">
        <v>0</v>
      </c>
      <c r="EP67" s="408">
        <v>0</v>
      </c>
      <c r="EQ67" s="408"/>
      <c r="ER67" s="408">
        <v>0</v>
      </c>
      <c r="ES67" s="408"/>
      <c r="ET67" s="408">
        <v>0</v>
      </c>
      <c r="EU67" s="408"/>
      <c r="EV67" s="408">
        <v>242</v>
      </c>
      <c r="EW67" s="408"/>
      <c r="EX67" s="408"/>
      <c r="EY67" s="408"/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66</v>
      </c>
      <c r="B68" s="408" t="s">
        <v>2233</v>
      </c>
      <c r="C68" s="408" t="s">
        <v>2239</v>
      </c>
      <c r="D68" s="408" t="s">
        <v>597</v>
      </c>
      <c r="E68" s="408" t="s">
        <v>998</v>
      </c>
      <c r="F68" s="408" t="s">
        <v>1322</v>
      </c>
      <c r="G68" s="408" t="s">
        <v>1322</v>
      </c>
      <c r="H68" s="408" t="s">
        <v>1322</v>
      </c>
      <c r="I68" s="408" t="s">
        <v>1322</v>
      </c>
      <c r="J68" s="408" t="s">
        <v>2232</v>
      </c>
      <c r="K68" s="828">
        <v>44409</v>
      </c>
      <c r="L68" s="408">
        <v>0</v>
      </c>
      <c r="M68" s="408">
        <v>0</v>
      </c>
      <c r="N68" s="408">
        <v>0</v>
      </c>
      <c r="O68" s="408">
        <v>0</v>
      </c>
      <c r="P68" s="408">
        <v>0</v>
      </c>
      <c r="Q68" s="408">
        <v>0</v>
      </c>
      <c r="R68" s="408"/>
      <c r="S68" s="408"/>
      <c r="T68" s="408"/>
      <c r="U68" s="408"/>
      <c r="V68" s="408"/>
      <c r="W68" s="408"/>
      <c r="X68" s="408"/>
      <c r="Y68" s="408"/>
      <c r="Z68" s="408"/>
      <c r="AA68" s="408">
        <v>0</v>
      </c>
      <c r="AB68" s="408"/>
      <c r="AC68" s="408"/>
      <c r="AD68" s="408"/>
      <c r="AE68" s="408"/>
      <c r="AF68" s="408"/>
      <c r="AG68" s="408"/>
      <c r="AH68" s="408"/>
      <c r="AI68" s="408"/>
      <c r="AJ68" s="408"/>
      <c r="AK68" s="408"/>
      <c r="AL68" s="408"/>
      <c r="AM68" s="408"/>
      <c r="AN68" s="408"/>
      <c r="AO68" s="408"/>
      <c r="AP68" s="408"/>
      <c r="AQ68" s="408"/>
      <c r="AR68" s="408"/>
      <c r="AS68" s="408"/>
      <c r="AT68" s="408"/>
      <c r="AU68" s="408"/>
      <c r="AV68" s="408"/>
      <c r="AW68" s="408"/>
      <c r="AX68" s="408"/>
      <c r="AY68" s="408"/>
      <c r="AZ68" s="408">
        <v>0</v>
      </c>
      <c r="BA68" s="408"/>
      <c r="BB68" s="408"/>
      <c r="BC68" s="408"/>
      <c r="BD68" s="408"/>
      <c r="BE68" s="408"/>
      <c r="BF68" s="408"/>
      <c r="BG68" s="408"/>
      <c r="BH68" s="408"/>
      <c r="BI68" s="408">
        <v>-20.53</v>
      </c>
      <c r="BJ68" s="408">
        <v>-94.12</v>
      </c>
      <c r="BK68" s="408">
        <v>-4702.41</v>
      </c>
      <c r="BL68" s="408">
        <v>0</v>
      </c>
      <c r="BM68" s="408"/>
      <c r="BN68" s="408"/>
      <c r="BO68" s="408"/>
      <c r="BP68" s="408"/>
      <c r="BQ68" s="408"/>
      <c r="BR68" s="408"/>
      <c r="BS68" s="408"/>
      <c r="BT68" s="408"/>
      <c r="BU68" s="408"/>
      <c r="BV68" s="408"/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/>
      <c r="CJ68" s="408">
        <v>-0.03</v>
      </c>
      <c r="CK68" s="408"/>
      <c r="CL68" s="408"/>
      <c r="CM68" s="408"/>
      <c r="CN68" s="408"/>
      <c r="CO68" s="408">
        <v>0</v>
      </c>
      <c r="CP68" s="408">
        <v>0</v>
      </c>
      <c r="CQ68" s="408">
        <v>31</v>
      </c>
      <c r="CR68" s="408"/>
      <c r="CS68" s="408"/>
      <c r="CT68" s="408"/>
      <c r="CU68" s="408"/>
      <c r="CV68" s="408"/>
      <c r="CW68" s="408"/>
      <c r="CX68" s="408"/>
      <c r="CY68" s="408"/>
      <c r="CZ68" s="408"/>
      <c r="DA68" s="408"/>
      <c r="DB68" s="408"/>
      <c r="DC68" s="408"/>
      <c r="DD68" s="408"/>
      <c r="DE68" s="408"/>
      <c r="DF68" s="408"/>
      <c r="DG68" s="408"/>
      <c r="DH68" s="408"/>
      <c r="DI68" s="408"/>
      <c r="DJ68" s="408"/>
      <c r="DK68" s="408">
        <v>0</v>
      </c>
      <c r="DL68" s="408"/>
      <c r="DM68" s="408"/>
      <c r="DN68" s="408"/>
      <c r="DO68" s="408"/>
      <c r="DP68" s="408"/>
      <c r="DQ68" s="408"/>
      <c r="DR68" s="408"/>
      <c r="DS68" s="408"/>
      <c r="DT68" s="408"/>
      <c r="DU68" s="408"/>
      <c r="DV68" s="408"/>
      <c r="DW68" s="408"/>
      <c r="DX68" s="408"/>
      <c r="DY68" s="408"/>
      <c r="DZ68" s="234"/>
      <c r="EA68" s="408"/>
      <c r="EB68" s="408"/>
      <c r="EC68" s="408"/>
      <c r="ED68" s="408"/>
      <c r="EE68" s="408"/>
      <c r="EF68" s="408"/>
      <c r="EG68" s="408"/>
      <c r="EH68" s="408"/>
      <c r="EI68" s="408"/>
      <c r="EJ68" s="408"/>
      <c r="EK68" s="408"/>
      <c r="EL68" s="408"/>
      <c r="EM68" s="408"/>
      <c r="EN68" s="408"/>
      <c r="EO68" s="408"/>
      <c r="EP68" s="408"/>
      <c r="EQ68" s="408"/>
      <c r="ER68" s="408"/>
      <c r="ES68" s="408"/>
      <c r="ET68" s="408"/>
      <c r="EU68" s="408"/>
      <c r="EV68" s="408">
        <v>242</v>
      </c>
      <c r="EW68" s="408"/>
      <c r="EX68" s="408"/>
      <c r="EY68" s="408"/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67</v>
      </c>
      <c r="B69" s="408" t="s">
        <v>1036</v>
      </c>
      <c r="C69" s="408" t="s">
        <v>2231</v>
      </c>
      <c r="D69" s="408" t="s">
        <v>2241</v>
      </c>
      <c r="E69" s="408" t="s">
        <v>974</v>
      </c>
      <c r="F69" s="408" t="s">
        <v>1322</v>
      </c>
      <c r="G69" s="408" t="s">
        <v>1322</v>
      </c>
      <c r="H69" s="408" t="s">
        <v>1322</v>
      </c>
      <c r="I69" s="408" t="s">
        <v>1322</v>
      </c>
      <c r="J69" s="408" t="s">
        <v>2232</v>
      </c>
      <c r="K69" s="828">
        <v>44409</v>
      </c>
      <c r="L69" s="408">
        <v>0</v>
      </c>
      <c r="M69" s="408">
        <v>0</v>
      </c>
      <c r="N69" s="408">
        <v>3584.2150000000001</v>
      </c>
      <c r="O69" s="408">
        <v>3584.2150000000001</v>
      </c>
      <c r="P69" s="408">
        <v>3584.2150000000001</v>
      </c>
      <c r="Q69" s="408">
        <v>3584.2150000000001</v>
      </c>
      <c r="R69" s="408"/>
      <c r="S69" s="408">
        <v>571.87</v>
      </c>
      <c r="T69" s="408">
        <v>216.76</v>
      </c>
      <c r="U69" s="408"/>
      <c r="V69" s="408">
        <v>2826619.4754499998</v>
      </c>
      <c r="W69" s="408">
        <v>2826619.4754499998</v>
      </c>
      <c r="X69" s="408">
        <v>1842322.3521500002</v>
      </c>
      <c r="Y69" s="408">
        <v>0</v>
      </c>
      <c r="Z69" s="408">
        <v>217241.48276850133</v>
      </c>
      <c r="AA69" s="408">
        <v>0</v>
      </c>
      <c r="AB69" s="408">
        <v>0</v>
      </c>
      <c r="AC69" s="408">
        <v>0</v>
      </c>
      <c r="AD69" s="408">
        <v>2945.9154104825393</v>
      </c>
      <c r="AE69" s="408">
        <v>1528250.7414208381</v>
      </c>
      <c r="AF69" s="408">
        <v>765593.70327458857</v>
      </c>
      <c r="AG69" s="408">
        <v>11316.817417463597</v>
      </c>
      <c r="AH69" s="408">
        <v>0</v>
      </c>
      <c r="AI69" s="408">
        <v>0</v>
      </c>
      <c r="AJ69" s="408">
        <v>0</v>
      </c>
      <c r="AK69" s="408">
        <v>0</v>
      </c>
      <c r="AL69" s="408">
        <v>33597.118363550646</v>
      </c>
      <c r="AM69" s="408"/>
      <c r="AN69" s="408">
        <v>6876.2073602145592</v>
      </c>
      <c r="AO69" s="408">
        <v>31833.914297800635</v>
      </c>
      <c r="AP69" s="408">
        <v>99738.32755964002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2132.8574647916062</v>
      </c>
      <c r="BE69" s="408">
        <v>0</v>
      </c>
      <c r="BF69" s="408">
        <v>0</v>
      </c>
      <c r="BG69" s="408">
        <v>127089.94660101387</v>
      </c>
      <c r="BH69" s="408">
        <v>0</v>
      </c>
      <c r="BI69" s="408">
        <v>6166.08</v>
      </c>
      <c r="BJ69" s="408">
        <v>28512.04</v>
      </c>
      <c r="BK69" s="408">
        <v>126433.85</v>
      </c>
      <c r="BL69" s="408">
        <v>10571</v>
      </c>
      <c r="BM69" s="408"/>
      <c r="BN69" s="408"/>
      <c r="BO69" s="408"/>
      <c r="BP69" s="408"/>
      <c r="BQ69" s="408"/>
      <c r="BR69" s="408">
        <v>221074.38119999995</v>
      </c>
      <c r="BS69" s="408"/>
      <c r="BT69" s="408"/>
      <c r="BU69" s="408"/>
      <c r="BV69" s="408">
        <v>894816.50734039408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1621250.2326</v>
      </c>
      <c r="CJ69" s="408">
        <v>-866195.00739999977</v>
      </c>
      <c r="CK69" s="408"/>
      <c r="CL69" s="408"/>
      <c r="CM69" s="408"/>
      <c r="CN69" s="408"/>
      <c r="CO69" s="408">
        <v>-1101250.0587500001</v>
      </c>
      <c r="CP69" s="408">
        <v>116952.93544999999</v>
      </c>
      <c r="CQ69" s="408">
        <v>31</v>
      </c>
      <c r="CR69" s="408">
        <v>138531.00596963032</v>
      </c>
      <c r="CS69" s="408">
        <v>3283.716780289782</v>
      </c>
      <c r="CT69" s="408">
        <v>10288.160506490152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288.03705433101004</v>
      </c>
      <c r="DA69" s="408">
        <v>0</v>
      </c>
      <c r="DB69" s="408">
        <v>0</v>
      </c>
      <c r="DC69" s="408">
        <v>116967.96593941574</v>
      </c>
      <c r="DD69" s="408">
        <v>0</v>
      </c>
      <c r="DE69" s="408">
        <v>0</v>
      </c>
      <c r="DF69" s="408">
        <v>325.85952343693634</v>
      </c>
      <c r="DG69" s="408">
        <v>19416.894994939983</v>
      </c>
      <c r="DH69" s="408">
        <v>0</v>
      </c>
      <c r="DI69" s="408">
        <v>-10379.18881648386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-1361.3757006646119</v>
      </c>
      <c r="DP69" s="408">
        <v>-299.0643121245821</v>
      </c>
      <c r="DQ69" s="408">
        <v>0</v>
      </c>
      <c r="DR69" s="408">
        <v>0</v>
      </c>
      <c r="DS69" s="408"/>
      <c r="DT69" s="408"/>
      <c r="DU69" s="408"/>
      <c r="DV69" s="408">
        <v>1528250.7414208381</v>
      </c>
      <c r="DW69" s="408">
        <v>0</v>
      </c>
      <c r="DX69" s="408">
        <v>0</v>
      </c>
      <c r="DY69" s="408">
        <v>-1101250.0587499999</v>
      </c>
      <c r="DZ69" s="234">
        <v>116952.93544999999</v>
      </c>
      <c r="EA69" s="408">
        <v>0</v>
      </c>
      <c r="EB69" s="408">
        <v>0</v>
      </c>
      <c r="EC69" s="408">
        <v>-1122820.8232113663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242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68</v>
      </c>
      <c r="B70" s="408" t="s">
        <v>2233</v>
      </c>
      <c r="C70" s="408" t="s">
        <v>2231</v>
      </c>
      <c r="D70" s="408" t="s">
        <v>2241</v>
      </c>
      <c r="E70" s="408" t="s">
        <v>974</v>
      </c>
      <c r="F70" s="408" t="s">
        <v>1322</v>
      </c>
      <c r="G70" s="408" t="s">
        <v>1322</v>
      </c>
      <c r="H70" s="408" t="s">
        <v>1322</v>
      </c>
      <c r="I70" s="408" t="s">
        <v>1322</v>
      </c>
      <c r="J70" s="408" t="s">
        <v>2232</v>
      </c>
      <c r="K70" s="828">
        <v>44409</v>
      </c>
      <c r="L70" s="408">
        <v>0</v>
      </c>
      <c r="M70" s="408">
        <v>0</v>
      </c>
      <c r="N70" s="408">
        <v>-1.762</v>
      </c>
      <c r="O70" s="408">
        <v>-1.762</v>
      </c>
      <c r="P70" s="408">
        <v>-1.762</v>
      </c>
      <c r="Q70" s="408">
        <v>-1.762</v>
      </c>
      <c r="R70" s="408"/>
      <c r="S70" s="408">
        <v>571.87</v>
      </c>
      <c r="T70" s="408">
        <v>216.76</v>
      </c>
      <c r="U70" s="408"/>
      <c r="V70" s="408">
        <v>-1389.5660600000001</v>
      </c>
      <c r="W70" s="408">
        <v>-1389.5660600000001</v>
      </c>
      <c r="X70" s="408">
        <v>-905.68561999999997</v>
      </c>
      <c r="Y70" s="408">
        <v>0</v>
      </c>
      <c r="Z70" s="408">
        <v>-106.79590723159725</v>
      </c>
      <c r="AA70" s="408">
        <v>0</v>
      </c>
      <c r="AB70" s="408">
        <v>0</v>
      </c>
      <c r="AC70" s="408">
        <v>0</v>
      </c>
      <c r="AD70" s="408">
        <v>-1.4482119385333285</v>
      </c>
      <c r="AE70" s="408">
        <v>-751.28802440241918</v>
      </c>
      <c r="AF70" s="408">
        <v>-376.36584445124663</v>
      </c>
      <c r="AG70" s="408">
        <v>-5.5633471456290584</v>
      </c>
      <c r="AH70" s="408">
        <v>0</v>
      </c>
      <c r="AI70" s="408">
        <v>0</v>
      </c>
      <c r="AJ70" s="408">
        <v>0</v>
      </c>
      <c r="AK70" s="408">
        <v>0</v>
      </c>
      <c r="AL70" s="408">
        <v>-16.516342506399933</v>
      </c>
      <c r="AM70" s="408"/>
      <c r="AN70" s="408">
        <v>-3.380343357945339</v>
      </c>
      <c r="AO70" s="408">
        <v>-15.649551433919203</v>
      </c>
      <c r="AP70" s="408">
        <v>-49.031359212571147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-1.0485126737550092</v>
      </c>
      <c r="BE70" s="408">
        <v>0</v>
      </c>
      <c r="BF70" s="408">
        <v>0</v>
      </c>
      <c r="BG70" s="408">
        <v>-62.477414415984093</v>
      </c>
      <c r="BH70" s="408">
        <v>0</v>
      </c>
      <c r="BI70" s="408">
        <v>-4.08</v>
      </c>
      <c r="BJ70" s="408">
        <v>-18.68</v>
      </c>
      <c r="BK70" s="408">
        <v>-8.09</v>
      </c>
      <c r="BL70" s="408">
        <v>0</v>
      </c>
      <c r="BM70" s="408"/>
      <c r="BN70" s="408"/>
      <c r="BO70" s="408"/>
      <c r="BP70" s="408"/>
      <c r="BQ70" s="408"/>
      <c r="BR70" s="408">
        <v>-108.68015999999997</v>
      </c>
      <c r="BS70" s="408"/>
      <c r="BT70" s="408"/>
      <c r="BU70" s="408"/>
      <c r="BV70" s="408">
        <v>-439.8917715409857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-796.10080000000005</v>
      </c>
      <c r="CJ70" s="408">
        <v>426.69719999999995</v>
      </c>
      <c r="CK70" s="408"/>
      <c r="CL70" s="408"/>
      <c r="CM70" s="408"/>
      <c r="CN70" s="408"/>
      <c r="CO70" s="408">
        <v>541.37450000000001</v>
      </c>
      <c r="CP70" s="408">
        <v>-57.49405999999999</v>
      </c>
      <c r="CQ70" s="408">
        <v>31</v>
      </c>
      <c r="CR70" s="408">
        <v>-68.101838901541669</v>
      </c>
      <c r="CS70" s="408">
        <v>-1.6142750830713553</v>
      </c>
      <c r="CT70" s="408">
        <v>-5.0576594351721766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-0.14159900835503447</v>
      </c>
      <c r="DA70" s="408">
        <v>0</v>
      </c>
      <c r="DB70" s="408">
        <v>0</v>
      </c>
      <c r="DC70" s="408">
        <v>-57.50144898820264</v>
      </c>
      <c r="DD70" s="408">
        <v>0</v>
      </c>
      <c r="DE70" s="408">
        <v>0</v>
      </c>
      <c r="DF70" s="408">
        <v>-0.16019253317557158</v>
      </c>
      <c r="DG70" s="408">
        <v>-9.5453450702829699</v>
      </c>
      <c r="DH70" s="408">
        <v>0</v>
      </c>
      <c r="DI70" s="408">
        <v>5.1024089499777716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0.66925225874314087</v>
      </c>
      <c r="DP70" s="408">
        <v>0.1470200079971522</v>
      </c>
      <c r="DQ70" s="408">
        <v>0</v>
      </c>
      <c r="DR70" s="408">
        <v>0</v>
      </c>
      <c r="DS70" s="408"/>
      <c r="DT70" s="408"/>
      <c r="DU70" s="408"/>
      <c r="DV70" s="408">
        <v>-751.28802440241918</v>
      </c>
      <c r="DW70" s="408">
        <v>0</v>
      </c>
      <c r="DX70" s="408">
        <v>0</v>
      </c>
      <c r="DY70" s="408">
        <v>541.37450000000001</v>
      </c>
      <c r="DZ70" s="234">
        <v>-57.49405999999999</v>
      </c>
      <c r="EA70" s="408">
        <v>0</v>
      </c>
      <c r="EB70" s="408">
        <v>0</v>
      </c>
      <c r="EC70" s="408">
        <v>551.97868724349064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242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69</v>
      </c>
      <c r="B71" s="408" t="s">
        <v>2234</v>
      </c>
      <c r="C71" s="408" t="s">
        <v>2231</v>
      </c>
      <c r="D71" s="408" t="s">
        <v>2241</v>
      </c>
      <c r="E71" s="408" t="s">
        <v>974</v>
      </c>
      <c r="F71" s="408" t="s">
        <v>1322</v>
      </c>
      <c r="G71" s="408" t="s">
        <v>1322</v>
      </c>
      <c r="H71" s="408" t="s">
        <v>1322</v>
      </c>
      <c r="I71" s="408" t="s">
        <v>1322</v>
      </c>
      <c r="J71" s="408" t="s">
        <v>2232</v>
      </c>
      <c r="K71" s="828">
        <v>44409</v>
      </c>
      <c r="L71" s="408">
        <v>0</v>
      </c>
      <c r="M71" s="408">
        <v>0</v>
      </c>
      <c r="N71" s="408">
        <v>39.523000000000003</v>
      </c>
      <c r="O71" s="408">
        <v>39.523000000000003</v>
      </c>
      <c r="P71" s="408">
        <v>39.523000000000003</v>
      </c>
      <c r="Q71" s="408">
        <v>39.523000000000003</v>
      </c>
      <c r="R71" s="408"/>
      <c r="S71" s="408">
        <v>571.87</v>
      </c>
      <c r="T71" s="408">
        <v>216.76</v>
      </c>
      <c r="U71" s="408"/>
      <c r="V71" s="408">
        <v>31169.023490000003</v>
      </c>
      <c r="W71" s="408">
        <v>31169.023490000003</v>
      </c>
      <c r="X71" s="408">
        <v>20315.217230000002</v>
      </c>
      <c r="Y71" s="408">
        <v>0</v>
      </c>
      <c r="Z71" s="408">
        <v>2395.5134174315654</v>
      </c>
      <c r="AA71" s="408">
        <v>0</v>
      </c>
      <c r="AB71" s="408">
        <v>0</v>
      </c>
      <c r="AC71" s="408">
        <v>0</v>
      </c>
      <c r="AD71" s="408">
        <v>32.484495145659906</v>
      </c>
      <c r="AE71" s="408">
        <v>16851.961741462437</v>
      </c>
      <c r="AF71" s="408">
        <v>8442.172117052567</v>
      </c>
      <c r="AG71" s="408">
        <v>124.79010739880664</v>
      </c>
      <c r="AH71" s="408">
        <v>0</v>
      </c>
      <c r="AI71" s="408">
        <v>0</v>
      </c>
      <c r="AJ71" s="408">
        <v>0</v>
      </c>
      <c r="AK71" s="408">
        <v>0</v>
      </c>
      <c r="AL71" s="408">
        <v>370.47412308765303</v>
      </c>
      <c r="AM71" s="408"/>
      <c r="AN71" s="408">
        <v>75.823672267919207</v>
      </c>
      <c r="AO71" s="408">
        <v>351.03134013779152</v>
      </c>
      <c r="AP71" s="408">
        <v>1099.810675458825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23.518936665618178</v>
      </c>
      <c r="BE71" s="408">
        <v>0</v>
      </c>
      <c r="BF71" s="408">
        <v>0</v>
      </c>
      <c r="BG71" s="408">
        <v>1401.4159193887285</v>
      </c>
      <c r="BH71" s="408">
        <v>0</v>
      </c>
      <c r="BI71" s="408">
        <v>73.72</v>
      </c>
      <c r="BJ71" s="408">
        <v>340.41</v>
      </c>
      <c r="BK71" s="408">
        <v>987.35</v>
      </c>
      <c r="BL71" s="408">
        <v>116</v>
      </c>
      <c r="BM71" s="408"/>
      <c r="BN71" s="408"/>
      <c r="BO71" s="408"/>
      <c r="BP71" s="408"/>
      <c r="BQ71" s="408"/>
      <c r="BR71" s="408">
        <v>2437.7786399999995</v>
      </c>
      <c r="BS71" s="408"/>
      <c r="BT71" s="408"/>
      <c r="BU71" s="408"/>
      <c r="BV71" s="408">
        <v>9867.1069731069128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17876.081600000001</v>
      </c>
      <c r="CJ71" s="408">
        <v>-9552.910399999997</v>
      </c>
      <c r="CK71" s="408"/>
      <c r="CL71" s="408"/>
      <c r="CM71" s="408"/>
      <c r="CN71" s="408"/>
      <c r="CO71" s="408">
        <v>-12143.441750000002</v>
      </c>
      <c r="CP71" s="408">
        <v>1289.6354899999999</v>
      </c>
      <c r="CQ71" s="408">
        <v>31</v>
      </c>
      <c r="CR71" s="408">
        <v>1527.5760379714156</v>
      </c>
      <c r="CS71" s="408">
        <v>36.209417768575065</v>
      </c>
      <c r="CT71" s="408">
        <v>113.44714747804187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3.1761734433689099</v>
      </c>
      <c r="DA71" s="408">
        <v>0</v>
      </c>
      <c r="DB71" s="408">
        <v>0</v>
      </c>
      <c r="DC71" s="408">
        <v>1289.8012306247056</v>
      </c>
      <c r="DD71" s="408">
        <v>0</v>
      </c>
      <c r="DE71" s="408">
        <v>0</v>
      </c>
      <c r="DF71" s="408">
        <v>3.5932403454586392</v>
      </c>
      <c r="DG71" s="408">
        <v>214.10934915595544</v>
      </c>
      <c r="DH71" s="408">
        <v>0</v>
      </c>
      <c r="DI71" s="408">
        <v>-114.45091312711202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-15.011837129571632</v>
      </c>
      <c r="DP71" s="408">
        <v>-3.297770588008774</v>
      </c>
      <c r="DQ71" s="408">
        <v>0</v>
      </c>
      <c r="DR71" s="408">
        <v>0</v>
      </c>
      <c r="DS71" s="408"/>
      <c r="DT71" s="408"/>
      <c r="DU71" s="408"/>
      <c r="DV71" s="408">
        <v>16851.961741462437</v>
      </c>
      <c r="DW71" s="408">
        <v>0</v>
      </c>
      <c r="DX71" s="408">
        <v>0</v>
      </c>
      <c r="DY71" s="408">
        <v>-12143.441750000002</v>
      </c>
      <c r="DZ71" s="234">
        <v>1289.6354900000006</v>
      </c>
      <c r="EA71" s="408">
        <v>0</v>
      </c>
      <c r="EB71" s="408">
        <v>0</v>
      </c>
      <c r="EC71" s="408">
        <v>-12381.301734349876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242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70</v>
      </c>
      <c r="B72" s="408" t="s">
        <v>1036</v>
      </c>
      <c r="C72" s="408" t="s">
        <v>2231</v>
      </c>
      <c r="D72" s="408" t="s">
        <v>1955</v>
      </c>
      <c r="E72" s="408" t="s">
        <v>2242</v>
      </c>
      <c r="F72" s="408" t="s">
        <v>1322</v>
      </c>
      <c r="G72" s="408" t="s">
        <v>1322</v>
      </c>
      <c r="H72" s="408" t="s">
        <v>1322</v>
      </c>
      <c r="I72" s="408" t="s">
        <v>1322</v>
      </c>
      <c r="J72" s="408" t="s">
        <v>2232</v>
      </c>
      <c r="K72" s="828">
        <v>44409</v>
      </c>
      <c r="L72" s="408">
        <v>0</v>
      </c>
      <c r="M72" s="408">
        <v>0</v>
      </c>
      <c r="N72" s="408">
        <v>30.303999999999998</v>
      </c>
      <c r="O72" s="408">
        <v>30.303999999999998</v>
      </c>
      <c r="P72" s="408">
        <v>30.303999999999998</v>
      </c>
      <c r="Q72" s="408">
        <v>30.303999999999998</v>
      </c>
      <c r="R72" s="408"/>
      <c r="S72" s="408">
        <v>571.87</v>
      </c>
      <c r="T72" s="408">
        <v>216.76</v>
      </c>
      <c r="U72" s="408"/>
      <c r="V72" s="408">
        <v>23898.643519999998</v>
      </c>
      <c r="W72" s="408">
        <v>23898.643519999998</v>
      </c>
      <c r="X72" s="408">
        <v>15576.55904</v>
      </c>
      <c r="Y72" s="408">
        <v>0</v>
      </c>
      <c r="Z72" s="408">
        <v>1836.7441389025669</v>
      </c>
      <c r="AA72" s="408">
        <v>0</v>
      </c>
      <c r="AB72" s="408">
        <v>0</v>
      </c>
      <c r="AC72" s="408">
        <v>0</v>
      </c>
      <c r="AD72" s="408">
        <v>24.907272749894432</v>
      </c>
      <c r="AE72" s="408">
        <v>12921.13069891652</v>
      </c>
      <c r="AF72" s="408">
        <v>6472.9798809594649</v>
      </c>
      <c r="AG72" s="408">
        <v>95.681993133452309</v>
      </c>
      <c r="AH72" s="408">
        <v>0</v>
      </c>
      <c r="AI72" s="408">
        <v>0</v>
      </c>
      <c r="AJ72" s="408">
        <v>0</v>
      </c>
      <c r="AK72" s="408">
        <v>0</v>
      </c>
      <c r="AL72" s="408">
        <v>284.05859438929826</v>
      </c>
      <c r="AM72" s="408"/>
      <c r="AN72" s="408">
        <v>58.137301429725056</v>
      </c>
      <c r="AO72" s="408">
        <v>269.15096858881242</v>
      </c>
      <c r="AP72" s="408">
        <v>843.27259340394778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18.032989821493643</v>
      </c>
      <c r="BE72" s="408">
        <v>0</v>
      </c>
      <c r="BF72" s="408">
        <v>0</v>
      </c>
      <c r="BG72" s="408">
        <v>1074.5264281850068</v>
      </c>
      <c r="BH72" s="408">
        <v>0</v>
      </c>
      <c r="BI72" s="408">
        <v>75.900000000000006</v>
      </c>
      <c r="BJ72" s="408">
        <v>351.18</v>
      </c>
      <c r="BK72" s="408">
        <v>7263.63</v>
      </c>
      <c r="BL72" s="408">
        <v>102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7565.5392989659658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15574.503000000001</v>
      </c>
      <c r="CJ72" s="408">
        <v>-8324.1705199999924</v>
      </c>
      <c r="CK72" s="408"/>
      <c r="CL72" s="408"/>
      <c r="CM72" s="408"/>
      <c r="CN72" s="408"/>
      <c r="CO72" s="408">
        <v>-9310.9039999999986</v>
      </c>
      <c r="CP72" s="408">
        <v>988.81951999999978</v>
      </c>
      <c r="CQ72" s="408">
        <v>31</v>
      </c>
      <c r="CR72" s="408">
        <v>1171.2588683724862</v>
      </c>
      <c r="CS72" s="408">
        <v>27.763332643243132</v>
      </c>
      <c r="CT72" s="408">
        <v>86.984853305027059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2.4353100733206361</v>
      </c>
      <c r="DA72" s="408">
        <v>0</v>
      </c>
      <c r="DB72" s="408">
        <v>0</v>
      </c>
      <c r="DC72" s="408">
        <v>988.94660053262851</v>
      </c>
      <c r="DD72" s="408">
        <v>0</v>
      </c>
      <c r="DE72" s="408">
        <v>0</v>
      </c>
      <c r="DF72" s="408">
        <v>2.7550933742068793</v>
      </c>
      <c r="DG72" s="408">
        <v>164.1669336037769</v>
      </c>
      <c r="DH72" s="408">
        <v>0</v>
      </c>
      <c r="DI72" s="408">
        <v>-87.754484006882194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-11.510227269552843</v>
      </c>
      <c r="DP72" s="408">
        <v>-2.5285438832836036</v>
      </c>
      <c r="DQ72" s="408">
        <v>0</v>
      </c>
      <c r="DR72" s="408">
        <v>0</v>
      </c>
      <c r="DS72" s="408"/>
      <c r="DT72" s="408"/>
      <c r="DU72" s="408"/>
      <c r="DV72" s="408">
        <v>12921.13069891652</v>
      </c>
      <c r="DW72" s="408">
        <v>0</v>
      </c>
      <c r="DX72" s="408">
        <v>0</v>
      </c>
      <c r="DY72" s="408">
        <v>-9310.9039999999986</v>
      </c>
      <c r="DZ72" s="234">
        <v>988.81952000000001</v>
      </c>
      <c r="EA72" s="408">
        <v>0</v>
      </c>
      <c r="EB72" s="408">
        <v>0</v>
      </c>
      <c r="EC72" s="408">
        <v>-9493.2815767461616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242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71</v>
      </c>
      <c r="B73" s="408" t="s">
        <v>2234</v>
      </c>
      <c r="C73" s="408" t="s">
        <v>2231</v>
      </c>
      <c r="D73" s="408" t="s">
        <v>1955</v>
      </c>
      <c r="E73" s="408" t="s">
        <v>2242</v>
      </c>
      <c r="F73" s="408" t="s">
        <v>1322</v>
      </c>
      <c r="G73" s="408" t="s">
        <v>1322</v>
      </c>
      <c r="H73" s="408" t="s">
        <v>1322</v>
      </c>
      <c r="I73" s="408" t="s">
        <v>1322</v>
      </c>
      <c r="J73" s="408" t="s">
        <v>2232</v>
      </c>
      <c r="K73" s="828">
        <v>44409</v>
      </c>
      <c r="L73" s="408">
        <v>0</v>
      </c>
      <c r="M73" s="408">
        <v>0</v>
      </c>
      <c r="N73" s="408">
        <v>0.1</v>
      </c>
      <c r="O73" s="408">
        <v>0.1</v>
      </c>
      <c r="P73" s="408">
        <v>0.1</v>
      </c>
      <c r="Q73" s="408">
        <v>0.1</v>
      </c>
      <c r="R73" s="408"/>
      <c r="S73" s="408">
        <v>571.87</v>
      </c>
      <c r="T73" s="408">
        <v>216.76</v>
      </c>
      <c r="U73" s="408"/>
      <c r="V73" s="408">
        <v>78.863</v>
      </c>
      <c r="W73" s="408">
        <v>78.863</v>
      </c>
      <c r="X73" s="408">
        <v>51.401000000000003</v>
      </c>
      <c r="Y73" s="408">
        <v>0</v>
      </c>
      <c r="Z73" s="408">
        <v>6.0610617044039303</v>
      </c>
      <c r="AA73" s="408">
        <v>0</v>
      </c>
      <c r="AB73" s="408">
        <v>0</v>
      </c>
      <c r="AC73" s="408">
        <v>0</v>
      </c>
      <c r="AD73" s="408">
        <v>8.2191369950813206E-2</v>
      </c>
      <c r="AE73" s="408">
        <v>42.638366878684401</v>
      </c>
      <c r="AF73" s="408">
        <v>21.360150082363603</v>
      </c>
      <c r="AG73" s="408">
        <v>0.31574047364523605</v>
      </c>
      <c r="AH73" s="408">
        <v>0</v>
      </c>
      <c r="AI73" s="408">
        <v>0</v>
      </c>
      <c r="AJ73" s="408">
        <v>0</v>
      </c>
      <c r="AK73" s="408">
        <v>0</v>
      </c>
      <c r="AL73" s="408">
        <v>0.93736336585697699</v>
      </c>
      <c r="AM73" s="408"/>
      <c r="AN73" s="408">
        <v>0.19184695561551302</v>
      </c>
      <c r="AO73" s="408">
        <v>0.88816977491028393</v>
      </c>
      <c r="AP73" s="408">
        <v>2.7827105114966599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5.9506962188139001E-2</v>
      </c>
      <c r="BE73" s="408">
        <v>0</v>
      </c>
      <c r="BF73" s="408">
        <v>0</v>
      </c>
      <c r="BG73" s="408">
        <v>3.5458237466506297</v>
      </c>
      <c r="BH73" s="408">
        <v>0</v>
      </c>
      <c r="BI73" s="408">
        <v>0.26</v>
      </c>
      <c r="BJ73" s="408">
        <v>1.19</v>
      </c>
      <c r="BK73" s="408">
        <v>118.82</v>
      </c>
      <c r="BL73" s="408">
        <v>1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24.965480791202371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51.401000000000003</v>
      </c>
      <c r="CJ73" s="408">
        <v>-27.492000000000012</v>
      </c>
      <c r="CK73" s="408"/>
      <c r="CL73" s="408"/>
      <c r="CM73" s="408"/>
      <c r="CN73" s="408"/>
      <c r="CO73" s="408">
        <v>-30.725000000000001</v>
      </c>
      <c r="CP73" s="408">
        <v>3.2629999999999999</v>
      </c>
      <c r="CQ73" s="408">
        <v>31</v>
      </c>
      <c r="CR73" s="408">
        <v>3.8650305846504907</v>
      </c>
      <c r="CS73" s="408">
        <v>9.1616066008590069E-2</v>
      </c>
      <c r="CT73" s="408">
        <v>0.28704083060001029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8.0362660814434911E-3</v>
      </c>
      <c r="DA73" s="408">
        <v>0</v>
      </c>
      <c r="DB73" s="408">
        <v>0</v>
      </c>
      <c r="DC73" s="408">
        <v>3.2634193523383992</v>
      </c>
      <c r="DD73" s="408">
        <v>0</v>
      </c>
      <c r="DE73" s="408">
        <v>0</v>
      </c>
      <c r="DF73" s="408">
        <v>9.0915172063320976E-3</v>
      </c>
      <c r="DG73" s="408">
        <v>0.5417335454190102</v>
      </c>
      <c r="DH73" s="408">
        <v>0</v>
      </c>
      <c r="DI73" s="408">
        <v>-0.28958053064572997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-3.7982534548418934E-2</v>
      </c>
      <c r="DP73" s="408">
        <v>-8.3439278091460012E-3</v>
      </c>
      <c r="DQ73" s="408">
        <v>0</v>
      </c>
      <c r="DR73" s="408">
        <v>0</v>
      </c>
      <c r="DS73" s="408"/>
      <c r="DT73" s="408"/>
      <c r="DU73" s="408"/>
      <c r="DV73" s="408">
        <v>42.638366878684401</v>
      </c>
      <c r="DW73" s="408">
        <v>0</v>
      </c>
      <c r="DX73" s="408">
        <v>0</v>
      </c>
      <c r="DY73" s="408">
        <v>-30.725000000000001</v>
      </c>
      <c r="DZ73" s="234">
        <v>3.2629999999999981</v>
      </c>
      <c r="EA73" s="408">
        <v>0</v>
      </c>
      <c r="EB73" s="408">
        <v>0</v>
      </c>
      <c r="EC73" s="408">
        <v>-31.326826744806503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242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72</v>
      </c>
      <c r="B74" s="408" t="s">
        <v>1036</v>
      </c>
      <c r="C74" s="408" t="s">
        <v>2239</v>
      </c>
      <c r="D74" s="408" t="s">
        <v>597</v>
      </c>
      <c r="E74" s="408" t="s">
        <v>2242</v>
      </c>
      <c r="F74" s="408" t="s">
        <v>1322</v>
      </c>
      <c r="G74" s="408" t="s">
        <v>1322</v>
      </c>
      <c r="H74" s="408" t="s">
        <v>1322</v>
      </c>
      <c r="I74" s="408" t="s">
        <v>973</v>
      </c>
      <c r="J74" s="408" t="s">
        <v>2232</v>
      </c>
      <c r="K74" s="828">
        <v>44409</v>
      </c>
      <c r="L74" s="408">
        <v>0</v>
      </c>
      <c r="M74" s="408">
        <v>0</v>
      </c>
      <c r="N74" s="408">
        <v>1.2290000000000001</v>
      </c>
      <c r="O74" s="408">
        <v>1.2290000000000001</v>
      </c>
      <c r="P74" s="408">
        <v>1.2290000000000001</v>
      </c>
      <c r="Q74" s="408">
        <v>1.2290000000000001</v>
      </c>
      <c r="R74" s="408"/>
      <c r="S74" s="408">
        <v>2592.54</v>
      </c>
      <c r="T74" s="408">
        <v>216.76</v>
      </c>
      <c r="U74" s="408"/>
      <c r="V74" s="408">
        <v>3452.6297000000004</v>
      </c>
      <c r="W74" s="408">
        <v>3452.6297000000004</v>
      </c>
      <c r="X74" s="408">
        <v>1451.6948000000002</v>
      </c>
      <c r="Y74" s="408">
        <v>0</v>
      </c>
      <c r="Z74" s="408">
        <v>64.806690061998154</v>
      </c>
      <c r="AA74" s="408">
        <v>0</v>
      </c>
      <c r="AB74" s="408">
        <v>0</v>
      </c>
      <c r="AC74" s="408">
        <v>0</v>
      </c>
      <c r="AD74" s="408">
        <v>6.2146046694849879</v>
      </c>
      <c r="AE74" s="408">
        <v>2815.5056589245969</v>
      </c>
      <c r="AF74" s="408">
        <v>262.51624451224865</v>
      </c>
      <c r="AG74" s="408">
        <v>3.8804504210999506</v>
      </c>
      <c r="AH74" s="408">
        <v>0</v>
      </c>
      <c r="AI74" s="408">
        <v>0</v>
      </c>
      <c r="AJ74" s="408">
        <v>0</v>
      </c>
      <c r="AK74" s="408">
        <v>0</v>
      </c>
      <c r="AL74" s="408">
        <v>11.520195766382248</v>
      </c>
      <c r="AM74" s="408"/>
      <c r="AN74" s="408">
        <v>1.687690079500282</v>
      </c>
      <c r="AO74" s="408">
        <v>55.44617712368327</v>
      </c>
      <c r="AP74" s="408">
        <v>210.40572018224583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0.56202010040114103</v>
      </c>
      <c r="BE74" s="408">
        <v>0</v>
      </c>
      <c r="BF74" s="408">
        <v>0</v>
      </c>
      <c r="BG74" s="408">
        <v>20.077136740450594</v>
      </c>
      <c r="BH74" s="408">
        <v>0</v>
      </c>
      <c r="BI74" s="408">
        <v>0</v>
      </c>
      <c r="BJ74" s="408">
        <v>0</v>
      </c>
      <c r="BK74" s="408">
        <v>0</v>
      </c>
      <c r="BL74" s="408">
        <v>0</v>
      </c>
      <c r="BM74" s="408"/>
      <c r="BN74" s="408"/>
      <c r="BO74" s="408"/>
      <c r="BP74" s="408"/>
      <c r="BQ74" s="408"/>
      <c r="BR74" s="408"/>
      <c r="BS74" s="408"/>
      <c r="BT74" s="408"/>
      <c r="BU74" s="408"/>
      <c r="BV74" s="408">
        <v>283.15540135310039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1452.8759999999997</v>
      </c>
      <c r="CJ74" s="408">
        <v>-1999.7837000000013</v>
      </c>
      <c r="CK74" s="408"/>
      <c r="CL74" s="408"/>
      <c r="CM74" s="408"/>
      <c r="CN74" s="408"/>
      <c r="CO74" s="408">
        <v>-2041.0371700000003</v>
      </c>
      <c r="CP74" s="408">
        <v>40.102269999999997</v>
      </c>
      <c r="CQ74" s="408">
        <v>31</v>
      </c>
      <c r="CR74" s="408">
        <v>67.654861740593446</v>
      </c>
      <c r="CS74" s="408">
        <v>5.7193576800115977</v>
      </c>
      <c r="CT74" s="408">
        <v>21.703670732037324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0.60763334088299548</v>
      </c>
      <c r="DA74" s="408">
        <v>0</v>
      </c>
      <c r="DB74" s="408">
        <v>0</v>
      </c>
      <c r="DC74" s="408">
        <v>40.107423840238937</v>
      </c>
      <c r="DD74" s="408">
        <v>0</v>
      </c>
      <c r="DE74" s="408">
        <v>0</v>
      </c>
      <c r="DF74" s="408">
        <v>8.5865841999240078E-2</v>
      </c>
      <c r="DG74" s="408">
        <v>3.0673996355685915</v>
      </c>
      <c r="DH74" s="408">
        <v>0</v>
      </c>
      <c r="DI74" s="408">
        <v>-3.0962819078232684</v>
      </c>
      <c r="DJ74" s="408"/>
      <c r="DK74" s="408">
        <v>0</v>
      </c>
      <c r="DL74" s="408">
        <v>0</v>
      </c>
      <c r="DM74" s="408">
        <v>0</v>
      </c>
      <c r="DN74" s="408">
        <v>0</v>
      </c>
      <c r="DO74" s="408">
        <v>-0.46680534960006881</v>
      </c>
      <c r="DP74" s="408">
        <v>-7.3402072721885592E-2</v>
      </c>
      <c r="DQ74" s="408">
        <v>0</v>
      </c>
      <c r="DR74" s="408">
        <v>0</v>
      </c>
      <c r="DS74" s="408"/>
      <c r="DT74" s="408"/>
      <c r="DU74" s="408"/>
      <c r="DV74" s="408">
        <v>2815.5056589245969</v>
      </c>
      <c r="DW74" s="408">
        <v>0</v>
      </c>
      <c r="DX74" s="408">
        <v>0</v>
      </c>
      <c r="DY74" s="408">
        <v>-2041.0371700000003</v>
      </c>
      <c r="DZ74" s="234">
        <v>40.102269999999976</v>
      </c>
      <c r="EA74" s="408">
        <v>0</v>
      </c>
      <c r="EB74" s="408">
        <v>0</v>
      </c>
      <c r="EC74" s="408">
        <v>-2068.5796486320432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242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73</v>
      </c>
      <c r="B75" s="408" t="s">
        <v>1036</v>
      </c>
      <c r="C75" s="408" t="s">
        <v>2239</v>
      </c>
      <c r="D75" s="408" t="s">
        <v>597</v>
      </c>
      <c r="E75" s="408" t="s">
        <v>2242</v>
      </c>
      <c r="F75" s="408" t="s">
        <v>1322</v>
      </c>
      <c r="G75" s="408" t="s">
        <v>1322</v>
      </c>
      <c r="H75" s="408" t="s">
        <v>1322</v>
      </c>
      <c r="I75" s="408" t="s">
        <v>2240</v>
      </c>
      <c r="J75" s="408" t="s">
        <v>2232</v>
      </c>
      <c r="K75" s="828">
        <v>44409</v>
      </c>
      <c r="L75" s="408">
        <v>0</v>
      </c>
      <c r="M75" s="408">
        <v>0</v>
      </c>
      <c r="N75" s="408">
        <v>9.9710000000000001</v>
      </c>
      <c r="O75" s="408">
        <v>9.9710000000000001</v>
      </c>
      <c r="P75" s="408">
        <v>9.9710000000000001</v>
      </c>
      <c r="Q75" s="408">
        <v>9.9710000000000001</v>
      </c>
      <c r="R75" s="408"/>
      <c r="S75" s="408">
        <v>80.27</v>
      </c>
      <c r="T75" s="408">
        <v>216.76</v>
      </c>
      <c r="U75" s="408"/>
      <c r="V75" s="408">
        <v>2961.68613</v>
      </c>
      <c r="W75" s="408">
        <v>2961.68613</v>
      </c>
      <c r="X75" s="408">
        <v>3283.1511699999996</v>
      </c>
      <c r="Y75" s="408">
        <v>0</v>
      </c>
      <c r="Z75" s="408">
        <v>525.78316241512096</v>
      </c>
      <c r="AA75" s="408">
        <v>0</v>
      </c>
      <c r="AB75" s="408">
        <v>0</v>
      </c>
      <c r="AC75" s="408">
        <v>0</v>
      </c>
      <c r="AD75" s="408">
        <v>0</v>
      </c>
      <c r="AE75" s="408">
        <v>0</v>
      </c>
      <c r="AF75" s="408">
        <v>2129.8205647124746</v>
      </c>
      <c r="AG75" s="408">
        <v>31.482482627166483</v>
      </c>
      <c r="AH75" s="408">
        <v>0</v>
      </c>
      <c r="AI75" s="408">
        <v>0</v>
      </c>
      <c r="AJ75" s="408">
        <v>0</v>
      </c>
      <c r="AK75" s="408">
        <v>0</v>
      </c>
      <c r="AL75" s="408">
        <v>93.464501209599163</v>
      </c>
      <c r="AM75" s="408"/>
      <c r="AN75" s="408">
        <v>13.692398521315958</v>
      </c>
      <c r="AO75" s="408">
        <v>0</v>
      </c>
      <c r="AP75" s="408">
        <v>0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4.5597253222943666</v>
      </c>
      <c r="BE75" s="408">
        <v>0</v>
      </c>
      <c r="BF75" s="408">
        <v>0</v>
      </c>
      <c r="BG75" s="408">
        <v>162.88781972256541</v>
      </c>
      <c r="BH75" s="408">
        <v>0</v>
      </c>
      <c r="BI75" s="408">
        <v>0</v>
      </c>
      <c r="BJ75" s="408">
        <v>0</v>
      </c>
      <c r="BK75" s="408">
        <v>0</v>
      </c>
      <c r="BL75" s="408">
        <v>0</v>
      </c>
      <c r="BM75" s="408"/>
      <c r="BN75" s="408"/>
      <c r="BO75" s="408"/>
      <c r="BP75" s="408"/>
      <c r="BQ75" s="408"/>
      <c r="BR75" s="408"/>
      <c r="BS75" s="408"/>
      <c r="BT75" s="408"/>
      <c r="BU75" s="408"/>
      <c r="BV75" s="408">
        <v>2297.2681097573345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3282.8218999999999</v>
      </c>
      <c r="CJ75" s="408">
        <v>321.10576999999967</v>
      </c>
      <c r="CK75" s="408"/>
      <c r="CL75" s="408"/>
      <c r="CM75" s="408"/>
      <c r="CN75" s="408"/>
      <c r="CO75" s="408">
        <v>-3.8886900000000058</v>
      </c>
      <c r="CP75" s="408">
        <v>325.35372999999998</v>
      </c>
      <c r="CQ75" s="408">
        <v>31</v>
      </c>
      <c r="CR75" s="408">
        <v>321.47510014399768</v>
      </c>
      <c r="CS75" s="408">
        <v>0</v>
      </c>
      <c r="CT75" s="408">
        <v>0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0</v>
      </c>
      <c r="DA75" s="408">
        <v>0</v>
      </c>
      <c r="DB75" s="408">
        <v>0</v>
      </c>
      <c r="DC75" s="408">
        <v>325.395543621662</v>
      </c>
      <c r="DD75" s="408">
        <v>0</v>
      </c>
      <c r="DE75" s="408">
        <v>0</v>
      </c>
      <c r="DF75" s="408">
        <v>0.6966381697106776</v>
      </c>
      <c r="DG75" s="408">
        <v>24.886120232916511</v>
      </c>
      <c r="DH75" s="408">
        <v>0</v>
      </c>
      <c r="DI75" s="408">
        <v>-25.120444998296136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-3.7872385198228358</v>
      </c>
      <c r="DP75" s="408">
        <v>-0.59551836217243626</v>
      </c>
      <c r="DQ75" s="408">
        <v>0</v>
      </c>
      <c r="DR75" s="408">
        <v>0</v>
      </c>
      <c r="DS75" s="408"/>
      <c r="DT75" s="408"/>
      <c r="DU75" s="408"/>
      <c r="DV75" s="408">
        <v>0</v>
      </c>
      <c r="DW75" s="408">
        <v>0</v>
      </c>
      <c r="DX75" s="408">
        <v>0</v>
      </c>
      <c r="DY75" s="408">
        <v>-3.8886899999999969</v>
      </c>
      <c r="DZ75" s="234">
        <v>325.35372999999981</v>
      </c>
      <c r="EA75" s="408">
        <v>0</v>
      </c>
      <c r="EB75" s="408">
        <v>0</v>
      </c>
      <c r="EC75" s="408">
        <v>0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242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74</v>
      </c>
      <c r="B76" s="408" t="s">
        <v>1036</v>
      </c>
      <c r="C76" s="408" t="s">
        <v>2239</v>
      </c>
      <c r="D76" s="408" t="s">
        <v>597</v>
      </c>
      <c r="E76" s="408" t="s">
        <v>2242</v>
      </c>
      <c r="F76" s="408" t="s">
        <v>1322</v>
      </c>
      <c r="G76" s="408" t="s">
        <v>1322</v>
      </c>
      <c r="H76" s="408" t="s">
        <v>1322</v>
      </c>
      <c r="I76" s="408" t="s">
        <v>1322</v>
      </c>
      <c r="J76" s="408" t="s">
        <v>2232</v>
      </c>
      <c r="K76" s="828">
        <v>44409</v>
      </c>
      <c r="L76" s="408">
        <v>70</v>
      </c>
      <c r="M76" s="408">
        <v>70</v>
      </c>
      <c r="N76" s="408">
        <v>0</v>
      </c>
      <c r="O76" s="408">
        <v>0</v>
      </c>
      <c r="P76" s="408">
        <v>0</v>
      </c>
      <c r="Q76" s="408">
        <v>0</v>
      </c>
      <c r="R76" s="408">
        <v>32.17</v>
      </c>
      <c r="S76" s="408"/>
      <c r="T76" s="408"/>
      <c r="U76" s="408">
        <v>2251.9</v>
      </c>
      <c r="V76" s="408"/>
      <c r="W76" s="408">
        <v>2251.9</v>
      </c>
      <c r="X76" s="408">
        <v>905.1</v>
      </c>
      <c r="Y76" s="408">
        <v>0</v>
      </c>
      <c r="Z76" s="408">
        <v>0</v>
      </c>
      <c r="AA76" s="408">
        <v>0</v>
      </c>
      <c r="AB76" s="408">
        <v>0</v>
      </c>
      <c r="AC76" s="408">
        <v>0</v>
      </c>
      <c r="AD76" s="408">
        <v>6.9941357591892785</v>
      </c>
      <c r="AE76" s="408">
        <v>1884.8714799945101</v>
      </c>
      <c r="AF76" s="408"/>
      <c r="AG76" s="408"/>
      <c r="AH76" s="408"/>
      <c r="AI76" s="408">
        <v>0</v>
      </c>
      <c r="AJ76" s="408">
        <v>0</v>
      </c>
      <c r="AK76" s="408">
        <v>0</v>
      </c>
      <c r="AL76" s="408">
        <v>0</v>
      </c>
      <c r="AM76" s="408"/>
      <c r="AN76" s="408">
        <v>0</v>
      </c>
      <c r="AO76" s="408">
        <v>123.50947744896111</v>
      </c>
      <c r="AP76" s="408">
        <v>236.8005615811976</v>
      </c>
      <c r="AQ76" s="408">
        <v>0</v>
      </c>
      <c r="AR76" s="408">
        <v>0</v>
      </c>
      <c r="AS76" s="408"/>
      <c r="AT76" s="408"/>
      <c r="AU76" s="408">
        <v>0</v>
      </c>
      <c r="AV76" s="408">
        <v>0</v>
      </c>
      <c r="AW76" s="408">
        <v>0</v>
      </c>
      <c r="AX76" s="408"/>
      <c r="AY76" s="408"/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/>
      <c r="BG76" s="408">
        <v>0</v>
      </c>
      <c r="BH76" s="408">
        <v>0</v>
      </c>
      <c r="BI76" s="408">
        <v>28.15</v>
      </c>
      <c r="BJ76" s="408">
        <v>129.06</v>
      </c>
      <c r="BK76" s="408">
        <v>2709.1</v>
      </c>
      <c r="BL76" s="408">
        <v>1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0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905.1</v>
      </c>
      <c r="CJ76" s="408">
        <v>-1346.8300000000008</v>
      </c>
      <c r="CK76" s="408"/>
      <c r="CL76" s="408"/>
      <c r="CM76" s="408"/>
      <c r="CN76" s="408"/>
      <c r="CO76" s="408">
        <v>-1346.8000000000002</v>
      </c>
      <c r="CP76" s="408">
        <v>0</v>
      </c>
      <c r="CQ76" s="408">
        <v>31</v>
      </c>
      <c r="CR76" s="408">
        <v>37.850381741193246</v>
      </c>
      <c r="CS76" s="408">
        <v>12.740190848977889</v>
      </c>
      <c r="CT76" s="408">
        <v>24.426338852710217</v>
      </c>
      <c r="CU76" s="408">
        <v>0</v>
      </c>
      <c r="CV76" s="408">
        <v>0</v>
      </c>
      <c r="CW76" s="408"/>
      <c r="CX76" s="408"/>
      <c r="CY76" s="408"/>
      <c r="CZ76" s="408">
        <v>0.68385203950515105</v>
      </c>
      <c r="DA76" s="408">
        <v>0</v>
      </c>
      <c r="DB76" s="408">
        <v>0</v>
      </c>
      <c r="DC76" s="408"/>
      <c r="DD76" s="408"/>
      <c r="DE76" s="408">
        <v>0</v>
      </c>
      <c r="DF76" s="408">
        <v>0</v>
      </c>
      <c r="DG76" s="408">
        <v>0</v>
      </c>
      <c r="DH76" s="408">
        <v>0</v>
      </c>
      <c r="DI76" s="408">
        <v>0</v>
      </c>
      <c r="DJ76" s="408"/>
      <c r="DK76" s="408">
        <v>0</v>
      </c>
      <c r="DL76" s="408">
        <v>0</v>
      </c>
      <c r="DM76" s="408"/>
      <c r="DN76" s="408">
        <v>0</v>
      </c>
      <c r="DO76" s="408">
        <v>0</v>
      </c>
      <c r="DP76" s="408">
        <v>0</v>
      </c>
      <c r="DQ76" s="408">
        <v>0</v>
      </c>
      <c r="DR76" s="408">
        <v>0</v>
      </c>
      <c r="DS76" s="408"/>
      <c r="DT76" s="408"/>
      <c r="DU76" s="408">
        <v>1884.8714799945101</v>
      </c>
      <c r="DV76" s="408"/>
      <c r="DW76" s="408">
        <v>0</v>
      </c>
      <c r="DX76" s="408">
        <v>0</v>
      </c>
      <c r="DY76" s="408">
        <v>-1346.8000000000002</v>
      </c>
      <c r="DZ76" s="234"/>
      <c r="EA76" s="408">
        <v>0</v>
      </c>
      <c r="EB76" s="408"/>
      <c r="EC76" s="408">
        <v>-1384.8335809393659</v>
      </c>
      <c r="ED76" s="408"/>
      <c r="EE76" s="408">
        <v>0</v>
      </c>
      <c r="EF76" s="408">
        <v>0</v>
      </c>
      <c r="EG76" s="408"/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/>
      <c r="EN76" s="408"/>
      <c r="EO76" s="408">
        <v>0</v>
      </c>
      <c r="EP76" s="408">
        <v>0</v>
      </c>
      <c r="EQ76" s="408"/>
      <c r="ER76" s="408">
        <v>0</v>
      </c>
      <c r="ES76" s="408"/>
      <c r="ET76" s="408">
        <v>0</v>
      </c>
      <c r="EU76" s="408"/>
      <c r="EV76" s="408">
        <v>242</v>
      </c>
      <c r="EW76" s="408"/>
      <c r="EX76" s="408"/>
      <c r="EY76" s="408"/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75</v>
      </c>
      <c r="B77" s="408" t="s">
        <v>2233</v>
      </c>
      <c r="C77" s="408" t="s">
        <v>2239</v>
      </c>
      <c r="D77" s="408" t="s">
        <v>597</v>
      </c>
      <c r="E77" s="408" t="s">
        <v>2242</v>
      </c>
      <c r="F77" s="408" t="s">
        <v>1322</v>
      </c>
      <c r="G77" s="408" t="s">
        <v>1322</v>
      </c>
      <c r="H77" s="408" t="s">
        <v>1322</v>
      </c>
      <c r="I77" s="408" t="s">
        <v>1322</v>
      </c>
      <c r="J77" s="408" t="s">
        <v>2232</v>
      </c>
      <c r="K77" s="828">
        <v>44409</v>
      </c>
      <c r="L77" s="408">
        <v>0</v>
      </c>
      <c r="M77" s="408">
        <v>0</v>
      </c>
      <c r="N77" s="408">
        <v>0</v>
      </c>
      <c r="O77" s="408">
        <v>0</v>
      </c>
      <c r="P77" s="408">
        <v>0</v>
      </c>
      <c r="Q77" s="408">
        <v>0</v>
      </c>
      <c r="R77" s="408"/>
      <c r="S77" s="408"/>
      <c r="T77" s="408"/>
      <c r="U77" s="408"/>
      <c r="V77" s="408"/>
      <c r="W77" s="408"/>
      <c r="X77" s="408"/>
      <c r="Y77" s="408"/>
      <c r="Z77" s="408"/>
      <c r="AA77" s="408">
        <v>0</v>
      </c>
      <c r="AB77" s="408"/>
      <c r="AC77" s="408"/>
      <c r="AD77" s="408"/>
      <c r="AE77" s="408"/>
      <c r="AF77" s="408"/>
      <c r="AG77" s="408"/>
      <c r="AH77" s="408"/>
      <c r="AI77" s="408"/>
      <c r="AJ77" s="408"/>
      <c r="AK77" s="408"/>
      <c r="AL77" s="408"/>
      <c r="AM77" s="408"/>
      <c r="AN77" s="408"/>
      <c r="AO77" s="408"/>
      <c r="AP77" s="408"/>
      <c r="AQ77" s="408"/>
      <c r="AR77" s="408"/>
      <c r="AS77" s="408"/>
      <c r="AT77" s="408"/>
      <c r="AU77" s="408"/>
      <c r="AV77" s="408"/>
      <c r="AW77" s="408"/>
      <c r="AX77" s="408"/>
      <c r="AY77" s="408"/>
      <c r="AZ77" s="408">
        <v>0</v>
      </c>
      <c r="BA77" s="408"/>
      <c r="BB77" s="408"/>
      <c r="BC77" s="408"/>
      <c r="BD77" s="408"/>
      <c r="BE77" s="408"/>
      <c r="BF77" s="408"/>
      <c r="BG77" s="408"/>
      <c r="BH77" s="408"/>
      <c r="BI77" s="408">
        <v>-2.8</v>
      </c>
      <c r="BJ77" s="408">
        <v>-12.86</v>
      </c>
      <c r="BK77" s="408">
        <v>-659.48</v>
      </c>
      <c r="BL77" s="408">
        <v>0</v>
      </c>
      <c r="BM77" s="408"/>
      <c r="BN77" s="408"/>
      <c r="BO77" s="408"/>
      <c r="BP77" s="408"/>
      <c r="BQ77" s="408"/>
      <c r="BR77" s="408"/>
      <c r="BS77" s="408"/>
      <c r="BT77" s="408"/>
      <c r="BU77" s="408"/>
      <c r="BV77" s="408"/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/>
      <c r="CJ77" s="408">
        <v>-0.03</v>
      </c>
      <c r="CK77" s="408"/>
      <c r="CL77" s="408"/>
      <c r="CM77" s="408"/>
      <c r="CN77" s="408"/>
      <c r="CO77" s="408">
        <v>0</v>
      </c>
      <c r="CP77" s="408">
        <v>0</v>
      </c>
      <c r="CQ77" s="408">
        <v>31</v>
      </c>
      <c r="CR77" s="408"/>
      <c r="CS77" s="408"/>
      <c r="CT77" s="408"/>
      <c r="CU77" s="408"/>
      <c r="CV77" s="408"/>
      <c r="CW77" s="408"/>
      <c r="CX77" s="408"/>
      <c r="CY77" s="408"/>
      <c r="CZ77" s="408"/>
      <c r="DA77" s="408"/>
      <c r="DB77" s="408"/>
      <c r="DC77" s="408"/>
      <c r="DD77" s="408"/>
      <c r="DE77" s="408"/>
      <c r="DF77" s="408"/>
      <c r="DG77" s="408"/>
      <c r="DH77" s="408"/>
      <c r="DI77" s="408"/>
      <c r="DJ77" s="408"/>
      <c r="DK77" s="408">
        <v>0</v>
      </c>
      <c r="DL77" s="408"/>
      <c r="DM77" s="408"/>
      <c r="DN77" s="408"/>
      <c r="DO77" s="408"/>
      <c r="DP77" s="408"/>
      <c r="DQ77" s="408"/>
      <c r="DR77" s="408"/>
      <c r="DS77" s="408"/>
      <c r="DT77" s="408"/>
      <c r="DU77" s="408"/>
      <c r="DV77" s="408"/>
      <c r="DW77" s="408"/>
      <c r="DX77" s="408"/>
      <c r="DY77" s="408"/>
      <c r="DZ77" s="234"/>
      <c r="EA77" s="408"/>
      <c r="EB77" s="408"/>
      <c r="EC77" s="408"/>
      <c r="ED77" s="408"/>
      <c r="EE77" s="408"/>
      <c r="EF77" s="408"/>
      <c r="EG77" s="408"/>
      <c r="EH77" s="408"/>
      <c r="EI77" s="408"/>
      <c r="EJ77" s="408"/>
      <c r="EK77" s="408"/>
      <c r="EL77" s="408"/>
      <c r="EM77" s="408"/>
      <c r="EN77" s="408"/>
      <c r="EO77" s="408"/>
      <c r="EP77" s="408"/>
      <c r="EQ77" s="408"/>
      <c r="ER77" s="408"/>
      <c r="ES77" s="408"/>
      <c r="ET77" s="408"/>
      <c r="EU77" s="408"/>
      <c r="EV77" s="408">
        <v>242</v>
      </c>
      <c r="EW77" s="408"/>
      <c r="EX77" s="408"/>
      <c r="EY77" s="408"/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76</v>
      </c>
      <c r="B78" s="408" t="s">
        <v>1036</v>
      </c>
      <c r="C78" s="408" t="s">
        <v>2231</v>
      </c>
      <c r="D78" s="408" t="s">
        <v>2243</v>
      </c>
      <c r="E78" s="408" t="s">
        <v>2244</v>
      </c>
      <c r="F78" s="408" t="s">
        <v>2245</v>
      </c>
      <c r="G78" s="408" t="s">
        <v>1322</v>
      </c>
      <c r="H78" s="408" t="s">
        <v>1322</v>
      </c>
      <c r="I78" s="408" t="s">
        <v>1322</v>
      </c>
      <c r="J78" s="408" t="s">
        <v>2232</v>
      </c>
      <c r="K78" s="828">
        <v>44409</v>
      </c>
      <c r="L78" s="408">
        <v>0</v>
      </c>
      <c r="M78" s="408">
        <v>0</v>
      </c>
      <c r="N78" s="408">
        <v>74.594999999999999</v>
      </c>
      <c r="O78" s="408">
        <v>74.594999999999999</v>
      </c>
      <c r="P78" s="408">
        <v>74.594999999999999</v>
      </c>
      <c r="Q78" s="408">
        <v>74.594999999999999</v>
      </c>
      <c r="R78" s="408"/>
      <c r="S78" s="408">
        <v>314.52999999999997</v>
      </c>
      <c r="T78" s="408">
        <v>119.22</v>
      </c>
      <c r="U78" s="408"/>
      <c r="V78" s="408">
        <v>32355.581249999996</v>
      </c>
      <c r="W78" s="408">
        <v>32355.581249999996</v>
      </c>
      <c r="X78" s="408">
        <v>21088.75245</v>
      </c>
      <c r="Y78" s="408">
        <v>0</v>
      </c>
      <c r="Z78" s="408">
        <v>2486.6869381200599</v>
      </c>
      <c r="AA78" s="408">
        <v>0</v>
      </c>
      <c r="AB78" s="408">
        <v>0</v>
      </c>
      <c r="AC78" s="408">
        <v>0</v>
      </c>
      <c r="AD78" s="408">
        <v>33.72085882814504</v>
      </c>
      <c r="AE78" s="408">
        <v>17493.34937523503</v>
      </c>
      <c r="AF78" s="408">
        <v>8763.4821746665348</v>
      </c>
      <c r="AG78" s="408">
        <v>129.53963347361523</v>
      </c>
      <c r="AH78" s="408">
        <v>0</v>
      </c>
      <c r="AI78" s="408">
        <v>0</v>
      </c>
      <c r="AJ78" s="408">
        <v>0</v>
      </c>
      <c r="AK78" s="408">
        <v>0</v>
      </c>
      <c r="AL78" s="408">
        <v>384.57441151855636</v>
      </c>
      <c r="AM78" s="408"/>
      <c r="AN78" s="408">
        <v>78.709530097765452</v>
      </c>
      <c r="AO78" s="408">
        <v>364.39163397687935</v>
      </c>
      <c r="AP78" s="408">
        <v>1141.669598328011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24.414070144333294</v>
      </c>
      <c r="BE78" s="408">
        <v>0</v>
      </c>
      <c r="BF78" s="408">
        <v>0</v>
      </c>
      <c r="BG78" s="408">
        <v>1454.7539730977232</v>
      </c>
      <c r="BH78" s="408">
        <v>0</v>
      </c>
      <c r="BI78" s="408">
        <v>105.72</v>
      </c>
      <c r="BJ78" s="408">
        <v>484.86</v>
      </c>
      <c r="BK78" s="408">
        <v>7189.91</v>
      </c>
      <c r="BL78" s="408">
        <v>10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10242.650217908591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21090.165999999997</v>
      </c>
      <c r="CJ78" s="408">
        <v>-11265.445249999993</v>
      </c>
      <c r="CK78" s="408"/>
      <c r="CL78" s="408"/>
      <c r="CM78" s="408"/>
      <c r="CN78" s="408"/>
      <c r="CO78" s="408">
        <v>-12605.809049999998</v>
      </c>
      <c r="CP78" s="408">
        <v>1338.9802499999992</v>
      </c>
      <c r="CQ78" s="408">
        <v>31</v>
      </c>
      <c r="CR78" s="408">
        <v>1585.715760541003</v>
      </c>
      <c r="CS78" s="408">
        <v>37.587552441509615</v>
      </c>
      <c r="CT78" s="408">
        <v>117.76495917234615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3.2970589758990059</v>
      </c>
      <c r="DA78" s="408">
        <v>0</v>
      </c>
      <c r="DB78" s="408">
        <v>0</v>
      </c>
      <c r="DC78" s="408">
        <v>1338.8912162322413</v>
      </c>
      <c r="DD78" s="408">
        <v>0</v>
      </c>
      <c r="DE78" s="408">
        <v>0</v>
      </c>
      <c r="DF78" s="408">
        <v>3.7299994930348426</v>
      </c>
      <c r="DG78" s="408">
        <v>222.25837601291664</v>
      </c>
      <c r="DH78" s="408">
        <v>0</v>
      </c>
      <c r="DI78" s="408">
        <v>-118.80692825934875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-15.583189405515895</v>
      </c>
      <c r="DP78" s="408">
        <v>-3.4232841220776322</v>
      </c>
      <c r="DQ78" s="408">
        <v>0</v>
      </c>
      <c r="DR78" s="408">
        <v>0</v>
      </c>
      <c r="DS78" s="408"/>
      <c r="DT78" s="408"/>
      <c r="DU78" s="408"/>
      <c r="DV78" s="408">
        <v>17493.34937523503</v>
      </c>
      <c r="DW78" s="408">
        <v>0</v>
      </c>
      <c r="DX78" s="408">
        <v>0</v>
      </c>
      <c r="DY78" s="408">
        <v>-12605.809049999998</v>
      </c>
      <c r="DZ78" s="234">
        <v>1338.9802500000005</v>
      </c>
      <c r="EA78" s="408">
        <v>0</v>
      </c>
      <c r="EB78" s="408">
        <v>0</v>
      </c>
      <c r="EC78" s="408">
        <v>-12852.535525658597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242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77</v>
      </c>
      <c r="B79" s="408" t="s">
        <v>1036</v>
      </c>
      <c r="C79" s="408" t="s">
        <v>2231</v>
      </c>
      <c r="D79" s="408" t="s">
        <v>1955</v>
      </c>
      <c r="E79" s="408" t="s">
        <v>1001</v>
      </c>
      <c r="F79" s="408" t="s">
        <v>2246</v>
      </c>
      <c r="G79" s="408" t="s">
        <v>1322</v>
      </c>
      <c r="H79" s="408" t="s">
        <v>1322</v>
      </c>
      <c r="I79" s="408" t="s">
        <v>1322</v>
      </c>
      <c r="J79" s="408" t="s">
        <v>2232</v>
      </c>
      <c r="K79" s="828">
        <v>44409</v>
      </c>
      <c r="L79" s="408">
        <v>0</v>
      </c>
      <c r="M79" s="408">
        <v>0</v>
      </c>
      <c r="N79" s="408">
        <v>125.364</v>
      </c>
      <c r="O79" s="408">
        <v>117.84215999999999</v>
      </c>
      <c r="P79" s="408">
        <v>125.364</v>
      </c>
      <c r="Q79" s="408">
        <v>117.84215999999999</v>
      </c>
      <c r="R79" s="408"/>
      <c r="S79" s="408">
        <v>571.87</v>
      </c>
      <c r="T79" s="408">
        <v>216.76</v>
      </c>
      <c r="U79" s="408"/>
      <c r="V79" s="408">
        <v>98865.811320000008</v>
      </c>
      <c r="W79" s="408">
        <v>98865.811320000008</v>
      </c>
      <c r="X79" s="408">
        <v>64438.34964</v>
      </c>
      <c r="Y79" s="408">
        <v>0</v>
      </c>
      <c r="Z79" s="408">
        <v>7598.3893951089431</v>
      </c>
      <c r="AA79" s="408">
        <v>0</v>
      </c>
      <c r="AB79" s="408">
        <v>0</v>
      </c>
      <c r="AC79" s="408">
        <v>0</v>
      </c>
      <c r="AD79" s="408">
        <v>103.03838902513746</v>
      </c>
      <c r="AE79" s="408">
        <v>53453.162253793911</v>
      </c>
      <c r="AF79" s="408">
        <v>26777.938549254304</v>
      </c>
      <c r="AG79" s="408">
        <v>395.82488738061369</v>
      </c>
      <c r="AH79" s="408">
        <v>0</v>
      </c>
      <c r="AI79" s="408">
        <v>0</v>
      </c>
      <c r="AJ79" s="408">
        <v>0</v>
      </c>
      <c r="AK79" s="408">
        <v>0</v>
      </c>
      <c r="AL79" s="408">
        <v>1175.1162099729406</v>
      </c>
      <c r="AM79" s="408"/>
      <c r="AN79" s="408">
        <v>240.50701743783171</v>
      </c>
      <c r="AO79" s="408">
        <v>1113.4451566185285</v>
      </c>
      <c r="AP79" s="408">
        <v>3488.5172056326728</v>
      </c>
      <c r="AQ79" s="408">
        <v>0</v>
      </c>
      <c r="AR79" s="408">
        <v>0</v>
      </c>
      <c r="AS79" s="408">
        <v>0</v>
      </c>
      <c r="AT79" s="408">
        <v>0</v>
      </c>
      <c r="AU79" s="408">
        <v>0</v>
      </c>
      <c r="AV79" s="408">
        <v>0</v>
      </c>
      <c r="AW79" s="408">
        <v>0</v>
      </c>
      <c r="AX79" s="408">
        <v>0</v>
      </c>
      <c r="AY79" s="408">
        <v>0</v>
      </c>
      <c r="AZ79" s="408">
        <v>0</v>
      </c>
      <c r="BA79" s="408"/>
      <c r="BB79" s="408">
        <v>0</v>
      </c>
      <c r="BC79" s="408">
        <v>0</v>
      </c>
      <c r="BD79" s="408">
        <v>74.600308077538585</v>
      </c>
      <c r="BE79" s="408">
        <v>0</v>
      </c>
      <c r="BF79" s="408">
        <v>0</v>
      </c>
      <c r="BG79" s="408">
        <v>4445.1864817510959</v>
      </c>
      <c r="BH79" s="408">
        <v>0</v>
      </c>
      <c r="BI79" s="408">
        <v>317.19</v>
      </c>
      <c r="BJ79" s="408">
        <v>1456.3</v>
      </c>
      <c r="BK79" s="408">
        <v>33019.32</v>
      </c>
      <c r="BL79" s="408">
        <v>92</v>
      </c>
      <c r="BM79" s="408"/>
      <c r="BN79" s="408"/>
      <c r="BO79" s="408"/>
      <c r="BP79" s="408"/>
      <c r="BQ79" s="408">
        <v>3866.300978400006</v>
      </c>
      <c r="BR79" s="408"/>
      <c r="BS79" s="408"/>
      <c r="BT79" s="408"/>
      <c r="BU79" s="408"/>
      <c r="BV79" s="408">
        <v>31297.725339082936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60570.938399999999</v>
      </c>
      <c r="CJ79" s="408">
        <v>-32362.954240799983</v>
      </c>
      <c r="CK79" s="408"/>
      <c r="CL79" s="408"/>
      <c r="CM79" s="408"/>
      <c r="CN79" s="408"/>
      <c r="CO79" s="408">
        <v>-38518.089</v>
      </c>
      <c r="CP79" s="408">
        <v>4090.6273199999996</v>
      </c>
      <c r="CQ79" s="408">
        <v>31</v>
      </c>
      <c r="CR79" s="408">
        <v>4845.3569421412321</v>
      </c>
      <c r="CS79" s="408">
        <v>114.85356499100862</v>
      </c>
      <c r="CT79" s="408">
        <v>359.84586687339697</v>
      </c>
      <c r="CU79" s="408">
        <v>0</v>
      </c>
      <c r="CV79" s="408">
        <v>0</v>
      </c>
      <c r="CW79" s="408">
        <v>0</v>
      </c>
      <c r="CX79" s="408">
        <v>0</v>
      </c>
      <c r="CY79" s="408">
        <v>0</v>
      </c>
      <c r="CZ79" s="408">
        <v>10.074584610340821</v>
      </c>
      <c r="DA79" s="408">
        <v>0</v>
      </c>
      <c r="DB79" s="408">
        <v>0</v>
      </c>
      <c r="DC79" s="408">
        <v>4091.1530368655112</v>
      </c>
      <c r="DD79" s="408">
        <v>0</v>
      </c>
      <c r="DE79" s="408">
        <v>0</v>
      </c>
      <c r="DF79" s="408">
        <v>11.397489630546175</v>
      </c>
      <c r="DG79" s="408">
        <v>679.13884187908752</v>
      </c>
      <c r="DH79" s="408">
        <v>0</v>
      </c>
      <c r="DI79" s="408">
        <v>-363.02973643871337</v>
      </c>
      <c r="DJ79" s="408"/>
      <c r="DK79" s="408">
        <v>0</v>
      </c>
      <c r="DL79" s="408">
        <v>0</v>
      </c>
      <c r="DM79" s="408">
        <v>0</v>
      </c>
      <c r="DN79" s="408">
        <v>0</v>
      </c>
      <c r="DO79" s="408">
        <v>-47.616424611279854</v>
      </c>
      <c r="DP79" s="408">
        <v>-10.460281658657777</v>
      </c>
      <c r="DQ79" s="408">
        <v>0</v>
      </c>
      <c r="DR79" s="408">
        <v>0</v>
      </c>
      <c r="DS79" s="408"/>
      <c r="DT79" s="408"/>
      <c r="DU79" s="408"/>
      <c r="DV79" s="408">
        <v>53453.162253793911</v>
      </c>
      <c r="DW79" s="408">
        <v>0</v>
      </c>
      <c r="DX79" s="408">
        <v>0</v>
      </c>
      <c r="DY79" s="408">
        <v>-38518.089</v>
      </c>
      <c r="DZ79" s="234">
        <v>4090.6273199999996</v>
      </c>
      <c r="EA79" s="408">
        <v>0</v>
      </c>
      <c r="EB79" s="408">
        <v>0</v>
      </c>
      <c r="EC79" s="408">
        <v>-39272.563080359221</v>
      </c>
      <c r="ED79" s="408">
        <v>0</v>
      </c>
      <c r="EE79" s="408">
        <v>0</v>
      </c>
      <c r="EF79" s="408">
        <v>0</v>
      </c>
      <c r="EG79" s="408">
        <v>0</v>
      </c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>
        <v>0</v>
      </c>
      <c r="EN79" s="408">
        <v>0</v>
      </c>
      <c r="EO79" s="408">
        <v>0</v>
      </c>
      <c r="EP79" s="408">
        <v>0</v>
      </c>
      <c r="EQ79" s="408">
        <v>0</v>
      </c>
      <c r="ER79" s="408">
        <v>0</v>
      </c>
      <c r="ES79" s="408">
        <v>0</v>
      </c>
      <c r="ET79" s="408">
        <v>0</v>
      </c>
      <c r="EU79" s="408">
        <v>0</v>
      </c>
      <c r="EV79" s="408">
        <v>242</v>
      </c>
      <c r="EW79" s="408">
        <v>0</v>
      </c>
      <c r="EX79" s="408">
        <v>0</v>
      </c>
      <c r="EY79" s="408">
        <v>0</v>
      </c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78</v>
      </c>
      <c r="B80" s="408" t="s">
        <v>1036</v>
      </c>
      <c r="C80" s="408" t="s">
        <v>2239</v>
      </c>
      <c r="D80" s="408" t="s">
        <v>597</v>
      </c>
      <c r="E80" s="408" t="s">
        <v>1001</v>
      </c>
      <c r="F80" s="408" t="s">
        <v>2246</v>
      </c>
      <c r="G80" s="408" t="s">
        <v>1322</v>
      </c>
      <c r="H80" s="408" t="s">
        <v>1322</v>
      </c>
      <c r="I80" s="408" t="s">
        <v>973</v>
      </c>
      <c r="J80" s="408" t="s">
        <v>2232</v>
      </c>
      <c r="K80" s="828">
        <v>44409</v>
      </c>
      <c r="L80" s="408">
        <v>0</v>
      </c>
      <c r="M80" s="408">
        <v>0</v>
      </c>
      <c r="N80" s="408">
        <v>6.1440000000000001</v>
      </c>
      <c r="O80" s="408">
        <v>5.77536</v>
      </c>
      <c r="P80" s="408">
        <v>6.1440000000000001</v>
      </c>
      <c r="Q80" s="408">
        <v>5.77536</v>
      </c>
      <c r="R80" s="408"/>
      <c r="S80" s="408">
        <v>2592.54</v>
      </c>
      <c r="T80" s="408">
        <v>216.76</v>
      </c>
      <c r="U80" s="408"/>
      <c r="V80" s="408">
        <v>17260.339199999999</v>
      </c>
      <c r="W80" s="408">
        <v>17260.339199999999</v>
      </c>
      <c r="X80" s="408">
        <v>7257.2928000000002</v>
      </c>
      <c r="Y80" s="408">
        <v>0</v>
      </c>
      <c r="Z80" s="408">
        <v>323.98071907316245</v>
      </c>
      <c r="AA80" s="408">
        <v>0</v>
      </c>
      <c r="AB80" s="408">
        <v>0</v>
      </c>
      <c r="AC80" s="408">
        <v>0</v>
      </c>
      <c r="AD80" s="408">
        <v>31.067966712217871</v>
      </c>
      <c r="AE80" s="408">
        <v>14075.23740311857</v>
      </c>
      <c r="AF80" s="408">
        <v>1312.3676210604197</v>
      </c>
      <c r="AG80" s="408">
        <v>19.3990947007633</v>
      </c>
      <c r="AH80" s="408">
        <v>0</v>
      </c>
      <c r="AI80" s="408">
        <v>0</v>
      </c>
      <c r="AJ80" s="408">
        <v>0</v>
      </c>
      <c r="AK80" s="408">
        <v>0</v>
      </c>
      <c r="AL80" s="408">
        <v>57.591605198252665</v>
      </c>
      <c r="AM80" s="408"/>
      <c r="AN80" s="408">
        <v>8.4370771753049087</v>
      </c>
      <c r="AO80" s="408">
        <v>277.18577074687551</v>
      </c>
      <c r="AP80" s="408">
        <v>1051.8574001625047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2.80964320330725</v>
      </c>
      <c r="BE80" s="408">
        <v>0</v>
      </c>
      <c r="BF80" s="408">
        <v>0</v>
      </c>
      <c r="BG80" s="408">
        <v>100.36934754542592</v>
      </c>
      <c r="BH80" s="408">
        <v>0</v>
      </c>
      <c r="BI80" s="408">
        <v>0</v>
      </c>
      <c r="BJ80" s="408">
        <v>0</v>
      </c>
      <c r="BK80" s="408">
        <v>0</v>
      </c>
      <c r="BL80" s="408">
        <v>0</v>
      </c>
      <c r="BM80" s="408"/>
      <c r="BN80" s="408"/>
      <c r="BO80" s="408"/>
      <c r="BP80" s="408"/>
      <c r="BQ80" s="408">
        <v>435.43756800000006</v>
      </c>
      <c r="BR80" s="408"/>
      <c r="BS80" s="408"/>
      <c r="BT80" s="408"/>
      <c r="BU80" s="408"/>
      <c r="BV80" s="408">
        <v>1415.5466118091529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6827.3359999999993</v>
      </c>
      <c r="CJ80" s="408">
        <v>-9397.4128479999999</v>
      </c>
      <c r="CK80" s="408"/>
      <c r="CL80" s="408"/>
      <c r="CM80" s="408"/>
      <c r="CN80" s="408"/>
      <c r="CO80" s="408">
        <v>-10203.52512</v>
      </c>
      <c r="CP80" s="408">
        <v>200.47871999999998</v>
      </c>
      <c r="CQ80" s="408">
        <v>31</v>
      </c>
      <c r="CR80" s="408">
        <v>338.21925999528639</v>
      </c>
      <c r="CS80" s="408">
        <v>28.592134732295563</v>
      </c>
      <c r="CT80" s="408">
        <v>108.50069404201577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3.0376722916070982</v>
      </c>
      <c r="DA80" s="408">
        <v>0</v>
      </c>
      <c r="DB80" s="408">
        <v>0</v>
      </c>
      <c r="DC80" s="408">
        <v>200.50448500767129</v>
      </c>
      <c r="DD80" s="408">
        <v>0</v>
      </c>
      <c r="DE80" s="408">
        <v>0</v>
      </c>
      <c r="DF80" s="408">
        <v>0.42925934356658324</v>
      </c>
      <c r="DG80" s="408">
        <v>15.334502327854693</v>
      </c>
      <c r="DH80" s="408">
        <v>0</v>
      </c>
      <c r="DI80" s="408">
        <v>-15.478890188499747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-2.3336469226548573</v>
      </c>
      <c r="DP80" s="408">
        <v>-0.36695063857059829</v>
      </c>
      <c r="DQ80" s="408">
        <v>0</v>
      </c>
      <c r="DR80" s="408">
        <v>0</v>
      </c>
      <c r="DS80" s="408"/>
      <c r="DT80" s="408"/>
      <c r="DU80" s="408"/>
      <c r="DV80" s="408">
        <v>14075.23740311857</v>
      </c>
      <c r="DW80" s="408">
        <v>0</v>
      </c>
      <c r="DX80" s="408">
        <v>0</v>
      </c>
      <c r="DY80" s="408">
        <v>-10203.525119999998</v>
      </c>
      <c r="DZ80" s="234">
        <v>200.47872000000007</v>
      </c>
      <c r="EA80" s="408">
        <v>0</v>
      </c>
      <c r="EB80" s="408">
        <v>0</v>
      </c>
      <c r="EC80" s="408">
        <v>-10341.215102681264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242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79</v>
      </c>
      <c r="B81" s="408" t="s">
        <v>1036</v>
      </c>
      <c r="C81" s="408" t="s">
        <v>2239</v>
      </c>
      <c r="D81" s="408" t="s">
        <v>597</v>
      </c>
      <c r="E81" s="408" t="s">
        <v>1001</v>
      </c>
      <c r="F81" s="408" t="s">
        <v>2246</v>
      </c>
      <c r="G81" s="408" t="s">
        <v>1322</v>
      </c>
      <c r="H81" s="408" t="s">
        <v>1322</v>
      </c>
      <c r="I81" s="408" t="s">
        <v>2240</v>
      </c>
      <c r="J81" s="408" t="s">
        <v>2232</v>
      </c>
      <c r="K81" s="828">
        <v>44409</v>
      </c>
      <c r="L81" s="408">
        <v>0</v>
      </c>
      <c r="M81" s="408">
        <v>0</v>
      </c>
      <c r="N81" s="408">
        <v>93.825000000000003</v>
      </c>
      <c r="O81" s="408">
        <v>88.195499999999996</v>
      </c>
      <c r="P81" s="408">
        <v>93.825000000000003</v>
      </c>
      <c r="Q81" s="408">
        <v>88.195499999999996</v>
      </c>
      <c r="R81" s="408"/>
      <c r="S81" s="408">
        <v>80.27</v>
      </c>
      <c r="T81" s="408">
        <v>216.76</v>
      </c>
      <c r="U81" s="408"/>
      <c r="V81" s="408">
        <v>27868.839749999999</v>
      </c>
      <c r="W81" s="408">
        <v>27868.839749999999</v>
      </c>
      <c r="X81" s="408">
        <v>30893.757749999997</v>
      </c>
      <c r="Y81" s="408">
        <v>0</v>
      </c>
      <c r="Z81" s="408">
        <v>4947.50829541658</v>
      </c>
      <c r="AA81" s="408">
        <v>0</v>
      </c>
      <c r="AB81" s="408">
        <v>0</v>
      </c>
      <c r="AC81" s="408">
        <v>0</v>
      </c>
      <c r="AD81" s="408">
        <v>0</v>
      </c>
      <c r="AE81" s="408">
        <v>0</v>
      </c>
      <c r="AF81" s="408">
        <v>20041.16081477765</v>
      </c>
      <c r="AG81" s="408">
        <v>296.24349939764272</v>
      </c>
      <c r="AH81" s="408">
        <v>0</v>
      </c>
      <c r="AI81" s="408">
        <v>0</v>
      </c>
      <c r="AJ81" s="408">
        <v>0</v>
      </c>
      <c r="AK81" s="408">
        <v>0</v>
      </c>
      <c r="AL81" s="408">
        <v>879.48117801530861</v>
      </c>
      <c r="AM81" s="408"/>
      <c r="AN81" s="408">
        <v>128.84257258674853</v>
      </c>
      <c r="AO81" s="408">
        <v>0</v>
      </c>
      <c r="AP81" s="408">
        <v>0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42.90605038253625</v>
      </c>
      <c r="BE81" s="408">
        <v>0</v>
      </c>
      <c r="BF81" s="408">
        <v>0</v>
      </c>
      <c r="BG81" s="408">
        <v>1532.7399142984355</v>
      </c>
      <c r="BH81" s="408">
        <v>0</v>
      </c>
      <c r="BI81" s="408">
        <v>0</v>
      </c>
      <c r="BJ81" s="408">
        <v>0</v>
      </c>
      <c r="BK81" s="408">
        <v>0</v>
      </c>
      <c r="BL81" s="408">
        <v>0</v>
      </c>
      <c r="BM81" s="408"/>
      <c r="BN81" s="408"/>
      <c r="BO81" s="408"/>
      <c r="BP81" s="408"/>
      <c r="BQ81" s="408">
        <v>1853.6254650000024</v>
      </c>
      <c r="BR81" s="408"/>
      <c r="BS81" s="408"/>
      <c r="BT81" s="408"/>
      <c r="BU81" s="408"/>
      <c r="BV81" s="408">
        <v>21616.80677945862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29041.614000000001</v>
      </c>
      <c r="CJ81" s="408">
        <v>2844.8746350000038</v>
      </c>
      <c r="CK81" s="408"/>
      <c r="CL81" s="408"/>
      <c r="CM81" s="408"/>
      <c r="CN81" s="408"/>
      <c r="CO81" s="408">
        <v>-36.591750000000054</v>
      </c>
      <c r="CP81" s="408">
        <v>3061.5097499999997</v>
      </c>
      <c r="CQ81" s="408">
        <v>31</v>
      </c>
      <c r="CR81" s="408">
        <v>3025.0126638261536</v>
      </c>
      <c r="CS81" s="408">
        <v>0</v>
      </c>
      <c r="CT81" s="408">
        <v>0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0</v>
      </c>
      <c r="DA81" s="408">
        <v>0</v>
      </c>
      <c r="DB81" s="408">
        <v>0</v>
      </c>
      <c r="DC81" s="408">
        <v>3061.9032073315029</v>
      </c>
      <c r="DD81" s="408">
        <v>0</v>
      </c>
      <c r="DE81" s="408">
        <v>0</v>
      </c>
      <c r="DF81" s="408">
        <v>6.5552177588109828</v>
      </c>
      <c r="DG81" s="408">
        <v>234.17312514826926</v>
      </c>
      <c r="DH81" s="408">
        <v>0</v>
      </c>
      <c r="DI81" s="408">
        <v>-236.37807160416469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-35.637113040054032</v>
      </c>
      <c r="DP81" s="408">
        <v>-5.6037017682106693</v>
      </c>
      <c r="DQ81" s="408">
        <v>0</v>
      </c>
      <c r="DR81" s="408">
        <v>0</v>
      </c>
      <c r="DS81" s="408"/>
      <c r="DT81" s="408"/>
      <c r="DU81" s="408"/>
      <c r="DV81" s="408">
        <v>0</v>
      </c>
      <c r="DW81" s="408">
        <v>0</v>
      </c>
      <c r="DX81" s="408">
        <v>0</v>
      </c>
      <c r="DY81" s="408">
        <v>-36.591749999999593</v>
      </c>
      <c r="DZ81" s="234">
        <v>3061.5097499999974</v>
      </c>
      <c r="EA81" s="408">
        <v>0</v>
      </c>
      <c r="EB81" s="408">
        <v>0</v>
      </c>
      <c r="EC81" s="408">
        <v>0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242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80</v>
      </c>
      <c r="B82" s="408" t="s">
        <v>1036</v>
      </c>
      <c r="C82" s="408" t="s">
        <v>2239</v>
      </c>
      <c r="D82" s="408" t="s">
        <v>597</v>
      </c>
      <c r="E82" s="408" t="s">
        <v>1001</v>
      </c>
      <c r="F82" s="408" t="s">
        <v>2246</v>
      </c>
      <c r="G82" s="408" t="s">
        <v>1322</v>
      </c>
      <c r="H82" s="408" t="s">
        <v>1322</v>
      </c>
      <c r="I82" s="408" t="s">
        <v>1322</v>
      </c>
      <c r="J82" s="408" t="s">
        <v>2232</v>
      </c>
      <c r="K82" s="828">
        <v>44409</v>
      </c>
      <c r="L82" s="408">
        <v>535</v>
      </c>
      <c r="M82" s="408">
        <v>502.9</v>
      </c>
      <c r="N82" s="408">
        <v>0</v>
      </c>
      <c r="O82" s="408">
        <v>0</v>
      </c>
      <c r="P82" s="408">
        <v>0</v>
      </c>
      <c r="Q82" s="408">
        <v>0</v>
      </c>
      <c r="R82" s="408">
        <v>32.17</v>
      </c>
      <c r="S82" s="408"/>
      <c r="T82" s="408"/>
      <c r="U82" s="408">
        <v>17210.95</v>
      </c>
      <c r="V82" s="408"/>
      <c r="W82" s="408">
        <v>17210.95</v>
      </c>
      <c r="X82" s="408">
        <v>6917.55</v>
      </c>
      <c r="Y82" s="408">
        <v>0</v>
      </c>
      <c r="Z82" s="408">
        <v>0</v>
      </c>
      <c r="AA82" s="408">
        <v>0</v>
      </c>
      <c r="AB82" s="408">
        <v>0</v>
      </c>
      <c r="AC82" s="408">
        <v>0</v>
      </c>
      <c r="AD82" s="408">
        <v>53.455180445232344</v>
      </c>
      <c r="AE82" s="408">
        <v>14405.803454243754</v>
      </c>
      <c r="AF82" s="408"/>
      <c r="AG82" s="408"/>
      <c r="AH82" s="408"/>
      <c r="AI82" s="408">
        <v>0</v>
      </c>
      <c r="AJ82" s="408">
        <v>0</v>
      </c>
      <c r="AK82" s="408">
        <v>0</v>
      </c>
      <c r="AL82" s="408">
        <v>0</v>
      </c>
      <c r="AM82" s="408"/>
      <c r="AN82" s="408">
        <v>0</v>
      </c>
      <c r="AO82" s="408">
        <v>943.96529193134563</v>
      </c>
      <c r="AP82" s="408">
        <v>1809.8328635134387</v>
      </c>
      <c r="AQ82" s="408">
        <v>0</v>
      </c>
      <c r="AR82" s="408">
        <v>0</v>
      </c>
      <c r="AS82" s="408"/>
      <c r="AT82" s="408"/>
      <c r="AU82" s="408">
        <v>0</v>
      </c>
      <c r="AV82" s="408">
        <v>0</v>
      </c>
      <c r="AW82" s="408">
        <v>0</v>
      </c>
      <c r="AX82" s="408"/>
      <c r="AY82" s="408"/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/>
      <c r="BG82" s="408">
        <v>0</v>
      </c>
      <c r="BH82" s="408">
        <v>0</v>
      </c>
      <c r="BI82" s="408">
        <v>224.2</v>
      </c>
      <c r="BJ82" s="408">
        <v>1027.98</v>
      </c>
      <c r="BK82" s="408">
        <v>23109.62</v>
      </c>
      <c r="BL82" s="408">
        <v>2</v>
      </c>
      <c r="BM82" s="408"/>
      <c r="BN82" s="408"/>
      <c r="BO82" s="408"/>
      <c r="BP82" s="408"/>
      <c r="BQ82" s="408">
        <v>415.05300000000028</v>
      </c>
      <c r="BR82" s="408"/>
      <c r="BS82" s="408"/>
      <c r="BT82" s="408"/>
      <c r="BU82" s="408"/>
      <c r="BV82" s="408">
        <v>0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6502.4969999999994</v>
      </c>
      <c r="CJ82" s="408">
        <v>-9675.8260000000009</v>
      </c>
      <c r="CK82" s="408"/>
      <c r="CL82" s="408"/>
      <c r="CM82" s="408"/>
      <c r="CN82" s="408"/>
      <c r="CO82" s="408">
        <v>-10293.400000000001</v>
      </c>
      <c r="CP82" s="408">
        <v>0</v>
      </c>
      <c r="CQ82" s="408">
        <v>31</v>
      </c>
      <c r="CR82" s="408">
        <v>289.28506045054837</v>
      </c>
      <c r="CS82" s="408">
        <v>97.371458631473729</v>
      </c>
      <c r="CT82" s="408">
        <v>186.68701837428534</v>
      </c>
      <c r="CU82" s="408">
        <v>0</v>
      </c>
      <c r="CV82" s="408">
        <v>0</v>
      </c>
      <c r="CW82" s="408"/>
      <c r="CX82" s="408"/>
      <c r="CY82" s="408"/>
      <c r="CZ82" s="408">
        <v>5.2265834447893695</v>
      </c>
      <c r="DA82" s="408">
        <v>0</v>
      </c>
      <c r="DB82" s="408">
        <v>0</v>
      </c>
      <c r="DC82" s="408"/>
      <c r="DD82" s="408"/>
      <c r="DE82" s="408">
        <v>0</v>
      </c>
      <c r="DF82" s="408">
        <v>0</v>
      </c>
      <c r="DG82" s="408">
        <v>0</v>
      </c>
      <c r="DH82" s="408">
        <v>0</v>
      </c>
      <c r="DI82" s="408">
        <v>0</v>
      </c>
      <c r="DJ82" s="408"/>
      <c r="DK82" s="408">
        <v>0</v>
      </c>
      <c r="DL82" s="408">
        <v>0</v>
      </c>
      <c r="DM82" s="408"/>
      <c r="DN82" s="408">
        <v>0</v>
      </c>
      <c r="DO82" s="408">
        <v>0</v>
      </c>
      <c r="DP82" s="408">
        <v>0</v>
      </c>
      <c r="DQ82" s="408">
        <v>0</v>
      </c>
      <c r="DR82" s="408">
        <v>0</v>
      </c>
      <c r="DS82" s="408"/>
      <c r="DT82" s="408"/>
      <c r="DU82" s="408">
        <v>14405.803454243754</v>
      </c>
      <c r="DV82" s="408"/>
      <c r="DW82" s="408">
        <v>0</v>
      </c>
      <c r="DX82" s="408">
        <v>0</v>
      </c>
      <c r="DY82" s="408">
        <v>-10293.400000000001</v>
      </c>
      <c r="DZ82" s="234"/>
      <c r="EA82" s="408">
        <v>0</v>
      </c>
      <c r="EB82" s="408"/>
      <c r="EC82" s="408">
        <v>-10584.085225750867</v>
      </c>
      <c r="ED82" s="408"/>
      <c r="EE82" s="408">
        <v>0</v>
      </c>
      <c r="EF82" s="408">
        <v>0</v>
      </c>
      <c r="EG82" s="408"/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/>
      <c r="EN82" s="408"/>
      <c r="EO82" s="408">
        <v>0</v>
      </c>
      <c r="EP82" s="408">
        <v>0</v>
      </c>
      <c r="EQ82" s="408"/>
      <c r="ER82" s="408">
        <v>0</v>
      </c>
      <c r="ES82" s="408"/>
      <c r="ET82" s="408">
        <v>0</v>
      </c>
      <c r="EU82" s="408"/>
      <c r="EV82" s="408">
        <v>242</v>
      </c>
      <c r="EW82" s="408"/>
      <c r="EX82" s="408"/>
      <c r="EY82" s="408"/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61" customFormat="1">
      <c r="A83" s="408">
        <v>81</v>
      </c>
      <c r="B83" s="408" t="s">
        <v>2233</v>
      </c>
      <c r="C83" s="408" t="s">
        <v>2239</v>
      </c>
      <c r="D83" s="408" t="s">
        <v>597</v>
      </c>
      <c r="E83" s="408" t="s">
        <v>1001</v>
      </c>
      <c r="F83" s="408" t="s">
        <v>2246</v>
      </c>
      <c r="G83" s="408" t="s">
        <v>1322</v>
      </c>
      <c r="H83" s="408" t="s">
        <v>1322</v>
      </c>
      <c r="I83" s="408" t="s">
        <v>1322</v>
      </c>
      <c r="J83" s="408" t="s">
        <v>2232</v>
      </c>
      <c r="K83" s="828">
        <v>44409</v>
      </c>
      <c r="L83" s="408">
        <v>0</v>
      </c>
      <c r="M83" s="408">
        <v>0</v>
      </c>
      <c r="N83" s="408">
        <v>0</v>
      </c>
      <c r="O83" s="408">
        <v>0</v>
      </c>
      <c r="P83" s="408">
        <v>0</v>
      </c>
      <c r="Q83" s="408">
        <v>0</v>
      </c>
      <c r="R83" s="408"/>
      <c r="S83" s="408"/>
      <c r="T83" s="408"/>
      <c r="U83" s="408"/>
      <c r="V83" s="408"/>
      <c r="W83" s="408"/>
      <c r="X83" s="408"/>
      <c r="Y83" s="408"/>
      <c r="Z83" s="408"/>
      <c r="AA83" s="408">
        <v>0</v>
      </c>
      <c r="AB83" s="408"/>
      <c r="AC83" s="408"/>
      <c r="AD83" s="408"/>
      <c r="AE83" s="408"/>
      <c r="AF83" s="408"/>
      <c r="AG83" s="408"/>
      <c r="AH83" s="408"/>
      <c r="AI83" s="408"/>
      <c r="AJ83" s="408"/>
      <c r="AK83" s="408"/>
      <c r="AL83" s="408"/>
      <c r="AM83" s="408"/>
      <c r="AN83" s="408"/>
      <c r="AO83" s="408"/>
      <c r="AP83" s="408"/>
      <c r="AQ83" s="408"/>
      <c r="AR83" s="408"/>
      <c r="AS83" s="408"/>
      <c r="AT83" s="408"/>
      <c r="AU83" s="408"/>
      <c r="AV83" s="408"/>
      <c r="AW83" s="408"/>
      <c r="AX83" s="408"/>
      <c r="AY83" s="408"/>
      <c r="AZ83" s="408">
        <v>0</v>
      </c>
      <c r="BA83" s="408"/>
      <c r="BB83" s="408"/>
      <c r="BC83" s="408"/>
      <c r="BD83" s="408"/>
      <c r="BE83" s="408"/>
      <c r="BF83" s="408"/>
      <c r="BG83" s="408"/>
      <c r="BH83" s="408"/>
      <c r="BI83" s="408">
        <v>-8.44</v>
      </c>
      <c r="BJ83" s="408">
        <v>-38.68</v>
      </c>
      <c r="BK83" s="408">
        <v>-1987.97</v>
      </c>
      <c r="BL83" s="408">
        <v>0</v>
      </c>
      <c r="BM83" s="408"/>
      <c r="BN83" s="408"/>
      <c r="BO83" s="408"/>
      <c r="BP83" s="408"/>
      <c r="BQ83" s="408"/>
      <c r="BR83" s="408"/>
      <c r="BS83" s="408"/>
      <c r="BT83" s="408"/>
      <c r="BU83" s="408"/>
      <c r="BV83" s="408"/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/>
      <c r="CJ83" s="408">
        <v>-0.03</v>
      </c>
      <c r="CK83" s="408"/>
      <c r="CL83" s="408"/>
      <c r="CM83" s="408"/>
      <c r="CN83" s="408"/>
      <c r="CO83" s="408">
        <v>0</v>
      </c>
      <c r="CP83" s="408">
        <v>0</v>
      </c>
      <c r="CQ83" s="408">
        <v>31</v>
      </c>
      <c r="CR83" s="408"/>
      <c r="CS83" s="408"/>
      <c r="CT83" s="408"/>
      <c r="CU83" s="408"/>
      <c r="CV83" s="408"/>
      <c r="CW83" s="408"/>
      <c r="CX83" s="408"/>
      <c r="CY83" s="408"/>
      <c r="CZ83" s="408"/>
      <c r="DA83" s="408"/>
      <c r="DB83" s="408"/>
      <c r="DC83" s="408"/>
      <c r="DD83" s="408"/>
      <c r="DE83" s="408"/>
      <c r="DF83" s="408"/>
      <c r="DG83" s="408"/>
      <c r="DH83" s="408"/>
      <c r="DI83" s="408"/>
      <c r="DJ83" s="408"/>
      <c r="DK83" s="408">
        <v>0</v>
      </c>
      <c r="DL83" s="408"/>
      <c r="DM83" s="408"/>
      <c r="DN83" s="408"/>
      <c r="DO83" s="408"/>
      <c r="DP83" s="408"/>
      <c r="DQ83" s="408"/>
      <c r="DR83" s="408"/>
      <c r="DS83" s="408"/>
      <c r="DT83" s="408"/>
      <c r="DU83" s="408"/>
      <c r="DV83" s="408"/>
      <c r="DW83" s="408"/>
      <c r="DX83" s="408"/>
      <c r="DY83" s="408"/>
      <c r="DZ83" s="234"/>
      <c r="EA83" s="408"/>
      <c r="EB83" s="408"/>
      <c r="EC83" s="408"/>
      <c r="ED83" s="408"/>
      <c r="EE83" s="408"/>
      <c r="EF83" s="408"/>
      <c r="EG83" s="408"/>
      <c r="EH83" s="408"/>
      <c r="EI83" s="408"/>
      <c r="EJ83" s="408"/>
      <c r="EK83" s="408"/>
      <c r="EL83" s="408"/>
      <c r="EM83" s="408"/>
      <c r="EN83" s="408"/>
      <c r="EO83" s="408"/>
      <c r="EP83" s="408"/>
      <c r="EQ83" s="408"/>
      <c r="ER83" s="408"/>
      <c r="ES83" s="408"/>
      <c r="ET83" s="408"/>
      <c r="EU83" s="408"/>
      <c r="EV83" s="408">
        <v>242</v>
      </c>
      <c r="EW83" s="408"/>
      <c r="EX83" s="408"/>
      <c r="EY83" s="408"/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61" customFormat="1">
      <c r="A84" s="408">
        <v>82</v>
      </c>
      <c r="B84" s="408" t="s">
        <v>1036</v>
      </c>
      <c r="C84" s="408" t="s">
        <v>2231</v>
      </c>
      <c r="D84" s="408" t="s">
        <v>1955</v>
      </c>
      <c r="E84" s="408" t="s">
        <v>2247</v>
      </c>
      <c r="F84" s="408" t="s">
        <v>1322</v>
      </c>
      <c r="G84" s="408" t="s">
        <v>1322</v>
      </c>
      <c r="H84" s="408" t="s">
        <v>1322</v>
      </c>
      <c r="I84" s="408" t="s">
        <v>1322</v>
      </c>
      <c r="J84" s="408" t="s">
        <v>2232</v>
      </c>
      <c r="K84" s="828">
        <v>44409</v>
      </c>
      <c r="L84" s="408">
        <v>0</v>
      </c>
      <c r="M84" s="408">
        <v>0</v>
      </c>
      <c r="N84" s="408">
        <v>0.20399999999999999</v>
      </c>
      <c r="O84" s="408">
        <v>0.20399999999999999</v>
      </c>
      <c r="P84" s="408">
        <v>0.20399999999999999</v>
      </c>
      <c r="Q84" s="408">
        <v>0.20399999999999999</v>
      </c>
      <c r="R84" s="408"/>
      <c r="S84" s="408">
        <v>571.87</v>
      </c>
      <c r="T84" s="408">
        <v>216.76</v>
      </c>
      <c r="U84" s="408"/>
      <c r="V84" s="408">
        <v>160.88051999999999</v>
      </c>
      <c r="W84" s="408">
        <v>160.88051999999999</v>
      </c>
      <c r="X84" s="408">
        <v>104.85803999999999</v>
      </c>
      <c r="Y84" s="408">
        <v>0</v>
      </c>
      <c r="Z84" s="408">
        <v>12.364565876984017</v>
      </c>
      <c r="AA84" s="408">
        <v>0</v>
      </c>
      <c r="AB84" s="408">
        <v>0</v>
      </c>
      <c r="AC84" s="408">
        <v>0</v>
      </c>
      <c r="AD84" s="408">
        <v>0.16767039469965891</v>
      </c>
      <c r="AE84" s="408">
        <v>86.982268432516165</v>
      </c>
      <c r="AF84" s="408">
        <v>43.574706168021741</v>
      </c>
      <c r="AG84" s="408">
        <v>0.64411056623628138</v>
      </c>
      <c r="AH84" s="408">
        <v>0</v>
      </c>
      <c r="AI84" s="408">
        <v>0</v>
      </c>
      <c r="AJ84" s="408">
        <v>0</v>
      </c>
      <c r="AK84" s="408">
        <v>0</v>
      </c>
      <c r="AL84" s="408">
        <v>1.9122212663482328</v>
      </c>
      <c r="AM84" s="408"/>
      <c r="AN84" s="408">
        <v>0.39136778945564649</v>
      </c>
      <c r="AO84" s="408">
        <v>1.8118663408169791</v>
      </c>
      <c r="AP84" s="408">
        <v>5.6767294434531861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0.12139420286380355</v>
      </c>
      <c r="BE84" s="408">
        <v>0</v>
      </c>
      <c r="BF84" s="408">
        <v>0</v>
      </c>
      <c r="BG84" s="408">
        <v>7.2334804431672843</v>
      </c>
      <c r="BH84" s="408">
        <v>0</v>
      </c>
      <c r="BI84" s="408">
        <v>0.52</v>
      </c>
      <c r="BJ84" s="408">
        <v>2.44</v>
      </c>
      <c r="BK84" s="408">
        <v>54.11</v>
      </c>
      <c r="BL84" s="408">
        <v>2</v>
      </c>
      <c r="BM84" s="408"/>
      <c r="BN84" s="408"/>
      <c r="BO84" s="408"/>
      <c r="BP84" s="408"/>
      <c r="BQ84" s="408"/>
      <c r="BR84" s="408"/>
      <c r="BS84" s="408"/>
      <c r="BT84" s="408"/>
      <c r="BU84" s="408"/>
      <c r="BV84" s="408">
        <v>50.929580814052827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102.80200000000001</v>
      </c>
      <c r="CJ84" s="408">
        <v>-58.108519999999984</v>
      </c>
      <c r="CK84" s="408"/>
      <c r="CL84" s="408"/>
      <c r="CM84" s="408"/>
      <c r="CN84" s="408"/>
      <c r="CO84" s="408">
        <v>-62.678999999999995</v>
      </c>
      <c r="CP84" s="408">
        <v>6.6565199999999987</v>
      </c>
      <c r="CQ84" s="408">
        <v>31</v>
      </c>
      <c r="CR84" s="408">
        <v>7.8846623926870052</v>
      </c>
      <c r="CS84" s="408">
        <v>0.18689677465752363</v>
      </c>
      <c r="CT84" s="408">
        <v>0.58556329442402077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1.6393982806144736E-2</v>
      </c>
      <c r="DA84" s="408">
        <v>0</v>
      </c>
      <c r="DB84" s="408">
        <v>0</v>
      </c>
      <c r="DC84" s="408">
        <v>6.6573754787703336</v>
      </c>
      <c r="DD84" s="408">
        <v>0</v>
      </c>
      <c r="DE84" s="408">
        <v>0</v>
      </c>
      <c r="DF84" s="408">
        <v>1.8546695100917485E-2</v>
      </c>
      <c r="DG84" s="408">
        <v>1.1051364326547812</v>
      </c>
      <c r="DH84" s="408">
        <v>0</v>
      </c>
      <c r="DI84" s="408">
        <v>-0.59074428251729039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-7.7484370478774434E-2</v>
      </c>
      <c r="DP84" s="408">
        <v>-1.7021612730657831E-2</v>
      </c>
      <c r="DQ84" s="408">
        <v>0</v>
      </c>
      <c r="DR84" s="408">
        <v>0</v>
      </c>
      <c r="DS84" s="408"/>
      <c r="DT84" s="408"/>
      <c r="DU84" s="408"/>
      <c r="DV84" s="408">
        <v>86.982268432516165</v>
      </c>
      <c r="DW84" s="408">
        <v>0</v>
      </c>
      <c r="DX84" s="408">
        <v>0</v>
      </c>
      <c r="DY84" s="408">
        <v>-62.679000000000002</v>
      </c>
      <c r="DZ84" s="234">
        <v>6.6565200000000004</v>
      </c>
      <c r="EA84" s="408">
        <v>0</v>
      </c>
      <c r="EB84" s="408">
        <v>0</v>
      </c>
      <c r="EC84" s="408">
        <v>-63.90672655940525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242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61" customFormat="1">
      <c r="A85" s="408">
        <v>83</v>
      </c>
      <c r="B85" s="408" t="s">
        <v>1036</v>
      </c>
      <c r="C85" s="408" t="s">
        <v>2231</v>
      </c>
      <c r="D85" s="408" t="s">
        <v>2241</v>
      </c>
      <c r="E85" s="408" t="s">
        <v>974</v>
      </c>
      <c r="F85" s="408" t="s">
        <v>2248</v>
      </c>
      <c r="G85" s="408" t="s">
        <v>2249</v>
      </c>
      <c r="H85" s="408" t="s">
        <v>1322</v>
      </c>
      <c r="I85" s="408" t="s">
        <v>1322</v>
      </c>
      <c r="J85" s="408" t="s">
        <v>2232</v>
      </c>
      <c r="K85" s="828">
        <v>44409</v>
      </c>
      <c r="L85" s="408">
        <v>0</v>
      </c>
      <c r="M85" s="408">
        <v>0</v>
      </c>
      <c r="N85" s="408">
        <v>0</v>
      </c>
      <c r="O85" s="408">
        <v>0</v>
      </c>
      <c r="P85" s="408">
        <v>0</v>
      </c>
      <c r="Q85" s="408">
        <v>0</v>
      </c>
      <c r="R85" s="408"/>
      <c r="S85" s="408"/>
      <c r="T85" s="408"/>
      <c r="U85" s="408"/>
      <c r="V85" s="408"/>
      <c r="W85" s="408"/>
      <c r="X85" s="408"/>
      <c r="Y85" s="408"/>
      <c r="Z85" s="408"/>
      <c r="AA85" s="408">
        <v>0</v>
      </c>
      <c r="AB85" s="408"/>
      <c r="AC85" s="408"/>
      <c r="AD85" s="408"/>
      <c r="AE85" s="408"/>
      <c r="AF85" s="408"/>
      <c r="AG85" s="408"/>
      <c r="AH85" s="408"/>
      <c r="AI85" s="408"/>
      <c r="AJ85" s="408"/>
      <c r="AK85" s="408"/>
      <c r="AL85" s="408"/>
      <c r="AM85" s="408"/>
      <c r="AN85" s="408"/>
      <c r="AO85" s="408"/>
      <c r="AP85" s="408"/>
      <c r="AQ85" s="408"/>
      <c r="AR85" s="408"/>
      <c r="AS85" s="408"/>
      <c r="AT85" s="408"/>
      <c r="AU85" s="408"/>
      <c r="AV85" s="408"/>
      <c r="AW85" s="408"/>
      <c r="AX85" s="408"/>
      <c r="AY85" s="408"/>
      <c r="AZ85" s="408">
        <v>0</v>
      </c>
      <c r="BA85" s="408"/>
      <c r="BB85" s="408"/>
      <c r="BC85" s="408"/>
      <c r="BD85" s="408"/>
      <c r="BE85" s="408"/>
      <c r="BF85" s="408"/>
      <c r="BG85" s="408"/>
      <c r="BH85" s="408"/>
      <c r="BI85" s="408">
        <v>61.7</v>
      </c>
      <c r="BJ85" s="408">
        <v>285.58999999999997</v>
      </c>
      <c r="BK85" s="408">
        <v>911.27</v>
      </c>
      <c r="BL85" s="408">
        <v>128</v>
      </c>
      <c r="BM85" s="408"/>
      <c r="BN85" s="408"/>
      <c r="BO85" s="408"/>
      <c r="BP85" s="408"/>
      <c r="BQ85" s="408"/>
      <c r="BR85" s="408"/>
      <c r="BS85" s="408"/>
      <c r="BT85" s="408"/>
      <c r="BU85" s="408"/>
      <c r="BV85" s="408"/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/>
      <c r="CJ85" s="408">
        <v>-0.03</v>
      </c>
      <c r="CK85" s="408"/>
      <c r="CL85" s="408"/>
      <c r="CM85" s="408"/>
      <c r="CN85" s="408"/>
      <c r="CO85" s="408">
        <v>0</v>
      </c>
      <c r="CP85" s="408">
        <v>0</v>
      </c>
      <c r="CQ85" s="408">
        <v>31</v>
      </c>
      <c r="CR85" s="408"/>
      <c r="CS85" s="408"/>
      <c r="CT85" s="408"/>
      <c r="CU85" s="408"/>
      <c r="CV85" s="408"/>
      <c r="CW85" s="408"/>
      <c r="CX85" s="408"/>
      <c r="CY85" s="408"/>
      <c r="CZ85" s="408"/>
      <c r="DA85" s="408"/>
      <c r="DB85" s="408"/>
      <c r="DC85" s="408"/>
      <c r="DD85" s="408"/>
      <c r="DE85" s="408"/>
      <c r="DF85" s="408"/>
      <c r="DG85" s="408"/>
      <c r="DH85" s="408"/>
      <c r="DI85" s="408"/>
      <c r="DJ85" s="408"/>
      <c r="DK85" s="408">
        <v>0</v>
      </c>
      <c r="DL85" s="408"/>
      <c r="DM85" s="408"/>
      <c r="DN85" s="408"/>
      <c r="DO85" s="408"/>
      <c r="DP85" s="408"/>
      <c r="DQ85" s="408"/>
      <c r="DR85" s="408"/>
      <c r="DS85" s="408"/>
      <c r="DT85" s="408"/>
      <c r="DU85" s="408"/>
      <c r="DV85" s="408"/>
      <c r="DW85" s="408"/>
      <c r="DX85" s="408"/>
      <c r="DY85" s="408"/>
      <c r="DZ85" s="234"/>
      <c r="EA85" s="408"/>
      <c r="EB85" s="408"/>
      <c r="EC85" s="408"/>
      <c r="ED85" s="408"/>
      <c r="EE85" s="408"/>
      <c r="EF85" s="408"/>
      <c r="EG85" s="408"/>
      <c r="EH85" s="408"/>
      <c r="EI85" s="408"/>
      <c r="EJ85" s="408"/>
      <c r="EK85" s="408"/>
      <c r="EL85" s="408"/>
      <c r="EM85" s="408"/>
      <c r="EN85" s="408"/>
      <c r="EO85" s="408"/>
      <c r="EP85" s="408"/>
      <c r="EQ85" s="408"/>
      <c r="ER85" s="408"/>
      <c r="ES85" s="408"/>
      <c r="ET85" s="408"/>
      <c r="EU85" s="408"/>
      <c r="EV85" s="408">
        <v>242</v>
      </c>
      <c r="EW85" s="408"/>
      <c r="EX85" s="408"/>
      <c r="EY85" s="408"/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61" customFormat="1">
      <c r="A86" s="408">
        <v>84</v>
      </c>
      <c r="B86" s="408" t="s">
        <v>2233</v>
      </c>
      <c r="C86" s="408" t="s">
        <v>2231</v>
      </c>
      <c r="D86" s="408" t="s">
        <v>2241</v>
      </c>
      <c r="E86" s="408" t="s">
        <v>974</v>
      </c>
      <c r="F86" s="408" t="s">
        <v>2248</v>
      </c>
      <c r="G86" s="408" t="s">
        <v>2249</v>
      </c>
      <c r="H86" s="408" t="s">
        <v>1322</v>
      </c>
      <c r="I86" s="408" t="s">
        <v>1322</v>
      </c>
      <c r="J86" s="408" t="s">
        <v>2232</v>
      </c>
      <c r="K86" s="828">
        <v>44409</v>
      </c>
      <c r="L86" s="408">
        <v>0</v>
      </c>
      <c r="M86" s="408">
        <v>0</v>
      </c>
      <c r="N86" s="408">
        <v>0</v>
      </c>
      <c r="O86" s="408">
        <v>0</v>
      </c>
      <c r="P86" s="408">
        <v>0</v>
      </c>
      <c r="Q86" s="408">
        <v>0</v>
      </c>
      <c r="R86" s="408"/>
      <c r="S86" s="408"/>
      <c r="T86" s="408"/>
      <c r="U86" s="408"/>
      <c r="V86" s="408"/>
      <c r="W86" s="408"/>
      <c r="X86" s="408"/>
      <c r="Y86" s="408"/>
      <c r="Z86" s="408"/>
      <c r="AA86" s="408">
        <v>0</v>
      </c>
      <c r="AB86" s="408"/>
      <c r="AC86" s="408"/>
      <c r="AD86" s="408"/>
      <c r="AE86" s="408"/>
      <c r="AF86" s="408"/>
      <c r="AG86" s="408"/>
      <c r="AH86" s="408"/>
      <c r="AI86" s="408"/>
      <c r="AJ86" s="408"/>
      <c r="AK86" s="408"/>
      <c r="AL86" s="408"/>
      <c r="AM86" s="408"/>
      <c r="AN86" s="408"/>
      <c r="AO86" s="408"/>
      <c r="AP86" s="408"/>
      <c r="AQ86" s="408"/>
      <c r="AR86" s="408"/>
      <c r="AS86" s="408"/>
      <c r="AT86" s="408"/>
      <c r="AU86" s="408"/>
      <c r="AV86" s="408"/>
      <c r="AW86" s="408"/>
      <c r="AX86" s="408"/>
      <c r="AY86" s="408"/>
      <c r="AZ86" s="408">
        <v>0</v>
      </c>
      <c r="BA86" s="408"/>
      <c r="BB86" s="408"/>
      <c r="BC86" s="408"/>
      <c r="BD86" s="408"/>
      <c r="BE86" s="408"/>
      <c r="BF86" s="408"/>
      <c r="BG86" s="408"/>
      <c r="BH86" s="408"/>
      <c r="BI86" s="408">
        <v>-7.94</v>
      </c>
      <c r="BJ86" s="408">
        <v>-36.33</v>
      </c>
      <c r="BK86" s="408">
        <v>3.37</v>
      </c>
      <c r="BL86" s="408">
        <v>0</v>
      </c>
      <c r="BM86" s="408"/>
      <c r="BN86" s="408"/>
      <c r="BO86" s="408"/>
      <c r="BP86" s="408"/>
      <c r="BQ86" s="408"/>
      <c r="BR86" s="408"/>
      <c r="BS86" s="408"/>
      <c r="BT86" s="408"/>
      <c r="BU86" s="408"/>
      <c r="BV86" s="408"/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/>
      <c r="CJ86" s="408">
        <v>-0.03</v>
      </c>
      <c r="CK86" s="408"/>
      <c r="CL86" s="408"/>
      <c r="CM86" s="408"/>
      <c r="CN86" s="408"/>
      <c r="CO86" s="408">
        <v>0</v>
      </c>
      <c r="CP86" s="408">
        <v>0</v>
      </c>
      <c r="CQ86" s="408">
        <v>31</v>
      </c>
      <c r="CR86" s="408"/>
      <c r="CS86" s="408"/>
      <c r="CT86" s="408"/>
      <c r="CU86" s="408"/>
      <c r="CV86" s="408"/>
      <c r="CW86" s="408"/>
      <c r="CX86" s="408"/>
      <c r="CY86" s="408"/>
      <c r="CZ86" s="408"/>
      <c r="DA86" s="408"/>
      <c r="DB86" s="408"/>
      <c r="DC86" s="408"/>
      <c r="DD86" s="408"/>
      <c r="DE86" s="408"/>
      <c r="DF86" s="408"/>
      <c r="DG86" s="408"/>
      <c r="DH86" s="408"/>
      <c r="DI86" s="408"/>
      <c r="DJ86" s="408"/>
      <c r="DK86" s="408">
        <v>0</v>
      </c>
      <c r="DL86" s="408"/>
      <c r="DM86" s="408"/>
      <c r="DN86" s="408"/>
      <c r="DO86" s="408"/>
      <c r="DP86" s="408"/>
      <c r="DQ86" s="408"/>
      <c r="DR86" s="408"/>
      <c r="DS86" s="408"/>
      <c r="DT86" s="408"/>
      <c r="DU86" s="408"/>
      <c r="DV86" s="408"/>
      <c r="DW86" s="408"/>
      <c r="DX86" s="408"/>
      <c r="DY86" s="408"/>
      <c r="DZ86" s="234"/>
      <c r="EA86" s="408"/>
      <c r="EB86" s="408"/>
      <c r="EC86" s="408"/>
      <c r="ED86" s="408"/>
      <c r="EE86" s="408"/>
      <c r="EF86" s="408"/>
      <c r="EG86" s="408"/>
      <c r="EH86" s="408"/>
      <c r="EI86" s="408"/>
      <c r="EJ86" s="408"/>
      <c r="EK86" s="408"/>
      <c r="EL86" s="408"/>
      <c r="EM86" s="408"/>
      <c r="EN86" s="408"/>
      <c r="EO86" s="408"/>
      <c r="EP86" s="408"/>
      <c r="EQ86" s="408"/>
      <c r="ER86" s="408"/>
      <c r="ES86" s="408"/>
      <c r="ET86" s="408"/>
      <c r="EU86" s="408"/>
      <c r="EV86" s="408">
        <v>242</v>
      </c>
      <c r="EW86" s="408"/>
      <c r="EX86" s="408"/>
      <c r="EY86" s="408"/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61" customFormat="1">
      <c r="A87" s="408">
        <v>85</v>
      </c>
      <c r="B87" s="408" t="s">
        <v>2234</v>
      </c>
      <c r="C87" s="408" t="s">
        <v>2231</v>
      </c>
      <c r="D87" s="408" t="s">
        <v>2241</v>
      </c>
      <c r="E87" s="408" t="s">
        <v>974</v>
      </c>
      <c r="F87" s="408" t="s">
        <v>2248</v>
      </c>
      <c r="G87" s="408" t="s">
        <v>2249</v>
      </c>
      <c r="H87" s="408" t="s">
        <v>1322</v>
      </c>
      <c r="I87" s="408" t="s">
        <v>1322</v>
      </c>
      <c r="J87" s="408" t="s">
        <v>2232</v>
      </c>
      <c r="K87" s="828">
        <v>44409</v>
      </c>
      <c r="L87" s="408">
        <v>0</v>
      </c>
      <c r="M87" s="408">
        <v>0</v>
      </c>
      <c r="N87" s="408">
        <v>0</v>
      </c>
      <c r="O87" s="408">
        <v>0</v>
      </c>
      <c r="P87" s="408">
        <v>0</v>
      </c>
      <c r="Q87" s="408">
        <v>0</v>
      </c>
      <c r="R87" s="408"/>
      <c r="S87" s="408"/>
      <c r="T87" s="408"/>
      <c r="U87" s="408"/>
      <c r="V87" s="408"/>
      <c r="W87" s="408"/>
      <c r="X87" s="408"/>
      <c r="Y87" s="408"/>
      <c r="Z87" s="408"/>
      <c r="AA87" s="408">
        <v>0</v>
      </c>
      <c r="AB87" s="408"/>
      <c r="AC87" s="408"/>
      <c r="AD87" s="408"/>
      <c r="AE87" s="408"/>
      <c r="AF87" s="408"/>
      <c r="AG87" s="408"/>
      <c r="AH87" s="408"/>
      <c r="AI87" s="408"/>
      <c r="AJ87" s="408"/>
      <c r="AK87" s="408"/>
      <c r="AL87" s="408"/>
      <c r="AM87" s="408"/>
      <c r="AN87" s="408"/>
      <c r="AO87" s="408"/>
      <c r="AP87" s="408"/>
      <c r="AQ87" s="408"/>
      <c r="AR87" s="408"/>
      <c r="AS87" s="408"/>
      <c r="AT87" s="408"/>
      <c r="AU87" s="408"/>
      <c r="AV87" s="408"/>
      <c r="AW87" s="408"/>
      <c r="AX87" s="408"/>
      <c r="AY87" s="408"/>
      <c r="AZ87" s="408">
        <v>0</v>
      </c>
      <c r="BA87" s="408"/>
      <c r="BB87" s="408"/>
      <c r="BC87" s="408"/>
      <c r="BD87" s="408"/>
      <c r="BE87" s="408"/>
      <c r="BF87" s="408"/>
      <c r="BG87" s="408"/>
      <c r="BH87" s="408"/>
      <c r="BI87" s="408">
        <v>1</v>
      </c>
      <c r="BJ87" s="408">
        <v>4.62</v>
      </c>
      <c r="BK87" s="408">
        <v>8.4700000000000006</v>
      </c>
      <c r="BL87" s="408">
        <v>1</v>
      </c>
      <c r="BM87" s="408"/>
      <c r="BN87" s="408"/>
      <c r="BO87" s="408"/>
      <c r="BP87" s="408"/>
      <c r="BQ87" s="408"/>
      <c r="BR87" s="408"/>
      <c r="BS87" s="408"/>
      <c r="BT87" s="408"/>
      <c r="BU87" s="408"/>
      <c r="BV87" s="408"/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/>
      <c r="CJ87" s="408">
        <v>-0.03</v>
      </c>
      <c r="CK87" s="408"/>
      <c r="CL87" s="408"/>
      <c r="CM87" s="408"/>
      <c r="CN87" s="408"/>
      <c r="CO87" s="408">
        <v>0</v>
      </c>
      <c r="CP87" s="408">
        <v>0</v>
      </c>
      <c r="CQ87" s="408">
        <v>31</v>
      </c>
      <c r="CR87" s="408"/>
      <c r="CS87" s="408"/>
      <c r="CT87" s="408"/>
      <c r="CU87" s="408"/>
      <c r="CV87" s="408"/>
      <c r="CW87" s="408"/>
      <c r="CX87" s="408"/>
      <c r="CY87" s="408"/>
      <c r="CZ87" s="408"/>
      <c r="DA87" s="408"/>
      <c r="DB87" s="408"/>
      <c r="DC87" s="408"/>
      <c r="DD87" s="408"/>
      <c r="DE87" s="408"/>
      <c r="DF87" s="408"/>
      <c r="DG87" s="408"/>
      <c r="DH87" s="408"/>
      <c r="DI87" s="408"/>
      <c r="DJ87" s="408"/>
      <c r="DK87" s="408">
        <v>0</v>
      </c>
      <c r="DL87" s="408"/>
      <c r="DM87" s="408"/>
      <c r="DN87" s="408"/>
      <c r="DO87" s="408"/>
      <c r="DP87" s="408"/>
      <c r="DQ87" s="408"/>
      <c r="DR87" s="408"/>
      <c r="DS87" s="408"/>
      <c r="DT87" s="408"/>
      <c r="DU87" s="408"/>
      <c r="DV87" s="408"/>
      <c r="DW87" s="408"/>
      <c r="DX87" s="408"/>
      <c r="DY87" s="408"/>
      <c r="DZ87" s="234"/>
      <c r="EA87" s="408"/>
      <c r="EB87" s="408"/>
      <c r="EC87" s="408"/>
      <c r="ED87" s="408"/>
      <c r="EE87" s="408"/>
      <c r="EF87" s="408"/>
      <c r="EG87" s="408"/>
      <c r="EH87" s="408"/>
      <c r="EI87" s="408"/>
      <c r="EJ87" s="408"/>
      <c r="EK87" s="408"/>
      <c r="EL87" s="408"/>
      <c r="EM87" s="408"/>
      <c r="EN87" s="408"/>
      <c r="EO87" s="408"/>
      <c r="EP87" s="408"/>
      <c r="EQ87" s="408"/>
      <c r="ER87" s="408"/>
      <c r="ES87" s="408"/>
      <c r="ET87" s="408"/>
      <c r="EU87" s="408"/>
      <c r="EV87" s="408">
        <v>242</v>
      </c>
      <c r="EW87" s="408"/>
      <c r="EX87" s="408"/>
      <c r="EY87" s="408"/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61" customFormat="1">
      <c r="A88" s="408">
        <v>86</v>
      </c>
      <c r="B88" s="408" t="s">
        <v>2234</v>
      </c>
      <c r="C88" s="408" t="s">
        <v>2231</v>
      </c>
      <c r="D88" s="408" t="s">
        <v>2241</v>
      </c>
      <c r="E88" s="408" t="s">
        <v>974</v>
      </c>
      <c r="F88" s="408" t="s">
        <v>2248</v>
      </c>
      <c r="G88" s="408" t="s">
        <v>2249</v>
      </c>
      <c r="H88" s="408" t="s">
        <v>1322</v>
      </c>
      <c r="I88" s="408" t="s">
        <v>1322</v>
      </c>
      <c r="J88" s="408" t="s">
        <v>2232</v>
      </c>
      <c r="K88" s="828">
        <v>44409</v>
      </c>
      <c r="L88" s="408">
        <v>0</v>
      </c>
      <c r="M88" s="408">
        <v>0</v>
      </c>
      <c r="N88" s="408">
        <v>0</v>
      </c>
      <c r="O88" s="408">
        <v>0</v>
      </c>
      <c r="P88" s="408">
        <v>0</v>
      </c>
      <c r="Q88" s="408">
        <v>0</v>
      </c>
      <c r="R88" s="408"/>
      <c r="S88" s="408"/>
      <c r="T88" s="408"/>
      <c r="U88" s="408"/>
      <c r="V88" s="408"/>
      <c r="W88" s="408"/>
      <c r="X88" s="408"/>
      <c r="Y88" s="408"/>
      <c r="Z88" s="408"/>
      <c r="AA88" s="408">
        <v>0</v>
      </c>
      <c r="AB88" s="408"/>
      <c r="AC88" s="408"/>
      <c r="AD88" s="408"/>
      <c r="AE88" s="408"/>
      <c r="AF88" s="408"/>
      <c r="AG88" s="408"/>
      <c r="AH88" s="408"/>
      <c r="AI88" s="408"/>
      <c r="AJ88" s="408"/>
      <c r="AK88" s="408"/>
      <c r="AL88" s="408"/>
      <c r="AM88" s="408"/>
      <c r="AN88" s="408"/>
      <c r="AO88" s="408"/>
      <c r="AP88" s="408"/>
      <c r="AQ88" s="408"/>
      <c r="AR88" s="408"/>
      <c r="AS88" s="408"/>
      <c r="AT88" s="408"/>
      <c r="AU88" s="408"/>
      <c r="AV88" s="408"/>
      <c r="AW88" s="408"/>
      <c r="AX88" s="408"/>
      <c r="AY88" s="408"/>
      <c r="AZ88" s="408">
        <v>0</v>
      </c>
      <c r="BA88" s="408"/>
      <c r="BB88" s="408"/>
      <c r="BC88" s="408"/>
      <c r="BD88" s="408"/>
      <c r="BE88" s="408"/>
      <c r="BF88" s="408"/>
      <c r="BG88" s="408"/>
      <c r="BH88" s="408"/>
      <c r="BI88" s="408">
        <v>-0.28000000000000003</v>
      </c>
      <c r="BJ88" s="408">
        <v>-1.33</v>
      </c>
      <c r="BK88" s="408">
        <v>-8.6999999999999993</v>
      </c>
      <c r="BL88" s="408">
        <v>1</v>
      </c>
      <c r="BM88" s="408"/>
      <c r="BN88" s="408"/>
      <c r="BO88" s="408"/>
      <c r="BP88" s="408"/>
      <c r="BQ88" s="408"/>
      <c r="BR88" s="408"/>
      <c r="BS88" s="408"/>
      <c r="BT88" s="408"/>
      <c r="BU88" s="408"/>
      <c r="BV88" s="408"/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/>
      <c r="CJ88" s="408">
        <v>-0.03</v>
      </c>
      <c r="CK88" s="408"/>
      <c r="CL88" s="408"/>
      <c r="CM88" s="408"/>
      <c r="CN88" s="408"/>
      <c r="CO88" s="408">
        <v>0</v>
      </c>
      <c r="CP88" s="408">
        <v>0</v>
      </c>
      <c r="CQ88" s="408">
        <v>31</v>
      </c>
      <c r="CR88" s="408"/>
      <c r="CS88" s="408"/>
      <c r="CT88" s="408"/>
      <c r="CU88" s="408"/>
      <c r="CV88" s="408"/>
      <c r="CW88" s="408"/>
      <c r="CX88" s="408"/>
      <c r="CY88" s="408"/>
      <c r="CZ88" s="408"/>
      <c r="DA88" s="408"/>
      <c r="DB88" s="408"/>
      <c r="DC88" s="408"/>
      <c r="DD88" s="408"/>
      <c r="DE88" s="408"/>
      <c r="DF88" s="408"/>
      <c r="DG88" s="408"/>
      <c r="DH88" s="408"/>
      <c r="DI88" s="408"/>
      <c r="DJ88" s="408"/>
      <c r="DK88" s="408">
        <v>0</v>
      </c>
      <c r="DL88" s="408"/>
      <c r="DM88" s="408"/>
      <c r="DN88" s="408"/>
      <c r="DO88" s="408"/>
      <c r="DP88" s="408"/>
      <c r="DQ88" s="408"/>
      <c r="DR88" s="408"/>
      <c r="DS88" s="408"/>
      <c r="DT88" s="408"/>
      <c r="DU88" s="408"/>
      <c r="DV88" s="408"/>
      <c r="DW88" s="408"/>
      <c r="DX88" s="408"/>
      <c r="DY88" s="408"/>
      <c r="DZ88" s="234"/>
      <c r="EA88" s="408"/>
      <c r="EB88" s="408"/>
      <c r="EC88" s="408"/>
      <c r="ED88" s="408"/>
      <c r="EE88" s="408"/>
      <c r="EF88" s="408"/>
      <c r="EG88" s="408"/>
      <c r="EH88" s="408"/>
      <c r="EI88" s="408"/>
      <c r="EJ88" s="408"/>
      <c r="EK88" s="408"/>
      <c r="EL88" s="408"/>
      <c r="EM88" s="408"/>
      <c r="EN88" s="408"/>
      <c r="EO88" s="408"/>
      <c r="EP88" s="408"/>
      <c r="EQ88" s="408"/>
      <c r="ER88" s="408"/>
      <c r="ES88" s="408"/>
      <c r="ET88" s="408"/>
      <c r="EU88" s="408"/>
      <c r="EV88" s="408">
        <v>242</v>
      </c>
      <c r="EW88" s="408"/>
      <c r="EX88" s="408"/>
      <c r="EY88" s="408"/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61" customFormat="1">
      <c r="A89" s="408">
        <v>87</v>
      </c>
      <c r="B89" s="408" t="s">
        <v>1036</v>
      </c>
      <c r="C89" s="408" t="s">
        <v>2231</v>
      </c>
      <c r="D89" s="408" t="s">
        <v>2241</v>
      </c>
      <c r="E89" s="408" t="s">
        <v>974</v>
      </c>
      <c r="F89" s="408" t="s">
        <v>2248</v>
      </c>
      <c r="G89" s="408" t="s">
        <v>2249</v>
      </c>
      <c r="H89" s="408" t="s">
        <v>1322</v>
      </c>
      <c r="I89" s="408" t="s">
        <v>1322</v>
      </c>
      <c r="J89" s="408" t="s">
        <v>2232</v>
      </c>
      <c r="K89" s="828">
        <v>44409</v>
      </c>
      <c r="L89" s="408">
        <v>0</v>
      </c>
      <c r="M89" s="408">
        <v>0</v>
      </c>
      <c r="N89" s="408">
        <v>32.057000000000002</v>
      </c>
      <c r="O89" s="408">
        <v>32.057000000000002</v>
      </c>
      <c r="P89" s="408">
        <v>32.057000000000002</v>
      </c>
      <c r="Q89" s="408">
        <v>32.057000000000002</v>
      </c>
      <c r="R89" s="408"/>
      <c r="S89" s="408">
        <v>571.87</v>
      </c>
      <c r="T89" s="408">
        <v>216.76</v>
      </c>
      <c r="U89" s="408"/>
      <c r="V89" s="408">
        <v>25281.11191</v>
      </c>
      <c r="W89" s="408">
        <v>25281.11191</v>
      </c>
      <c r="X89" s="408">
        <v>16477.618570000002</v>
      </c>
      <c r="Y89" s="408">
        <v>0</v>
      </c>
      <c r="Z89" s="408">
        <v>1942.994550580768</v>
      </c>
      <c r="AA89" s="408">
        <v>0</v>
      </c>
      <c r="AB89" s="408">
        <v>0</v>
      </c>
      <c r="AC89" s="408">
        <v>0</v>
      </c>
      <c r="AD89" s="408">
        <v>26.348087465132188</v>
      </c>
      <c r="AE89" s="408">
        <v>13668.581270299859</v>
      </c>
      <c r="AF89" s="408">
        <v>6847.4233119032997</v>
      </c>
      <c r="AG89" s="408">
        <v>101.21692363645332</v>
      </c>
      <c r="AH89" s="408">
        <v>0</v>
      </c>
      <c r="AI89" s="408">
        <v>0</v>
      </c>
      <c r="AJ89" s="408">
        <v>0</v>
      </c>
      <c r="AK89" s="408">
        <v>0</v>
      </c>
      <c r="AL89" s="408">
        <v>300.49057419277113</v>
      </c>
      <c r="AM89" s="408"/>
      <c r="AN89" s="408">
        <v>61.500378561665002</v>
      </c>
      <c r="AO89" s="408">
        <v>284.72058474298973</v>
      </c>
      <c r="AP89" s="408">
        <v>892.05350867048435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19.076146868651719</v>
      </c>
      <c r="BE89" s="408">
        <v>0</v>
      </c>
      <c r="BF89" s="408">
        <v>0</v>
      </c>
      <c r="BG89" s="408">
        <v>1136.6847184637925</v>
      </c>
      <c r="BH89" s="408">
        <v>0</v>
      </c>
      <c r="BI89" s="408">
        <v>0</v>
      </c>
      <c r="BJ89" s="408">
        <v>0</v>
      </c>
      <c r="BK89" s="408">
        <v>0</v>
      </c>
      <c r="BL89" s="408">
        <v>0</v>
      </c>
      <c r="BM89" s="408"/>
      <c r="BN89" s="408"/>
      <c r="BO89" s="408"/>
      <c r="BP89" s="408"/>
      <c r="BQ89" s="408"/>
      <c r="BR89" s="408">
        <v>1977.2757599999995</v>
      </c>
      <c r="BS89" s="408"/>
      <c r="BT89" s="408"/>
      <c r="BU89" s="408"/>
      <c r="BV89" s="408">
        <v>8003.1841772357438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14501.699800000002</v>
      </c>
      <c r="CJ89" s="408">
        <v>-7745.8881999999976</v>
      </c>
      <c r="CK89" s="408"/>
      <c r="CL89" s="408"/>
      <c r="CM89" s="408"/>
      <c r="CN89" s="408"/>
      <c r="CO89" s="408">
        <v>-9849.51325</v>
      </c>
      <c r="CP89" s="408">
        <v>1046.01991</v>
      </c>
      <c r="CQ89" s="408">
        <v>31</v>
      </c>
      <c r="CR89" s="408">
        <v>1239.0128545214084</v>
      </c>
      <c r="CS89" s="408">
        <v>29.369362280373707</v>
      </c>
      <c r="CT89" s="408">
        <v>92.01667906544526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2.5761858177283443</v>
      </c>
      <c r="DA89" s="408">
        <v>0</v>
      </c>
      <c r="DB89" s="408">
        <v>0</v>
      </c>
      <c r="DC89" s="408">
        <v>1046.1543417791208</v>
      </c>
      <c r="DD89" s="408">
        <v>0</v>
      </c>
      <c r="DE89" s="408">
        <v>0</v>
      </c>
      <c r="DF89" s="408">
        <v>2.9144676708338828</v>
      </c>
      <c r="DG89" s="408">
        <v>173.66352265497198</v>
      </c>
      <c r="DH89" s="408">
        <v>0</v>
      </c>
      <c r="DI89" s="408">
        <v>-92.830830709101747</v>
      </c>
      <c r="DJ89" s="408"/>
      <c r="DK89" s="408">
        <v>0</v>
      </c>
      <c r="DL89" s="408">
        <v>0</v>
      </c>
      <c r="DM89" s="408">
        <v>0</v>
      </c>
      <c r="DN89" s="408">
        <v>0</v>
      </c>
      <c r="DO89" s="408">
        <v>-12.176061100186701</v>
      </c>
      <c r="DP89" s="408">
        <v>-2.6748129377779293</v>
      </c>
      <c r="DQ89" s="408">
        <v>0</v>
      </c>
      <c r="DR89" s="408">
        <v>0</v>
      </c>
      <c r="DS89" s="408"/>
      <c r="DT89" s="408"/>
      <c r="DU89" s="408"/>
      <c r="DV89" s="408">
        <v>13668.581270299859</v>
      </c>
      <c r="DW89" s="408">
        <v>0</v>
      </c>
      <c r="DX89" s="408">
        <v>0</v>
      </c>
      <c r="DY89" s="408">
        <v>-9849.51325</v>
      </c>
      <c r="DZ89" s="234">
        <v>1046.01991</v>
      </c>
      <c r="EA89" s="408">
        <v>0</v>
      </c>
      <c r="EB89" s="408">
        <v>0</v>
      </c>
      <c r="EC89" s="408">
        <v>-10042.440849582621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0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242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61" customFormat="1">
      <c r="A90" s="408">
        <v>88</v>
      </c>
      <c r="B90" s="408" t="s">
        <v>2233</v>
      </c>
      <c r="C90" s="408" t="s">
        <v>2231</v>
      </c>
      <c r="D90" s="408" t="s">
        <v>2241</v>
      </c>
      <c r="E90" s="408" t="s">
        <v>974</v>
      </c>
      <c r="F90" s="408" t="s">
        <v>2248</v>
      </c>
      <c r="G90" s="408" t="s">
        <v>2249</v>
      </c>
      <c r="H90" s="408" t="s">
        <v>1322</v>
      </c>
      <c r="I90" s="408" t="s">
        <v>1322</v>
      </c>
      <c r="J90" s="408" t="s">
        <v>2232</v>
      </c>
      <c r="K90" s="828">
        <v>44409</v>
      </c>
      <c r="L90" s="408">
        <v>0</v>
      </c>
      <c r="M90" s="408">
        <v>0</v>
      </c>
      <c r="N90" s="408">
        <v>-3.2160000000000002</v>
      </c>
      <c r="O90" s="408">
        <v>-3.2160000000000002</v>
      </c>
      <c r="P90" s="408">
        <v>-3.2160000000000002</v>
      </c>
      <c r="Q90" s="408">
        <v>-3.2160000000000002</v>
      </c>
      <c r="R90" s="408"/>
      <c r="S90" s="408">
        <v>571.87</v>
      </c>
      <c r="T90" s="408">
        <v>216.76</v>
      </c>
      <c r="U90" s="408"/>
      <c r="V90" s="408">
        <v>-2536.2340800000002</v>
      </c>
      <c r="W90" s="408">
        <v>-2536.2340800000002</v>
      </c>
      <c r="X90" s="408">
        <v>-1653.0561600000001</v>
      </c>
      <c r="Y90" s="408">
        <v>0</v>
      </c>
      <c r="Z90" s="408">
        <v>-194.9237444136304</v>
      </c>
      <c r="AA90" s="408">
        <v>0</v>
      </c>
      <c r="AB90" s="408">
        <v>0</v>
      </c>
      <c r="AC90" s="408">
        <v>0</v>
      </c>
      <c r="AD90" s="408">
        <v>-2.6432744576181526</v>
      </c>
      <c r="AE90" s="408">
        <v>-1371.2498788184903</v>
      </c>
      <c r="AF90" s="408">
        <v>-686.94242664881347</v>
      </c>
      <c r="AG90" s="408">
        <v>-10.154213632430791</v>
      </c>
      <c r="AH90" s="408">
        <v>0</v>
      </c>
      <c r="AI90" s="408">
        <v>0</v>
      </c>
      <c r="AJ90" s="408">
        <v>0</v>
      </c>
      <c r="AK90" s="408">
        <v>0</v>
      </c>
      <c r="AL90" s="408">
        <v>-30.145605845960379</v>
      </c>
      <c r="AM90" s="408"/>
      <c r="AN90" s="408">
        <v>-6.1697980925948981</v>
      </c>
      <c r="AO90" s="408">
        <v>-28.563539961114731</v>
      </c>
      <c r="AP90" s="408">
        <v>-89.491970049732586</v>
      </c>
      <c r="AQ90" s="408">
        <v>0</v>
      </c>
      <c r="AR90" s="408">
        <v>0</v>
      </c>
      <c r="AS90" s="408">
        <v>0</v>
      </c>
      <c r="AT90" s="408">
        <v>0</v>
      </c>
      <c r="AU90" s="408">
        <v>0</v>
      </c>
      <c r="AV90" s="408">
        <v>0</v>
      </c>
      <c r="AW90" s="408">
        <v>0</v>
      </c>
      <c r="AX90" s="408">
        <v>0</v>
      </c>
      <c r="AY90" s="408">
        <v>0</v>
      </c>
      <c r="AZ90" s="408">
        <v>0</v>
      </c>
      <c r="BA90" s="408"/>
      <c r="BB90" s="408">
        <v>0</v>
      </c>
      <c r="BC90" s="408">
        <v>0</v>
      </c>
      <c r="BD90" s="408">
        <v>-1.9137439039705504</v>
      </c>
      <c r="BE90" s="408">
        <v>0</v>
      </c>
      <c r="BF90" s="408">
        <v>0</v>
      </c>
      <c r="BG90" s="408">
        <v>-114.03369169228426</v>
      </c>
      <c r="BH90" s="408">
        <v>0</v>
      </c>
      <c r="BI90" s="408">
        <v>0</v>
      </c>
      <c r="BJ90" s="408">
        <v>0</v>
      </c>
      <c r="BK90" s="408">
        <v>0</v>
      </c>
      <c r="BL90" s="408">
        <v>0</v>
      </c>
      <c r="BM90" s="408"/>
      <c r="BN90" s="408"/>
      <c r="BO90" s="408"/>
      <c r="BP90" s="408"/>
      <c r="BQ90" s="408"/>
      <c r="BR90" s="408">
        <v>-198.36287999999996</v>
      </c>
      <c r="BS90" s="408"/>
      <c r="BT90" s="408"/>
      <c r="BU90" s="408"/>
      <c r="BV90" s="408">
        <v>-802.88986224506823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-1456.5026000000003</v>
      </c>
      <c r="CJ90" s="408">
        <v>775.37139999999954</v>
      </c>
      <c r="CK90" s="408"/>
      <c r="CL90" s="408"/>
      <c r="CM90" s="408"/>
      <c r="CN90" s="408"/>
      <c r="CO90" s="408">
        <v>988.1160000000001</v>
      </c>
      <c r="CP90" s="408">
        <v>-104.93807999999999</v>
      </c>
      <c r="CQ90" s="408">
        <v>31</v>
      </c>
      <c r="CR90" s="408">
        <v>-124.29938360235974</v>
      </c>
      <c r="CS90" s="408">
        <v>-2.9463726828362553</v>
      </c>
      <c r="CT90" s="408">
        <v>-9.2312331120963336</v>
      </c>
      <c r="CU90" s="408">
        <v>0</v>
      </c>
      <c r="CV90" s="408">
        <v>0</v>
      </c>
      <c r="CW90" s="408">
        <v>0</v>
      </c>
      <c r="CX90" s="408">
        <v>0</v>
      </c>
      <c r="CY90" s="408">
        <v>0</v>
      </c>
      <c r="CZ90" s="408">
        <v>-0.25844631717922306</v>
      </c>
      <c r="DA90" s="408">
        <v>0</v>
      </c>
      <c r="DB90" s="408">
        <v>0</v>
      </c>
      <c r="DC90" s="408">
        <v>-104.95156637120294</v>
      </c>
      <c r="DD90" s="408">
        <v>0</v>
      </c>
      <c r="DE90" s="408">
        <v>0</v>
      </c>
      <c r="DF90" s="408">
        <v>-0.29238319335564023</v>
      </c>
      <c r="DG90" s="408">
        <v>-17.42215082067537</v>
      </c>
      <c r="DH90" s="408">
        <v>0</v>
      </c>
      <c r="DI90" s="408">
        <v>9.3129098655666951</v>
      </c>
      <c r="DJ90" s="408"/>
      <c r="DK90" s="408">
        <v>0</v>
      </c>
      <c r="DL90" s="408">
        <v>0</v>
      </c>
      <c r="DM90" s="408">
        <v>0</v>
      </c>
      <c r="DN90" s="408">
        <v>0</v>
      </c>
      <c r="DO90" s="408">
        <v>1.2215183110771513</v>
      </c>
      <c r="DP90" s="408">
        <v>0.26834071834213535</v>
      </c>
      <c r="DQ90" s="408">
        <v>0</v>
      </c>
      <c r="DR90" s="408">
        <v>0</v>
      </c>
      <c r="DS90" s="408"/>
      <c r="DT90" s="408"/>
      <c r="DU90" s="408"/>
      <c r="DV90" s="408">
        <v>-1371.2498788184903</v>
      </c>
      <c r="DW90" s="408">
        <v>0</v>
      </c>
      <c r="DX90" s="408">
        <v>0</v>
      </c>
      <c r="DY90" s="408">
        <v>988.1160000000001</v>
      </c>
      <c r="DZ90" s="234">
        <v>-104.93808000000001</v>
      </c>
      <c r="EA90" s="408">
        <v>0</v>
      </c>
      <c r="EB90" s="408">
        <v>0</v>
      </c>
      <c r="EC90" s="408">
        <v>1007.4707481129769</v>
      </c>
      <c r="ED90" s="408">
        <v>0</v>
      </c>
      <c r="EE90" s="408">
        <v>0</v>
      </c>
      <c r="EF90" s="408">
        <v>0</v>
      </c>
      <c r="EG90" s="408">
        <v>0</v>
      </c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>
        <v>0</v>
      </c>
      <c r="EN90" s="408">
        <v>0</v>
      </c>
      <c r="EO90" s="408">
        <v>0</v>
      </c>
      <c r="EP90" s="408">
        <v>0</v>
      </c>
      <c r="EQ90" s="408">
        <v>0</v>
      </c>
      <c r="ER90" s="408">
        <v>0</v>
      </c>
      <c r="ES90" s="408">
        <v>0</v>
      </c>
      <c r="ET90" s="408">
        <v>0</v>
      </c>
      <c r="EU90" s="408">
        <v>0</v>
      </c>
      <c r="EV90" s="408">
        <v>242</v>
      </c>
      <c r="EW90" s="408">
        <v>0</v>
      </c>
      <c r="EX90" s="408">
        <v>0</v>
      </c>
      <c r="EY90" s="408">
        <v>0</v>
      </c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61" customFormat="1">
      <c r="A91" s="408">
        <v>89</v>
      </c>
      <c r="B91" s="408" t="s">
        <v>2234</v>
      </c>
      <c r="C91" s="408" t="s">
        <v>2231</v>
      </c>
      <c r="D91" s="408" t="s">
        <v>2241</v>
      </c>
      <c r="E91" s="408" t="s">
        <v>974</v>
      </c>
      <c r="F91" s="408" t="s">
        <v>2248</v>
      </c>
      <c r="G91" s="408" t="s">
        <v>2249</v>
      </c>
      <c r="H91" s="408" t="s">
        <v>1322</v>
      </c>
      <c r="I91" s="408" t="s">
        <v>1322</v>
      </c>
      <c r="J91" s="408" t="s">
        <v>2232</v>
      </c>
      <c r="K91" s="828">
        <v>44409</v>
      </c>
      <c r="L91" s="408">
        <v>0</v>
      </c>
      <c r="M91" s="408">
        <v>0</v>
      </c>
      <c r="N91" s="408">
        <v>0.34699999999999998</v>
      </c>
      <c r="O91" s="408">
        <v>0.34699999999999998</v>
      </c>
      <c r="P91" s="408">
        <v>0.34699999999999998</v>
      </c>
      <c r="Q91" s="408">
        <v>0.34699999999999998</v>
      </c>
      <c r="R91" s="408"/>
      <c r="S91" s="408">
        <v>571.87</v>
      </c>
      <c r="T91" s="408">
        <v>216.76</v>
      </c>
      <c r="U91" s="408"/>
      <c r="V91" s="408">
        <v>273.65460999999999</v>
      </c>
      <c r="W91" s="408">
        <v>273.65460999999999</v>
      </c>
      <c r="X91" s="408">
        <v>178.36147</v>
      </c>
      <c r="Y91" s="408">
        <v>0</v>
      </c>
      <c r="Z91" s="408">
        <v>21.031884114281635</v>
      </c>
      <c r="AA91" s="408">
        <v>0</v>
      </c>
      <c r="AB91" s="408">
        <v>0</v>
      </c>
      <c r="AC91" s="408">
        <v>0</v>
      </c>
      <c r="AD91" s="408">
        <v>0.28520405372932178</v>
      </c>
      <c r="AE91" s="408">
        <v>147.95513306903484</v>
      </c>
      <c r="AF91" s="408">
        <v>74.11972078580169</v>
      </c>
      <c r="AG91" s="408">
        <v>1.0956194435489688</v>
      </c>
      <c r="AH91" s="408">
        <v>0</v>
      </c>
      <c r="AI91" s="408">
        <v>0</v>
      </c>
      <c r="AJ91" s="408">
        <v>0</v>
      </c>
      <c r="AK91" s="408">
        <v>0</v>
      </c>
      <c r="AL91" s="408">
        <v>3.2526508795237099</v>
      </c>
      <c r="AM91" s="408"/>
      <c r="AN91" s="408">
        <v>0.66570893598583003</v>
      </c>
      <c r="AO91" s="408">
        <v>3.081949118938685</v>
      </c>
      <c r="AP91" s="408">
        <v>9.6560054748934085</v>
      </c>
      <c r="AQ91" s="408">
        <v>0</v>
      </c>
      <c r="AR91" s="408">
        <v>0</v>
      </c>
      <c r="AS91" s="408">
        <v>0</v>
      </c>
      <c r="AT91" s="408">
        <v>0</v>
      </c>
      <c r="AU91" s="408">
        <v>0</v>
      </c>
      <c r="AV91" s="408">
        <v>0</v>
      </c>
      <c r="AW91" s="408">
        <v>0</v>
      </c>
      <c r="AX91" s="408">
        <v>0</v>
      </c>
      <c r="AY91" s="408">
        <v>0</v>
      </c>
      <c r="AZ91" s="408">
        <v>0</v>
      </c>
      <c r="BA91" s="408"/>
      <c r="BB91" s="408">
        <v>0</v>
      </c>
      <c r="BC91" s="408">
        <v>0</v>
      </c>
      <c r="BD91" s="408">
        <v>0.20648915879284233</v>
      </c>
      <c r="BE91" s="408">
        <v>0</v>
      </c>
      <c r="BF91" s="408">
        <v>0</v>
      </c>
      <c r="BG91" s="408">
        <v>12.304008400877684</v>
      </c>
      <c r="BH91" s="408">
        <v>0</v>
      </c>
      <c r="BI91" s="408">
        <v>0</v>
      </c>
      <c r="BJ91" s="408">
        <v>0</v>
      </c>
      <c r="BK91" s="408">
        <v>0</v>
      </c>
      <c r="BL91" s="408">
        <v>0</v>
      </c>
      <c r="BM91" s="408"/>
      <c r="BN91" s="408"/>
      <c r="BO91" s="408"/>
      <c r="BP91" s="408"/>
      <c r="BQ91" s="408"/>
      <c r="BR91" s="408">
        <v>21.40295999999999</v>
      </c>
      <c r="BS91" s="408"/>
      <c r="BT91" s="408"/>
      <c r="BU91" s="408"/>
      <c r="BV91" s="408">
        <v>86.63021834547223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158.31549999999999</v>
      </c>
      <c r="CJ91" s="408">
        <v>-82.53249999999997</v>
      </c>
      <c r="CK91" s="408"/>
      <c r="CL91" s="408"/>
      <c r="CM91" s="408"/>
      <c r="CN91" s="408"/>
      <c r="CO91" s="408">
        <v>-106.61574999999999</v>
      </c>
      <c r="CP91" s="408">
        <v>11.322609999999997</v>
      </c>
      <c r="CQ91" s="408">
        <v>31</v>
      </c>
      <c r="CR91" s="408">
        <v>13.411656128737192</v>
      </c>
      <c r="CS91" s="408">
        <v>0.31790774904980745</v>
      </c>
      <c r="CT91" s="408">
        <v>0.99603168218203564</v>
      </c>
      <c r="CU91" s="408">
        <v>0</v>
      </c>
      <c r="CV91" s="408">
        <v>0</v>
      </c>
      <c r="CW91" s="408">
        <v>0</v>
      </c>
      <c r="CX91" s="408">
        <v>0</v>
      </c>
      <c r="CY91" s="408">
        <v>0</v>
      </c>
      <c r="CZ91" s="408">
        <v>2.7885843302608959E-2</v>
      </c>
      <c r="DA91" s="408">
        <v>0</v>
      </c>
      <c r="DB91" s="408">
        <v>0</v>
      </c>
      <c r="DC91" s="408">
        <v>11.324065152614239</v>
      </c>
      <c r="DD91" s="408">
        <v>0</v>
      </c>
      <c r="DE91" s="408">
        <v>0</v>
      </c>
      <c r="DF91" s="408">
        <v>3.1547564705972392E-2</v>
      </c>
      <c r="DG91" s="408">
        <v>1.8798154026039651</v>
      </c>
      <c r="DH91" s="408">
        <v>0</v>
      </c>
      <c r="DI91" s="408">
        <v>-1.0048444413406834</v>
      </c>
      <c r="DJ91" s="408"/>
      <c r="DK91" s="408">
        <v>0</v>
      </c>
      <c r="DL91" s="408">
        <v>0</v>
      </c>
      <c r="DM91" s="408">
        <v>0</v>
      </c>
      <c r="DN91" s="408">
        <v>0</v>
      </c>
      <c r="DO91" s="408">
        <v>-0.13179939488301384</v>
      </c>
      <c r="DP91" s="408">
        <v>-2.8953429497736605E-2</v>
      </c>
      <c r="DQ91" s="408">
        <v>0</v>
      </c>
      <c r="DR91" s="408">
        <v>0</v>
      </c>
      <c r="DS91" s="408"/>
      <c r="DT91" s="408"/>
      <c r="DU91" s="408"/>
      <c r="DV91" s="408">
        <v>147.95513306903484</v>
      </c>
      <c r="DW91" s="408">
        <v>0</v>
      </c>
      <c r="DX91" s="408">
        <v>0</v>
      </c>
      <c r="DY91" s="408">
        <v>-106.61574999999999</v>
      </c>
      <c r="DZ91" s="234">
        <v>11.322609999999997</v>
      </c>
      <c r="EA91" s="408">
        <v>0</v>
      </c>
      <c r="EB91" s="408">
        <v>0</v>
      </c>
      <c r="EC91" s="408">
        <v>-108.70408880447854</v>
      </c>
      <c r="ED91" s="408">
        <v>0</v>
      </c>
      <c r="EE91" s="408">
        <v>0</v>
      </c>
      <c r="EF91" s="408">
        <v>0</v>
      </c>
      <c r="EG91" s="408">
        <v>0</v>
      </c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>
        <v>0</v>
      </c>
      <c r="EN91" s="408">
        <v>0</v>
      </c>
      <c r="EO91" s="408">
        <v>0</v>
      </c>
      <c r="EP91" s="408">
        <v>0</v>
      </c>
      <c r="EQ91" s="408">
        <v>0</v>
      </c>
      <c r="ER91" s="408">
        <v>0</v>
      </c>
      <c r="ES91" s="408">
        <v>0</v>
      </c>
      <c r="ET91" s="408">
        <v>0</v>
      </c>
      <c r="EU91" s="408">
        <v>0</v>
      </c>
      <c r="EV91" s="408">
        <v>242</v>
      </c>
      <c r="EW91" s="408">
        <v>0</v>
      </c>
      <c r="EX91" s="408">
        <v>0</v>
      </c>
      <c r="EY91" s="408">
        <v>0</v>
      </c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61" customFormat="1">
      <c r="A92" s="408">
        <v>90</v>
      </c>
      <c r="B92" s="408" t="s">
        <v>2234</v>
      </c>
      <c r="C92" s="408" t="s">
        <v>2231</v>
      </c>
      <c r="D92" s="408" t="s">
        <v>2241</v>
      </c>
      <c r="E92" s="408" t="s">
        <v>974</v>
      </c>
      <c r="F92" s="408" t="s">
        <v>2248</v>
      </c>
      <c r="G92" s="408" t="s">
        <v>2249</v>
      </c>
      <c r="H92" s="408" t="s">
        <v>1322</v>
      </c>
      <c r="I92" s="408" t="s">
        <v>1322</v>
      </c>
      <c r="J92" s="408" t="s">
        <v>2232</v>
      </c>
      <c r="K92" s="828">
        <v>44409</v>
      </c>
      <c r="L92" s="408">
        <v>0</v>
      </c>
      <c r="M92" s="408">
        <v>0</v>
      </c>
      <c r="N92" s="408">
        <v>-0.62</v>
      </c>
      <c r="O92" s="408">
        <v>-0.62</v>
      </c>
      <c r="P92" s="408">
        <v>-0.62</v>
      </c>
      <c r="Q92" s="408">
        <v>-0.62</v>
      </c>
      <c r="R92" s="408"/>
      <c r="S92" s="408">
        <v>571.87</v>
      </c>
      <c r="T92" s="408">
        <v>216.76</v>
      </c>
      <c r="U92" s="408"/>
      <c r="V92" s="408">
        <v>-488.95060000000001</v>
      </c>
      <c r="W92" s="408">
        <v>-488.95060000000001</v>
      </c>
      <c r="X92" s="408">
        <v>-318.68619999999999</v>
      </c>
      <c r="Y92" s="408">
        <v>0</v>
      </c>
      <c r="Z92" s="408">
        <v>-37.578582567304366</v>
      </c>
      <c r="AA92" s="408">
        <v>0</v>
      </c>
      <c r="AB92" s="408">
        <v>0</v>
      </c>
      <c r="AC92" s="408">
        <v>0</v>
      </c>
      <c r="AD92" s="408">
        <v>-0.50958649369504183</v>
      </c>
      <c r="AE92" s="408">
        <v>-264.35787464784329</v>
      </c>
      <c r="AF92" s="408">
        <v>-132.43293051065433</v>
      </c>
      <c r="AG92" s="408">
        <v>-1.9575909366004631</v>
      </c>
      <c r="AH92" s="408">
        <v>0</v>
      </c>
      <c r="AI92" s="408">
        <v>0</v>
      </c>
      <c r="AJ92" s="408">
        <v>0</v>
      </c>
      <c r="AK92" s="408">
        <v>0</v>
      </c>
      <c r="AL92" s="408">
        <v>-5.8116528683132573</v>
      </c>
      <c r="AM92" s="408"/>
      <c r="AN92" s="408">
        <v>-1.1894511248161805</v>
      </c>
      <c r="AO92" s="408">
        <v>-5.5066526044437607</v>
      </c>
      <c r="AP92" s="408">
        <v>-17.252805171279292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-0.36894316556646178</v>
      </c>
      <c r="BE92" s="408">
        <v>0</v>
      </c>
      <c r="BF92" s="408">
        <v>0</v>
      </c>
      <c r="BG92" s="408">
        <v>-21.984107229233903</v>
      </c>
      <c r="BH92" s="408">
        <v>0</v>
      </c>
      <c r="BI92" s="408">
        <v>0</v>
      </c>
      <c r="BJ92" s="408">
        <v>0</v>
      </c>
      <c r="BK92" s="408">
        <v>0</v>
      </c>
      <c r="BL92" s="408">
        <v>0</v>
      </c>
      <c r="BM92" s="408"/>
      <c r="BN92" s="408"/>
      <c r="BO92" s="408"/>
      <c r="BP92" s="408"/>
      <c r="BQ92" s="408"/>
      <c r="BR92" s="408">
        <v>-38.241599999999991</v>
      </c>
      <c r="BS92" s="408"/>
      <c r="BT92" s="408"/>
      <c r="BU92" s="408"/>
      <c r="BV92" s="408">
        <v>-154.78598090545469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-280.44460000000004</v>
      </c>
      <c r="CJ92" s="408">
        <v>149.80539999999996</v>
      </c>
      <c r="CK92" s="408"/>
      <c r="CL92" s="408"/>
      <c r="CM92" s="408"/>
      <c r="CN92" s="408"/>
      <c r="CO92" s="408">
        <v>190.495</v>
      </c>
      <c r="CP92" s="408">
        <v>-20.230599999999995</v>
      </c>
      <c r="CQ92" s="408">
        <v>31</v>
      </c>
      <c r="CR92" s="408">
        <v>-23.96318962483312</v>
      </c>
      <c r="CS92" s="408">
        <v>-0.56801960925325812</v>
      </c>
      <c r="CT92" s="408">
        <v>-1.7796531497200618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-4.9824849704949714E-2</v>
      </c>
      <c r="DA92" s="408">
        <v>0</v>
      </c>
      <c r="DB92" s="408">
        <v>0</v>
      </c>
      <c r="DC92" s="408">
        <v>-20.233199984498071</v>
      </c>
      <c r="DD92" s="408">
        <v>0</v>
      </c>
      <c r="DE92" s="408">
        <v>0</v>
      </c>
      <c r="DF92" s="408">
        <v>-5.6367406679259047E-2</v>
      </c>
      <c r="DG92" s="408">
        <v>-3.3587479815978654</v>
      </c>
      <c r="DH92" s="408">
        <v>0</v>
      </c>
      <c r="DI92" s="408">
        <v>1.7953992900035303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0.23549171420019732</v>
      </c>
      <c r="DP92" s="408">
        <v>5.1732352416705041E-2</v>
      </c>
      <c r="DQ92" s="408">
        <v>0</v>
      </c>
      <c r="DR92" s="408">
        <v>0</v>
      </c>
      <c r="DS92" s="408"/>
      <c r="DT92" s="408"/>
      <c r="DU92" s="408"/>
      <c r="DV92" s="408">
        <v>-264.35787464784329</v>
      </c>
      <c r="DW92" s="408">
        <v>0</v>
      </c>
      <c r="DX92" s="408">
        <v>0</v>
      </c>
      <c r="DY92" s="408">
        <v>190.49499999999998</v>
      </c>
      <c r="DZ92" s="234">
        <v>-20.230599999999981</v>
      </c>
      <c r="EA92" s="408">
        <v>0</v>
      </c>
      <c r="EB92" s="408">
        <v>0</v>
      </c>
      <c r="EC92" s="408">
        <v>194.22632581780033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242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61" customFormat="1">
      <c r="A93" s="408">
        <v>91</v>
      </c>
      <c r="B93" s="408" t="s">
        <v>1036</v>
      </c>
      <c r="C93" s="408" t="s">
        <v>2231</v>
      </c>
      <c r="D93" s="408" t="s">
        <v>2241</v>
      </c>
      <c r="E93" s="408" t="s">
        <v>974</v>
      </c>
      <c r="F93" s="408" t="s">
        <v>2248</v>
      </c>
      <c r="G93" s="408" t="s">
        <v>2250</v>
      </c>
      <c r="H93" s="408" t="s">
        <v>1322</v>
      </c>
      <c r="I93" s="408" t="s">
        <v>1322</v>
      </c>
      <c r="J93" s="408" t="s">
        <v>2232</v>
      </c>
      <c r="K93" s="828">
        <v>44409</v>
      </c>
      <c r="L93" s="408">
        <v>0</v>
      </c>
      <c r="M93" s="408">
        <v>0</v>
      </c>
      <c r="N93" s="408">
        <v>11.932</v>
      </c>
      <c r="O93" s="408">
        <v>4.7728000000000002</v>
      </c>
      <c r="P93" s="408">
        <v>11.932</v>
      </c>
      <c r="Q93" s="408">
        <v>4.7728000000000002</v>
      </c>
      <c r="R93" s="408"/>
      <c r="S93" s="408">
        <v>571.87</v>
      </c>
      <c r="T93" s="408">
        <v>216.76</v>
      </c>
      <c r="U93" s="408"/>
      <c r="V93" s="408">
        <v>9409.9331600000005</v>
      </c>
      <c r="W93" s="408">
        <v>9409.9331600000005</v>
      </c>
      <c r="X93" s="408">
        <v>6133.1673200000005</v>
      </c>
      <c r="Y93" s="408">
        <v>0</v>
      </c>
      <c r="Z93" s="408">
        <v>723.20588256947701</v>
      </c>
      <c r="AA93" s="408">
        <v>0</v>
      </c>
      <c r="AB93" s="408">
        <v>0</v>
      </c>
      <c r="AC93" s="408">
        <v>0</v>
      </c>
      <c r="AD93" s="408">
        <v>9.8070742625310316</v>
      </c>
      <c r="AE93" s="408">
        <v>5087.6099359646223</v>
      </c>
      <c r="AF93" s="408">
        <v>2548.6931078276248</v>
      </c>
      <c r="AG93" s="408">
        <v>37.674153315349564</v>
      </c>
      <c r="AH93" s="408">
        <v>0</v>
      </c>
      <c r="AI93" s="408">
        <v>0</v>
      </c>
      <c r="AJ93" s="408">
        <v>0</v>
      </c>
      <c r="AK93" s="408">
        <v>0</v>
      </c>
      <c r="AL93" s="408">
        <v>111.84619681405449</v>
      </c>
      <c r="AM93" s="408"/>
      <c r="AN93" s="408">
        <v>22.89117874404301</v>
      </c>
      <c r="AO93" s="408">
        <v>105.97641754229508</v>
      </c>
      <c r="AP93" s="408">
        <v>332.03301823178145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7.1003707282887456</v>
      </c>
      <c r="BE93" s="408">
        <v>0</v>
      </c>
      <c r="BF93" s="408">
        <v>0</v>
      </c>
      <c r="BG93" s="408">
        <v>423.08768945035314</v>
      </c>
      <c r="BH93" s="408">
        <v>0</v>
      </c>
      <c r="BI93" s="408">
        <v>0</v>
      </c>
      <c r="BJ93" s="408">
        <v>0</v>
      </c>
      <c r="BK93" s="408">
        <v>0</v>
      </c>
      <c r="BL93" s="408">
        <v>0</v>
      </c>
      <c r="BM93" s="408"/>
      <c r="BN93" s="408"/>
      <c r="BO93" s="408"/>
      <c r="BP93" s="408"/>
      <c r="BQ93" s="408"/>
      <c r="BR93" s="408"/>
      <c r="BS93" s="408">
        <v>3974.2866960000001</v>
      </c>
      <c r="BT93" s="408"/>
      <c r="BU93" s="408"/>
      <c r="BV93" s="408">
        <v>2978.8811680062668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2157.6140999999998</v>
      </c>
      <c r="CJ93" s="408">
        <v>-1154.7391000000007</v>
      </c>
      <c r="CK93" s="408"/>
      <c r="CL93" s="408"/>
      <c r="CM93" s="408"/>
      <c r="CN93" s="408"/>
      <c r="CO93" s="408">
        <v>-3666.107</v>
      </c>
      <c r="CP93" s="408">
        <v>389.34115999999995</v>
      </c>
      <c r="CQ93" s="408">
        <v>31</v>
      </c>
      <c r="CR93" s="408">
        <v>461.17544936049762</v>
      </c>
      <c r="CS93" s="408">
        <v>10.931628996144966</v>
      </c>
      <c r="CT93" s="408">
        <v>34.249711907193216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0.95888726883783804</v>
      </c>
      <c r="DA93" s="408">
        <v>0</v>
      </c>
      <c r="DB93" s="408">
        <v>0</v>
      </c>
      <c r="DC93" s="408">
        <v>389.39119712101819</v>
      </c>
      <c r="DD93" s="408">
        <v>0</v>
      </c>
      <c r="DE93" s="408">
        <v>0</v>
      </c>
      <c r="DF93" s="408">
        <v>1.0847998330595461</v>
      </c>
      <c r="DG93" s="408">
        <v>64.63964663939629</v>
      </c>
      <c r="DH93" s="408">
        <v>0</v>
      </c>
      <c r="DI93" s="408">
        <v>-34.552748916648625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-4.5320760223173551</v>
      </c>
      <c r="DP93" s="408">
        <v>-0.99559746618729861</v>
      </c>
      <c r="DQ93" s="408">
        <v>0</v>
      </c>
      <c r="DR93" s="408">
        <v>0</v>
      </c>
      <c r="DS93" s="408"/>
      <c r="DT93" s="408"/>
      <c r="DU93" s="408"/>
      <c r="DV93" s="408">
        <v>5087.6099359646223</v>
      </c>
      <c r="DW93" s="408">
        <v>0</v>
      </c>
      <c r="DX93" s="408">
        <v>0</v>
      </c>
      <c r="DY93" s="408">
        <v>-3666.107</v>
      </c>
      <c r="DZ93" s="234">
        <v>389.3411600000004</v>
      </c>
      <c r="EA93" s="408">
        <v>0</v>
      </c>
      <c r="EB93" s="408">
        <v>0</v>
      </c>
      <c r="EC93" s="408">
        <v>-3737.916967190311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242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61" customFormat="1">
      <c r="A94" s="408">
        <v>92</v>
      </c>
      <c r="B94" s="408" t="s">
        <v>2233</v>
      </c>
      <c r="C94" s="408" t="s">
        <v>2231</v>
      </c>
      <c r="D94" s="408" t="s">
        <v>2241</v>
      </c>
      <c r="E94" s="408" t="s">
        <v>974</v>
      </c>
      <c r="F94" s="408" t="s">
        <v>2248</v>
      </c>
      <c r="G94" s="408" t="s">
        <v>2250</v>
      </c>
      <c r="H94" s="408" t="s">
        <v>1322</v>
      </c>
      <c r="I94" s="408" t="s">
        <v>1322</v>
      </c>
      <c r="J94" s="408" t="s">
        <v>2232</v>
      </c>
      <c r="K94" s="828">
        <v>44409</v>
      </c>
      <c r="L94" s="408">
        <v>0</v>
      </c>
      <c r="M94" s="408">
        <v>0</v>
      </c>
      <c r="N94" s="408">
        <v>-0.43099999999999999</v>
      </c>
      <c r="O94" s="408">
        <v>-0.1724</v>
      </c>
      <c r="P94" s="408">
        <v>-0.43099999999999999</v>
      </c>
      <c r="Q94" s="408">
        <v>-0.1724</v>
      </c>
      <c r="R94" s="408"/>
      <c r="S94" s="408">
        <v>571.87</v>
      </c>
      <c r="T94" s="408">
        <v>216.76</v>
      </c>
      <c r="U94" s="408"/>
      <c r="V94" s="408">
        <v>-339.89952999999997</v>
      </c>
      <c r="W94" s="408">
        <v>-339.89952999999997</v>
      </c>
      <c r="X94" s="408">
        <v>-221.53831</v>
      </c>
      <c r="Y94" s="408">
        <v>0</v>
      </c>
      <c r="Z94" s="408">
        <v>-26.12317594598094</v>
      </c>
      <c r="AA94" s="408">
        <v>0</v>
      </c>
      <c r="AB94" s="408">
        <v>0</v>
      </c>
      <c r="AC94" s="408">
        <v>0</v>
      </c>
      <c r="AD94" s="408">
        <v>-0.35424480448800488</v>
      </c>
      <c r="AE94" s="408">
        <v>-183.77136124712976</v>
      </c>
      <c r="AF94" s="408">
        <v>-92.062246854987109</v>
      </c>
      <c r="AG94" s="408">
        <v>-1.3608414414109671</v>
      </c>
      <c r="AH94" s="408">
        <v>0</v>
      </c>
      <c r="AI94" s="408">
        <v>0</v>
      </c>
      <c r="AJ94" s="408">
        <v>0</v>
      </c>
      <c r="AK94" s="408">
        <v>0</v>
      </c>
      <c r="AL94" s="408">
        <v>-4.0400361068435702</v>
      </c>
      <c r="AM94" s="408"/>
      <c r="AN94" s="408">
        <v>-0.826860378702861</v>
      </c>
      <c r="AO94" s="408">
        <v>-3.8280117298633236</v>
      </c>
      <c r="AP94" s="408">
        <v>-11.993482304550604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-0.25647500703087911</v>
      </c>
      <c r="BE94" s="408">
        <v>0</v>
      </c>
      <c r="BF94" s="408">
        <v>0</v>
      </c>
      <c r="BG94" s="408">
        <v>-15.282500348064215</v>
      </c>
      <c r="BH94" s="408">
        <v>0</v>
      </c>
      <c r="BI94" s="408">
        <v>0</v>
      </c>
      <c r="BJ94" s="408">
        <v>0</v>
      </c>
      <c r="BK94" s="408">
        <v>0</v>
      </c>
      <c r="BL94" s="408">
        <v>0</v>
      </c>
      <c r="BM94" s="408"/>
      <c r="BN94" s="408"/>
      <c r="BO94" s="408"/>
      <c r="BP94" s="408"/>
      <c r="BQ94" s="408"/>
      <c r="BR94" s="408"/>
      <c r="BS94" s="408">
        <v>-143.55661799999999</v>
      </c>
      <c r="BT94" s="408"/>
      <c r="BU94" s="408"/>
      <c r="BV94" s="408">
        <v>-107.60122221008221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-76.896100000000004</v>
      </c>
      <c r="CJ94" s="408">
        <v>42.719499999999982</v>
      </c>
      <c r="CK94" s="408"/>
      <c r="CL94" s="408"/>
      <c r="CM94" s="408"/>
      <c r="CN94" s="408"/>
      <c r="CO94" s="408">
        <v>132.42474999999999</v>
      </c>
      <c r="CP94" s="408">
        <v>-14.063529999999998</v>
      </c>
      <c r="CQ94" s="408">
        <v>31</v>
      </c>
      <c r="CR94" s="408">
        <v>-16.658281819843609</v>
      </c>
      <c r="CS94" s="408">
        <v>-0.39486524449702287</v>
      </c>
      <c r="CT94" s="408">
        <v>-1.2371459798860442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-3.4636306811021478E-2</v>
      </c>
      <c r="DA94" s="408">
        <v>0</v>
      </c>
      <c r="DB94" s="408">
        <v>0</v>
      </c>
      <c r="DC94" s="408">
        <v>-14.065337408578515</v>
      </c>
      <c r="DD94" s="408">
        <v>0</v>
      </c>
      <c r="DE94" s="408">
        <v>0</v>
      </c>
      <c r="DF94" s="408">
        <v>-3.9184439159291318E-2</v>
      </c>
      <c r="DG94" s="408">
        <v>-2.3348715807559337</v>
      </c>
      <c r="DH94" s="408">
        <v>0</v>
      </c>
      <c r="DI94" s="408">
        <v>1.2480920870830978</v>
      </c>
      <c r="DJ94" s="408"/>
      <c r="DK94" s="408">
        <v>0</v>
      </c>
      <c r="DL94" s="408">
        <v>0</v>
      </c>
      <c r="DM94" s="408">
        <v>0</v>
      </c>
      <c r="DN94" s="408">
        <v>0</v>
      </c>
      <c r="DO94" s="408">
        <v>0.16370472390368507</v>
      </c>
      <c r="DP94" s="408">
        <v>3.5962328857419235E-2</v>
      </c>
      <c r="DQ94" s="408">
        <v>0</v>
      </c>
      <c r="DR94" s="408">
        <v>0</v>
      </c>
      <c r="DS94" s="408"/>
      <c r="DT94" s="408"/>
      <c r="DU94" s="408"/>
      <c r="DV94" s="408">
        <v>-183.77136124712976</v>
      </c>
      <c r="DW94" s="408">
        <v>0</v>
      </c>
      <c r="DX94" s="408">
        <v>0</v>
      </c>
      <c r="DY94" s="408">
        <v>132.42474999999999</v>
      </c>
      <c r="DZ94" s="234">
        <v>-14.06353</v>
      </c>
      <c r="EA94" s="408">
        <v>0</v>
      </c>
      <c r="EB94" s="408">
        <v>0</v>
      </c>
      <c r="EC94" s="408">
        <v>135.01862327011602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242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61" customFormat="1">
      <c r="A95" s="408">
        <v>93</v>
      </c>
      <c r="B95" s="408" t="s">
        <v>2234</v>
      </c>
      <c r="C95" s="408" t="s">
        <v>2231</v>
      </c>
      <c r="D95" s="408" t="s">
        <v>2241</v>
      </c>
      <c r="E95" s="408" t="s">
        <v>974</v>
      </c>
      <c r="F95" s="408" t="s">
        <v>2248</v>
      </c>
      <c r="G95" s="408" t="s">
        <v>2250</v>
      </c>
      <c r="H95" s="408" t="s">
        <v>1322</v>
      </c>
      <c r="I95" s="408" t="s">
        <v>1322</v>
      </c>
      <c r="J95" s="408" t="s">
        <v>2232</v>
      </c>
      <c r="K95" s="828">
        <v>44409</v>
      </c>
      <c r="L95" s="408">
        <v>0</v>
      </c>
      <c r="M95" s="408">
        <v>0</v>
      </c>
      <c r="N95" s="408">
        <v>0.68899999999999995</v>
      </c>
      <c r="O95" s="408">
        <v>0.27560000000000001</v>
      </c>
      <c r="P95" s="408">
        <v>0.68899999999999995</v>
      </c>
      <c r="Q95" s="408">
        <v>0.27560000000000001</v>
      </c>
      <c r="R95" s="408"/>
      <c r="S95" s="408">
        <v>571.87</v>
      </c>
      <c r="T95" s="408">
        <v>216.76</v>
      </c>
      <c r="U95" s="408"/>
      <c r="V95" s="408">
        <v>543.36606999999992</v>
      </c>
      <c r="W95" s="408">
        <v>543.36606999999992</v>
      </c>
      <c r="X95" s="408">
        <v>354.15288999999996</v>
      </c>
      <c r="Y95" s="408">
        <v>0</v>
      </c>
      <c r="Z95" s="408">
        <v>41.760715143343077</v>
      </c>
      <c r="AA95" s="408">
        <v>0</v>
      </c>
      <c r="AB95" s="408">
        <v>0</v>
      </c>
      <c r="AC95" s="408">
        <v>0</v>
      </c>
      <c r="AD95" s="408">
        <v>0.56629853896110294</v>
      </c>
      <c r="AE95" s="408">
        <v>293.77834779413547</v>
      </c>
      <c r="AF95" s="408">
        <v>147.17143406748519</v>
      </c>
      <c r="AG95" s="408">
        <v>2.1754518634156761</v>
      </c>
      <c r="AH95" s="408">
        <v>0</v>
      </c>
      <c r="AI95" s="408">
        <v>0</v>
      </c>
      <c r="AJ95" s="408">
        <v>0</v>
      </c>
      <c r="AK95" s="408">
        <v>0</v>
      </c>
      <c r="AL95" s="408">
        <v>6.4584335907545709</v>
      </c>
      <c r="AM95" s="408"/>
      <c r="AN95" s="408">
        <v>1.3218255241908845</v>
      </c>
      <c r="AO95" s="408">
        <v>6.1194897491318558</v>
      </c>
      <c r="AP95" s="408">
        <v>19.172875424211984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0.41000296947627768</v>
      </c>
      <c r="BE95" s="408">
        <v>0</v>
      </c>
      <c r="BF95" s="408">
        <v>0</v>
      </c>
      <c r="BG95" s="408">
        <v>24.430725614422837</v>
      </c>
      <c r="BH95" s="408">
        <v>0</v>
      </c>
      <c r="BI95" s="408">
        <v>0</v>
      </c>
      <c r="BJ95" s="408">
        <v>0</v>
      </c>
      <c r="BK95" s="408">
        <v>0</v>
      </c>
      <c r="BL95" s="408">
        <v>0</v>
      </c>
      <c r="BM95" s="408"/>
      <c r="BN95" s="408"/>
      <c r="BO95" s="408"/>
      <c r="BP95" s="408"/>
      <c r="BQ95" s="408"/>
      <c r="BR95" s="408"/>
      <c r="BS95" s="408">
        <v>229.49074199999995</v>
      </c>
      <c r="BT95" s="408"/>
      <c r="BU95" s="408"/>
      <c r="BV95" s="408">
        <v>172.0121626513843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126.65240000000003</v>
      </c>
      <c r="CJ95" s="408">
        <v>-64.643999999999977</v>
      </c>
      <c r="CK95" s="408"/>
      <c r="CL95" s="408"/>
      <c r="CM95" s="408"/>
      <c r="CN95" s="408"/>
      <c r="CO95" s="408">
        <v>-211.69524999999999</v>
      </c>
      <c r="CP95" s="408">
        <v>22.482069999999997</v>
      </c>
      <c r="CQ95" s="408">
        <v>31</v>
      </c>
      <c r="CR95" s="408">
        <v>26.630060728241943</v>
      </c>
      <c r="CS95" s="408">
        <v>0.63123469479918537</v>
      </c>
      <c r="CT95" s="408">
        <v>1.9777113228340717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5.5369873301145622E-2</v>
      </c>
      <c r="DA95" s="408">
        <v>0</v>
      </c>
      <c r="DB95" s="408">
        <v>0</v>
      </c>
      <c r="DC95" s="408">
        <v>22.484959337611571</v>
      </c>
      <c r="DD95" s="408">
        <v>0</v>
      </c>
      <c r="DE95" s="408">
        <v>0</v>
      </c>
      <c r="DF95" s="408">
        <v>6.2640553551628175E-2</v>
      </c>
      <c r="DG95" s="408">
        <v>3.7325441279369791</v>
      </c>
      <c r="DH95" s="408">
        <v>0</v>
      </c>
      <c r="DI95" s="408">
        <v>-1.9952098561490814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-0.26169966303860637</v>
      </c>
      <c r="DP95" s="408">
        <v>-5.7489662605015868E-2</v>
      </c>
      <c r="DQ95" s="408">
        <v>0</v>
      </c>
      <c r="DR95" s="408">
        <v>0</v>
      </c>
      <c r="DS95" s="408"/>
      <c r="DT95" s="408"/>
      <c r="DU95" s="408"/>
      <c r="DV95" s="408">
        <v>293.77834779413547</v>
      </c>
      <c r="DW95" s="408">
        <v>0</v>
      </c>
      <c r="DX95" s="408">
        <v>0</v>
      </c>
      <c r="DY95" s="408">
        <v>-211.69524999999999</v>
      </c>
      <c r="DZ95" s="234">
        <v>22.482069999999993</v>
      </c>
      <c r="EA95" s="408">
        <v>0</v>
      </c>
      <c r="EB95" s="408">
        <v>0</v>
      </c>
      <c r="EC95" s="408">
        <v>-215.84183627171674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242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61" customFormat="1">
      <c r="A96" s="408">
        <v>94</v>
      </c>
      <c r="B96" s="408" t="s">
        <v>2234</v>
      </c>
      <c r="C96" s="408" t="s">
        <v>2231</v>
      </c>
      <c r="D96" s="408" t="s">
        <v>2241</v>
      </c>
      <c r="E96" s="408" t="s">
        <v>974</v>
      </c>
      <c r="F96" s="408" t="s">
        <v>2248</v>
      </c>
      <c r="G96" s="408" t="s">
        <v>2250</v>
      </c>
      <c r="H96" s="408" t="s">
        <v>1322</v>
      </c>
      <c r="I96" s="408" t="s">
        <v>1322</v>
      </c>
      <c r="J96" s="408" t="s">
        <v>2232</v>
      </c>
      <c r="K96" s="828">
        <v>44409</v>
      </c>
      <c r="L96" s="408">
        <v>0</v>
      </c>
      <c r="M96" s="408">
        <v>0</v>
      </c>
      <c r="N96" s="408">
        <v>0.25900000000000001</v>
      </c>
      <c r="O96" s="408">
        <v>0.25900000000000001</v>
      </c>
      <c r="P96" s="408">
        <v>0.25900000000000001</v>
      </c>
      <c r="Q96" s="408">
        <v>0.25900000000000001</v>
      </c>
      <c r="R96" s="408"/>
      <c r="S96" s="408">
        <v>571.87</v>
      </c>
      <c r="T96" s="408">
        <v>216.76</v>
      </c>
      <c r="U96" s="408"/>
      <c r="V96" s="408">
        <v>204.25516999999999</v>
      </c>
      <c r="W96" s="408">
        <v>204.25516999999999</v>
      </c>
      <c r="X96" s="408">
        <v>133.12859</v>
      </c>
      <c r="Y96" s="408">
        <v>0</v>
      </c>
      <c r="Z96" s="408">
        <v>15.698149814406179</v>
      </c>
      <c r="AA96" s="408">
        <v>0</v>
      </c>
      <c r="AB96" s="408">
        <v>0</v>
      </c>
      <c r="AC96" s="408">
        <v>0</v>
      </c>
      <c r="AD96" s="408">
        <v>0.21287564817260618</v>
      </c>
      <c r="AE96" s="408">
        <v>110.43337021579259</v>
      </c>
      <c r="AF96" s="408">
        <v>55.322788713321728</v>
      </c>
      <c r="AG96" s="408">
        <v>0.81776782674116133</v>
      </c>
      <c r="AH96" s="408">
        <v>0</v>
      </c>
      <c r="AI96" s="408">
        <v>0</v>
      </c>
      <c r="AJ96" s="408">
        <v>0</v>
      </c>
      <c r="AK96" s="408">
        <v>0</v>
      </c>
      <c r="AL96" s="408">
        <v>2.4277711175695704</v>
      </c>
      <c r="AM96" s="408"/>
      <c r="AN96" s="408">
        <v>0.49688361504417866</v>
      </c>
      <c r="AO96" s="408">
        <v>2.3003597170176353</v>
      </c>
      <c r="AP96" s="408">
        <v>7.207220224776349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0.15412303206728001</v>
      </c>
      <c r="BE96" s="408">
        <v>0</v>
      </c>
      <c r="BF96" s="408">
        <v>0</v>
      </c>
      <c r="BG96" s="408">
        <v>9.1836835038251312</v>
      </c>
      <c r="BH96" s="408">
        <v>0</v>
      </c>
      <c r="BI96" s="408">
        <v>0</v>
      </c>
      <c r="BJ96" s="408">
        <v>0</v>
      </c>
      <c r="BK96" s="408">
        <v>0</v>
      </c>
      <c r="BL96" s="408">
        <v>0</v>
      </c>
      <c r="BM96" s="408"/>
      <c r="BN96" s="408"/>
      <c r="BO96" s="408"/>
      <c r="BP96" s="408"/>
      <c r="BQ96" s="408"/>
      <c r="BR96" s="408">
        <v>15.975119999999995</v>
      </c>
      <c r="BS96" s="408"/>
      <c r="BT96" s="408"/>
      <c r="BU96" s="408"/>
      <c r="BV96" s="408">
        <v>64.66059524921414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117.60580000000002</v>
      </c>
      <c r="CJ96" s="408">
        <v>-62.170199999999937</v>
      </c>
      <c r="CK96" s="408"/>
      <c r="CL96" s="408"/>
      <c r="CM96" s="408"/>
      <c r="CN96" s="408"/>
      <c r="CO96" s="408">
        <v>-79.577750000000009</v>
      </c>
      <c r="CP96" s="408">
        <v>8.4511699999999994</v>
      </c>
      <c r="CQ96" s="408">
        <v>31</v>
      </c>
      <c r="CR96" s="408">
        <v>10.010429214244738</v>
      </c>
      <c r="CS96" s="408">
        <v>0.23728561096224832</v>
      </c>
      <c r="CT96" s="408">
        <v>0.74343575125402683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2.0813929150938659E-2</v>
      </c>
      <c r="DA96" s="408">
        <v>0</v>
      </c>
      <c r="DB96" s="408">
        <v>0</v>
      </c>
      <c r="DC96" s="408">
        <v>8.4522561225564559</v>
      </c>
      <c r="DD96" s="408">
        <v>0</v>
      </c>
      <c r="DE96" s="408">
        <v>0</v>
      </c>
      <c r="DF96" s="408">
        <v>2.3547029564400163E-2</v>
      </c>
      <c r="DG96" s="408">
        <v>1.4030898826352374</v>
      </c>
      <c r="DH96" s="408">
        <v>0</v>
      </c>
      <c r="DI96" s="408">
        <v>-0.75001357437244209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-9.8374764480404941E-2</v>
      </c>
      <c r="DP96" s="408">
        <v>-2.161077302568809E-2</v>
      </c>
      <c r="DQ96" s="408">
        <v>0</v>
      </c>
      <c r="DR96" s="408">
        <v>0</v>
      </c>
      <c r="DS96" s="408"/>
      <c r="DT96" s="408"/>
      <c r="DU96" s="408"/>
      <c r="DV96" s="408">
        <v>110.43337021579259</v>
      </c>
      <c r="DW96" s="408">
        <v>0</v>
      </c>
      <c r="DX96" s="408">
        <v>0</v>
      </c>
      <c r="DY96" s="408">
        <v>-79.577749999999995</v>
      </c>
      <c r="DZ96" s="234">
        <v>8.4511700000000047</v>
      </c>
      <c r="EA96" s="408">
        <v>0</v>
      </c>
      <c r="EB96" s="408">
        <v>0</v>
      </c>
      <c r="EC96" s="408">
        <v>-81.136481269048829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242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61" customFormat="1">
      <c r="A97" s="408">
        <v>95</v>
      </c>
      <c r="B97" s="408" t="s">
        <v>1036</v>
      </c>
      <c r="C97" s="408" t="s">
        <v>2239</v>
      </c>
      <c r="D97" s="408" t="s">
        <v>597</v>
      </c>
      <c r="E97" s="408" t="s">
        <v>974</v>
      </c>
      <c r="F97" s="408" t="s">
        <v>2248</v>
      </c>
      <c r="G97" s="408" t="s">
        <v>1322</v>
      </c>
      <c r="H97" s="408" t="s">
        <v>1322</v>
      </c>
      <c r="I97" s="408" t="s">
        <v>973</v>
      </c>
      <c r="J97" s="408" t="s">
        <v>2232</v>
      </c>
      <c r="K97" s="828">
        <v>44409</v>
      </c>
      <c r="L97" s="408">
        <v>0</v>
      </c>
      <c r="M97" s="408">
        <v>0</v>
      </c>
      <c r="N97" s="408">
        <v>0.995</v>
      </c>
      <c r="O97" s="408">
        <v>0.95520000000000005</v>
      </c>
      <c r="P97" s="408">
        <v>0.995</v>
      </c>
      <c r="Q97" s="408">
        <v>0.95520000000000005</v>
      </c>
      <c r="R97" s="408"/>
      <c r="S97" s="408">
        <v>2592.54</v>
      </c>
      <c r="T97" s="408">
        <v>216.76</v>
      </c>
      <c r="U97" s="408"/>
      <c r="V97" s="408">
        <v>2795.2534999999998</v>
      </c>
      <c r="W97" s="408">
        <v>2795.2534999999998</v>
      </c>
      <c r="X97" s="408">
        <v>1175.2939999999999</v>
      </c>
      <c r="Y97" s="408">
        <v>0</v>
      </c>
      <c r="Z97" s="408">
        <v>52.467580644172628</v>
      </c>
      <c r="AA97" s="408">
        <v>0</v>
      </c>
      <c r="AB97" s="408">
        <v>0</v>
      </c>
      <c r="AC97" s="408">
        <v>0</v>
      </c>
      <c r="AD97" s="408">
        <v>5.0313520310313766</v>
      </c>
      <c r="AE97" s="408">
        <v>2279.4370468917605</v>
      </c>
      <c r="AF97" s="408">
        <v>212.53349331951782</v>
      </c>
      <c r="AG97" s="408">
        <v>3.1416177127700982</v>
      </c>
      <c r="AH97" s="408">
        <v>0</v>
      </c>
      <c r="AI97" s="408">
        <v>0</v>
      </c>
      <c r="AJ97" s="408">
        <v>0</v>
      </c>
      <c r="AK97" s="408">
        <v>0</v>
      </c>
      <c r="AL97" s="408">
        <v>9.3267654902769213</v>
      </c>
      <c r="AM97" s="408"/>
      <c r="AN97" s="408">
        <v>1.3663560855189427</v>
      </c>
      <c r="AO97" s="408">
        <v>44.889297183128441</v>
      </c>
      <c r="AP97" s="408">
        <v>170.34474498074417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0.45501220496268124</v>
      </c>
      <c r="BE97" s="408">
        <v>0</v>
      </c>
      <c r="BF97" s="408">
        <v>0</v>
      </c>
      <c r="BG97" s="408">
        <v>16.254476042919723</v>
      </c>
      <c r="BH97" s="408">
        <v>0</v>
      </c>
      <c r="BI97" s="408">
        <v>0</v>
      </c>
      <c r="BJ97" s="408">
        <v>0</v>
      </c>
      <c r="BK97" s="408">
        <v>0</v>
      </c>
      <c r="BL97" s="408">
        <v>0</v>
      </c>
      <c r="BM97" s="408"/>
      <c r="BN97" s="408"/>
      <c r="BO97" s="408"/>
      <c r="BP97" s="408"/>
      <c r="BQ97" s="408"/>
      <c r="BR97" s="408">
        <v>47.011759999999931</v>
      </c>
      <c r="BS97" s="408"/>
      <c r="BT97" s="408"/>
      <c r="BU97" s="408"/>
      <c r="BV97" s="408">
        <v>229.24298156740022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1133.9519999999998</v>
      </c>
      <c r="CJ97" s="408">
        <v>-1549.5213600000011</v>
      </c>
      <c r="CK97" s="408"/>
      <c r="CL97" s="408"/>
      <c r="CM97" s="408"/>
      <c r="CN97" s="408"/>
      <c r="CO97" s="408">
        <v>-1652.42635</v>
      </c>
      <c r="CP97" s="408">
        <v>32.466849999999994</v>
      </c>
      <c r="CQ97" s="408">
        <v>31</v>
      </c>
      <c r="CR97" s="408">
        <v>54.773464143116826</v>
      </c>
      <c r="CS97" s="408">
        <v>4.6303994236058017</v>
      </c>
      <c r="CT97" s="408">
        <v>17.57132008004649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0.49194074383936659</v>
      </c>
      <c r="DA97" s="408">
        <v>0</v>
      </c>
      <c r="DB97" s="408">
        <v>0</v>
      </c>
      <c r="DC97" s="408">
        <v>32.471022555767092</v>
      </c>
      <c r="DD97" s="408">
        <v>0</v>
      </c>
      <c r="DE97" s="408">
        <v>0</v>
      </c>
      <c r="DF97" s="408">
        <v>6.9517097468872135E-2</v>
      </c>
      <c r="DG97" s="408">
        <v>2.4833707383163137</v>
      </c>
      <c r="DH97" s="408">
        <v>0</v>
      </c>
      <c r="DI97" s="408">
        <v>-2.5067538635347049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-0.37792621875676957</v>
      </c>
      <c r="DP97" s="408">
        <v>-5.9426413635700781E-2</v>
      </c>
      <c r="DQ97" s="408">
        <v>0</v>
      </c>
      <c r="DR97" s="408">
        <v>0</v>
      </c>
      <c r="DS97" s="408"/>
      <c r="DT97" s="408"/>
      <c r="DU97" s="408"/>
      <c r="DV97" s="408">
        <v>2279.4370468917605</v>
      </c>
      <c r="DW97" s="408">
        <v>0</v>
      </c>
      <c r="DX97" s="408">
        <v>0</v>
      </c>
      <c r="DY97" s="408">
        <v>-1652.42635</v>
      </c>
      <c r="DZ97" s="234">
        <v>32.466849999999994</v>
      </c>
      <c r="EA97" s="408">
        <v>0</v>
      </c>
      <c r="EB97" s="408">
        <v>0</v>
      </c>
      <c r="EC97" s="408">
        <v>-1674.7247765572686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242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61" customFormat="1">
      <c r="A98" s="408">
        <v>96</v>
      </c>
      <c r="B98" s="408" t="s">
        <v>1036</v>
      </c>
      <c r="C98" s="408" t="s">
        <v>2239</v>
      </c>
      <c r="D98" s="408" t="s">
        <v>597</v>
      </c>
      <c r="E98" s="408" t="s">
        <v>974</v>
      </c>
      <c r="F98" s="408" t="s">
        <v>2248</v>
      </c>
      <c r="G98" s="408" t="s">
        <v>1322</v>
      </c>
      <c r="H98" s="408" t="s">
        <v>1322</v>
      </c>
      <c r="I98" s="408" t="s">
        <v>2240</v>
      </c>
      <c r="J98" s="408" t="s">
        <v>2232</v>
      </c>
      <c r="K98" s="828">
        <v>44409</v>
      </c>
      <c r="L98" s="408">
        <v>0</v>
      </c>
      <c r="M98" s="408">
        <v>0</v>
      </c>
      <c r="N98" s="408">
        <v>35.603999999999999</v>
      </c>
      <c r="O98" s="408">
        <v>34.179839999999999</v>
      </c>
      <c r="P98" s="408">
        <v>35.603999999999999</v>
      </c>
      <c r="Q98" s="408">
        <v>34.179839999999999</v>
      </c>
      <c r="R98" s="408"/>
      <c r="S98" s="408">
        <v>80.27</v>
      </c>
      <c r="T98" s="408">
        <v>216.76</v>
      </c>
      <c r="U98" s="408"/>
      <c r="V98" s="408">
        <v>10575.456119999999</v>
      </c>
      <c r="W98" s="408">
        <v>10575.456119999999</v>
      </c>
      <c r="X98" s="408">
        <v>11723.32908</v>
      </c>
      <c r="Y98" s="408">
        <v>0</v>
      </c>
      <c r="Z98" s="408">
        <v>1877.4429560352987</v>
      </c>
      <c r="AA98" s="408">
        <v>0</v>
      </c>
      <c r="AB98" s="408">
        <v>0</v>
      </c>
      <c r="AC98" s="408">
        <v>0</v>
      </c>
      <c r="AD98" s="408">
        <v>0</v>
      </c>
      <c r="AE98" s="408">
        <v>0</v>
      </c>
      <c r="AF98" s="408">
        <v>7605.0678353247358</v>
      </c>
      <c r="AG98" s="408">
        <v>112.41623823664983</v>
      </c>
      <c r="AH98" s="408">
        <v>0</v>
      </c>
      <c r="AI98" s="408">
        <v>0</v>
      </c>
      <c r="AJ98" s="408">
        <v>0</v>
      </c>
      <c r="AK98" s="408">
        <v>0</v>
      </c>
      <c r="AL98" s="408">
        <v>333.73885277971806</v>
      </c>
      <c r="AM98" s="408"/>
      <c r="AN98" s="408">
        <v>48.892203084237622</v>
      </c>
      <c r="AO98" s="408">
        <v>0</v>
      </c>
      <c r="AP98" s="408">
        <v>0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16.281662859790252</v>
      </c>
      <c r="BE98" s="408">
        <v>0</v>
      </c>
      <c r="BF98" s="408">
        <v>0</v>
      </c>
      <c r="BG98" s="408">
        <v>581.63252767046617</v>
      </c>
      <c r="BH98" s="408">
        <v>0</v>
      </c>
      <c r="BI98" s="408">
        <v>0</v>
      </c>
      <c r="BJ98" s="408">
        <v>0</v>
      </c>
      <c r="BK98" s="408">
        <v>0</v>
      </c>
      <c r="BL98" s="408">
        <v>0</v>
      </c>
      <c r="BM98" s="408"/>
      <c r="BN98" s="408"/>
      <c r="BO98" s="408"/>
      <c r="BP98" s="408"/>
      <c r="BQ98" s="408"/>
      <c r="BR98" s="408">
        <v>468.93316320000014</v>
      </c>
      <c r="BS98" s="408"/>
      <c r="BT98" s="408"/>
      <c r="BU98" s="408"/>
      <c r="BV98" s="408">
        <v>8202.9820258549917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11254.4486</v>
      </c>
      <c r="CJ98" s="408">
        <v>1101.9807247999997</v>
      </c>
      <c r="CK98" s="408"/>
      <c r="CL98" s="408"/>
      <c r="CM98" s="408"/>
      <c r="CN98" s="408"/>
      <c r="CO98" s="408">
        <v>-13.885560000000019</v>
      </c>
      <c r="CP98" s="408">
        <v>1161.7585199999999</v>
      </c>
      <c r="CQ98" s="408">
        <v>31</v>
      </c>
      <c r="CR98" s="408">
        <v>1147.9088823113907</v>
      </c>
      <c r="CS98" s="408">
        <v>0</v>
      </c>
      <c r="CT98" s="408">
        <v>0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0</v>
      </c>
      <c r="DA98" s="408">
        <v>0</v>
      </c>
      <c r="DB98" s="408">
        <v>0</v>
      </c>
      <c r="DC98" s="408">
        <v>1161.9078262065641</v>
      </c>
      <c r="DD98" s="408">
        <v>0</v>
      </c>
      <c r="DE98" s="408">
        <v>0</v>
      </c>
      <c r="DF98" s="408">
        <v>2.4875243600821371</v>
      </c>
      <c r="DG98" s="408">
        <v>88.8622429819236</v>
      </c>
      <c r="DH98" s="408">
        <v>0</v>
      </c>
      <c r="DI98" s="408">
        <v>-89.69895935405998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-13.52330160061905</v>
      </c>
      <c r="DP98" s="408">
        <v>-2.1264502824979772</v>
      </c>
      <c r="DQ98" s="408">
        <v>0</v>
      </c>
      <c r="DR98" s="408">
        <v>0</v>
      </c>
      <c r="DS98" s="408"/>
      <c r="DT98" s="408"/>
      <c r="DU98" s="408"/>
      <c r="DV98" s="408">
        <v>0</v>
      </c>
      <c r="DW98" s="408">
        <v>0</v>
      </c>
      <c r="DX98" s="408">
        <v>0</v>
      </c>
      <c r="DY98" s="408">
        <v>-13.885560000000169</v>
      </c>
      <c r="DZ98" s="234">
        <v>1161.7585200000003</v>
      </c>
      <c r="EA98" s="408">
        <v>0</v>
      </c>
      <c r="EB98" s="408">
        <v>0</v>
      </c>
      <c r="EC98" s="408">
        <v>0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242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61" customFormat="1">
      <c r="A99" s="408">
        <v>97</v>
      </c>
      <c r="B99" s="408" t="s">
        <v>1036</v>
      </c>
      <c r="C99" s="408" t="s">
        <v>2239</v>
      </c>
      <c r="D99" s="408" t="s">
        <v>597</v>
      </c>
      <c r="E99" s="408" t="s">
        <v>974</v>
      </c>
      <c r="F99" s="408" t="s">
        <v>2248</v>
      </c>
      <c r="G99" s="408" t="s">
        <v>1322</v>
      </c>
      <c r="H99" s="408" t="s">
        <v>1322</v>
      </c>
      <c r="I99" s="408" t="s">
        <v>1322</v>
      </c>
      <c r="J99" s="408" t="s">
        <v>2232</v>
      </c>
      <c r="K99" s="828">
        <v>44409</v>
      </c>
      <c r="L99" s="408">
        <v>1554</v>
      </c>
      <c r="M99" s="408">
        <v>1491.84</v>
      </c>
      <c r="N99" s="408">
        <v>0</v>
      </c>
      <c r="O99" s="408">
        <v>0</v>
      </c>
      <c r="P99" s="408">
        <v>0</v>
      </c>
      <c r="Q99" s="408">
        <v>0</v>
      </c>
      <c r="R99" s="408">
        <v>32.17</v>
      </c>
      <c r="S99" s="408"/>
      <c r="T99" s="408"/>
      <c r="U99" s="408">
        <v>49992.18</v>
      </c>
      <c r="V99" s="408"/>
      <c r="W99" s="408">
        <v>49992.18</v>
      </c>
      <c r="X99" s="408">
        <v>20093.22</v>
      </c>
      <c r="Y99" s="408">
        <v>0</v>
      </c>
      <c r="Z99" s="408">
        <v>0</v>
      </c>
      <c r="AA99" s="408">
        <v>0</v>
      </c>
      <c r="AB99" s="408">
        <v>0</v>
      </c>
      <c r="AC99" s="408">
        <v>0</v>
      </c>
      <c r="AD99" s="408">
        <v>155.26981385400197</v>
      </c>
      <c r="AE99" s="408">
        <v>41844.14685587812</v>
      </c>
      <c r="AF99" s="408"/>
      <c r="AG99" s="408"/>
      <c r="AH99" s="408"/>
      <c r="AI99" s="408">
        <v>0</v>
      </c>
      <c r="AJ99" s="408">
        <v>0</v>
      </c>
      <c r="AK99" s="408">
        <v>0</v>
      </c>
      <c r="AL99" s="408">
        <v>0</v>
      </c>
      <c r="AM99" s="408"/>
      <c r="AN99" s="408">
        <v>0</v>
      </c>
      <c r="AO99" s="408">
        <v>2741.9103993669364</v>
      </c>
      <c r="AP99" s="408">
        <v>5256.972467102587</v>
      </c>
      <c r="AQ99" s="408">
        <v>0</v>
      </c>
      <c r="AR99" s="408">
        <v>0</v>
      </c>
      <c r="AS99" s="408"/>
      <c r="AT99" s="408"/>
      <c r="AU99" s="408">
        <v>0</v>
      </c>
      <c r="AV99" s="408">
        <v>0</v>
      </c>
      <c r="AW99" s="408">
        <v>0</v>
      </c>
      <c r="AX99" s="408"/>
      <c r="AY99" s="408"/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/>
      <c r="BG99" s="408">
        <v>0</v>
      </c>
      <c r="BH99" s="408">
        <v>0</v>
      </c>
      <c r="BI99" s="408">
        <v>118.36</v>
      </c>
      <c r="BJ99" s="408">
        <v>542.91999999999996</v>
      </c>
      <c r="BK99" s="408">
        <v>70.64</v>
      </c>
      <c r="BL99" s="408">
        <v>12</v>
      </c>
      <c r="BM99" s="408"/>
      <c r="BN99" s="408"/>
      <c r="BO99" s="408"/>
      <c r="BP99" s="408"/>
      <c r="BQ99" s="408"/>
      <c r="BR99" s="408">
        <v>803.728800000001</v>
      </c>
      <c r="BS99" s="408"/>
      <c r="BT99" s="408"/>
      <c r="BU99" s="408"/>
      <c r="BV99" s="408">
        <v>0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19289.491199999997</v>
      </c>
      <c r="CJ99" s="408">
        <v>-28703.031600000009</v>
      </c>
      <c r="CK99" s="408"/>
      <c r="CL99" s="408"/>
      <c r="CM99" s="408"/>
      <c r="CN99" s="408"/>
      <c r="CO99" s="408">
        <v>-29898.960000000003</v>
      </c>
      <c r="CP99" s="408">
        <v>0</v>
      </c>
      <c r="CQ99" s="408">
        <v>31</v>
      </c>
      <c r="CR99" s="408">
        <v>840.2784746544894</v>
      </c>
      <c r="CS99" s="408">
        <v>282.8322368473091</v>
      </c>
      <c r="CT99" s="408">
        <v>542.26472253016618</v>
      </c>
      <c r="CU99" s="408">
        <v>0</v>
      </c>
      <c r="CV99" s="408">
        <v>0</v>
      </c>
      <c r="CW99" s="408"/>
      <c r="CX99" s="408"/>
      <c r="CY99" s="408"/>
      <c r="CZ99" s="408">
        <v>15.18151527701437</v>
      </c>
      <c r="DA99" s="408">
        <v>0</v>
      </c>
      <c r="DB99" s="408">
        <v>0</v>
      </c>
      <c r="DC99" s="408"/>
      <c r="DD99" s="408"/>
      <c r="DE99" s="408">
        <v>0</v>
      </c>
      <c r="DF99" s="408">
        <v>0</v>
      </c>
      <c r="DG99" s="408">
        <v>0</v>
      </c>
      <c r="DH99" s="408">
        <v>0</v>
      </c>
      <c r="DI99" s="408">
        <v>0</v>
      </c>
      <c r="DJ99" s="408"/>
      <c r="DK99" s="408">
        <v>0</v>
      </c>
      <c r="DL99" s="408">
        <v>0</v>
      </c>
      <c r="DM99" s="408"/>
      <c r="DN99" s="408">
        <v>0</v>
      </c>
      <c r="DO99" s="408">
        <v>0</v>
      </c>
      <c r="DP99" s="408">
        <v>0</v>
      </c>
      <c r="DQ99" s="408">
        <v>0</v>
      </c>
      <c r="DR99" s="408">
        <v>0</v>
      </c>
      <c r="DS99" s="408"/>
      <c r="DT99" s="408"/>
      <c r="DU99" s="408">
        <v>41844.14685587812</v>
      </c>
      <c r="DV99" s="408"/>
      <c r="DW99" s="408">
        <v>0</v>
      </c>
      <c r="DX99" s="408">
        <v>0</v>
      </c>
      <c r="DY99" s="408">
        <v>-29898.959999999999</v>
      </c>
      <c r="DZ99" s="234"/>
      <c r="EA99" s="408">
        <v>0</v>
      </c>
      <c r="EB99" s="408"/>
      <c r="EC99" s="408">
        <v>-30743.305496853922</v>
      </c>
      <c r="ED99" s="408"/>
      <c r="EE99" s="408">
        <v>0</v>
      </c>
      <c r="EF99" s="408">
        <v>0</v>
      </c>
      <c r="EG99" s="408"/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/>
      <c r="EN99" s="408"/>
      <c r="EO99" s="408">
        <v>0</v>
      </c>
      <c r="EP99" s="408">
        <v>0</v>
      </c>
      <c r="EQ99" s="408"/>
      <c r="ER99" s="408">
        <v>0</v>
      </c>
      <c r="ES99" s="408"/>
      <c r="ET99" s="408">
        <v>0</v>
      </c>
      <c r="EU99" s="408"/>
      <c r="EV99" s="408">
        <v>242</v>
      </c>
      <c r="EW99" s="408"/>
      <c r="EX99" s="408"/>
      <c r="EY99" s="408"/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61" customFormat="1">
      <c r="A100" s="408">
        <v>98</v>
      </c>
      <c r="B100" s="408" t="s">
        <v>1036</v>
      </c>
      <c r="C100" s="408" t="s">
        <v>2239</v>
      </c>
      <c r="D100" s="408" t="s">
        <v>597</v>
      </c>
      <c r="E100" s="408" t="s">
        <v>974</v>
      </c>
      <c r="F100" s="408" t="s">
        <v>2248</v>
      </c>
      <c r="G100" s="408" t="s">
        <v>2250</v>
      </c>
      <c r="H100" s="408" t="s">
        <v>1322</v>
      </c>
      <c r="I100" s="408" t="s">
        <v>2240</v>
      </c>
      <c r="J100" s="408" t="s">
        <v>2232</v>
      </c>
      <c r="K100" s="828">
        <v>44409</v>
      </c>
      <c r="L100" s="408">
        <v>0</v>
      </c>
      <c r="M100" s="408">
        <v>0</v>
      </c>
      <c r="N100" s="408">
        <v>22.681999999999999</v>
      </c>
      <c r="O100" s="408">
        <v>6.8045999999999998</v>
      </c>
      <c r="P100" s="408">
        <v>22.681999999999999</v>
      </c>
      <c r="Q100" s="408">
        <v>6.8045999999999998</v>
      </c>
      <c r="R100" s="408"/>
      <c r="S100" s="408">
        <v>80.27</v>
      </c>
      <c r="T100" s="408">
        <v>216.76</v>
      </c>
      <c r="U100" s="408"/>
      <c r="V100" s="408">
        <v>6737.2344599999997</v>
      </c>
      <c r="W100" s="408">
        <v>6737.2344599999997</v>
      </c>
      <c r="X100" s="408">
        <v>7468.5021399999987</v>
      </c>
      <c r="Y100" s="408">
        <v>0</v>
      </c>
      <c r="Z100" s="408">
        <v>1196.0499137398226</v>
      </c>
      <c r="AA100" s="408">
        <v>0</v>
      </c>
      <c r="AB100" s="408">
        <v>0</v>
      </c>
      <c r="AC100" s="408">
        <v>0</v>
      </c>
      <c r="AD100" s="408">
        <v>0</v>
      </c>
      <c r="AE100" s="408">
        <v>0</v>
      </c>
      <c r="AF100" s="408">
        <v>4844.9092416817111</v>
      </c>
      <c r="AG100" s="408">
        <v>71.616254232212427</v>
      </c>
      <c r="AH100" s="408">
        <v>0</v>
      </c>
      <c r="AI100" s="408">
        <v>0</v>
      </c>
      <c r="AJ100" s="408">
        <v>0</v>
      </c>
      <c r="AK100" s="408">
        <v>0</v>
      </c>
      <c r="AL100" s="408">
        <v>212.61275864367948</v>
      </c>
      <c r="AM100" s="408"/>
      <c r="AN100" s="408">
        <v>31.147425861045885</v>
      </c>
      <c r="AO100" s="408">
        <v>0</v>
      </c>
      <c r="AP100" s="408">
        <v>0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10.372449078355311</v>
      </c>
      <c r="BE100" s="408">
        <v>0</v>
      </c>
      <c r="BF100" s="408">
        <v>0</v>
      </c>
      <c r="BG100" s="408">
        <v>370.53670915126145</v>
      </c>
      <c r="BH100" s="408">
        <v>0</v>
      </c>
      <c r="BI100" s="408">
        <v>0</v>
      </c>
      <c r="BJ100" s="408">
        <v>0</v>
      </c>
      <c r="BK100" s="408">
        <v>0</v>
      </c>
      <c r="BL100" s="408">
        <v>0</v>
      </c>
      <c r="BM100" s="408"/>
      <c r="BN100" s="408"/>
      <c r="BO100" s="408"/>
      <c r="BP100" s="408"/>
      <c r="BQ100" s="408"/>
      <c r="BR100" s="408"/>
      <c r="BS100" s="408">
        <v>5227.9514979999994</v>
      </c>
      <c r="BT100" s="408"/>
      <c r="BU100" s="408"/>
      <c r="BV100" s="408">
        <v>5225.818399911328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2239.0360000000001</v>
      </c>
      <c r="CJ100" s="408">
        <v>217.83566200000018</v>
      </c>
      <c r="CK100" s="408"/>
      <c r="CL100" s="408"/>
      <c r="CM100" s="408"/>
      <c r="CN100" s="408"/>
      <c r="CO100" s="408">
        <v>-8.8459800000000115</v>
      </c>
      <c r="CP100" s="408">
        <v>740.11365999999987</v>
      </c>
      <c r="CQ100" s="408">
        <v>31</v>
      </c>
      <c r="CR100" s="408">
        <v>731.29056478449002</v>
      </c>
      <c r="CS100" s="408">
        <v>0</v>
      </c>
      <c r="CT100" s="408">
        <v>0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0</v>
      </c>
      <c r="DA100" s="408">
        <v>0</v>
      </c>
      <c r="DB100" s="408">
        <v>0</v>
      </c>
      <c r="DC100" s="408">
        <v>740.20877749739611</v>
      </c>
      <c r="DD100" s="408">
        <v>0</v>
      </c>
      <c r="DE100" s="408">
        <v>0</v>
      </c>
      <c r="DF100" s="408">
        <v>1.5847103565718186</v>
      </c>
      <c r="DG100" s="408">
        <v>56.610869433658934</v>
      </c>
      <c r="DH100" s="408">
        <v>0</v>
      </c>
      <c r="DI100" s="408">
        <v>-57.143910686124855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-8.6151984862723623</v>
      </c>
      <c r="DP100" s="408">
        <v>-1.3546833307386592</v>
      </c>
      <c r="DQ100" s="408">
        <v>0</v>
      </c>
      <c r="DR100" s="408">
        <v>0</v>
      </c>
      <c r="DS100" s="408"/>
      <c r="DT100" s="408"/>
      <c r="DU100" s="408"/>
      <c r="DV100" s="408">
        <v>0</v>
      </c>
      <c r="DW100" s="408">
        <v>0</v>
      </c>
      <c r="DX100" s="408">
        <v>0</v>
      </c>
      <c r="DY100" s="408">
        <v>-8.8459800000000541</v>
      </c>
      <c r="DZ100" s="234">
        <v>740.11365999999998</v>
      </c>
      <c r="EA100" s="408">
        <v>0</v>
      </c>
      <c r="EB100" s="408">
        <v>0</v>
      </c>
      <c r="EC100" s="408">
        <v>0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242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61" customFormat="1">
      <c r="A101" s="408">
        <v>99</v>
      </c>
      <c r="B101" s="408" t="s">
        <v>1036</v>
      </c>
      <c r="C101" s="408" t="s">
        <v>2231</v>
      </c>
      <c r="D101" s="408" t="s">
        <v>2241</v>
      </c>
      <c r="E101" s="408" t="s">
        <v>974</v>
      </c>
      <c r="F101" s="408" t="s">
        <v>2251</v>
      </c>
      <c r="G101" s="408" t="s">
        <v>2249</v>
      </c>
      <c r="H101" s="408" t="s">
        <v>1322</v>
      </c>
      <c r="I101" s="408" t="s">
        <v>1322</v>
      </c>
      <c r="J101" s="408" t="s">
        <v>2232</v>
      </c>
      <c r="K101" s="828">
        <v>44409</v>
      </c>
      <c r="L101" s="408">
        <v>0</v>
      </c>
      <c r="M101" s="408">
        <v>0</v>
      </c>
      <c r="N101" s="408">
        <v>0</v>
      </c>
      <c r="O101" s="408">
        <v>0</v>
      </c>
      <c r="P101" s="408">
        <v>0</v>
      </c>
      <c r="Q101" s="408">
        <v>0</v>
      </c>
      <c r="R101" s="408"/>
      <c r="S101" s="408"/>
      <c r="T101" s="408"/>
      <c r="U101" s="408"/>
      <c r="V101" s="408"/>
      <c r="W101" s="408"/>
      <c r="X101" s="408"/>
      <c r="Y101" s="408"/>
      <c r="Z101" s="408"/>
      <c r="AA101" s="408">
        <v>0</v>
      </c>
      <c r="AB101" s="408"/>
      <c r="AC101" s="408"/>
      <c r="AD101" s="408"/>
      <c r="AE101" s="408"/>
      <c r="AF101" s="408"/>
      <c r="AG101" s="408"/>
      <c r="AH101" s="408"/>
      <c r="AI101" s="408"/>
      <c r="AJ101" s="408"/>
      <c r="AK101" s="408"/>
      <c r="AL101" s="408"/>
      <c r="AM101" s="408"/>
      <c r="AN101" s="408"/>
      <c r="AO101" s="408"/>
      <c r="AP101" s="408"/>
      <c r="AQ101" s="408"/>
      <c r="AR101" s="408"/>
      <c r="AS101" s="408"/>
      <c r="AT101" s="408"/>
      <c r="AU101" s="408"/>
      <c r="AV101" s="408"/>
      <c r="AW101" s="408"/>
      <c r="AX101" s="408"/>
      <c r="AY101" s="408"/>
      <c r="AZ101" s="408">
        <v>0</v>
      </c>
      <c r="BA101" s="408"/>
      <c r="BB101" s="408"/>
      <c r="BC101" s="408"/>
      <c r="BD101" s="408"/>
      <c r="BE101" s="408"/>
      <c r="BF101" s="408"/>
      <c r="BG101" s="408"/>
      <c r="BH101" s="408"/>
      <c r="BI101" s="408">
        <v>14.15</v>
      </c>
      <c r="BJ101" s="408">
        <v>65.11</v>
      </c>
      <c r="BK101" s="408">
        <v>71.27</v>
      </c>
      <c r="BL101" s="408">
        <v>9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/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/>
      <c r="CJ101" s="408">
        <v>-0.03</v>
      </c>
      <c r="CK101" s="408"/>
      <c r="CL101" s="408"/>
      <c r="CM101" s="408"/>
      <c r="CN101" s="408"/>
      <c r="CO101" s="408">
        <v>0</v>
      </c>
      <c r="CP101" s="408">
        <v>0</v>
      </c>
      <c r="CQ101" s="408">
        <v>31</v>
      </c>
      <c r="CR101" s="408"/>
      <c r="CS101" s="408"/>
      <c r="CT101" s="408"/>
      <c r="CU101" s="408"/>
      <c r="CV101" s="408"/>
      <c r="CW101" s="408"/>
      <c r="CX101" s="408"/>
      <c r="CY101" s="408"/>
      <c r="CZ101" s="408"/>
      <c r="DA101" s="408"/>
      <c r="DB101" s="408"/>
      <c r="DC101" s="408"/>
      <c r="DD101" s="408"/>
      <c r="DE101" s="408"/>
      <c r="DF101" s="408"/>
      <c r="DG101" s="408"/>
      <c r="DH101" s="408"/>
      <c r="DI101" s="408"/>
      <c r="DJ101" s="408"/>
      <c r="DK101" s="408">
        <v>0</v>
      </c>
      <c r="DL101" s="408"/>
      <c r="DM101" s="408"/>
      <c r="DN101" s="408"/>
      <c r="DO101" s="408"/>
      <c r="DP101" s="408"/>
      <c r="DQ101" s="408"/>
      <c r="DR101" s="408"/>
      <c r="DS101" s="408"/>
      <c r="DT101" s="408"/>
      <c r="DU101" s="408"/>
      <c r="DV101" s="408"/>
      <c r="DW101" s="408"/>
      <c r="DX101" s="408"/>
      <c r="DY101" s="408"/>
      <c r="DZ101" s="234"/>
      <c r="EA101" s="408"/>
      <c r="EB101" s="408"/>
      <c r="EC101" s="408"/>
      <c r="ED101" s="408"/>
      <c r="EE101" s="408"/>
      <c r="EF101" s="408"/>
      <c r="EG101" s="408"/>
      <c r="EH101" s="408"/>
      <c r="EI101" s="408"/>
      <c r="EJ101" s="408"/>
      <c r="EK101" s="408"/>
      <c r="EL101" s="408"/>
      <c r="EM101" s="408"/>
      <c r="EN101" s="408"/>
      <c r="EO101" s="408"/>
      <c r="EP101" s="408"/>
      <c r="EQ101" s="408"/>
      <c r="ER101" s="408"/>
      <c r="ES101" s="408"/>
      <c r="ET101" s="408"/>
      <c r="EU101" s="408"/>
      <c r="EV101" s="408">
        <v>242</v>
      </c>
      <c r="EW101" s="408"/>
      <c r="EX101" s="408"/>
      <c r="EY101" s="408"/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61" customFormat="1">
      <c r="A102" s="408">
        <v>100</v>
      </c>
      <c r="B102" s="408" t="s">
        <v>1036</v>
      </c>
      <c r="C102" s="408" t="s">
        <v>2231</v>
      </c>
      <c r="D102" s="408" t="s">
        <v>2241</v>
      </c>
      <c r="E102" s="408" t="s">
        <v>974</v>
      </c>
      <c r="F102" s="408" t="s">
        <v>2251</v>
      </c>
      <c r="G102" s="408" t="s">
        <v>2249</v>
      </c>
      <c r="H102" s="408" t="s">
        <v>1322</v>
      </c>
      <c r="I102" s="408" t="s">
        <v>1322</v>
      </c>
      <c r="J102" s="408" t="s">
        <v>2232</v>
      </c>
      <c r="K102" s="828">
        <v>44409</v>
      </c>
      <c r="L102" s="408">
        <v>0</v>
      </c>
      <c r="M102" s="408">
        <v>0</v>
      </c>
      <c r="N102" s="408">
        <v>6.5430000000000001</v>
      </c>
      <c r="O102" s="408">
        <v>6.5430000000000001</v>
      </c>
      <c r="P102" s="408">
        <v>6.5430000000000001</v>
      </c>
      <c r="Q102" s="408">
        <v>6.5430000000000001</v>
      </c>
      <c r="R102" s="408"/>
      <c r="S102" s="408">
        <v>571.87</v>
      </c>
      <c r="T102" s="408">
        <v>216.76</v>
      </c>
      <c r="U102" s="408"/>
      <c r="V102" s="408">
        <v>5160.0060899999999</v>
      </c>
      <c r="W102" s="408">
        <v>5160.0060899999999</v>
      </c>
      <c r="X102" s="408">
        <v>3363.16743</v>
      </c>
      <c r="Y102" s="408">
        <v>0</v>
      </c>
      <c r="Z102" s="408">
        <v>396.57526731914913</v>
      </c>
      <c r="AA102" s="408">
        <v>0</v>
      </c>
      <c r="AB102" s="408">
        <v>0</v>
      </c>
      <c r="AC102" s="408">
        <v>0</v>
      </c>
      <c r="AD102" s="408">
        <v>5.3777813358817079</v>
      </c>
      <c r="AE102" s="408">
        <v>2789.8283448723205</v>
      </c>
      <c r="AF102" s="408">
        <v>1397.5946198890504</v>
      </c>
      <c r="AG102" s="408">
        <v>20.658899190607791</v>
      </c>
      <c r="AH102" s="408">
        <v>0</v>
      </c>
      <c r="AI102" s="408">
        <v>0</v>
      </c>
      <c r="AJ102" s="408">
        <v>0</v>
      </c>
      <c r="AK102" s="408">
        <v>0</v>
      </c>
      <c r="AL102" s="408">
        <v>61.331685028022001</v>
      </c>
      <c r="AM102" s="408"/>
      <c r="AN102" s="408">
        <v>12.552546305923016</v>
      </c>
      <c r="AO102" s="408">
        <v>58.112948372379876</v>
      </c>
      <c r="AP102" s="408">
        <v>182.07274876722647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3.8935405359699349</v>
      </c>
      <c r="BE102" s="408">
        <v>0</v>
      </c>
      <c r="BF102" s="408">
        <v>0</v>
      </c>
      <c r="BG102" s="408">
        <v>232.0032477433507</v>
      </c>
      <c r="BH102" s="408">
        <v>0</v>
      </c>
      <c r="BI102" s="408">
        <v>0</v>
      </c>
      <c r="BJ102" s="408">
        <v>0</v>
      </c>
      <c r="BK102" s="408">
        <v>0</v>
      </c>
      <c r="BL102" s="408">
        <v>0</v>
      </c>
      <c r="BM102" s="408"/>
      <c r="BN102" s="408"/>
      <c r="BO102" s="408"/>
      <c r="BP102" s="408"/>
      <c r="BQ102" s="408"/>
      <c r="BR102" s="408">
        <v>403.57223999999985</v>
      </c>
      <c r="BS102" s="408"/>
      <c r="BT102" s="408"/>
      <c r="BU102" s="408"/>
      <c r="BV102" s="408">
        <v>1633.491408168371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2958.2382000000002</v>
      </c>
      <c r="CJ102" s="408">
        <v>-1582.633800000001</v>
      </c>
      <c r="CK102" s="408"/>
      <c r="CL102" s="408"/>
      <c r="CM102" s="408"/>
      <c r="CN102" s="408"/>
      <c r="CO102" s="408">
        <v>-2010.3367499999999</v>
      </c>
      <c r="CP102" s="408">
        <v>213.49808999999996</v>
      </c>
      <c r="CQ102" s="408">
        <v>31</v>
      </c>
      <c r="CR102" s="408">
        <v>252.88895115368177</v>
      </c>
      <c r="CS102" s="408">
        <v>5.9944391989420467</v>
      </c>
      <c r="CT102" s="408">
        <v>18.781081546158646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0.5258128897088481</v>
      </c>
      <c r="DA102" s="408">
        <v>0</v>
      </c>
      <c r="DB102" s="408">
        <v>0</v>
      </c>
      <c r="DC102" s="408">
        <v>213.52552822350162</v>
      </c>
      <c r="DD102" s="408">
        <v>0</v>
      </c>
      <c r="DE102" s="408">
        <v>0</v>
      </c>
      <c r="DF102" s="408">
        <v>0.59485797081030967</v>
      </c>
      <c r="DG102" s="408">
        <v>35.44562587676586</v>
      </c>
      <c r="DH102" s="408">
        <v>0</v>
      </c>
      <c r="DI102" s="408">
        <v>-18.947254120150149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-2.4851972355030512</v>
      </c>
      <c r="DP102" s="408">
        <v>-0.54594319655242352</v>
      </c>
      <c r="DQ102" s="408">
        <v>0</v>
      </c>
      <c r="DR102" s="408">
        <v>0</v>
      </c>
      <c r="DS102" s="408"/>
      <c r="DT102" s="408"/>
      <c r="DU102" s="408"/>
      <c r="DV102" s="408">
        <v>2789.8283448723205</v>
      </c>
      <c r="DW102" s="408">
        <v>0</v>
      </c>
      <c r="DX102" s="408">
        <v>0</v>
      </c>
      <c r="DY102" s="408">
        <v>-2010.3367499999999</v>
      </c>
      <c r="DZ102" s="234">
        <v>213.49809000000005</v>
      </c>
      <c r="EA102" s="408">
        <v>0</v>
      </c>
      <c r="EB102" s="408">
        <v>0</v>
      </c>
      <c r="EC102" s="408">
        <v>-2049.7142739126894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242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61" customFormat="1">
      <c r="A103" s="408">
        <v>101</v>
      </c>
      <c r="B103" s="408" t="s">
        <v>1036</v>
      </c>
      <c r="C103" s="408" t="s">
        <v>2231</v>
      </c>
      <c r="D103" s="408" t="s">
        <v>2241</v>
      </c>
      <c r="E103" s="408" t="s">
        <v>974</v>
      </c>
      <c r="F103" s="408" t="s">
        <v>2251</v>
      </c>
      <c r="G103" s="408" t="s">
        <v>2250</v>
      </c>
      <c r="H103" s="408" t="s">
        <v>1322</v>
      </c>
      <c r="I103" s="408" t="s">
        <v>1322</v>
      </c>
      <c r="J103" s="408" t="s">
        <v>2232</v>
      </c>
      <c r="K103" s="828">
        <v>44409</v>
      </c>
      <c r="L103" s="408">
        <v>0</v>
      </c>
      <c r="M103" s="408">
        <v>0</v>
      </c>
      <c r="N103" s="408">
        <v>5.8780000000000001</v>
      </c>
      <c r="O103" s="408">
        <v>2.3512</v>
      </c>
      <c r="P103" s="408">
        <v>5.8780000000000001</v>
      </c>
      <c r="Q103" s="408">
        <v>2.3512</v>
      </c>
      <c r="R103" s="408"/>
      <c r="S103" s="408">
        <v>571.87</v>
      </c>
      <c r="T103" s="408">
        <v>216.76</v>
      </c>
      <c r="U103" s="408"/>
      <c r="V103" s="408">
        <v>4635.5671400000001</v>
      </c>
      <c r="W103" s="408">
        <v>4635.5671400000001</v>
      </c>
      <c r="X103" s="408">
        <v>3021.3507799999998</v>
      </c>
      <c r="Y103" s="408">
        <v>0</v>
      </c>
      <c r="Z103" s="408">
        <v>356.26920698486305</v>
      </c>
      <c r="AA103" s="408">
        <v>0</v>
      </c>
      <c r="AB103" s="408">
        <v>0</v>
      </c>
      <c r="AC103" s="408">
        <v>0</v>
      </c>
      <c r="AD103" s="408">
        <v>4.8312087257087999</v>
      </c>
      <c r="AE103" s="408">
        <v>2506.2832051290688</v>
      </c>
      <c r="AF103" s="408">
        <v>1255.5496218413325</v>
      </c>
      <c r="AG103" s="408">
        <v>18.559225040866973</v>
      </c>
      <c r="AH103" s="408">
        <v>0</v>
      </c>
      <c r="AI103" s="408">
        <v>0</v>
      </c>
      <c r="AJ103" s="408">
        <v>0</v>
      </c>
      <c r="AK103" s="408">
        <v>0</v>
      </c>
      <c r="AL103" s="408">
        <v>55.098218645073104</v>
      </c>
      <c r="AM103" s="408"/>
      <c r="AN103" s="408">
        <v>11.276764051079853</v>
      </c>
      <c r="AO103" s="408">
        <v>52.206619369226487</v>
      </c>
      <c r="AP103" s="408">
        <v>163.56772386577367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3.4978192374188106</v>
      </c>
      <c r="BE103" s="408">
        <v>0</v>
      </c>
      <c r="BF103" s="408">
        <v>0</v>
      </c>
      <c r="BG103" s="408">
        <v>208.42351982812403</v>
      </c>
      <c r="BH103" s="408">
        <v>0</v>
      </c>
      <c r="BI103" s="408">
        <v>0</v>
      </c>
      <c r="BJ103" s="408">
        <v>0</v>
      </c>
      <c r="BK103" s="408">
        <v>0</v>
      </c>
      <c r="BL103" s="408">
        <v>0</v>
      </c>
      <c r="BM103" s="408"/>
      <c r="BN103" s="408"/>
      <c r="BO103" s="408"/>
      <c r="BP103" s="408"/>
      <c r="BQ103" s="408"/>
      <c r="BR103" s="408"/>
      <c r="BS103" s="408">
        <v>1957.832484</v>
      </c>
      <c r="BT103" s="408"/>
      <c r="BU103" s="408"/>
      <c r="BV103" s="408">
        <v>1467.4709609068752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1062.9755</v>
      </c>
      <c r="CJ103" s="408">
        <v>-568.78729999999973</v>
      </c>
      <c r="CK103" s="408"/>
      <c r="CL103" s="408"/>
      <c r="CM103" s="408"/>
      <c r="CN103" s="408"/>
      <c r="CO103" s="408">
        <v>-1806.0155</v>
      </c>
      <c r="CP103" s="408">
        <v>191.79913999999997</v>
      </c>
      <c r="CQ103" s="408">
        <v>31</v>
      </c>
      <c r="CR103" s="408">
        <v>227.18649776575558</v>
      </c>
      <c r="CS103" s="408">
        <v>5.3851923599849272</v>
      </c>
      <c r="CT103" s="408">
        <v>16.872260022668598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0.47237172026724927</v>
      </c>
      <c r="DA103" s="408">
        <v>0</v>
      </c>
      <c r="DB103" s="408">
        <v>0</v>
      </c>
      <c r="DC103" s="408">
        <v>191.82378953045099</v>
      </c>
      <c r="DD103" s="408">
        <v>0</v>
      </c>
      <c r="DE103" s="408">
        <v>0</v>
      </c>
      <c r="DF103" s="408">
        <v>0.53439938138820064</v>
      </c>
      <c r="DG103" s="408">
        <v>31.843097799729406</v>
      </c>
      <c r="DH103" s="408">
        <v>0</v>
      </c>
      <c r="DI103" s="408">
        <v>-17.021543591356078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-2.2326133807560637</v>
      </c>
      <c r="DP103" s="408">
        <v>-0.49045607662159973</v>
      </c>
      <c r="DQ103" s="408">
        <v>0</v>
      </c>
      <c r="DR103" s="408">
        <v>0</v>
      </c>
      <c r="DS103" s="408"/>
      <c r="DT103" s="408"/>
      <c r="DU103" s="408"/>
      <c r="DV103" s="408">
        <v>2506.2832051290688</v>
      </c>
      <c r="DW103" s="408">
        <v>0</v>
      </c>
      <c r="DX103" s="408">
        <v>0</v>
      </c>
      <c r="DY103" s="408">
        <v>-1806.0155</v>
      </c>
      <c r="DZ103" s="234">
        <v>191.79913999999985</v>
      </c>
      <c r="EA103" s="408">
        <v>0</v>
      </c>
      <c r="EB103" s="408">
        <v>0</v>
      </c>
      <c r="EC103" s="408">
        <v>-1841.390876059726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242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61" customFormat="1">
      <c r="A104" s="408">
        <v>102</v>
      </c>
      <c r="B104" s="408" t="s">
        <v>1036</v>
      </c>
      <c r="C104" s="408" t="s">
        <v>2231</v>
      </c>
      <c r="D104" s="408" t="s">
        <v>1952</v>
      </c>
      <c r="E104" s="408" t="s">
        <v>969</v>
      </c>
      <c r="F104" s="408" t="s">
        <v>969</v>
      </c>
      <c r="G104" s="408" t="s">
        <v>1322</v>
      </c>
      <c r="H104" s="408" t="s">
        <v>1322</v>
      </c>
      <c r="I104" s="408" t="s">
        <v>1322</v>
      </c>
      <c r="J104" s="408" t="s">
        <v>2232</v>
      </c>
      <c r="K104" s="828">
        <v>44440</v>
      </c>
      <c r="L104" s="408">
        <v>0</v>
      </c>
      <c r="M104" s="408">
        <v>0</v>
      </c>
      <c r="N104" s="408">
        <v>705.96699999999998</v>
      </c>
      <c r="O104" s="408">
        <v>705.96699999999998</v>
      </c>
      <c r="P104" s="408">
        <v>705.96699999999998</v>
      </c>
      <c r="Q104" s="408">
        <v>705.96699999999998</v>
      </c>
      <c r="R104" s="408"/>
      <c r="S104" s="408">
        <v>571.87</v>
      </c>
      <c r="T104" s="408">
        <v>216.76</v>
      </c>
      <c r="U104" s="408"/>
      <c r="V104" s="408">
        <v>556746.75520999997</v>
      </c>
      <c r="W104" s="408">
        <v>556746.75520999997</v>
      </c>
      <c r="X104" s="408">
        <v>362874.09766999999</v>
      </c>
      <c r="Y104" s="408">
        <v>0</v>
      </c>
      <c r="Z104" s="408">
        <v>42789.095482729295</v>
      </c>
      <c r="AA104" s="408">
        <v>0</v>
      </c>
      <c r="AB104" s="408">
        <v>0</v>
      </c>
      <c r="AC104" s="408">
        <v>0</v>
      </c>
      <c r="AD104" s="408">
        <v>580.24394870065737</v>
      </c>
      <c r="AE104" s="408">
        <v>301012.79950244189</v>
      </c>
      <c r="AF104" s="408">
        <v>150795.61073195984</v>
      </c>
      <c r="AG104" s="408">
        <v>2229.0235495790635</v>
      </c>
      <c r="AH104" s="408">
        <v>0</v>
      </c>
      <c r="AI104" s="408">
        <v>0</v>
      </c>
      <c r="AJ104" s="408">
        <v>0</v>
      </c>
      <c r="AK104" s="408">
        <v>0</v>
      </c>
      <c r="AL104" s="408">
        <v>6617.4760330395238</v>
      </c>
      <c r="AM104" s="408"/>
      <c r="AN104" s="408">
        <v>1354.3761971501685</v>
      </c>
      <c r="AO104" s="408">
        <v>6270.185514840884</v>
      </c>
      <c r="AP104" s="408">
        <v>19645.017916697623</v>
      </c>
      <c r="AQ104" s="408">
        <v>0</v>
      </c>
      <c r="AR104" s="408">
        <v>0</v>
      </c>
      <c r="AS104" s="408">
        <v>0</v>
      </c>
      <c r="AT104" s="408">
        <v>0</v>
      </c>
      <c r="AU104" s="408">
        <v>0</v>
      </c>
      <c r="AV104" s="408">
        <v>0</v>
      </c>
      <c r="AW104" s="408">
        <v>0</v>
      </c>
      <c r="AX104" s="408">
        <v>0</v>
      </c>
      <c r="AY104" s="408">
        <v>0</v>
      </c>
      <c r="AZ104" s="408">
        <v>0</v>
      </c>
      <c r="BA104" s="408"/>
      <c r="BB104" s="408">
        <v>0</v>
      </c>
      <c r="BC104" s="408">
        <v>0</v>
      </c>
      <c r="BD104" s="408">
        <v>420.09951575073927</v>
      </c>
      <c r="BE104" s="408">
        <v>0</v>
      </c>
      <c r="BF104" s="408">
        <v>0</v>
      </c>
      <c r="BG104" s="408">
        <v>25032.34552951705</v>
      </c>
      <c r="BH104" s="408">
        <v>0</v>
      </c>
      <c r="BI104" s="408">
        <v>3087.43</v>
      </c>
      <c r="BJ104" s="408">
        <v>14279.92</v>
      </c>
      <c r="BK104" s="408">
        <v>193396.16</v>
      </c>
      <c r="BL104" s="408">
        <v>4444</v>
      </c>
      <c r="BM104" s="408"/>
      <c r="BN104" s="408"/>
      <c r="BO104" s="408"/>
      <c r="BP104" s="408"/>
      <c r="BQ104" s="408"/>
      <c r="BR104" s="408"/>
      <c r="BS104" s="408"/>
      <c r="BT104" s="408"/>
      <c r="BU104" s="408"/>
      <c r="BV104" s="408">
        <v>176248.05577722762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362875.6397</v>
      </c>
      <c r="CJ104" s="408">
        <v>-193871.14551</v>
      </c>
      <c r="CK104" s="408"/>
      <c r="CL104" s="408"/>
      <c r="CM104" s="408"/>
      <c r="CN104" s="408"/>
      <c r="CO104" s="408">
        <v>-216908.36074999999</v>
      </c>
      <c r="CP104" s="408">
        <v>23035.703209999996</v>
      </c>
      <c r="CQ104" s="408">
        <v>30</v>
      </c>
      <c r="CR104" s="408">
        <v>27285.840467539529</v>
      </c>
      <c r="CS104" s="408">
        <v>646.77919271886276</v>
      </c>
      <c r="CT104" s="408">
        <v>2026.4135405619745</v>
      </c>
      <c r="CU104" s="408">
        <v>0</v>
      </c>
      <c r="CV104" s="408">
        <v>0</v>
      </c>
      <c r="CW104" s="408">
        <v>0</v>
      </c>
      <c r="CX104" s="408">
        <v>0</v>
      </c>
      <c r="CY104" s="408">
        <v>0</v>
      </c>
      <c r="CZ104" s="408">
        <v>56.733386567184198</v>
      </c>
      <c r="DA104" s="408">
        <v>0</v>
      </c>
      <c r="DB104" s="408">
        <v>0</v>
      </c>
      <c r="DC104" s="408">
        <v>23038.663699122815</v>
      </c>
      <c r="DD104" s="408">
        <v>0</v>
      </c>
      <c r="DE104" s="408">
        <v>0</v>
      </c>
      <c r="DF104" s="408">
        <v>64.183111276026523</v>
      </c>
      <c r="DG104" s="408">
        <v>3824.4600585882254</v>
      </c>
      <c r="DH104" s="408">
        <v>0</v>
      </c>
      <c r="DI104" s="408">
        <v>-2044.3429847837469</v>
      </c>
      <c r="DJ104" s="408"/>
      <c r="DK104" s="408">
        <v>0</v>
      </c>
      <c r="DL104" s="408">
        <v>0</v>
      </c>
      <c r="DM104" s="408">
        <v>0</v>
      </c>
      <c r="DN104" s="408">
        <v>0</v>
      </c>
      <c r="DO104" s="408">
        <v>-268.14415967543664</v>
      </c>
      <c r="DP104" s="408">
        <v>-58.905376836393543</v>
      </c>
      <c r="DQ104" s="408">
        <v>0</v>
      </c>
      <c r="DR104" s="408">
        <v>0</v>
      </c>
      <c r="DS104" s="408"/>
      <c r="DT104" s="408"/>
      <c r="DU104" s="408"/>
      <c r="DV104" s="408">
        <v>301012.79950244189</v>
      </c>
      <c r="DW104" s="408">
        <v>0</v>
      </c>
      <c r="DX104" s="408">
        <v>0</v>
      </c>
      <c r="DY104" s="408">
        <v>-216908.36074999999</v>
      </c>
      <c r="DZ104" s="234">
        <v>23035.703210000007</v>
      </c>
      <c r="EA104" s="408">
        <v>0</v>
      </c>
      <c r="EB104" s="408">
        <v>0</v>
      </c>
      <c r="EC104" s="408">
        <v>-221157.0589655081</v>
      </c>
      <c r="ED104" s="408">
        <v>0</v>
      </c>
      <c r="EE104" s="408">
        <v>0</v>
      </c>
      <c r="EF104" s="408">
        <v>0</v>
      </c>
      <c r="EG104" s="408">
        <v>0</v>
      </c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>
        <v>0</v>
      </c>
      <c r="EN104" s="408">
        <v>0</v>
      </c>
      <c r="EO104" s="408">
        <v>0</v>
      </c>
      <c r="EP104" s="408">
        <v>0</v>
      </c>
      <c r="EQ104" s="408">
        <v>0</v>
      </c>
      <c r="ER104" s="408">
        <v>0</v>
      </c>
      <c r="ES104" s="408">
        <v>0</v>
      </c>
      <c r="ET104" s="408">
        <v>0</v>
      </c>
      <c r="EU104" s="408">
        <v>0</v>
      </c>
      <c r="EV104" s="408">
        <v>242</v>
      </c>
      <c r="EW104" s="408">
        <v>0</v>
      </c>
      <c r="EX104" s="408">
        <v>0</v>
      </c>
      <c r="EY104" s="408">
        <v>0</v>
      </c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61" customFormat="1">
      <c r="A105" s="408">
        <v>103</v>
      </c>
      <c r="B105" s="408" t="s">
        <v>2233</v>
      </c>
      <c r="C105" s="408" t="s">
        <v>2231</v>
      </c>
      <c r="D105" s="408" t="s">
        <v>1952</v>
      </c>
      <c r="E105" s="408" t="s">
        <v>969</v>
      </c>
      <c r="F105" s="408" t="s">
        <v>969</v>
      </c>
      <c r="G105" s="408" t="s">
        <v>1322</v>
      </c>
      <c r="H105" s="408" t="s">
        <v>1322</v>
      </c>
      <c r="I105" s="408" t="s">
        <v>1322</v>
      </c>
      <c r="J105" s="408" t="s">
        <v>2232</v>
      </c>
      <c r="K105" s="828">
        <v>44440</v>
      </c>
      <c r="L105" s="408">
        <v>0</v>
      </c>
      <c r="M105" s="408">
        <v>0</v>
      </c>
      <c r="N105" s="408">
        <v>-0.13400000000000001</v>
      </c>
      <c r="O105" s="408">
        <v>-0.13400000000000001</v>
      </c>
      <c r="P105" s="408">
        <v>-0.13400000000000001</v>
      </c>
      <c r="Q105" s="408">
        <v>-0.13400000000000001</v>
      </c>
      <c r="R105" s="408"/>
      <c r="S105" s="408">
        <v>571.87</v>
      </c>
      <c r="T105" s="408">
        <v>216.76</v>
      </c>
      <c r="U105" s="408"/>
      <c r="V105" s="408">
        <v>-105.67642000000001</v>
      </c>
      <c r="W105" s="408">
        <v>-105.67642000000001</v>
      </c>
      <c r="X105" s="408">
        <v>-68.877340000000004</v>
      </c>
      <c r="Y105" s="408">
        <v>0</v>
      </c>
      <c r="Z105" s="408">
        <v>-8.1218226839012662</v>
      </c>
      <c r="AA105" s="408">
        <v>0</v>
      </c>
      <c r="AB105" s="408">
        <v>0</v>
      </c>
      <c r="AC105" s="408">
        <v>0</v>
      </c>
      <c r="AD105" s="408">
        <v>-0.1101364357340897</v>
      </c>
      <c r="AE105" s="408">
        <v>-57.1354116174371</v>
      </c>
      <c r="AF105" s="408">
        <v>-28.622601110367224</v>
      </c>
      <c r="AG105" s="408">
        <v>-0.42309223468461626</v>
      </c>
      <c r="AH105" s="408">
        <v>0</v>
      </c>
      <c r="AI105" s="408">
        <v>0</v>
      </c>
      <c r="AJ105" s="408">
        <v>0</v>
      </c>
      <c r="AK105" s="408">
        <v>0</v>
      </c>
      <c r="AL105" s="408">
        <v>-1.2560669102483493</v>
      </c>
      <c r="AM105" s="408"/>
      <c r="AN105" s="408">
        <v>-0.25707492052478742</v>
      </c>
      <c r="AO105" s="408">
        <v>-1.1901474983797806</v>
      </c>
      <c r="AP105" s="408">
        <v>-3.7288320854055246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-7.9739329332106271E-2</v>
      </c>
      <c r="BE105" s="408">
        <v>0</v>
      </c>
      <c r="BF105" s="408">
        <v>0</v>
      </c>
      <c r="BG105" s="408">
        <v>-4.7514038205118441</v>
      </c>
      <c r="BH105" s="408">
        <v>0</v>
      </c>
      <c r="BI105" s="408">
        <v>-0.54</v>
      </c>
      <c r="BJ105" s="408">
        <v>-2.44</v>
      </c>
      <c r="BK105" s="408">
        <v>-34.78</v>
      </c>
      <c r="BL105" s="408">
        <v>0</v>
      </c>
      <c r="BM105" s="408"/>
      <c r="BN105" s="408"/>
      <c r="BO105" s="408"/>
      <c r="BP105" s="408"/>
      <c r="BQ105" s="408"/>
      <c r="BR105" s="408"/>
      <c r="BS105" s="408"/>
      <c r="BT105" s="408"/>
      <c r="BU105" s="408"/>
      <c r="BV105" s="408">
        <v>-33.453744260211174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-66.821300000000008</v>
      </c>
      <c r="CJ105" s="408">
        <v>38.825119999999984</v>
      </c>
      <c r="CK105" s="408"/>
      <c r="CL105" s="408"/>
      <c r="CM105" s="408"/>
      <c r="CN105" s="408"/>
      <c r="CO105" s="408">
        <v>41.171500000000002</v>
      </c>
      <c r="CP105" s="408">
        <v>-4.37242</v>
      </c>
      <c r="CQ105" s="408">
        <v>30</v>
      </c>
      <c r="CR105" s="408">
        <v>-5.1791409834316582</v>
      </c>
      <c r="CS105" s="408">
        <v>-0.12276552845151056</v>
      </c>
      <c r="CT105" s="408">
        <v>-0.38463471300401375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-1.0768596549134285E-2</v>
      </c>
      <c r="DA105" s="408">
        <v>0</v>
      </c>
      <c r="DB105" s="408">
        <v>0</v>
      </c>
      <c r="DC105" s="408">
        <v>-4.3729819321334595</v>
      </c>
      <c r="DD105" s="408">
        <v>0</v>
      </c>
      <c r="DE105" s="408">
        <v>0</v>
      </c>
      <c r="DF105" s="408">
        <v>-1.2182633056485009E-2</v>
      </c>
      <c r="DG105" s="408">
        <v>-0.72592295086147374</v>
      </c>
      <c r="DH105" s="408">
        <v>0</v>
      </c>
      <c r="DI105" s="408">
        <v>0.38803791106527807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5.0896596294881524E-2</v>
      </c>
      <c r="DP105" s="408">
        <v>1.118086326425563E-2</v>
      </c>
      <c r="DQ105" s="408">
        <v>0</v>
      </c>
      <c r="DR105" s="408">
        <v>0</v>
      </c>
      <c r="DS105" s="408"/>
      <c r="DT105" s="408"/>
      <c r="DU105" s="408"/>
      <c r="DV105" s="408">
        <v>-57.1354116174371</v>
      </c>
      <c r="DW105" s="408">
        <v>0</v>
      </c>
      <c r="DX105" s="408">
        <v>0</v>
      </c>
      <c r="DY105" s="408">
        <v>41.171500000000009</v>
      </c>
      <c r="DZ105" s="234">
        <v>-4.3724200000000017</v>
      </c>
      <c r="EA105" s="408">
        <v>0</v>
      </c>
      <c r="EB105" s="408">
        <v>0</v>
      </c>
      <c r="EC105" s="408">
        <v>41.977947838040713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242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61" customFormat="1">
      <c r="A106" s="408">
        <v>104</v>
      </c>
      <c r="B106" s="408" t="s">
        <v>2234</v>
      </c>
      <c r="C106" s="408" t="s">
        <v>2231</v>
      </c>
      <c r="D106" s="408" t="s">
        <v>1952</v>
      </c>
      <c r="E106" s="408" t="s">
        <v>969</v>
      </c>
      <c r="F106" s="408" t="s">
        <v>969</v>
      </c>
      <c r="G106" s="408" t="s">
        <v>1322</v>
      </c>
      <c r="H106" s="408" t="s">
        <v>1322</v>
      </c>
      <c r="I106" s="408" t="s">
        <v>1322</v>
      </c>
      <c r="J106" s="408" t="s">
        <v>2232</v>
      </c>
      <c r="K106" s="828">
        <v>44440</v>
      </c>
      <c r="L106" s="408">
        <v>0</v>
      </c>
      <c r="M106" s="408">
        <v>0</v>
      </c>
      <c r="N106" s="408">
        <v>8.34</v>
      </c>
      <c r="O106" s="408">
        <v>8.34</v>
      </c>
      <c r="P106" s="408">
        <v>8.34</v>
      </c>
      <c r="Q106" s="408">
        <v>8.34</v>
      </c>
      <c r="R106" s="408"/>
      <c r="S106" s="408">
        <v>571.87</v>
      </c>
      <c r="T106" s="408">
        <v>216.76</v>
      </c>
      <c r="U106" s="408"/>
      <c r="V106" s="408">
        <v>6577.1742000000004</v>
      </c>
      <c r="W106" s="408">
        <v>6577.1742000000004</v>
      </c>
      <c r="X106" s="408">
        <v>4286.8433999999997</v>
      </c>
      <c r="Y106" s="408">
        <v>0</v>
      </c>
      <c r="Z106" s="408">
        <v>505.49254614728778</v>
      </c>
      <c r="AA106" s="408">
        <v>0</v>
      </c>
      <c r="AB106" s="408">
        <v>0</v>
      </c>
      <c r="AC106" s="408">
        <v>0</v>
      </c>
      <c r="AD106" s="408">
        <v>6.8547602538978207</v>
      </c>
      <c r="AE106" s="408">
        <v>3556.0397976822787</v>
      </c>
      <c r="AF106" s="408">
        <v>1781.4365168691243</v>
      </c>
      <c r="AG106" s="408">
        <v>26.332755502012681</v>
      </c>
      <c r="AH106" s="408">
        <v>0</v>
      </c>
      <c r="AI106" s="408">
        <v>0</v>
      </c>
      <c r="AJ106" s="408">
        <v>0</v>
      </c>
      <c r="AK106" s="408">
        <v>0</v>
      </c>
      <c r="AL106" s="408">
        <v>78.176104712471869</v>
      </c>
      <c r="AM106" s="408"/>
      <c r="AN106" s="408">
        <v>16.000036098333783</v>
      </c>
      <c r="AO106" s="408">
        <v>74.073359227517685</v>
      </c>
      <c r="AP106" s="408">
        <v>232.07805665882142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4.9628806464907926</v>
      </c>
      <c r="BE106" s="408">
        <v>0</v>
      </c>
      <c r="BF106" s="408">
        <v>0</v>
      </c>
      <c r="BG106" s="408">
        <v>295.72170047066254</v>
      </c>
      <c r="BH106" s="408">
        <v>0</v>
      </c>
      <c r="BI106" s="408">
        <v>36.700000000000003</v>
      </c>
      <c r="BJ106" s="408">
        <v>170.74</v>
      </c>
      <c r="BK106" s="408">
        <v>5692.14</v>
      </c>
      <c r="BL106" s="408">
        <v>123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>
        <v>2082.1210979862776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4286.8433999999997</v>
      </c>
      <c r="CJ106" s="408">
        <v>-2290.3608000000013</v>
      </c>
      <c r="CK106" s="408"/>
      <c r="CL106" s="408"/>
      <c r="CM106" s="408"/>
      <c r="CN106" s="408"/>
      <c r="CO106" s="408">
        <v>-2562.4650000000001</v>
      </c>
      <c r="CP106" s="408">
        <v>272.13419999999996</v>
      </c>
      <c r="CQ106" s="408">
        <v>30</v>
      </c>
      <c r="CR106" s="408">
        <v>322.34355075985104</v>
      </c>
      <c r="CS106" s="408">
        <v>7.6407799051164034</v>
      </c>
      <c r="CT106" s="408">
        <v>23.939205272040851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0.67022459119238764</v>
      </c>
      <c r="DA106" s="408">
        <v>0</v>
      </c>
      <c r="DB106" s="408">
        <v>0</v>
      </c>
      <c r="DC106" s="408">
        <v>272.16917398502255</v>
      </c>
      <c r="DD106" s="408">
        <v>0</v>
      </c>
      <c r="DE106" s="408">
        <v>0</v>
      </c>
      <c r="DF106" s="408">
        <v>0.75823253500809695</v>
      </c>
      <c r="DG106" s="408">
        <v>45.180577687945402</v>
      </c>
      <c r="DH106" s="408">
        <v>0</v>
      </c>
      <c r="DI106" s="408">
        <v>-24.151016255853961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-3.1677433813381271</v>
      </c>
      <c r="DP106" s="408">
        <v>-0.69588357928277489</v>
      </c>
      <c r="DQ106" s="408">
        <v>0</v>
      </c>
      <c r="DR106" s="408">
        <v>0</v>
      </c>
      <c r="DS106" s="408"/>
      <c r="DT106" s="408"/>
      <c r="DU106" s="408"/>
      <c r="DV106" s="408">
        <v>3556.0397976822787</v>
      </c>
      <c r="DW106" s="408">
        <v>0</v>
      </c>
      <c r="DX106" s="408">
        <v>0</v>
      </c>
      <c r="DY106" s="408">
        <v>-2562.4650000000001</v>
      </c>
      <c r="DZ106" s="234">
        <v>272.13419999999974</v>
      </c>
      <c r="EA106" s="408">
        <v>0</v>
      </c>
      <c r="EB106" s="408">
        <v>0</v>
      </c>
      <c r="EC106" s="408">
        <v>-2612.6573505168617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242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61" customFormat="1">
      <c r="A107" s="408">
        <v>105</v>
      </c>
      <c r="B107" s="408" t="s">
        <v>1036</v>
      </c>
      <c r="C107" s="408" t="s">
        <v>2231</v>
      </c>
      <c r="D107" s="408" t="s">
        <v>1952</v>
      </c>
      <c r="E107" s="408" t="s">
        <v>969</v>
      </c>
      <c r="F107" s="408" t="s">
        <v>2235</v>
      </c>
      <c r="G107" s="408" t="s">
        <v>1322</v>
      </c>
      <c r="H107" s="408" t="s">
        <v>1322</v>
      </c>
      <c r="I107" s="408" t="s">
        <v>1322</v>
      </c>
      <c r="J107" s="408" t="s">
        <v>2232</v>
      </c>
      <c r="K107" s="828">
        <v>44440</v>
      </c>
      <c r="L107" s="408">
        <v>0</v>
      </c>
      <c r="M107" s="408">
        <v>0</v>
      </c>
      <c r="N107" s="408">
        <v>3.39</v>
      </c>
      <c r="O107" s="408">
        <v>3.39</v>
      </c>
      <c r="P107" s="408">
        <v>3.39</v>
      </c>
      <c r="Q107" s="408">
        <v>3.39</v>
      </c>
      <c r="R107" s="408"/>
      <c r="S107" s="408">
        <v>501.89</v>
      </c>
      <c r="T107" s="408">
        <v>216.76</v>
      </c>
      <c r="U107" s="408"/>
      <c r="V107" s="408">
        <v>2436.2235000000001</v>
      </c>
      <c r="W107" s="408">
        <v>2436.2235000000001</v>
      </c>
      <c r="X107" s="408">
        <v>1516.347</v>
      </c>
      <c r="Y107" s="408">
        <v>0</v>
      </c>
      <c r="Z107" s="408">
        <v>0</v>
      </c>
      <c r="AA107" s="408">
        <v>0</v>
      </c>
      <c r="AB107" s="408">
        <v>0</v>
      </c>
      <c r="AC107" s="408">
        <v>0</v>
      </c>
      <c r="AD107" s="408">
        <v>2.7862874413325676</v>
      </c>
      <c r="AE107" s="408">
        <v>1445.4406371874013</v>
      </c>
      <c r="AF107" s="408">
        <v>724.10908779212605</v>
      </c>
      <c r="AG107" s="408">
        <v>10.703602056573501</v>
      </c>
      <c r="AH107" s="408">
        <v>0</v>
      </c>
      <c r="AI107" s="408">
        <v>0</v>
      </c>
      <c r="AJ107" s="408">
        <v>0</v>
      </c>
      <c r="AK107" s="408">
        <v>0</v>
      </c>
      <c r="AL107" s="408">
        <v>0</v>
      </c>
      <c r="AM107" s="408"/>
      <c r="AN107" s="408">
        <v>6.5036117953658907</v>
      </c>
      <c r="AO107" s="408">
        <v>30.108955369458627</v>
      </c>
      <c r="AP107" s="408">
        <v>94.333886339736779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2.0172860181779124</v>
      </c>
      <c r="BE107" s="408">
        <v>0</v>
      </c>
      <c r="BF107" s="408">
        <v>0</v>
      </c>
      <c r="BG107" s="408">
        <v>120.20342501145635</v>
      </c>
      <c r="BH107" s="408">
        <v>0</v>
      </c>
      <c r="BI107" s="408">
        <v>3.35</v>
      </c>
      <c r="BJ107" s="408">
        <v>16.8</v>
      </c>
      <c r="BK107" s="408">
        <v>225.45</v>
      </c>
      <c r="BL107" s="408">
        <v>3</v>
      </c>
      <c r="BM107" s="408"/>
      <c r="BN107" s="408"/>
      <c r="BO107" s="408"/>
      <c r="BP107" s="408"/>
      <c r="BQ107" s="408"/>
      <c r="BR107" s="408"/>
      <c r="BS107" s="408"/>
      <c r="BT107" s="408">
        <v>985.6085999999998</v>
      </c>
      <c r="BU107" s="408"/>
      <c r="BV107" s="408">
        <v>846.32979882176028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530.73840000000007</v>
      </c>
      <c r="CJ107" s="408">
        <v>-321.97829999999988</v>
      </c>
      <c r="CK107" s="408"/>
      <c r="CL107" s="408"/>
      <c r="CM107" s="408"/>
      <c r="CN107" s="408"/>
      <c r="CO107" s="408">
        <v>-1030.4922000000001</v>
      </c>
      <c r="CP107" s="408">
        <v>110.61569999999999</v>
      </c>
      <c r="CQ107" s="408">
        <v>30</v>
      </c>
      <c r="CR107" s="408">
        <v>142.12892472973317</v>
      </c>
      <c r="CS107" s="408">
        <v>3.1057846376912011</v>
      </c>
      <c r="CT107" s="408">
        <v>9.7306841573403347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0.27242942016093474</v>
      </c>
      <c r="DA107" s="408">
        <v>0</v>
      </c>
      <c r="DB107" s="408">
        <v>0</v>
      </c>
      <c r="DC107" s="408">
        <v>110.62991604427179</v>
      </c>
      <c r="DD107" s="408">
        <v>0</v>
      </c>
      <c r="DE107" s="408">
        <v>0</v>
      </c>
      <c r="DF107" s="408">
        <v>0.30820243329465802</v>
      </c>
      <c r="DG107" s="408">
        <v>18.364767189704452</v>
      </c>
      <c r="DH107" s="408">
        <v>0</v>
      </c>
      <c r="DI107" s="408">
        <v>0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0</v>
      </c>
      <c r="DP107" s="408">
        <v>-0.28285915273004925</v>
      </c>
      <c r="DQ107" s="408">
        <v>0</v>
      </c>
      <c r="DR107" s="408">
        <v>0</v>
      </c>
      <c r="DS107" s="408"/>
      <c r="DT107" s="408"/>
      <c r="DU107" s="408"/>
      <c r="DV107" s="408">
        <v>1445.4406371874013</v>
      </c>
      <c r="DW107" s="408">
        <v>0</v>
      </c>
      <c r="DX107" s="408">
        <v>0</v>
      </c>
      <c r="DY107" s="408">
        <v>-1030.4922000000001</v>
      </c>
      <c r="DZ107" s="234">
        <v>110.61569999999995</v>
      </c>
      <c r="EA107" s="408">
        <v>0</v>
      </c>
      <c r="EB107" s="408">
        <v>0</v>
      </c>
      <c r="EC107" s="408">
        <v>-1061.9794266489405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242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61" customFormat="1">
      <c r="A108" s="408">
        <v>106</v>
      </c>
      <c r="B108" s="408" t="s">
        <v>1036</v>
      </c>
      <c r="C108" s="408" t="s">
        <v>2231</v>
      </c>
      <c r="D108" s="408" t="s">
        <v>1952</v>
      </c>
      <c r="E108" s="408" t="s">
        <v>969</v>
      </c>
      <c r="F108" s="408" t="s">
        <v>2236</v>
      </c>
      <c r="G108" s="408" t="s">
        <v>1322</v>
      </c>
      <c r="H108" s="408" t="s">
        <v>1322</v>
      </c>
      <c r="I108" s="408" t="s">
        <v>1322</v>
      </c>
      <c r="J108" s="408" t="s">
        <v>2232</v>
      </c>
      <c r="K108" s="828">
        <v>44440</v>
      </c>
      <c r="L108" s="408">
        <v>0</v>
      </c>
      <c r="M108" s="408">
        <v>0</v>
      </c>
      <c r="N108" s="408">
        <v>7.1050000000000004</v>
      </c>
      <c r="O108" s="408">
        <v>7.1050000000000004</v>
      </c>
      <c r="P108" s="408">
        <v>7.1050000000000004</v>
      </c>
      <c r="Q108" s="408">
        <v>7.1050000000000004</v>
      </c>
      <c r="R108" s="408"/>
      <c r="S108" s="408">
        <v>501.89</v>
      </c>
      <c r="T108" s="408">
        <v>216.76</v>
      </c>
      <c r="U108" s="408"/>
      <c r="V108" s="408">
        <v>5106.0082500000008</v>
      </c>
      <c r="W108" s="408">
        <v>5106.0082500000008</v>
      </c>
      <c r="X108" s="408">
        <v>3178.0664999999999</v>
      </c>
      <c r="Y108" s="408">
        <v>0</v>
      </c>
      <c r="Z108" s="408">
        <v>0</v>
      </c>
      <c r="AA108" s="408">
        <v>0</v>
      </c>
      <c r="AB108" s="408">
        <v>0</v>
      </c>
      <c r="AC108" s="408">
        <v>0</v>
      </c>
      <c r="AD108" s="408">
        <v>5.8396968350052783</v>
      </c>
      <c r="AE108" s="408">
        <v>3029.4559667305266</v>
      </c>
      <c r="AF108" s="408">
        <v>1517.6386633519339</v>
      </c>
      <c r="AG108" s="408">
        <v>22.43336065249402</v>
      </c>
      <c r="AH108" s="408">
        <v>0</v>
      </c>
      <c r="AI108" s="408">
        <v>0</v>
      </c>
      <c r="AJ108" s="408">
        <v>0</v>
      </c>
      <c r="AK108" s="408">
        <v>0</v>
      </c>
      <c r="AL108" s="408">
        <v>0</v>
      </c>
      <c r="AM108" s="408"/>
      <c r="AN108" s="408">
        <v>13.630726196482199</v>
      </c>
      <c r="AO108" s="408">
        <v>63.104462507375679</v>
      </c>
      <c r="AP108" s="408">
        <v>197.7115818418377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4.2279696634672765</v>
      </c>
      <c r="BE108" s="408">
        <v>0</v>
      </c>
      <c r="BF108" s="408">
        <v>0</v>
      </c>
      <c r="BG108" s="408">
        <v>251.93077719952726</v>
      </c>
      <c r="BH108" s="408">
        <v>0</v>
      </c>
      <c r="BI108" s="408">
        <v>13.72</v>
      </c>
      <c r="BJ108" s="408">
        <v>64.349999999999994</v>
      </c>
      <c r="BK108" s="408">
        <v>881.38</v>
      </c>
      <c r="BL108" s="408">
        <v>23</v>
      </c>
      <c r="BM108" s="408"/>
      <c r="BN108" s="408"/>
      <c r="BO108" s="408"/>
      <c r="BP108" s="408"/>
      <c r="BQ108" s="408"/>
      <c r="BR108" s="408"/>
      <c r="BS108" s="408"/>
      <c r="BT108" s="408">
        <v>1271.1555499999999</v>
      </c>
      <c r="BU108" s="408"/>
      <c r="BV108" s="408">
        <v>1773.7974102149285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1908.2529</v>
      </c>
      <c r="CJ108" s="408">
        <v>-1155.3820500000011</v>
      </c>
      <c r="CK108" s="408"/>
      <c r="CL108" s="408"/>
      <c r="CM108" s="408"/>
      <c r="CN108" s="408"/>
      <c r="CO108" s="408">
        <v>-2159.7779</v>
      </c>
      <c r="CP108" s="408">
        <v>231.83614999999998</v>
      </c>
      <c r="CQ108" s="408">
        <v>30</v>
      </c>
      <c r="CR108" s="408">
        <v>297.88377882146187</v>
      </c>
      <c r="CS108" s="408">
        <v>6.5093214899103131</v>
      </c>
      <c r="CT108" s="408">
        <v>20.394251014130731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0.57097670508656062</v>
      </c>
      <c r="DA108" s="408">
        <v>0</v>
      </c>
      <c r="DB108" s="408">
        <v>0</v>
      </c>
      <c r="DC108" s="408">
        <v>231.8659449836432</v>
      </c>
      <c r="DD108" s="408">
        <v>0</v>
      </c>
      <c r="DE108" s="408">
        <v>0</v>
      </c>
      <c r="DF108" s="408">
        <v>0.64595229750989525</v>
      </c>
      <c r="DG108" s="408">
        <v>38.490168402020686</v>
      </c>
      <c r="DH108" s="408">
        <v>0</v>
      </c>
      <c r="DI108" s="408">
        <v>0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0</v>
      </c>
      <c r="DP108" s="408">
        <v>-0.59283607083982304</v>
      </c>
      <c r="DQ108" s="408">
        <v>0</v>
      </c>
      <c r="DR108" s="408">
        <v>0</v>
      </c>
      <c r="DS108" s="408"/>
      <c r="DT108" s="408"/>
      <c r="DU108" s="408"/>
      <c r="DV108" s="408">
        <v>3029.4559667305266</v>
      </c>
      <c r="DW108" s="408">
        <v>0</v>
      </c>
      <c r="DX108" s="408">
        <v>0</v>
      </c>
      <c r="DY108" s="408">
        <v>-2159.7779</v>
      </c>
      <c r="DZ108" s="234">
        <v>231.83615000000009</v>
      </c>
      <c r="EA108" s="408">
        <v>0</v>
      </c>
      <c r="EB108" s="408">
        <v>0</v>
      </c>
      <c r="EC108" s="408">
        <v>-2225.7710402185016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242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61" customFormat="1">
      <c r="A109" s="408">
        <v>107</v>
      </c>
      <c r="B109" s="408" t="s">
        <v>1036</v>
      </c>
      <c r="C109" s="408" t="s">
        <v>2231</v>
      </c>
      <c r="D109" s="408" t="s">
        <v>1952</v>
      </c>
      <c r="E109" s="408" t="s">
        <v>969</v>
      </c>
      <c r="F109" s="408" t="s">
        <v>2237</v>
      </c>
      <c r="G109" s="408" t="s">
        <v>1322</v>
      </c>
      <c r="H109" s="408" t="s">
        <v>1322</v>
      </c>
      <c r="I109" s="408" t="s">
        <v>1322</v>
      </c>
      <c r="J109" s="408" t="s">
        <v>2232</v>
      </c>
      <c r="K109" s="828">
        <v>44440</v>
      </c>
      <c r="L109" s="408">
        <v>0</v>
      </c>
      <c r="M109" s="408">
        <v>0</v>
      </c>
      <c r="N109" s="408">
        <v>6.6639999999999997</v>
      </c>
      <c r="O109" s="408">
        <v>6.6639999999999997</v>
      </c>
      <c r="P109" s="408">
        <v>6.6639999999999997</v>
      </c>
      <c r="Q109" s="408">
        <v>6.6639999999999997</v>
      </c>
      <c r="R109" s="408"/>
      <c r="S109" s="408">
        <v>501.89</v>
      </c>
      <c r="T109" s="408">
        <v>216.76</v>
      </c>
      <c r="U109" s="408"/>
      <c r="V109" s="408">
        <v>4789.0835999999999</v>
      </c>
      <c r="W109" s="408">
        <v>4789.0835999999999</v>
      </c>
      <c r="X109" s="408">
        <v>2980.8071999999997</v>
      </c>
      <c r="Y109" s="408">
        <v>0</v>
      </c>
      <c r="Z109" s="408">
        <v>0</v>
      </c>
      <c r="AA109" s="408">
        <v>0</v>
      </c>
      <c r="AB109" s="408">
        <v>0</v>
      </c>
      <c r="AC109" s="408">
        <v>0</v>
      </c>
      <c r="AD109" s="408">
        <v>5.4772328935221912</v>
      </c>
      <c r="AE109" s="408">
        <v>2841.4207687955281</v>
      </c>
      <c r="AF109" s="408">
        <v>1423.4404014887102</v>
      </c>
      <c r="AG109" s="408">
        <v>21.040945163718526</v>
      </c>
      <c r="AH109" s="408">
        <v>0</v>
      </c>
      <c r="AI109" s="408">
        <v>0</v>
      </c>
      <c r="AJ109" s="408">
        <v>0</v>
      </c>
      <c r="AK109" s="408">
        <v>0</v>
      </c>
      <c r="AL109" s="408">
        <v>0</v>
      </c>
      <c r="AM109" s="408"/>
      <c r="AN109" s="408">
        <v>12.784681122217785</v>
      </c>
      <c r="AO109" s="408">
        <v>59.187633800021317</v>
      </c>
      <c r="AP109" s="408">
        <v>185.4398284861374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3.965543960217583</v>
      </c>
      <c r="BE109" s="408">
        <v>0</v>
      </c>
      <c r="BF109" s="408">
        <v>0</v>
      </c>
      <c r="BG109" s="408">
        <v>236.29369447679795</v>
      </c>
      <c r="BH109" s="408">
        <v>0</v>
      </c>
      <c r="BI109" s="408">
        <v>23.35</v>
      </c>
      <c r="BJ109" s="408">
        <v>106.98</v>
      </c>
      <c r="BK109" s="408">
        <v>1483.95</v>
      </c>
      <c r="BL109" s="408">
        <v>64</v>
      </c>
      <c r="BM109" s="408"/>
      <c r="BN109" s="408"/>
      <c r="BO109" s="408"/>
      <c r="BP109" s="408"/>
      <c r="BQ109" s="408"/>
      <c r="BR109" s="408"/>
      <c r="BS109" s="408"/>
      <c r="BT109" s="408">
        <v>298.08071999999993</v>
      </c>
      <c r="BU109" s="408"/>
      <c r="BV109" s="408">
        <v>1663.6996399257257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2681.1161999999999</v>
      </c>
      <c r="CJ109" s="408">
        <v>-1629.0557200000007</v>
      </c>
      <c r="CK109" s="408"/>
      <c r="CL109" s="408"/>
      <c r="CM109" s="408"/>
      <c r="CN109" s="408"/>
      <c r="CO109" s="408">
        <v>-2025.72272</v>
      </c>
      <c r="CP109" s="408">
        <v>217.44631999999996</v>
      </c>
      <c r="CQ109" s="408">
        <v>30</v>
      </c>
      <c r="CR109" s="408">
        <v>279.39444082564705</v>
      </c>
      <c r="CS109" s="408">
        <v>6.1052946388124383</v>
      </c>
      <c r="CT109" s="408">
        <v>19.128400951184688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0.53553677166739444</v>
      </c>
      <c r="DA109" s="408">
        <v>0</v>
      </c>
      <c r="DB109" s="408">
        <v>0</v>
      </c>
      <c r="DC109" s="408">
        <v>217.47426563983095</v>
      </c>
      <c r="DD109" s="408">
        <v>0</v>
      </c>
      <c r="DE109" s="408">
        <v>0</v>
      </c>
      <c r="DF109" s="408">
        <v>0.60585870662997099</v>
      </c>
      <c r="DG109" s="408">
        <v>36.101123466722811</v>
      </c>
      <c r="DH109" s="408">
        <v>0</v>
      </c>
      <c r="DI109" s="408">
        <v>0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0</v>
      </c>
      <c r="DP109" s="408">
        <v>-0.55603934920148923</v>
      </c>
      <c r="DQ109" s="408">
        <v>0</v>
      </c>
      <c r="DR109" s="408">
        <v>0</v>
      </c>
      <c r="DS109" s="408"/>
      <c r="DT109" s="408"/>
      <c r="DU109" s="408"/>
      <c r="DV109" s="408">
        <v>2841.4207687955281</v>
      </c>
      <c r="DW109" s="408">
        <v>0</v>
      </c>
      <c r="DX109" s="408">
        <v>0</v>
      </c>
      <c r="DY109" s="408">
        <v>-2025.72272</v>
      </c>
      <c r="DZ109" s="234">
        <v>217.44632000000001</v>
      </c>
      <c r="EA109" s="408">
        <v>0</v>
      </c>
      <c r="EB109" s="408">
        <v>0</v>
      </c>
      <c r="EC109" s="408">
        <v>-2087.6197342739051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242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61" customFormat="1">
      <c r="A110" s="408">
        <v>108</v>
      </c>
      <c r="B110" s="408" t="s">
        <v>1036</v>
      </c>
      <c r="C110" s="408" t="s">
        <v>2231</v>
      </c>
      <c r="D110" s="408" t="s">
        <v>1952</v>
      </c>
      <c r="E110" s="408" t="s">
        <v>969</v>
      </c>
      <c r="F110" s="408" t="s">
        <v>2238</v>
      </c>
      <c r="G110" s="408" t="s">
        <v>1322</v>
      </c>
      <c r="H110" s="408" t="s">
        <v>1322</v>
      </c>
      <c r="I110" s="408" t="s">
        <v>1322</v>
      </c>
      <c r="J110" s="408" t="s">
        <v>2232</v>
      </c>
      <c r="K110" s="828">
        <v>44440</v>
      </c>
      <c r="L110" s="408">
        <v>0</v>
      </c>
      <c r="M110" s="408">
        <v>0</v>
      </c>
      <c r="N110" s="408">
        <v>2.0499999999999998</v>
      </c>
      <c r="O110" s="408">
        <v>2.0499999999999998</v>
      </c>
      <c r="P110" s="408">
        <v>2.0499999999999998</v>
      </c>
      <c r="Q110" s="408">
        <v>2.0499999999999998</v>
      </c>
      <c r="R110" s="408"/>
      <c r="S110" s="408">
        <v>501.89</v>
      </c>
      <c r="T110" s="408">
        <v>216.76</v>
      </c>
      <c r="U110" s="408"/>
      <c r="V110" s="408">
        <v>1473.2324999999998</v>
      </c>
      <c r="W110" s="408">
        <v>1473.2324999999998</v>
      </c>
      <c r="X110" s="408">
        <v>916.96499999999992</v>
      </c>
      <c r="Y110" s="408">
        <v>0</v>
      </c>
      <c r="Z110" s="408">
        <v>0</v>
      </c>
      <c r="AA110" s="408">
        <v>0</v>
      </c>
      <c r="AB110" s="408">
        <v>0</v>
      </c>
      <c r="AC110" s="408">
        <v>0</v>
      </c>
      <c r="AD110" s="408">
        <v>1.6849230839916705</v>
      </c>
      <c r="AE110" s="408">
        <v>874.08652101303016</v>
      </c>
      <c r="AF110" s="408">
        <v>437.88307668845374</v>
      </c>
      <c r="AG110" s="408">
        <v>6.4726797097273376</v>
      </c>
      <c r="AH110" s="408">
        <v>0</v>
      </c>
      <c r="AI110" s="408">
        <v>0</v>
      </c>
      <c r="AJ110" s="408">
        <v>0</v>
      </c>
      <c r="AK110" s="408">
        <v>0</v>
      </c>
      <c r="AL110" s="408">
        <v>0</v>
      </c>
      <c r="AM110" s="408"/>
      <c r="AN110" s="408">
        <v>3.9328625901180159</v>
      </c>
      <c r="AO110" s="408">
        <v>18.207480385660819</v>
      </c>
      <c r="AP110" s="408">
        <v>57.045565485681522</v>
      </c>
      <c r="AQ110" s="408">
        <v>0</v>
      </c>
      <c r="AR110" s="408">
        <v>0</v>
      </c>
      <c r="AS110" s="408">
        <v>0</v>
      </c>
      <c r="AT110" s="408">
        <v>0</v>
      </c>
      <c r="AU110" s="408">
        <v>0</v>
      </c>
      <c r="AV110" s="408">
        <v>0</v>
      </c>
      <c r="AW110" s="408">
        <v>0</v>
      </c>
      <c r="AX110" s="408">
        <v>0</v>
      </c>
      <c r="AY110" s="408">
        <v>0</v>
      </c>
      <c r="AZ110" s="408">
        <v>0</v>
      </c>
      <c r="BA110" s="408"/>
      <c r="BB110" s="408">
        <v>0</v>
      </c>
      <c r="BC110" s="408">
        <v>0</v>
      </c>
      <c r="BD110" s="408">
        <v>1.2198927248568494</v>
      </c>
      <c r="BE110" s="408">
        <v>0</v>
      </c>
      <c r="BF110" s="408">
        <v>0</v>
      </c>
      <c r="BG110" s="408">
        <v>72.689386806337907</v>
      </c>
      <c r="BH110" s="408">
        <v>0</v>
      </c>
      <c r="BI110" s="408">
        <v>10.25</v>
      </c>
      <c r="BJ110" s="408">
        <v>47.08</v>
      </c>
      <c r="BK110" s="408">
        <v>650.54</v>
      </c>
      <c r="BL110" s="408">
        <v>23</v>
      </c>
      <c r="BM110" s="408"/>
      <c r="BN110" s="408"/>
      <c r="BO110" s="408"/>
      <c r="BP110" s="408"/>
      <c r="BQ110" s="408"/>
      <c r="BR110" s="408"/>
      <c r="BS110" s="408"/>
      <c r="BT110" s="408"/>
      <c r="BU110" s="408"/>
      <c r="BV110" s="408">
        <v>511.79235621964847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916.96499999999992</v>
      </c>
      <c r="CJ110" s="408">
        <v>-556.2974999999999</v>
      </c>
      <c r="CK110" s="408"/>
      <c r="CL110" s="408"/>
      <c r="CM110" s="408"/>
      <c r="CN110" s="408"/>
      <c r="CO110" s="408">
        <v>-623.15899999999999</v>
      </c>
      <c r="CP110" s="408">
        <v>66.891499999999979</v>
      </c>
      <c r="CQ110" s="408">
        <v>30</v>
      </c>
      <c r="CR110" s="408">
        <v>85.9481698218151</v>
      </c>
      <c r="CS110" s="408">
        <v>1.8781293531760959</v>
      </c>
      <c r="CT110" s="408">
        <v>5.8843370273002122</v>
      </c>
      <c r="CU110" s="408">
        <v>0</v>
      </c>
      <c r="CV110" s="408">
        <v>0</v>
      </c>
      <c r="CW110" s="408">
        <v>0</v>
      </c>
      <c r="CX110" s="408">
        <v>0</v>
      </c>
      <c r="CY110" s="408">
        <v>0</v>
      </c>
      <c r="CZ110" s="408">
        <v>0.16474345466959162</v>
      </c>
      <c r="DA110" s="408">
        <v>0</v>
      </c>
      <c r="DB110" s="408">
        <v>0</v>
      </c>
      <c r="DC110" s="408">
        <v>66.900096722937235</v>
      </c>
      <c r="DD110" s="408">
        <v>0</v>
      </c>
      <c r="DE110" s="408">
        <v>0</v>
      </c>
      <c r="DF110" s="408">
        <v>0.18637610272980809</v>
      </c>
      <c r="DG110" s="408">
        <v>11.1055376810897</v>
      </c>
      <c r="DH110" s="408">
        <v>0</v>
      </c>
      <c r="DI110" s="408">
        <v>0</v>
      </c>
      <c r="DJ110" s="408"/>
      <c r="DK110" s="408">
        <v>0</v>
      </c>
      <c r="DL110" s="408">
        <v>0</v>
      </c>
      <c r="DM110" s="408">
        <v>0</v>
      </c>
      <c r="DN110" s="408">
        <v>0</v>
      </c>
      <c r="DO110" s="408">
        <v>0</v>
      </c>
      <c r="DP110" s="408">
        <v>-0.17105052008749277</v>
      </c>
      <c r="DQ110" s="408">
        <v>0</v>
      </c>
      <c r="DR110" s="408">
        <v>0</v>
      </c>
      <c r="DS110" s="408"/>
      <c r="DT110" s="408"/>
      <c r="DU110" s="408"/>
      <c r="DV110" s="408">
        <v>874.08652101303016</v>
      </c>
      <c r="DW110" s="408">
        <v>0</v>
      </c>
      <c r="DX110" s="408">
        <v>0</v>
      </c>
      <c r="DY110" s="408">
        <v>-623.15899999999988</v>
      </c>
      <c r="DZ110" s="234">
        <v>66.891500000000008</v>
      </c>
      <c r="EA110" s="408">
        <v>0</v>
      </c>
      <c r="EB110" s="408">
        <v>0</v>
      </c>
      <c r="EC110" s="408">
        <v>-642.19994826853326</v>
      </c>
      <c r="ED110" s="408">
        <v>0</v>
      </c>
      <c r="EE110" s="408">
        <v>0</v>
      </c>
      <c r="EF110" s="408">
        <v>0</v>
      </c>
      <c r="EG110" s="408">
        <v>0</v>
      </c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>
        <v>0</v>
      </c>
      <c r="EN110" s="408">
        <v>0</v>
      </c>
      <c r="EO110" s="408">
        <v>0</v>
      </c>
      <c r="EP110" s="408">
        <v>0</v>
      </c>
      <c r="EQ110" s="408">
        <v>0</v>
      </c>
      <c r="ER110" s="408">
        <v>0</v>
      </c>
      <c r="ES110" s="408">
        <v>0</v>
      </c>
      <c r="ET110" s="408">
        <v>0</v>
      </c>
      <c r="EU110" s="408">
        <v>0</v>
      </c>
      <c r="EV110" s="408">
        <v>242</v>
      </c>
      <c r="EW110" s="408">
        <v>0</v>
      </c>
      <c r="EX110" s="408">
        <v>0</v>
      </c>
      <c r="EY110" s="408">
        <v>0</v>
      </c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61" customFormat="1">
      <c r="A111" s="408">
        <v>109</v>
      </c>
      <c r="B111" s="408" t="s">
        <v>1036</v>
      </c>
      <c r="C111" s="408" t="s">
        <v>2231</v>
      </c>
      <c r="D111" s="408" t="s">
        <v>1955</v>
      </c>
      <c r="E111" s="408" t="s">
        <v>970</v>
      </c>
      <c r="F111" s="408" t="s">
        <v>1322</v>
      </c>
      <c r="G111" s="408" t="s">
        <v>1322</v>
      </c>
      <c r="H111" s="408" t="s">
        <v>1322</v>
      </c>
      <c r="I111" s="408" t="s">
        <v>1322</v>
      </c>
      <c r="J111" s="408" t="s">
        <v>2232</v>
      </c>
      <c r="K111" s="828">
        <v>44440</v>
      </c>
      <c r="L111" s="408">
        <v>0</v>
      </c>
      <c r="M111" s="408">
        <v>0</v>
      </c>
      <c r="N111" s="408">
        <v>30.138000000000002</v>
      </c>
      <c r="O111" s="408">
        <v>30.138000000000002</v>
      </c>
      <c r="P111" s="408">
        <v>30.138000000000002</v>
      </c>
      <c r="Q111" s="408">
        <v>30.138000000000002</v>
      </c>
      <c r="R111" s="408"/>
      <c r="S111" s="408">
        <v>571.87</v>
      </c>
      <c r="T111" s="408">
        <v>216.76</v>
      </c>
      <c r="U111" s="408"/>
      <c r="V111" s="408">
        <v>23767.730940000001</v>
      </c>
      <c r="W111" s="408">
        <v>23767.730940000001</v>
      </c>
      <c r="X111" s="408">
        <v>15491.233380000001</v>
      </c>
      <c r="Y111" s="408">
        <v>0</v>
      </c>
      <c r="Z111" s="408">
        <v>1826.6827764732566</v>
      </c>
      <c r="AA111" s="408">
        <v>0</v>
      </c>
      <c r="AB111" s="408">
        <v>0</v>
      </c>
      <c r="AC111" s="408">
        <v>0</v>
      </c>
      <c r="AD111" s="408">
        <v>24.770835075776084</v>
      </c>
      <c r="AE111" s="408">
        <v>12850.351009897906</v>
      </c>
      <c r="AF111" s="408">
        <v>6437.5220318227421</v>
      </c>
      <c r="AG111" s="408">
        <v>95.157863947201236</v>
      </c>
      <c r="AH111" s="408">
        <v>0</v>
      </c>
      <c r="AI111" s="408">
        <v>0</v>
      </c>
      <c r="AJ111" s="408">
        <v>0</v>
      </c>
      <c r="AK111" s="408">
        <v>0</v>
      </c>
      <c r="AL111" s="408">
        <v>282.50257120197574</v>
      </c>
      <c r="AM111" s="408"/>
      <c r="AN111" s="408">
        <v>57.818835483403312</v>
      </c>
      <c r="AO111" s="408">
        <v>267.6766067624614</v>
      </c>
      <c r="AP111" s="408">
        <v>838.65329395486344</v>
      </c>
      <c r="AQ111" s="408">
        <v>0</v>
      </c>
      <c r="AR111" s="408">
        <v>0</v>
      </c>
      <c r="AS111" s="408">
        <v>0</v>
      </c>
      <c r="AT111" s="408">
        <v>0</v>
      </c>
      <c r="AU111" s="408">
        <v>0</v>
      </c>
      <c r="AV111" s="408">
        <v>0</v>
      </c>
      <c r="AW111" s="408">
        <v>0</v>
      </c>
      <c r="AX111" s="408">
        <v>0</v>
      </c>
      <c r="AY111" s="408">
        <v>0</v>
      </c>
      <c r="AZ111" s="408">
        <v>0</v>
      </c>
      <c r="BA111" s="408"/>
      <c r="BB111" s="408">
        <v>0</v>
      </c>
      <c r="BC111" s="408">
        <v>0</v>
      </c>
      <c r="BD111" s="408">
        <v>17.934208264261333</v>
      </c>
      <c r="BE111" s="408">
        <v>0</v>
      </c>
      <c r="BF111" s="408">
        <v>0</v>
      </c>
      <c r="BG111" s="408">
        <v>1068.6403607655668</v>
      </c>
      <c r="BH111" s="408">
        <v>0</v>
      </c>
      <c r="BI111" s="408">
        <v>111.63</v>
      </c>
      <c r="BJ111" s="408">
        <v>513.20000000000005</v>
      </c>
      <c r="BK111" s="408">
        <v>4187.24</v>
      </c>
      <c r="BL111" s="408">
        <v>23</v>
      </c>
      <c r="BM111" s="408"/>
      <c r="BN111" s="408"/>
      <c r="BO111" s="408"/>
      <c r="BP111" s="408"/>
      <c r="BQ111" s="408"/>
      <c r="BR111" s="408"/>
      <c r="BS111" s="408"/>
      <c r="BT111" s="408"/>
      <c r="BU111" s="408"/>
      <c r="BV111" s="408">
        <v>7524.0966008525702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15492.261399999999</v>
      </c>
      <c r="CJ111" s="408">
        <v>-8275.4995399999971</v>
      </c>
      <c r="CK111" s="408"/>
      <c r="CL111" s="408"/>
      <c r="CM111" s="408"/>
      <c r="CN111" s="408"/>
      <c r="CO111" s="408">
        <v>-9259.9004999999997</v>
      </c>
      <c r="CP111" s="408">
        <v>983.40293999999994</v>
      </c>
      <c r="CQ111" s="408">
        <v>30</v>
      </c>
      <c r="CR111" s="408">
        <v>1164.8429176019636</v>
      </c>
      <c r="CS111" s="408">
        <v>27.611249973668862</v>
      </c>
      <c r="CT111" s="408">
        <v>86.508365526231046</v>
      </c>
      <c r="CU111" s="408">
        <v>0</v>
      </c>
      <c r="CV111" s="408">
        <v>0</v>
      </c>
      <c r="CW111" s="408">
        <v>0</v>
      </c>
      <c r="CX111" s="408">
        <v>0</v>
      </c>
      <c r="CY111" s="408">
        <v>0</v>
      </c>
      <c r="CZ111" s="408">
        <v>2.4219698716254392</v>
      </c>
      <c r="DA111" s="408">
        <v>0</v>
      </c>
      <c r="DB111" s="408">
        <v>0</v>
      </c>
      <c r="DC111" s="408">
        <v>983.52932440774748</v>
      </c>
      <c r="DD111" s="408">
        <v>0</v>
      </c>
      <c r="DE111" s="408">
        <v>0</v>
      </c>
      <c r="DF111" s="408">
        <v>2.7400014556443679</v>
      </c>
      <c r="DG111" s="408">
        <v>163.26765591838125</v>
      </c>
      <c r="DH111" s="408">
        <v>0</v>
      </c>
      <c r="DI111" s="408">
        <v>-87.273780326010183</v>
      </c>
      <c r="DJ111" s="408"/>
      <c r="DK111" s="408">
        <v>0</v>
      </c>
      <c r="DL111" s="408">
        <v>0</v>
      </c>
      <c r="DM111" s="408">
        <v>0</v>
      </c>
      <c r="DN111" s="408">
        <v>0</v>
      </c>
      <c r="DO111" s="408">
        <v>-11.447176262202504</v>
      </c>
      <c r="DP111" s="408">
        <v>-2.5146929631204245</v>
      </c>
      <c r="DQ111" s="408">
        <v>0</v>
      </c>
      <c r="DR111" s="408">
        <v>0</v>
      </c>
      <c r="DS111" s="408"/>
      <c r="DT111" s="408"/>
      <c r="DU111" s="408"/>
      <c r="DV111" s="408">
        <v>12850.351009897906</v>
      </c>
      <c r="DW111" s="408">
        <v>0</v>
      </c>
      <c r="DX111" s="408">
        <v>0</v>
      </c>
      <c r="DY111" s="408">
        <v>-9259.9005000000016</v>
      </c>
      <c r="DZ111" s="234">
        <v>983.40293999999994</v>
      </c>
      <c r="EA111" s="408">
        <v>0</v>
      </c>
      <c r="EB111" s="408">
        <v>0</v>
      </c>
      <c r="EC111" s="408">
        <v>-9441.2790443497834</v>
      </c>
      <c r="ED111" s="408">
        <v>0</v>
      </c>
      <c r="EE111" s="408">
        <v>0</v>
      </c>
      <c r="EF111" s="408">
        <v>0</v>
      </c>
      <c r="EG111" s="408">
        <v>0</v>
      </c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>
        <v>0</v>
      </c>
      <c r="EN111" s="408">
        <v>0</v>
      </c>
      <c r="EO111" s="408">
        <v>0</v>
      </c>
      <c r="EP111" s="408">
        <v>0</v>
      </c>
      <c r="EQ111" s="408">
        <v>0</v>
      </c>
      <c r="ER111" s="408">
        <v>0</v>
      </c>
      <c r="ES111" s="408">
        <v>0</v>
      </c>
      <c r="ET111" s="408">
        <v>0</v>
      </c>
      <c r="EU111" s="408">
        <v>0</v>
      </c>
      <c r="EV111" s="408">
        <v>242</v>
      </c>
      <c r="EW111" s="408">
        <v>0</v>
      </c>
      <c r="EX111" s="408">
        <v>0</v>
      </c>
      <c r="EY111" s="408">
        <v>0</v>
      </c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61" customFormat="1">
      <c r="A112" s="408">
        <v>110</v>
      </c>
      <c r="B112" s="408" t="s">
        <v>2234</v>
      </c>
      <c r="C112" s="408" t="s">
        <v>2231</v>
      </c>
      <c r="D112" s="408" t="s">
        <v>1955</v>
      </c>
      <c r="E112" s="408" t="s">
        <v>970</v>
      </c>
      <c r="F112" s="408" t="s">
        <v>1322</v>
      </c>
      <c r="G112" s="408" t="s">
        <v>1322</v>
      </c>
      <c r="H112" s="408" t="s">
        <v>1322</v>
      </c>
      <c r="I112" s="408" t="s">
        <v>1322</v>
      </c>
      <c r="J112" s="408" t="s">
        <v>2232</v>
      </c>
      <c r="K112" s="828">
        <v>44440</v>
      </c>
      <c r="L112" s="408">
        <v>0</v>
      </c>
      <c r="M112" s="408">
        <v>0</v>
      </c>
      <c r="N112" s="408">
        <v>2.2709999999999999</v>
      </c>
      <c r="O112" s="408">
        <v>2.2709999999999999</v>
      </c>
      <c r="P112" s="408">
        <v>2.2709999999999999</v>
      </c>
      <c r="Q112" s="408">
        <v>2.2709999999999999</v>
      </c>
      <c r="R112" s="408"/>
      <c r="S112" s="408">
        <v>571.87</v>
      </c>
      <c r="T112" s="408">
        <v>216.76</v>
      </c>
      <c r="U112" s="408"/>
      <c r="V112" s="408">
        <v>1790.9787299999998</v>
      </c>
      <c r="W112" s="408">
        <v>1790.9787299999998</v>
      </c>
      <c r="X112" s="408">
        <v>1167.3167100000001</v>
      </c>
      <c r="Y112" s="408">
        <v>0</v>
      </c>
      <c r="Z112" s="408">
        <v>137.64671130701325</v>
      </c>
      <c r="AA112" s="408">
        <v>0</v>
      </c>
      <c r="AB112" s="408">
        <v>0</v>
      </c>
      <c r="AC112" s="408">
        <v>0</v>
      </c>
      <c r="AD112" s="408">
        <v>1.8665660115829676</v>
      </c>
      <c r="AE112" s="408">
        <v>968.31731181492273</v>
      </c>
      <c r="AF112" s="408">
        <v>485.08900837047736</v>
      </c>
      <c r="AG112" s="408">
        <v>7.1704661564833092</v>
      </c>
      <c r="AH112" s="408">
        <v>0</v>
      </c>
      <c r="AI112" s="408">
        <v>0</v>
      </c>
      <c r="AJ112" s="408">
        <v>0</v>
      </c>
      <c r="AK112" s="408">
        <v>0</v>
      </c>
      <c r="AL112" s="408">
        <v>21.287522038611947</v>
      </c>
      <c r="AM112" s="408"/>
      <c r="AN112" s="408">
        <v>4.3568443620282995</v>
      </c>
      <c r="AO112" s="408">
        <v>20.170335588212549</v>
      </c>
      <c r="AP112" s="408">
        <v>63.195355716089146</v>
      </c>
      <c r="AQ112" s="408">
        <v>0</v>
      </c>
      <c r="AR112" s="408">
        <v>0</v>
      </c>
      <c r="AS112" s="408">
        <v>0</v>
      </c>
      <c r="AT112" s="408">
        <v>0</v>
      </c>
      <c r="AU112" s="408">
        <v>0</v>
      </c>
      <c r="AV112" s="408">
        <v>0</v>
      </c>
      <c r="AW112" s="408">
        <v>0</v>
      </c>
      <c r="AX112" s="408">
        <v>0</v>
      </c>
      <c r="AY112" s="408">
        <v>0</v>
      </c>
      <c r="AZ112" s="408">
        <v>0</v>
      </c>
      <c r="BA112" s="408"/>
      <c r="BB112" s="408">
        <v>0</v>
      </c>
      <c r="BC112" s="408">
        <v>0</v>
      </c>
      <c r="BD112" s="408">
        <v>1.3514031112926366</v>
      </c>
      <c r="BE112" s="408">
        <v>0</v>
      </c>
      <c r="BF112" s="408">
        <v>0</v>
      </c>
      <c r="BG112" s="408">
        <v>80.525657286435802</v>
      </c>
      <c r="BH112" s="408">
        <v>0</v>
      </c>
      <c r="BI112" s="408">
        <v>7.1</v>
      </c>
      <c r="BJ112" s="408">
        <v>32.67</v>
      </c>
      <c r="BK112" s="408">
        <v>845.91</v>
      </c>
      <c r="BL112" s="408">
        <v>4</v>
      </c>
      <c r="BM112" s="408"/>
      <c r="BN112" s="408"/>
      <c r="BO112" s="408"/>
      <c r="BP112" s="408"/>
      <c r="BQ112" s="408"/>
      <c r="BR112" s="408"/>
      <c r="BS112" s="408"/>
      <c r="BT112" s="408"/>
      <c r="BU112" s="408"/>
      <c r="BV112" s="408">
        <v>566.96606876820579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1166.8027</v>
      </c>
      <c r="CJ112" s="408">
        <v>-624.20602999999983</v>
      </c>
      <c r="CK112" s="408"/>
      <c r="CL112" s="408"/>
      <c r="CM112" s="408"/>
      <c r="CN112" s="408"/>
      <c r="CO112" s="408">
        <v>-697.76474999999994</v>
      </c>
      <c r="CP112" s="408">
        <v>74.10272999999998</v>
      </c>
      <c r="CQ112" s="408">
        <v>30</v>
      </c>
      <c r="CR112" s="408">
        <v>87.774844577412637</v>
      </c>
      <c r="CS112" s="408">
        <v>2.0806008590550782</v>
      </c>
      <c r="CT112" s="408">
        <v>6.5186972629262314</v>
      </c>
      <c r="CU112" s="408">
        <v>0</v>
      </c>
      <c r="CV112" s="408">
        <v>0</v>
      </c>
      <c r="CW112" s="408">
        <v>0</v>
      </c>
      <c r="CX112" s="408">
        <v>0</v>
      </c>
      <c r="CY112" s="408">
        <v>0</v>
      </c>
      <c r="CZ112" s="408">
        <v>0.18250360270958188</v>
      </c>
      <c r="DA112" s="408">
        <v>0</v>
      </c>
      <c r="DB112" s="408">
        <v>0</v>
      </c>
      <c r="DC112" s="408">
        <v>74.112253491605088</v>
      </c>
      <c r="DD112" s="408">
        <v>0</v>
      </c>
      <c r="DE112" s="408">
        <v>0</v>
      </c>
      <c r="DF112" s="408">
        <v>0.20646835575580202</v>
      </c>
      <c r="DG112" s="408">
        <v>12.302768816465715</v>
      </c>
      <c r="DH112" s="408">
        <v>0</v>
      </c>
      <c r="DI112" s="408">
        <v>-6.5763738509645293</v>
      </c>
      <c r="DJ112" s="408"/>
      <c r="DK112" s="408">
        <v>0</v>
      </c>
      <c r="DL112" s="408">
        <v>0</v>
      </c>
      <c r="DM112" s="408">
        <v>0</v>
      </c>
      <c r="DN112" s="408">
        <v>0</v>
      </c>
      <c r="DO112" s="408">
        <v>-0.86258335959459487</v>
      </c>
      <c r="DP112" s="408">
        <v>-0.18949060054570488</v>
      </c>
      <c r="DQ112" s="408">
        <v>0</v>
      </c>
      <c r="DR112" s="408">
        <v>0</v>
      </c>
      <c r="DS112" s="408"/>
      <c r="DT112" s="408"/>
      <c r="DU112" s="408"/>
      <c r="DV112" s="408">
        <v>968.31731181492273</v>
      </c>
      <c r="DW112" s="408">
        <v>0</v>
      </c>
      <c r="DX112" s="408">
        <v>0</v>
      </c>
      <c r="DY112" s="408">
        <v>-697.76475000000005</v>
      </c>
      <c r="DZ112" s="234">
        <v>74.102730000000065</v>
      </c>
      <c r="EA112" s="408">
        <v>0</v>
      </c>
      <c r="EB112" s="408">
        <v>0</v>
      </c>
      <c r="EC112" s="408">
        <v>-711.4322353745556</v>
      </c>
      <c r="ED112" s="408">
        <v>0</v>
      </c>
      <c r="EE112" s="408">
        <v>0</v>
      </c>
      <c r="EF112" s="408">
        <v>0</v>
      </c>
      <c r="EG112" s="408">
        <v>0</v>
      </c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>
        <v>0</v>
      </c>
      <c r="EN112" s="408">
        <v>0</v>
      </c>
      <c r="EO112" s="408">
        <v>0</v>
      </c>
      <c r="EP112" s="408">
        <v>0</v>
      </c>
      <c r="EQ112" s="408">
        <v>0</v>
      </c>
      <c r="ER112" s="408">
        <v>0</v>
      </c>
      <c r="ES112" s="408">
        <v>0</v>
      </c>
      <c r="ET112" s="408">
        <v>0</v>
      </c>
      <c r="EU112" s="408">
        <v>0</v>
      </c>
      <c r="EV112" s="408">
        <v>242</v>
      </c>
      <c r="EW112" s="408">
        <v>0</v>
      </c>
      <c r="EX112" s="408">
        <v>0</v>
      </c>
      <c r="EY112" s="408">
        <v>0</v>
      </c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61" customFormat="1">
      <c r="A113" s="408">
        <v>111</v>
      </c>
      <c r="B113" s="408" t="s">
        <v>1036</v>
      </c>
      <c r="C113" s="408" t="s">
        <v>2239</v>
      </c>
      <c r="D113" s="408" t="s">
        <v>597</v>
      </c>
      <c r="E113" s="408" t="s">
        <v>970</v>
      </c>
      <c r="F113" s="408" t="s">
        <v>1322</v>
      </c>
      <c r="G113" s="408" t="s">
        <v>1322</v>
      </c>
      <c r="H113" s="408" t="s">
        <v>1322</v>
      </c>
      <c r="I113" s="408" t="s">
        <v>973</v>
      </c>
      <c r="J113" s="408" t="s">
        <v>2232</v>
      </c>
      <c r="K113" s="828">
        <v>44440</v>
      </c>
      <c r="L113" s="408">
        <v>0</v>
      </c>
      <c r="M113" s="408">
        <v>0</v>
      </c>
      <c r="N113" s="408">
        <v>7.476</v>
      </c>
      <c r="O113" s="408">
        <v>7.476</v>
      </c>
      <c r="P113" s="408">
        <v>7.476</v>
      </c>
      <c r="Q113" s="408">
        <v>7.476</v>
      </c>
      <c r="R113" s="408"/>
      <c r="S113" s="408">
        <v>2592.54</v>
      </c>
      <c r="T113" s="408">
        <v>216.76</v>
      </c>
      <c r="U113" s="408"/>
      <c r="V113" s="408">
        <v>21002.326799999999</v>
      </c>
      <c r="W113" s="408">
        <v>21002.326799999999</v>
      </c>
      <c r="X113" s="408">
        <v>8830.6512000000002</v>
      </c>
      <c r="Y113" s="408">
        <v>0</v>
      </c>
      <c r="Z113" s="408">
        <v>394.21872652847696</v>
      </c>
      <c r="AA113" s="408">
        <v>0</v>
      </c>
      <c r="AB113" s="408">
        <v>0</v>
      </c>
      <c r="AC113" s="408">
        <v>0</v>
      </c>
      <c r="AD113" s="408">
        <v>37.803404808030727</v>
      </c>
      <c r="AE113" s="408">
        <v>17126.704886997792</v>
      </c>
      <c r="AF113" s="408">
        <v>1596.8848201575026</v>
      </c>
      <c r="AG113" s="408">
        <v>23.604757809717842</v>
      </c>
      <c r="AH113" s="408">
        <v>0</v>
      </c>
      <c r="AI113" s="408">
        <v>0</v>
      </c>
      <c r="AJ113" s="408">
        <v>0</v>
      </c>
      <c r="AK113" s="408">
        <v>0</v>
      </c>
      <c r="AL113" s="408">
        <v>70.077285231467599</v>
      </c>
      <c r="AM113" s="408"/>
      <c r="AN113" s="408">
        <v>10.26620914104484</v>
      </c>
      <c r="AO113" s="408">
        <v>337.27877963926454</v>
      </c>
      <c r="AP113" s="408">
        <v>1279.8967974633604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3.4187650696492513</v>
      </c>
      <c r="BE113" s="408">
        <v>0</v>
      </c>
      <c r="BF113" s="408">
        <v>0</v>
      </c>
      <c r="BG113" s="408">
        <v>122.12910843906317</v>
      </c>
      <c r="BH113" s="408">
        <v>0</v>
      </c>
      <c r="BI113" s="408">
        <v>0</v>
      </c>
      <c r="BJ113" s="408">
        <v>0</v>
      </c>
      <c r="BK113" s="408">
        <v>0</v>
      </c>
      <c r="BL113" s="408">
        <v>0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1722.4326936662151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8835.3760000000002</v>
      </c>
      <c r="CJ113" s="408">
        <v>-12166.980799999994</v>
      </c>
      <c r="CK113" s="408"/>
      <c r="CL113" s="408"/>
      <c r="CM113" s="408"/>
      <c r="CN113" s="408"/>
      <c r="CO113" s="408">
        <v>-12415.617480000001</v>
      </c>
      <c r="CP113" s="408">
        <v>243.94187999999997</v>
      </c>
      <c r="CQ113" s="408">
        <v>30</v>
      </c>
      <c r="CR113" s="408">
        <v>411.54413862707588</v>
      </c>
      <c r="CS113" s="408">
        <v>34.79082019183619</v>
      </c>
      <c r="CT113" s="408">
        <v>132.02330544565575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3.6962301517016058</v>
      </c>
      <c r="DA113" s="408">
        <v>0</v>
      </c>
      <c r="DB113" s="408">
        <v>0</v>
      </c>
      <c r="DC113" s="408">
        <v>243.97323078081877</v>
      </c>
      <c r="DD113" s="408">
        <v>0</v>
      </c>
      <c r="DE113" s="408">
        <v>0</v>
      </c>
      <c r="DF113" s="408">
        <v>0.52232142781637014</v>
      </c>
      <c r="DG113" s="408">
        <v>18.658974512213831</v>
      </c>
      <c r="DH113" s="408">
        <v>0</v>
      </c>
      <c r="DI113" s="408">
        <v>-18.834665209834668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-2.8395742828398056</v>
      </c>
      <c r="DP113" s="408">
        <v>-0.44650439029195965</v>
      </c>
      <c r="DQ113" s="408">
        <v>0</v>
      </c>
      <c r="DR113" s="408">
        <v>0</v>
      </c>
      <c r="DS113" s="408"/>
      <c r="DT113" s="408"/>
      <c r="DU113" s="408"/>
      <c r="DV113" s="408">
        <v>17126.704886997792</v>
      </c>
      <c r="DW113" s="408">
        <v>0</v>
      </c>
      <c r="DX113" s="408">
        <v>0</v>
      </c>
      <c r="DY113" s="408">
        <v>-12415.617480000001</v>
      </c>
      <c r="DZ113" s="234">
        <v>243.94187999999986</v>
      </c>
      <c r="EA113" s="408">
        <v>0</v>
      </c>
      <c r="EB113" s="408">
        <v>0</v>
      </c>
      <c r="EC113" s="408">
        <v>-12583.158220645368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242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61" customFormat="1">
      <c r="A114" s="408">
        <v>112</v>
      </c>
      <c r="B114" s="408" t="s">
        <v>1036</v>
      </c>
      <c r="C114" s="408" t="s">
        <v>2239</v>
      </c>
      <c r="D114" s="408" t="s">
        <v>597</v>
      </c>
      <c r="E114" s="408" t="s">
        <v>970</v>
      </c>
      <c r="F114" s="408" t="s">
        <v>1322</v>
      </c>
      <c r="G114" s="408" t="s">
        <v>1322</v>
      </c>
      <c r="H114" s="408" t="s">
        <v>1322</v>
      </c>
      <c r="I114" s="408" t="s">
        <v>2240</v>
      </c>
      <c r="J114" s="408" t="s">
        <v>2232</v>
      </c>
      <c r="K114" s="828">
        <v>44440</v>
      </c>
      <c r="L114" s="408">
        <v>0</v>
      </c>
      <c r="M114" s="408">
        <v>0</v>
      </c>
      <c r="N114" s="408">
        <v>114.196</v>
      </c>
      <c r="O114" s="408">
        <v>114.196</v>
      </c>
      <c r="P114" s="408">
        <v>114.196</v>
      </c>
      <c r="Q114" s="408">
        <v>114.196</v>
      </c>
      <c r="R114" s="408"/>
      <c r="S114" s="408">
        <v>80.27</v>
      </c>
      <c r="T114" s="408">
        <v>216.76</v>
      </c>
      <c r="U114" s="408"/>
      <c r="V114" s="408">
        <v>33919.637879999995</v>
      </c>
      <c r="W114" s="408">
        <v>33919.637879999995</v>
      </c>
      <c r="X114" s="408">
        <v>37601.316919999997</v>
      </c>
      <c r="Y114" s="408">
        <v>0</v>
      </c>
      <c r="Z114" s="408">
        <v>6021.6963208461684</v>
      </c>
      <c r="AA114" s="408">
        <v>0</v>
      </c>
      <c r="AB114" s="408">
        <v>0</v>
      </c>
      <c r="AC114" s="408">
        <v>0</v>
      </c>
      <c r="AD114" s="408">
        <v>0</v>
      </c>
      <c r="AE114" s="408">
        <v>0</v>
      </c>
      <c r="AF114" s="408">
        <v>24392.436988055935</v>
      </c>
      <c r="AG114" s="408">
        <v>360.56299128391373</v>
      </c>
      <c r="AH114" s="408">
        <v>0</v>
      </c>
      <c r="AI114" s="408">
        <v>0</v>
      </c>
      <c r="AJ114" s="408">
        <v>0</v>
      </c>
      <c r="AK114" s="408">
        <v>0</v>
      </c>
      <c r="AL114" s="408">
        <v>1070.4314692740334</v>
      </c>
      <c r="AM114" s="408"/>
      <c r="AN114" s="408">
        <v>156.81648195167958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52.221682168762158</v>
      </c>
      <c r="BE114" s="408">
        <v>0</v>
      </c>
      <c r="BF114" s="408">
        <v>0</v>
      </c>
      <c r="BG114" s="408">
        <v>1865.5237650223728</v>
      </c>
      <c r="BH114" s="408">
        <v>0</v>
      </c>
      <c r="BI114" s="408">
        <v>0</v>
      </c>
      <c r="BJ114" s="408">
        <v>0</v>
      </c>
      <c r="BK114" s="408">
        <v>0</v>
      </c>
      <c r="BL114" s="408">
        <v>0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26310.182435247068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37602.633999999998</v>
      </c>
      <c r="CJ114" s="408">
        <v>3682.9661199999973</v>
      </c>
      <c r="CK114" s="408"/>
      <c r="CL114" s="408"/>
      <c r="CM114" s="408"/>
      <c r="CN114" s="408"/>
      <c r="CO114" s="408">
        <v>-44.536440000000063</v>
      </c>
      <c r="CP114" s="408">
        <v>3726.2154799999994</v>
      </c>
      <c r="CQ114" s="408">
        <v>30</v>
      </c>
      <c r="CR114" s="408">
        <v>3681.7942569495499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0</v>
      </c>
      <c r="DA114" s="408">
        <v>0</v>
      </c>
      <c r="DB114" s="408">
        <v>0</v>
      </c>
      <c r="DC114" s="408">
        <v>3726.6943635963617</v>
      </c>
      <c r="DD114" s="408">
        <v>0</v>
      </c>
      <c r="DE114" s="408">
        <v>0</v>
      </c>
      <c r="DF114" s="408">
        <v>7.9784667965380152</v>
      </c>
      <c r="DG114" s="408">
        <v>285.01608525906499</v>
      </c>
      <c r="DH114" s="408">
        <v>0</v>
      </c>
      <c r="DI114" s="408">
        <v>-287.69976301528641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-43.374535152912358</v>
      </c>
      <c r="DP114" s="408">
        <v>-6.8203605342135631</v>
      </c>
      <c r="DQ114" s="408">
        <v>0</v>
      </c>
      <c r="DR114" s="408">
        <v>0</v>
      </c>
      <c r="DS114" s="408"/>
      <c r="DT114" s="408"/>
      <c r="DU114" s="408"/>
      <c r="DV114" s="408">
        <v>0</v>
      </c>
      <c r="DW114" s="408">
        <v>0</v>
      </c>
      <c r="DX114" s="408">
        <v>0</v>
      </c>
      <c r="DY114" s="408">
        <v>-44.536439999999857</v>
      </c>
      <c r="DZ114" s="234">
        <v>3726.2154799999989</v>
      </c>
      <c r="EA114" s="408">
        <v>0</v>
      </c>
      <c r="EB114" s="408">
        <v>0</v>
      </c>
      <c r="EC114" s="408">
        <v>0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242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61" customFormat="1">
      <c r="A115" s="408">
        <v>113</v>
      </c>
      <c r="B115" s="408" t="s">
        <v>1036</v>
      </c>
      <c r="C115" s="408" t="s">
        <v>2239</v>
      </c>
      <c r="D115" s="408" t="s">
        <v>597</v>
      </c>
      <c r="E115" s="408" t="s">
        <v>970</v>
      </c>
      <c r="F115" s="408" t="s">
        <v>1322</v>
      </c>
      <c r="G115" s="408" t="s">
        <v>1322</v>
      </c>
      <c r="H115" s="408" t="s">
        <v>1322</v>
      </c>
      <c r="I115" s="408" t="s">
        <v>1322</v>
      </c>
      <c r="J115" s="408" t="s">
        <v>2232</v>
      </c>
      <c r="K115" s="828">
        <v>44440</v>
      </c>
      <c r="L115" s="408">
        <v>925</v>
      </c>
      <c r="M115" s="408">
        <v>925</v>
      </c>
      <c r="N115" s="408">
        <v>0</v>
      </c>
      <c r="O115" s="408">
        <v>0</v>
      </c>
      <c r="P115" s="408">
        <v>0</v>
      </c>
      <c r="Q115" s="408">
        <v>0</v>
      </c>
      <c r="R115" s="408">
        <v>32.17</v>
      </c>
      <c r="S115" s="408"/>
      <c r="T115" s="408"/>
      <c r="U115" s="408">
        <v>29757.25</v>
      </c>
      <c r="V115" s="408"/>
      <c r="W115" s="408">
        <v>29757.25</v>
      </c>
      <c r="X115" s="408">
        <v>11960.25</v>
      </c>
      <c r="Y115" s="408">
        <v>0</v>
      </c>
      <c r="Z115" s="408">
        <v>0</v>
      </c>
      <c r="AA115" s="408">
        <v>0</v>
      </c>
      <c r="AB115" s="408">
        <v>0</v>
      </c>
      <c r="AC115" s="408">
        <v>0</v>
      </c>
      <c r="AD115" s="408">
        <v>92.422508246429743</v>
      </c>
      <c r="AE115" s="408">
        <v>24907.230271356024</v>
      </c>
      <c r="AF115" s="408"/>
      <c r="AG115" s="408"/>
      <c r="AH115" s="408"/>
      <c r="AI115" s="408">
        <v>0</v>
      </c>
      <c r="AJ115" s="408">
        <v>0</v>
      </c>
      <c r="AK115" s="408">
        <v>0</v>
      </c>
      <c r="AL115" s="408">
        <v>0</v>
      </c>
      <c r="AM115" s="408"/>
      <c r="AN115" s="408">
        <v>0</v>
      </c>
      <c r="AO115" s="408">
        <v>1632.0895234327004</v>
      </c>
      <c r="AP115" s="408">
        <v>3129.1502780372539</v>
      </c>
      <c r="AQ115" s="408">
        <v>0</v>
      </c>
      <c r="AR115" s="408">
        <v>0</v>
      </c>
      <c r="AS115" s="408"/>
      <c r="AT115" s="408"/>
      <c r="AU115" s="408">
        <v>0</v>
      </c>
      <c r="AV115" s="408">
        <v>0</v>
      </c>
      <c r="AW115" s="408">
        <v>0</v>
      </c>
      <c r="AX115" s="408"/>
      <c r="AY115" s="408"/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/>
      <c r="BG115" s="408">
        <v>0</v>
      </c>
      <c r="BH115" s="408">
        <v>0</v>
      </c>
      <c r="BI115" s="408">
        <v>444.38</v>
      </c>
      <c r="BJ115" s="408">
        <v>2040.97</v>
      </c>
      <c r="BK115" s="408">
        <v>15890.86</v>
      </c>
      <c r="BL115" s="408">
        <v>6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>
        <v>0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11960.25</v>
      </c>
      <c r="CJ115" s="408">
        <v>-17797.029999999995</v>
      </c>
      <c r="CK115" s="408"/>
      <c r="CL115" s="408"/>
      <c r="CM115" s="408"/>
      <c r="CN115" s="408"/>
      <c r="CO115" s="408">
        <v>-17797.000000000004</v>
      </c>
      <c r="CP115" s="408">
        <v>0</v>
      </c>
      <c r="CQ115" s="408">
        <v>30</v>
      </c>
      <c r="CR115" s="408">
        <v>500.16575872291105</v>
      </c>
      <c r="CS115" s="408">
        <v>168.35252193292195</v>
      </c>
      <c r="CT115" s="408">
        <v>322.77662055367091</v>
      </c>
      <c r="CU115" s="408">
        <v>0</v>
      </c>
      <c r="CV115" s="408">
        <v>0</v>
      </c>
      <c r="CW115" s="408"/>
      <c r="CX115" s="408"/>
      <c r="CY115" s="408"/>
      <c r="CZ115" s="408">
        <v>9.036616236318082</v>
      </c>
      <c r="DA115" s="408">
        <v>0</v>
      </c>
      <c r="DB115" s="408">
        <v>0</v>
      </c>
      <c r="DC115" s="408"/>
      <c r="DD115" s="408"/>
      <c r="DE115" s="408">
        <v>0</v>
      </c>
      <c r="DF115" s="408">
        <v>0</v>
      </c>
      <c r="DG115" s="408">
        <v>0</v>
      </c>
      <c r="DH115" s="408">
        <v>0</v>
      </c>
      <c r="DI115" s="408">
        <v>0</v>
      </c>
      <c r="DJ115" s="408"/>
      <c r="DK115" s="408">
        <v>0</v>
      </c>
      <c r="DL115" s="408">
        <v>0</v>
      </c>
      <c r="DM115" s="408"/>
      <c r="DN115" s="408">
        <v>0</v>
      </c>
      <c r="DO115" s="408">
        <v>0</v>
      </c>
      <c r="DP115" s="408">
        <v>0</v>
      </c>
      <c r="DQ115" s="408">
        <v>0</v>
      </c>
      <c r="DR115" s="408">
        <v>0</v>
      </c>
      <c r="DS115" s="408"/>
      <c r="DT115" s="408"/>
      <c r="DU115" s="408">
        <v>24907.230271356024</v>
      </c>
      <c r="DV115" s="408"/>
      <c r="DW115" s="408">
        <v>0</v>
      </c>
      <c r="DX115" s="408">
        <v>0</v>
      </c>
      <c r="DY115" s="408">
        <v>-17797</v>
      </c>
      <c r="DZ115" s="234"/>
      <c r="EA115" s="408">
        <v>0</v>
      </c>
      <c r="EB115" s="408"/>
      <c r="EC115" s="408">
        <v>-18299.586605270189</v>
      </c>
      <c r="ED115" s="408"/>
      <c r="EE115" s="408">
        <v>0</v>
      </c>
      <c r="EF115" s="408">
        <v>0</v>
      </c>
      <c r="EG115" s="408"/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/>
      <c r="EN115" s="408"/>
      <c r="EO115" s="408">
        <v>0</v>
      </c>
      <c r="EP115" s="408">
        <v>0</v>
      </c>
      <c r="EQ115" s="408"/>
      <c r="ER115" s="408">
        <v>0</v>
      </c>
      <c r="ES115" s="408"/>
      <c r="ET115" s="408">
        <v>0</v>
      </c>
      <c r="EU115" s="408"/>
      <c r="EV115" s="408">
        <v>242</v>
      </c>
      <c r="EW115" s="408"/>
      <c r="EX115" s="408"/>
      <c r="EY115" s="408"/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61" customFormat="1">
      <c r="A116" s="408">
        <v>114</v>
      </c>
      <c r="B116" s="408" t="s">
        <v>1036</v>
      </c>
      <c r="C116" s="408" t="s">
        <v>2231</v>
      </c>
      <c r="D116" s="408" t="s">
        <v>1955</v>
      </c>
      <c r="E116" s="408" t="s">
        <v>998</v>
      </c>
      <c r="F116" s="408" t="s">
        <v>1322</v>
      </c>
      <c r="G116" s="408" t="s">
        <v>1322</v>
      </c>
      <c r="H116" s="408" t="s">
        <v>1322</v>
      </c>
      <c r="I116" s="408" t="s">
        <v>1322</v>
      </c>
      <c r="J116" s="408" t="s">
        <v>2232</v>
      </c>
      <c r="K116" s="828">
        <v>44440</v>
      </c>
      <c r="L116" s="408">
        <v>0</v>
      </c>
      <c r="M116" s="408">
        <v>0</v>
      </c>
      <c r="N116" s="408">
        <v>223.98599999999999</v>
      </c>
      <c r="O116" s="408">
        <v>223.98599999999999</v>
      </c>
      <c r="P116" s="408">
        <v>223.98599999999999</v>
      </c>
      <c r="Q116" s="408">
        <v>223.98599999999999</v>
      </c>
      <c r="R116" s="408"/>
      <c r="S116" s="408">
        <v>571.87</v>
      </c>
      <c r="T116" s="408">
        <v>216.76</v>
      </c>
      <c r="U116" s="408"/>
      <c r="V116" s="408">
        <v>176642.07918</v>
      </c>
      <c r="W116" s="408">
        <v>176642.07918</v>
      </c>
      <c r="X116" s="408">
        <v>115131.04385999999</v>
      </c>
      <c r="Y116" s="408">
        <v>0</v>
      </c>
      <c r="Z116" s="408">
        <v>13575.929669226187</v>
      </c>
      <c r="AA116" s="408">
        <v>0</v>
      </c>
      <c r="AB116" s="408">
        <v>0</v>
      </c>
      <c r="AC116" s="408">
        <v>0</v>
      </c>
      <c r="AD116" s="408">
        <v>184.09716189802845</v>
      </c>
      <c r="AE116" s="408">
        <v>95503.972436890035</v>
      </c>
      <c r="AF116" s="408">
        <v>47843.745763482933</v>
      </c>
      <c r="AG116" s="408">
        <v>707.21445729901825</v>
      </c>
      <c r="AH116" s="408">
        <v>0</v>
      </c>
      <c r="AI116" s="408">
        <v>0</v>
      </c>
      <c r="AJ116" s="408">
        <v>0</v>
      </c>
      <c r="AK116" s="408">
        <v>0</v>
      </c>
      <c r="AL116" s="408">
        <v>2099.5627086484083</v>
      </c>
      <c r="AM116" s="408"/>
      <c r="AN116" s="408">
        <v>429.7103220049629</v>
      </c>
      <c r="AO116" s="408">
        <v>1989.3759520305484</v>
      </c>
      <c r="AP116" s="408">
        <v>6232.8819662809083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133.28726432672502</v>
      </c>
      <c r="BE116" s="408">
        <v>0</v>
      </c>
      <c r="BF116" s="408">
        <v>0</v>
      </c>
      <c r="BG116" s="408">
        <v>7942.1487771728789</v>
      </c>
      <c r="BH116" s="408">
        <v>0</v>
      </c>
      <c r="BI116" s="408">
        <v>974.56</v>
      </c>
      <c r="BJ116" s="408">
        <v>4490.8999999999996</v>
      </c>
      <c r="BK116" s="408">
        <v>62953.11</v>
      </c>
      <c r="BL116" s="408">
        <v>695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55919.181804982538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115133.0999</v>
      </c>
      <c r="CJ116" s="408">
        <v>-61509.009279999969</v>
      </c>
      <c r="CK116" s="408"/>
      <c r="CL116" s="408"/>
      <c r="CM116" s="408"/>
      <c r="CN116" s="408"/>
      <c r="CO116" s="408">
        <v>-68819.698499999999</v>
      </c>
      <c r="CP116" s="408">
        <v>7308.6631799999986</v>
      </c>
      <c r="CQ116" s="408">
        <v>30</v>
      </c>
      <c r="CR116" s="408">
        <v>8657.127405335239</v>
      </c>
      <c r="CS116" s="408">
        <v>205.20716161000064</v>
      </c>
      <c r="CT116" s="408">
        <v>642.93127482773889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18.00011094518203</v>
      </c>
      <c r="DA116" s="408">
        <v>0</v>
      </c>
      <c r="DB116" s="408">
        <v>0</v>
      </c>
      <c r="DC116" s="408">
        <v>7309.6024705286836</v>
      </c>
      <c r="DD116" s="408">
        <v>0</v>
      </c>
      <c r="DE116" s="408">
        <v>0</v>
      </c>
      <c r="DF116" s="408">
        <v>20.363725729775012</v>
      </c>
      <c r="DG116" s="408">
        <v>1213.4072990422246</v>
      </c>
      <c r="DH116" s="408">
        <v>0</v>
      </c>
      <c r="DI116" s="408">
        <v>-648.61984737214698</v>
      </c>
      <c r="DJ116" s="408"/>
      <c r="DK116" s="408">
        <v>0</v>
      </c>
      <c r="DL116" s="408">
        <v>0</v>
      </c>
      <c r="DM116" s="408">
        <v>0</v>
      </c>
      <c r="DN116" s="408">
        <v>0</v>
      </c>
      <c r="DO116" s="408">
        <v>-85.075559833621583</v>
      </c>
      <c r="DP116" s="408">
        <v>-18.689230142593715</v>
      </c>
      <c r="DQ116" s="408">
        <v>0</v>
      </c>
      <c r="DR116" s="408">
        <v>0</v>
      </c>
      <c r="DS116" s="408"/>
      <c r="DT116" s="408"/>
      <c r="DU116" s="408"/>
      <c r="DV116" s="408">
        <v>95503.972436890035</v>
      </c>
      <c r="DW116" s="408">
        <v>0</v>
      </c>
      <c r="DX116" s="408">
        <v>0</v>
      </c>
      <c r="DY116" s="408">
        <v>-68819.698499999999</v>
      </c>
      <c r="DZ116" s="234">
        <v>7308.6631800000032</v>
      </c>
      <c r="EA116" s="408">
        <v>0</v>
      </c>
      <c r="EB116" s="408">
        <v>0</v>
      </c>
      <c r="EC116" s="408">
        <v>-70167.706152622282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242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61" customFormat="1">
      <c r="A117" s="408">
        <v>115</v>
      </c>
      <c r="B117" s="408" t="s">
        <v>2234</v>
      </c>
      <c r="C117" s="408" t="s">
        <v>2231</v>
      </c>
      <c r="D117" s="408" t="s">
        <v>1955</v>
      </c>
      <c r="E117" s="408" t="s">
        <v>998</v>
      </c>
      <c r="F117" s="408" t="s">
        <v>1322</v>
      </c>
      <c r="G117" s="408" t="s">
        <v>1322</v>
      </c>
      <c r="H117" s="408" t="s">
        <v>1322</v>
      </c>
      <c r="I117" s="408" t="s">
        <v>1322</v>
      </c>
      <c r="J117" s="408" t="s">
        <v>2232</v>
      </c>
      <c r="K117" s="828">
        <v>44440</v>
      </c>
      <c r="L117" s="408">
        <v>0</v>
      </c>
      <c r="M117" s="408">
        <v>0</v>
      </c>
      <c r="N117" s="408">
        <v>6.4039999999999999</v>
      </c>
      <c r="O117" s="408">
        <v>6.4039999999999999</v>
      </c>
      <c r="P117" s="408">
        <v>6.4039999999999999</v>
      </c>
      <c r="Q117" s="408">
        <v>6.4039999999999999</v>
      </c>
      <c r="R117" s="408"/>
      <c r="S117" s="408">
        <v>571.87</v>
      </c>
      <c r="T117" s="408">
        <v>216.76</v>
      </c>
      <c r="U117" s="408"/>
      <c r="V117" s="408">
        <v>5050.38652</v>
      </c>
      <c r="W117" s="408">
        <v>5050.38652</v>
      </c>
      <c r="X117" s="408">
        <v>3291.7200399999997</v>
      </c>
      <c r="Y117" s="408">
        <v>0</v>
      </c>
      <c r="Z117" s="408">
        <v>388.15039155002768</v>
      </c>
      <c r="AA117" s="408">
        <v>0</v>
      </c>
      <c r="AB117" s="408">
        <v>0</v>
      </c>
      <c r="AC117" s="408">
        <v>0</v>
      </c>
      <c r="AD117" s="408">
        <v>5.2635353316500773</v>
      </c>
      <c r="AE117" s="408">
        <v>2730.5610149109489</v>
      </c>
      <c r="AF117" s="408">
        <v>1367.9040112745649</v>
      </c>
      <c r="AG117" s="408">
        <v>20.220019932240913</v>
      </c>
      <c r="AH117" s="408">
        <v>0</v>
      </c>
      <c r="AI117" s="408">
        <v>0</v>
      </c>
      <c r="AJ117" s="408">
        <v>0</v>
      </c>
      <c r="AK117" s="408">
        <v>0</v>
      </c>
      <c r="AL117" s="408">
        <v>60.028749949480805</v>
      </c>
      <c r="AM117" s="408"/>
      <c r="AN117" s="408">
        <v>12.285879037617452</v>
      </c>
      <c r="AO117" s="408">
        <v>56.878392385254585</v>
      </c>
      <c r="AP117" s="408">
        <v>178.2047811562461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3.8108258585284216</v>
      </c>
      <c r="BE117" s="408">
        <v>0</v>
      </c>
      <c r="BF117" s="408">
        <v>0</v>
      </c>
      <c r="BG117" s="408">
        <v>227.07455273550633</v>
      </c>
      <c r="BH117" s="408">
        <v>0</v>
      </c>
      <c r="BI117" s="408">
        <v>28.4</v>
      </c>
      <c r="BJ117" s="408">
        <v>130.87</v>
      </c>
      <c r="BK117" s="408">
        <v>2946.29</v>
      </c>
      <c r="BL117" s="408">
        <v>17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1598.7893898685998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3289.6640000000002</v>
      </c>
      <c r="CJ117" s="408">
        <v>-1760.7525200000005</v>
      </c>
      <c r="CK117" s="408"/>
      <c r="CL117" s="408"/>
      <c r="CM117" s="408"/>
      <c r="CN117" s="408"/>
      <c r="CO117" s="408">
        <v>-1967.6289999999999</v>
      </c>
      <c r="CP117" s="408">
        <v>208.96251999999996</v>
      </c>
      <c r="CQ117" s="408">
        <v>30</v>
      </c>
      <c r="CR117" s="408">
        <v>247.51655864101758</v>
      </c>
      <c r="CS117" s="408">
        <v>5.8670928671901024</v>
      </c>
      <c r="CT117" s="408">
        <v>18.382094791624638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0.51464247985564171</v>
      </c>
      <c r="DA117" s="408">
        <v>0</v>
      </c>
      <c r="DB117" s="408">
        <v>0</v>
      </c>
      <c r="DC117" s="408">
        <v>208.98937532375112</v>
      </c>
      <c r="DD117" s="408">
        <v>0</v>
      </c>
      <c r="DE117" s="408">
        <v>0</v>
      </c>
      <c r="DF117" s="408">
        <v>0.58222076189350735</v>
      </c>
      <c r="DG117" s="408">
        <v>34.692616248633414</v>
      </c>
      <c r="DH117" s="408">
        <v>0</v>
      </c>
      <c r="DI117" s="408">
        <v>-18.544737182552581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-2.4324015124807516</v>
      </c>
      <c r="DP117" s="408">
        <v>-0.53434513689770924</v>
      </c>
      <c r="DQ117" s="408">
        <v>0</v>
      </c>
      <c r="DR117" s="408">
        <v>0</v>
      </c>
      <c r="DS117" s="408"/>
      <c r="DT117" s="408"/>
      <c r="DU117" s="408"/>
      <c r="DV117" s="408">
        <v>2730.5610149109489</v>
      </c>
      <c r="DW117" s="408">
        <v>0</v>
      </c>
      <c r="DX117" s="408">
        <v>0</v>
      </c>
      <c r="DY117" s="408">
        <v>-1967.6289999999999</v>
      </c>
      <c r="DZ117" s="234">
        <v>208.96251999999981</v>
      </c>
      <c r="EA117" s="408">
        <v>0</v>
      </c>
      <c r="EB117" s="408">
        <v>0</v>
      </c>
      <c r="EC117" s="408">
        <v>-2006.1699847374082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242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61" customFormat="1">
      <c r="A118" s="408">
        <v>116</v>
      </c>
      <c r="B118" s="408" t="s">
        <v>1036</v>
      </c>
      <c r="C118" s="408" t="s">
        <v>2239</v>
      </c>
      <c r="D118" s="408" t="s">
        <v>597</v>
      </c>
      <c r="E118" s="408" t="s">
        <v>998</v>
      </c>
      <c r="F118" s="408" t="s">
        <v>1322</v>
      </c>
      <c r="G118" s="408" t="s">
        <v>1322</v>
      </c>
      <c r="H118" s="408" t="s">
        <v>1322</v>
      </c>
      <c r="I118" s="408" t="s">
        <v>973</v>
      </c>
      <c r="J118" s="408" t="s">
        <v>2232</v>
      </c>
      <c r="K118" s="828">
        <v>44440</v>
      </c>
      <c r="L118" s="408">
        <v>0</v>
      </c>
      <c r="M118" s="408">
        <v>0</v>
      </c>
      <c r="N118" s="408">
        <v>5.3650000000000002</v>
      </c>
      <c r="O118" s="408">
        <v>5.3650000000000002</v>
      </c>
      <c r="P118" s="408">
        <v>5.3650000000000002</v>
      </c>
      <c r="Q118" s="408">
        <v>5.3650000000000002</v>
      </c>
      <c r="R118" s="408"/>
      <c r="S118" s="408">
        <v>2592.54</v>
      </c>
      <c r="T118" s="408">
        <v>216.76</v>
      </c>
      <c r="U118" s="408"/>
      <c r="V118" s="408">
        <v>15071.8945</v>
      </c>
      <c r="W118" s="408">
        <v>15071.8945</v>
      </c>
      <c r="X118" s="408">
        <v>6337.1379999999999</v>
      </c>
      <c r="Y118" s="408">
        <v>0</v>
      </c>
      <c r="Z118" s="408">
        <v>282.90308558390569</v>
      </c>
      <c r="AA118" s="408">
        <v>0</v>
      </c>
      <c r="AB118" s="408">
        <v>0</v>
      </c>
      <c r="AC118" s="408">
        <v>0</v>
      </c>
      <c r="AD118" s="408">
        <v>27.128847885912904</v>
      </c>
      <c r="AE118" s="408">
        <v>12290.632921180197</v>
      </c>
      <c r="AF118" s="408">
        <v>1145.9720519188072</v>
      </c>
      <c r="AG118" s="408">
        <v>16.939476411066913</v>
      </c>
      <c r="AH118" s="408">
        <v>0</v>
      </c>
      <c r="AI118" s="408">
        <v>0</v>
      </c>
      <c r="AJ118" s="408">
        <v>0</v>
      </c>
      <c r="AK118" s="408">
        <v>0</v>
      </c>
      <c r="AL118" s="408">
        <v>50.289544578226817</v>
      </c>
      <c r="AM118" s="408"/>
      <c r="AN118" s="408">
        <v>7.3673370842302797</v>
      </c>
      <c r="AO118" s="408">
        <v>242.04128581656693</v>
      </c>
      <c r="AP118" s="408">
        <v>918.49201690622363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2.4534075172108389</v>
      </c>
      <c r="BE118" s="408">
        <v>0</v>
      </c>
      <c r="BF118" s="408">
        <v>0</v>
      </c>
      <c r="BG118" s="408">
        <v>87.643481377150081</v>
      </c>
      <c r="BH118" s="408">
        <v>0</v>
      </c>
      <c r="BI118" s="408">
        <v>0</v>
      </c>
      <c r="BJ118" s="408">
        <v>0</v>
      </c>
      <c r="BK118" s="408">
        <v>0</v>
      </c>
      <c r="BL118" s="408">
        <v>0</v>
      </c>
      <c r="BM118" s="408"/>
      <c r="BN118" s="408"/>
      <c r="BO118" s="408"/>
      <c r="BP118" s="408"/>
      <c r="BQ118" s="408"/>
      <c r="BR118" s="408"/>
      <c r="BS118" s="408"/>
      <c r="BT118" s="408"/>
      <c r="BU118" s="408"/>
      <c r="BV118" s="408">
        <v>1236.068940813168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6343.0439999999999</v>
      </c>
      <c r="CJ118" s="408">
        <v>-8728.8805000000011</v>
      </c>
      <c r="CK118" s="408"/>
      <c r="CL118" s="408"/>
      <c r="CM118" s="408"/>
      <c r="CN118" s="408"/>
      <c r="CO118" s="408">
        <v>-8909.8164500000003</v>
      </c>
      <c r="CP118" s="408">
        <v>175.05994999999999</v>
      </c>
      <c r="CQ118" s="408">
        <v>30</v>
      </c>
      <c r="CR118" s="408">
        <v>295.33631671137891</v>
      </c>
      <c r="CS118" s="408">
        <v>24.966927545372016</v>
      </c>
      <c r="CT118" s="408">
        <v>94.743851486883841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2.6525247142695463</v>
      </c>
      <c r="DA118" s="408">
        <v>0</v>
      </c>
      <c r="DB118" s="408">
        <v>0</v>
      </c>
      <c r="DC118" s="408">
        <v>175.08244825295515</v>
      </c>
      <c r="DD118" s="408">
        <v>0</v>
      </c>
      <c r="DE118" s="408">
        <v>0</v>
      </c>
      <c r="DF118" s="408">
        <v>0.37483339489497425</v>
      </c>
      <c r="DG118" s="408">
        <v>13.39023518700202</v>
      </c>
      <c r="DH118" s="408">
        <v>0</v>
      </c>
      <c r="DI118" s="408">
        <v>-13.516316058154473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-2.0377629785226787</v>
      </c>
      <c r="DP118" s="408">
        <v>-0.32042483332214555</v>
      </c>
      <c r="DQ118" s="408">
        <v>0</v>
      </c>
      <c r="DR118" s="408">
        <v>0</v>
      </c>
      <c r="DS118" s="408"/>
      <c r="DT118" s="408"/>
      <c r="DU118" s="408"/>
      <c r="DV118" s="408">
        <v>12290.632921180197</v>
      </c>
      <c r="DW118" s="408">
        <v>0</v>
      </c>
      <c r="DX118" s="408">
        <v>0</v>
      </c>
      <c r="DY118" s="408">
        <v>-8909.8164500000003</v>
      </c>
      <c r="DZ118" s="234">
        <v>175.05994999999984</v>
      </c>
      <c r="EA118" s="408">
        <v>0</v>
      </c>
      <c r="EB118" s="408">
        <v>0</v>
      </c>
      <c r="EC118" s="408">
        <v>-9030.0486695776344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242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61" customFormat="1">
      <c r="A119" s="408">
        <v>117</v>
      </c>
      <c r="B119" s="408" t="s">
        <v>1036</v>
      </c>
      <c r="C119" s="408" t="s">
        <v>2239</v>
      </c>
      <c r="D119" s="408" t="s">
        <v>597</v>
      </c>
      <c r="E119" s="408" t="s">
        <v>998</v>
      </c>
      <c r="F119" s="408" t="s">
        <v>1322</v>
      </c>
      <c r="G119" s="408" t="s">
        <v>1322</v>
      </c>
      <c r="H119" s="408" t="s">
        <v>1322</v>
      </c>
      <c r="I119" s="408" t="s">
        <v>2240</v>
      </c>
      <c r="J119" s="408" t="s">
        <v>2232</v>
      </c>
      <c r="K119" s="828">
        <v>44440</v>
      </c>
      <c r="L119" s="408">
        <v>0</v>
      </c>
      <c r="M119" s="408">
        <v>0</v>
      </c>
      <c r="N119" s="408">
        <v>47.017000000000003</v>
      </c>
      <c r="O119" s="408">
        <v>47.017000000000003</v>
      </c>
      <c r="P119" s="408">
        <v>47.017000000000003</v>
      </c>
      <c r="Q119" s="408">
        <v>47.017000000000003</v>
      </c>
      <c r="R119" s="408"/>
      <c r="S119" s="408">
        <v>80.27</v>
      </c>
      <c r="T119" s="408">
        <v>216.76</v>
      </c>
      <c r="U119" s="408"/>
      <c r="V119" s="408">
        <v>13965.459510000001</v>
      </c>
      <c r="W119" s="408">
        <v>13965.459510000001</v>
      </c>
      <c r="X119" s="408">
        <v>15481.28759</v>
      </c>
      <c r="Y119" s="408">
        <v>0</v>
      </c>
      <c r="Z119" s="408">
        <v>2479.2645619568489</v>
      </c>
      <c r="AA119" s="408">
        <v>0</v>
      </c>
      <c r="AB119" s="408">
        <v>0</v>
      </c>
      <c r="AC119" s="408">
        <v>0</v>
      </c>
      <c r="AD119" s="408">
        <v>0</v>
      </c>
      <c r="AE119" s="408">
        <v>0</v>
      </c>
      <c r="AF119" s="408">
        <v>10042.901764224895</v>
      </c>
      <c r="AG119" s="408">
        <v>148.45169849378061</v>
      </c>
      <c r="AH119" s="408">
        <v>0</v>
      </c>
      <c r="AI119" s="408">
        <v>0</v>
      </c>
      <c r="AJ119" s="408">
        <v>0</v>
      </c>
      <c r="AK119" s="408">
        <v>0</v>
      </c>
      <c r="AL119" s="408">
        <v>440.72013372497486</v>
      </c>
      <c r="AM119" s="408"/>
      <c r="AN119" s="408">
        <v>64.564788012908679</v>
      </c>
      <c r="AO119" s="408">
        <v>0</v>
      </c>
      <c r="AP119" s="408">
        <v>0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21.500812905256669</v>
      </c>
      <c r="BE119" s="408">
        <v>0</v>
      </c>
      <c r="BF119" s="408">
        <v>0</v>
      </c>
      <c r="BG119" s="408">
        <v>768.07708553764496</v>
      </c>
      <c r="BH119" s="408">
        <v>0</v>
      </c>
      <c r="BI119" s="408">
        <v>0</v>
      </c>
      <c r="BJ119" s="408">
        <v>0</v>
      </c>
      <c r="BK119" s="408">
        <v>0</v>
      </c>
      <c r="BL119" s="408">
        <v>0</v>
      </c>
      <c r="BM119" s="408"/>
      <c r="BN119" s="408"/>
      <c r="BO119" s="408"/>
      <c r="BP119" s="408"/>
      <c r="BQ119" s="408"/>
      <c r="BR119" s="408"/>
      <c r="BS119" s="408"/>
      <c r="BT119" s="408"/>
      <c r="BU119" s="408"/>
      <c r="BV119" s="408">
        <v>10832.479662667796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15482.2754</v>
      </c>
      <c r="CJ119" s="408">
        <v>1516.7858899999992</v>
      </c>
      <c r="CK119" s="408"/>
      <c r="CL119" s="408"/>
      <c r="CM119" s="408"/>
      <c r="CN119" s="408"/>
      <c r="CO119" s="408">
        <v>-18.336630000000028</v>
      </c>
      <c r="CP119" s="408">
        <v>1534.1647099999998</v>
      </c>
      <c r="CQ119" s="408">
        <v>30</v>
      </c>
      <c r="CR119" s="408">
        <v>1515.8755173473437</v>
      </c>
      <c r="CS119" s="408">
        <v>0</v>
      </c>
      <c r="CT119" s="408">
        <v>0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0</v>
      </c>
      <c r="DA119" s="408">
        <v>0</v>
      </c>
      <c r="DB119" s="408">
        <v>0</v>
      </c>
      <c r="DC119" s="408">
        <v>1534.3618768889464</v>
      </c>
      <c r="DD119" s="408">
        <v>0</v>
      </c>
      <c r="DE119" s="408">
        <v>0</v>
      </c>
      <c r="DF119" s="408">
        <v>3.2849099213004642</v>
      </c>
      <c r="DG119" s="408">
        <v>117.34737889790756</v>
      </c>
      <c r="DH119" s="408">
        <v>0</v>
      </c>
      <c r="DI119" s="408">
        <v>-118.45230794151894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-17.85824826863012</v>
      </c>
      <c r="DP119" s="408">
        <v>-2.8080921506630645</v>
      </c>
      <c r="DQ119" s="408">
        <v>0</v>
      </c>
      <c r="DR119" s="408">
        <v>0</v>
      </c>
      <c r="DS119" s="408"/>
      <c r="DT119" s="408"/>
      <c r="DU119" s="408"/>
      <c r="DV119" s="408">
        <v>0</v>
      </c>
      <c r="DW119" s="408">
        <v>0</v>
      </c>
      <c r="DX119" s="408">
        <v>0</v>
      </c>
      <c r="DY119" s="408">
        <v>-18.336630000000241</v>
      </c>
      <c r="DZ119" s="234">
        <v>1534.1647099999991</v>
      </c>
      <c r="EA119" s="408">
        <v>0</v>
      </c>
      <c r="EB119" s="408">
        <v>0</v>
      </c>
      <c r="EC119" s="408">
        <v>0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242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61" customFormat="1">
      <c r="A120" s="408">
        <v>118</v>
      </c>
      <c r="B120" s="408" t="s">
        <v>1036</v>
      </c>
      <c r="C120" s="408" t="s">
        <v>2239</v>
      </c>
      <c r="D120" s="408" t="s">
        <v>597</v>
      </c>
      <c r="E120" s="408" t="s">
        <v>998</v>
      </c>
      <c r="F120" s="408" t="s">
        <v>1322</v>
      </c>
      <c r="G120" s="408" t="s">
        <v>1322</v>
      </c>
      <c r="H120" s="408" t="s">
        <v>1322</v>
      </c>
      <c r="I120" s="408" t="s">
        <v>1322</v>
      </c>
      <c r="J120" s="408" t="s">
        <v>2232</v>
      </c>
      <c r="K120" s="828">
        <v>44440</v>
      </c>
      <c r="L120" s="408">
        <v>883</v>
      </c>
      <c r="M120" s="408">
        <v>883</v>
      </c>
      <c r="N120" s="408">
        <v>0</v>
      </c>
      <c r="O120" s="408">
        <v>0</v>
      </c>
      <c r="P120" s="408">
        <v>0</v>
      </c>
      <c r="Q120" s="408">
        <v>0</v>
      </c>
      <c r="R120" s="408">
        <v>32.17</v>
      </c>
      <c r="S120" s="408"/>
      <c r="T120" s="408"/>
      <c r="U120" s="408">
        <v>28406.11</v>
      </c>
      <c r="V120" s="408"/>
      <c r="W120" s="408">
        <v>28406.11</v>
      </c>
      <c r="X120" s="408">
        <v>11417.19</v>
      </c>
      <c r="Y120" s="408">
        <v>0</v>
      </c>
      <c r="Z120" s="408">
        <v>0</v>
      </c>
      <c r="AA120" s="408">
        <v>0</v>
      </c>
      <c r="AB120" s="408">
        <v>0</v>
      </c>
      <c r="AC120" s="408">
        <v>0</v>
      </c>
      <c r="AD120" s="408">
        <v>88.22602679091618</v>
      </c>
      <c r="AE120" s="408">
        <v>23776.307383359319</v>
      </c>
      <c r="AF120" s="408"/>
      <c r="AG120" s="408"/>
      <c r="AH120" s="408"/>
      <c r="AI120" s="408">
        <v>0</v>
      </c>
      <c r="AJ120" s="408">
        <v>0</v>
      </c>
      <c r="AK120" s="408">
        <v>0</v>
      </c>
      <c r="AL120" s="408">
        <v>0</v>
      </c>
      <c r="AM120" s="408"/>
      <c r="AN120" s="408">
        <v>0</v>
      </c>
      <c r="AO120" s="408">
        <v>1557.9838369633237</v>
      </c>
      <c r="AP120" s="408">
        <v>2987.0699410885354</v>
      </c>
      <c r="AQ120" s="408">
        <v>0</v>
      </c>
      <c r="AR120" s="408">
        <v>0</v>
      </c>
      <c r="AS120" s="408"/>
      <c r="AT120" s="408"/>
      <c r="AU120" s="408">
        <v>0</v>
      </c>
      <c r="AV120" s="408">
        <v>0</v>
      </c>
      <c r="AW120" s="408">
        <v>0</v>
      </c>
      <c r="AX120" s="408"/>
      <c r="AY120" s="408"/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/>
      <c r="BG120" s="408">
        <v>0</v>
      </c>
      <c r="BH120" s="408">
        <v>0</v>
      </c>
      <c r="BI120" s="408">
        <v>269.86</v>
      </c>
      <c r="BJ120" s="408">
        <v>1239.44</v>
      </c>
      <c r="BK120" s="408">
        <v>14930.77</v>
      </c>
      <c r="BL120" s="408">
        <v>8</v>
      </c>
      <c r="BM120" s="408"/>
      <c r="BN120" s="408"/>
      <c r="BO120" s="408"/>
      <c r="BP120" s="408"/>
      <c r="BQ120" s="408"/>
      <c r="BR120" s="408"/>
      <c r="BS120" s="408"/>
      <c r="BT120" s="408"/>
      <c r="BU120" s="408"/>
      <c r="BV120" s="408">
        <v>0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11417.19</v>
      </c>
      <c r="CJ120" s="408">
        <v>-16988.949999999997</v>
      </c>
      <c r="CK120" s="408"/>
      <c r="CL120" s="408"/>
      <c r="CM120" s="408"/>
      <c r="CN120" s="408"/>
      <c r="CO120" s="408">
        <v>-16988.920000000002</v>
      </c>
      <c r="CP120" s="408">
        <v>0</v>
      </c>
      <c r="CQ120" s="408">
        <v>30</v>
      </c>
      <c r="CR120" s="408">
        <v>477.45552967819458</v>
      </c>
      <c r="CS120" s="408">
        <v>160.70840742353539</v>
      </c>
      <c r="CT120" s="408">
        <v>308.12081724204472</v>
      </c>
      <c r="CU120" s="408">
        <v>0</v>
      </c>
      <c r="CV120" s="408">
        <v>0</v>
      </c>
      <c r="CW120" s="408"/>
      <c r="CX120" s="408"/>
      <c r="CY120" s="408"/>
      <c r="CZ120" s="408">
        <v>8.6263050126149921</v>
      </c>
      <c r="DA120" s="408">
        <v>0</v>
      </c>
      <c r="DB120" s="408">
        <v>0</v>
      </c>
      <c r="DC120" s="408"/>
      <c r="DD120" s="408"/>
      <c r="DE120" s="408">
        <v>0</v>
      </c>
      <c r="DF120" s="408">
        <v>0</v>
      </c>
      <c r="DG120" s="408">
        <v>0</v>
      </c>
      <c r="DH120" s="408">
        <v>0</v>
      </c>
      <c r="DI120" s="408">
        <v>0</v>
      </c>
      <c r="DJ120" s="408"/>
      <c r="DK120" s="408">
        <v>0</v>
      </c>
      <c r="DL120" s="408">
        <v>0</v>
      </c>
      <c r="DM120" s="408"/>
      <c r="DN120" s="408">
        <v>0</v>
      </c>
      <c r="DO120" s="408">
        <v>0</v>
      </c>
      <c r="DP120" s="408">
        <v>0</v>
      </c>
      <c r="DQ120" s="408">
        <v>0</v>
      </c>
      <c r="DR120" s="408">
        <v>0</v>
      </c>
      <c r="DS120" s="408"/>
      <c r="DT120" s="408"/>
      <c r="DU120" s="408">
        <v>23776.307383359319</v>
      </c>
      <c r="DV120" s="408"/>
      <c r="DW120" s="408">
        <v>0</v>
      </c>
      <c r="DX120" s="408">
        <v>0</v>
      </c>
      <c r="DY120" s="408">
        <v>-16988.919999999998</v>
      </c>
      <c r="DZ120" s="234"/>
      <c r="EA120" s="408">
        <v>0</v>
      </c>
      <c r="EB120" s="408"/>
      <c r="EC120" s="408">
        <v>-17468.686456706571</v>
      </c>
      <c r="ED120" s="408"/>
      <c r="EE120" s="408">
        <v>0</v>
      </c>
      <c r="EF120" s="408">
        <v>0</v>
      </c>
      <c r="EG120" s="408"/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/>
      <c r="EN120" s="408"/>
      <c r="EO120" s="408">
        <v>0</v>
      </c>
      <c r="EP120" s="408">
        <v>0</v>
      </c>
      <c r="EQ120" s="408"/>
      <c r="ER120" s="408">
        <v>0</v>
      </c>
      <c r="ES120" s="408"/>
      <c r="ET120" s="408">
        <v>0</v>
      </c>
      <c r="EU120" s="408"/>
      <c r="EV120" s="408">
        <v>242</v>
      </c>
      <c r="EW120" s="408"/>
      <c r="EX120" s="408"/>
      <c r="EY120" s="408"/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61" customFormat="1">
      <c r="A121" s="408">
        <v>119</v>
      </c>
      <c r="B121" s="408" t="s">
        <v>1036</v>
      </c>
      <c r="C121" s="408" t="s">
        <v>2231</v>
      </c>
      <c r="D121" s="408" t="s">
        <v>2241</v>
      </c>
      <c r="E121" s="408" t="s">
        <v>974</v>
      </c>
      <c r="F121" s="408" t="s">
        <v>1322</v>
      </c>
      <c r="G121" s="408" t="s">
        <v>1322</v>
      </c>
      <c r="H121" s="408" t="s">
        <v>1322</v>
      </c>
      <c r="I121" s="408" t="s">
        <v>1322</v>
      </c>
      <c r="J121" s="408" t="s">
        <v>2232</v>
      </c>
      <c r="K121" s="828">
        <v>44440</v>
      </c>
      <c r="L121" s="408">
        <v>0</v>
      </c>
      <c r="M121" s="408">
        <v>0</v>
      </c>
      <c r="N121" s="408">
        <v>3835.3670000000002</v>
      </c>
      <c r="O121" s="408">
        <v>3835.3670000000002</v>
      </c>
      <c r="P121" s="408">
        <v>3835.3670000000002</v>
      </c>
      <c r="Q121" s="408">
        <v>3835.3670000000002</v>
      </c>
      <c r="R121" s="408"/>
      <c r="S121" s="408">
        <v>571.87</v>
      </c>
      <c r="T121" s="408">
        <v>216.76</v>
      </c>
      <c r="U121" s="408"/>
      <c r="V121" s="408">
        <v>3024685.4772100002</v>
      </c>
      <c r="W121" s="408">
        <v>3024685.4772100002</v>
      </c>
      <c r="X121" s="408">
        <v>1971416.9916700001</v>
      </c>
      <c r="Y121" s="408">
        <v>0</v>
      </c>
      <c r="Z121" s="408">
        <v>232463.9604603459</v>
      </c>
      <c r="AA121" s="408">
        <v>0</v>
      </c>
      <c r="AB121" s="408">
        <v>0</v>
      </c>
      <c r="AC121" s="408">
        <v>0</v>
      </c>
      <c r="AD121" s="408">
        <v>3152.3406799414056</v>
      </c>
      <c r="AE121" s="408">
        <v>1635337.8526039915</v>
      </c>
      <c r="AF121" s="408">
        <v>819240.14740944642</v>
      </c>
      <c r="AG121" s="408">
        <v>12109.80593183308</v>
      </c>
      <c r="AH121" s="408">
        <v>0</v>
      </c>
      <c r="AI121" s="408">
        <v>0</v>
      </c>
      <c r="AJ121" s="408">
        <v>0</v>
      </c>
      <c r="AK121" s="408">
        <v>0</v>
      </c>
      <c r="AL121" s="408">
        <v>35951.325204167762</v>
      </c>
      <c r="AM121" s="408"/>
      <c r="AN121" s="408">
        <v>7358.0348261820327</v>
      </c>
      <c r="AO121" s="408">
        <v>34064.570450883308</v>
      </c>
      <c r="AP121" s="408">
        <v>106727.1606634741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2282.3103904663612</v>
      </c>
      <c r="BE121" s="408">
        <v>0</v>
      </c>
      <c r="BF121" s="408">
        <v>0</v>
      </c>
      <c r="BG121" s="408">
        <v>135995.35385720187</v>
      </c>
      <c r="BH121" s="408">
        <v>0</v>
      </c>
      <c r="BI121" s="408">
        <v>10953.01</v>
      </c>
      <c r="BJ121" s="408">
        <v>50542.78</v>
      </c>
      <c r="BK121" s="408">
        <v>138926.03</v>
      </c>
      <c r="BL121" s="408">
        <v>10549</v>
      </c>
      <c r="BM121" s="408"/>
      <c r="BN121" s="408"/>
      <c r="BO121" s="408"/>
      <c r="BP121" s="408"/>
      <c r="BQ121" s="408"/>
      <c r="BR121" s="408">
        <v>236565.43655999994</v>
      </c>
      <c r="BS121" s="408"/>
      <c r="BT121" s="408"/>
      <c r="BU121" s="408"/>
      <c r="BV121" s="408">
        <v>957517.81165711465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1734852.9120999998</v>
      </c>
      <c r="CJ121" s="408">
        <v>-926891.81590000028</v>
      </c>
      <c r="CK121" s="408"/>
      <c r="CL121" s="408"/>
      <c r="CM121" s="408"/>
      <c r="CN121" s="408"/>
      <c r="CO121" s="408">
        <v>-1178416.5107500001</v>
      </c>
      <c r="CP121" s="408">
        <v>125148.02520999999</v>
      </c>
      <c r="CQ121" s="408">
        <v>30</v>
      </c>
      <c r="CR121" s="408">
        <v>148238.10758359171</v>
      </c>
      <c r="CS121" s="408">
        <v>3513.8123623916836</v>
      </c>
      <c r="CT121" s="408">
        <v>11009.069293358698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308.22029731987732</v>
      </c>
      <c r="DA121" s="408">
        <v>0</v>
      </c>
      <c r="DB121" s="408">
        <v>0</v>
      </c>
      <c r="DC121" s="408">
        <v>125164.10891120066</v>
      </c>
      <c r="DD121" s="408">
        <v>0</v>
      </c>
      <c r="DE121" s="408">
        <v>0</v>
      </c>
      <c r="DF121" s="408">
        <v>348.69305073098349</v>
      </c>
      <c r="DG121" s="408">
        <v>20777.469628930732</v>
      </c>
      <c r="DH121" s="408">
        <v>0</v>
      </c>
      <c r="DI121" s="408">
        <v>-11106.476110811229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-1456.7695958336553</v>
      </c>
      <c r="DP121" s="408">
        <v>-320.02025369580861</v>
      </c>
      <c r="DQ121" s="408">
        <v>0</v>
      </c>
      <c r="DR121" s="408">
        <v>0</v>
      </c>
      <c r="DS121" s="408"/>
      <c r="DT121" s="408"/>
      <c r="DU121" s="408"/>
      <c r="DV121" s="408">
        <v>1635337.8526039915</v>
      </c>
      <c r="DW121" s="408">
        <v>0</v>
      </c>
      <c r="DX121" s="408">
        <v>0</v>
      </c>
      <c r="DY121" s="408">
        <v>-1178416.5107500001</v>
      </c>
      <c r="DZ121" s="234">
        <v>125148.02520999999</v>
      </c>
      <c r="EA121" s="408">
        <v>0</v>
      </c>
      <c r="EB121" s="408">
        <v>0</v>
      </c>
      <c r="EC121" s="408">
        <v>-1201498.7751174828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0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242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61" customFormat="1">
      <c r="A122" s="408">
        <v>120</v>
      </c>
      <c r="B122" s="408" t="s">
        <v>2233</v>
      </c>
      <c r="C122" s="408" t="s">
        <v>2231</v>
      </c>
      <c r="D122" s="408" t="s">
        <v>2241</v>
      </c>
      <c r="E122" s="408" t="s">
        <v>974</v>
      </c>
      <c r="F122" s="408" t="s">
        <v>1322</v>
      </c>
      <c r="G122" s="408" t="s">
        <v>1322</v>
      </c>
      <c r="H122" s="408" t="s">
        <v>1322</v>
      </c>
      <c r="I122" s="408" t="s">
        <v>1322</v>
      </c>
      <c r="J122" s="408" t="s">
        <v>2232</v>
      </c>
      <c r="K122" s="828">
        <v>44440</v>
      </c>
      <c r="L122" s="408">
        <v>0</v>
      </c>
      <c r="M122" s="408">
        <v>0</v>
      </c>
      <c r="N122" s="408">
        <v>-0.96499999999999997</v>
      </c>
      <c r="O122" s="408">
        <v>-0.96499999999999997</v>
      </c>
      <c r="P122" s="408">
        <v>-0.96499999999999997</v>
      </c>
      <c r="Q122" s="408">
        <v>-0.96499999999999997</v>
      </c>
      <c r="R122" s="408"/>
      <c r="S122" s="408">
        <v>571.87</v>
      </c>
      <c r="T122" s="408">
        <v>216.76</v>
      </c>
      <c r="U122" s="408"/>
      <c r="V122" s="408">
        <v>-761.02795000000003</v>
      </c>
      <c r="W122" s="408">
        <v>-761.02795000000003</v>
      </c>
      <c r="X122" s="408">
        <v>-496.01964999999996</v>
      </c>
      <c r="Y122" s="408">
        <v>0</v>
      </c>
      <c r="Z122" s="408">
        <v>-58.489245447497922</v>
      </c>
      <c r="AA122" s="408">
        <v>0</v>
      </c>
      <c r="AB122" s="408">
        <v>0</v>
      </c>
      <c r="AC122" s="408">
        <v>0</v>
      </c>
      <c r="AD122" s="408">
        <v>-0.79314672002534736</v>
      </c>
      <c r="AE122" s="408">
        <v>-411.46024037930442</v>
      </c>
      <c r="AF122" s="408">
        <v>-206.12544829480873</v>
      </c>
      <c r="AG122" s="408">
        <v>-3.0468955706765275</v>
      </c>
      <c r="AH122" s="408">
        <v>0</v>
      </c>
      <c r="AI122" s="408">
        <v>0</v>
      </c>
      <c r="AJ122" s="408">
        <v>0</v>
      </c>
      <c r="AK122" s="408">
        <v>0</v>
      </c>
      <c r="AL122" s="408">
        <v>-9.0455564805198279</v>
      </c>
      <c r="AM122" s="408"/>
      <c r="AN122" s="408">
        <v>-1.8513231216897004</v>
      </c>
      <c r="AO122" s="408">
        <v>-8.570838327884239</v>
      </c>
      <c r="AP122" s="408">
        <v>-26.853156435942768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-0.57424218511554137</v>
      </c>
      <c r="BE122" s="408">
        <v>0</v>
      </c>
      <c r="BF122" s="408">
        <v>0</v>
      </c>
      <c r="BG122" s="408">
        <v>-34.217199155178577</v>
      </c>
      <c r="BH122" s="408">
        <v>0</v>
      </c>
      <c r="BI122" s="408">
        <v>-1.52</v>
      </c>
      <c r="BJ122" s="408">
        <v>-6.94</v>
      </c>
      <c r="BK122" s="408">
        <v>0.01</v>
      </c>
      <c r="BL122" s="408">
        <v>0</v>
      </c>
      <c r="BM122" s="408"/>
      <c r="BN122" s="408"/>
      <c r="BO122" s="408"/>
      <c r="BP122" s="408"/>
      <c r="BQ122" s="408"/>
      <c r="BR122" s="408">
        <v>-59.521199999999979</v>
      </c>
      <c r="BS122" s="408"/>
      <c r="BT122" s="408"/>
      <c r="BU122" s="408"/>
      <c r="BV122" s="408">
        <v>-240.91688963510285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-438.76009999999997</v>
      </c>
      <c r="CJ122" s="408">
        <v>230.91989999999998</v>
      </c>
      <c r="CK122" s="408"/>
      <c r="CL122" s="408"/>
      <c r="CM122" s="408"/>
      <c r="CN122" s="408"/>
      <c r="CO122" s="408">
        <v>296.49624999999997</v>
      </c>
      <c r="CP122" s="408">
        <v>-31.487949999999994</v>
      </c>
      <c r="CQ122" s="408">
        <v>30</v>
      </c>
      <c r="CR122" s="408">
        <v>-37.297545141877208</v>
      </c>
      <c r="CS122" s="408">
        <v>-0.88409503698289349</v>
      </c>
      <c r="CT122" s="408">
        <v>-2.7699440152900969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-7.7549967685929699E-2</v>
      </c>
      <c r="DA122" s="408">
        <v>0</v>
      </c>
      <c r="DB122" s="408">
        <v>0</v>
      </c>
      <c r="DC122" s="408">
        <v>-31.491996750065567</v>
      </c>
      <c r="DD122" s="408">
        <v>0</v>
      </c>
      <c r="DE122" s="408">
        <v>0</v>
      </c>
      <c r="DF122" s="408">
        <v>-8.7733141041104745E-2</v>
      </c>
      <c r="DG122" s="408">
        <v>-5.2277287132934447</v>
      </c>
      <c r="DH122" s="408">
        <v>0</v>
      </c>
      <c r="DI122" s="408">
        <v>2.7944521207313002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0.36653145839224344</v>
      </c>
      <c r="DP122" s="408">
        <v>8.0518903358258953E-2</v>
      </c>
      <c r="DQ122" s="408">
        <v>0</v>
      </c>
      <c r="DR122" s="408">
        <v>0</v>
      </c>
      <c r="DS122" s="408"/>
      <c r="DT122" s="408"/>
      <c r="DU122" s="408"/>
      <c r="DV122" s="408">
        <v>-411.46024037930442</v>
      </c>
      <c r="DW122" s="408">
        <v>0</v>
      </c>
      <c r="DX122" s="408">
        <v>0</v>
      </c>
      <c r="DY122" s="408">
        <v>296.49625000000003</v>
      </c>
      <c r="DZ122" s="234">
        <v>-31.487949999999984</v>
      </c>
      <c r="EA122" s="408">
        <v>0</v>
      </c>
      <c r="EB122" s="408">
        <v>0</v>
      </c>
      <c r="EC122" s="408">
        <v>302.30387808738271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242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61" customFormat="1">
      <c r="A123" s="408">
        <v>121</v>
      </c>
      <c r="B123" s="408" t="s">
        <v>2234</v>
      </c>
      <c r="C123" s="408" t="s">
        <v>2231</v>
      </c>
      <c r="D123" s="408" t="s">
        <v>2241</v>
      </c>
      <c r="E123" s="408" t="s">
        <v>974</v>
      </c>
      <c r="F123" s="408" t="s">
        <v>1322</v>
      </c>
      <c r="G123" s="408" t="s">
        <v>1322</v>
      </c>
      <c r="H123" s="408" t="s">
        <v>1322</v>
      </c>
      <c r="I123" s="408" t="s">
        <v>1322</v>
      </c>
      <c r="J123" s="408" t="s">
        <v>2232</v>
      </c>
      <c r="K123" s="828">
        <v>44440</v>
      </c>
      <c r="L123" s="408">
        <v>0</v>
      </c>
      <c r="M123" s="408">
        <v>0</v>
      </c>
      <c r="N123" s="408">
        <v>42.877000000000002</v>
      </c>
      <c r="O123" s="408">
        <v>42.877000000000002</v>
      </c>
      <c r="P123" s="408">
        <v>42.877000000000002</v>
      </c>
      <c r="Q123" s="408">
        <v>42.877000000000002</v>
      </c>
      <c r="R123" s="408"/>
      <c r="S123" s="408">
        <v>571.87</v>
      </c>
      <c r="T123" s="408">
        <v>216.76</v>
      </c>
      <c r="U123" s="408"/>
      <c r="V123" s="408">
        <v>33814.088510000001</v>
      </c>
      <c r="W123" s="408">
        <v>33814.088510000001</v>
      </c>
      <c r="X123" s="408">
        <v>22039.206770000001</v>
      </c>
      <c r="Y123" s="408">
        <v>0</v>
      </c>
      <c r="Z123" s="408">
        <v>2598.8014269972732</v>
      </c>
      <c r="AA123" s="408">
        <v>0</v>
      </c>
      <c r="AB123" s="408">
        <v>0</v>
      </c>
      <c r="AC123" s="408">
        <v>0</v>
      </c>
      <c r="AD123" s="408">
        <v>35.241193693810175</v>
      </c>
      <c r="AE123" s="408">
        <v>18282.052566573511</v>
      </c>
      <c r="AF123" s="408">
        <v>9158.591550815041</v>
      </c>
      <c r="AG123" s="408">
        <v>135.38004288486786</v>
      </c>
      <c r="AH123" s="408">
        <v>0</v>
      </c>
      <c r="AI123" s="408">
        <v>0</v>
      </c>
      <c r="AJ123" s="408">
        <v>0</v>
      </c>
      <c r="AK123" s="408">
        <v>0</v>
      </c>
      <c r="AL123" s="408">
        <v>401.91329037849601</v>
      </c>
      <c r="AM123" s="408"/>
      <c r="AN123" s="408">
        <v>82.258219159263504</v>
      </c>
      <c r="AO123" s="408">
        <v>380.82055438828246</v>
      </c>
      <c r="AP123" s="408">
        <v>1193.1427860144229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25.514800177408361</v>
      </c>
      <c r="BE123" s="408">
        <v>0</v>
      </c>
      <c r="BF123" s="408">
        <v>0</v>
      </c>
      <c r="BG123" s="408">
        <v>1520.3428478513906</v>
      </c>
      <c r="BH123" s="408">
        <v>0</v>
      </c>
      <c r="BI123" s="408">
        <v>111.38</v>
      </c>
      <c r="BJ123" s="408">
        <v>514.77</v>
      </c>
      <c r="BK123" s="408">
        <v>1184.32</v>
      </c>
      <c r="BL123" s="408">
        <v>134</v>
      </c>
      <c r="BM123" s="408"/>
      <c r="BN123" s="408"/>
      <c r="BO123" s="408"/>
      <c r="BP123" s="408"/>
      <c r="BQ123" s="408"/>
      <c r="BR123" s="408">
        <v>2644.6533599999993</v>
      </c>
      <c r="BS123" s="408"/>
      <c r="BT123" s="408"/>
      <c r="BU123" s="408"/>
      <c r="BV123" s="408">
        <v>10704.44919884384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19395.910400000001</v>
      </c>
      <c r="CJ123" s="408">
        <v>-10360.757599999994</v>
      </c>
      <c r="CK123" s="408"/>
      <c r="CL123" s="408"/>
      <c r="CM123" s="408"/>
      <c r="CN123" s="408"/>
      <c r="CO123" s="408">
        <v>-13173.958250000001</v>
      </c>
      <c r="CP123" s="408">
        <v>1399.0765099999999</v>
      </c>
      <c r="CQ123" s="408">
        <v>30</v>
      </c>
      <c r="CR123" s="408">
        <v>1657.2091637805934</v>
      </c>
      <c r="CS123" s="408">
        <v>39.282220622503132</v>
      </c>
      <c r="CT123" s="408">
        <v>123.07449693636636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3.4457098077405348</v>
      </c>
      <c r="DA123" s="408">
        <v>0</v>
      </c>
      <c r="DB123" s="408">
        <v>0</v>
      </c>
      <c r="DC123" s="408">
        <v>1399.2563157021359</v>
      </c>
      <c r="DD123" s="408">
        <v>0</v>
      </c>
      <c r="DE123" s="408">
        <v>0</v>
      </c>
      <c r="DF123" s="408">
        <v>3.8981698325590131</v>
      </c>
      <c r="DG123" s="408">
        <v>232.2790922693091</v>
      </c>
      <c r="DH123" s="408">
        <v>0</v>
      </c>
      <c r="DI123" s="408">
        <v>-124.16344412496983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-16.28577133832556</v>
      </c>
      <c r="DP123" s="408">
        <v>-3.5776259267275208</v>
      </c>
      <c r="DQ123" s="408">
        <v>0</v>
      </c>
      <c r="DR123" s="408">
        <v>0</v>
      </c>
      <c r="DS123" s="408"/>
      <c r="DT123" s="408"/>
      <c r="DU123" s="408"/>
      <c r="DV123" s="408">
        <v>18282.052566573511</v>
      </c>
      <c r="DW123" s="408">
        <v>0</v>
      </c>
      <c r="DX123" s="408">
        <v>0</v>
      </c>
      <c r="DY123" s="408">
        <v>-13173.95825</v>
      </c>
      <c r="DZ123" s="234">
        <v>1399.0765100000008</v>
      </c>
      <c r="EA123" s="408">
        <v>0</v>
      </c>
      <c r="EB123" s="408">
        <v>0</v>
      </c>
      <c r="EC123" s="408">
        <v>-13432.003503370684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242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61" customFormat="1">
      <c r="A124" s="408">
        <v>122</v>
      </c>
      <c r="B124" s="408" t="s">
        <v>1036</v>
      </c>
      <c r="C124" s="408" t="s">
        <v>2231</v>
      </c>
      <c r="D124" s="408" t="s">
        <v>1955</v>
      </c>
      <c r="E124" s="408" t="s">
        <v>2242</v>
      </c>
      <c r="F124" s="408" t="s">
        <v>1322</v>
      </c>
      <c r="G124" s="408" t="s">
        <v>1322</v>
      </c>
      <c r="H124" s="408" t="s">
        <v>1322</v>
      </c>
      <c r="I124" s="408" t="s">
        <v>1322</v>
      </c>
      <c r="J124" s="408" t="s">
        <v>2232</v>
      </c>
      <c r="K124" s="828">
        <v>44440</v>
      </c>
      <c r="L124" s="408">
        <v>0</v>
      </c>
      <c r="M124" s="408">
        <v>0</v>
      </c>
      <c r="N124" s="408">
        <v>30.105</v>
      </c>
      <c r="O124" s="408">
        <v>30.105</v>
      </c>
      <c r="P124" s="408">
        <v>30.105</v>
      </c>
      <c r="Q124" s="408">
        <v>30.105</v>
      </c>
      <c r="R124" s="408"/>
      <c r="S124" s="408">
        <v>571.87</v>
      </c>
      <c r="T124" s="408">
        <v>216.76</v>
      </c>
      <c r="U124" s="408"/>
      <c r="V124" s="408">
        <v>23741.706149999998</v>
      </c>
      <c r="W124" s="408">
        <v>23741.706149999998</v>
      </c>
      <c r="X124" s="408">
        <v>15474.271049999999</v>
      </c>
      <c r="Y124" s="408">
        <v>0</v>
      </c>
      <c r="Z124" s="408">
        <v>1824.6826261108031</v>
      </c>
      <c r="AA124" s="408">
        <v>0</v>
      </c>
      <c r="AB124" s="408">
        <v>0</v>
      </c>
      <c r="AC124" s="408">
        <v>0</v>
      </c>
      <c r="AD124" s="408">
        <v>24.743711923692313</v>
      </c>
      <c r="AE124" s="408">
        <v>12836.280348827939</v>
      </c>
      <c r="AF124" s="408">
        <v>6430.4731822955619</v>
      </c>
      <c r="AG124" s="408">
        <v>95.053669590898295</v>
      </c>
      <c r="AH124" s="408">
        <v>0</v>
      </c>
      <c r="AI124" s="408">
        <v>0</v>
      </c>
      <c r="AJ124" s="408">
        <v>0</v>
      </c>
      <c r="AK124" s="408">
        <v>0</v>
      </c>
      <c r="AL124" s="408">
        <v>282.19324129124288</v>
      </c>
      <c r="AM124" s="408"/>
      <c r="AN124" s="408">
        <v>57.755525988050188</v>
      </c>
      <c r="AO124" s="408">
        <v>267.38351073674096</v>
      </c>
      <c r="AP124" s="408">
        <v>837.73499948606946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17.914570966739248</v>
      </c>
      <c r="BE124" s="408">
        <v>0</v>
      </c>
      <c r="BF124" s="408">
        <v>0</v>
      </c>
      <c r="BG124" s="408">
        <v>1067.4702389291722</v>
      </c>
      <c r="BH124" s="408">
        <v>0</v>
      </c>
      <c r="BI124" s="408">
        <v>128.80000000000001</v>
      </c>
      <c r="BJ124" s="408">
        <v>593.76</v>
      </c>
      <c r="BK124" s="408">
        <v>7687.4</v>
      </c>
      <c r="BL124" s="408">
        <v>102</v>
      </c>
      <c r="BM124" s="408"/>
      <c r="BN124" s="408"/>
      <c r="BO124" s="408"/>
      <c r="BP124" s="408"/>
      <c r="BQ124" s="408"/>
      <c r="BR124" s="408"/>
      <c r="BS124" s="408"/>
      <c r="BT124" s="408"/>
      <c r="BU124" s="408"/>
      <c r="BV124" s="408">
        <v>7515.8579921914734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15476.8411</v>
      </c>
      <c r="CJ124" s="408">
        <v>-8264.8950499999937</v>
      </c>
      <c r="CK124" s="408"/>
      <c r="CL124" s="408"/>
      <c r="CM124" s="408"/>
      <c r="CN124" s="408"/>
      <c r="CO124" s="408">
        <v>-9249.7612499999996</v>
      </c>
      <c r="CP124" s="408">
        <v>982.32614999999987</v>
      </c>
      <c r="CQ124" s="408">
        <v>30</v>
      </c>
      <c r="CR124" s="408">
        <v>1163.5674575090306</v>
      </c>
      <c r="CS124" s="408">
        <v>27.581016671886061</v>
      </c>
      <c r="CT124" s="408">
        <v>86.413642052133127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2.4193179038185662</v>
      </c>
      <c r="DA124" s="408">
        <v>0</v>
      </c>
      <c r="DB124" s="408">
        <v>0</v>
      </c>
      <c r="DC124" s="408">
        <v>982.45239602147558</v>
      </c>
      <c r="DD124" s="408">
        <v>0</v>
      </c>
      <c r="DE124" s="408">
        <v>0</v>
      </c>
      <c r="DF124" s="408">
        <v>2.7370012549662768</v>
      </c>
      <c r="DG124" s="408">
        <v>163.08888384839292</v>
      </c>
      <c r="DH124" s="408">
        <v>0</v>
      </c>
      <c r="DI124" s="408">
        <v>-87.178218750897031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-11.434642025801509</v>
      </c>
      <c r="DP124" s="408">
        <v>-2.511939466943403</v>
      </c>
      <c r="DQ124" s="408">
        <v>0</v>
      </c>
      <c r="DR124" s="408">
        <v>0</v>
      </c>
      <c r="DS124" s="408"/>
      <c r="DT124" s="408"/>
      <c r="DU124" s="408"/>
      <c r="DV124" s="408">
        <v>12836.280348827939</v>
      </c>
      <c r="DW124" s="408">
        <v>0</v>
      </c>
      <c r="DX124" s="408">
        <v>0</v>
      </c>
      <c r="DY124" s="408">
        <v>-9249.7612499999996</v>
      </c>
      <c r="DZ124" s="234">
        <v>982.32614999999987</v>
      </c>
      <c r="EA124" s="408">
        <v>0</v>
      </c>
      <c r="EB124" s="408">
        <v>0</v>
      </c>
      <c r="EC124" s="408">
        <v>-9430.941191523998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242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61" customFormat="1">
      <c r="A125" s="408">
        <v>123</v>
      </c>
      <c r="B125" s="408" t="s">
        <v>2234</v>
      </c>
      <c r="C125" s="408" t="s">
        <v>2231</v>
      </c>
      <c r="D125" s="408" t="s">
        <v>1955</v>
      </c>
      <c r="E125" s="408" t="s">
        <v>2242</v>
      </c>
      <c r="F125" s="408" t="s">
        <v>1322</v>
      </c>
      <c r="G125" s="408" t="s">
        <v>1322</v>
      </c>
      <c r="H125" s="408" t="s">
        <v>1322</v>
      </c>
      <c r="I125" s="408" t="s">
        <v>1322</v>
      </c>
      <c r="J125" s="408" t="s">
        <v>2232</v>
      </c>
      <c r="K125" s="828">
        <v>44440</v>
      </c>
      <c r="L125" s="408">
        <v>0</v>
      </c>
      <c r="M125" s="408">
        <v>0</v>
      </c>
      <c r="N125" s="408">
        <v>0.1</v>
      </c>
      <c r="O125" s="408">
        <v>0.1</v>
      </c>
      <c r="P125" s="408">
        <v>0.1</v>
      </c>
      <c r="Q125" s="408">
        <v>0.1</v>
      </c>
      <c r="R125" s="408"/>
      <c r="S125" s="408">
        <v>571.87</v>
      </c>
      <c r="T125" s="408">
        <v>216.76</v>
      </c>
      <c r="U125" s="408"/>
      <c r="V125" s="408">
        <v>78.863</v>
      </c>
      <c r="W125" s="408">
        <v>78.863</v>
      </c>
      <c r="X125" s="408">
        <v>51.401000000000003</v>
      </c>
      <c r="Y125" s="408">
        <v>0</v>
      </c>
      <c r="Z125" s="408">
        <v>6.0610617044039303</v>
      </c>
      <c r="AA125" s="408">
        <v>0</v>
      </c>
      <c r="AB125" s="408">
        <v>0</v>
      </c>
      <c r="AC125" s="408">
        <v>0</v>
      </c>
      <c r="AD125" s="408">
        <v>8.2191369950813206E-2</v>
      </c>
      <c r="AE125" s="408">
        <v>42.638366878684401</v>
      </c>
      <c r="AF125" s="408">
        <v>21.360150082363603</v>
      </c>
      <c r="AG125" s="408">
        <v>0.31574047364523605</v>
      </c>
      <c r="AH125" s="408">
        <v>0</v>
      </c>
      <c r="AI125" s="408">
        <v>0</v>
      </c>
      <c r="AJ125" s="408">
        <v>0</v>
      </c>
      <c r="AK125" s="408">
        <v>0</v>
      </c>
      <c r="AL125" s="408">
        <v>0.93736336585697699</v>
      </c>
      <c r="AM125" s="408"/>
      <c r="AN125" s="408">
        <v>0.19184695561551302</v>
      </c>
      <c r="AO125" s="408">
        <v>0.88816977491028393</v>
      </c>
      <c r="AP125" s="408">
        <v>2.7827105114966599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5.9506962188139001E-2</v>
      </c>
      <c r="BE125" s="408">
        <v>0</v>
      </c>
      <c r="BF125" s="408">
        <v>0</v>
      </c>
      <c r="BG125" s="408">
        <v>3.5458237466506297</v>
      </c>
      <c r="BH125" s="408">
        <v>0</v>
      </c>
      <c r="BI125" s="408">
        <v>0.44</v>
      </c>
      <c r="BJ125" s="408">
        <v>2.0499999999999998</v>
      </c>
      <c r="BK125" s="408">
        <v>92.68</v>
      </c>
      <c r="BL125" s="408">
        <v>1</v>
      </c>
      <c r="BM125" s="408"/>
      <c r="BN125" s="408"/>
      <c r="BO125" s="408"/>
      <c r="BP125" s="408"/>
      <c r="BQ125" s="408"/>
      <c r="BR125" s="408"/>
      <c r="BS125" s="408"/>
      <c r="BT125" s="408"/>
      <c r="BU125" s="408"/>
      <c r="BV125" s="408">
        <v>24.965480791202371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51.401000000000003</v>
      </c>
      <c r="CJ125" s="408">
        <v>-27.492000000000012</v>
      </c>
      <c r="CK125" s="408"/>
      <c r="CL125" s="408"/>
      <c r="CM125" s="408"/>
      <c r="CN125" s="408"/>
      <c r="CO125" s="408">
        <v>-30.725000000000001</v>
      </c>
      <c r="CP125" s="408">
        <v>3.2629999999999999</v>
      </c>
      <c r="CQ125" s="408">
        <v>30</v>
      </c>
      <c r="CR125" s="408">
        <v>3.8650305846504907</v>
      </c>
      <c r="CS125" s="408">
        <v>9.1616066008590069E-2</v>
      </c>
      <c r="CT125" s="408">
        <v>0.28704083060001029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8.0362660814434911E-3</v>
      </c>
      <c r="DA125" s="408">
        <v>0</v>
      </c>
      <c r="DB125" s="408">
        <v>0</v>
      </c>
      <c r="DC125" s="408">
        <v>3.2634193523383992</v>
      </c>
      <c r="DD125" s="408">
        <v>0</v>
      </c>
      <c r="DE125" s="408">
        <v>0</v>
      </c>
      <c r="DF125" s="408">
        <v>9.0915172063320976E-3</v>
      </c>
      <c r="DG125" s="408">
        <v>0.5417335454190102</v>
      </c>
      <c r="DH125" s="408">
        <v>0</v>
      </c>
      <c r="DI125" s="408">
        <v>-0.28958053064572997</v>
      </c>
      <c r="DJ125" s="408"/>
      <c r="DK125" s="408">
        <v>0</v>
      </c>
      <c r="DL125" s="408">
        <v>0</v>
      </c>
      <c r="DM125" s="408">
        <v>0</v>
      </c>
      <c r="DN125" s="408">
        <v>0</v>
      </c>
      <c r="DO125" s="408">
        <v>-3.7982534548418934E-2</v>
      </c>
      <c r="DP125" s="408">
        <v>-8.3439278091460012E-3</v>
      </c>
      <c r="DQ125" s="408">
        <v>0</v>
      </c>
      <c r="DR125" s="408">
        <v>0</v>
      </c>
      <c r="DS125" s="408"/>
      <c r="DT125" s="408"/>
      <c r="DU125" s="408"/>
      <c r="DV125" s="408">
        <v>42.638366878684401</v>
      </c>
      <c r="DW125" s="408">
        <v>0</v>
      </c>
      <c r="DX125" s="408">
        <v>0</v>
      </c>
      <c r="DY125" s="408">
        <v>-30.725000000000001</v>
      </c>
      <c r="DZ125" s="234">
        <v>3.2629999999999981</v>
      </c>
      <c r="EA125" s="408">
        <v>0</v>
      </c>
      <c r="EB125" s="408">
        <v>0</v>
      </c>
      <c r="EC125" s="408">
        <v>-31.326826744806503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0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242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61" customFormat="1">
      <c r="A126" s="408">
        <v>124</v>
      </c>
      <c r="B126" s="408" t="s">
        <v>1036</v>
      </c>
      <c r="C126" s="408" t="s">
        <v>2239</v>
      </c>
      <c r="D126" s="408" t="s">
        <v>597</v>
      </c>
      <c r="E126" s="408" t="s">
        <v>2242</v>
      </c>
      <c r="F126" s="408" t="s">
        <v>1322</v>
      </c>
      <c r="G126" s="408" t="s">
        <v>1322</v>
      </c>
      <c r="H126" s="408" t="s">
        <v>1322</v>
      </c>
      <c r="I126" s="408" t="s">
        <v>973</v>
      </c>
      <c r="J126" s="408" t="s">
        <v>2232</v>
      </c>
      <c r="K126" s="828">
        <v>44440</v>
      </c>
      <c r="L126" s="408">
        <v>0</v>
      </c>
      <c r="M126" s="408">
        <v>0</v>
      </c>
      <c r="N126" s="408">
        <v>1.141</v>
      </c>
      <c r="O126" s="408">
        <v>1.141</v>
      </c>
      <c r="P126" s="408">
        <v>1.141</v>
      </c>
      <c r="Q126" s="408">
        <v>1.141</v>
      </c>
      <c r="R126" s="408"/>
      <c r="S126" s="408">
        <v>2592.54</v>
      </c>
      <c r="T126" s="408">
        <v>216.76</v>
      </c>
      <c r="U126" s="408"/>
      <c r="V126" s="408">
        <v>3205.4112999999998</v>
      </c>
      <c r="W126" s="408">
        <v>3205.4112999999998</v>
      </c>
      <c r="X126" s="408">
        <v>1347.7491999999997</v>
      </c>
      <c r="Y126" s="408">
        <v>0</v>
      </c>
      <c r="Z126" s="408">
        <v>60.166341221106507</v>
      </c>
      <c r="AA126" s="408">
        <v>0</v>
      </c>
      <c r="AB126" s="408">
        <v>0</v>
      </c>
      <c r="AC126" s="408">
        <v>0</v>
      </c>
      <c r="AD126" s="408">
        <v>5.7696207712631171</v>
      </c>
      <c r="AE126" s="408">
        <v>2613.9072065361797</v>
      </c>
      <c r="AF126" s="408">
        <v>243.71931243976869</v>
      </c>
      <c r="AG126" s="408">
        <v>3.6025988042921431</v>
      </c>
      <c r="AH126" s="408">
        <v>0</v>
      </c>
      <c r="AI126" s="408">
        <v>0</v>
      </c>
      <c r="AJ126" s="408">
        <v>0</v>
      </c>
      <c r="AK126" s="408">
        <v>0</v>
      </c>
      <c r="AL126" s="408">
        <v>10.695316004428108</v>
      </c>
      <c r="AM126" s="408"/>
      <c r="AN126" s="408">
        <v>1.5668465262081543</v>
      </c>
      <c r="AO126" s="408">
        <v>51.476068428090002</v>
      </c>
      <c r="AP126" s="408">
        <v>195.34005429450161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0.52177781493710484</v>
      </c>
      <c r="BE126" s="408">
        <v>0</v>
      </c>
      <c r="BF126" s="408">
        <v>0</v>
      </c>
      <c r="BG126" s="408">
        <v>18.639554939669754</v>
      </c>
      <c r="BH126" s="408">
        <v>0</v>
      </c>
      <c r="BI126" s="408">
        <v>0</v>
      </c>
      <c r="BJ126" s="408">
        <v>0</v>
      </c>
      <c r="BK126" s="408">
        <v>0</v>
      </c>
      <c r="BL126" s="408">
        <v>0</v>
      </c>
      <c r="BM126" s="408"/>
      <c r="BN126" s="408"/>
      <c r="BO126" s="408"/>
      <c r="BP126" s="408"/>
      <c r="BQ126" s="408"/>
      <c r="BR126" s="408"/>
      <c r="BS126" s="408"/>
      <c r="BT126" s="408"/>
      <c r="BU126" s="408"/>
      <c r="BV126" s="408">
        <v>262.88064519437557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1346.5679999999998</v>
      </c>
      <c r="CJ126" s="408">
        <v>-1858.8733000000007</v>
      </c>
      <c r="CK126" s="408"/>
      <c r="CL126" s="408"/>
      <c r="CM126" s="408"/>
      <c r="CN126" s="408"/>
      <c r="CO126" s="408">
        <v>-1894.89293</v>
      </c>
      <c r="CP126" s="408">
        <v>37.230829999999997</v>
      </c>
      <c r="CQ126" s="408">
        <v>30</v>
      </c>
      <c r="CR126" s="408">
        <v>62.810575464619319</v>
      </c>
      <c r="CS126" s="408">
        <v>5.3098349169188168</v>
      </c>
      <c r="CT126" s="408">
        <v>20.14962433299803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0.56412501378966429</v>
      </c>
      <c r="DA126" s="408">
        <v>0</v>
      </c>
      <c r="DB126" s="408">
        <v>0</v>
      </c>
      <c r="DC126" s="408">
        <v>37.235614810181147</v>
      </c>
      <c r="DD126" s="408">
        <v>0</v>
      </c>
      <c r="DE126" s="408">
        <v>0</v>
      </c>
      <c r="DF126" s="408">
        <v>7.9717596192947826E-2</v>
      </c>
      <c r="DG126" s="408">
        <v>2.8477648366019217</v>
      </c>
      <c r="DH126" s="408">
        <v>0</v>
      </c>
      <c r="DI126" s="408">
        <v>-2.8745790535609075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-0.43338071919746035</v>
      </c>
      <c r="DP126" s="408">
        <v>-6.8146269304858897E-2</v>
      </c>
      <c r="DQ126" s="408">
        <v>0</v>
      </c>
      <c r="DR126" s="408">
        <v>0</v>
      </c>
      <c r="DS126" s="408"/>
      <c r="DT126" s="408"/>
      <c r="DU126" s="408"/>
      <c r="DV126" s="408">
        <v>2613.9072065361797</v>
      </c>
      <c r="DW126" s="408">
        <v>0</v>
      </c>
      <c r="DX126" s="408">
        <v>0</v>
      </c>
      <c r="DY126" s="408">
        <v>-1894.89293</v>
      </c>
      <c r="DZ126" s="234">
        <v>37.230829999999997</v>
      </c>
      <c r="EA126" s="408">
        <v>0</v>
      </c>
      <c r="EB126" s="408">
        <v>0</v>
      </c>
      <c r="EC126" s="408">
        <v>-1920.4632864842647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242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61" customFormat="1">
      <c r="A127" s="408">
        <v>125</v>
      </c>
      <c r="B127" s="408" t="s">
        <v>1036</v>
      </c>
      <c r="C127" s="408" t="s">
        <v>2239</v>
      </c>
      <c r="D127" s="408" t="s">
        <v>597</v>
      </c>
      <c r="E127" s="408" t="s">
        <v>2242</v>
      </c>
      <c r="F127" s="408" t="s">
        <v>1322</v>
      </c>
      <c r="G127" s="408" t="s">
        <v>1322</v>
      </c>
      <c r="H127" s="408" t="s">
        <v>1322</v>
      </c>
      <c r="I127" s="408" t="s">
        <v>2240</v>
      </c>
      <c r="J127" s="408" t="s">
        <v>2232</v>
      </c>
      <c r="K127" s="828">
        <v>44440</v>
      </c>
      <c r="L127" s="408">
        <v>0</v>
      </c>
      <c r="M127" s="408">
        <v>0</v>
      </c>
      <c r="N127" s="408">
        <v>9.7579999999999991</v>
      </c>
      <c r="O127" s="408">
        <v>9.7579999999999991</v>
      </c>
      <c r="P127" s="408">
        <v>9.7579999999999991</v>
      </c>
      <c r="Q127" s="408">
        <v>9.7579999999999991</v>
      </c>
      <c r="R127" s="408"/>
      <c r="S127" s="408">
        <v>80.27</v>
      </c>
      <c r="T127" s="408">
        <v>216.76</v>
      </c>
      <c r="U127" s="408"/>
      <c r="V127" s="408">
        <v>2898.4187399999996</v>
      </c>
      <c r="W127" s="408">
        <v>2898.4187399999996</v>
      </c>
      <c r="X127" s="408">
        <v>3213.0166599999998</v>
      </c>
      <c r="Y127" s="408">
        <v>0</v>
      </c>
      <c r="Z127" s="408">
        <v>514.55140897068998</v>
      </c>
      <c r="AA127" s="408">
        <v>0</v>
      </c>
      <c r="AB127" s="408">
        <v>0</v>
      </c>
      <c r="AC127" s="408">
        <v>0</v>
      </c>
      <c r="AD127" s="408">
        <v>0</v>
      </c>
      <c r="AE127" s="408">
        <v>0</v>
      </c>
      <c r="AF127" s="408">
        <v>2084.3234450370401</v>
      </c>
      <c r="AG127" s="408">
        <v>30.809955418302128</v>
      </c>
      <c r="AH127" s="408">
        <v>0</v>
      </c>
      <c r="AI127" s="408">
        <v>0</v>
      </c>
      <c r="AJ127" s="408">
        <v>0</v>
      </c>
      <c r="AK127" s="408">
        <v>0</v>
      </c>
      <c r="AL127" s="408">
        <v>91.4679172403238</v>
      </c>
      <c r="AM127" s="408"/>
      <c r="AN127" s="408">
        <v>13.399902193461147</v>
      </c>
      <c r="AO127" s="408">
        <v>0</v>
      </c>
      <c r="AP127" s="408">
        <v>0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4.4623206995234606</v>
      </c>
      <c r="BE127" s="408">
        <v>0</v>
      </c>
      <c r="BF127" s="408">
        <v>0</v>
      </c>
      <c r="BG127" s="408">
        <v>159.40821831840267</v>
      </c>
      <c r="BH127" s="408">
        <v>0</v>
      </c>
      <c r="BI127" s="408">
        <v>0</v>
      </c>
      <c r="BJ127" s="408">
        <v>0</v>
      </c>
      <c r="BK127" s="408">
        <v>0</v>
      </c>
      <c r="BL127" s="408">
        <v>0</v>
      </c>
      <c r="BM127" s="408"/>
      <c r="BN127" s="408"/>
      <c r="BO127" s="408"/>
      <c r="BP127" s="408"/>
      <c r="BQ127" s="408"/>
      <c r="BR127" s="408"/>
      <c r="BS127" s="408"/>
      <c r="BT127" s="408"/>
      <c r="BU127" s="408"/>
      <c r="BV127" s="408">
        <v>2248.1939840549662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3213.6751999999997</v>
      </c>
      <c r="CJ127" s="408">
        <v>315.22645999999986</v>
      </c>
      <c r="CK127" s="408"/>
      <c r="CL127" s="408"/>
      <c r="CM127" s="408"/>
      <c r="CN127" s="408"/>
      <c r="CO127" s="408">
        <v>-3.8056200000000051</v>
      </c>
      <c r="CP127" s="408">
        <v>318.40353999999991</v>
      </c>
      <c r="CQ127" s="408">
        <v>30</v>
      </c>
      <c r="CR127" s="408">
        <v>314.60776523970799</v>
      </c>
      <c r="CS127" s="408">
        <v>0</v>
      </c>
      <c r="CT127" s="408">
        <v>0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0</v>
      </c>
      <c r="DA127" s="408">
        <v>0</v>
      </c>
      <c r="DB127" s="408">
        <v>0</v>
      </c>
      <c r="DC127" s="408">
        <v>318.444460401181</v>
      </c>
      <c r="DD127" s="408">
        <v>0</v>
      </c>
      <c r="DE127" s="408">
        <v>0</v>
      </c>
      <c r="DF127" s="408">
        <v>0.68175662020226557</v>
      </c>
      <c r="DG127" s="408">
        <v>24.354504185417653</v>
      </c>
      <c r="DH127" s="408">
        <v>0</v>
      </c>
      <c r="DI127" s="408">
        <v>-24.583823316956511</v>
      </c>
      <c r="DJ127" s="408"/>
      <c r="DK127" s="408">
        <v>0</v>
      </c>
      <c r="DL127" s="408">
        <v>0</v>
      </c>
      <c r="DM127" s="408">
        <v>0</v>
      </c>
      <c r="DN127" s="408">
        <v>0</v>
      </c>
      <c r="DO127" s="408">
        <v>-3.7063357212347228</v>
      </c>
      <c r="DP127" s="408">
        <v>-0.58279692890167567</v>
      </c>
      <c r="DQ127" s="408">
        <v>0</v>
      </c>
      <c r="DR127" s="408">
        <v>0</v>
      </c>
      <c r="DS127" s="408"/>
      <c r="DT127" s="408"/>
      <c r="DU127" s="408"/>
      <c r="DV127" s="408">
        <v>0</v>
      </c>
      <c r="DW127" s="408">
        <v>0</v>
      </c>
      <c r="DX127" s="408">
        <v>0</v>
      </c>
      <c r="DY127" s="408">
        <v>-3.8056200000000899</v>
      </c>
      <c r="DZ127" s="234">
        <v>318.40354000000025</v>
      </c>
      <c r="EA127" s="408">
        <v>0</v>
      </c>
      <c r="EB127" s="408">
        <v>0</v>
      </c>
      <c r="EC127" s="408">
        <v>0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0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242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61" customFormat="1">
      <c r="A128" s="408">
        <v>126</v>
      </c>
      <c r="B128" s="408" t="s">
        <v>1036</v>
      </c>
      <c r="C128" s="408" t="s">
        <v>2239</v>
      </c>
      <c r="D128" s="408" t="s">
        <v>597</v>
      </c>
      <c r="E128" s="408" t="s">
        <v>2242</v>
      </c>
      <c r="F128" s="408" t="s">
        <v>1322</v>
      </c>
      <c r="G128" s="408" t="s">
        <v>1322</v>
      </c>
      <c r="H128" s="408" t="s">
        <v>1322</v>
      </c>
      <c r="I128" s="408" t="s">
        <v>1322</v>
      </c>
      <c r="J128" s="408" t="s">
        <v>2232</v>
      </c>
      <c r="K128" s="828">
        <v>44440</v>
      </c>
      <c r="L128" s="408">
        <v>70</v>
      </c>
      <c r="M128" s="408">
        <v>70</v>
      </c>
      <c r="N128" s="408">
        <v>0</v>
      </c>
      <c r="O128" s="408">
        <v>0</v>
      </c>
      <c r="P128" s="408">
        <v>0</v>
      </c>
      <c r="Q128" s="408">
        <v>0</v>
      </c>
      <c r="R128" s="408">
        <v>32.17</v>
      </c>
      <c r="S128" s="408"/>
      <c r="T128" s="408"/>
      <c r="U128" s="408">
        <v>2251.9</v>
      </c>
      <c r="V128" s="408"/>
      <c r="W128" s="408">
        <v>2251.9</v>
      </c>
      <c r="X128" s="408">
        <v>905.1</v>
      </c>
      <c r="Y128" s="408">
        <v>0</v>
      </c>
      <c r="Z128" s="408">
        <v>0</v>
      </c>
      <c r="AA128" s="408">
        <v>0</v>
      </c>
      <c r="AB128" s="408">
        <v>0</v>
      </c>
      <c r="AC128" s="408">
        <v>0</v>
      </c>
      <c r="AD128" s="408">
        <v>6.9941357591892785</v>
      </c>
      <c r="AE128" s="408">
        <v>1884.8714799945101</v>
      </c>
      <c r="AF128" s="408"/>
      <c r="AG128" s="408"/>
      <c r="AH128" s="408"/>
      <c r="AI128" s="408">
        <v>0</v>
      </c>
      <c r="AJ128" s="408">
        <v>0</v>
      </c>
      <c r="AK128" s="408">
        <v>0</v>
      </c>
      <c r="AL128" s="408">
        <v>0</v>
      </c>
      <c r="AM128" s="408"/>
      <c r="AN128" s="408">
        <v>0</v>
      </c>
      <c r="AO128" s="408">
        <v>123.50947744896111</v>
      </c>
      <c r="AP128" s="408">
        <v>236.8005615811976</v>
      </c>
      <c r="AQ128" s="408">
        <v>0</v>
      </c>
      <c r="AR128" s="408">
        <v>0</v>
      </c>
      <c r="AS128" s="408"/>
      <c r="AT128" s="408"/>
      <c r="AU128" s="408">
        <v>0</v>
      </c>
      <c r="AV128" s="408">
        <v>0</v>
      </c>
      <c r="AW128" s="408">
        <v>0</v>
      </c>
      <c r="AX128" s="408"/>
      <c r="AY128" s="408"/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/>
      <c r="BG128" s="408">
        <v>0</v>
      </c>
      <c r="BH128" s="408">
        <v>0</v>
      </c>
      <c r="BI128" s="408">
        <v>48</v>
      </c>
      <c r="BJ128" s="408">
        <v>220.44</v>
      </c>
      <c r="BK128" s="408">
        <v>2876.08</v>
      </c>
      <c r="BL128" s="408">
        <v>1</v>
      </c>
      <c r="BM128" s="408"/>
      <c r="BN128" s="408"/>
      <c r="BO128" s="408"/>
      <c r="BP128" s="408"/>
      <c r="BQ128" s="408"/>
      <c r="BR128" s="408"/>
      <c r="BS128" s="408"/>
      <c r="BT128" s="408"/>
      <c r="BU128" s="408"/>
      <c r="BV128" s="408">
        <v>0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905.1</v>
      </c>
      <c r="CJ128" s="408">
        <v>-1346.8300000000008</v>
      </c>
      <c r="CK128" s="408"/>
      <c r="CL128" s="408"/>
      <c r="CM128" s="408"/>
      <c r="CN128" s="408"/>
      <c r="CO128" s="408">
        <v>-1346.8000000000002</v>
      </c>
      <c r="CP128" s="408">
        <v>0</v>
      </c>
      <c r="CQ128" s="408">
        <v>30</v>
      </c>
      <c r="CR128" s="408">
        <v>37.850381741193246</v>
      </c>
      <c r="CS128" s="408">
        <v>12.740190848977889</v>
      </c>
      <c r="CT128" s="408">
        <v>24.426338852710217</v>
      </c>
      <c r="CU128" s="408">
        <v>0</v>
      </c>
      <c r="CV128" s="408">
        <v>0</v>
      </c>
      <c r="CW128" s="408"/>
      <c r="CX128" s="408"/>
      <c r="CY128" s="408"/>
      <c r="CZ128" s="408">
        <v>0.68385203950515105</v>
      </c>
      <c r="DA128" s="408">
        <v>0</v>
      </c>
      <c r="DB128" s="408">
        <v>0</v>
      </c>
      <c r="DC128" s="408"/>
      <c r="DD128" s="408"/>
      <c r="DE128" s="408">
        <v>0</v>
      </c>
      <c r="DF128" s="408">
        <v>0</v>
      </c>
      <c r="DG128" s="408">
        <v>0</v>
      </c>
      <c r="DH128" s="408">
        <v>0</v>
      </c>
      <c r="DI128" s="408">
        <v>0</v>
      </c>
      <c r="DJ128" s="408"/>
      <c r="DK128" s="408">
        <v>0</v>
      </c>
      <c r="DL128" s="408">
        <v>0</v>
      </c>
      <c r="DM128" s="408"/>
      <c r="DN128" s="408">
        <v>0</v>
      </c>
      <c r="DO128" s="408">
        <v>0</v>
      </c>
      <c r="DP128" s="408">
        <v>0</v>
      </c>
      <c r="DQ128" s="408">
        <v>0</v>
      </c>
      <c r="DR128" s="408">
        <v>0</v>
      </c>
      <c r="DS128" s="408"/>
      <c r="DT128" s="408"/>
      <c r="DU128" s="408">
        <v>1884.8714799945101</v>
      </c>
      <c r="DV128" s="408"/>
      <c r="DW128" s="408">
        <v>0</v>
      </c>
      <c r="DX128" s="408">
        <v>0</v>
      </c>
      <c r="DY128" s="408">
        <v>-1346.8000000000002</v>
      </c>
      <c r="DZ128" s="234"/>
      <c r="EA128" s="408">
        <v>0</v>
      </c>
      <c r="EB128" s="408"/>
      <c r="EC128" s="408">
        <v>-1384.8335809393659</v>
      </c>
      <c r="ED128" s="408"/>
      <c r="EE128" s="408">
        <v>0</v>
      </c>
      <c r="EF128" s="408">
        <v>0</v>
      </c>
      <c r="EG128" s="408"/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/>
      <c r="EN128" s="408"/>
      <c r="EO128" s="408">
        <v>0</v>
      </c>
      <c r="EP128" s="408">
        <v>0</v>
      </c>
      <c r="EQ128" s="408"/>
      <c r="ER128" s="408">
        <v>0</v>
      </c>
      <c r="ES128" s="408"/>
      <c r="ET128" s="408">
        <v>0</v>
      </c>
      <c r="EU128" s="408"/>
      <c r="EV128" s="408">
        <v>242</v>
      </c>
      <c r="EW128" s="408"/>
      <c r="EX128" s="408"/>
      <c r="EY128" s="408"/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61" customFormat="1">
      <c r="A129" s="408">
        <v>127</v>
      </c>
      <c r="B129" s="408" t="s">
        <v>1036</v>
      </c>
      <c r="C129" s="408" t="s">
        <v>2231</v>
      </c>
      <c r="D129" s="408" t="s">
        <v>2243</v>
      </c>
      <c r="E129" s="408" t="s">
        <v>2244</v>
      </c>
      <c r="F129" s="408" t="s">
        <v>2245</v>
      </c>
      <c r="G129" s="408" t="s">
        <v>1322</v>
      </c>
      <c r="H129" s="408" t="s">
        <v>1322</v>
      </c>
      <c r="I129" s="408" t="s">
        <v>1322</v>
      </c>
      <c r="J129" s="408" t="s">
        <v>2232</v>
      </c>
      <c r="K129" s="828">
        <v>44440</v>
      </c>
      <c r="L129" s="408">
        <v>0</v>
      </c>
      <c r="M129" s="408">
        <v>0</v>
      </c>
      <c r="N129" s="408">
        <v>72.188000000000002</v>
      </c>
      <c r="O129" s="408">
        <v>72.188000000000002</v>
      </c>
      <c r="P129" s="408">
        <v>72.188000000000002</v>
      </c>
      <c r="Q129" s="408">
        <v>72.188000000000002</v>
      </c>
      <c r="R129" s="408"/>
      <c r="S129" s="408">
        <v>314.52999999999997</v>
      </c>
      <c r="T129" s="408">
        <v>119.22</v>
      </c>
      <c r="U129" s="408"/>
      <c r="V129" s="408">
        <v>31311.544999999998</v>
      </c>
      <c r="W129" s="408">
        <v>31311.544999999998</v>
      </c>
      <c r="X129" s="408">
        <v>20408.269479999999</v>
      </c>
      <c r="Y129" s="408">
        <v>0</v>
      </c>
      <c r="Z129" s="408">
        <v>2406.4475727463091</v>
      </c>
      <c r="AA129" s="408">
        <v>0</v>
      </c>
      <c r="AB129" s="408">
        <v>0</v>
      </c>
      <c r="AC129" s="408">
        <v>0</v>
      </c>
      <c r="AD129" s="408">
        <v>32.6327683770512</v>
      </c>
      <c r="AE129" s="408">
        <v>16928.881355311569</v>
      </c>
      <c r="AF129" s="408">
        <v>8480.7058278011646</v>
      </c>
      <c r="AG129" s="408">
        <v>125.35970321326278</v>
      </c>
      <c r="AH129" s="408">
        <v>0</v>
      </c>
      <c r="AI129" s="408">
        <v>0</v>
      </c>
      <c r="AJ129" s="408">
        <v>0</v>
      </c>
      <c r="AK129" s="408">
        <v>0</v>
      </c>
      <c r="AL129" s="408">
        <v>372.16512659965878</v>
      </c>
      <c r="AM129" s="408"/>
      <c r="AN129" s="408">
        <v>76.169764175849494</v>
      </c>
      <c r="AO129" s="408">
        <v>352.63359841172957</v>
      </c>
      <c r="AP129" s="408">
        <v>1104.8306852215628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23.626287225405616</v>
      </c>
      <c r="BE129" s="408">
        <v>0</v>
      </c>
      <c r="BF129" s="408">
        <v>0</v>
      </c>
      <c r="BG129" s="408">
        <v>1407.8125854276889</v>
      </c>
      <c r="BH129" s="408">
        <v>0</v>
      </c>
      <c r="BI129" s="408">
        <v>187.23</v>
      </c>
      <c r="BJ129" s="408">
        <v>860.11</v>
      </c>
      <c r="BK129" s="408">
        <v>7926.52</v>
      </c>
      <c r="BL129" s="408">
        <v>10</v>
      </c>
      <c r="BM129" s="408"/>
      <c r="BN129" s="408"/>
      <c r="BO129" s="408"/>
      <c r="BP129" s="408"/>
      <c r="BQ129" s="408"/>
      <c r="BR129" s="408"/>
      <c r="BS129" s="408"/>
      <c r="BT129" s="408"/>
      <c r="BU129" s="408"/>
      <c r="BV129" s="408">
        <v>9912.1447004542606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20408.834899999998</v>
      </c>
      <c r="CJ129" s="408">
        <v>-10902.740099999995</v>
      </c>
      <c r="CK129" s="408"/>
      <c r="CL129" s="408"/>
      <c r="CM129" s="408"/>
      <c r="CN129" s="408"/>
      <c r="CO129" s="408">
        <v>-12199.05012</v>
      </c>
      <c r="CP129" s="408">
        <v>1295.7745999999993</v>
      </c>
      <c r="CQ129" s="408">
        <v>30</v>
      </c>
      <c r="CR129" s="408">
        <v>1534.5485531461072</v>
      </c>
      <c r="CS129" s="408">
        <v>36.374693151654924</v>
      </c>
      <c r="CT129" s="408">
        <v>113.96496913644773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3.1906708673798221</v>
      </c>
      <c r="DA129" s="408">
        <v>0</v>
      </c>
      <c r="DB129" s="408">
        <v>0</v>
      </c>
      <c r="DC129" s="408">
        <v>1295.6884391363092</v>
      </c>
      <c r="DD129" s="408">
        <v>0</v>
      </c>
      <c r="DE129" s="408">
        <v>0</v>
      </c>
      <c r="DF129" s="408">
        <v>3.6096414424988197</v>
      </c>
      <c r="DG129" s="408">
        <v>215.08663647188723</v>
      </c>
      <c r="DH129" s="408">
        <v>0</v>
      </c>
      <c r="DI129" s="408">
        <v>-114.97331640439597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-15.080357621896667</v>
      </c>
      <c r="DP129" s="408">
        <v>-3.3128230337762687</v>
      </c>
      <c r="DQ129" s="408">
        <v>0</v>
      </c>
      <c r="DR129" s="408">
        <v>0</v>
      </c>
      <c r="DS129" s="408"/>
      <c r="DT129" s="408"/>
      <c r="DU129" s="408"/>
      <c r="DV129" s="408">
        <v>16928.881355311569</v>
      </c>
      <c r="DW129" s="408">
        <v>0</v>
      </c>
      <c r="DX129" s="408">
        <v>0</v>
      </c>
      <c r="DY129" s="408">
        <v>-12199.05012</v>
      </c>
      <c r="DZ129" s="234">
        <v>1295.7745999999988</v>
      </c>
      <c r="EA129" s="408">
        <v>0</v>
      </c>
      <c r="EB129" s="408">
        <v>0</v>
      </c>
      <c r="EC129" s="408">
        <v>-12437.815329797479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242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61" customFormat="1">
      <c r="A130" s="408">
        <v>128</v>
      </c>
      <c r="B130" s="408" t="s">
        <v>1036</v>
      </c>
      <c r="C130" s="408" t="s">
        <v>2231</v>
      </c>
      <c r="D130" s="408" t="s">
        <v>1955</v>
      </c>
      <c r="E130" s="408" t="s">
        <v>1001</v>
      </c>
      <c r="F130" s="408" t="s">
        <v>2246</v>
      </c>
      <c r="G130" s="408" t="s">
        <v>1322</v>
      </c>
      <c r="H130" s="408" t="s">
        <v>1322</v>
      </c>
      <c r="I130" s="408" t="s">
        <v>1322</v>
      </c>
      <c r="J130" s="408" t="s">
        <v>2232</v>
      </c>
      <c r="K130" s="828">
        <v>44440</v>
      </c>
      <c r="L130" s="408">
        <v>0</v>
      </c>
      <c r="M130" s="408">
        <v>0</v>
      </c>
      <c r="N130" s="408">
        <v>134.392</v>
      </c>
      <c r="O130" s="408">
        <v>126.32848</v>
      </c>
      <c r="P130" s="408">
        <v>134.392</v>
      </c>
      <c r="Q130" s="408">
        <v>126.32848</v>
      </c>
      <c r="R130" s="408"/>
      <c r="S130" s="408">
        <v>571.87</v>
      </c>
      <c r="T130" s="408">
        <v>216.76</v>
      </c>
      <c r="U130" s="408"/>
      <c r="V130" s="408">
        <v>105985.56296</v>
      </c>
      <c r="W130" s="408">
        <v>105985.56296</v>
      </c>
      <c r="X130" s="408">
        <v>69078.831919999997</v>
      </c>
      <c r="Y130" s="408">
        <v>0</v>
      </c>
      <c r="Z130" s="408">
        <v>8145.5820457825293</v>
      </c>
      <c r="AA130" s="408">
        <v>0</v>
      </c>
      <c r="AB130" s="408">
        <v>0</v>
      </c>
      <c r="AC130" s="408">
        <v>0</v>
      </c>
      <c r="AD130" s="408">
        <v>110.45862590429687</v>
      </c>
      <c r="AE130" s="408">
        <v>57302.554015601534</v>
      </c>
      <c r="AF130" s="408">
        <v>28706.332898690089</v>
      </c>
      <c r="AG130" s="408">
        <v>424.32993734130554</v>
      </c>
      <c r="AH130" s="408">
        <v>0</v>
      </c>
      <c r="AI130" s="408">
        <v>0</v>
      </c>
      <c r="AJ130" s="408">
        <v>0</v>
      </c>
      <c r="AK130" s="408">
        <v>0</v>
      </c>
      <c r="AL130" s="408">
        <v>1259.7413746425084</v>
      </c>
      <c r="AM130" s="408"/>
      <c r="AN130" s="408">
        <v>257.82696059080024</v>
      </c>
      <c r="AO130" s="408">
        <v>1193.6291238974288</v>
      </c>
      <c r="AP130" s="408">
        <v>3739.7403106105912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79.97259662388376</v>
      </c>
      <c r="BE130" s="408">
        <v>0</v>
      </c>
      <c r="BF130" s="408">
        <v>0</v>
      </c>
      <c r="BG130" s="408">
        <v>4765.303449598714</v>
      </c>
      <c r="BH130" s="408">
        <v>0</v>
      </c>
      <c r="BI130" s="408">
        <v>556.49</v>
      </c>
      <c r="BJ130" s="408">
        <v>2557.42</v>
      </c>
      <c r="BK130" s="408">
        <v>37064.120000000003</v>
      </c>
      <c r="BL130" s="408">
        <v>92</v>
      </c>
      <c r="BM130" s="408"/>
      <c r="BN130" s="408"/>
      <c r="BO130" s="408"/>
      <c r="BP130" s="408"/>
      <c r="BQ130" s="408">
        <v>4144.7299151999987</v>
      </c>
      <c r="BR130" s="408"/>
      <c r="BS130" s="408"/>
      <c r="BT130" s="408"/>
      <c r="BU130" s="408"/>
      <c r="BV130" s="408">
        <v>33551.608944912688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64934.883300000001</v>
      </c>
      <c r="CJ130" s="408">
        <v>-34691.575882399979</v>
      </c>
      <c r="CK130" s="408"/>
      <c r="CL130" s="408"/>
      <c r="CM130" s="408"/>
      <c r="CN130" s="408"/>
      <c r="CO130" s="408">
        <v>-41291.941999999995</v>
      </c>
      <c r="CP130" s="408">
        <v>4385.2109599999994</v>
      </c>
      <c r="CQ130" s="408">
        <v>30</v>
      </c>
      <c r="CR130" s="408">
        <v>5194.2919033234793</v>
      </c>
      <c r="CS130" s="408">
        <v>123.12466343026426</v>
      </c>
      <c r="CT130" s="408">
        <v>385.75991305996558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10.800098712173551</v>
      </c>
      <c r="DA130" s="408">
        <v>0</v>
      </c>
      <c r="DB130" s="408">
        <v>0</v>
      </c>
      <c r="DC130" s="408">
        <v>4385.7745359946202</v>
      </c>
      <c r="DD130" s="408">
        <v>0</v>
      </c>
      <c r="DE130" s="408">
        <v>0</v>
      </c>
      <c r="DF130" s="408">
        <v>12.218271803933845</v>
      </c>
      <c r="DG130" s="408">
        <v>728.04654635951647</v>
      </c>
      <c r="DH130" s="408">
        <v>0</v>
      </c>
      <c r="DI130" s="408">
        <v>-389.17306674541032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-51.045487830311231</v>
      </c>
      <c r="DP130" s="408">
        <v>-11.213571461267492</v>
      </c>
      <c r="DQ130" s="408">
        <v>0</v>
      </c>
      <c r="DR130" s="408">
        <v>0</v>
      </c>
      <c r="DS130" s="408"/>
      <c r="DT130" s="408"/>
      <c r="DU130" s="408"/>
      <c r="DV130" s="408">
        <v>57302.554015601534</v>
      </c>
      <c r="DW130" s="408">
        <v>0</v>
      </c>
      <c r="DX130" s="408">
        <v>0</v>
      </c>
      <c r="DY130" s="408">
        <v>-41291.941999999995</v>
      </c>
      <c r="DZ130" s="234">
        <v>4385.2109599999967</v>
      </c>
      <c r="EA130" s="408">
        <v>0</v>
      </c>
      <c r="EB130" s="408">
        <v>0</v>
      </c>
      <c r="EC130" s="408">
        <v>-42100.74899888035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242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61" customFormat="1">
      <c r="A131" s="408">
        <v>129</v>
      </c>
      <c r="B131" s="408" t="s">
        <v>1036</v>
      </c>
      <c r="C131" s="408" t="s">
        <v>2239</v>
      </c>
      <c r="D131" s="408" t="s">
        <v>597</v>
      </c>
      <c r="E131" s="408" t="s">
        <v>1001</v>
      </c>
      <c r="F131" s="408" t="s">
        <v>2246</v>
      </c>
      <c r="G131" s="408" t="s">
        <v>1322</v>
      </c>
      <c r="H131" s="408" t="s">
        <v>1322</v>
      </c>
      <c r="I131" s="408" t="s">
        <v>973</v>
      </c>
      <c r="J131" s="408" t="s">
        <v>2232</v>
      </c>
      <c r="K131" s="828">
        <v>44440</v>
      </c>
      <c r="L131" s="408">
        <v>0</v>
      </c>
      <c r="M131" s="408">
        <v>0</v>
      </c>
      <c r="N131" s="408">
        <v>5.6280000000000001</v>
      </c>
      <c r="O131" s="408">
        <v>5.2903200000000004</v>
      </c>
      <c r="P131" s="408">
        <v>5.6280000000000001</v>
      </c>
      <c r="Q131" s="408">
        <v>5.2903200000000004</v>
      </c>
      <c r="R131" s="408"/>
      <c r="S131" s="408">
        <v>2592.54</v>
      </c>
      <c r="T131" s="408">
        <v>216.76</v>
      </c>
      <c r="U131" s="408"/>
      <c r="V131" s="408">
        <v>15810.740399999999</v>
      </c>
      <c r="W131" s="408">
        <v>15810.740399999999</v>
      </c>
      <c r="X131" s="408">
        <v>6647.7936</v>
      </c>
      <c r="Y131" s="408">
        <v>0</v>
      </c>
      <c r="Z131" s="408">
        <v>296.77140086975231</v>
      </c>
      <c r="AA131" s="408">
        <v>0</v>
      </c>
      <c r="AB131" s="408">
        <v>0</v>
      </c>
      <c r="AC131" s="408">
        <v>0</v>
      </c>
      <c r="AD131" s="408">
        <v>28.458742945371448</v>
      </c>
      <c r="AE131" s="408">
        <v>12893.137386841034</v>
      </c>
      <c r="AF131" s="408">
        <v>1202.1492466354234</v>
      </c>
      <c r="AG131" s="408">
        <v>17.769873856753883</v>
      </c>
      <c r="AH131" s="408">
        <v>0</v>
      </c>
      <c r="AI131" s="408">
        <v>0</v>
      </c>
      <c r="AJ131" s="408">
        <v>0</v>
      </c>
      <c r="AK131" s="408">
        <v>0</v>
      </c>
      <c r="AL131" s="408">
        <v>52.754810230430664</v>
      </c>
      <c r="AM131" s="408"/>
      <c r="AN131" s="408">
        <v>7.7284945219101608</v>
      </c>
      <c r="AO131" s="408">
        <v>253.90649703180588</v>
      </c>
      <c r="AP131" s="408">
        <v>963.51781382073193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2.5736770749044924</v>
      </c>
      <c r="BE131" s="408">
        <v>0</v>
      </c>
      <c r="BF131" s="408">
        <v>0</v>
      </c>
      <c r="BG131" s="408">
        <v>91.939890622665544</v>
      </c>
      <c r="BH131" s="408">
        <v>0</v>
      </c>
      <c r="BI131" s="408">
        <v>0</v>
      </c>
      <c r="BJ131" s="408">
        <v>0</v>
      </c>
      <c r="BK131" s="408">
        <v>0</v>
      </c>
      <c r="BL131" s="408">
        <v>0</v>
      </c>
      <c r="BM131" s="408"/>
      <c r="BN131" s="408"/>
      <c r="BO131" s="408"/>
      <c r="BP131" s="408"/>
      <c r="BQ131" s="408">
        <v>398.86761599999971</v>
      </c>
      <c r="BR131" s="408"/>
      <c r="BS131" s="408"/>
      <c r="BT131" s="408"/>
      <c r="BU131" s="408"/>
      <c r="BV131" s="408">
        <v>1296.6628143329935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6248.5479999999989</v>
      </c>
      <c r="CJ131" s="408">
        <v>-8613.5779760000023</v>
      </c>
      <c r="CK131" s="408"/>
      <c r="CL131" s="408"/>
      <c r="CM131" s="408"/>
      <c r="CN131" s="408"/>
      <c r="CO131" s="408">
        <v>-9346.5884399999995</v>
      </c>
      <c r="CP131" s="408">
        <v>183.64163999999997</v>
      </c>
      <c r="CQ131" s="408">
        <v>30</v>
      </c>
      <c r="CR131" s="408">
        <v>309.81412683161898</v>
      </c>
      <c r="CS131" s="408">
        <v>26.190842166887933</v>
      </c>
      <c r="CT131" s="408">
        <v>99.388331065830812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2.7825552827416615</v>
      </c>
      <c r="DA131" s="408">
        <v>0</v>
      </c>
      <c r="DB131" s="408">
        <v>0</v>
      </c>
      <c r="DC131" s="408">
        <v>183.66524114960521</v>
      </c>
      <c r="DD131" s="408">
        <v>0</v>
      </c>
      <c r="DE131" s="408">
        <v>0</v>
      </c>
      <c r="DF131" s="408">
        <v>0.39320826588423374</v>
      </c>
      <c r="DG131" s="408">
        <v>14.046643733913768</v>
      </c>
      <c r="DH131" s="408">
        <v>0</v>
      </c>
      <c r="DI131" s="408">
        <v>-14.178905270324947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-2.1376570443850156</v>
      </c>
      <c r="DP131" s="408">
        <v>-0.33613251853439596</v>
      </c>
      <c r="DQ131" s="408">
        <v>0</v>
      </c>
      <c r="DR131" s="408">
        <v>0</v>
      </c>
      <c r="DS131" s="408"/>
      <c r="DT131" s="408"/>
      <c r="DU131" s="408"/>
      <c r="DV131" s="408">
        <v>12893.137386841034</v>
      </c>
      <c r="DW131" s="408">
        <v>0</v>
      </c>
      <c r="DX131" s="408">
        <v>0</v>
      </c>
      <c r="DY131" s="408">
        <v>-9346.5884399999995</v>
      </c>
      <c r="DZ131" s="234">
        <v>183.64164000000005</v>
      </c>
      <c r="EA131" s="408">
        <v>0</v>
      </c>
      <c r="EB131" s="408">
        <v>0</v>
      </c>
      <c r="EC131" s="408">
        <v>-9472.7146155420178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242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61" customFormat="1">
      <c r="A132" s="408">
        <v>130</v>
      </c>
      <c r="B132" s="408" t="s">
        <v>1036</v>
      </c>
      <c r="C132" s="408" t="s">
        <v>2239</v>
      </c>
      <c r="D132" s="408" t="s">
        <v>597</v>
      </c>
      <c r="E132" s="408" t="s">
        <v>1001</v>
      </c>
      <c r="F132" s="408" t="s">
        <v>2246</v>
      </c>
      <c r="G132" s="408" t="s">
        <v>1322</v>
      </c>
      <c r="H132" s="408" t="s">
        <v>1322</v>
      </c>
      <c r="I132" s="408" t="s">
        <v>2240</v>
      </c>
      <c r="J132" s="408" t="s">
        <v>2232</v>
      </c>
      <c r="K132" s="828">
        <v>44440</v>
      </c>
      <c r="L132" s="408">
        <v>0</v>
      </c>
      <c r="M132" s="408">
        <v>0</v>
      </c>
      <c r="N132" s="408">
        <v>91.213999999999999</v>
      </c>
      <c r="O132" s="408">
        <v>85.741159999999994</v>
      </c>
      <c r="P132" s="408">
        <v>91.213999999999999</v>
      </c>
      <c r="Q132" s="408">
        <v>85.741159999999994</v>
      </c>
      <c r="R132" s="408"/>
      <c r="S132" s="408">
        <v>80.27</v>
      </c>
      <c r="T132" s="408">
        <v>216.76</v>
      </c>
      <c r="U132" s="408"/>
      <c r="V132" s="408">
        <v>27093.294419999998</v>
      </c>
      <c r="W132" s="408">
        <v>27093.294419999998</v>
      </c>
      <c r="X132" s="408">
        <v>30034.033779999998</v>
      </c>
      <c r="Y132" s="408">
        <v>0</v>
      </c>
      <c r="Z132" s="408">
        <v>4809.8270360578517</v>
      </c>
      <c r="AA132" s="408">
        <v>0</v>
      </c>
      <c r="AB132" s="408">
        <v>0</v>
      </c>
      <c r="AC132" s="408">
        <v>0</v>
      </c>
      <c r="AD132" s="408">
        <v>0</v>
      </c>
      <c r="AE132" s="408">
        <v>0</v>
      </c>
      <c r="AF132" s="408">
        <v>19483.447296127135</v>
      </c>
      <c r="AG132" s="408">
        <v>287.99951563076559</v>
      </c>
      <c r="AH132" s="408">
        <v>0</v>
      </c>
      <c r="AI132" s="408">
        <v>0</v>
      </c>
      <c r="AJ132" s="408">
        <v>0</v>
      </c>
      <c r="AK132" s="408">
        <v>0</v>
      </c>
      <c r="AL132" s="408">
        <v>855.0066205327829</v>
      </c>
      <c r="AM132" s="408"/>
      <c r="AN132" s="408">
        <v>125.25708943168326</v>
      </c>
      <c r="AO132" s="408">
        <v>0</v>
      </c>
      <c r="AP132" s="408">
        <v>0</v>
      </c>
      <c r="AQ132" s="408">
        <v>0</v>
      </c>
      <c r="AR132" s="408">
        <v>0</v>
      </c>
      <c r="AS132" s="408">
        <v>0</v>
      </c>
      <c r="AT132" s="408">
        <v>0</v>
      </c>
      <c r="AU132" s="408">
        <v>0</v>
      </c>
      <c r="AV132" s="408">
        <v>0</v>
      </c>
      <c r="AW132" s="408">
        <v>0</v>
      </c>
      <c r="AX132" s="408">
        <v>0</v>
      </c>
      <c r="AY132" s="408">
        <v>0</v>
      </c>
      <c r="AZ132" s="408">
        <v>0</v>
      </c>
      <c r="BA132" s="408"/>
      <c r="BB132" s="408">
        <v>0</v>
      </c>
      <c r="BC132" s="408">
        <v>0</v>
      </c>
      <c r="BD132" s="408">
        <v>41.712043480870356</v>
      </c>
      <c r="BE132" s="408">
        <v>0</v>
      </c>
      <c r="BF132" s="408">
        <v>0</v>
      </c>
      <c r="BG132" s="408">
        <v>1490.0862088229946</v>
      </c>
      <c r="BH132" s="408">
        <v>0</v>
      </c>
      <c r="BI132" s="408">
        <v>0</v>
      </c>
      <c r="BJ132" s="408">
        <v>0</v>
      </c>
      <c r="BK132" s="408">
        <v>0</v>
      </c>
      <c r="BL132" s="408">
        <v>0</v>
      </c>
      <c r="BM132" s="408"/>
      <c r="BN132" s="408"/>
      <c r="BO132" s="408"/>
      <c r="BP132" s="408"/>
      <c r="BQ132" s="408">
        <v>1802.0420268000014</v>
      </c>
      <c r="BR132" s="408"/>
      <c r="BS132" s="408"/>
      <c r="BT132" s="408"/>
      <c r="BU132" s="408"/>
      <c r="BV132" s="408">
        <v>21015.245548431001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28231.609799999995</v>
      </c>
      <c r="CJ132" s="408">
        <v>2763.8830451999966</v>
      </c>
      <c r="CK132" s="408"/>
      <c r="CL132" s="408"/>
      <c r="CM132" s="408"/>
      <c r="CN132" s="408"/>
      <c r="CO132" s="408">
        <v>-35.573460000000054</v>
      </c>
      <c r="CP132" s="408">
        <v>2976.3128199999996</v>
      </c>
      <c r="CQ132" s="408">
        <v>30</v>
      </c>
      <c r="CR132" s="408">
        <v>2940.8313894829662</v>
      </c>
      <c r="CS132" s="408">
        <v>0</v>
      </c>
      <c r="CT132" s="408">
        <v>0</v>
      </c>
      <c r="CU132" s="408">
        <v>0</v>
      </c>
      <c r="CV132" s="408">
        <v>0</v>
      </c>
      <c r="CW132" s="408">
        <v>0</v>
      </c>
      <c r="CX132" s="408">
        <v>0</v>
      </c>
      <c r="CY132" s="408">
        <v>0</v>
      </c>
      <c r="CZ132" s="408">
        <v>0</v>
      </c>
      <c r="DA132" s="408">
        <v>0</v>
      </c>
      <c r="DB132" s="408">
        <v>0</v>
      </c>
      <c r="DC132" s="408">
        <v>2976.6953280419475</v>
      </c>
      <c r="DD132" s="408">
        <v>0</v>
      </c>
      <c r="DE132" s="408">
        <v>0</v>
      </c>
      <c r="DF132" s="408">
        <v>6.3727965110811127</v>
      </c>
      <c r="DG132" s="408">
        <v>227.65646082892886</v>
      </c>
      <c r="DH132" s="408">
        <v>0</v>
      </c>
      <c r="DI132" s="408">
        <v>-229.80004714417646</v>
      </c>
      <c r="DJ132" s="408"/>
      <c r="DK132" s="408">
        <v>0</v>
      </c>
      <c r="DL132" s="408">
        <v>0</v>
      </c>
      <c r="DM132" s="408">
        <v>0</v>
      </c>
      <c r="DN132" s="408">
        <v>0</v>
      </c>
      <c r="DO132" s="408">
        <v>-34.645389062994809</v>
      </c>
      <c r="DP132" s="408">
        <v>-5.4477596918259366</v>
      </c>
      <c r="DQ132" s="408">
        <v>0</v>
      </c>
      <c r="DR132" s="408">
        <v>0</v>
      </c>
      <c r="DS132" s="408"/>
      <c r="DT132" s="408"/>
      <c r="DU132" s="408"/>
      <c r="DV132" s="408">
        <v>0</v>
      </c>
      <c r="DW132" s="408">
        <v>0</v>
      </c>
      <c r="DX132" s="408">
        <v>0</v>
      </c>
      <c r="DY132" s="408">
        <v>-35.573460000000523</v>
      </c>
      <c r="DZ132" s="234">
        <v>2976.3128199999992</v>
      </c>
      <c r="EA132" s="408">
        <v>0</v>
      </c>
      <c r="EB132" s="408">
        <v>0</v>
      </c>
      <c r="EC132" s="408">
        <v>0</v>
      </c>
      <c r="ED132" s="408">
        <v>0</v>
      </c>
      <c r="EE132" s="408">
        <v>0</v>
      </c>
      <c r="EF132" s="408">
        <v>0</v>
      </c>
      <c r="EG132" s="408">
        <v>0</v>
      </c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>
        <v>0</v>
      </c>
      <c r="EN132" s="408">
        <v>0</v>
      </c>
      <c r="EO132" s="408">
        <v>0</v>
      </c>
      <c r="EP132" s="408">
        <v>0</v>
      </c>
      <c r="EQ132" s="408">
        <v>0</v>
      </c>
      <c r="ER132" s="408">
        <v>0</v>
      </c>
      <c r="ES132" s="408">
        <v>0</v>
      </c>
      <c r="ET132" s="408">
        <v>0</v>
      </c>
      <c r="EU132" s="408">
        <v>0</v>
      </c>
      <c r="EV132" s="408">
        <v>242</v>
      </c>
      <c r="EW132" s="408">
        <v>0</v>
      </c>
      <c r="EX132" s="408">
        <v>0</v>
      </c>
      <c r="EY132" s="408">
        <v>0</v>
      </c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131</v>
      </c>
      <c r="B133" s="408" t="s">
        <v>1036</v>
      </c>
      <c r="C133" s="408" t="s">
        <v>2239</v>
      </c>
      <c r="D133" s="408" t="s">
        <v>597</v>
      </c>
      <c r="E133" s="408" t="s">
        <v>1001</v>
      </c>
      <c r="F133" s="408" t="s">
        <v>2246</v>
      </c>
      <c r="G133" s="408" t="s">
        <v>1322</v>
      </c>
      <c r="H133" s="408" t="s">
        <v>1322</v>
      </c>
      <c r="I133" s="408" t="s">
        <v>1322</v>
      </c>
      <c r="J133" s="408" t="s">
        <v>2232</v>
      </c>
      <c r="K133" s="828">
        <v>44440</v>
      </c>
      <c r="L133" s="408">
        <v>535</v>
      </c>
      <c r="M133" s="408">
        <v>502.9</v>
      </c>
      <c r="N133" s="408">
        <v>0</v>
      </c>
      <c r="O133" s="408">
        <v>0</v>
      </c>
      <c r="P133" s="408">
        <v>0</v>
      </c>
      <c r="Q133" s="408">
        <v>0</v>
      </c>
      <c r="R133" s="408">
        <v>32.17</v>
      </c>
      <c r="S133" s="408"/>
      <c r="T133" s="408"/>
      <c r="U133" s="408">
        <v>17210.95</v>
      </c>
      <c r="V133" s="408"/>
      <c r="W133" s="408">
        <v>17210.95</v>
      </c>
      <c r="X133" s="408">
        <v>6917.55</v>
      </c>
      <c r="Y133" s="408">
        <v>0</v>
      </c>
      <c r="Z133" s="408">
        <v>0</v>
      </c>
      <c r="AA133" s="408">
        <v>0</v>
      </c>
      <c r="AB133" s="408">
        <v>0</v>
      </c>
      <c r="AC133" s="408">
        <v>0</v>
      </c>
      <c r="AD133" s="408">
        <v>53.455180445232344</v>
      </c>
      <c r="AE133" s="408">
        <v>14405.803454243754</v>
      </c>
      <c r="AF133" s="408"/>
      <c r="AG133" s="408"/>
      <c r="AH133" s="408"/>
      <c r="AI133" s="408">
        <v>0</v>
      </c>
      <c r="AJ133" s="408">
        <v>0</v>
      </c>
      <c r="AK133" s="408">
        <v>0</v>
      </c>
      <c r="AL133" s="408">
        <v>0</v>
      </c>
      <c r="AM133" s="408"/>
      <c r="AN133" s="408">
        <v>0</v>
      </c>
      <c r="AO133" s="408">
        <v>943.96529193134563</v>
      </c>
      <c r="AP133" s="408">
        <v>1809.8328635134387</v>
      </c>
      <c r="AQ133" s="408">
        <v>0</v>
      </c>
      <c r="AR133" s="408">
        <v>0</v>
      </c>
      <c r="AS133" s="408"/>
      <c r="AT133" s="408"/>
      <c r="AU133" s="408">
        <v>0</v>
      </c>
      <c r="AV133" s="408">
        <v>0</v>
      </c>
      <c r="AW133" s="408">
        <v>0</v>
      </c>
      <c r="AX133" s="408"/>
      <c r="AY133" s="408"/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/>
      <c r="BG133" s="408">
        <v>0</v>
      </c>
      <c r="BH133" s="408">
        <v>0</v>
      </c>
      <c r="BI133" s="408">
        <v>385.29</v>
      </c>
      <c r="BJ133" s="408">
        <v>1769.42</v>
      </c>
      <c r="BK133" s="408">
        <v>24644.89</v>
      </c>
      <c r="BL133" s="408">
        <v>2</v>
      </c>
      <c r="BM133" s="408"/>
      <c r="BN133" s="408"/>
      <c r="BO133" s="408"/>
      <c r="BP133" s="408"/>
      <c r="BQ133" s="408">
        <v>415.05300000000028</v>
      </c>
      <c r="BR133" s="408"/>
      <c r="BS133" s="408"/>
      <c r="BT133" s="408"/>
      <c r="BU133" s="408"/>
      <c r="BV133" s="408">
        <v>0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6502.4969999999994</v>
      </c>
      <c r="CJ133" s="408">
        <v>-9675.8260000000009</v>
      </c>
      <c r="CK133" s="408"/>
      <c r="CL133" s="408"/>
      <c r="CM133" s="408"/>
      <c r="CN133" s="408"/>
      <c r="CO133" s="408">
        <v>-10293.400000000001</v>
      </c>
      <c r="CP133" s="408">
        <v>0</v>
      </c>
      <c r="CQ133" s="408">
        <v>30</v>
      </c>
      <c r="CR133" s="408">
        <v>289.28506045054837</v>
      </c>
      <c r="CS133" s="408">
        <v>97.371458631473729</v>
      </c>
      <c r="CT133" s="408">
        <v>186.68701837428534</v>
      </c>
      <c r="CU133" s="408">
        <v>0</v>
      </c>
      <c r="CV133" s="408">
        <v>0</v>
      </c>
      <c r="CW133" s="408"/>
      <c r="CX133" s="408"/>
      <c r="CY133" s="408"/>
      <c r="CZ133" s="408">
        <v>5.2265834447893695</v>
      </c>
      <c r="DA133" s="408">
        <v>0</v>
      </c>
      <c r="DB133" s="408">
        <v>0</v>
      </c>
      <c r="DC133" s="408"/>
      <c r="DD133" s="408"/>
      <c r="DE133" s="408">
        <v>0</v>
      </c>
      <c r="DF133" s="408">
        <v>0</v>
      </c>
      <c r="DG133" s="408">
        <v>0</v>
      </c>
      <c r="DH133" s="408">
        <v>0</v>
      </c>
      <c r="DI133" s="408">
        <v>0</v>
      </c>
      <c r="DJ133" s="408"/>
      <c r="DK133" s="408">
        <v>0</v>
      </c>
      <c r="DL133" s="408">
        <v>0</v>
      </c>
      <c r="DM133" s="408"/>
      <c r="DN133" s="408">
        <v>0</v>
      </c>
      <c r="DO133" s="408">
        <v>0</v>
      </c>
      <c r="DP133" s="408">
        <v>0</v>
      </c>
      <c r="DQ133" s="408">
        <v>0</v>
      </c>
      <c r="DR133" s="408">
        <v>0</v>
      </c>
      <c r="DS133" s="408"/>
      <c r="DT133" s="408"/>
      <c r="DU133" s="408">
        <v>14405.803454243754</v>
      </c>
      <c r="DV133" s="408"/>
      <c r="DW133" s="408">
        <v>0</v>
      </c>
      <c r="DX133" s="408">
        <v>0</v>
      </c>
      <c r="DY133" s="408">
        <v>-10293.400000000001</v>
      </c>
      <c r="DZ133" s="234"/>
      <c r="EA133" s="408">
        <v>0</v>
      </c>
      <c r="EB133" s="408"/>
      <c r="EC133" s="408">
        <v>-10584.085225750867</v>
      </c>
      <c r="ED133" s="408"/>
      <c r="EE133" s="408">
        <v>0</v>
      </c>
      <c r="EF133" s="408">
        <v>0</v>
      </c>
      <c r="EG133" s="408"/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/>
      <c r="EN133" s="408"/>
      <c r="EO133" s="408">
        <v>0</v>
      </c>
      <c r="EP133" s="408">
        <v>0</v>
      </c>
      <c r="EQ133" s="408"/>
      <c r="ER133" s="408">
        <v>0</v>
      </c>
      <c r="ES133" s="408"/>
      <c r="ET133" s="408">
        <v>0</v>
      </c>
      <c r="EU133" s="408"/>
      <c r="EV133" s="408">
        <v>242</v>
      </c>
      <c r="EW133" s="408"/>
      <c r="EX133" s="408"/>
      <c r="EY133" s="408"/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132</v>
      </c>
      <c r="B134" s="408" t="s">
        <v>1036</v>
      </c>
      <c r="C134" s="408" t="s">
        <v>2231</v>
      </c>
      <c r="D134" s="408" t="s">
        <v>1955</v>
      </c>
      <c r="E134" s="408" t="s">
        <v>2247</v>
      </c>
      <c r="F134" s="408" t="s">
        <v>1322</v>
      </c>
      <c r="G134" s="408" t="s">
        <v>1322</v>
      </c>
      <c r="H134" s="408" t="s">
        <v>1322</v>
      </c>
      <c r="I134" s="408" t="s">
        <v>1322</v>
      </c>
      <c r="J134" s="408" t="s">
        <v>2232</v>
      </c>
      <c r="K134" s="828">
        <v>44440</v>
      </c>
      <c r="L134" s="408">
        <v>0</v>
      </c>
      <c r="M134" s="408">
        <v>0</v>
      </c>
      <c r="N134" s="408">
        <v>0.28499999999999998</v>
      </c>
      <c r="O134" s="408">
        <v>0.28499999999999998</v>
      </c>
      <c r="P134" s="408">
        <v>0.28499999999999998</v>
      </c>
      <c r="Q134" s="408">
        <v>0.28499999999999998</v>
      </c>
      <c r="R134" s="408"/>
      <c r="S134" s="408">
        <v>571.87</v>
      </c>
      <c r="T134" s="408">
        <v>216.76</v>
      </c>
      <c r="U134" s="408"/>
      <c r="V134" s="408">
        <v>224.75954999999999</v>
      </c>
      <c r="W134" s="408">
        <v>224.75954999999999</v>
      </c>
      <c r="X134" s="408">
        <v>146.49284999999998</v>
      </c>
      <c r="Y134" s="408">
        <v>0</v>
      </c>
      <c r="Z134" s="408">
        <v>17.274025857551198</v>
      </c>
      <c r="AA134" s="408">
        <v>0</v>
      </c>
      <c r="AB134" s="408">
        <v>0</v>
      </c>
      <c r="AC134" s="408">
        <v>0</v>
      </c>
      <c r="AD134" s="408">
        <v>0.23424540435981758</v>
      </c>
      <c r="AE134" s="408">
        <v>121.51934560425053</v>
      </c>
      <c r="AF134" s="408">
        <v>60.876427734736254</v>
      </c>
      <c r="AG134" s="408">
        <v>0.89986034988892249</v>
      </c>
      <c r="AH134" s="408">
        <v>0</v>
      </c>
      <c r="AI134" s="408">
        <v>0</v>
      </c>
      <c r="AJ134" s="408">
        <v>0</v>
      </c>
      <c r="AK134" s="408">
        <v>0</v>
      </c>
      <c r="AL134" s="408">
        <v>2.6714855926923842</v>
      </c>
      <c r="AM134" s="408"/>
      <c r="AN134" s="408">
        <v>0.54676382350421193</v>
      </c>
      <c r="AO134" s="408">
        <v>2.5312838584943091</v>
      </c>
      <c r="AP134" s="408">
        <v>7.9307249577654799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0.16959484223619614</v>
      </c>
      <c r="BE134" s="408">
        <v>0</v>
      </c>
      <c r="BF134" s="408">
        <v>0</v>
      </c>
      <c r="BG134" s="408">
        <v>10.105597677954293</v>
      </c>
      <c r="BH134" s="408">
        <v>0</v>
      </c>
      <c r="BI134" s="408">
        <v>1.25</v>
      </c>
      <c r="BJ134" s="408">
        <v>5.78</v>
      </c>
      <c r="BK134" s="408">
        <v>79.900000000000006</v>
      </c>
      <c r="BL134" s="408">
        <v>2</v>
      </c>
      <c r="BM134" s="408"/>
      <c r="BN134" s="408"/>
      <c r="BO134" s="408"/>
      <c r="BP134" s="408"/>
      <c r="BQ134" s="408"/>
      <c r="BR134" s="408"/>
      <c r="BS134" s="408"/>
      <c r="BT134" s="408"/>
      <c r="BU134" s="408"/>
      <c r="BV134" s="408">
        <v>71.15162025492674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149.06290000000001</v>
      </c>
      <c r="CJ134" s="408">
        <v>-75.72664999999995</v>
      </c>
      <c r="CK134" s="408"/>
      <c r="CL134" s="408"/>
      <c r="CM134" s="408"/>
      <c r="CN134" s="408"/>
      <c r="CO134" s="408">
        <v>-87.566249999999997</v>
      </c>
      <c r="CP134" s="408">
        <v>9.2995499999999982</v>
      </c>
      <c r="CQ134" s="408">
        <v>30</v>
      </c>
      <c r="CR134" s="408">
        <v>11.015337166253929</v>
      </c>
      <c r="CS134" s="408">
        <v>0.26110578812448137</v>
      </c>
      <c r="CT134" s="408">
        <v>0.81806636721002857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2.290335833211396E-2</v>
      </c>
      <c r="DA134" s="408">
        <v>0</v>
      </c>
      <c r="DB134" s="408">
        <v>0</v>
      </c>
      <c r="DC134" s="408">
        <v>9.3007451541644457</v>
      </c>
      <c r="DD134" s="408">
        <v>0</v>
      </c>
      <c r="DE134" s="408">
        <v>0</v>
      </c>
      <c r="DF134" s="408">
        <v>2.5910824038046482E-2</v>
      </c>
      <c r="DG134" s="408">
        <v>1.5439406044441792</v>
      </c>
      <c r="DH134" s="408">
        <v>0</v>
      </c>
      <c r="DI134" s="408">
        <v>-0.82530451234033109</v>
      </c>
      <c r="DJ134" s="408"/>
      <c r="DK134" s="408">
        <v>0</v>
      </c>
      <c r="DL134" s="408">
        <v>0</v>
      </c>
      <c r="DM134" s="408">
        <v>0</v>
      </c>
      <c r="DN134" s="408">
        <v>0</v>
      </c>
      <c r="DO134" s="408">
        <v>-0.10825022346299384</v>
      </c>
      <c r="DP134" s="408">
        <v>-2.3780194256066034E-2</v>
      </c>
      <c r="DQ134" s="408">
        <v>0</v>
      </c>
      <c r="DR134" s="408">
        <v>0</v>
      </c>
      <c r="DS134" s="408"/>
      <c r="DT134" s="408"/>
      <c r="DU134" s="408"/>
      <c r="DV134" s="408">
        <v>121.51934560425053</v>
      </c>
      <c r="DW134" s="408">
        <v>0</v>
      </c>
      <c r="DX134" s="408">
        <v>0</v>
      </c>
      <c r="DY134" s="408">
        <v>-87.566249999999997</v>
      </c>
      <c r="DZ134" s="234">
        <v>9.2995499999999893</v>
      </c>
      <c r="EA134" s="408">
        <v>0</v>
      </c>
      <c r="EB134" s="408">
        <v>0</v>
      </c>
      <c r="EC134" s="408">
        <v>-89.281456222698523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0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242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133</v>
      </c>
      <c r="B135" s="408" t="s">
        <v>1036</v>
      </c>
      <c r="C135" s="408" t="s">
        <v>2231</v>
      </c>
      <c r="D135" s="408" t="s">
        <v>2241</v>
      </c>
      <c r="E135" s="408" t="s">
        <v>974</v>
      </c>
      <c r="F135" s="408" t="s">
        <v>2248</v>
      </c>
      <c r="G135" s="408" t="s">
        <v>2249</v>
      </c>
      <c r="H135" s="408" t="s">
        <v>1322</v>
      </c>
      <c r="I135" s="408" t="s">
        <v>1322</v>
      </c>
      <c r="J135" s="408" t="s">
        <v>2232</v>
      </c>
      <c r="K135" s="828">
        <v>44440</v>
      </c>
      <c r="L135" s="408">
        <v>0</v>
      </c>
      <c r="M135" s="408">
        <v>0</v>
      </c>
      <c r="N135" s="408">
        <v>0</v>
      </c>
      <c r="O135" s="408">
        <v>0</v>
      </c>
      <c r="P135" s="408">
        <v>0</v>
      </c>
      <c r="Q135" s="408">
        <v>0</v>
      </c>
      <c r="R135" s="408"/>
      <c r="S135" s="408"/>
      <c r="T135" s="408"/>
      <c r="U135" s="408"/>
      <c r="V135" s="408"/>
      <c r="W135" s="408"/>
      <c r="X135" s="408"/>
      <c r="Y135" s="408"/>
      <c r="Z135" s="408"/>
      <c r="AA135" s="408">
        <v>0</v>
      </c>
      <c r="AB135" s="408"/>
      <c r="AC135" s="408"/>
      <c r="AD135" s="408"/>
      <c r="AE135" s="408"/>
      <c r="AF135" s="408"/>
      <c r="AG135" s="408"/>
      <c r="AH135" s="408"/>
      <c r="AI135" s="408"/>
      <c r="AJ135" s="408"/>
      <c r="AK135" s="408"/>
      <c r="AL135" s="408"/>
      <c r="AM135" s="408"/>
      <c r="AN135" s="408"/>
      <c r="AO135" s="408"/>
      <c r="AP135" s="408"/>
      <c r="AQ135" s="408"/>
      <c r="AR135" s="408"/>
      <c r="AS135" s="408"/>
      <c r="AT135" s="408"/>
      <c r="AU135" s="408"/>
      <c r="AV135" s="408"/>
      <c r="AW135" s="408"/>
      <c r="AX135" s="408"/>
      <c r="AY135" s="408"/>
      <c r="AZ135" s="408">
        <v>0</v>
      </c>
      <c r="BA135" s="408"/>
      <c r="BB135" s="408"/>
      <c r="BC135" s="408"/>
      <c r="BD135" s="408"/>
      <c r="BE135" s="408"/>
      <c r="BF135" s="408"/>
      <c r="BG135" s="408"/>
      <c r="BH135" s="408"/>
      <c r="BI135" s="408">
        <v>93.05</v>
      </c>
      <c r="BJ135" s="408">
        <v>429.92</v>
      </c>
      <c r="BK135" s="408">
        <v>951.24</v>
      </c>
      <c r="BL135" s="408">
        <v>128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/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/>
      <c r="CJ135" s="408">
        <v>-0.03</v>
      </c>
      <c r="CK135" s="408"/>
      <c r="CL135" s="408"/>
      <c r="CM135" s="408"/>
      <c r="CN135" s="408"/>
      <c r="CO135" s="408">
        <v>0</v>
      </c>
      <c r="CP135" s="408">
        <v>0</v>
      </c>
      <c r="CQ135" s="408">
        <v>30</v>
      </c>
      <c r="CR135" s="408"/>
      <c r="CS135" s="408"/>
      <c r="CT135" s="408"/>
      <c r="CU135" s="408"/>
      <c r="CV135" s="408"/>
      <c r="CW135" s="408"/>
      <c r="CX135" s="408"/>
      <c r="CY135" s="408"/>
      <c r="CZ135" s="408"/>
      <c r="DA135" s="408"/>
      <c r="DB135" s="408"/>
      <c r="DC135" s="408"/>
      <c r="DD135" s="408"/>
      <c r="DE135" s="408"/>
      <c r="DF135" s="408"/>
      <c r="DG135" s="408"/>
      <c r="DH135" s="408"/>
      <c r="DI135" s="408"/>
      <c r="DJ135" s="408"/>
      <c r="DK135" s="408">
        <v>0</v>
      </c>
      <c r="DL135" s="408"/>
      <c r="DM135" s="408"/>
      <c r="DN135" s="408"/>
      <c r="DO135" s="408"/>
      <c r="DP135" s="408"/>
      <c r="DQ135" s="408"/>
      <c r="DR135" s="408"/>
      <c r="DS135" s="408"/>
      <c r="DT135" s="408"/>
      <c r="DU135" s="408"/>
      <c r="DV135" s="408"/>
      <c r="DW135" s="408"/>
      <c r="DX135" s="408"/>
      <c r="DY135" s="408"/>
      <c r="DZ135" s="234"/>
      <c r="EA135" s="408"/>
      <c r="EB135" s="408"/>
      <c r="EC135" s="408"/>
      <c r="ED135" s="408"/>
      <c r="EE135" s="408"/>
      <c r="EF135" s="408"/>
      <c r="EG135" s="408"/>
      <c r="EH135" s="408"/>
      <c r="EI135" s="408"/>
      <c r="EJ135" s="408"/>
      <c r="EK135" s="408"/>
      <c r="EL135" s="408"/>
      <c r="EM135" s="408"/>
      <c r="EN135" s="408"/>
      <c r="EO135" s="408"/>
      <c r="EP135" s="408"/>
      <c r="EQ135" s="408"/>
      <c r="ER135" s="408"/>
      <c r="ES135" s="408"/>
      <c r="ET135" s="408"/>
      <c r="EU135" s="408"/>
      <c r="EV135" s="408">
        <v>242</v>
      </c>
      <c r="EW135" s="408"/>
      <c r="EX135" s="408"/>
      <c r="EY135" s="408"/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134</v>
      </c>
      <c r="B136" s="408" t="s">
        <v>2233</v>
      </c>
      <c r="C136" s="408" t="s">
        <v>2231</v>
      </c>
      <c r="D136" s="408" t="s">
        <v>2241</v>
      </c>
      <c r="E136" s="408" t="s">
        <v>974</v>
      </c>
      <c r="F136" s="408" t="s">
        <v>2248</v>
      </c>
      <c r="G136" s="408" t="s">
        <v>2249</v>
      </c>
      <c r="H136" s="408" t="s">
        <v>1322</v>
      </c>
      <c r="I136" s="408" t="s">
        <v>1322</v>
      </c>
      <c r="J136" s="408" t="s">
        <v>2232</v>
      </c>
      <c r="K136" s="828">
        <v>44440</v>
      </c>
      <c r="L136" s="408">
        <v>0</v>
      </c>
      <c r="M136" s="408">
        <v>0</v>
      </c>
      <c r="N136" s="408">
        <v>0</v>
      </c>
      <c r="O136" s="408">
        <v>0</v>
      </c>
      <c r="P136" s="408">
        <v>0</v>
      </c>
      <c r="Q136" s="408">
        <v>0</v>
      </c>
      <c r="R136" s="408"/>
      <c r="S136" s="408"/>
      <c r="T136" s="408"/>
      <c r="U136" s="408"/>
      <c r="V136" s="408"/>
      <c r="W136" s="408"/>
      <c r="X136" s="408"/>
      <c r="Y136" s="408"/>
      <c r="Z136" s="408"/>
      <c r="AA136" s="408">
        <v>0</v>
      </c>
      <c r="AB136" s="408"/>
      <c r="AC136" s="408"/>
      <c r="AD136" s="408"/>
      <c r="AE136" s="408"/>
      <c r="AF136" s="408"/>
      <c r="AG136" s="408"/>
      <c r="AH136" s="408"/>
      <c r="AI136" s="408"/>
      <c r="AJ136" s="408"/>
      <c r="AK136" s="408"/>
      <c r="AL136" s="408"/>
      <c r="AM136" s="408"/>
      <c r="AN136" s="408"/>
      <c r="AO136" s="408"/>
      <c r="AP136" s="408"/>
      <c r="AQ136" s="408"/>
      <c r="AR136" s="408"/>
      <c r="AS136" s="408"/>
      <c r="AT136" s="408"/>
      <c r="AU136" s="408"/>
      <c r="AV136" s="408"/>
      <c r="AW136" s="408"/>
      <c r="AX136" s="408"/>
      <c r="AY136" s="408"/>
      <c r="AZ136" s="408">
        <v>0</v>
      </c>
      <c r="BA136" s="408"/>
      <c r="BB136" s="408"/>
      <c r="BC136" s="408"/>
      <c r="BD136" s="408"/>
      <c r="BE136" s="408"/>
      <c r="BF136" s="408"/>
      <c r="BG136" s="408"/>
      <c r="BH136" s="408"/>
      <c r="BI136" s="408">
        <v>-7.37</v>
      </c>
      <c r="BJ136" s="408">
        <v>-33.840000000000003</v>
      </c>
      <c r="BK136" s="408">
        <v>-12.63</v>
      </c>
      <c r="BL136" s="408">
        <v>0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/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/>
      <c r="CJ136" s="408">
        <v>-0.03</v>
      </c>
      <c r="CK136" s="408"/>
      <c r="CL136" s="408"/>
      <c r="CM136" s="408"/>
      <c r="CN136" s="408"/>
      <c r="CO136" s="408">
        <v>0</v>
      </c>
      <c r="CP136" s="408">
        <v>0</v>
      </c>
      <c r="CQ136" s="408">
        <v>30</v>
      </c>
      <c r="CR136" s="408"/>
      <c r="CS136" s="408"/>
      <c r="CT136" s="408"/>
      <c r="CU136" s="408"/>
      <c r="CV136" s="408"/>
      <c r="CW136" s="408"/>
      <c r="CX136" s="408"/>
      <c r="CY136" s="408"/>
      <c r="CZ136" s="408"/>
      <c r="DA136" s="408"/>
      <c r="DB136" s="408"/>
      <c r="DC136" s="408"/>
      <c r="DD136" s="408"/>
      <c r="DE136" s="408"/>
      <c r="DF136" s="408"/>
      <c r="DG136" s="408"/>
      <c r="DH136" s="408"/>
      <c r="DI136" s="408"/>
      <c r="DJ136" s="408"/>
      <c r="DK136" s="408">
        <v>0</v>
      </c>
      <c r="DL136" s="408"/>
      <c r="DM136" s="408"/>
      <c r="DN136" s="408"/>
      <c r="DO136" s="408"/>
      <c r="DP136" s="408"/>
      <c r="DQ136" s="408"/>
      <c r="DR136" s="408"/>
      <c r="DS136" s="408"/>
      <c r="DT136" s="408"/>
      <c r="DU136" s="408"/>
      <c r="DV136" s="408"/>
      <c r="DW136" s="408"/>
      <c r="DX136" s="408"/>
      <c r="DY136" s="408"/>
      <c r="DZ136" s="234"/>
      <c r="EA136" s="408"/>
      <c r="EB136" s="408"/>
      <c r="EC136" s="408"/>
      <c r="ED136" s="408"/>
      <c r="EE136" s="408"/>
      <c r="EF136" s="408"/>
      <c r="EG136" s="408"/>
      <c r="EH136" s="408"/>
      <c r="EI136" s="408"/>
      <c r="EJ136" s="408"/>
      <c r="EK136" s="408"/>
      <c r="EL136" s="408"/>
      <c r="EM136" s="408"/>
      <c r="EN136" s="408"/>
      <c r="EO136" s="408"/>
      <c r="EP136" s="408"/>
      <c r="EQ136" s="408"/>
      <c r="ER136" s="408"/>
      <c r="ES136" s="408"/>
      <c r="ET136" s="408"/>
      <c r="EU136" s="408"/>
      <c r="EV136" s="408">
        <v>242</v>
      </c>
      <c r="EW136" s="408"/>
      <c r="EX136" s="408"/>
      <c r="EY136" s="408"/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135</v>
      </c>
      <c r="B137" s="408" t="s">
        <v>2234</v>
      </c>
      <c r="C137" s="408" t="s">
        <v>2231</v>
      </c>
      <c r="D137" s="408" t="s">
        <v>2241</v>
      </c>
      <c r="E137" s="408" t="s">
        <v>974</v>
      </c>
      <c r="F137" s="408" t="s">
        <v>2248</v>
      </c>
      <c r="G137" s="408" t="s">
        <v>2249</v>
      </c>
      <c r="H137" s="408" t="s">
        <v>1322</v>
      </c>
      <c r="I137" s="408" t="s">
        <v>1322</v>
      </c>
      <c r="J137" s="408" t="s">
        <v>2232</v>
      </c>
      <c r="K137" s="828">
        <v>44440</v>
      </c>
      <c r="L137" s="408">
        <v>0</v>
      </c>
      <c r="M137" s="408">
        <v>0</v>
      </c>
      <c r="N137" s="408">
        <v>0</v>
      </c>
      <c r="O137" s="408">
        <v>0</v>
      </c>
      <c r="P137" s="408">
        <v>0</v>
      </c>
      <c r="Q137" s="408">
        <v>0</v>
      </c>
      <c r="R137" s="408"/>
      <c r="S137" s="408"/>
      <c r="T137" s="408"/>
      <c r="U137" s="408"/>
      <c r="V137" s="408"/>
      <c r="W137" s="408"/>
      <c r="X137" s="408"/>
      <c r="Y137" s="408"/>
      <c r="Z137" s="408"/>
      <c r="AA137" s="408">
        <v>0</v>
      </c>
      <c r="AB137" s="408"/>
      <c r="AC137" s="408"/>
      <c r="AD137" s="408"/>
      <c r="AE137" s="408"/>
      <c r="AF137" s="408"/>
      <c r="AG137" s="408"/>
      <c r="AH137" s="408"/>
      <c r="AI137" s="408"/>
      <c r="AJ137" s="408"/>
      <c r="AK137" s="408"/>
      <c r="AL137" s="408"/>
      <c r="AM137" s="408"/>
      <c r="AN137" s="408"/>
      <c r="AO137" s="408"/>
      <c r="AP137" s="408"/>
      <c r="AQ137" s="408"/>
      <c r="AR137" s="408"/>
      <c r="AS137" s="408"/>
      <c r="AT137" s="408"/>
      <c r="AU137" s="408"/>
      <c r="AV137" s="408"/>
      <c r="AW137" s="408"/>
      <c r="AX137" s="408"/>
      <c r="AY137" s="408"/>
      <c r="AZ137" s="408">
        <v>0</v>
      </c>
      <c r="BA137" s="408"/>
      <c r="BB137" s="408"/>
      <c r="BC137" s="408"/>
      <c r="BD137" s="408"/>
      <c r="BE137" s="408"/>
      <c r="BF137" s="408"/>
      <c r="BG137" s="408"/>
      <c r="BH137" s="408"/>
      <c r="BI137" s="408">
        <v>2.31</v>
      </c>
      <c r="BJ137" s="408">
        <v>10.62</v>
      </c>
      <c r="BK137" s="408">
        <v>9.4700000000000006</v>
      </c>
      <c r="BL137" s="408">
        <v>1</v>
      </c>
      <c r="BM137" s="408"/>
      <c r="BN137" s="408"/>
      <c r="BO137" s="408"/>
      <c r="BP137" s="408"/>
      <c r="BQ137" s="408"/>
      <c r="BR137" s="408"/>
      <c r="BS137" s="408"/>
      <c r="BT137" s="408"/>
      <c r="BU137" s="408"/>
      <c r="BV137" s="408"/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/>
      <c r="CJ137" s="408">
        <v>-0.03</v>
      </c>
      <c r="CK137" s="408"/>
      <c r="CL137" s="408"/>
      <c r="CM137" s="408"/>
      <c r="CN137" s="408"/>
      <c r="CO137" s="408">
        <v>0</v>
      </c>
      <c r="CP137" s="408">
        <v>0</v>
      </c>
      <c r="CQ137" s="408">
        <v>30</v>
      </c>
      <c r="CR137" s="408"/>
      <c r="CS137" s="408"/>
      <c r="CT137" s="408"/>
      <c r="CU137" s="408"/>
      <c r="CV137" s="408"/>
      <c r="CW137" s="408"/>
      <c r="CX137" s="408"/>
      <c r="CY137" s="408"/>
      <c r="CZ137" s="408"/>
      <c r="DA137" s="408"/>
      <c r="DB137" s="408"/>
      <c r="DC137" s="408"/>
      <c r="DD137" s="408"/>
      <c r="DE137" s="408"/>
      <c r="DF137" s="408"/>
      <c r="DG137" s="408"/>
      <c r="DH137" s="408"/>
      <c r="DI137" s="408"/>
      <c r="DJ137" s="408"/>
      <c r="DK137" s="408">
        <v>0</v>
      </c>
      <c r="DL137" s="408"/>
      <c r="DM137" s="408"/>
      <c r="DN137" s="408"/>
      <c r="DO137" s="408"/>
      <c r="DP137" s="408"/>
      <c r="DQ137" s="408"/>
      <c r="DR137" s="408"/>
      <c r="DS137" s="408"/>
      <c r="DT137" s="408"/>
      <c r="DU137" s="408"/>
      <c r="DV137" s="408"/>
      <c r="DW137" s="408"/>
      <c r="DX137" s="408"/>
      <c r="DY137" s="408"/>
      <c r="DZ137" s="234"/>
      <c r="EA137" s="408"/>
      <c r="EB137" s="408"/>
      <c r="EC137" s="408"/>
      <c r="ED137" s="408"/>
      <c r="EE137" s="408"/>
      <c r="EF137" s="408"/>
      <c r="EG137" s="408"/>
      <c r="EH137" s="408"/>
      <c r="EI137" s="408"/>
      <c r="EJ137" s="408"/>
      <c r="EK137" s="408"/>
      <c r="EL137" s="408"/>
      <c r="EM137" s="408"/>
      <c r="EN137" s="408"/>
      <c r="EO137" s="408"/>
      <c r="EP137" s="408"/>
      <c r="EQ137" s="408"/>
      <c r="ER137" s="408"/>
      <c r="ES137" s="408"/>
      <c r="ET137" s="408"/>
      <c r="EU137" s="408"/>
      <c r="EV137" s="408">
        <v>242</v>
      </c>
      <c r="EW137" s="408"/>
      <c r="EX137" s="408"/>
      <c r="EY137" s="408"/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136</v>
      </c>
      <c r="B138" s="408" t="s">
        <v>1036</v>
      </c>
      <c r="C138" s="408" t="s">
        <v>2231</v>
      </c>
      <c r="D138" s="408" t="s">
        <v>2241</v>
      </c>
      <c r="E138" s="408" t="s">
        <v>974</v>
      </c>
      <c r="F138" s="408" t="s">
        <v>2248</v>
      </c>
      <c r="G138" s="408" t="s">
        <v>2249</v>
      </c>
      <c r="H138" s="408" t="s">
        <v>1322</v>
      </c>
      <c r="I138" s="408" t="s">
        <v>1322</v>
      </c>
      <c r="J138" s="408" t="s">
        <v>2232</v>
      </c>
      <c r="K138" s="828">
        <v>44440</v>
      </c>
      <c r="L138" s="408">
        <v>0</v>
      </c>
      <c r="M138" s="408">
        <v>0</v>
      </c>
      <c r="N138" s="408">
        <v>31.35</v>
      </c>
      <c r="O138" s="408">
        <v>31.35</v>
      </c>
      <c r="P138" s="408">
        <v>31.35</v>
      </c>
      <c r="Q138" s="408">
        <v>31.35</v>
      </c>
      <c r="R138" s="408"/>
      <c r="S138" s="408">
        <v>571.87</v>
      </c>
      <c r="T138" s="408">
        <v>216.76</v>
      </c>
      <c r="U138" s="408"/>
      <c r="V138" s="408">
        <v>24723.550500000001</v>
      </c>
      <c r="W138" s="408">
        <v>24723.550500000001</v>
      </c>
      <c r="X138" s="408">
        <v>16114.213500000002</v>
      </c>
      <c r="Y138" s="408">
        <v>0</v>
      </c>
      <c r="Z138" s="408">
        <v>1900.1428443306322</v>
      </c>
      <c r="AA138" s="408">
        <v>0</v>
      </c>
      <c r="AB138" s="408">
        <v>0</v>
      </c>
      <c r="AC138" s="408">
        <v>0</v>
      </c>
      <c r="AD138" s="408">
        <v>25.766994479579939</v>
      </c>
      <c r="AE138" s="408">
        <v>13367.128016467559</v>
      </c>
      <c r="AF138" s="408">
        <v>6696.4070508209888</v>
      </c>
      <c r="AG138" s="408">
        <v>98.984638487781496</v>
      </c>
      <c r="AH138" s="408">
        <v>0</v>
      </c>
      <c r="AI138" s="408">
        <v>0</v>
      </c>
      <c r="AJ138" s="408">
        <v>0</v>
      </c>
      <c r="AK138" s="408">
        <v>0</v>
      </c>
      <c r="AL138" s="408">
        <v>293.86341519616229</v>
      </c>
      <c r="AM138" s="408"/>
      <c r="AN138" s="408">
        <v>60.144020585463323</v>
      </c>
      <c r="AO138" s="408">
        <v>278.44122443437402</v>
      </c>
      <c r="AP138" s="408">
        <v>872.3797453542029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18.655432645981577</v>
      </c>
      <c r="BE138" s="408">
        <v>0</v>
      </c>
      <c r="BF138" s="408">
        <v>0</v>
      </c>
      <c r="BG138" s="408">
        <v>1111.6157445749725</v>
      </c>
      <c r="BH138" s="408">
        <v>0</v>
      </c>
      <c r="BI138" s="408">
        <v>0</v>
      </c>
      <c r="BJ138" s="408">
        <v>0</v>
      </c>
      <c r="BK138" s="408">
        <v>0</v>
      </c>
      <c r="BL138" s="408">
        <v>0</v>
      </c>
      <c r="BM138" s="408"/>
      <c r="BN138" s="408"/>
      <c r="BO138" s="408"/>
      <c r="BP138" s="408"/>
      <c r="BQ138" s="408"/>
      <c r="BR138" s="408">
        <v>1933.6679999999992</v>
      </c>
      <c r="BS138" s="408"/>
      <c r="BT138" s="408"/>
      <c r="BU138" s="408"/>
      <c r="BV138" s="408">
        <v>7826.6782280419429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14180.5455</v>
      </c>
      <c r="CJ138" s="408">
        <v>-7576.3845000000001</v>
      </c>
      <c r="CK138" s="408"/>
      <c r="CL138" s="408"/>
      <c r="CM138" s="408"/>
      <c r="CN138" s="408"/>
      <c r="CO138" s="408">
        <v>-9632.2875000000004</v>
      </c>
      <c r="CP138" s="408">
        <v>1022.9504999999999</v>
      </c>
      <c r="CQ138" s="408">
        <v>30</v>
      </c>
      <c r="CR138" s="408">
        <v>1211.6870882879284</v>
      </c>
      <c r="CS138" s="408">
        <v>28.721636693692972</v>
      </c>
      <c r="CT138" s="408">
        <v>89.987300393103169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2.5193694165325375</v>
      </c>
      <c r="DA138" s="408">
        <v>0</v>
      </c>
      <c r="DB138" s="408">
        <v>0</v>
      </c>
      <c r="DC138" s="408">
        <v>1023.0819669580887</v>
      </c>
      <c r="DD138" s="408">
        <v>0</v>
      </c>
      <c r="DE138" s="408">
        <v>0</v>
      </c>
      <c r="DF138" s="408">
        <v>2.8501906441851155</v>
      </c>
      <c r="DG138" s="408">
        <v>169.83346648885959</v>
      </c>
      <c r="DH138" s="408">
        <v>0</v>
      </c>
      <c r="DI138" s="408">
        <v>-90.783496357436434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-11.907524580929362</v>
      </c>
      <c r="DP138" s="408">
        <v>-2.6158213681672677</v>
      </c>
      <c r="DQ138" s="408">
        <v>0</v>
      </c>
      <c r="DR138" s="408">
        <v>0</v>
      </c>
      <c r="DS138" s="408"/>
      <c r="DT138" s="408"/>
      <c r="DU138" s="408"/>
      <c r="DV138" s="408">
        <v>13367.128016467559</v>
      </c>
      <c r="DW138" s="408">
        <v>0</v>
      </c>
      <c r="DX138" s="408">
        <v>0</v>
      </c>
      <c r="DY138" s="408">
        <v>-9632.2875000000004</v>
      </c>
      <c r="DZ138" s="234">
        <v>1022.9504999999999</v>
      </c>
      <c r="EA138" s="408">
        <v>0</v>
      </c>
      <c r="EB138" s="408">
        <v>0</v>
      </c>
      <c r="EC138" s="408">
        <v>-9820.9601844968383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242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137</v>
      </c>
      <c r="B139" s="408" t="s">
        <v>2233</v>
      </c>
      <c r="C139" s="408" t="s">
        <v>2231</v>
      </c>
      <c r="D139" s="408" t="s">
        <v>2241</v>
      </c>
      <c r="E139" s="408" t="s">
        <v>974</v>
      </c>
      <c r="F139" s="408" t="s">
        <v>2248</v>
      </c>
      <c r="G139" s="408" t="s">
        <v>2249</v>
      </c>
      <c r="H139" s="408" t="s">
        <v>1322</v>
      </c>
      <c r="I139" s="408" t="s">
        <v>1322</v>
      </c>
      <c r="J139" s="408" t="s">
        <v>2232</v>
      </c>
      <c r="K139" s="828">
        <v>44440</v>
      </c>
      <c r="L139" s="408">
        <v>0</v>
      </c>
      <c r="M139" s="408">
        <v>0</v>
      </c>
      <c r="N139" s="408">
        <v>-4.0510000000000002</v>
      </c>
      <c r="O139" s="408">
        <v>-4.0510000000000002</v>
      </c>
      <c r="P139" s="408">
        <v>-4.0510000000000002</v>
      </c>
      <c r="Q139" s="408">
        <v>-4.0510000000000002</v>
      </c>
      <c r="R139" s="408"/>
      <c r="S139" s="408">
        <v>571.87</v>
      </c>
      <c r="T139" s="408">
        <v>216.76</v>
      </c>
      <c r="U139" s="408"/>
      <c r="V139" s="408">
        <v>-3194.7401300000001</v>
      </c>
      <c r="W139" s="408">
        <v>-3194.7401300000001</v>
      </c>
      <c r="X139" s="408">
        <v>-2082.2545100000002</v>
      </c>
      <c r="Y139" s="408">
        <v>0</v>
      </c>
      <c r="Z139" s="408">
        <v>-245.53360964540323</v>
      </c>
      <c r="AA139" s="408">
        <v>0</v>
      </c>
      <c r="AB139" s="408">
        <v>0</v>
      </c>
      <c r="AC139" s="408">
        <v>0</v>
      </c>
      <c r="AD139" s="408">
        <v>-3.3295723967074426</v>
      </c>
      <c r="AE139" s="408">
        <v>-1727.2802422555051</v>
      </c>
      <c r="AF139" s="408">
        <v>-865.29967983654944</v>
      </c>
      <c r="AG139" s="408">
        <v>-12.790646587368512</v>
      </c>
      <c r="AH139" s="408">
        <v>0</v>
      </c>
      <c r="AI139" s="408">
        <v>0</v>
      </c>
      <c r="AJ139" s="408">
        <v>0</v>
      </c>
      <c r="AK139" s="408">
        <v>0</v>
      </c>
      <c r="AL139" s="408">
        <v>-37.972589950866137</v>
      </c>
      <c r="AM139" s="408"/>
      <c r="AN139" s="408">
        <v>-7.7717201719844313</v>
      </c>
      <c r="AO139" s="408">
        <v>-35.979757581615601</v>
      </c>
      <c r="AP139" s="408">
        <v>-112.7276028207297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-2.4106270382415111</v>
      </c>
      <c r="BE139" s="408">
        <v>0</v>
      </c>
      <c r="BF139" s="408">
        <v>0</v>
      </c>
      <c r="BG139" s="408">
        <v>-143.64131997681702</v>
      </c>
      <c r="BH139" s="408">
        <v>0</v>
      </c>
      <c r="BI139" s="408">
        <v>0</v>
      </c>
      <c r="BJ139" s="408">
        <v>0</v>
      </c>
      <c r="BK139" s="408">
        <v>0</v>
      </c>
      <c r="BL139" s="408">
        <v>0</v>
      </c>
      <c r="BM139" s="408"/>
      <c r="BN139" s="408"/>
      <c r="BO139" s="408"/>
      <c r="BP139" s="408"/>
      <c r="BQ139" s="408"/>
      <c r="BR139" s="408">
        <v>-249.86567999999994</v>
      </c>
      <c r="BS139" s="408"/>
      <c r="BT139" s="408"/>
      <c r="BU139" s="408"/>
      <c r="BV139" s="408">
        <v>-1011.351626851608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-1831.9364999999998</v>
      </c>
      <c r="CJ139" s="408">
        <v>979.42750000000024</v>
      </c>
      <c r="CK139" s="408"/>
      <c r="CL139" s="408"/>
      <c r="CM139" s="408"/>
      <c r="CN139" s="408"/>
      <c r="CO139" s="408">
        <v>1244.66975</v>
      </c>
      <c r="CP139" s="408">
        <v>-132.18412999999998</v>
      </c>
      <c r="CQ139" s="408">
        <v>30</v>
      </c>
      <c r="CR139" s="408">
        <v>-156.57238898419109</v>
      </c>
      <c r="CS139" s="408">
        <v>-3.7113668340079826</v>
      </c>
      <c r="CT139" s="408">
        <v>-11.628024047606402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-0.32554913895927617</v>
      </c>
      <c r="DA139" s="408">
        <v>0</v>
      </c>
      <c r="DB139" s="408">
        <v>0</v>
      </c>
      <c r="DC139" s="408">
        <v>-132.20111796322863</v>
      </c>
      <c r="DD139" s="408">
        <v>0</v>
      </c>
      <c r="DE139" s="408">
        <v>0</v>
      </c>
      <c r="DF139" s="408">
        <v>-0.36829736202851349</v>
      </c>
      <c r="DG139" s="408">
        <v>-21.945625924924116</v>
      </c>
      <c r="DH139" s="408">
        <v>0</v>
      </c>
      <c r="DI139" s="408">
        <v>11.730907296458554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1.5386724745564493</v>
      </c>
      <c r="DP139" s="408">
        <v>0.33801251554850342</v>
      </c>
      <c r="DQ139" s="408">
        <v>0</v>
      </c>
      <c r="DR139" s="408">
        <v>0</v>
      </c>
      <c r="DS139" s="408"/>
      <c r="DT139" s="408"/>
      <c r="DU139" s="408"/>
      <c r="DV139" s="408">
        <v>-1727.2802422555051</v>
      </c>
      <c r="DW139" s="408">
        <v>0</v>
      </c>
      <c r="DX139" s="408">
        <v>0</v>
      </c>
      <c r="DY139" s="408">
        <v>1244.66975</v>
      </c>
      <c r="DZ139" s="234">
        <v>-132.18412999999998</v>
      </c>
      <c r="EA139" s="408">
        <v>0</v>
      </c>
      <c r="EB139" s="408">
        <v>0</v>
      </c>
      <c r="EC139" s="408">
        <v>1269.0497514321114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242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138</v>
      </c>
      <c r="B140" s="408" t="s">
        <v>2234</v>
      </c>
      <c r="C140" s="408" t="s">
        <v>2231</v>
      </c>
      <c r="D140" s="408" t="s">
        <v>2241</v>
      </c>
      <c r="E140" s="408" t="s">
        <v>974</v>
      </c>
      <c r="F140" s="408" t="s">
        <v>2248</v>
      </c>
      <c r="G140" s="408" t="s">
        <v>2249</v>
      </c>
      <c r="H140" s="408" t="s">
        <v>1322</v>
      </c>
      <c r="I140" s="408" t="s">
        <v>1322</v>
      </c>
      <c r="J140" s="408" t="s">
        <v>2232</v>
      </c>
      <c r="K140" s="828">
        <v>44440</v>
      </c>
      <c r="L140" s="408">
        <v>0</v>
      </c>
      <c r="M140" s="408">
        <v>0</v>
      </c>
      <c r="N140" s="408">
        <v>0.82499999999999996</v>
      </c>
      <c r="O140" s="408">
        <v>0.82499999999999996</v>
      </c>
      <c r="P140" s="408">
        <v>0.82499999999999996</v>
      </c>
      <c r="Q140" s="408">
        <v>0.82499999999999996</v>
      </c>
      <c r="R140" s="408"/>
      <c r="S140" s="408">
        <v>571.87</v>
      </c>
      <c r="T140" s="408">
        <v>216.76</v>
      </c>
      <c r="U140" s="408"/>
      <c r="V140" s="408">
        <v>650.61974999999995</v>
      </c>
      <c r="W140" s="408">
        <v>650.61974999999995</v>
      </c>
      <c r="X140" s="408">
        <v>424.05824999999999</v>
      </c>
      <c r="Y140" s="408">
        <v>0</v>
      </c>
      <c r="Z140" s="408">
        <v>50.003759061332424</v>
      </c>
      <c r="AA140" s="408">
        <v>0</v>
      </c>
      <c r="AB140" s="408">
        <v>0</v>
      </c>
      <c r="AC140" s="408">
        <v>0</v>
      </c>
      <c r="AD140" s="408">
        <v>0.6780788020942089</v>
      </c>
      <c r="AE140" s="408">
        <v>351.76652674914629</v>
      </c>
      <c r="AF140" s="408">
        <v>176.22123817949969</v>
      </c>
      <c r="AG140" s="408">
        <v>2.6048589075731967</v>
      </c>
      <c r="AH140" s="408">
        <v>0</v>
      </c>
      <c r="AI140" s="408">
        <v>0</v>
      </c>
      <c r="AJ140" s="408">
        <v>0</v>
      </c>
      <c r="AK140" s="408">
        <v>0</v>
      </c>
      <c r="AL140" s="408">
        <v>7.7332477683200596</v>
      </c>
      <c r="AM140" s="408"/>
      <c r="AN140" s="408">
        <v>1.5827373838279821</v>
      </c>
      <c r="AO140" s="408">
        <v>7.3274006430098417</v>
      </c>
      <c r="AP140" s="408">
        <v>22.957361719847444</v>
      </c>
      <c r="AQ140" s="408">
        <v>0</v>
      </c>
      <c r="AR140" s="408">
        <v>0</v>
      </c>
      <c r="AS140" s="408">
        <v>0</v>
      </c>
      <c r="AT140" s="408">
        <v>0</v>
      </c>
      <c r="AU140" s="408">
        <v>0</v>
      </c>
      <c r="AV140" s="408">
        <v>0</v>
      </c>
      <c r="AW140" s="408">
        <v>0</v>
      </c>
      <c r="AX140" s="408">
        <v>0</v>
      </c>
      <c r="AY140" s="408">
        <v>0</v>
      </c>
      <c r="AZ140" s="408">
        <v>0</v>
      </c>
      <c r="BA140" s="408"/>
      <c r="BB140" s="408">
        <v>0</v>
      </c>
      <c r="BC140" s="408">
        <v>0</v>
      </c>
      <c r="BD140" s="408">
        <v>0.49093243805214676</v>
      </c>
      <c r="BE140" s="408">
        <v>0</v>
      </c>
      <c r="BF140" s="408">
        <v>0</v>
      </c>
      <c r="BG140" s="408">
        <v>29.253045909867694</v>
      </c>
      <c r="BH140" s="408">
        <v>0</v>
      </c>
      <c r="BI140" s="408">
        <v>0</v>
      </c>
      <c r="BJ140" s="408">
        <v>0</v>
      </c>
      <c r="BK140" s="408">
        <v>0</v>
      </c>
      <c r="BL140" s="408">
        <v>0</v>
      </c>
      <c r="BM140" s="408"/>
      <c r="BN140" s="408"/>
      <c r="BO140" s="408"/>
      <c r="BP140" s="408"/>
      <c r="BQ140" s="408"/>
      <c r="BR140" s="408">
        <v>50.885999999999981</v>
      </c>
      <c r="BS140" s="408"/>
      <c r="BT140" s="408"/>
      <c r="BU140" s="408"/>
      <c r="BV140" s="408">
        <v>205.96521652741953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375.43389999999999</v>
      </c>
      <c r="CJ140" s="408">
        <v>-197.14609999999993</v>
      </c>
      <c r="CK140" s="408"/>
      <c r="CL140" s="408"/>
      <c r="CM140" s="408"/>
      <c r="CN140" s="408"/>
      <c r="CO140" s="408">
        <v>-253.48124999999999</v>
      </c>
      <c r="CP140" s="408">
        <v>26.919749999999993</v>
      </c>
      <c r="CQ140" s="408">
        <v>30</v>
      </c>
      <c r="CR140" s="408">
        <v>31.886502323366585</v>
      </c>
      <c r="CS140" s="408">
        <v>0.75583254457086824</v>
      </c>
      <c r="CT140" s="408">
        <v>2.3680868524500838</v>
      </c>
      <c r="CU140" s="408">
        <v>0</v>
      </c>
      <c r="CV140" s="408">
        <v>0</v>
      </c>
      <c r="CW140" s="408">
        <v>0</v>
      </c>
      <c r="CX140" s="408">
        <v>0</v>
      </c>
      <c r="CY140" s="408">
        <v>0</v>
      </c>
      <c r="CZ140" s="408">
        <v>6.6299195171908853E-2</v>
      </c>
      <c r="DA140" s="408">
        <v>0</v>
      </c>
      <c r="DB140" s="408">
        <v>0</v>
      </c>
      <c r="DC140" s="408">
        <v>26.923209656791784</v>
      </c>
      <c r="DD140" s="408">
        <v>0</v>
      </c>
      <c r="DE140" s="408">
        <v>0</v>
      </c>
      <c r="DF140" s="408">
        <v>7.5005016952239767E-2</v>
      </c>
      <c r="DG140" s="408">
        <v>4.4693017497068297</v>
      </c>
      <c r="DH140" s="408">
        <v>0</v>
      </c>
      <c r="DI140" s="408">
        <v>-2.3890393778272809</v>
      </c>
      <c r="DJ140" s="408"/>
      <c r="DK140" s="408">
        <v>0</v>
      </c>
      <c r="DL140" s="408">
        <v>0</v>
      </c>
      <c r="DM140" s="408">
        <v>0</v>
      </c>
      <c r="DN140" s="408">
        <v>0</v>
      </c>
      <c r="DO140" s="408">
        <v>-0.31335591002445629</v>
      </c>
      <c r="DP140" s="408">
        <v>-6.8837404425454496E-2</v>
      </c>
      <c r="DQ140" s="408">
        <v>0</v>
      </c>
      <c r="DR140" s="408">
        <v>0</v>
      </c>
      <c r="DS140" s="408"/>
      <c r="DT140" s="408"/>
      <c r="DU140" s="408"/>
      <c r="DV140" s="408">
        <v>351.76652674914629</v>
      </c>
      <c r="DW140" s="408">
        <v>0</v>
      </c>
      <c r="DX140" s="408">
        <v>0</v>
      </c>
      <c r="DY140" s="408">
        <v>-253.48124999999996</v>
      </c>
      <c r="DZ140" s="234">
        <v>26.919750000000022</v>
      </c>
      <c r="EA140" s="408">
        <v>0</v>
      </c>
      <c r="EB140" s="408">
        <v>0</v>
      </c>
      <c r="EC140" s="408">
        <v>-258.44632064465361</v>
      </c>
      <c r="ED140" s="408">
        <v>0</v>
      </c>
      <c r="EE140" s="408">
        <v>0</v>
      </c>
      <c r="EF140" s="408">
        <v>0</v>
      </c>
      <c r="EG140" s="408">
        <v>0</v>
      </c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>
        <v>0</v>
      </c>
      <c r="EN140" s="408">
        <v>0</v>
      </c>
      <c r="EO140" s="408">
        <v>0</v>
      </c>
      <c r="EP140" s="408">
        <v>0</v>
      </c>
      <c r="EQ140" s="408">
        <v>0</v>
      </c>
      <c r="ER140" s="408">
        <v>0</v>
      </c>
      <c r="ES140" s="408">
        <v>0</v>
      </c>
      <c r="ET140" s="408">
        <v>0</v>
      </c>
      <c r="EU140" s="408">
        <v>0</v>
      </c>
      <c r="EV140" s="408">
        <v>242</v>
      </c>
      <c r="EW140" s="408">
        <v>0</v>
      </c>
      <c r="EX140" s="408">
        <v>0</v>
      </c>
      <c r="EY140" s="408">
        <v>0</v>
      </c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139</v>
      </c>
      <c r="B141" s="408" t="s">
        <v>1036</v>
      </c>
      <c r="C141" s="408" t="s">
        <v>2231</v>
      </c>
      <c r="D141" s="408" t="s">
        <v>2241</v>
      </c>
      <c r="E141" s="408" t="s">
        <v>974</v>
      </c>
      <c r="F141" s="408" t="s">
        <v>2248</v>
      </c>
      <c r="G141" s="408" t="s">
        <v>2250</v>
      </c>
      <c r="H141" s="408" t="s">
        <v>1322</v>
      </c>
      <c r="I141" s="408" t="s">
        <v>1322</v>
      </c>
      <c r="J141" s="408" t="s">
        <v>2232</v>
      </c>
      <c r="K141" s="828">
        <v>44440</v>
      </c>
      <c r="L141" s="408">
        <v>0</v>
      </c>
      <c r="M141" s="408">
        <v>0</v>
      </c>
      <c r="N141" s="408">
        <v>20.724</v>
      </c>
      <c r="O141" s="408">
        <v>8.2896000000000001</v>
      </c>
      <c r="P141" s="408">
        <v>20.724</v>
      </c>
      <c r="Q141" s="408">
        <v>8.2896000000000001</v>
      </c>
      <c r="R141" s="408"/>
      <c r="S141" s="408">
        <v>571.87</v>
      </c>
      <c r="T141" s="408">
        <v>216.76</v>
      </c>
      <c r="U141" s="408"/>
      <c r="V141" s="408">
        <v>16343.56812</v>
      </c>
      <c r="W141" s="408">
        <v>16343.56812</v>
      </c>
      <c r="X141" s="408">
        <v>10652.34324</v>
      </c>
      <c r="Y141" s="408">
        <v>0</v>
      </c>
      <c r="Z141" s="408">
        <v>1256.0944276206706</v>
      </c>
      <c r="AA141" s="408">
        <v>0</v>
      </c>
      <c r="AB141" s="408">
        <v>0</v>
      </c>
      <c r="AC141" s="408">
        <v>0</v>
      </c>
      <c r="AD141" s="408">
        <v>17.033339508606527</v>
      </c>
      <c r="AE141" s="408">
        <v>8836.3751519385551</v>
      </c>
      <c r="AF141" s="408">
        <v>4426.6775030690324</v>
      </c>
      <c r="AG141" s="408">
        <v>65.434055758238713</v>
      </c>
      <c r="AH141" s="408">
        <v>0</v>
      </c>
      <c r="AI141" s="408">
        <v>0</v>
      </c>
      <c r="AJ141" s="408">
        <v>0</v>
      </c>
      <c r="AK141" s="408">
        <v>0</v>
      </c>
      <c r="AL141" s="408">
        <v>194.2591839401999</v>
      </c>
      <c r="AM141" s="408"/>
      <c r="AN141" s="408">
        <v>39.758363081758915</v>
      </c>
      <c r="AO141" s="408">
        <v>184.06430415240723</v>
      </c>
      <c r="AP141" s="408">
        <v>576.68892640256786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12.332222843869927</v>
      </c>
      <c r="BE141" s="408">
        <v>0</v>
      </c>
      <c r="BF141" s="408">
        <v>0</v>
      </c>
      <c r="BG141" s="408">
        <v>734.83651325587653</v>
      </c>
      <c r="BH141" s="408">
        <v>0</v>
      </c>
      <c r="BI141" s="408">
        <v>0</v>
      </c>
      <c r="BJ141" s="408">
        <v>0</v>
      </c>
      <c r="BK141" s="408">
        <v>0</v>
      </c>
      <c r="BL141" s="408">
        <v>0</v>
      </c>
      <c r="BM141" s="408"/>
      <c r="BN141" s="408"/>
      <c r="BO141" s="408"/>
      <c r="BP141" s="408"/>
      <c r="BQ141" s="408"/>
      <c r="BR141" s="408"/>
      <c r="BS141" s="408">
        <v>6902.7084719999993</v>
      </c>
      <c r="BT141" s="408"/>
      <c r="BU141" s="408"/>
      <c r="BV141" s="408">
        <v>5173.846239168779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3749.8157000000001</v>
      </c>
      <c r="CJ141" s="408">
        <v>-2003.1967000000013</v>
      </c>
      <c r="CK141" s="408"/>
      <c r="CL141" s="408"/>
      <c r="CM141" s="408"/>
      <c r="CN141" s="408"/>
      <c r="CO141" s="408">
        <v>-6367.4489999999996</v>
      </c>
      <c r="CP141" s="408">
        <v>676.22411999999986</v>
      </c>
      <c r="CQ141" s="408">
        <v>30</v>
      </c>
      <c r="CR141" s="408">
        <v>800.98893836296611</v>
      </c>
      <c r="CS141" s="408">
        <v>18.986513519620217</v>
      </c>
      <c r="CT141" s="408">
        <v>59.486341733546055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1.665435782718351</v>
      </c>
      <c r="DA141" s="408">
        <v>0</v>
      </c>
      <c r="DB141" s="408">
        <v>0</v>
      </c>
      <c r="DC141" s="408">
        <v>676.31102657860993</v>
      </c>
      <c r="DD141" s="408">
        <v>0</v>
      </c>
      <c r="DE141" s="408">
        <v>0</v>
      </c>
      <c r="DF141" s="408">
        <v>1.8841260258402652</v>
      </c>
      <c r="DG141" s="408">
        <v>112.26885995263569</v>
      </c>
      <c r="DH141" s="408">
        <v>0</v>
      </c>
      <c r="DI141" s="408">
        <v>-60.012669171021344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-7.8715004598143423</v>
      </c>
      <c r="DP141" s="408">
        <v>-1.7291955991674186</v>
      </c>
      <c r="DQ141" s="408">
        <v>0</v>
      </c>
      <c r="DR141" s="408">
        <v>0</v>
      </c>
      <c r="DS141" s="408"/>
      <c r="DT141" s="408"/>
      <c r="DU141" s="408"/>
      <c r="DV141" s="408">
        <v>8836.3751519385551</v>
      </c>
      <c r="DW141" s="408">
        <v>0</v>
      </c>
      <c r="DX141" s="408">
        <v>0</v>
      </c>
      <c r="DY141" s="408">
        <v>-6367.4490000000005</v>
      </c>
      <c r="DZ141" s="234">
        <v>676.22412000000077</v>
      </c>
      <c r="EA141" s="408">
        <v>0</v>
      </c>
      <c r="EB141" s="408">
        <v>0</v>
      </c>
      <c r="EC141" s="408">
        <v>-6492.171574593699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242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140</v>
      </c>
      <c r="B142" s="408" t="s">
        <v>2233</v>
      </c>
      <c r="C142" s="408" t="s">
        <v>2231</v>
      </c>
      <c r="D142" s="408" t="s">
        <v>2241</v>
      </c>
      <c r="E142" s="408" t="s">
        <v>974</v>
      </c>
      <c r="F142" s="408" t="s">
        <v>2248</v>
      </c>
      <c r="G142" s="408" t="s">
        <v>2250</v>
      </c>
      <c r="H142" s="408" t="s">
        <v>1322</v>
      </c>
      <c r="I142" s="408" t="s">
        <v>1322</v>
      </c>
      <c r="J142" s="408" t="s">
        <v>2232</v>
      </c>
      <c r="K142" s="828">
        <v>44440</v>
      </c>
      <c r="L142" s="408">
        <v>0</v>
      </c>
      <c r="M142" s="408">
        <v>0</v>
      </c>
      <c r="N142" s="408">
        <v>-0.19800000000000001</v>
      </c>
      <c r="O142" s="408">
        <v>-7.9200000000000007E-2</v>
      </c>
      <c r="P142" s="408">
        <v>-0.19800000000000001</v>
      </c>
      <c r="Q142" s="408">
        <v>-7.9200000000000007E-2</v>
      </c>
      <c r="R142" s="408"/>
      <c r="S142" s="408">
        <v>571.87</v>
      </c>
      <c r="T142" s="408">
        <v>216.76</v>
      </c>
      <c r="U142" s="408"/>
      <c r="V142" s="408">
        <v>-156.14874</v>
      </c>
      <c r="W142" s="408">
        <v>-156.14874</v>
      </c>
      <c r="X142" s="408">
        <v>-101.77397999999999</v>
      </c>
      <c r="Y142" s="408">
        <v>0</v>
      </c>
      <c r="Z142" s="408">
        <v>-12.000902174719782</v>
      </c>
      <c r="AA142" s="408">
        <v>0</v>
      </c>
      <c r="AB142" s="408">
        <v>0</v>
      </c>
      <c r="AC142" s="408">
        <v>0</v>
      </c>
      <c r="AD142" s="408">
        <v>-0.16273891250261013</v>
      </c>
      <c r="AE142" s="408">
        <v>-84.423966419795121</v>
      </c>
      <c r="AF142" s="408">
        <v>-42.293097163079928</v>
      </c>
      <c r="AG142" s="408">
        <v>-0.62516613781756736</v>
      </c>
      <c r="AH142" s="408">
        <v>0</v>
      </c>
      <c r="AI142" s="408">
        <v>0</v>
      </c>
      <c r="AJ142" s="408">
        <v>0</v>
      </c>
      <c r="AK142" s="408">
        <v>0</v>
      </c>
      <c r="AL142" s="408">
        <v>-1.8559794643968144</v>
      </c>
      <c r="AM142" s="408"/>
      <c r="AN142" s="408">
        <v>-0.37985697211871572</v>
      </c>
      <c r="AO142" s="408">
        <v>-1.7585761543223624</v>
      </c>
      <c r="AP142" s="408">
        <v>-5.5097668127633872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-0.11782378513251522</v>
      </c>
      <c r="BE142" s="408">
        <v>0</v>
      </c>
      <c r="BF142" s="408">
        <v>0</v>
      </c>
      <c r="BG142" s="408">
        <v>-7.020731018368247</v>
      </c>
      <c r="BH142" s="408">
        <v>0</v>
      </c>
      <c r="BI142" s="408">
        <v>0</v>
      </c>
      <c r="BJ142" s="408">
        <v>0</v>
      </c>
      <c r="BK142" s="408">
        <v>0</v>
      </c>
      <c r="BL142" s="408">
        <v>0</v>
      </c>
      <c r="BM142" s="408"/>
      <c r="BN142" s="408"/>
      <c r="BO142" s="408"/>
      <c r="BP142" s="408"/>
      <c r="BQ142" s="408"/>
      <c r="BR142" s="408"/>
      <c r="BS142" s="408">
        <v>-65.949444</v>
      </c>
      <c r="BT142" s="408"/>
      <c r="BU142" s="408"/>
      <c r="BV142" s="408">
        <v>-49.431651966580688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-36.186400000000006</v>
      </c>
      <c r="CJ142" s="408">
        <v>18.748400000000011</v>
      </c>
      <c r="CK142" s="408"/>
      <c r="CL142" s="408"/>
      <c r="CM142" s="408"/>
      <c r="CN142" s="408"/>
      <c r="CO142" s="408">
        <v>60.835500000000003</v>
      </c>
      <c r="CP142" s="408">
        <v>-6.4607399999999995</v>
      </c>
      <c r="CQ142" s="408">
        <v>30</v>
      </c>
      <c r="CR142" s="408">
        <v>-7.6527605576079765</v>
      </c>
      <c r="CS142" s="408">
        <v>-0.18139981069700806</v>
      </c>
      <c r="CT142" s="408">
        <v>-0.56834084458802003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-1.5911806841258147E-2</v>
      </c>
      <c r="DA142" s="408">
        <v>0</v>
      </c>
      <c r="DB142" s="408">
        <v>0</v>
      </c>
      <c r="DC142" s="408">
        <v>-6.4615703176300343</v>
      </c>
      <c r="DD142" s="408">
        <v>0</v>
      </c>
      <c r="DE142" s="408">
        <v>0</v>
      </c>
      <c r="DF142" s="408">
        <v>-1.8001204068537571E-2</v>
      </c>
      <c r="DG142" s="408">
        <v>-1.07263241992964</v>
      </c>
      <c r="DH142" s="408">
        <v>0</v>
      </c>
      <c r="DI142" s="408">
        <v>0.5733694506785465</v>
      </c>
      <c r="DJ142" s="408"/>
      <c r="DK142" s="408">
        <v>0</v>
      </c>
      <c r="DL142" s="408">
        <v>0</v>
      </c>
      <c r="DM142" s="408">
        <v>0</v>
      </c>
      <c r="DN142" s="408">
        <v>0</v>
      </c>
      <c r="DO142" s="408">
        <v>7.5205418405869473E-2</v>
      </c>
      <c r="DP142" s="408">
        <v>1.6520977062109032E-2</v>
      </c>
      <c r="DQ142" s="408">
        <v>0</v>
      </c>
      <c r="DR142" s="408">
        <v>0</v>
      </c>
      <c r="DS142" s="408"/>
      <c r="DT142" s="408"/>
      <c r="DU142" s="408"/>
      <c r="DV142" s="408">
        <v>-84.423966419795121</v>
      </c>
      <c r="DW142" s="408">
        <v>0</v>
      </c>
      <c r="DX142" s="408">
        <v>0</v>
      </c>
      <c r="DY142" s="408">
        <v>60.835499999999996</v>
      </c>
      <c r="DZ142" s="234">
        <v>-6.4607399999999942</v>
      </c>
      <c r="EA142" s="408">
        <v>0</v>
      </c>
      <c r="EB142" s="408">
        <v>0</v>
      </c>
      <c r="EC142" s="408">
        <v>62.027116954716881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0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242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141</v>
      </c>
      <c r="B143" s="408" t="s">
        <v>1036</v>
      </c>
      <c r="C143" s="408" t="s">
        <v>2239</v>
      </c>
      <c r="D143" s="408" t="s">
        <v>597</v>
      </c>
      <c r="E143" s="408" t="s">
        <v>974</v>
      </c>
      <c r="F143" s="408" t="s">
        <v>2248</v>
      </c>
      <c r="G143" s="408" t="s">
        <v>1322</v>
      </c>
      <c r="H143" s="408" t="s">
        <v>1322</v>
      </c>
      <c r="I143" s="408" t="s">
        <v>973</v>
      </c>
      <c r="J143" s="408" t="s">
        <v>2232</v>
      </c>
      <c r="K143" s="828">
        <v>44440</v>
      </c>
      <c r="L143" s="408">
        <v>0</v>
      </c>
      <c r="M143" s="408">
        <v>0</v>
      </c>
      <c r="N143" s="408">
        <v>0.83599999999999997</v>
      </c>
      <c r="O143" s="408">
        <v>0.80256000000000005</v>
      </c>
      <c r="P143" s="408">
        <v>0.83599999999999997</v>
      </c>
      <c r="Q143" s="408">
        <v>0.80256000000000005</v>
      </c>
      <c r="R143" s="408"/>
      <c r="S143" s="408">
        <v>2592.54</v>
      </c>
      <c r="T143" s="408">
        <v>216.76</v>
      </c>
      <c r="U143" s="408"/>
      <c r="V143" s="408">
        <v>2348.5747999999999</v>
      </c>
      <c r="W143" s="408">
        <v>2348.5747999999999</v>
      </c>
      <c r="X143" s="408">
        <v>987.4831999999999</v>
      </c>
      <c r="Y143" s="408">
        <v>0</v>
      </c>
      <c r="Z143" s="408">
        <v>44.083313988470671</v>
      </c>
      <c r="AA143" s="408">
        <v>0</v>
      </c>
      <c r="AB143" s="408">
        <v>0</v>
      </c>
      <c r="AC143" s="408">
        <v>0</v>
      </c>
      <c r="AD143" s="408">
        <v>4.2273470331077698</v>
      </c>
      <c r="AE143" s="408">
        <v>1915.1852976899615</v>
      </c>
      <c r="AF143" s="408">
        <v>178.57085468855968</v>
      </c>
      <c r="AG143" s="408">
        <v>2.6395903596741728</v>
      </c>
      <c r="AH143" s="408">
        <v>0</v>
      </c>
      <c r="AI143" s="408">
        <v>0</v>
      </c>
      <c r="AJ143" s="408">
        <v>0</v>
      </c>
      <c r="AK143" s="408">
        <v>0</v>
      </c>
      <c r="AL143" s="408">
        <v>7.8363577385643266</v>
      </c>
      <c r="AM143" s="408"/>
      <c r="AN143" s="408">
        <v>1.1480137562752122</v>
      </c>
      <c r="AO143" s="408">
        <v>37.716032608136054</v>
      </c>
      <c r="AP143" s="408">
        <v>143.12382593356998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0.38230171190834322</v>
      </c>
      <c r="BE143" s="408">
        <v>0</v>
      </c>
      <c r="BF143" s="408">
        <v>0</v>
      </c>
      <c r="BG143" s="408">
        <v>13.65702710741798</v>
      </c>
      <c r="BH143" s="408">
        <v>0</v>
      </c>
      <c r="BI143" s="408">
        <v>0</v>
      </c>
      <c r="BJ143" s="408">
        <v>0</v>
      </c>
      <c r="BK143" s="408">
        <v>0</v>
      </c>
      <c r="BL143" s="408">
        <v>0</v>
      </c>
      <c r="BM143" s="408"/>
      <c r="BN143" s="408"/>
      <c r="BO143" s="408"/>
      <c r="BP143" s="408"/>
      <c r="BQ143" s="408"/>
      <c r="BR143" s="408">
        <v>39.499327999999899</v>
      </c>
      <c r="BS143" s="408"/>
      <c r="BT143" s="408"/>
      <c r="BU143" s="408"/>
      <c r="BV143" s="408">
        <v>192.61018350788601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944.96</v>
      </c>
      <c r="CJ143" s="408">
        <v>-1309.7018080000007</v>
      </c>
      <c r="CK143" s="408"/>
      <c r="CL143" s="408"/>
      <c r="CM143" s="408"/>
      <c r="CN143" s="408"/>
      <c r="CO143" s="408">
        <v>-1388.3702799999999</v>
      </c>
      <c r="CP143" s="408">
        <v>27.278679999999994</v>
      </c>
      <c r="CQ143" s="408">
        <v>30</v>
      </c>
      <c r="CR143" s="408">
        <v>46.020719621754438</v>
      </c>
      <c r="CS143" s="408">
        <v>3.8904662493813618</v>
      </c>
      <c r="CT143" s="408">
        <v>14.763440790873233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0.41332910738664363</v>
      </c>
      <c r="DA143" s="408">
        <v>0</v>
      </c>
      <c r="DB143" s="408">
        <v>0</v>
      </c>
      <c r="DC143" s="408">
        <v>27.282185785549046</v>
      </c>
      <c r="DD143" s="408">
        <v>0</v>
      </c>
      <c r="DE143" s="408">
        <v>0</v>
      </c>
      <c r="DF143" s="408">
        <v>5.8408335159776004E-2</v>
      </c>
      <c r="DG143" s="408">
        <v>2.0865305901833526</v>
      </c>
      <c r="DH143" s="408">
        <v>0</v>
      </c>
      <c r="DI143" s="408">
        <v>-2.1061771154924784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-0.31753398882478212</v>
      </c>
      <c r="DP143" s="408">
        <v>-4.9930132461754706E-2</v>
      </c>
      <c r="DQ143" s="408">
        <v>0</v>
      </c>
      <c r="DR143" s="408">
        <v>0</v>
      </c>
      <c r="DS143" s="408"/>
      <c r="DT143" s="408"/>
      <c r="DU143" s="408"/>
      <c r="DV143" s="408">
        <v>1915.1852976899615</v>
      </c>
      <c r="DW143" s="408">
        <v>0</v>
      </c>
      <c r="DX143" s="408">
        <v>0</v>
      </c>
      <c r="DY143" s="408">
        <v>-1388.3702800000001</v>
      </c>
      <c r="DZ143" s="234">
        <v>27.278680000000008</v>
      </c>
      <c r="EA143" s="408">
        <v>0</v>
      </c>
      <c r="EB143" s="408">
        <v>0</v>
      </c>
      <c r="EC143" s="408">
        <v>-1407.105440403896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242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142</v>
      </c>
      <c r="B144" s="408" t="s">
        <v>1036</v>
      </c>
      <c r="C144" s="408" t="s">
        <v>2239</v>
      </c>
      <c r="D144" s="408" t="s">
        <v>597</v>
      </c>
      <c r="E144" s="408" t="s">
        <v>974</v>
      </c>
      <c r="F144" s="408" t="s">
        <v>2248</v>
      </c>
      <c r="G144" s="408" t="s">
        <v>1322</v>
      </c>
      <c r="H144" s="408" t="s">
        <v>1322</v>
      </c>
      <c r="I144" s="408" t="s">
        <v>2240</v>
      </c>
      <c r="J144" s="408" t="s">
        <v>2232</v>
      </c>
      <c r="K144" s="828">
        <v>44440</v>
      </c>
      <c r="L144" s="408">
        <v>0</v>
      </c>
      <c r="M144" s="408">
        <v>0</v>
      </c>
      <c r="N144" s="408">
        <v>28.253</v>
      </c>
      <c r="O144" s="408">
        <v>27.122879999999999</v>
      </c>
      <c r="P144" s="408">
        <v>28.253</v>
      </c>
      <c r="Q144" s="408">
        <v>27.122879999999999</v>
      </c>
      <c r="R144" s="408"/>
      <c r="S144" s="408">
        <v>80.27</v>
      </c>
      <c r="T144" s="408">
        <v>216.76</v>
      </c>
      <c r="U144" s="408"/>
      <c r="V144" s="408">
        <v>8391.9885900000008</v>
      </c>
      <c r="W144" s="408">
        <v>8391.9885900000008</v>
      </c>
      <c r="X144" s="408">
        <v>9302.8653099999992</v>
      </c>
      <c r="Y144" s="408">
        <v>0</v>
      </c>
      <c r="Z144" s="408">
        <v>1489.8156341103611</v>
      </c>
      <c r="AA144" s="408">
        <v>0</v>
      </c>
      <c r="AB144" s="408">
        <v>0</v>
      </c>
      <c r="AC144" s="408">
        <v>0</v>
      </c>
      <c r="AD144" s="408">
        <v>0</v>
      </c>
      <c r="AE144" s="408">
        <v>0</v>
      </c>
      <c r="AF144" s="408">
        <v>6034.8832027701883</v>
      </c>
      <c r="AG144" s="408">
        <v>89.206156018988523</v>
      </c>
      <c r="AH144" s="408">
        <v>0</v>
      </c>
      <c r="AI144" s="408">
        <v>0</v>
      </c>
      <c r="AJ144" s="408">
        <v>0</v>
      </c>
      <c r="AK144" s="408">
        <v>0</v>
      </c>
      <c r="AL144" s="408">
        <v>264.83327175557167</v>
      </c>
      <c r="AM144" s="408"/>
      <c r="AN144" s="408">
        <v>38.797646717755462</v>
      </c>
      <c r="AO144" s="408">
        <v>0</v>
      </c>
      <c r="AP144" s="408">
        <v>0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12.920060127447872</v>
      </c>
      <c r="BE144" s="408">
        <v>0</v>
      </c>
      <c r="BF144" s="408">
        <v>0</v>
      </c>
      <c r="BG144" s="408">
        <v>461.54543883478487</v>
      </c>
      <c r="BH144" s="408">
        <v>0</v>
      </c>
      <c r="BI144" s="408">
        <v>0</v>
      </c>
      <c r="BJ144" s="408">
        <v>0</v>
      </c>
      <c r="BK144" s="408">
        <v>0</v>
      </c>
      <c r="BL144" s="408">
        <v>0</v>
      </c>
      <c r="BM144" s="408"/>
      <c r="BN144" s="408"/>
      <c r="BO144" s="408"/>
      <c r="BP144" s="408"/>
      <c r="BQ144" s="408"/>
      <c r="BR144" s="408">
        <v>372.11461240000051</v>
      </c>
      <c r="BS144" s="408"/>
      <c r="BT144" s="408"/>
      <c r="BU144" s="408"/>
      <c r="BV144" s="408">
        <v>6509.3487017324214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8929.8024000000005</v>
      </c>
      <c r="CJ144" s="408">
        <v>873.46335360000012</v>
      </c>
      <c r="CK144" s="408"/>
      <c r="CL144" s="408"/>
      <c r="CM144" s="408"/>
      <c r="CN144" s="408"/>
      <c r="CO144" s="408">
        <v>-11.018670000000016</v>
      </c>
      <c r="CP144" s="408">
        <v>921.89538999999991</v>
      </c>
      <c r="CQ144" s="408">
        <v>30</v>
      </c>
      <c r="CR144" s="408">
        <v>910.90522559105011</v>
      </c>
      <c r="CS144" s="408">
        <v>0</v>
      </c>
      <c r="CT144" s="408">
        <v>0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0</v>
      </c>
      <c r="DA144" s="408">
        <v>0</v>
      </c>
      <c r="DB144" s="408">
        <v>0</v>
      </c>
      <c r="DC144" s="408">
        <v>922.01386961616754</v>
      </c>
      <c r="DD144" s="408">
        <v>0</v>
      </c>
      <c r="DE144" s="408">
        <v>0</v>
      </c>
      <c r="DF144" s="408">
        <v>1.9739362359678854</v>
      </c>
      <c r="DG144" s="408">
        <v>70.515249718242046</v>
      </c>
      <c r="DH144" s="408">
        <v>0</v>
      </c>
      <c r="DI144" s="408">
        <v>-71.179212971302604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-10.731205485964779</v>
      </c>
      <c r="DP144" s="408">
        <v>-1.6874115220597474</v>
      </c>
      <c r="DQ144" s="408">
        <v>0</v>
      </c>
      <c r="DR144" s="408">
        <v>0</v>
      </c>
      <c r="DS144" s="408"/>
      <c r="DT144" s="408"/>
      <c r="DU144" s="408"/>
      <c r="DV144" s="408">
        <v>0</v>
      </c>
      <c r="DW144" s="408">
        <v>0</v>
      </c>
      <c r="DX144" s="408">
        <v>0</v>
      </c>
      <c r="DY144" s="408">
        <v>-11.018669999999929</v>
      </c>
      <c r="DZ144" s="234">
        <v>921.89538999999968</v>
      </c>
      <c r="EA144" s="408">
        <v>0</v>
      </c>
      <c r="EB144" s="408">
        <v>0</v>
      </c>
      <c r="EC144" s="408">
        <v>0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242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143</v>
      </c>
      <c r="B145" s="408" t="s">
        <v>1036</v>
      </c>
      <c r="C145" s="408" t="s">
        <v>2239</v>
      </c>
      <c r="D145" s="408" t="s">
        <v>597</v>
      </c>
      <c r="E145" s="408" t="s">
        <v>974</v>
      </c>
      <c r="F145" s="408" t="s">
        <v>2248</v>
      </c>
      <c r="G145" s="408" t="s">
        <v>1322</v>
      </c>
      <c r="H145" s="408" t="s">
        <v>1322</v>
      </c>
      <c r="I145" s="408" t="s">
        <v>1322</v>
      </c>
      <c r="J145" s="408" t="s">
        <v>2232</v>
      </c>
      <c r="K145" s="828">
        <v>44440</v>
      </c>
      <c r="L145" s="408">
        <v>1513</v>
      </c>
      <c r="M145" s="408">
        <v>1452.48</v>
      </c>
      <c r="N145" s="408">
        <v>0</v>
      </c>
      <c r="O145" s="408">
        <v>0</v>
      </c>
      <c r="P145" s="408">
        <v>0</v>
      </c>
      <c r="Q145" s="408">
        <v>0</v>
      </c>
      <c r="R145" s="408">
        <v>32.17</v>
      </c>
      <c r="S145" s="408"/>
      <c r="T145" s="408"/>
      <c r="U145" s="408">
        <v>48673.21</v>
      </c>
      <c r="V145" s="408"/>
      <c r="W145" s="408">
        <v>48673.21</v>
      </c>
      <c r="X145" s="408">
        <v>19563.09</v>
      </c>
      <c r="Y145" s="408">
        <v>0</v>
      </c>
      <c r="Z145" s="408">
        <v>0</v>
      </c>
      <c r="AA145" s="408">
        <v>0</v>
      </c>
      <c r="AB145" s="408">
        <v>0</v>
      </c>
      <c r="AC145" s="408">
        <v>0</v>
      </c>
      <c r="AD145" s="408">
        <v>151.17324862361968</v>
      </c>
      <c r="AE145" s="408">
        <v>40740.150703309911</v>
      </c>
      <c r="AF145" s="408"/>
      <c r="AG145" s="408"/>
      <c r="AH145" s="408"/>
      <c r="AI145" s="408">
        <v>0</v>
      </c>
      <c r="AJ145" s="408">
        <v>0</v>
      </c>
      <c r="AK145" s="408">
        <v>0</v>
      </c>
      <c r="AL145" s="408">
        <v>0</v>
      </c>
      <c r="AM145" s="408"/>
      <c r="AN145" s="408">
        <v>0</v>
      </c>
      <c r="AO145" s="408">
        <v>2669.5691340039734</v>
      </c>
      <c r="AP145" s="408">
        <v>5118.2749953193143</v>
      </c>
      <c r="AQ145" s="408">
        <v>0</v>
      </c>
      <c r="AR145" s="408">
        <v>0</v>
      </c>
      <c r="AS145" s="408"/>
      <c r="AT145" s="408"/>
      <c r="AU145" s="408">
        <v>0</v>
      </c>
      <c r="AV145" s="408">
        <v>0</v>
      </c>
      <c r="AW145" s="408">
        <v>0</v>
      </c>
      <c r="AX145" s="408"/>
      <c r="AY145" s="408"/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/>
      <c r="BG145" s="408">
        <v>0</v>
      </c>
      <c r="BH145" s="408">
        <v>0</v>
      </c>
      <c r="BI145" s="408">
        <v>177.42</v>
      </c>
      <c r="BJ145" s="408">
        <v>815.16</v>
      </c>
      <c r="BK145" s="408">
        <v>85.28</v>
      </c>
      <c r="BL145" s="408">
        <v>13</v>
      </c>
      <c r="BM145" s="408"/>
      <c r="BN145" s="408"/>
      <c r="BO145" s="408"/>
      <c r="BP145" s="408"/>
      <c r="BQ145" s="408"/>
      <c r="BR145" s="408">
        <v>782.52359999999976</v>
      </c>
      <c r="BS145" s="408"/>
      <c r="BT145" s="408"/>
      <c r="BU145" s="408"/>
      <c r="BV145" s="408">
        <v>0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18780.5664</v>
      </c>
      <c r="CJ145" s="408">
        <v>-27945.745200000008</v>
      </c>
      <c r="CK145" s="408"/>
      <c r="CL145" s="408"/>
      <c r="CM145" s="408"/>
      <c r="CN145" s="408"/>
      <c r="CO145" s="408">
        <v>-29110.120000000003</v>
      </c>
      <c r="CP145" s="408">
        <v>0</v>
      </c>
      <c r="CQ145" s="408">
        <v>30</v>
      </c>
      <c r="CR145" s="408">
        <v>818.10896534893254</v>
      </c>
      <c r="CS145" s="408">
        <v>275.37012506433666</v>
      </c>
      <c r="CT145" s="408">
        <v>527.95786691643571</v>
      </c>
      <c r="CU145" s="408">
        <v>0</v>
      </c>
      <c r="CV145" s="408">
        <v>0</v>
      </c>
      <c r="CW145" s="408"/>
      <c r="CX145" s="408"/>
      <c r="CY145" s="408"/>
      <c r="CZ145" s="408">
        <v>14.780973368161341</v>
      </c>
      <c r="DA145" s="408">
        <v>0</v>
      </c>
      <c r="DB145" s="408">
        <v>0</v>
      </c>
      <c r="DC145" s="408"/>
      <c r="DD145" s="408"/>
      <c r="DE145" s="408">
        <v>0</v>
      </c>
      <c r="DF145" s="408">
        <v>0</v>
      </c>
      <c r="DG145" s="408">
        <v>0</v>
      </c>
      <c r="DH145" s="408">
        <v>0</v>
      </c>
      <c r="DI145" s="408">
        <v>0</v>
      </c>
      <c r="DJ145" s="408"/>
      <c r="DK145" s="408">
        <v>0</v>
      </c>
      <c r="DL145" s="408">
        <v>0</v>
      </c>
      <c r="DM145" s="408"/>
      <c r="DN145" s="408">
        <v>0</v>
      </c>
      <c r="DO145" s="408">
        <v>0</v>
      </c>
      <c r="DP145" s="408">
        <v>0</v>
      </c>
      <c r="DQ145" s="408">
        <v>0</v>
      </c>
      <c r="DR145" s="408">
        <v>0</v>
      </c>
      <c r="DS145" s="408"/>
      <c r="DT145" s="408"/>
      <c r="DU145" s="408">
        <v>40740.150703309911</v>
      </c>
      <c r="DV145" s="408"/>
      <c r="DW145" s="408">
        <v>0</v>
      </c>
      <c r="DX145" s="408">
        <v>0</v>
      </c>
      <c r="DY145" s="408">
        <v>-29110.12</v>
      </c>
      <c r="DZ145" s="234"/>
      <c r="EA145" s="408">
        <v>0</v>
      </c>
      <c r="EB145" s="408"/>
      <c r="EC145" s="408">
        <v>-29932.188685160869</v>
      </c>
      <c r="ED145" s="408"/>
      <c r="EE145" s="408">
        <v>0</v>
      </c>
      <c r="EF145" s="408">
        <v>0</v>
      </c>
      <c r="EG145" s="408"/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/>
      <c r="EN145" s="408"/>
      <c r="EO145" s="408">
        <v>0</v>
      </c>
      <c r="EP145" s="408">
        <v>0</v>
      </c>
      <c r="EQ145" s="408"/>
      <c r="ER145" s="408">
        <v>0</v>
      </c>
      <c r="ES145" s="408"/>
      <c r="ET145" s="408">
        <v>0</v>
      </c>
      <c r="EU145" s="408"/>
      <c r="EV145" s="408">
        <v>242</v>
      </c>
      <c r="EW145" s="408"/>
      <c r="EX145" s="408"/>
      <c r="EY145" s="408"/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144</v>
      </c>
      <c r="B146" s="408" t="s">
        <v>1036</v>
      </c>
      <c r="C146" s="408" t="s">
        <v>2239</v>
      </c>
      <c r="D146" s="408" t="s">
        <v>597</v>
      </c>
      <c r="E146" s="408" t="s">
        <v>974</v>
      </c>
      <c r="F146" s="408" t="s">
        <v>2248</v>
      </c>
      <c r="G146" s="408" t="s">
        <v>2250</v>
      </c>
      <c r="H146" s="408" t="s">
        <v>1322</v>
      </c>
      <c r="I146" s="408" t="s">
        <v>2240</v>
      </c>
      <c r="J146" s="408" t="s">
        <v>2232</v>
      </c>
      <c r="K146" s="828">
        <v>44440</v>
      </c>
      <c r="L146" s="408">
        <v>0</v>
      </c>
      <c r="M146" s="408">
        <v>0</v>
      </c>
      <c r="N146" s="408">
        <v>23.838000000000001</v>
      </c>
      <c r="O146" s="408">
        <v>7.1513999999999998</v>
      </c>
      <c r="P146" s="408">
        <v>23.838000000000001</v>
      </c>
      <c r="Q146" s="408">
        <v>7.1513999999999998</v>
      </c>
      <c r="R146" s="408"/>
      <c r="S146" s="408">
        <v>80.27</v>
      </c>
      <c r="T146" s="408">
        <v>216.76</v>
      </c>
      <c r="U146" s="408"/>
      <c r="V146" s="408">
        <v>7080.6011400000007</v>
      </c>
      <c r="W146" s="408">
        <v>7080.6011400000007</v>
      </c>
      <c r="X146" s="408">
        <v>7849.1382599999997</v>
      </c>
      <c r="Y146" s="408">
        <v>0</v>
      </c>
      <c r="Z146" s="408">
        <v>1257.0072235133539</v>
      </c>
      <c r="AA146" s="408">
        <v>0</v>
      </c>
      <c r="AB146" s="408">
        <v>0</v>
      </c>
      <c r="AC146" s="408">
        <v>0</v>
      </c>
      <c r="AD146" s="408">
        <v>0</v>
      </c>
      <c r="AE146" s="408">
        <v>0</v>
      </c>
      <c r="AF146" s="408">
        <v>5091.8325766338348</v>
      </c>
      <c r="AG146" s="408">
        <v>75.266214107551363</v>
      </c>
      <c r="AH146" s="408">
        <v>0</v>
      </c>
      <c r="AI146" s="408">
        <v>0</v>
      </c>
      <c r="AJ146" s="408">
        <v>0</v>
      </c>
      <c r="AK146" s="408">
        <v>0</v>
      </c>
      <c r="AL146" s="408">
        <v>223.44867915298616</v>
      </c>
      <c r="AM146" s="408"/>
      <c r="AN146" s="408">
        <v>32.734870720201563</v>
      </c>
      <c r="AO146" s="408">
        <v>0</v>
      </c>
      <c r="AP146" s="408">
        <v>0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10.901086373769242</v>
      </c>
      <c r="BE146" s="408">
        <v>0</v>
      </c>
      <c r="BF146" s="408">
        <v>0</v>
      </c>
      <c r="BG146" s="408">
        <v>389.42130644333707</v>
      </c>
      <c r="BH146" s="408">
        <v>0</v>
      </c>
      <c r="BI146" s="408">
        <v>0</v>
      </c>
      <c r="BJ146" s="408">
        <v>0</v>
      </c>
      <c r="BK146" s="408">
        <v>0</v>
      </c>
      <c r="BL146" s="408">
        <v>0</v>
      </c>
      <c r="BM146" s="408"/>
      <c r="BN146" s="408"/>
      <c r="BO146" s="408"/>
      <c r="BP146" s="408"/>
      <c r="BQ146" s="408"/>
      <c r="BR146" s="408"/>
      <c r="BS146" s="408">
        <v>5494.3967819999998</v>
      </c>
      <c r="BT146" s="408"/>
      <c r="BU146" s="408"/>
      <c r="BV146" s="408">
        <v>5492.1549694509413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2354.2804999999998</v>
      </c>
      <c r="CJ146" s="408">
        <v>230.07015799999954</v>
      </c>
      <c r="CK146" s="408"/>
      <c r="CL146" s="408"/>
      <c r="CM146" s="408"/>
      <c r="CN146" s="408"/>
      <c r="CO146" s="408">
        <v>-9.2968200000000145</v>
      </c>
      <c r="CP146" s="408">
        <v>777.83393999999987</v>
      </c>
      <c r="CQ146" s="408">
        <v>30</v>
      </c>
      <c r="CR146" s="408">
        <v>768.5611711195088</v>
      </c>
      <c r="CS146" s="408">
        <v>0</v>
      </c>
      <c r="CT146" s="408">
        <v>0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0</v>
      </c>
      <c r="DA146" s="408">
        <v>0</v>
      </c>
      <c r="DB146" s="408">
        <v>0</v>
      </c>
      <c r="DC146" s="408">
        <v>777.93390521042784</v>
      </c>
      <c r="DD146" s="408">
        <v>0</v>
      </c>
      <c r="DE146" s="408">
        <v>0</v>
      </c>
      <c r="DF146" s="408">
        <v>1.6654759492090196</v>
      </c>
      <c r="DG146" s="408">
        <v>59.496072020084682</v>
      </c>
      <c r="DH146" s="408">
        <v>0</v>
      </c>
      <c r="DI146" s="408">
        <v>-60.056279998934997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-9.0542765856521044</v>
      </c>
      <c r="DP146" s="408">
        <v>-1.4237254756259645</v>
      </c>
      <c r="DQ146" s="408">
        <v>0</v>
      </c>
      <c r="DR146" s="408">
        <v>0</v>
      </c>
      <c r="DS146" s="408"/>
      <c r="DT146" s="408"/>
      <c r="DU146" s="408"/>
      <c r="DV146" s="408">
        <v>0</v>
      </c>
      <c r="DW146" s="408">
        <v>0</v>
      </c>
      <c r="DX146" s="408">
        <v>0</v>
      </c>
      <c r="DY146" s="408">
        <v>-9.2968200000000252</v>
      </c>
      <c r="DZ146" s="234">
        <v>777.83393999999953</v>
      </c>
      <c r="EA146" s="408">
        <v>0</v>
      </c>
      <c r="EB146" s="408">
        <v>0</v>
      </c>
      <c r="EC146" s="408">
        <v>0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242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145</v>
      </c>
      <c r="B147" s="408" t="s">
        <v>1036</v>
      </c>
      <c r="C147" s="408" t="s">
        <v>2231</v>
      </c>
      <c r="D147" s="408" t="s">
        <v>2241</v>
      </c>
      <c r="E147" s="408" t="s">
        <v>974</v>
      </c>
      <c r="F147" s="408" t="s">
        <v>2251</v>
      </c>
      <c r="G147" s="408" t="s">
        <v>2249</v>
      </c>
      <c r="H147" s="408" t="s">
        <v>1322</v>
      </c>
      <c r="I147" s="408" t="s">
        <v>1322</v>
      </c>
      <c r="J147" s="408" t="s">
        <v>2232</v>
      </c>
      <c r="K147" s="828">
        <v>44440</v>
      </c>
      <c r="L147" s="408">
        <v>0</v>
      </c>
      <c r="M147" s="408">
        <v>0</v>
      </c>
      <c r="N147" s="408">
        <v>0</v>
      </c>
      <c r="O147" s="408">
        <v>0</v>
      </c>
      <c r="P147" s="408">
        <v>0</v>
      </c>
      <c r="Q147" s="408">
        <v>0</v>
      </c>
      <c r="R147" s="408"/>
      <c r="S147" s="408"/>
      <c r="T147" s="408"/>
      <c r="U147" s="408"/>
      <c r="V147" s="408"/>
      <c r="W147" s="408"/>
      <c r="X147" s="408"/>
      <c r="Y147" s="408"/>
      <c r="Z147" s="408"/>
      <c r="AA147" s="408">
        <v>0</v>
      </c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408"/>
      <c r="AL147" s="408"/>
      <c r="AM147" s="408"/>
      <c r="AN147" s="408"/>
      <c r="AO147" s="408"/>
      <c r="AP147" s="408"/>
      <c r="AQ147" s="408"/>
      <c r="AR147" s="408"/>
      <c r="AS147" s="408"/>
      <c r="AT147" s="408"/>
      <c r="AU147" s="408"/>
      <c r="AV147" s="408"/>
      <c r="AW147" s="408"/>
      <c r="AX147" s="408"/>
      <c r="AY147" s="408"/>
      <c r="AZ147" s="408">
        <v>0</v>
      </c>
      <c r="BA147" s="408"/>
      <c r="BB147" s="408"/>
      <c r="BC147" s="408"/>
      <c r="BD147" s="408"/>
      <c r="BE147" s="408"/>
      <c r="BF147" s="408"/>
      <c r="BG147" s="408"/>
      <c r="BH147" s="408"/>
      <c r="BI147" s="408">
        <v>20.12</v>
      </c>
      <c r="BJ147" s="408">
        <v>92.63</v>
      </c>
      <c r="BK147" s="408">
        <v>74.44</v>
      </c>
      <c r="BL147" s="408">
        <v>9</v>
      </c>
      <c r="BM147" s="408"/>
      <c r="BN147" s="408"/>
      <c r="BO147" s="408"/>
      <c r="BP147" s="408"/>
      <c r="BQ147" s="408"/>
      <c r="BR147" s="408"/>
      <c r="BS147" s="408"/>
      <c r="BT147" s="408"/>
      <c r="BU147" s="408"/>
      <c r="BV147" s="408"/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/>
      <c r="CJ147" s="408">
        <v>-0.03</v>
      </c>
      <c r="CK147" s="408"/>
      <c r="CL147" s="408"/>
      <c r="CM147" s="408"/>
      <c r="CN147" s="408"/>
      <c r="CO147" s="408">
        <v>0</v>
      </c>
      <c r="CP147" s="408">
        <v>0</v>
      </c>
      <c r="CQ147" s="408">
        <v>30</v>
      </c>
      <c r="CR147" s="408"/>
      <c r="CS147" s="408"/>
      <c r="CT147" s="408"/>
      <c r="CU147" s="408"/>
      <c r="CV147" s="408"/>
      <c r="CW147" s="408"/>
      <c r="CX147" s="408"/>
      <c r="CY147" s="408"/>
      <c r="CZ147" s="408"/>
      <c r="DA147" s="408"/>
      <c r="DB147" s="408"/>
      <c r="DC147" s="408"/>
      <c r="DD147" s="408"/>
      <c r="DE147" s="408"/>
      <c r="DF147" s="408"/>
      <c r="DG147" s="408"/>
      <c r="DH147" s="408"/>
      <c r="DI147" s="408"/>
      <c r="DJ147" s="408"/>
      <c r="DK147" s="408">
        <v>0</v>
      </c>
      <c r="DL147" s="408"/>
      <c r="DM147" s="408"/>
      <c r="DN147" s="408"/>
      <c r="DO147" s="408"/>
      <c r="DP147" s="408"/>
      <c r="DQ147" s="408"/>
      <c r="DR147" s="408"/>
      <c r="DS147" s="408"/>
      <c r="DT147" s="408"/>
      <c r="DU147" s="408"/>
      <c r="DV147" s="408"/>
      <c r="DW147" s="408"/>
      <c r="DX147" s="408"/>
      <c r="DY147" s="408"/>
      <c r="DZ147" s="234"/>
      <c r="EA147" s="408"/>
      <c r="EB147" s="408"/>
      <c r="EC147" s="408"/>
      <c r="ED147" s="408"/>
      <c r="EE147" s="408"/>
      <c r="EF147" s="408"/>
      <c r="EG147" s="408"/>
      <c r="EH147" s="408"/>
      <c r="EI147" s="408"/>
      <c r="EJ147" s="408"/>
      <c r="EK147" s="408"/>
      <c r="EL147" s="408"/>
      <c r="EM147" s="408"/>
      <c r="EN147" s="408"/>
      <c r="EO147" s="408"/>
      <c r="EP147" s="408"/>
      <c r="EQ147" s="408"/>
      <c r="ER147" s="408"/>
      <c r="ES147" s="408"/>
      <c r="ET147" s="408"/>
      <c r="EU147" s="408"/>
      <c r="EV147" s="408">
        <v>242</v>
      </c>
      <c r="EW147" s="408"/>
      <c r="EX147" s="408"/>
      <c r="EY147" s="408"/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146</v>
      </c>
      <c r="B148" s="408" t="s">
        <v>1036</v>
      </c>
      <c r="C148" s="408" t="s">
        <v>2231</v>
      </c>
      <c r="D148" s="408" t="s">
        <v>2241</v>
      </c>
      <c r="E148" s="408" t="s">
        <v>974</v>
      </c>
      <c r="F148" s="408" t="s">
        <v>2251</v>
      </c>
      <c r="G148" s="408" t="s">
        <v>2249</v>
      </c>
      <c r="H148" s="408" t="s">
        <v>1322</v>
      </c>
      <c r="I148" s="408" t="s">
        <v>1322</v>
      </c>
      <c r="J148" s="408" t="s">
        <v>2232</v>
      </c>
      <c r="K148" s="828">
        <v>44440</v>
      </c>
      <c r="L148" s="408">
        <v>0</v>
      </c>
      <c r="M148" s="408">
        <v>0</v>
      </c>
      <c r="N148" s="408">
        <v>5.4850000000000003</v>
      </c>
      <c r="O148" s="408">
        <v>5.4850000000000003</v>
      </c>
      <c r="P148" s="408">
        <v>5.4850000000000003</v>
      </c>
      <c r="Q148" s="408">
        <v>5.4850000000000003</v>
      </c>
      <c r="R148" s="408"/>
      <c r="S148" s="408">
        <v>571.87</v>
      </c>
      <c r="T148" s="408">
        <v>216.76</v>
      </c>
      <c r="U148" s="408"/>
      <c r="V148" s="408">
        <v>4325.63555</v>
      </c>
      <c r="W148" s="408">
        <v>4325.63555</v>
      </c>
      <c r="X148" s="408">
        <v>2819.3448500000004</v>
      </c>
      <c r="Y148" s="408">
        <v>0</v>
      </c>
      <c r="Z148" s="408">
        <v>332.44923448655561</v>
      </c>
      <c r="AA148" s="408">
        <v>0</v>
      </c>
      <c r="AB148" s="408">
        <v>0</v>
      </c>
      <c r="AC148" s="408">
        <v>0</v>
      </c>
      <c r="AD148" s="408">
        <v>4.5081966418021038</v>
      </c>
      <c r="AE148" s="408">
        <v>2338.7144232958394</v>
      </c>
      <c r="AF148" s="408">
        <v>1171.6042320176434</v>
      </c>
      <c r="AG148" s="408">
        <v>17.318364979441196</v>
      </c>
      <c r="AH148" s="408">
        <v>0</v>
      </c>
      <c r="AI148" s="408">
        <v>0</v>
      </c>
      <c r="AJ148" s="408">
        <v>0</v>
      </c>
      <c r="AK148" s="408">
        <v>0</v>
      </c>
      <c r="AL148" s="408">
        <v>51.41438061725519</v>
      </c>
      <c r="AM148" s="408"/>
      <c r="AN148" s="408">
        <v>10.522805515510889</v>
      </c>
      <c r="AO148" s="408">
        <v>48.716112153829073</v>
      </c>
      <c r="AP148" s="408">
        <v>152.63167155559179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3.2639568760194244</v>
      </c>
      <c r="BE148" s="408">
        <v>0</v>
      </c>
      <c r="BF148" s="408">
        <v>0</v>
      </c>
      <c r="BG148" s="408">
        <v>194.48843250378704</v>
      </c>
      <c r="BH148" s="408">
        <v>0</v>
      </c>
      <c r="BI148" s="408">
        <v>0</v>
      </c>
      <c r="BJ148" s="408">
        <v>0</v>
      </c>
      <c r="BK148" s="408">
        <v>0</v>
      </c>
      <c r="BL148" s="408">
        <v>0</v>
      </c>
      <c r="BM148" s="408"/>
      <c r="BN148" s="408"/>
      <c r="BO148" s="408"/>
      <c r="BP148" s="408"/>
      <c r="BQ148" s="408"/>
      <c r="BR148" s="408">
        <v>338.31479999999988</v>
      </c>
      <c r="BS148" s="408"/>
      <c r="BT148" s="408"/>
      <c r="BU148" s="408"/>
      <c r="BV148" s="408">
        <v>1369.3566213974498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2483.2917000000002</v>
      </c>
      <c r="CJ148" s="408">
        <v>-1323.3283000000006</v>
      </c>
      <c r="CK148" s="408"/>
      <c r="CL148" s="408"/>
      <c r="CM148" s="408"/>
      <c r="CN148" s="408"/>
      <c r="CO148" s="408">
        <v>-1685.2662500000001</v>
      </c>
      <c r="CP148" s="408">
        <v>178.97555</v>
      </c>
      <c r="CQ148" s="408">
        <v>30</v>
      </c>
      <c r="CR148" s="408">
        <v>211.9969275680794</v>
      </c>
      <c r="CS148" s="408">
        <v>5.0251412205711645</v>
      </c>
      <c r="CT148" s="408">
        <v>15.744189558410568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0.44078919456717625</v>
      </c>
      <c r="DA148" s="408">
        <v>0</v>
      </c>
      <c r="DB148" s="408">
        <v>0</v>
      </c>
      <c r="DC148" s="408">
        <v>178.99855147576136</v>
      </c>
      <c r="DD148" s="408">
        <v>0</v>
      </c>
      <c r="DE148" s="408">
        <v>0</v>
      </c>
      <c r="DF148" s="408">
        <v>0.49866971876731592</v>
      </c>
      <c r="DG148" s="408">
        <v>29.714084966232718</v>
      </c>
      <c r="DH148" s="408">
        <v>0</v>
      </c>
      <c r="DI148" s="408">
        <v>-15.883492105918322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-2.0833420199807833</v>
      </c>
      <c r="DP148" s="408">
        <v>-0.45766444033165854</v>
      </c>
      <c r="DQ148" s="408">
        <v>0</v>
      </c>
      <c r="DR148" s="408">
        <v>0</v>
      </c>
      <c r="DS148" s="408"/>
      <c r="DT148" s="408"/>
      <c r="DU148" s="408"/>
      <c r="DV148" s="408">
        <v>2338.7144232958394</v>
      </c>
      <c r="DW148" s="408">
        <v>0</v>
      </c>
      <c r="DX148" s="408">
        <v>0</v>
      </c>
      <c r="DY148" s="408">
        <v>-1685.2662500000001</v>
      </c>
      <c r="DZ148" s="234">
        <v>178.97555000000011</v>
      </c>
      <c r="EA148" s="408">
        <v>0</v>
      </c>
      <c r="EB148" s="408">
        <v>0</v>
      </c>
      <c r="EC148" s="408">
        <v>-1718.2764469526364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242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147</v>
      </c>
      <c r="B149" s="408" t="s">
        <v>1036</v>
      </c>
      <c r="C149" s="408" t="s">
        <v>2231</v>
      </c>
      <c r="D149" s="408" t="s">
        <v>2241</v>
      </c>
      <c r="E149" s="408" t="s">
        <v>974</v>
      </c>
      <c r="F149" s="408" t="s">
        <v>2251</v>
      </c>
      <c r="G149" s="408" t="s">
        <v>2250</v>
      </c>
      <c r="H149" s="408" t="s">
        <v>1322</v>
      </c>
      <c r="I149" s="408" t="s">
        <v>1322</v>
      </c>
      <c r="J149" s="408" t="s">
        <v>2232</v>
      </c>
      <c r="K149" s="828">
        <v>44440</v>
      </c>
      <c r="L149" s="408">
        <v>0</v>
      </c>
      <c r="M149" s="408">
        <v>0</v>
      </c>
      <c r="N149" s="408">
        <v>4.3860000000000001</v>
      </c>
      <c r="O149" s="408">
        <v>1.7544</v>
      </c>
      <c r="P149" s="408">
        <v>4.3860000000000001</v>
      </c>
      <c r="Q149" s="408">
        <v>1.7544</v>
      </c>
      <c r="R149" s="408"/>
      <c r="S149" s="408">
        <v>571.87</v>
      </c>
      <c r="T149" s="408">
        <v>216.76</v>
      </c>
      <c r="U149" s="408"/>
      <c r="V149" s="408">
        <v>3458.93118</v>
      </c>
      <c r="W149" s="408">
        <v>3458.93118</v>
      </c>
      <c r="X149" s="408">
        <v>2254.4478600000002</v>
      </c>
      <c r="Y149" s="408">
        <v>0</v>
      </c>
      <c r="Z149" s="408">
        <v>265.83816635515637</v>
      </c>
      <c r="AA149" s="408">
        <v>0</v>
      </c>
      <c r="AB149" s="408">
        <v>0</v>
      </c>
      <c r="AC149" s="408">
        <v>0</v>
      </c>
      <c r="AD149" s="408">
        <v>3.6049134860426668</v>
      </c>
      <c r="AE149" s="408">
        <v>1870.1187712990977</v>
      </c>
      <c r="AF149" s="408">
        <v>936.85618261246748</v>
      </c>
      <c r="AG149" s="408">
        <v>13.848377174080051</v>
      </c>
      <c r="AH149" s="408">
        <v>0</v>
      </c>
      <c r="AI149" s="408">
        <v>0</v>
      </c>
      <c r="AJ149" s="408">
        <v>0</v>
      </c>
      <c r="AK149" s="408">
        <v>0</v>
      </c>
      <c r="AL149" s="408">
        <v>41.112757226487012</v>
      </c>
      <c r="AM149" s="408"/>
      <c r="AN149" s="408">
        <v>8.4144074732964</v>
      </c>
      <c r="AO149" s="408">
        <v>38.955126327565054</v>
      </c>
      <c r="AP149" s="408">
        <v>122.04968303424351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2.6099753615717765</v>
      </c>
      <c r="BE149" s="408">
        <v>0</v>
      </c>
      <c r="BF149" s="408">
        <v>0</v>
      </c>
      <c r="BG149" s="408">
        <v>155.51982952809664</v>
      </c>
      <c r="BH149" s="408">
        <v>0</v>
      </c>
      <c r="BI149" s="408">
        <v>0</v>
      </c>
      <c r="BJ149" s="408">
        <v>0</v>
      </c>
      <c r="BK149" s="408">
        <v>0</v>
      </c>
      <c r="BL149" s="408">
        <v>0</v>
      </c>
      <c r="BM149" s="408"/>
      <c r="BN149" s="408"/>
      <c r="BO149" s="408"/>
      <c r="BP149" s="408"/>
      <c r="BQ149" s="408"/>
      <c r="BR149" s="408"/>
      <c r="BS149" s="408">
        <v>1460.8801080000001</v>
      </c>
      <c r="BT149" s="408"/>
      <c r="BU149" s="408"/>
      <c r="BV149" s="408">
        <v>1094.9859875021359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791.57749999999999</v>
      </c>
      <c r="CJ149" s="408">
        <v>-426.00609999999995</v>
      </c>
      <c r="CK149" s="408"/>
      <c r="CL149" s="408"/>
      <c r="CM149" s="408"/>
      <c r="CN149" s="408"/>
      <c r="CO149" s="408">
        <v>-1347.5985000000001</v>
      </c>
      <c r="CP149" s="408">
        <v>143.11517999999998</v>
      </c>
      <c r="CQ149" s="408">
        <v>30</v>
      </c>
      <c r="CR149" s="408">
        <v>169.52024144277061</v>
      </c>
      <c r="CS149" s="408">
        <v>4.0182806551367563</v>
      </c>
      <c r="CT149" s="408">
        <v>12.589610830116442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0.35247063033211212</v>
      </c>
      <c r="DA149" s="408">
        <v>0</v>
      </c>
      <c r="DB149" s="408">
        <v>0</v>
      </c>
      <c r="DC149" s="408">
        <v>143.13357279356217</v>
      </c>
      <c r="DD149" s="408">
        <v>0</v>
      </c>
      <c r="DE149" s="408">
        <v>0</v>
      </c>
      <c r="DF149" s="408">
        <v>0.39875394466972613</v>
      </c>
      <c r="DG149" s="408">
        <v>23.760433302077786</v>
      </c>
      <c r="DH149" s="408">
        <v>0</v>
      </c>
      <c r="DI149" s="408">
        <v>-12.701002074121732</v>
      </c>
      <c r="DJ149" s="408"/>
      <c r="DK149" s="408">
        <v>0</v>
      </c>
      <c r="DL149" s="408">
        <v>0</v>
      </c>
      <c r="DM149" s="408">
        <v>0</v>
      </c>
      <c r="DN149" s="408">
        <v>0</v>
      </c>
      <c r="DO149" s="408">
        <v>-1.6659139652936545</v>
      </c>
      <c r="DP149" s="408">
        <v>-0.36596467370914354</v>
      </c>
      <c r="DQ149" s="408">
        <v>0</v>
      </c>
      <c r="DR149" s="408">
        <v>0</v>
      </c>
      <c r="DS149" s="408"/>
      <c r="DT149" s="408"/>
      <c r="DU149" s="408"/>
      <c r="DV149" s="408">
        <v>1870.1187712990977</v>
      </c>
      <c r="DW149" s="408">
        <v>0</v>
      </c>
      <c r="DX149" s="408">
        <v>0</v>
      </c>
      <c r="DY149" s="408">
        <v>-1347.5985000000001</v>
      </c>
      <c r="DZ149" s="234">
        <v>143.11518000000012</v>
      </c>
      <c r="EA149" s="408">
        <v>0</v>
      </c>
      <c r="EB149" s="408">
        <v>0</v>
      </c>
      <c r="EC149" s="408">
        <v>-1373.994621027213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0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242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148</v>
      </c>
      <c r="B150" s="408" t="s">
        <v>1036</v>
      </c>
      <c r="C150" s="408" t="s">
        <v>2231</v>
      </c>
      <c r="D150" s="408" t="s">
        <v>1952</v>
      </c>
      <c r="E150" s="408" t="s">
        <v>969</v>
      </c>
      <c r="F150" s="408" t="s">
        <v>969</v>
      </c>
      <c r="G150" s="408" t="s">
        <v>1322</v>
      </c>
      <c r="H150" s="408" t="s">
        <v>1322</v>
      </c>
      <c r="I150" s="408" t="s">
        <v>1322</v>
      </c>
      <c r="J150" s="408" t="s">
        <v>2232</v>
      </c>
      <c r="K150" s="828">
        <v>44470</v>
      </c>
      <c r="L150" s="408">
        <v>0</v>
      </c>
      <c r="M150" s="408">
        <v>0</v>
      </c>
      <c r="N150" s="408">
        <v>694.01400000000001</v>
      </c>
      <c r="O150" s="408">
        <v>694.01400000000001</v>
      </c>
      <c r="P150" s="408">
        <v>694.01400000000001</v>
      </c>
      <c r="Q150" s="408">
        <v>694.01400000000001</v>
      </c>
      <c r="R150" s="408"/>
      <c r="S150" s="408">
        <v>571.87</v>
      </c>
      <c r="T150" s="408">
        <v>216.76</v>
      </c>
      <c r="U150" s="408"/>
      <c r="V150" s="408">
        <v>547320.26081999997</v>
      </c>
      <c r="W150" s="408">
        <v>547320.26081999997</v>
      </c>
      <c r="X150" s="408">
        <v>356730.13613999996</v>
      </c>
      <c r="Y150" s="408">
        <v>0</v>
      </c>
      <c r="Z150" s="408">
        <v>42064.616777201889</v>
      </c>
      <c r="AA150" s="408">
        <v>0</v>
      </c>
      <c r="AB150" s="408">
        <v>0</v>
      </c>
      <c r="AC150" s="408">
        <v>0</v>
      </c>
      <c r="AD150" s="408">
        <v>570.41961425043667</v>
      </c>
      <c r="AE150" s="408">
        <v>295916.23550943274</v>
      </c>
      <c r="AF150" s="408">
        <v>148242.4319926149</v>
      </c>
      <c r="AG150" s="408">
        <v>2191.2830907642483</v>
      </c>
      <c r="AH150" s="408">
        <v>0</v>
      </c>
      <c r="AI150" s="408">
        <v>0</v>
      </c>
      <c r="AJ150" s="408">
        <v>0</v>
      </c>
      <c r="AK150" s="408">
        <v>0</v>
      </c>
      <c r="AL150" s="408">
        <v>6505.4329899186396</v>
      </c>
      <c r="AM150" s="408"/>
      <c r="AN150" s="408">
        <v>1331.4447305454464</v>
      </c>
      <c r="AO150" s="408">
        <v>6164.0225816458578</v>
      </c>
      <c r="AP150" s="408">
        <v>19312.40052925843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412.98664856039102</v>
      </c>
      <c r="BE150" s="408">
        <v>0</v>
      </c>
      <c r="BF150" s="408">
        <v>0</v>
      </c>
      <c r="BG150" s="408">
        <v>24608.513217079901</v>
      </c>
      <c r="BH150" s="408">
        <v>0</v>
      </c>
      <c r="BI150" s="408">
        <v>2863.84</v>
      </c>
      <c r="BJ150" s="408">
        <v>13259.59</v>
      </c>
      <c r="BK150" s="408">
        <v>195761.22</v>
      </c>
      <c r="BL150" s="408">
        <v>4464</v>
      </c>
      <c r="BM150" s="408"/>
      <c r="BN150" s="408"/>
      <c r="BO150" s="408"/>
      <c r="BP150" s="408"/>
      <c r="BQ150" s="408"/>
      <c r="BR150" s="408"/>
      <c r="BS150" s="408"/>
      <c r="BT150" s="408"/>
      <c r="BU150" s="408"/>
      <c r="BV150" s="408">
        <v>173263.93185825518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356728.08009999996</v>
      </c>
      <c r="CJ150" s="408">
        <v>-190592.21072000003</v>
      </c>
      <c r="CK150" s="408"/>
      <c r="CL150" s="408"/>
      <c r="CM150" s="408"/>
      <c r="CN150" s="408"/>
      <c r="CO150" s="408">
        <v>-213235.8015</v>
      </c>
      <c r="CP150" s="408">
        <v>22645.676819999997</v>
      </c>
      <c r="CQ150" s="408">
        <v>31</v>
      </c>
      <c r="CR150" s="408">
        <v>26823.853361756308</v>
      </c>
      <c r="CS150" s="408">
        <v>635.82832434885586</v>
      </c>
      <c r="CT150" s="408">
        <v>1992.1035500803555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55.772811682469296</v>
      </c>
      <c r="DA150" s="408">
        <v>0</v>
      </c>
      <c r="DB150" s="408">
        <v>0</v>
      </c>
      <c r="DC150" s="408">
        <v>22648.587183937838</v>
      </c>
      <c r="DD150" s="408">
        <v>0</v>
      </c>
      <c r="DE150" s="408">
        <v>0</v>
      </c>
      <c r="DF150" s="408">
        <v>63.096402224353653</v>
      </c>
      <c r="DG150" s="408">
        <v>3759.7066479042915</v>
      </c>
      <c r="DH150" s="408">
        <v>0</v>
      </c>
      <c r="DI150" s="408">
        <v>-2009.7294239556577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-263.60410732086348</v>
      </c>
      <c r="DP150" s="408">
        <v>-57.908027145366532</v>
      </c>
      <c r="DQ150" s="408">
        <v>0</v>
      </c>
      <c r="DR150" s="408">
        <v>0</v>
      </c>
      <c r="DS150" s="408"/>
      <c r="DT150" s="408"/>
      <c r="DU150" s="408"/>
      <c r="DV150" s="408">
        <v>295916.23550943274</v>
      </c>
      <c r="DW150" s="408">
        <v>0</v>
      </c>
      <c r="DX150" s="408">
        <v>0</v>
      </c>
      <c r="DY150" s="408">
        <v>-213235.8015</v>
      </c>
      <c r="DZ150" s="234">
        <v>22645.676819999993</v>
      </c>
      <c r="EA150" s="408">
        <v>0</v>
      </c>
      <c r="EB150" s="408">
        <v>0</v>
      </c>
      <c r="EC150" s="408">
        <v>-217412.56336470137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242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149</v>
      </c>
      <c r="B151" s="408" t="s">
        <v>2233</v>
      </c>
      <c r="C151" s="408" t="s">
        <v>2231</v>
      </c>
      <c r="D151" s="408" t="s">
        <v>1952</v>
      </c>
      <c r="E151" s="408" t="s">
        <v>969</v>
      </c>
      <c r="F151" s="408" t="s">
        <v>969</v>
      </c>
      <c r="G151" s="408" t="s">
        <v>1322</v>
      </c>
      <c r="H151" s="408" t="s">
        <v>1322</v>
      </c>
      <c r="I151" s="408" t="s">
        <v>1322</v>
      </c>
      <c r="J151" s="408" t="s">
        <v>2232</v>
      </c>
      <c r="K151" s="828">
        <v>44470</v>
      </c>
      <c r="L151" s="408">
        <v>0</v>
      </c>
      <c r="M151" s="408">
        <v>0</v>
      </c>
      <c r="N151" s="408">
        <v>0.90100000000000002</v>
      </c>
      <c r="O151" s="408">
        <v>0.90100000000000002</v>
      </c>
      <c r="P151" s="408">
        <v>0.90100000000000002</v>
      </c>
      <c r="Q151" s="408">
        <v>0.90100000000000002</v>
      </c>
      <c r="R151" s="408"/>
      <c r="S151" s="408">
        <v>571.87</v>
      </c>
      <c r="T151" s="408">
        <v>216.76</v>
      </c>
      <c r="U151" s="408"/>
      <c r="V151" s="408">
        <v>710.55562999999995</v>
      </c>
      <c r="W151" s="408">
        <v>710.55562999999995</v>
      </c>
      <c r="X151" s="408">
        <v>463.12301000000002</v>
      </c>
      <c r="Y151" s="408">
        <v>0</v>
      </c>
      <c r="Z151" s="408">
        <v>54.61016595667941</v>
      </c>
      <c r="AA151" s="408">
        <v>0</v>
      </c>
      <c r="AB151" s="408">
        <v>0</v>
      </c>
      <c r="AC151" s="408">
        <v>0</v>
      </c>
      <c r="AD151" s="408">
        <v>0.74054424325682688</v>
      </c>
      <c r="AE151" s="408">
        <v>384.17168557694646</v>
      </c>
      <c r="AF151" s="408">
        <v>192.45495224209606</v>
      </c>
      <c r="AG151" s="408">
        <v>2.8448216675435765</v>
      </c>
      <c r="AH151" s="408">
        <v>0</v>
      </c>
      <c r="AI151" s="408">
        <v>0</v>
      </c>
      <c r="AJ151" s="408">
        <v>0</v>
      </c>
      <c r="AK151" s="408">
        <v>0</v>
      </c>
      <c r="AL151" s="408">
        <v>8.4456439263713623</v>
      </c>
      <c r="AM151" s="408"/>
      <c r="AN151" s="408">
        <v>1.7285410700957722</v>
      </c>
      <c r="AO151" s="408">
        <v>8.002409671941658</v>
      </c>
      <c r="AP151" s="408">
        <v>25.072221708584905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0.53615772931513239</v>
      </c>
      <c r="BE151" s="408">
        <v>0</v>
      </c>
      <c r="BF151" s="408">
        <v>0</v>
      </c>
      <c r="BG151" s="408">
        <v>31.947871957322175</v>
      </c>
      <c r="BH151" s="408">
        <v>0</v>
      </c>
      <c r="BI151" s="408">
        <v>4.18</v>
      </c>
      <c r="BJ151" s="408">
        <v>19.34</v>
      </c>
      <c r="BK151" s="408">
        <v>227.74</v>
      </c>
      <c r="BL151" s="408">
        <v>0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>
        <v>224.93898192873337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462.60900000000004</v>
      </c>
      <c r="CJ151" s="408">
        <v>-247.97662999999989</v>
      </c>
      <c r="CK151" s="408"/>
      <c r="CL151" s="408"/>
      <c r="CM151" s="408"/>
      <c r="CN151" s="408"/>
      <c r="CO151" s="408">
        <v>-276.83224999999999</v>
      </c>
      <c r="CP151" s="408">
        <v>29.399629999999998</v>
      </c>
      <c r="CQ151" s="408">
        <v>31</v>
      </c>
      <c r="CR151" s="408">
        <v>34.82392556770094</v>
      </c>
      <c r="CS151" s="408">
        <v>0.82546075473739577</v>
      </c>
      <c r="CT151" s="408">
        <v>2.5862378837060938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7.2406757393805976E-2</v>
      </c>
      <c r="DA151" s="408">
        <v>0</v>
      </c>
      <c r="DB151" s="408">
        <v>0</v>
      </c>
      <c r="DC151" s="408">
        <v>29.403408364568975</v>
      </c>
      <c r="DD151" s="408">
        <v>0</v>
      </c>
      <c r="DE151" s="408">
        <v>0</v>
      </c>
      <c r="DF151" s="408">
        <v>8.1914570029052225E-2</v>
      </c>
      <c r="DG151" s="408">
        <v>4.881019244225282</v>
      </c>
      <c r="DH151" s="408">
        <v>0</v>
      </c>
      <c r="DI151" s="408">
        <v>-2.6091205811180274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-0.34222263628125482</v>
      </c>
      <c r="DP151" s="408">
        <v>-7.5178789560405468E-2</v>
      </c>
      <c r="DQ151" s="408">
        <v>0</v>
      </c>
      <c r="DR151" s="408">
        <v>0</v>
      </c>
      <c r="DS151" s="408"/>
      <c r="DT151" s="408"/>
      <c r="DU151" s="408"/>
      <c r="DV151" s="408">
        <v>384.17168557694646</v>
      </c>
      <c r="DW151" s="408">
        <v>0</v>
      </c>
      <c r="DX151" s="408">
        <v>0</v>
      </c>
      <c r="DY151" s="408">
        <v>-276.83224999999993</v>
      </c>
      <c r="DZ151" s="234">
        <v>29.399630000000002</v>
      </c>
      <c r="EA151" s="408">
        <v>0</v>
      </c>
      <c r="EB151" s="408">
        <v>0</v>
      </c>
      <c r="EC151" s="408">
        <v>-282.25470897070659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0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242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150</v>
      </c>
      <c r="B152" s="408" t="s">
        <v>2234</v>
      </c>
      <c r="C152" s="408" t="s">
        <v>2231</v>
      </c>
      <c r="D152" s="408" t="s">
        <v>1952</v>
      </c>
      <c r="E152" s="408" t="s">
        <v>969</v>
      </c>
      <c r="F152" s="408" t="s">
        <v>969</v>
      </c>
      <c r="G152" s="408" t="s">
        <v>1322</v>
      </c>
      <c r="H152" s="408" t="s">
        <v>1322</v>
      </c>
      <c r="I152" s="408" t="s">
        <v>1322</v>
      </c>
      <c r="J152" s="408" t="s">
        <v>2232</v>
      </c>
      <c r="K152" s="828">
        <v>44470</v>
      </c>
      <c r="L152" s="408">
        <v>0</v>
      </c>
      <c r="M152" s="408">
        <v>0</v>
      </c>
      <c r="N152" s="408">
        <v>8.57</v>
      </c>
      <c r="O152" s="408">
        <v>8.57</v>
      </c>
      <c r="P152" s="408">
        <v>8.57</v>
      </c>
      <c r="Q152" s="408">
        <v>8.57</v>
      </c>
      <c r="R152" s="408"/>
      <c r="S152" s="408">
        <v>571.87</v>
      </c>
      <c r="T152" s="408">
        <v>216.76</v>
      </c>
      <c r="U152" s="408"/>
      <c r="V152" s="408">
        <v>6758.5591000000004</v>
      </c>
      <c r="W152" s="408">
        <v>6758.5591000000004</v>
      </c>
      <c r="X152" s="408">
        <v>4405.0657000000001</v>
      </c>
      <c r="Y152" s="408">
        <v>0</v>
      </c>
      <c r="Z152" s="408">
        <v>519.43298806741689</v>
      </c>
      <c r="AA152" s="408">
        <v>0</v>
      </c>
      <c r="AB152" s="408">
        <v>0</v>
      </c>
      <c r="AC152" s="408">
        <v>0</v>
      </c>
      <c r="AD152" s="408">
        <v>7.0438004047846912</v>
      </c>
      <c r="AE152" s="408">
        <v>3654.1080415032534</v>
      </c>
      <c r="AF152" s="408">
        <v>1830.5648620585605</v>
      </c>
      <c r="AG152" s="408">
        <v>27.058958591396728</v>
      </c>
      <c r="AH152" s="408">
        <v>0</v>
      </c>
      <c r="AI152" s="408">
        <v>0</v>
      </c>
      <c r="AJ152" s="408">
        <v>0</v>
      </c>
      <c r="AK152" s="408">
        <v>0</v>
      </c>
      <c r="AL152" s="408">
        <v>80.332040453942923</v>
      </c>
      <c r="AM152" s="408"/>
      <c r="AN152" s="408">
        <v>16.441284096249465</v>
      </c>
      <c r="AO152" s="408">
        <v>76.116149709811339</v>
      </c>
      <c r="AP152" s="408">
        <v>238.47829083526378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5.0997466595235128</v>
      </c>
      <c r="BE152" s="408">
        <v>0</v>
      </c>
      <c r="BF152" s="408">
        <v>0</v>
      </c>
      <c r="BG152" s="408">
        <v>303.87709508795899</v>
      </c>
      <c r="BH152" s="408">
        <v>0</v>
      </c>
      <c r="BI152" s="408">
        <v>34.909999999999997</v>
      </c>
      <c r="BJ152" s="408">
        <v>163.71</v>
      </c>
      <c r="BK152" s="408">
        <v>5843.9</v>
      </c>
      <c r="BL152" s="408">
        <v>131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2139.5417038060432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4405.0657000000001</v>
      </c>
      <c r="CJ152" s="408">
        <v>-2353.5234000000009</v>
      </c>
      <c r="CK152" s="408"/>
      <c r="CL152" s="408"/>
      <c r="CM152" s="408"/>
      <c r="CN152" s="408"/>
      <c r="CO152" s="408">
        <v>-2633.1325000000002</v>
      </c>
      <c r="CP152" s="408">
        <v>279.63909999999998</v>
      </c>
      <c r="CQ152" s="408">
        <v>31</v>
      </c>
      <c r="CR152" s="408">
        <v>331.23312110454663</v>
      </c>
      <c r="CS152" s="408">
        <v>7.8514968569361656</v>
      </c>
      <c r="CT152" s="408">
        <v>24.599399182420854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0.68870800317970815</v>
      </c>
      <c r="DA152" s="408">
        <v>0</v>
      </c>
      <c r="DB152" s="408">
        <v>0</v>
      </c>
      <c r="DC152" s="408">
        <v>279.67503849540094</v>
      </c>
      <c r="DD152" s="408">
        <v>0</v>
      </c>
      <c r="DE152" s="408">
        <v>0</v>
      </c>
      <c r="DF152" s="408">
        <v>0.77914302458266071</v>
      </c>
      <c r="DG152" s="408">
        <v>46.426564842409164</v>
      </c>
      <c r="DH152" s="408">
        <v>0</v>
      </c>
      <c r="DI152" s="408">
        <v>-24.817051476339145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-3.2551032107995042</v>
      </c>
      <c r="DP152" s="408">
        <v>-0.71507461324381261</v>
      </c>
      <c r="DQ152" s="408">
        <v>0</v>
      </c>
      <c r="DR152" s="408">
        <v>0</v>
      </c>
      <c r="DS152" s="408"/>
      <c r="DT152" s="408"/>
      <c r="DU152" s="408"/>
      <c r="DV152" s="408">
        <v>3654.1080415032534</v>
      </c>
      <c r="DW152" s="408">
        <v>0</v>
      </c>
      <c r="DX152" s="408">
        <v>0</v>
      </c>
      <c r="DY152" s="408">
        <v>-2633.1325000000002</v>
      </c>
      <c r="DZ152" s="234">
        <v>279.6391000000001</v>
      </c>
      <c r="EA152" s="408">
        <v>0</v>
      </c>
      <c r="EB152" s="408">
        <v>0</v>
      </c>
      <c r="EC152" s="408">
        <v>-2684.7090520299175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242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151</v>
      </c>
      <c r="B153" s="408" t="s">
        <v>1036</v>
      </c>
      <c r="C153" s="408" t="s">
        <v>2231</v>
      </c>
      <c r="D153" s="408" t="s">
        <v>1952</v>
      </c>
      <c r="E153" s="408" t="s">
        <v>969</v>
      </c>
      <c r="F153" s="408" t="s">
        <v>2235</v>
      </c>
      <c r="G153" s="408" t="s">
        <v>1322</v>
      </c>
      <c r="H153" s="408" t="s">
        <v>1322</v>
      </c>
      <c r="I153" s="408" t="s">
        <v>1322</v>
      </c>
      <c r="J153" s="408" t="s">
        <v>2232</v>
      </c>
      <c r="K153" s="828">
        <v>44470</v>
      </c>
      <c r="L153" s="408">
        <v>0</v>
      </c>
      <c r="M153" s="408">
        <v>0</v>
      </c>
      <c r="N153" s="408">
        <v>3.33</v>
      </c>
      <c r="O153" s="408">
        <v>3.33</v>
      </c>
      <c r="P153" s="408">
        <v>3.33</v>
      </c>
      <c r="Q153" s="408">
        <v>3.33</v>
      </c>
      <c r="R153" s="408"/>
      <c r="S153" s="408">
        <v>501.89</v>
      </c>
      <c r="T153" s="408">
        <v>216.76</v>
      </c>
      <c r="U153" s="408"/>
      <c r="V153" s="408">
        <v>2393.1044999999999</v>
      </c>
      <c r="W153" s="408">
        <v>2393.1044999999999</v>
      </c>
      <c r="X153" s="408">
        <v>1489.509</v>
      </c>
      <c r="Y153" s="408">
        <v>0</v>
      </c>
      <c r="Z153" s="408">
        <v>0</v>
      </c>
      <c r="AA153" s="408">
        <v>0</v>
      </c>
      <c r="AB153" s="408">
        <v>0</v>
      </c>
      <c r="AC153" s="408">
        <v>0</v>
      </c>
      <c r="AD153" s="408">
        <v>2.7369726193620796</v>
      </c>
      <c r="AE153" s="408">
        <v>1419.8576170601905</v>
      </c>
      <c r="AF153" s="408">
        <v>711.29299774270794</v>
      </c>
      <c r="AG153" s="408">
        <v>10.51415777238636</v>
      </c>
      <c r="AH153" s="408">
        <v>0</v>
      </c>
      <c r="AI153" s="408">
        <v>0</v>
      </c>
      <c r="AJ153" s="408">
        <v>0</v>
      </c>
      <c r="AK153" s="408">
        <v>0</v>
      </c>
      <c r="AL153" s="408">
        <v>0</v>
      </c>
      <c r="AM153" s="408"/>
      <c r="AN153" s="408">
        <v>6.3885036219965832</v>
      </c>
      <c r="AO153" s="408">
        <v>29.576053504512455</v>
      </c>
      <c r="AP153" s="408">
        <v>92.664260032838783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1.9815818408650288</v>
      </c>
      <c r="BE153" s="408">
        <v>0</v>
      </c>
      <c r="BF153" s="408">
        <v>0</v>
      </c>
      <c r="BG153" s="408">
        <v>118.07593076346598</v>
      </c>
      <c r="BH153" s="408">
        <v>0</v>
      </c>
      <c r="BI153" s="408">
        <v>3.33</v>
      </c>
      <c r="BJ153" s="408">
        <v>14.63</v>
      </c>
      <c r="BK153" s="408">
        <v>216.37</v>
      </c>
      <c r="BL153" s="408">
        <v>5</v>
      </c>
      <c r="BM153" s="408"/>
      <c r="BN153" s="408"/>
      <c r="BO153" s="408"/>
      <c r="BP153" s="408"/>
      <c r="BQ153" s="408"/>
      <c r="BR153" s="408"/>
      <c r="BS153" s="408"/>
      <c r="BT153" s="408">
        <v>968.16419999999994</v>
      </c>
      <c r="BU153" s="408"/>
      <c r="BV153" s="408">
        <v>831.35051034703895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521.34479999999996</v>
      </c>
      <c r="CJ153" s="408">
        <v>-316.28010000000006</v>
      </c>
      <c r="CK153" s="408"/>
      <c r="CL153" s="408"/>
      <c r="CM153" s="408"/>
      <c r="CN153" s="408"/>
      <c r="CO153" s="408">
        <v>-1012.2534000000001</v>
      </c>
      <c r="CP153" s="408">
        <v>108.65789999999998</v>
      </c>
      <c r="CQ153" s="408">
        <v>31</v>
      </c>
      <c r="CR153" s="408">
        <v>139.61336853982652</v>
      </c>
      <c r="CS153" s="408">
        <v>3.0508149980860502</v>
      </c>
      <c r="CT153" s="408">
        <v>9.5584596589803255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0.26760766051206852</v>
      </c>
      <c r="DA153" s="408">
        <v>0</v>
      </c>
      <c r="DB153" s="408">
        <v>0</v>
      </c>
      <c r="DC153" s="408">
        <v>108.67186443286869</v>
      </c>
      <c r="DD153" s="408">
        <v>0</v>
      </c>
      <c r="DE153" s="408">
        <v>0</v>
      </c>
      <c r="DF153" s="408">
        <v>0.30274752297085894</v>
      </c>
      <c r="DG153" s="408">
        <v>18.039727062453039</v>
      </c>
      <c r="DH153" s="408">
        <v>0</v>
      </c>
      <c r="DI153" s="408">
        <v>0</v>
      </c>
      <c r="DJ153" s="408"/>
      <c r="DK153" s="408">
        <v>0</v>
      </c>
      <c r="DL153" s="408">
        <v>0</v>
      </c>
      <c r="DM153" s="408">
        <v>0</v>
      </c>
      <c r="DN153" s="408">
        <v>0</v>
      </c>
      <c r="DO153" s="408">
        <v>0</v>
      </c>
      <c r="DP153" s="408">
        <v>-0.27785279604456203</v>
      </c>
      <c r="DQ153" s="408">
        <v>0</v>
      </c>
      <c r="DR153" s="408">
        <v>0</v>
      </c>
      <c r="DS153" s="408"/>
      <c r="DT153" s="408"/>
      <c r="DU153" s="408"/>
      <c r="DV153" s="408">
        <v>1419.8576170601905</v>
      </c>
      <c r="DW153" s="408">
        <v>0</v>
      </c>
      <c r="DX153" s="408">
        <v>0</v>
      </c>
      <c r="DY153" s="408">
        <v>-1012.2533999999999</v>
      </c>
      <c r="DZ153" s="234">
        <v>108.65790000000004</v>
      </c>
      <c r="EA153" s="408">
        <v>0</v>
      </c>
      <c r="EB153" s="408">
        <v>0</v>
      </c>
      <c r="EC153" s="408">
        <v>-1043.1833306020565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0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242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152</v>
      </c>
      <c r="B154" s="408" t="s">
        <v>1036</v>
      </c>
      <c r="C154" s="408" t="s">
        <v>2231</v>
      </c>
      <c r="D154" s="408" t="s">
        <v>1952</v>
      </c>
      <c r="E154" s="408" t="s">
        <v>969</v>
      </c>
      <c r="F154" s="408" t="s">
        <v>2236</v>
      </c>
      <c r="G154" s="408" t="s">
        <v>1322</v>
      </c>
      <c r="H154" s="408" t="s">
        <v>1322</v>
      </c>
      <c r="I154" s="408" t="s">
        <v>1322</v>
      </c>
      <c r="J154" s="408" t="s">
        <v>2232</v>
      </c>
      <c r="K154" s="828">
        <v>44470</v>
      </c>
      <c r="L154" s="408">
        <v>0</v>
      </c>
      <c r="M154" s="408">
        <v>0</v>
      </c>
      <c r="N154" s="408">
        <v>6.6159999999999997</v>
      </c>
      <c r="O154" s="408">
        <v>6.6159999999999997</v>
      </c>
      <c r="P154" s="408">
        <v>6.6159999999999997</v>
      </c>
      <c r="Q154" s="408">
        <v>6.6159999999999997</v>
      </c>
      <c r="R154" s="408"/>
      <c r="S154" s="408">
        <v>501.89</v>
      </c>
      <c r="T154" s="408">
        <v>216.76</v>
      </c>
      <c r="U154" s="408"/>
      <c r="V154" s="408">
        <v>4754.5883999999996</v>
      </c>
      <c r="W154" s="408">
        <v>4754.5883999999996</v>
      </c>
      <c r="X154" s="408">
        <v>2959.3368</v>
      </c>
      <c r="Y154" s="408">
        <v>0</v>
      </c>
      <c r="Z154" s="408">
        <v>0</v>
      </c>
      <c r="AA154" s="408">
        <v>0</v>
      </c>
      <c r="AB154" s="408">
        <v>0</v>
      </c>
      <c r="AC154" s="408">
        <v>0</v>
      </c>
      <c r="AD154" s="408">
        <v>5.4377810359458012</v>
      </c>
      <c r="AE154" s="408">
        <v>2820.9543526937596</v>
      </c>
      <c r="AF154" s="408">
        <v>1413.1875294491758</v>
      </c>
      <c r="AG154" s="408">
        <v>20.889389736368813</v>
      </c>
      <c r="AH154" s="408">
        <v>0</v>
      </c>
      <c r="AI154" s="408">
        <v>0</v>
      </c>
      <c r="AJ154" s="408">
        <v>0</v>
      </c>
      <c r="AK154" s="408">
        <v>0</v>
      </c>
      <c r="AL154" s="408">
        <v>0</v>
      </c>
      <c r="AM154" s="408"/>
      <c r="AN154" s="408">
        <v>12.692594583522339</v>
      </c>
      <c r="AO154" s="408">
        <v>58.761312308064383</v>
      </c>
      <c r="AP154" s="408">
        <v>184.10412744061901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3.9369806183672762</v>
      </c>
      <c r="BE154" s="408">
        <v>0</v>
      </c>
      <c r="BF154" s="408">
        <v>0</v>
      </c>
      <c r="BG154" s="408">
        <v>234.59169907840564</v>
      </c>
      <c r="BH154" s="408">
        <v>0</v>
      </c>
      <c r="BI154" s="408">
        <v>11.65</v>
      </c>
      <c r="BJ154" s="408">
        <v>54.44</v>
      </c>
      <c r="BK154" s="408">
        <v>816.97</v>
      </c>
      <c r="BL154" s="408">
        <v>25</v>
      </c>
      <c r="BM154" s="408"/>
      <c r="BN154" s="408"/>
      <c r="BO154" s="408"/>
      <c r="BP154" s="408"/>
      <c r="BQ154" s="408"/>
      <c r="BR154" s="408"/>
      <c r="BS154" s="408"/>
      <c r="BT154" s="408">
        <v>1183.6685599999998</v>
      </c>
      <c r="BU154" s="408"/>
      <c r="BV154" s="408">
        <v>1651.7162091459486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1776.7417999999998</v>
      </c>
      <c r="CJ154" s="408">
        <v>-1076.0412400000005</v>
      </c>
      <c r="CK154" s="408"/>
      <c r="CL154" s="408"/>
      <c r="CM154" s="408"/>
      <c r="CN154" s="408"/>
      <c r="CO154" s="408">
        <v>-2011.13168</v>
      </c>
      <c r="CP154" s="408">
        <v>215.88007999999996</v>
      </c>
      <c r="CQ154" s="408">
        <v>31</v>
      </c>
      <c r="CR154" s="408">
        <v>277.38199587372128</v>
      </c>
      <c r="CS154" s="408">
        <v>6.061318927128319</v>
      </c>
      <c r="CT154" s="408">
        <v>18.990621352496674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0.53167936394830129</v>
      </c>
      <c r="DA154" s="408">
        <v>0</v>
      </c>
      <c r="DB154" s="408">
        <v>0</v>
      </c>
      <c r="DC154" s="408">
        <v>215.90782435070832</v>
      </c>
      <c r="DD154" s="408">
        <v>0</v>
      </c>
      <c r="DE154" s="408">
        <v>0</v>
      </c>
      <c r="DF154" s="408">
        <v>0.60149477837093146</v>
      </c>
      <c r="DG154" s="408">
        <v>35.841091364921709</v>
      </c>
      <c r="DH154" s="408">
        <v>0</v>
      </c>
      <c r="DI154" s="408">
        <v>0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0</v>
      </c>
      <c r="DP154" s="408">
        <v>-0.55203426385309839</v>
      </c>
      <c r="DQ154" s="408">
        <v>0</v>
      </c>
      <c r="DR154" s="408">
        <v>0</v>
      </c>
      <c r="DS154" s="408"/>
      <c r="DT154" s="408"/>
      <c r="DU154" s="408"/>
      <c r="DV154" s="408">
        <v>2820.9543526937596</v>
      </c>
      <c r="DW154" s="408">
        <v>0</v>
      </c>
      <c r="DX154" s="408">
        <v>0</v>
      </c>
      <c r="DY154" s="408">
        <v>-2011.1316799999997</v>
      </c>
      <c r="DZ154" s="234">
        <v>215.88007999999991</v>
      </c>
      <c r="EA154" s="408">
        <v>0</v>
      </c>
      <c r="EB154" s="408">
        <v>0</v>
      </c>
      <c r="EC154" s="408">
        <v>-2072.5828574363977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242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153</v>
      </c>
      <c r="B155" s="408" t="s">
        <v>1036</v>
      </c>
      <c r="C155" s="408" t="s">
        <v>2231</v>
      </c>
      <c r="D155" s="408" t="s">
        <v>1952</v>
      </c>
      <c r="E155" s="408" t="s">
        <v>969</v>
      </c>
      <c r="F155" s="408" t="s">
        <v>2237</v>
      </c>
      <c r="G155" s="408" t="s">
        <v>1322</v>
      </c>
      <c r="H155" s="408" t="s">
        <v>1322</v>
      </c>
      <c r="I155" s="408" t="s">
        <v>1322</v>
      </c>
      <c r="J155" s="408" t="s">
        <v>2232</v>
      </c>
      <c r="K155" s="828">
        <v>44470</v>
      </c>
      <c r="L155" s="408">
        <v>0</v>
      </c>
      <c r="M155" s="408">
        <v>0</v>
      </c>
      <c r="N155" s="408">
        <v>5.6660000000000004</v>
      </c>
      <c r="O155" s="408">
        <v>5.6660000000000004</v>
      </c>
      <c r="P155" s="408">
        <v>5.6660000000000004</v>
      </c>
      <c r="Q155" s="408">
        <v>5.6660000000000004</v>
      </c>
      <c r="R155" s="408"/>
      <c r="S155" s="408">
        <v>501.89</v>
      </c>
      <c r="T155" s="408">
        <v>216.76</v>
      </c>
      <c r="U155" s="408"/>
      <c r="V155" s="408">
        <v>4071.8708999999999</v>
      </c>
      <c r="W155" s="408">
        <v>4071.8708999999999</v>
      </c>
      <c r="X155" s="408">
        <v>2534.4018000000001</v>
      </c>
      <c r="Y155" s="408">
        <v>0</v>
      </c>
      <c r="Z155" s="408">
        <v>0</v>
      </c>
      <c r="AA155" s="408">
        <v>0</v>
      </c>
      <c r="AB155" s="408">
        <v>0</v>
      </c>
      <c r="AC155" s="408">
        <v>0</v>
      </c>
      <c r="AD155" s="408">
        <v>4.6569630214130759</v>
      </c>
      <c r="AE155" s="408">
        <v>2415.8898673462581</v>
      </c>
      <c r="AF155" s="408">
        <v>1210.2661036667216</v>
      </c>
      <c r="AG155" s="408">
        <v>17.889855236739074</v>
      </c>
      <c r="AH155" s="408">
        <v>0</v>
      </c>
      <c r="AI155" s="408">
        <v>0</v>
      </c>
      <c r="AJ155" s="408">
        <v>0</v>
      </c>
      <c r="AK155" s="408">
        <v>0</v>
      </c>
      <c r="AL155" s="408">
        <v>0</v>
      </c>
      <c r="AM155" s="408"/>
      <c r="AN155" s="408">
        <v>10.870048505174967</v>
      </c>
      <c r="AO155" s="408">
        <v>50.32369944641669</v>
      </c>
      <c r="AP155" s="408">
        <v>157.66837758140076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3.371664477579956</v>
      </c>
      <c r="BE155" s="408">
        <v>0</v>
      </c>
      <c r="BF155" s="408">
        <v>0</v>
      </c>
      <c r="BG155" s="408">
        <v>200.90637348522469</v>
      </c>
      <c r="BH155" s="408">
        <v>0</v>
      </c>
      <c r="BI155" s="408">
        <v>17.79</v>
      </c>
      <c r="BJ155" s="408">
        <v>83.62</v>
      </c>
      <c r="BK155" s="408">
        <v>1269.93</v>
      </c>
      <c r="BL155" s="408">
        <v>61</v>
      </c>
      <c r="BM155" s="408"/>
      <c r="BN155" s="408"/>
      <c r="BO155" s="408"/>
      <c r="BP155" s="408"/>
      <c r="BQ155" s="408"/>
      <c r="BR155" s="408"/>
      <c r="BS155" s="408"/>
      <c r="BT155" s="408">
        <v>253.44017999999994</v>
      </c>
      <c r="BU155" s="408"/>
      <c r="BV155" s="408">
        <v>1414.5441416295264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2282.5718999999999</v>
      </c>
      <c r="CJ155" s="408">
        <v>-1382.1135800000011</v>
      </c>
      <c r="CK155" s="408"/>
      <c r="CL155" s="408"/>
      <c r="CM155" s="408"/>
      <c r="CN155" s="408"/>
      <c r="CO155" s="408">
        <v>-1722.3506800000002</v>
      </c>
      <c r="CP155" s="408">
        <v>184.88157999999999</v>
      </c>
      <c r="CQ155" s="408">
        <v>31</v>
      </c>
      <c r="CR155" s="408">
        <v>237.55235620019721</v>
      </c>
      <c r="CS155" s="408">
        <v>5.1909663000467106</v>
      </c>
      <c r="CT155" s="408">
        <v>16.263733461796562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0.45533483617458881</v>
      </c>
      <c r="DA155" s="408">
        <v>0</v>
      </c>
      <c r="DB155" s="408">
        <v>0</v>
      </c>
      <c r="DC155" s="408">
        <v>184.90534050349379</v>
      </c>
      <c r="DD155" s="408">
        <v>0</v>
      </c>
      <c r="DE155" s="408">
        <v>0</v>
      </c>
      <c r="DF155" s="408">
        <v>0.51512536491077698</v>
      </c>
      <c r="DG155" s="408">
        <v>30.694622683441111</v>
      </c>
      <c r="DH155" s="408">
        <v>0</v>
      </c>
      <c r="DI155" s="408">
        <v>0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0</v>
      </c>
      <c r="DP155" s="408">
        <v>-0.47276694966621235</v>
      </c>
      <c r="DQ155" s="408">
        <v>0</v>
      </c>
      <c r="DR155" s="408">
        <v>0</v>
      </c>
      <c r="DS155" s="408"/>
      <c r="DT155" s="408"/>
      <c r="DU155" s="408"/>
      <c r="DV155" s="408">
        <v>2415.8898673462581</v>
      </c>
      <c r="DW155" s="408">
        <v>0</v>
      </c>
      <c r="DX155" s="408">
        <v>0</v>
      </c>
      <c r="DY155" s="408">
        <v>-1722.35068</v>
      </c>
      <c r="DZ155" s="234">
        <v>184.88157999999999</v>
      </c>
      <c r="EA155" s="408">
        <v>0</v>
      </c>
      <c r="EB155" s="408">
        <v>0</v>
      </c>
      <c r="EC155" s="408">
        <v>-1774.9780033607362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242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154</v>
      </c>
      <c r="B156" s="408" t="s">
        <v>1036</v>
      </c>
      <c r="C156" s="408" t="s">
        <v>2231</v>
      </c>
      <c r="D156" s="408" t="s">
        <v>1952</v>
      </c>
      <c r="E156" s="408" t="s">
        <v>969</v>
      </c>
      <c r="F156" s="408" t="s">
        <v>2238</v>
      </c>
      <c r="G156" s="408" t="s">
        <v>1322</v>
      </c>
      <c r="H156" s="408" t="s">
        <v>1322</v>
      </c>
      <c r="I156" s="408" t="s">
        <v>1322</v>
      </c>
      <c r="J156" s="408" t="s">
        <v>2232</v>
      </c>
      <c r="K156" s="828">
        <v>44470</v>
      </c>
      <c r="L156" s="408">
        <v>0</v>
      </c>
      <c r="M156" s="408">
        <v>0</v>
      </c>
      <c r="N156" s="408">
        <v>1.9850000000000001</v>
      </c>
      <c r="O156" s="408">
        <v>1.9850000000000001</v>
      </c>
      <c r="P156" s="408">
        <v>1.9850000000000001</v>
      </c>
      <c r="Q156" s="408">
        <v>1.9850000000000001</v>
      </c>
      <c r="R156" s="408"/>
      <c r="S156" s="408">
        <v>501.89</v>
      </c>
      <c r="T156" s="408">
        <v>216.76</v>
      </c>
      <c r="U156" s="408"/>
      <c r="V156" s="408">
        <v>1426.52025</v>
      </c>
      <c r="W156" s="408">
        <v>1426.52025</v>
      </c>
      <c r="X156" s="408">
        <v>887.89049999999997</v>
      </c>
      <c r="Y156" s="408">
        <v>0</v>
      </c>
      <c r="Z156" s="408">
        <v>0</v>
      </c>
      <c r="AA156" s="408">
        <v>0</v>
      </c>
      <c r="AB156" s="408">
        <v>0</v>
      </c>
      <c r="AC156" s="408">
        <v>0</v>
      </c>
      <c r="AD156" s="408">
        <v>1.631498693523642</v>
      </c>
      <c r="AE156" s="408">
        <v>846.37158254188535</v>
      </c>
      <c r="AF156" s="408">
        <v>423.99897913491748</v>
      </c>
      <c r="AG156" s="408">
        <v>6.2674484018579353</v>
      </c>
      <c r="AH156" s="408">
        <v>0</v>
      </c>
      <c r="AI156" s="408">
        <v>0</v>
      </c>
      <c r="AJ156" s="408">
        <v>0</v>
      </c>
      <c r="AK156" s="408">
        <v>0</v>
      </c>
      <c r="AL156" s="408">
        <v>0</v>
      </c>
      <c r="AM156" s="408"/>
      <c r="AN156" s="408">
        <v>3.808162068967933</v>
      </c>
      <c r="AO156" s="408">
        <v>17.630170031969136</v>
      </c>
      <c r="AP156" s="408">
        <v>55.236803653208703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1.1812131994345592</v>
      </c>
      <c r="BE156" s="408">
        <v>0</v>
      </c>
      <c r="BF156" s="408">
        <v>0</v>
      </c>
      <c r="BG156" s="408">
        <v>70.384601371015009</v>
      </c>
      <c r="BH156" s="408">
        <v>0</v>
      </c>
      <c r="BI156" s="408">
        <v>8.69</v>
      </c>
      <c r="BJ156" s="408">
        <v>40.340000000000003</v>
      </c>
      <c r="BK156" s="408">
        <v>612.64</v>
      </c>
      <c r="BL156" s="408">
        <v>20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>
        <v>495.56479370536704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890.12699999999995</v>
      </c>
      <c r="CJ156" s="408">
        <v>-536.42325000000005</v>
      </c>
      <c r="CK156" s="408"/>
      <c r="CL156" s="408"/>
      <c r="CM156" s="408"/>
      <c r="CN156" s="408"/>
      <c r="CO156" s="408">
        <v>-603.40030000000002</v>
      </c>
      <c r="CP156" s="408">
        <v>64.77055</v>
      </c>
      <c r="CQ156" s="408">
        <v>31</v>
      </c>
      <c r="CR156" s="408">
        <v>83.222983949415948</v>
      </c>
      <c r="CS156" s="408">
        <v>1.8185789102705137</v>
      </c>
      <c r="CT156" s="408">
        <v>5.6977604874101999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0.15951988171665366</v>
      </c>
      <c r="DA156" s="408">
        <v>0</v>
      </c>
      <c r="DB156" s="408">
        <v>0</v>
      </c>
      <c r="DC156" s="408">
        <v>64.778874143917221</v>
      </c>
      <c r="DD156" s="408">
        <v>0</v>
      </c>
      <c r="DE156" s="408">
        <v>0</v>
      </c>
      <c r="DF156" s="408">
        <v>0.18046661654569229</v>
      </c>
      <c r="DG156" s="408">
        <v>10.753410876567344</v>
      </c>
      <c r="DH156" s="408">
        <v>0</v>
      </c>
      <c r="DI156" s="408">
        <v>0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0</v>
      </c>
      <c r="DP156" s="408">
        <v>-0.16562696701154778</v>
      </c>
      <c r="DQ156" s="408">
        <v>0</v>
      </c>
      <c r="DR156" s="408">
        <v>0</v>
      </c>
      <c r="DS156" s="408"/>
      <c r="DT156" s="408"/>
      <c r="DU156" s="408"/>
      <c r="DV156" s="408">
        <v>846.37158254188535</v>
      </c>
      <c r="DW156" s="408">
        <v>0</v>
      </c>
      <c r="DX156" s="408">
        <v>0</v>
      </c>
      <c r="DY156" s="408">
        <v>-603.40030000000002</v>
      </c>
      <c r="DZ156" s="234">
        <v>64.770550000000014</v>
      </c>
      <c r="EA156" s="408">
        <v>0</v>
      </c>
      <c r="EB156" s="408">
        <v>0</v>
      </c>
      <c r="EC156" s="408">
        <v>-621.83751088440908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242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155</v>
      </c>
      <c r="B157" s="408" t="s">
        <v>1036</v>
      </c>
      <c r="C157" s="408" t="s">
        <v>2231</v>
      </c>
      <c r="D157" s="408" t="s">
        <v>1955</v>
      </c>
      <c r="E157" s="408" t="s">
        <v>970</v>
      </c>
      <c r="F157" s="408" t="s">
        <v>1322</v>
      </c>
      <c r="G157" s="408" t="s">
        <v>1322</v>
      </c>
      <c r="H157" s="408" t="s">
        <v>1322</v>
      </c>
      <c r="I157" s="408" t="s">
        <v>1322</v>
      </c>
      <c r="J157" s="408" t="s">
        <v>2232</v>
      </c>
      <c r="K157" s="828">
        <v>44470</v>
      </c>
      <c r="L157" s="408">
        <v>0</v>
      </c>
      <c r="M157" s="408">
        <v>0</v>
      </c>
      <c r="N157" s="408">
        <v>31.817</v>
      </c>
      <c r="O157" s="408">
        <v>31.817</v>
      </c>
      <c r="P157" s="408">
        <v>31.817</v>
      </c>
      <c r="Q157" s="408">
        <v>31.817</v>
      </c>
      <c r="R157" s="408"/>
      <c r="S157" s="408">
        <v>571.87</v>
      </c>
      <c r="T157" s="408">
        <v>216.76</v>
      </c>
      <c r="U157" s="408"/>
      <c r="V157" s="408">
        <v>25091.84071</v>
      </c>
      <c r="W157" s="408">
        <v>25091.84071</v>
      </c>
      <c r="X157" s="408">
        <v>16354.256170000001</v>
      </c>
      <c r="Y157" s="408">
        <v>0</v>
      </c>
      <c r="Z157" s="408">
        <v>1928.4480024901984</v>
      </c>
      <c r="AA157" s="408">
        <v>0</v>
      </c>
      <c r="AB157" s="408">
        <v>0</v>
      </c>
      <c r="AC157" s="408">
        <v>0</v>
      </c>
      <c r="AD157" s="408">
        <v>26.150828177250236</v>
      </c>
      <c r="AE157" s="408">
        <v>13566.249189791015</v>
      </c>
      <c r="AF157" s="408">
        <v>6796.1589517056264</v>
      </c>
      <c r="AG157" s="408">
        <v>100.45914649970474</v>
      </c>
      <c r="AH157" s="408">
        <v>0</v>
      </c>
      <c r="AI157" s="408">
        <v>0</v>
      </c>
      <c r="AJ157" s="408">
        <v>0</v>
      </c>
      <c r="AK157" s="408">
        <v>0</v>
      </c>
      <c r="AL157" s="408">
        <v>298.24090211471434</v>
      </c>
      <c r="AM157" s="408"/>
      <c r="AN157" s="408">
        <v>61.039945868187772</v>
      </c>
      <c r="AO157" s="408">
        <v>282.58897728320505</v>
      </c>
      <c r="AP157" s="408">
        <v>885.37500344289231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18.933330159400185</v>
      </c>
      <c r="BE157" s="408">
        <v>0</v>
      </c>
      <c r="BF157" s="408">
        <v>0</v>
      </c>
      <c r="BG157" s="408">
        <v>1128.1747414718309</v>
      </c>
      <c r="BH157" s="408">
        <v>0</v>
      </c>
      <c r="BI157" s="408">
        <v>131.36000000000001</v>
      </c>
      <c r="BJ157" s="408">
        <v>604.16999999999996</v>
      </c>
      <c r="BK157" s="408">
        <v>4583.2700000000004</v>
      </c>
      <c r="BL157" s="408">
        <v>25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7943.2670233368581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16355.798199999999</v>
      </c>
      <c r="CJ157" s="408">
        <v>-8736.0725099999963</v>
      </c>
      <c r="CK157" s="408"/>
      <c r="CL157" s="408"/>
      <c r="CM157" s="408"/>
      <c r="CN157" s="408"/>
      <c r="CO157" s="408">
        <v>-9775.7732500000002</v>
      </c>
      <c r="CP157" s="408">
        <v>1038.1887099999999</v>
      </c>
      <c r="CQ157" s="408">
        <v>31</v>
      </c>
      <c r="CR157" s="408">
        <v>1229.7367811182503</v>
      </c>
      <c r="CS157" s="408">
        <v>29.149483721953061</v>
      </c>
      <c r="CT157" s="408">
        <v>91.327781072005223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2.5568987791328759</v>
      </c>
      <c r="DA157" s="408">
        <v>0</v>
      </c>
      <c r="DB157" s="408">
        <v>0</v>
      </c>
      <c r="DC157" s="408">
        <v>1038.3221353335093</v>
      </c>
      <c r="DD157" s="408">
        <v>0</v>
      </c>
      <c r="DE157" s="408">
        <v>0</v>
      </c>
      <c r="DF157" s="408">
        <v>2.8926480295386838</v>
      </c>
      <c r="DG157" s="408">
        <v>172.36336214596645</v>
      </c>
      <c r="DH157" s="408">
        <v>0</v>
      </c>
      <c r="DI157" s="408">
        <v>-92.135837435552048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-12.084903017270449</v>
      </c>
      <c r="DP157" s="408">
        <v>-2.654787511035984</v>
      </c>
      <c r="DQ157" s="408">
        <v>0</v>
      </c>
      <c r="DR157" s="408">
        <v>0</v>
      </c>
      <c r="DS157" s="408"/>
      <c r="DT157" s="408"/>
      <c r="DU157" s="408"/>
      <c r="DV157" s="408">
        <v>13566.249189791015</v>
      </c>
      <c r="DW157" s="408">
        <v>0</v>
      </c>
      <c r="DX157" s="408">
        <v>0</v>
      </c>
      <c r="DY157" s="408">
        <v>-9775.7732500000002</v>
      </c>
      <c r="DZ157" s="234">
        <v>1038.1887100000004</v>
      </c>
      <c r="EA157" s="408">
        <v>0</v>
      </c>
      <c r="EB157" s="408">
        <v>0</v>
      </c>
      <c r="EC157" s="408">
        <v>-9967.2564653950831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242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156</v>
      </c>
      <c r="B158" s="408" t="s">
        <v>2234</v>
      </c>
      <c r="C158" s="408" t="s">
        <v>2231</v>
      </c>
      <c r="D158" s="408" t="s">
        <v>1955</v>
      </c>
      <c r="E158" s="408" t="s">
        <v>970</v>
      </c>
      <c r="F158" s="408" t="s">
        <v>1322</v>
      </c>
      <c r="G158" s="408" t="s">
        <v>1322</v>
      </c>
      <c r="H158" s="408" t="s">
        <v>1322</v>
      </c>
      <c r="I158" s="408" t="s">
        <v>1322</v>
      </c>
      <c r="J158" s="408" t="s">
        <v>2232</v>
      </c>
      <c r="K158" s="828">
        <v>44470</v>
      </c>
      <c r="L158" s="408">
        <v>0</v>
      </c>
      <c r="M158" s="408">
        <v>0</v>
      </c>
      <c r="N158" s="408">
        <v>1.927</v>
      </c>
      <c r="O158" s="408">
        <v>1.927</v>
      </c>
      <c r="P158" s="408">
        <v>1.927</v>
      </c>
      <c r="Q158" s="408">
        <v>1.927</v>
      </c>
      <c r="R158" s="408"/>
      <c r="S158" s="408">
        <v>571.87</v>
      </c>
      <c r="T158" s="408">
        <v>216.76</v>
      </c>
      <c r="U158" s="408"/>
      <c r="V158" s="408">
        <v>1519.69001</v>
      </c>
      <c r="W158" s="408">
        <v>1519.69001</v>
      </c>
      <c r="X158" s="408">
        <v>990.49727000000007</v>
      </c>
      <c r="Y158" s="408">
        <v>0</v>
      </c>
      <c r="Z158" s="408">
        <v>116.79665904386374</v>
      </c>
      <c r="AA158" s="408">
        <v>0</v>
      </c>
      <c r="AB158" s="408">
        <v>0</v>
      </c>
      <c r="AC158" s="408">
        <v>0</v>
      </c>
      <c r="AD158" s="408">
        <v>1.5838276989521705</v>
      </c>
      <c r="AE158" s="408">
        <v>821.64132975224845</v>
      </c>
      <c r="AF158" s="408">
        <v>411.6100920871466</v>
      </c>
      <c r="AG158" s="408">
        <v>6.0843189271436984</v>
      </c>
      <c r="AH158" s="408">
        <v>0</v>
      </c>
      <c r="AI158" s="408">
        <v>0</v>
      </c>
      <c r="AJ158" s="408">
        <v>0</v>
      </c>
      <c r="AK158" s="408">
        <v>0</v>
      </c>
      <c r="AL158" s="408">
        <v>18.062992060063944</v>
      </c>
      <c r="AM158" s="408"/>
      <c r="AN158" s="408">
        <v>3.6968908347109353</v>
      </c>
      <c r="AO158" s="408">
        <v>17.115031562521171</v>
      </c>
      <c r="AP158" s="408">
        <v>53.622831556540639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1.1466991613654385</v>
      </c>
      <c r="BE158" s="408">
        <v>0</v>
      </c>
      <c r="BF158" s="408">
        <v>0</v>
      </c>
      <c r="BG158" s="408">
        <v>68.328023597957639</v>
      </c>
      <c r="BH158" s="408">
        <v>0</v>
      </c>
      <c r="BI158" s="408">
        <v>7.63</v>
      </c>
      <c r="BJ158" s="408">
        <v>35.24</v>
      </c>
      <c r="BK158" s="408">
        <v>925.47</v>
      </c>
      <c r="BL158" s="408">
        <v>4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>
        <v>481.08481484646973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992.03929999999991</v>
      </c>
      <c r="CJ158" s="408">
        <v>-527.68071000000009</v>
      </c>
      <c r="CK158" s="408"/>
      <c r="CL158" s="408"/>
      <c r="CM158" s="408"/>
      <c r="CN158" s="408"/>
      <c r="CO158" s="408">
        <v>-592.07074999999998</v>
      </c>
      <c r="CP158" s="408">
        <v>62.878009999999996</v>
      </c>
      <c r="CQ158" s="408">
        <v>31</v>
      </c>
      <c r="CR158" s="408">
        <v>74.479139366215009</v>
      </c>
      <c r="CS158" s="408">
        <v>1.7654415919855317</v>
      </c>
      <c r="CT158" s="408">
        <v>5.5312768056621948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0.15485884738941613</v>
      </c>
      <c r="DA158" s="408">
        <v>0</v>
      </c>
      <c r="DB158" s="408">
        <v>0</v>
      </c>
      <c r="DC158" s="408">
        <v>62.886090919560957</v>
      </c>
      <c r="DD158" s="408">
        <v>0</v>
      </c>
      <c r="DE158" s="408">
        <v>0</v>
      </c>
      <c r="DF158" s="408">
        <v>0.17519353656601977</v>
      </c>
      <c r="DG158" s="408">
        <v>10.439205420224326</v>
      </c>
      <c r="DH158" s="408">
        <v>0</v>
      </c>
      <c r="DI158" s="408">
        <v>-5.5802168255432321</v>
      </c>
      <c r="DJ158" s="408"/>
      <c r="DK158" s="408">
        <v>0</v>
      </c>
      <c r="DL158" s="408">
        <v>0</v>
      </c>
      <c r="DM158" s="408">
        <v>0</v>
      </c>
      <c r="DN158" s="408">
        <v>0</v>
      </c>
      <c r="DO158" s="408">
        <v>-0.73192344074803017</v>
      </c>
      <c r="DP158" s="408">
        <v>-0.16078748888224315</v>
      </c>
      <c r="DQ158" s="408">
        <v>0</v>
      </c>
      <c r="DR158" s="408">
        <v>0</v>
      </c>
      <c r="DS158" s="408"/>
      <c r="DT158" s="408"/>
      <c r="DU158" s="408"/>
      <c r="DV158" s="408">
        <v>821.64132975224845</v>
      </c>
      <c r="DW158" s="408">
        <v>0</v>
      </c>
      <c r="DX158" s="408">
        <v>0</v>
      </c>
      <c r="DY158" s="408">
        <v>-592.07075000000009</v>
      </c>
      <c r="DZ158" s="234">
        <v>62.878009999999961</v>
      </c>
      <c r="EA158" s="408">
        <v>0</v>
      </c>
      <c r="EB158" s="408">
        <v>0</v>
      </c>
      <c r="EC158" s="408">
        <v>-603.66795137242138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0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242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157</v>
      </c>
      <c r="B159" s="408" t="s">
        <v>1036</v>
      </c>
      <c r="C159" s="408" t="s">
        <v>2239</v>
      </c>
      <c r="D159" s="408" t="s">
        <v>597</v>
      </c>
      <c r="E159" s="408" t="s">
        <v>970</v>
      </c>
      <c r="F159" s="408" t="s">
        <v>1322</v>
      </c>
      <c r="G159" s="408" t="s">
        <v>1322</v>
      </c>
      <c r="H159" s="408" t="s">
        <v>1322</v>
      </c>
      <c r="I159" s="408" t="s">
        <v>973</v>
      </c>
      <c r="J159" s="408" t="s">
        <v>2232</v>
      </c>
      <c r="K159" s="828">
        <v>44470</v>
      </c>
      <c r="L159" s="408">
        <v>0</v>
      </c>
      <c r="M159" s="408">
        <v>0</v>
      </c>
      <c r="N159" s="408">
        <v>7.923</v>
      </c>
      <c r="O159" s="408">
        <v>7.923</v>
      </c>
      <c r="P159" s="408">
        <v>7.923</v>
      </c>
      <c r="Q159" s="408">
        <v>7.923</v>
      </c>
      <c r="R159" s="408"/>
      <c r="S159" s="408">
        <v>2592.54</v>
      </c>
      <c r="T159" s="408">
        <v>216.76</v>
      </c>
      <c r="U159" s="408"/>
      <c r="V159" s="408">
        <v>22258.083900000001</v>
      </c>
      <c r="W159" s="408">
        <v>22258.083900000001</v>
      </c>
      <c r="X159" s="408">
        <v>9358.6476000000002</v>
      </c>
      <c r="Y159" s="408">
        <v>0</v>
      </c>
      <c r="Z159" s="408">
        <v>417.78958939073345</v>
      </c>
      <c r="AA159" s="408">
        <v>0</v>
      </c>
      <c r="AB159" s="408">
        <v>0</v>
      </c>
      <c r="AC159" s="408">
        <v>0</v>
      </c>
      <c r="AD159" s="408">
        <v>40.063720745589549</v>
      </c>
      <c r="AE159" s="408">
        <v>18150.733389470774</v>
      </c>
      <c r="AF159" s="408">
        <v>1692.364691025668</v>
      </c>
      <c r="AG159" s="408">
        <v>25.01611772691205</v>
      </c>
      <c r="AH159" s="408">
        <v>0</v>
      </c>
      <c r="AI159" s="408">
        <v>0</v>
      </c>
      <c r="AJ159" s="408">
        <v>0</v>
      </c>
      <c r="AK159" s="408">
        <v>0</v>
      </c>
      <c r="AL159" s="408">
        <v>74.267299476848279</v>
      </c>
      <c r="AM159" s="408"/>
      <c r="AN159" s="408">
        <v>10.880039462880989</v>
      </c>
      <c r="AO159" s="408">
        <v>357.44512721801669</v>
      </c>
      <c r="AP159" s="408">
        <v>1356.423532143152</v>
      </c>
      <c r="AQ159" s="408">
        <v>0</v>
      </c>
      <c r="AR159" s="408">
        <v>0</v>
      </c>
      <c r="AS159" s="408">
        <v>0</v>
      </c>
      <c r="AT159" s="408">
        <v>0</v>
      </c>
      <c r="AU159" s="408">
        <v>0</v>
      </c>
      <c r="AV159" s="408">
        <v>0</v>
      </c>
      <c r="AW159" s="408">
        <v>0</v>
      </c>
      <c r="AX159" s="408">
        <v>0</v>
      </c>
      <c r="AY159" s="408">
        <v>0</v>
      </c>
      <c r="AZ159" s="408">
        <v>0</v>
      </c>
      <c r="BA159" s="408"/>
      <c r="BB159" s="408">
        <v>0</v>
      </c>
      <c r="BC159" s="408">
        <v>0</v>
      </c>
      <c r="BD159" s="408">
        <v>3.6231775878586165</v>
      </c>
      <c r="BE159" s="408">
        <v>0</v>
      </c>
      <c r="BF159" s="408">
        <v>0</v>
      </c>
      <c r="BG159" s="408">
        <v>129.43137054075677</v>
      </c>
      <c r="BH159" s="408">
        <v>0</v>
      </c>
      <c r="BI159" s="408">
        <v>0</v>
      </c>
      <c r="BJ159" s="408">
        <v>0</v>
      </c>
      <c r="BK159" s="408">
        <v>0</v>
      </c>
      <c r="BL159" s="408">
        <v>0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>
        <v>1825.4192391542833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9355.1039999999994</v>
      </c>
      <c r="CJ159" s="408">
        <v>-12903.009899999997</v>
      </c>
      <c r="CK159" s="408"/>
      <c r="CL159" s="408"/>
      <c r="CM159" s="408"/>
      <c r="CN159" s="408"/>
      <c r="CO159" s="408">
        <v>-13157.96379</v>
      </c>
      <c r="CP159" s="408">
        <v>258.52748999999994</v>
      </c>
      <c r="CQ159" s="408">
        <v>31</v>
      </c>
      <c r="CR159" s="408">
        <v>436.15091096071683</v>
      </c>
      <c r="CS159" s="408">
        <v>36.87100968163702</v>
      </c>
      <c r="CT159" s="408">
        <v>139.91715476804848</v>
      </c>
      <c r="CU159" s="408">
        <v>0</v>
      </c>
      <c r="CV159" s="408">
        <v>0</v>
      </c>
      <c r="CW159" s="408">
        <v>0</v>
      </c>
      <c r="CX159" s="408">
        <v>0</v>
      </c>
      <c r="CY159" s="408">
        <v>0</v>
      </c>
      <c r="CZ159" s="408">
        <v>3.91723267682341</v>
      </c>
      <c r="DA159" s="408">
        <v>0</v>
      </c>
      <c r="DB159" s="408">
        <v>0</v>
      </c>
      <c r="DC159" s="408">
        <v>258.56071528577149</v>
      </c>
      <c r="DD159" s="408">
        <v>0</v>
      </c>
      <c r="DE159" s="408">
        <v>0</v>
      </c>
      <c r="DF159" s="408">
        <v>0.55355172185515</v>
      </c>
      <c r="DG159" s="408">
        <v>19.774619456964956</v>
      </c>
      <c r="DH159" s="408">
        <v>0</v>
      </c>
      <c r="DI159" s="408">
        <v>-19.960814935462849</v>
      </c>
      <c r="DJ159" s="408"/>
      <c r="DK159" s="408">
        <v>0</v>
      </c>
      <c r="DL159" s="408">
        <v>0</v>
      </c>
      <c r="DM159" s="408">
        <v>0</v>
      </c>
      <c r="DN159" s="408">
        <v>0</v>
      </c>
      <c r="DO159" s="408">
        <v>-3.0093562122712285</v>
      </c>
      <c r="DP159" s="408">
        <v>-0.47320148264890172</v>
      </c>
      <c r="DQ159" s="408">
        <v>0</v>
      </c>
      <c r="DR159" s="408">
        <v>0</v>
      </c>
      <c r="DS159" s="408"/>
      <c r="DT159" s="408"/>
      <c r="DU159" s="408"/>
      <c r="DV159" s="408">
        <v>18150.733389470774</v>
      </c>
      <c r="DW159" s="408">
        <v>0</v>
      </c>
      <c r="DX159" s="408">
        <v>0</v>
      </c>
      <c r="DY159" s="408">
        <v>-13157.96379</v>
      </c>
      <c r="DZ159" s="234">
        <v>258.52748999999994</v>
      </c>
      <c r="EA159" s="408">
        <v>0</v>
      </c>
      <c r="EB159" s="408">
        <v>0</v>
      </c>
      <c r="EC159" s="408">
        <v>-13335.522014736925</v>
      </c>
      <c r="ED159" s="408">
        <v>0</v>
      </c>
      <c r="EE159" s="408">
        <v>0</v>
      </c>
      <c r="EF159" s="408">
        <v>0</v>
      </c>
      <c r="EG159" s="408">
        <v>0</v>
      </c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>
        <v>0</v>
      </c>
      <c r="EN159" s="408">
        <v>0</v>
      </c>
      <c r="EO159" s="408">
        <v>0</v>
      </c>
      <c r="EP159" s="408">
        <v>0</v>
      </c>
      <c r="EQ159" s="408">
        <v>0</v>
      </c>
      <c r="ER159" s="408">
        <v>0</v>
      </c>
      <c r="ES159" s="408">
        <v>0</v>
      </c>
      <c r="ET159" s="408">
        <v>0</v>
      </c>
      <c r="EU159" s="408">
        <v>0</v>
      </c>
      <c r="EV159" s="408">
        <v>242</v>
      </c>
      <c r="EW159" s="408">
        <v>0</v>
      </c>
      <c r="EX159" s="408">
        <v>0</v>
      </c>
      <c r="EY159" s="408">
        <v>0</v>
      </c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158</v>
      </c>
      <c r="B160" s="408" t="s">
        <v>1036</v>
      </c>
      <c r="C160" s="408" t="s">
        <v>2239</v>
      </c>
      <c r="D160" s="408" t="s">
        <v>597</v>
      </c>
      <c r="E160" s="408" t="s">
        <v>970</v>
      </c>
      <c r="F160" s="408" t="s">
        <v>1322</v>
      </c>
      <c r="G160" s="408" t="s">
        <v>1322</v>
      </c>
      <c r="H160" s="408" t="s">
        <v>1322</v>
      </c>
      <c r="I160" s="408" t="s">
        <v>2240</v>
      </c>
      <c r="J160" s="408" t="s">
        <v>2232</v>
      </c>
      <c r="K160" s="828">
        <v>44470</v>
      </c>
      <c r="L160" s="408">
        <v>0</v>
      </c>
      <c r="M160" s="408">
        <v>0</v>
      </c>
      <c r="N160" s="408">
        <v>126.675</v>
      </c>
      <c r="O160" s="408">
        <v>126.675</v>
      </c>
      <c r="P160" s="408">
        <v>126.675</v>
      </c>
      <c r="Q160" s="408">
        <v>126.675</v>
      </c>
      <c r="R160" s="408"/>
      <c r="S160" s="408">
        <v>80.27</v>
      </c>
      <c r="T160" s="408">
        <v>216.76</v>
      </c>
      <c r="U160" s="408"/>
      <c r="V160" s="408">
        <v>37626.275249999992</v>
      </c>
      <c r="W160" s="408">
        <v>37626.275249999992</v>
      </c>
      <c r="X160" s="408">
        <v>41710.277249999999</v>
      </c>
      <c r="Y160" s="408">
        <v>0</v>
      </c>
      <c r="Z160" s="408">
        <v>6679.7294252267011</v>
      </c>
      <c r="AA160" s="408">
        <v>0</v>
      </c>
      <c r="AB160" s="408">
        <v>0</v>
      </c>
      <c r="AC160" s="408">
        <v>0</v>
      </c>
      <c r="AD160" s="408">
        <v>0</v>
      </c>
      <c r="AE160" s="408">
        <v>0</v>
      </c>
      <c r="AF160" s="408">
        <v>27057.970116834091</v>
      </c>
      <c r="AG160" s="408">
        <v>399.96424499010271</v>
      </c>
      <c r="AH160" s="408">
        <v>0</v>
      </c>
      <c r="AI160" s="408">
        <v>0</v>
      </c>
      <c r="AJ160" s="408">
        <v>0</v>
      </c>
      <c r="AK160" s="408">
        <v>0</v>
      </c>
      <c r="AL160" s="408">
        <v>1187.4050436993255</v>
      </c>
      <c r="AM160" s="408"/>
      <c r="AN160" s="408">
        <v>173.95292174182117</v>
      </c>
      <c r="AO160" s="408">
        <v>0</v>
      </c>
      <c r="AP160" s="408">
        <v>0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57.928312626781555</v>
      </c>
      <c r="BE160" s="408">
        <v>0</v>
      </c>
      <c r="BF160" s="408">
        <v>0</v>
      </c>
      <c r="BG160" s="408">
        <v>2069.3826660671921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29185.281095528062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41711.923600000002</v>
      </c>
      <c r="CJ160" s="408">
        <v>4085.6183500000043</v>
      </c>
      <c r="CK160" s="408"/>
      <c r="CL160" s="408"/>
      <c r="CM160" s="408"/>
      <c r="CN160" s="408"/>
      <c r="CO160" s="408">
        <v>-49.403250000000071</v>
      </c>
      <c r="CP160" s="408">
        <v>4133.4052499999989</v>
      </c>
      <c r="CQ160" s="408">
        <v>31</v>
      </c>
      <c r="CR160" s="408">
        <v>4084.1298075158775</v>
      </c>
      <c r="CS160" s="408">
        <v>0</v>
      </c>
      <c r="CT160" s="408">
        <v>0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0</v>
      </c>
      <c r="DA160" s="408">
        <v>0</v>
      </c>
      <c r="DB160" s="408">
        <v>0</v>
      </c>
      <c r="DC160" s="408">
        <v>4133.9364645746682</v>
      </c>
      <c r="DD160" s="408">
        <v>0</v>
      </c>
      <c r="DE160" s="408">
        <v>0</v>
      </c>
      <c r="DF160" s="408">
        <v>8.8503299717280228</v>
      </c>
      <c r="DG160" s="408">
        <v>316.16179726253131</v>
      </c>
      <c r="DH160" s="408">
        <v>0</v>
      </c>
      <c r="DI160" s="408">
        <v>-319.13873936005984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-48.114375639209584</v>
      </c>
      <c r="DP160" s="408">
        <v>-7.5656692937712648</v>
      </c>
      <c r="DQ160" s="408">
        <v>0</v>
      </c>
      <c r="DR160" s="408">
        <v>0</v>
      </c>
      <c r="DS160" s="408"/>
      <c r="DT160" s="408"/>
      <c r="DU160" s="408"/>
      <c r="DV160" s="408">
        <v>0</v>
      </c>
      <c r="DW160" s="408">
        <v>0</v>
      </c>
      <c r="DX160" s="408">
        <v>0</v>
      </c>
      <c r="DY160" s="408">
        <v>-49.403249999999389</v>
      </c>
      <c r="DZ160" s="234">
        <v>4133.4052499999998</v>
      </c>
      <c r="EA160" s="408">
        <v>0</v>
      </c>
      <c r="EB160" s="408">
        <v>0</v>
      </c>
      <c r="EC160" s="408">
        <v>0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242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159</v>
      </c>
      <c r="B161" s="408" t="s">
        <v>1036</v>
      </c>
      <c r="C161" s="408" t="s">
        <v>2239</v>
      </c>
      <c r="D161" s="408" t="s">
        <v>597</v>
      </c>
      <c r="E161" s="408" t="s">
        <v>970</v>
      </c>
      <c r="F161" s="408" t="s">
        <v>1322</v>
      </c>
      <c r="G161" s="408" t="s">
        <v>1322</v>
      </c>
      <c r="H161" s="408" t="s">
        <v>1322</v>
      </c>
      <c r="I161" s="408" t="s">
        <v>1322</v>
      </c>
      <c r="J161" s="408" t="s">
        <v>2232</v>
      </c>
      <c r="K161" s="828">
        <v>44470</v>
      </c>
      <c r="L161" s="408">
        <v>925</v>
      </c>
      <c r="M161" s="408">
        <v>925</v>
      </c>
      <c r="N161" s="408">
        <v>0</v>
      </c>
      <c r="O161" s="408">
        <v>0</v>
      </c>
      <c r="P161" s="408">
        <v>0</v>
      </c>
      <c r="Q161" s="408">
        <v>0</v>
      </c>
      <c r="R161" s="408">
        <v>32.17</v>
      </c>
      <c r="S161" s="408"/>
      <c r="T161" s="408"/>
      <c r="U161" s="408">
        <v>29757.25</v>
      </c>
      <c r="V161" s="408"/>
      <c r="W161" s="408">
        <v>29757.25</v>
      </c>
      <c r="X161" s="408">
        <v>11960.25</v>
      </c>
      <c r="Y161" s="408">
        <v>0</v>
      </c>
      <c r="Z161" s="408">
        <v>0</v>
      </c>
      <c r="AA161" s="408">
        <v>0</v>
      </c>
      <c r="AB161" s="408">
        <v>0</v>
      </c>
      <c r="AC161" s="408">
        <v>0</v>
      </c>
      <c r="AD161" s="408">
        <v>92.422508246429743</v>
      </c>
      <c r="AE161" s="408">
        <v>24907.230271356024</v>
      </c>
      <c r="AF161" s="408"/>
      <c r="AG161" s="408"/>
      <c r="AH161" s="408"/>
      <c r="AI161" s="408">
        <v>0</v>
      </c>
      <c r="AJ161" s="408">
        <v>0</v>
      </c>
      <c r="AK161" s="408">
        <v>0</v>
      </c>
      <c r="AL161" s="408">
        <v>0</v>
      </c>
      <c r="AM161" s="408"/>
      <c r="AN161" s="408">
        <v>0</v>
      </c>
      <c r="AO161" s="408">
        <v>1632.0895234327004</v>
      </c>
      <c r="AP161" s="408">
        <v>3129.1502780372539</v>
      </c>
      <c r="AQ161" s="408">
        <v>0</v>
      </c>
      <c r="AR161" s="408">
        <v>0</v>
      </c>
      <c r="AS161" s="408"/>
      <c r="AT161" s="408"/>
      <c r="AU161" s="408">
        <v>0</v>
      </c>
      <c r="AV161" s="408">
        <v>0</v>
      </c>
      <c r="AW161" s="408">
        <v>0</v>
      </c>
      <c r="AX161" s="408"/>
      <c r="AY161" s="408"/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/>
      <c r="BG161" s="408">
        <v>0</v>
      </c>
      <c r="BH161" s="408">
        <v>0</v>
      </c>
      <c r="BI161" s="408">
        <v>521.04</v>
      </c>
      <c r="BJ161" s="408">
        <v>2394.46</v>
      </c>
      <c r="BK161" s="408">
        <v>17409.12</v>
      </c>
      <c r="BL161" s="408">
        <v>6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0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11960.25</v>
      </c>
      <c r="CJ161" s="408">
        <v>-17797.029999999995</v>
      </c>
      <c r="CK161" s="408"/>
      <c r="CL161" s="408"/>
      <c r="CM161" s="408"/>
      <c r="CN161" s="408"/>
      <c r="CO161" s="408">
        <v>-17797.000000000004</v>
      </c>
      <c r="CP161" s="408">
        <v>0</v>
      </c>
      <c r="CQ161" s="408">
        <v>31</v>
      </c>
      <c r="CR161" s="408">
        <v>500.16575872291105</v>
      </c>
      <c r="CS161" s="408">
        <v>168.35252193292195</v>
      </c>
      <c r="CT161" s="408">
        <v>322.77662055367091</v>
      </c>
      <c r="CU161" s="408">
        <v>0</v>
      </c>
      <c r="CV161" s="408">
        <v>0</v>
      </c>
      <c r="CW161" s="408"/>
      <c r="CX161" s="408"/>
      <c r="CY161" s="408"/>
      <c r="CZ161" s="408">
        <v>9.036616236318082</v>
      </c>
      <c r="DA161" s="408">
        <v>0</v>
      </c>
      <c r="DB161" s="408">
        <v>0</v>
      </c>
      <c r="DC161" s="408"/>
      <c r="DD161" s="408"/>
      <c r="DE161" s="408">
        <v>0</v>
      </c>
      <c r="DF161" s="408">
        <v>0</v>
      </c>
      <c r="DG161" s="408">
        <v>0</v>
      </c>
      <c r="DH161" s="408">
        <v>0</v>
      </c>
      <c r="DI161" s="408">
        <v>0</v>
      </c>
      <c r="DJ161" s="408"/>
      <c r="DK161" s="408">
        <v>0</v>
      </c>
      <c r="DL161" s="408">
        <v>0</v>
      </c>
      <c r="DM161" s="408"/>
      <c r="DN161" s="408">
        <v>0</v>
      </c>
      <c r="DO161" s="408">
        <v>0</v>
      </c>
      <c r="DP161" s="408">
        <v>0</v>
      </c>
      <c r="DQ161" s="408">
        <v>0</v>
      </c>
      <c r="DR161" s="408">
        <v>0</v>
      </c>
      <c r="DS161" s="408"/>
      <c r="DT161" s="408"/>
      <c r="DU161" s="408">
        <v>24907.230271356024</v>
      </c>
      <c r="DV161" s="408"/>
      <c r="DW161" s="408">
        <v>0</v>
      </c>
      <c r="DX161" s="408">
        <v>0</v>
      </c>
      <c r="DY161" s="408">
        <v>-17797</v>
      </c>
      <c r="DZ161" s="234"/>
      <c r="EA161" s="408">
        <v>0</v>
      </c>
      <c r="EB161" s="408"/>
      <c r="EC161" s="408">
        <v>-18299.586605270189</v>
      </c>
      <c r="ED161" s="408"/>
      <c r="EE161" s="408">
        <v>0</v>
      </c>
      <c r="EF161" s="408">
        <v>0</v>
      </c>
      <c r="EG161" s="408"/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/>
      <c r="EN161" s="408"/>
      <c r="EO161" s="408">
        <v>0</v>
      </c>
      <c r="EP161" s="408">
        <v>0</v>
      </c>
      <c r="EQ161" s="408"/>
      <c r="ER161" s="408">
        <v>0</v>
      </c>
      <c r="ES161" s="408"/>
      <c r="ET161" s="408">
        <v>0</v>
      </c>
      <c r="EU161" s="408"/>
      <c r="EV161" s="408">
        <v>242</v>
      </c>
      <c r="EW161" s="408"/>
      <c r="EX161" s="408"/>
      <c r="EY161" s="408"/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160</v>
      </c>
      <c r="B162" s="408" t="s">
        <v>1036</v>
      </c>
      <c r="C162" s="408" t="s">
        <v>2231</v>
      </c>
      <c r="D162" s="408" t="s">
        <v>1955</v>
      </c>
      <c r="E162" s="408" t="s">
        <v>998</v>
      </c>
      <c r="F162" s="408" t="s">
        <v>1322</v>
      </c>
      <c r="G162" s="408" t="s">
        <v>1322</v>
      </c>
      <c r="H162" s="408" t="s">
        <v>1322</v>
      </c>
      <c r="I162" s="408" t="s">
        <v>1322</v>
      </c>
      <c r="J162" s="408" t="s">
        <v>2232</v>
      </c>
      <c r="K162" s="828">
        <v>44470</v>
      </c>
      <c r="L162" s="408">
        <v>0</v>
      </c>
      <c r="M162" s="408">
        <v>0</v>
      </c>
      <c r="N162" s="408">
        <v>226.30600000000001</v>
      </c>
      <c r="O162" s="408">
        <v>226.30600000000001</v>
      </c>
      <c r="P162" s="408">
        <v>226.30600000000001</v>
      </c>
      <c r="Q162" s="408">
        <v>226.30600000000001</v>
      </c>
      <c r="R162" s="408"/>
      <c r="S162" s="408">
        <v>571.87</v>
      </c>
      <c r="T162" s="408">
        <v>216.76</v>
      </c>
      <c r="U162" s="408"/>
      <c r="V162" s="408">
        <v>178471.70078000001</v>
      </c>
      <c r="W162" s="408">
        <v>178471.70078000001</v>
      </c>
      <c r="X162" s="408">
        <v>116323.54706000001</v>
      </c>
      <c r="Y162" s="408">
        <v>0</v>
      </c>
      <c r="Z162" s="408">
        <v>13716.546300768359</v>
      </c>
      <c r="AA162" s="408">
        <v>0</v>
      </c>
      <c r="AB162" s="408">
        <v>0</v>
      </c>
      <c r="AC162" s="408">
        <v>0</v>
      </c>
      <c r="AD162" s="408">
        <v>186.00400168088731</v>
      </c>
      <c r="AE162" s="408">
        <v>96493.182548475525</v>
      </c>
      <c r="AF162" s="408">
        <v>48339.30124539377</v>
      </c>
      <c r="AG162" s="408">
        <v>714.53963628758788</v>
      </c>
      <c r="AH162" s="408">
        <v>0</v>
      </c>
      <c r="AI162" s="408">
        <v>0</v>
      </c>
      <c r="AJ162" s="408">
        <v>0</v>
      </c>
      <c r="AK162" s="408">
        <v>0</v>
      </c>
      <c r="AL162" s="408">
        <v>2121.3095387362905</v>
      </c>
      <c r="AM162" s="408"/>
      <c r="AN162" s="408">
        <v>434.16117137524287</v>
      </c>
      <c r="AO162" s="408">
        <v>2009.9814908084672</v>
      </c>
      <c r="AP162" s="408">
        <v>6297.4408501476319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134.66782584948984</v>
      </c>
      <c r="BE162" s="408">
        <v>0</v>
      </c>
      <c r="BF162" s="408">
        <v>0</v>
      </c>
      <c r="BG162" s="408">
        <v>8024.4118880951746</v>
      </c>
      <c r="BH162" s="408">
        <v>0</v>
      </c>
      <c r="BI162" s="408">
        <v>925.44</v>
      </c>
      <c r="BJ162" s="408">
        <v>4268.7</v>
      </c>
      <c r="BK162" s="408">
        <v>65845.89</v>
      </c>
      <c r="BL162" s="408">
        <v>701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56498.380959338429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116325.60310000001</v>
      </c>
      <c r="CJ162" s="408">
        <v>-62146.127680000005</v>
      </c>
      <c r="CK162" s="408"/>
      <c r="CL162" s="408"/>
      <c r="CM162" s="408"/>
      <c r="CN162" s="408"/>
      <c r="CO162" s="408">
        <v>-69532.518500000006</v>
      </c>
      <c r="CP162" s="408">
        <v>7384.364779999999</v>
      </c>
      <c r="CQ162" s="408">
        <v>31</v>
      </c>
      <c r="CR162" s="408">
        <v>8746.7961148991308</v>
      </c>
      <c r="CS162" s="408">
        <v>207.33265434139958</v>
      </c>
      <c r="CT162" s="408">
        <v>649.59062209765852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18.186552318271538</v>
      </c>
      <c r="DA162" s="408">
        <v>0</v>
      </c>
      <c r="DB162" s="408">
        <v>0</v>
      </c>
      <c r="DC162" s="408">
        <v>7385.3137995029392</v>
      </c>
      <c r="DD162" s="408">
        <v>0</v>
      </c>
      <c r="DE162" s="408">
        <v>0</v>
      </c>
      <c r="DF162" s="408">
        <v>20.574648928961921</v>
      </c>
      <c r="DG162" s="408">
        <v>1225.9755172959458</v>
      </c>
      <c r="DH162" s="408">
        <v>0</v>
      </c>
      <c r="DI162" s="408">
        <v>-655.3381156831274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-85.956754635144989</v>
      </c>
      <c r="DP162" s="408">
        <v>-18.882809267765936</v>
      </c>
      <c r="DQ162" s="408">
        <v>0</v>
      </c>
      <c r="DR162" s="408">
        <v>0</v>
      </c>
      <c r="DS162" s="408"/>
      <c r="DT162" s="408"/>
      <c r="DU162" s="408"/>
      <c r="DV162" s="408">
        <v>96493.182548475525</v>
      </c>
      <c r="DW162" s="408">
        <v>0</v>
      </c>
      <c r="DX162" s="408">
        <v>0</v>
      </c>
      <c r="DY162" s="408">
        <v>-69532.518500000006</v>
      </c>
      <c r="DZ162" s="234">
        <v>7384.3647799999962</v>
      </c>
      <c r="EA162" s="408">
        <v>0</v>
      </c>
      <c r="EB162" s="408">
        <v>0</v>
      </c>
      <c r="EC162" s="408">
        <v>-70894.488533101801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242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161</v>
      </c>
      <c r="B163" s="408" t="s">
        <v>2233</v>
      </c>
      <c r="C163" s="408" t="s">
        <v>2231</v>
      </c>
      <c r="D163" s="408" t="s">
        <v>1955</v>
      </c>
      <c r="E163" s="408" t="s">
        <v>998</v>
      </c>
      <c r="F163" s="408" t="s">
        <v>1322</v>
      </c>
      <c r="G163" s="408" t="s">
        <v>1322</v>
      </c>
      <c r="H163" s="408" t="s">
        <v>1322</v>
      </c>
      <c r="I163" s="408" t="s">
        <v>1322</v>
      </c>
      <c r="J163" s="408" t="s">
        <v>2232</v>
      </c>
      <c r="K163" s="828">
        <v>44470</v>
      </c>
      <c r="L163" s="408">
        <v>0</v>
      </c>
      <c r="M163" s="408">
        <v>0</v>
      </c>
      <c r="N163" s="408">
        <v>-1.0649999999999999</v>
      </c>
      <c r="O163" s="408">
        <v>-1.0649999999999999</v>
      </c>
      <c r="P163" s="408">
        <v>-1.0649999999999999</v>
      </c>
      <c r="Q163" s="408">
        <v>-1.0649999999999999</v>
      </c>
      <c r="R163" s="408"/>
      <c r="S163" s="408">
        <v>571.87</v>
      </c>
      <c r="T163" s="408">
        <v>216.76</v>
      </c>
      <c r="U163" s="408"/>
      <c r="V163" s="408">
        <v>-839.89094999999998</v>
      </c>
      <c r="W163" s="408">
        <v>-839.89094999999998</v>
      </c>
      <c r="X163" s="408">
        <v>-547.42065000000002</v>
      </c>
      <c r="Y163" s="408">
        <v>0</v>
      </c>
      <c r="Z163" s="408">
        <v>-64.550307151901848</v>
      </c>
      <c r="AA163" s="408">
        <v>0</v>
      </c>
      <c r="AB163" s="408">
        <v>0</v>
      </c>
      <c r="AC163" s="408">
        <v>0</v>
      </c>
      <c r="AD163" s="408">
        <v>-0.87533808997616047</v>
      </c>
      <c r="AE163" s="408">
        <v>-454.09860725798882</v>
      </c>
      <c r="AF163" s="408">
        <v>-227.48559837717232</v>
      </c>
      <c r="AG163" s="408">
        <v>-3.3626360443217633</v>
      </c>
      <c r="AH163" s="408">
        <v>0</v>
      </c>
      <c r="AI163" s="408">
        <v>0</v>
      </c>
      <c r="AJ163" s="408">
        <v>0</v>
      </c>
      <c r="AK163" s="408">
        <v>0</v>
      </c>
      <c r="AL163" s="408">
        <v>-9.9829198463768041</v>
      </c>
      <c r="AM163" s="408"/>
      <c r="AN163" s="408">
        <v>-2.0431700773052133</v>
      </c>
      <c r="AO163" s="408">
        <v>-9.4590081027945239</v>
      </c>
      <c r="AP163" s="408">
        <v>-29.635866947439428</v>
      </c>
      <c r="AQ163" s="408">
        <v>0</v>
      </c>
      <c r="AR163" s="408">
        <v>0</v>
      </c>
      <c r="AS163" s="408">
        <v>0</v>
      </c>
      <c r="AT163" s="408">
        <v>0</v>
      </c>
      <c r="AU163" s="408">
        <v>0</v>
      </c>
      <c r="AV163" s="408">
        <v>0</v>
      </c>
      <c r="AW163" s="408">
        <v>0</v>
      </c>
      <c r="AX163" s="408">
        <v>0</v>
      </c>
      <c r="AY163" s="408">
        <v>0</v>
      </c>
      <c r="AZ163" s="408">
        <v>0</v>
      </c>
      <c r="BA163" s="408"/>
      <c r="BB163" s="408">
        <v>0</v>
      </c>
      <c r="BC163" s="408">
        <v>0</v>
      </c>
      <c r="BD163" s="408">
        <v>-0.63374914730368037</v>
      </c>
      <c r="BE163" s="408">
        <v>0</v>
      </c>
      <c r="BF163" s="408">
        <v>0</v>
      </c>
      <c r="BG163" s="408">
        <v>-37.763022901829203</v>
      </c>
      <c r="BH163" s="408">
        <v>0</v>
      </c>
      <c r="BI163" s="408">
        <v>-4.7699999999999996</v>
      </c>
      <c r="BJ163" s="408">
        <v>-21.94</v>
      </c>
      <c r="BK163" s="408">
        <v>-303.19</v>
      </c>
      <c r="BL163" s="408">
        <v>0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-265.88237042630522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-549.99070000000006</v>
      </c>
      <c r="CJ163" s="408">
        <v>289.87024999999994</v>
      </c>
      <c r="CK163" s="408"/>
      <c r="CL163" s="408"/>
      <c r="CM163" s="408"/>
      <c r="CN163" s="408"/>
      <c r="CO163" s="408">
        <v>327.22125</v>
      </c>
      <c r="CP163" s="408">
        <v>-34.750949999999996</v>
      </c>
      <c r="CQ163" s="408">
        <v>31</v>
      </c>
      <c r="CR163" s="408">
        <v>-41.162575726527734</v>
      </c>
      <c r="CS163" s="408">
        <v>-0.97571110299148245</v>
      </c>
      <c r="CT163" s="408">
        <v>-3.0569848458901028</v>
      </c>
      <c r="CU163" s="408">
        <v>0</v>
      </c>
      <c r="CV163" s="408">
        <v>0</v>
      </c>
      <c r="CW163" s="408">
        <v>0</v>
      </c>
      <c r="CX163" s="408">
        <v>0</v>
      </c>
      <c r="CY163" s="408">
        <v>0</v>
      </c>
      <c r="CZ163" s="408">
        <v>-8.5586233767373288E-2</v>
      </c>
      <c r="DA163" s="408">
        <v>0</v>
      </c>
      <c r="DB163" s="408">
        <v>0</v>
      </c>
      <c r="DC163" s="408">
        <v>-34.755416102403956</v>
      </c>
      <c r="DD163" s="408">
        <v>0</v>
      </c>
      <c r="DE163" s="408">
        <v>0</v>
      </c>
      <c r="DF163" s="408">
        <v>-9.6824658247436801E-2</v>
      </c>
      <c r="DG163" s="408">
        <v>-5.7694622587124584</v>
      </c>
      <c r="DH163" s="408">
        <v>0</v>
      </c>
      <c r="DI163" s="408">
        <v>3.0840326513770222</v>
      </c>
      <c r="DJ163" s="408"/>
      <c r="DK163" s="408">
        <v>0</v>
      </c>
      <c r="DL163" s="408">
        <v>0</v>
      </c>
      <c r="DM163" s="408">
        <v>0</v>
      </c>
      <c r="DN163" s="408">
        <v>0</v>
      </c>
      <c r="DO163" s="408">
        <v>0.40451399294066093</v>
      </c>
      <c r="DP163" s="408">
        <v>8.8862831167404899E-2</v>
      </c>
      <c r="DQ163" s="408">
        <v>0</v>
      </c>
      <c r="DR163" s="408">
        <v>0</v>
      </c>
      <c r="DS163" s="408"/>
      <c r="DT163" s="408"/>
      <c r="DU163" s="408"/>
      <c r="DV163" s="408">
        <v>-454.09860725798882</v>
      </c>
      <c r="DW163" s="408">
        <v>0</v>
      </c>
      <c r="DX163" s="408">
        <v>0</v>
      </c>
      <c r="DY163" s="408">
        <v>327.22125000000005</v>
      </c>
      <c r="DZ163" s="234">
        <v>-34.750950000000017</v>
      </c>
      <c r="EA163" s="408">
        <v>0</v>
      </c>
      <c r="EB163" s="408">
        <v>0</v>
      </c>
      <c r="EC163" s="408">
        <v>333.63070483218917</v>
      </c>
      <c r="ED163" s="408">
        <v>0</v>
      </c>
      <c r="EE163" s="408">
        <v>0</v>
      </c>
      <c r="EF163" s="408">
        <v>0</v>
      </c>
      <c r="EG163" s="408">
        <v>0</v>
      </c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>
        <v>0</v>
      </c>
      <c r="EN163" s="408">
        <v>0</v>
      </c>
      <c r="EO163" s="408">
        <v>0</v>
      </c>
      <c r="EP163" s="408">
        <v>0</v>
      </c>
      <c r="EQ163" s="408">
        <v>0</v>
      </c>
      <c r="ER163" s="408">
        <v>0</v>
      </c>
      <c r="ES163" s="408">
        <v>0</v>
      </c>
      <c r="ET163" s="408">
        <v>0</v>
      </c>
      <c r="EU163" s="408">
        <v>0</v>
      </c>
      <c r="EV163" s="408">
        <v>242</v>
      </c>
      <c r="EW163" s="408">
        <v>0</v>
      </c>
      <c r="EX163" s="408">
        <v>0</v>
      </c>
      <c r="EY163" s="408">
        <v>0</v>
      </c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162</v>
      </c>
      <c r="B164" s="408" t="s">
        <v>2234</v>
      </c>
      <c r="C164" s="408" t="s">
        <v>2231</v>
      </c>
      <c r="D164" s="408" t="s">
        <v>1955</v>
      </c>
      <c r="E164" s="408" t="s">
        <v>998</v>
      </c>
      <c r="F164" s="408" t="s">
        <v>1322</v>
      </c>
      <c r="G164" s="408" t="s">
        <v>1322</v>
      </c>
      <c r="H164" s="408" t="s">
        <v>1322</v>
      </c>
      <c r="I164" s="408" t="s">
        <v>1322</v>
      </c>
      <c r="J164" s="408" t="s">
        <v>2232</v>
      </c>
      <c r="K164" s="828">
        <v>44470</v>
      </c>
      <c r="L164" s="408">
        <v>0</v>
      </c>
      <c r="M164" s="408">
        <v>0</v>
      </c>
      <c r="N164" s="408">
        <v>5.5119999999999996</v>
      </c>
      <c r="O164" s="408">
        <v>5.5119999999999996</v>
      </c>
      <c r="P164" s="408">
        <v>5.5119999999999996</v>
      </c>
      <c r="Q164" s="408">
        <v>5.5119999999999996</v>
      </c>
      <c r="R164" s="408"/>
      <c r="S164" s="408">
        <v>571.87</v>
      </c>
      <c r="T164" s="408">
        <v>216.76</v>
      </c>
      <c r="U164" s="408"/>
      <c r="V164" s="408">
        <v>4346.9285599999994</v>
      </c>
      <c r="W164" s="408">
        <v>4346.9285599999994</v>
      </c>
      <c r="X164" s="408">
        <v>2833.2231199999997</v>
      </c>
      <c r="Y164" s="408">
        <v>0</v>
      </c>
      <c r="Z164" s="408">
        <v>334.08572114674462</v>
      </c>
      <c r="AA164" s="408">
        <v>0</v>
      </c>
      <c r="AB164" s="408">
        <v>0</v>
      </c>
      <c r="AC164" s="408">
        <v>0</v>
      </c>
      <c r="AD164" s="408">
        <v>4.5303883116888235</v>
      </c>
      <c r="AE164" s="408">
        <v>2350.2267823530838</v>
      </c>
      <c r="AF164" s="408">
        <v>1177.3714725398816</v>
      </c>
      <c r="AG164" s="408">
        <v>17.403614907325409</v>
      </c>
      <c r="AH164" s="408">
        <v>0</v>
      </c>
      <c r="AI164" s="408">
        <v>0</v>
      </c>
      <c r="AJ164" s="408">
        <v>0</v>
      </c>
      <c r="AK164" s="408">
        <v>0</v>
      </c>
      <c r="AL164" s="408">
        <v>51.667468726036567</v>
      </c>
      <c r="AM164" s="408"/>
      <c r="AN164" s="408">
        <v>10.574604193527076</v>
      </c>
      <c r="AO164" s="408">
        <v>48.955917993054847</v>
      </c>
      <c r="AP164" s="408">
        <v>153.38300339369587</v>
      </c>
      <c r="AQ164" s="408">
        <v>0</v>
      </c>
      <c r="AR164" s="408">
        <v>0</v>
      </c>
      <c r="AS164" s="408">
        <v>0</v>
      </c>
      <c r="AT164" s="408">
        <v>0</v>
      </c>
      <c r="AU164" s="408">
        <v>0</v>
      </c>
      <c r="AV164" s="408">
        <v>0</v>
      </c>
      <c r="AW164" s="408">
        <v>0</v>
      </c>
      <c r="AX164" s="408">
        <v>0</v>
      </c>
      <c r="AY164" s="408">
        <v>0</v>
      </c>
      <c r="AZ164" s="408">
        <v>0</v>
      </c>
      <c r="BA164" s="408"/>
      <c r="BB164" s="408">
        <v>0</v>
      </c>
      <c r="BC164" s="408">
        <v>0</v>
      </c>
      <c r="BD164" s="408">
        <v>3.2800237558102214</v>
      </c>
      <c r="BE164" s="408">
        <v>0</v>
      </c>
      <c r="BF164" s="408">
        <v>0</v>
      </c>
      <c r="BG164" s="408">
        <v>195.44580491538269</v>
      </c>
      <c r="BH164" s="408">
        <v>0</v>
      </c>
      <c r="BI164" s="408">
        <v>22.85</v>
      </c>
      <c r="BJ164" s="408">
        <v>105.38</v>
      </c>
      <c r="BK164" s="408">
        <v>2803.03</v>
      </c>
      <c r="BL164" s="408">
        <v>17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1376.0973012110744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2832.1950999999999</v>
      </c>
      <c r="CJ164" s="408">
        <v>-1514.7634600000001</v>
      </c>
      <c r="CK164" s="408"/>
      <c r="CL164" s="408"/>
      <c r="CM164" s="408"/>
      <c r="CN164" s="408"/>
      <c r="CO164" s="408">
        <v>-1693.5619999999999</v>
      </c>
      <c r="CP164" s="408">
        <v>179.85655999999997</v>
      </c>
      <c r="CQ164" s="408">
        <v>31</v>
      </c>
      <c r="CR164" s="408">
        <v>213.04048582593555</v>
      </c>
      <c r="CS164" s="408">
        <v>5.049877558393483</v>
      </c>
      <c r="CT164" s="408">
        <v>15.821690582672574</v>
      </c>
      <c r="CU164" s="408">
        <v>0</v>
      </c>
      <c r="CV164" s="408">
        <v>0</v>
      </c>
      <c r="CW164" s="408">
        <v>0</v>
      </c>
      <c r="CX164" s="408">
        <v>0</v>
      </c>
      <c r="CY164" s="408">
        <v>0</v>
      </c>
      <c r="CZ164" s="408">
        <v>0.44295898640916498</v>
      </c>
      <c r="DA164" s="408">
        <v>0</v>
      </c>
      <c r="DB164" s="408">
        <v>0</v>
      </c>
      <c r="DC164" s="408">
        <v>179.87967470089256</v>
      </c>
      <c r="DD164" s="408">
        <v>0</v>
      </c>
      <c r="DE164" s="408">
        <v>0</v>
      </c>
      <c r="DF164" s="408">
        <v>0.5011244284130254</v>
      </c>
      <c r="DG164" s="408">
        <v>29.860353023495833</v>
      </c>
      <c r="DH164" s="408">
        <v>0</v>
      </c>
      <c r="DI164" s="408">
        <v>-15.961678849192651</v>
      </c>
      <c r="DJ164" s="408"/>
      <c r="DK164" s="408">
        <v>0</v>
      </c>
      <c r="DL164" s="408">
        <v>0</v>
      </c>
      <c r="DM164" s="408">
        <v>0</v>
      </c>
      <c r="DN164" s="408">
        <v>0</v>
      </c>
      <c r="DO164" s="408">
        <v>-2.0935973043088509</v>
      </c>
      <c r="DP164" s="408">
        <v>-0.45991730084012694</v>
      </c>
      <c r="DQ164" s="408">
        <v>0</v>
      </c>
      <c r="DR164" s="408">
        <v>0</v>
      </c>
      <c r="DS164" s="408"/>
      <c r="DT164" s="408"/>
      <c r="DU164" s="408"/>
      <c r="DV164" s="408">
        <v>2350.2267823530838</v>
      </c>
      <c r="DW164" s="408">
        <v>0</v>
      </c>
      <c r="DX164" s="408">
        <v>0</v>
      </c>
      <c r="DY164" s="408">
        <v>-1693.5619999999999</v>
      </c>
      <c r="DZ164" s="234">
        <v>179.85655999999994</v>
      </c>
      <c r="EA164" s="408">
        <v>0</v>
      </c>
      <c r="EB164" s="408">
        <v>0</v>
      </c>
      <c r="EC164" s="408">
        <v>-1726.734690173734</v>
      </c>
      <c r="ED164" s="408">
        <v>0</v>
      </c>
      <c r="EE164" s="408">
        <v>0</v>
      </c>
      <c r="EF164" s="408">
        <v>0</v>
      </c>
      <c r="EG164" s="408">
        <v>0</v>
      </c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>
        <v>0</v>
      </c>
      <c r="EN164" s="408">
        <v>0</v>
      </c>
      <c r="EO164" s="408">
        <v>0</v>
      </c>
      <c r="EP164" s="408">
        <v>0</v>
      </c>
      <c r="EQ164" s="408">
        <v>0</v>
      </c>
      <c r="ER164" s="408">
        <v>0</v>
      </c>
      <c r="ES164" s="408">
        <v>0</v>
      </c>
      <c r="ET164" s="408">
        <v>0</v>
      </c>
      <c r="EU164" s="408">
        <v>0</v>
      </c>
      <c r="EV164" s="408">
        <v>242</v>
      </c>
      <c r="EW164" s="408">
        <v>0</v>
      </c>
      <c r="EX164" s="408">
        <v>0</v>
      </c>
      <c r="EY164" s="408">
        <v>0</v>
      </c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163</v>
      </c>
      <c r="B165" s="408" t="s">
        <v>1036</v>
      </c>
      <c r="C165" s="408" t="s">
        <v>2239</v>
      </c>
      <c r="D165" s="408" t="s">
        <v>597</v>
      </c>
      <c r="E165" s="408" t="s">
        <v>998</v>
      </c>
      <c r="F165" s="408" t="s">
        <v>1322</v>
      </c>
      <c r="G165" s="408" t="s">
        <v>1322</v>
      </c>
      <c r="H165" s="408" t="s">
        <v>1322</v>
      </c>
      <c r="I165" s="408" t="s">
        <v>973</v>
      </c>
      <c r="J165" s="408" t="s">
        <v>2232</v>
      </c>
      <c r="K165" s="828">
        <v>44470</v>
      </c>
      <c r="L165" s="408">
        <v>0</v>
      </c>
      <c r="M165" s="408">
        <v>0</v>
      </c>
      <c r="N165" s="408">
        <v>17.135000000000002</v>
      </c>
      <c r="O165" s="408">
        <v>17.135000000000002</v>
      </c>
      <c r="P165" s="408">
        <v>17.135000000000002</v>
      </c>
      <c r="Q165" s="408">
        <v>17.135000000000002</v>
      </c>
      <c r="R165" s="408"/>
      <c r="S165" s="408">
        <v>2592.54</v>
      </c>
      <c r="T165" s="408">
        <v>216.76</v>
      </c>
      <c r="U165" s="408"/>
      <c r="V165" s="408">
        <v>48137.355500000005</v>
      </c>
      <c r="W165" s="408">
        <v>48137.355500000005</v>
      </c>
      <c r="X165" s="408">
        <v>20239.862000000001</v>
      </c>
      <c r="Y165" s="408">
        <v>0</v>
      </c>
      <c r="Z165" s="408">
        <v>903.54974305316398</v>
      </c>
      <c r="AA165" s="408">
        <v>0</v>
      </c>
      <c r="AB165" s="408">
        <v>0</v>
      </c>
      <c r="AC165" s="408">
        <v>0</v>
      </c>
      <c r="AD165" s="408">
        <v>86.645444273088088</v>
      </c>
      <c r="AE165" s="408">
        <v>39254.425928130979</v>
      </c>
      <c r="AF165" s="408">
        <v>3660.0617166130032</v>
      </c>
      <c r="AG165" s="408">
        <v>54.102130159111198</v>
      </c>
      <c r="AH165" s="408">
        <v>0</v>
      </c>
      <c r="AI165" s="408">
        <v>0</v>
      </c>
      <c r="AJ165" s="408">
        <v>0</v>
      </c>
      <c r="AK165" s="408">
        <v>0</v>
      </c>
      <c r="AL165" s="408">
        <v>160.61721273959301</v>
      </c>
      <c r="AM165" s="408"/>
      <c r="AN165" s="408">
        <v>23.530162337052346</v>
      </c>
      <c r="AO165" s="408">
        <v>773.04332385216674</v>
      </c>
      <c r="AP165" s="408">
        <v>2933.5248293920117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7.8358131980256722</v>
      </c>
      <c r="BE165" s="408">
        <v>0</v>
      </c>
      <c r="BF165" s="408">
        <v>0</v>
      </c>
      <c r="BG165" s="408">
        <v>279.92004723158743</v>
      </c>
      <c r="BH165" s="408">
        <v>0</v>
      </c>
      <c r="BI165" s="408">
        <v>0</v>
      </c>
      <c r="BJ165" s="408">
        <v>0</v>
      </c>
      <c r="BK165" s="408">
        <v>0</v>
      </c>
      <c r="BL165" s="408">
        <v>0</v>
      </c>
      <c r="BM165" s="408"/>
      <c r="BN165" s="408"/>
      <c r="BO165" s="408"/>
      <c r="BP165" s="408"/>
      <c r="BQ165" s="408"/>
      <c r="BR165" s="408"/>
      <c r="BS165" s="408"/>
      <c r="BT165" s="408"/>
      <c r="BU165" s="408"/>
      <c r="BV165" s="408">
        <v>3947.8175770426164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20245.768</v>
      </c>
      <c r="CJ165" s="408">
        <v>-27891.617500000011</v>
      </c>
      <c r="CK165" s="408"/>
      <c r="CL165" s="408"/>
      <c r="CM165" s="408"/>
      <c r="CN165" s="408"/>
      <c r="CO165" s="408">
        <v>-28456.608550000004</v>
      </c>
      <c r="CP165" s="408">
        <v>559.11505</v>
      </c>
      <c r="CQ165" s="408">
        <v>31</v>
      </c>
      <c r="CR165" s="408">
        <v>943.25960612291783</v>
      </c>
      <c r="CS165" s="408">
        <v>79.740597109030659</v>
      </c>
      <c r="CT165" s="408">
        <v>302.59755735838826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8.47176346300256</v>
      </c>
      <c r="DA165" s="408">
        <v>0</v>
      </c>
      <c r="DB165" s="408">
        <v>0</v>
      </c>
      <c r="DC165" s="408">
        <v>559.18690602318475</v>
      </c>
      <c r="DD165" s="408">
        <v>0</v>
      </c>
      <c r="DE165" s="408">
        <v>0</v>
      </c>
      <c r="DF165" s="408">
        <v>1.1971612714865572</v>
      </c>
      <c r="DG165" s="408">
        <v>42.766389548793995</v>
      </c>
      <c r="DH165" s="408">
        <v>0</v>
      </c>
      <c r="DI165" s="408">
        <v>-43.169072815746063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-6.508307294871571</v>
      </c>
      <c r="DP165" s="408">
        <v>-1.0233885403494796</v>
      </c>
      <c r="DQ165" s="408">
        <v>0</v>
      </c>
      <c r="DR165" s="408">
        <v>0</v>
      </c>
      <c r="DS165" s="408"/>
      <c r="DT165" s="408"/>
      <c r="DU165" s="408"/>
      <c r="DV165" s="408">
        <v>39254.425928130979</v>
      </c>
      <c r="DW165" s="408">
        <v>0</v>
      </c>
      <c r="DX165" s="408">
        <v>0</v>
      </c>
      <c r="DY165" s="408">
        <v>-28456.608550000004</v>
      </c>
      <c r="DZ165" s="234">
        <v>559.11505000000034</v>
      </c>
      <c r="EA165" s="408">
        <v>0</v>
      </c>
      <c r="EB165" s="408">
        <v>0</v>
      </c>
      <c r="EC165" s="408">
        <v>-28840.612106843018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242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164</v>
      </c>
      <c r="B166" s="408" t="s">
        <v>1036</v>
      </c>
      <c r="C166" s="408" t="s">
        <v>2239</v>
      </c>
      <c r="D166" s="408" t="s">
        <v>597</v>
      </c>
      <c r="E166" s="408" t="s">
        <v>998</v>
      </c>
      <c r="F166" s="408" t="s">
        <v>1322</v>
      </c>
      <c r="G166" s="408" t="s">
        <v>1322</v>
      </c>
      <c r="H166" s="408" t="s">
        <v>1322</v>
      </c>
      <c r="I166" s="408" t="s">
        <v>2240</v>
      </c>
      <c r="J166" s="408" t="s">
        <v>2232</v>
      </c>
      <c r="K166" s="828">
        <v>44470</v>
      </c>
      <c r="L166" s="408">
        <v>0</v>
      </c>
      <c r="M166" s="408">
        <v>0</v>
      </c>
      <c r="N166" s="408">
        <v>123.096</v>
      </c>
      <c r="O166" s="408">
        <v>123.096</v>
      </c>
      <c r="P166" s="408">
        <v>123.096</v>
      </c>
      <c r="Q166" s="408">
        <v>123.096</v>
      </c>
      <c r="R166" s="408"/>
      <c r="S166" s="408">
        <v>80.27</v>
      </c>
      <c r="T166" s="408">
        <v>216.76</v>
      </c>
      <c r="U166" s="408"/>
      <c r="V166" s="408">
        <v>36563.204879999998</v>
      </c>
      <c r="W166" s="408">
        <v>36563.204879999998</v>
      </c>
      <c r="X166" s="408">
        <v>40531.819920000002</v>
      </c>
      <c r="Y166" s="408">
        <v>0</v>
      </c>
      <c r="Z166" s="408">
        <v>6491.0043286181653</v>
      </c>
      <c r="AA166" s="408">
        <v>0</v>
      </c>
      <c r="AB166" s="408">
        <v>0</v>
      </c>
      <c r="AC166" s="408">
        <v>0</v>
      </c>
      <c r="AD166" s="408">
        <v>0</v>
      </c>
      <c r="AE166" s="408">
        <v>0</v>
      </c>
      <c r="AF166" s="408">
        <v>26293.490345386297</v>
      </c>
      <c r="AG166" s="408">
        <v>388.66389343833976</v>
      </c>
      <c r="AH166" s="408">
        <v>0</v>
      </c>
      <c r="AI166" s="408">
        <v>0</v>
      </c>
      <c r="AJ166" s="408">
        <v>0</v>
      </c>
      <c r="AK166" s="408">
        <v>0</v>
      </c>
      <c r="AL166" s="408">
        <v>1153.8568088353043</v>
      </c>
      <c r="AM166" s="408"/>
      <c r="AN166" s="408">
        <v>169.03815950054249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56.291640585011265</v>
      </c>
      <c r="BE166" s="408">
        <v>0</v>
      </c>
      <c r="BF166" s="408">
        <v>0</v>
      </c>
      <c r="BG166" s="408">
        <v>2010.9155607831624</v>
      </c>
      <c r="BH166" s="408">
        <v>0</v>
      </c>
      <c r="BI166" s="408">
        <v>0</v>
      </c>
      <c r="BJ166" s="408">
        <v>0</v>
      </c>
      <c r="BK166" s="408">
        <v>0</v>
      </c>
      <c r="BL166" s="408">
        <v>0</v>
      </c>
      <c r="BM166" s="408"/>
      <c r="BN166" s="408"/>
      <c r="BO166" s="408"/>
      <c r="BP166" s="408"/>
      <c r="BQ166" s="408"/>
      <c r="BR166" s="408"/>
      <c r="BS166" s="408"/>
      <c r="BT166" s="408"/>
      <c r="BU166" s="408"/>
      <c r="BV166" s="408">
        <v>28360.697546754473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40533.136999999995</v>
      </c>
      <c r="CJ166" s="408">
        <v>3969.9021199999988</v>
      </c>
      <c r="CK166" s="408"/>
      <c r="CL166" s="408"/>
      <c r="CM166" s="408"/>
      <c r="CN166" s="408"/>
      <c r="CO166" s="408">
        <v>-48.007440000000074</v>
      </c>
      <c r="CP166" s="408">
        <v>4016.6224799999995</v>
      </c>
      <c r="CQ166" s="408">
        <v>31</v>
      </c>
      <c r="CR166" s="408">
        <v>3968.7392365184496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0</v>
      </c>
      <c r="DA166" s="408">
        <v>0</v>
      </c>
      <c r="DB166" s="408">
        <v>0</v>
      </c>
      <c r="DC166" s="408">
        <v>4017.1386859544764</v>
      </c>
      <c r="DD166" s="408">
        <v>0</v>
      </c>
      <c r="DE166" s="408">
        <v>0</v>
      </c>
      <c r="DF166" s="408">
        <v>8.6002780201289397</v>
      </c>
      <c r="DG166" s="408">
        <v>307.2291501545576</v>
      </c>
      <c r="DH166" s="408">
        <v>0</v>
      </c>
      <c r="DI166" s="408">
        <v>-310.12198350318522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-46.754980727721659</v>
      </c>
      <c r="DP166" s="408">
        <v>-7.351913379799214</v>
      </c>
      <c r="DQ166" s="408">
        <v>0</v>
      </c>
      <c r="DR166" s="408">
        <v>0</v>
      </c>
      <c r="DS166" s="408"/>
      <c r="DT166" s="408"/>
      <c r="DU166" s="408"/>
      <c r="DV166" s="408">
        <v>0</v>
      </c>
      <c r="DW166" s="408">
        <v>0</v>
      </c>
      <c r="DX166" s="408">
        <v>0</v>
      </c>
      <c r="DY166" s="408">
        <v>-48.007439999999406</v>
      </c>
      <c r="DZ166" s="234">
        <v>4016.6224800000018</v>
      </c>
      <c r="EA166" s="408">
        <v>0</v>
      </c>
      <c r="EB166" s="408">
        <v>0</v>
      </c>
      <c r="EC166" s="408">
        <v>0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242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165</v>
      </c>
      <c r="B167" s="408" t="s">
        <v>1036</v>
      </c>
      <c r="C167" s="408" t="s">
        <v>2239</v>
      </c>
      <c r="D167" s="408" t="s">
        <v>597</v>
      </c>
      <c r="E167" s="408" t="s">
        <v>998</v>
      </c>
      <c r="F167" s="408" t="s">
        <v>1322</v>
      </c>
      <c r="G167" s="408" t="s">
        <v>1322</v>
      </c>
      <c r="H167" s="408" t="s">
        <v>1322</v>
      </c>
      <c r="I167" s="408" t="s">
        <v>1322</v>
      </c>
      <c r="J167" s="408" t="s">
        <v>2232</v>
      </c>
      <c r="K167" s="828">
        <v>44470</v>
      </c>
      <c r="L167" s="408">
        <v>1091</v>
      </c>
      <c r="M167" s="408">
        <v>1091</v>
      </c>
      <c r="N167" s="408">
        <v>0</v>
      </c>
      <c r="O167" s="408">
        <v>0</v>
      </c>
      <c r="P167" s="408">
        <v>0</v>
      </c>
      <c r="Q167" s="408">
        <v>0</v>
      </c>
      <c r="R167" s="408">
        <v>32.17</v>
      </c>
      <c r="S167" s="408"/>
      <c r="T167" s="408"/>
      <c r="U167" s="408">
        <v>35097.47</v>
      </c>
      <c r="V167" s="408"/>
      <c r="W167" s="408">
        <v>35097.47</v>
      </c>
      <c r="X167" s="408">
        <v>14106.63</v>
      </c>
      <c r="Y167" s="408">
        <v>0</v>
      </c>
      <c r="Z167" s="408">
        <v>0</v>
      </c>
      <c r="AA167" s="408">
        <v>0</v>
      </c>
      <c r="AB167" s="408">
        <v>0</v>
      </c>
      <c r="AC167" s="408">
        <v>0</v>
      </c>
      <c r="AD167" s="408">
        <v>109.00860161822146</v>
      </c>
      <c r="AE167" s="408">
        <v>29377.068352485861</v>
      </c>
      <c r="AF167" s="408"/>
      <c r="AG167" s="408"/>
      <c r="AH167" s="408"/>
      <c r="AI167" s="408">
        <v>0</v>
      </c>
      <c r="AJ167" s="408">
        <v>0</v>
      </c>
      <c r="AK167" s="408">
        <v>0</v>
      </c>
      <c r="AL167" s="408">
        <v>0</v>
      </c>
      <c r="AM167" s="408"/>
      <c r="AN167" s="408">
        <v>0</v>
      </c>
      <c r="AO167" s="408">
        <v>1924.9834270973795</v>
      </c>
      <c r="AP167" s="408">
        <v>3690.7058955012371</v>
      </c>
      <c r="AQ167" s="408">
        <v>0</v>
      </c>
      <c r="AR167" s="408">
        <v>0</v>
      </c>
      <c r="AS167" s="408"/>
      <c r="AT167" s="408"/>
      <c r="AU167" s="408">
        <v>0</v>
      </c>
      <c r="AV167" s="408">
        <v>0</v>
      </c>
      <c r="AW167" s="408">
        <v>0</v>
      </c>
      <c r="AX167" s="408"/>
      <c r="AY167" s="408"/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/>
      <c r="BG167" s="408">
        <v>0</v>
      </c>
      <c r="BH167" s="408">
        <v>0</v>
      </c>
      <c r="BI167" s="408">
        <v>635.22</v>
      </c>
      <c r="BJ167" s="408">
        <v>2919.22</v>
      </c>
      <c r="BK167" s="408">
        <v>43168.27</v>
      </c>
      <c r="BL167" s="408">
        <v>8</v>
      </c>
      <c r="BM167" s="408"/>
      <c r="BN167" s="408"/>
      <c r="BO167" s="408"/>
      <c r="BP167" s="408"/>
      <c r="BQ167" s="408"/>
      <c r="BR167" s="408"/>
      <c r="BS167" s="408"/>
      <c r="BT167" s="408"/>
      <c r="BU167" s="408"/>
      <c r="BV167" s="408">
        <v>0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14106.63</v>
      </c>
      <c r="CJ167" s="408">
        <v>-20990.87000000001</v>
      </c>
      <c r="CK167" s="408"/>
      <c r="CL167" s="408"/>
      <c r="CM167" s="408"/>
      <c r="CN167" s="408"/>
      <c r="CO167" s="408">
        <v>-20990.840000000004</v>
      </c>
      <c r="CP167" s="408">
        <v>0</v>
      </c>
      <c r="CQ167" s="408">
        <v>31</v>
      </c>
      <c r="CR167" s="408">
        <v>589.92523542345498</v>
      </c>
      <c r="CS167" s="408">
        <v>198.5649745176413</v>
      </c>
      <c r="CT167" s="408">
        <v>380.70193840438333</v>
      </c>
      <c r="CU167" s="408">
        <v>0</v>
      </c>
      <c r="CV167" s="408">
        <v>0</v>
      </c>
      <c r="CW167" s="408"/>
      <c r="CX167" s="408"/>
      <c r="CY167" s="408"/>
      <c r="CZ167" s="408">
        <v>10.658322501430291</v>
      </c>
      <c r="DA167" s="408">
        <v>0</v>
      </c>
      <c r="DB167" s="408">
        <v>0</v>
      </c>
      <c r="DC167" s="408"/>
      <c r="DD167" s="408"/>
      <c r="DE167" s="408">
        <v>0</v>
      </c>
      <c r="DF167" s="408">
        <v>0</v>
      </c>
      <c r="DG167" s="408">
        <v>0</v>
      </c>
      <c r="DH167" s="408">
        <v>0</v>
      </c>
      <c r="DI167" s="408">
        <v>0</v>
      </c>
      <c r="DJ167" s="408"/>
      <c r="DK167" s="408">
        <v>0</v>
      </c>
      <c r="DL167" s="408">
        <v>0</v>
      </c>
      <c r="DM167" s="408"/>
      <c r="DN167" s="408">
        <v>0</v>
      </c>
      <c r="DO167" s="408">
        <v>0</v>
      </c>
      <c r="DP167" s="408">
        <v>0</v>
      </c>
      <c r="DQ167" s="408">
        <v>0</v>
      </c>
      <c r="DR167" s="408">
        <v>0</v>
      </c>
      <c r="DS167" s="408"/>
      <c r="DT167" s="408"/>
      <c r="DU167" s="408">
        <v>29377.068352485861</v>
      </c>
      <c r="DV167" s="408"/>
      <c r="DW167" s="408">
        <v>0</v>
      </c>
      <c r="DX167" s="408">
        <v>0</v>
      </c>
      <c r="DY167" s="408">
        <v>-20990.840000000004</v>
      </c>
      <c r="DZ167" s="234"/>
      <c r="EA167" s="408">
        <v>0</v>
      </c>
      <c r="EB167" s="408"/>
      <c r="EC167" s="408">
        <v>-21583.620525783543</v>
      </c>
      <c r="ED167" s="408"/>
      <c r="EE167" s="408">
        <v>0</v>
      </c>
      <c r="EF167" s="408">
        <v>0</v>
      </c>
      <c r="EG167" s="408"/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/>
      <c r="EN167" s="408"/>
      <c r="EO167" s="408">
        <v>0</v>
      </c>
      <c r="EP167" s="408">
        <v>0</v>
      </c>
      <c r="EQ167" s="408"/>
      <c r="ER167" s="408">
        <v>0</v>
      </c>
      <c r="ES167" s="408"/>
      <c r="ET167" s="408">
        <v>0</v>
      </c>
      <c r="EU167" s="408"/>
      <c r="EV167" s="408">
        <v>242</v>
      </c>
      <c r="EW167" s="408"/>
      <c r="EX167" s="408"/>
      <c r="EY167" s="408"/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166</v>
      </c>
      <c r="B168" s="408" t="s">
        <v>1036</v>
      </c>
      <c r="C168" s="408" t="s">
        <v>2231</v>
      </c>
      <c r="D168" s="408" t="s">
        <v>2241</v>
      </c>
      <c r="E168" s="408" t="s">
        <v>974</v>
      </c>
      <c r="F168" s="408" t="s">
        <v>1322</v>
      </c>
      <c r="G168" s="408" t="s">
        <v>1322</v>
      </c>
      <c r="H168" s="408" t="s">
        <v>1322</v>
      </c>
      <c r="I168" s="408" t="s">
        <v>1322</v>
      </c>
      <c r="J168" s="408" t="s">
        <v>2232</v>
      </c>
      <c r="K168" s="828">
        <v>44470</v>
      </c>
      <c r="L168" s="408">
        <v>0</v>
      </c>
      <c r="M168" s="408">
        <v>0</v>
      </c>
      <c r="N168" s="408">
        <v>3677.192</v>
      </c>
      <c r="O168" s="408">
        <v>3677.192</v>
      </c>
      <c r="P168" s="408">
        <v>3677.192</v>
      </c>
      <c r="Q168" s="408">
        <v>3677.192</v>
      </c>
      <c r="R168" s="408"/>
      <c r="S168" s="408">
        <v>571.87</v>
      </c>
      <c r="T168" s="408">
        <v>216.76</v>
      </c>
      <c r="U168" s="408"/>
      <c r="V168" s="408">
        <v>2899943.9269600003</v>
      </c>
      <c r="W168" s="408">
        <v>2899943.9269600003</v>
      </c>
      <c r="X168" s="408">
        <v>1890113.4599199998</v>
      </c>
      <c r="Y168" s="408">
        <v>0</v>
      </c>
      <c r="Z168" s="408">
        <v>222876.87610940496</v>
      </c>
      <c r="AA168" s="408">
        <v>0</v>
      </c>
      <c r="AB168" s="408">
        <v>0</v>
      </c>
      <c r="AC168" s="408">
        <v>0</v>
      </c>
      <c r="AD168" s="408">
        <v>3022.3344805217071</v>
      </c>
      <c r="AE168" s="408">
        <v>1567894.6157936323</v>
      </c>
      <c r="AF168" s="408">
        <v>785453.73001666775</v>
      </c>
      <c r="AG168" s="408">
        <v>11610.383437644727</v>
      </c>
      <c r="AH168" s="408">
        <v>0</v>
      </c>
      <c r="AI168" s="408">
        <v>0</v>
      </c>
      <c r="AJ168" s="408">
        <v>0</v>
      </c>
      <c r="AK168" s="408">
        <v>0</v>
      </c>
      <c r="AL168" s="408">
        <v>34468.650700223487</v>
      </c>
      <c r="AM168" s="408"/>
      <c r="AN168" s="408">
        <v>7054.5809041371949</v>
      </c>
      <c r="AO168" s="408">
        <v>32659.707909418968</v>
      </c>
      <c r="AP168" s="408">
        <v>102325.60831191426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2188.1852530252722</v>
      </c>
      <c r="BE168" s="408">
        <v>0</v>
      </c>
      <c r="BF168" s="408">
        <v>0</v>
      </c>
      <c r="BG168" s="408">
        <v>130386.74714593722</v>
      </c>
      <c r="BH168" s="408">
        <v>0</v>
      </c>
      <c r="BI168" s="408">
        <v>13619.59</v>
      </c>
      <c r="BJ168" s="408">
        <v>62827.87</v>
      </c>
      <c r="BK168" s="408">
        <v>142424.43</v>
      </c>
      <c r="BL168" s="408">
        <v>10531</v>
      </c>
      <c r="BM168" s="408"/>
      <c r="BN168" s="408"/>
      <c r="BO168" s="408"/>
      <c r="BP168" s="408"/>
      <c r="BQ168" s="408"/>
      <c r="BR168" s="408">
        <v>226809.20255999992</v>
      </c>
      <c r="BS168" s="408"/>
      <c r="BT168" s="408"/>
      <c r="BU168" s="408"/>
      <c r="BV168" s="408">
        <v>918028.66241563018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1663303.3527000002</v>
      </c>
      <c r="CJ168" s="408">
        <v>-888667.92529999977</v>
      </c>
      <c r="CK168" s="408"/>
      <c r="CL168" s="408"/>
      <c r="CM168" s="408"/>
      <c r="CN168" s="408"/>
      <c r="CO168" s="408">
        <v>-1129817.2420000001</v>
      </c>
      <c r="CP168" s="408">
        <v>119986.77495999998</v>
      </c>
      <c r="CQ168" s="408">
        <v>31</v>
      </c>
      <c r="CR168" s="408">
        <v>142124.59545632126</v>
      </c>
      <c r="CS168" s="408">
        <v>3368.8986499825915</v>
      </c>
      <c r="CT168" s="408">
        <v>10555.042459557124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295.50893344555379</v>
      </c>
      <c r="DA168" s="408">
        <v>0</v>
      </c>
      <c r="DB168" s="408">
        <v>0</v>
      </c>
      <c r="DC168" s="408">
        <v>120002.19535063941</v>
      </c>
      <c r="DD168" s="408">
        <v>0</v>
      </c>
      <c r="DE168" s="408">
        <v>0</v>
      </c>
      <c r="DF168" s="408">
        <v>334.31254338986764</v>
      </c>
      <c r="DG168" s="408">
        <v>19920.58259346422</v>
      </c>
      <c r="DH168" s="408">
        <v>0</v>
      </c>
      <c r="DI168" s="408">
        <v>-10648.432106462336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-1396.6907218116976</v>
      </c>
      <c r="DP168" s="408">
        <v>-306.82224588369172</v>
      </c>
      <c r="DQ168" s="408">
        <v>0</v>
      </c>
      <c r="DR168" s="408">
        <v>0</v>
      </c>
      <c r="DS168" s="408"/>
      <c r="DT168" s="408"/>
      <c r="DU168" s="408"/>
      <c r="DV168" s="408">
        <v>1567894.6157936323</v>
      </c>
      <c r="DW168" s="408">
        <v>0</v>
      </c>
      <c r="DX168" s="408">
        <v>0</v>
      </c>
      <c r="DY168" s="408">
        <v>-1129817.2420000001</v>
      </c>
      <c r="DZ168" s="234">
        <v>119986.77495999995</v>
      </c>
      <c r="EA168" s="408">
        <v>0</v>
      </c>
      <c r="EB168" s="408">
        <v>0</v>
      </c>
      <c r="EC168" s="408">
        <v>-1151947.5669138851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242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167</v>
      </c>
      <c r="B169" s="408" t="s">
        <v>2233</v>
      </c>
      <c r="C169" s="408" t="s">
        <v>2231</v>
      </c>
      <c r="D169" s="408" t="s">
        <v>2241</v>
      </c>
      <c r="E169" s="408" t="s">
        <v>974</v>
      </c>
      <c r="F169" s="408" t="s">
        <v>1322</v>
      </c>
      <c r="G169" s="408" t="s">
        <v>1322</v>
      </c>
      <c r="H169" s="408" t="s">
        <v>1322</v>
      </c>
      <c r="I169" s="408" t="s">
        <v>1322</v>
      </c>
      <c r="J169" s="408" t="s">
        <v>2232</v>
      </c>
      <c r="K169" s="828">
        <v>44470</v>
      </c>
      <c r="L169" s="408">
        <v>0</v>
      </c>
      <c r="M169" s="408">
        <v>0</v>
      </c>
      <c r="N169" s="408">
        <v>-3.585</v>
      </c>
      <c r="O169" s="408">
        <v>-3.585</v>
      </c>
      <c r="P169" s="408">
        <v>-3.585</v>
      </c>
      <c r="Q169" s="408">
        <v>-3.585</v>
      </c>
      <c r="R169" s="408"/>
      <c r="S169" s="408">
        <v>571.87</v>
      </c>
      <c r="T169" s="408">
        <v>216.76</v>
      </c>
      <c r="U169" s="408"/>
      <c r="V169" s="408">
        <v>-2827.23855</v>
      </c>
      <c r="W169" s="408">
        <v>-2827.23855</v>
      </c>
      <c r="X169" s="408">
        <v>-1842.7258499999998</v>
      </c>
      <c r="Y169" s="408">
        <v>0</v>
      </c>
      <c r="Z169" s="408">
        <v>-217.28906210288091</v>
      </c>
      <c r="AA169" s="408">
        <v>0</v>
      </c>
      <c r="AB169" s="408">
        <v>0</v>
      </c>
      <c r="AC169" s="408">
        <v>0</v>
      </c>
      <c r="AD169" s="408">
        <v>-2.9465606127366533</v>
      </c>
      <c r="AE169" s="408">
        <v>-1528.5854526008357</v>
      </c>
      <c r="AF169" s="408">
        <v>-765.76138045273501</v>
      </c>
      <c r="AG169" s="408">
        <v>-11.31929598018171</v>
      </c>
      <c r="AH169" s="408">
        <v>0</v>
      </c>
      <c r="AI169" s="408">
        <v>0</v>
      </c>
      <c r="AJ169" s="408">
        <v>0</v>
      </c>
      <c r="AK169" s="408">
        <v>0</v>
      </c>
      <c r="AL169" s="408">
        <v>-33.604476665972619</v>
      </c>
      <c r="AM169" s="408"/>
      <c r="AN169" s="408">
        <v>-6.8777133588161403</v>
      </c>
      <c r="AO169" s="408">
        <v>-31.840886430533679</v>
      </c>
      <c r="AP169" s="408">
        <v>-99.760171837155255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-2.1333245944447832</v>
      </c>
      <c r="BE169" s="408">
        <v>0</v>
      </c>
      <c r="BF169" s="408">
        <v>0</v>
      </c>
      <c r="BG169" s="408">
        <v>-127.11778131742507</v>
      </c>
      <c r="BH169" s="408">
        <v>0</v>
      </c>
      <c r="BI169" s="408">
        <v>-9.68</v>
      </c>
      <c r="BJ169" s="408">
        <v>-44.3</v>
      </c>
      <c r="BK169" s="408">
        <v>-145.63</v>
      </c>
      <c r="BL169" s="408">
        <v>0</v>
      </c>
      <c r="BM169" s="408"/>
      <c r="BN169" s="408"/>
      <c r="BO169" s="408"/>
      <c r="BP169" s="408"/>
      <c r="BQ169" s="408"/>
      <c r="BR169" s="408">
        <v>-221.12279999999993</v>
      </c>
      <c r="BS169" s="408"/>
      <c r="BT169" s="408"/>
      <c r="BU169" s="408"/>
      <c r="BV169" s="408">
        <v>-895.0124863646048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-1623.8647000000001</v>
      </c>
      <c r="CJ169" s="408">
        <v>864.0952999999995</v>
      </c>
      <c r="CK169" s="408"/>
      <c r="CL169" s="408"/>
      <c r="CM169" s="408"/>
      <c r="CN169" s="408"/>
      <c r="CO169" s="408">
        <v>1101.49125</v>
      </c>
      <c r="CP169" s="408">
        <v>-116.97854999999998</v>
      </c>
      <c r="CQ169" s="408">
        <v>31</v>
      </c>
      <c r="CR169" s="408">
        <v>-138.56134645971997</v>
      </c>
      <c r="CS169" s="408">
        <v>-3.2844359664079548</v>
      </c>
      <c r="CT169" s="408">
        <v>-10.290413777010372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-0.28810013901974951</v>
      </c>
      <c r="DA169" s="408">
        <v>0</v>
      </c>
      <c r="DB169" s="408">
        <v>0</v>
      </c>
      <c r="DC169" s="408">
        <v>-116.99358378133172</v>
      </c>
      <c r="DD169" s="408">
        <v>0</v>
      </c>
      <c r="DE169" s="408">
        <v>0</v>
      </c>
      <c r="DF169" s="408">
        <v>-0.32593089184700563</v>
      </c>
      <c r="DG169" s="408">
        <v>-19.421147603271507</v>
      </c>
      <c r="DH169" s="408">
        <v>0</v>
      </c>
      <c r="DI169" s="408">
        <v>10.381462023649448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1.3616738635608172</v>
      </c>
      <c r="DP169" s="408">
        <v>0.29912981195788291</v>
      </c>
      <c r="DQ169" s="408">
        <v>0</v>
      </c>
      <c r="DR169" s="408">
        <v>0</v>
      </c>
      <c r="DS169" s="408"/>
      <c r="DT169" s="408"/>
      <c r="DU169" s="408"/>
      <c r="DV169" s="408">
        <v>-1528.5854526008357</v>
      </c>
      <c r="DW169" s="408">
        <v>0</v>
      </c>
      <c r="DX169" s="408">
        <v>0</v>
      </c>
      <c r="DY169" s="408">
        <v>1101.49125</v>
      </c>
      <c r="DZ169" s="234">
        <v>-116.97855000000004</v>
      </c>
      <c r="EA169" s="408">
        <v>0</v>
      </c>
      <c r="EB169" s="408">
        <v>0</v>
      </c>
      <c r="EC169" s="408">
        <v>1123.066738801313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242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168</v>
      </c>
      <c r="B170" s="408" t="s">
        <v>2234</v>
      </c>
      <c r="C170" s="408" t="s">
        <v>2231</v>
      </c>
      <c r="D170" s="408" t="s">
        <v>2241</v>
      </c>
      <c r="E170" s="408" t="s">
        <v>974</v>
      </c>
      <c r="F170" s="408" t="s">
        <v>1322</v>
      </c>
      <c r="G170" s="408" t="s">
        <v>1322</v>
      </c>
      <c r="H170" s="408" t="s">
        <v>1322</v>
      </c>
      <c r="I170" s="408" t="s">
        <v>1322</v>
      </c>
      <c r="J170" s="408" t="s">
        <v>2232</v>
      </c>
      <c r="K170" s="828">
        <v>44470</v>
      </c>
      <c r="L170" s="408">
        <v>0</v>
      </c>
      <c r="M170" s="408">
        <v>0</v>
      </c>
      <c r="N170" s="408">
        <v>37.037999999999997</v>
      </c>
      <c r="O170" s="408">
        <v>37.037999999999997</v>
      </c>
      <c r="P170" s="408">
        <v>37.037999999999997</v>
      </c>
      <c r="Q170" s="408">
        <v>37.037999999999997</v>
      </c>
      <c r="R170" s="408"/>
      <c r="S170" s="408">
        <v>571.87</v>
      </c>
      <c r="T170" s="408">
        <v>216.76</v>
      </c>
      <c r="U170" s="408"/>
      <c r="V170" s="408">
        <v>29209.277939999996</v>
      </c>
      <c r="W170" s="408">
        <v>29209.277939999996</v>
      </c>
      <c r="X170" s="408">
        <v>19037.90238</v>
      </c>
      <c r="Y170" s="408">
        <v>0</v>
      </c>
      <c r="Z170" s="408">
        <v>2244.8960340771273</v>
      </c>
      <c r="AA170" s="408">
        <v>0</v>
      </c>
      <c r="AB170" s="408">
        <v>0</v>
      </c>
      <c r="AC170" s="408">
        <v>0</v>
      </c>
      <c r="AD170" s="408">
        <v>30.442039602382188</v>
      </c>
      <c r="AE170" s="408">
        <v>15792.398324527127</v>
      </c>
      <c r="AF170" s="408">
        <v>7911.3723875058295</v>
      </c>
      <c r="AG170" s="408">
        <v>116.9439566287225</v>
      </c>
      <c r="AH170" s="408">
        <v>0</v>
      </c>
      <c r="AI170" s="408">
        <v>0</v>
      </c>
      <c r="AJ170" s="408">
        <v>0</v>
      </c>
      <c r="AK170" s="408">
        <v>0</v>
      </c>
      <c r="AL170" s="408">
        <v>347.18064344610707</v>
      </c>
      <c r="AM170" s="408"/>
      <c r="AN170" s="408">
        <v>71.056275420873689</v>
      </c>
      <c r="AO170" s="408">
        <v>328.96032123127094</v>
      </c>
      <c r="AP170" s="408">
        <v>1030.6603192481327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22.040188655242922</v>
      </c>
      <c r="BE170" s="408">
        <v>0</v>
      </c>
      <c r="BF170" s="408">
        <v>0</v>
      </c>
      <c r="BG170" s="408">
        <v>1313.3021992844601</v>
      </c>
      <c r="BH170" s="408">
        <v>0</v>
      </c>
      <c r="BI170" s="408">
        <v>135.41999999999999</v>
      </c>
      <c r="BJ170" s="408">
        <v>626.48</v>
      </c>
      <c r="BK170" s="408">
        <v>1396.46</v>
      </c>
      <c r="BL170" s="408">
        <v>152</v>
      </c>
      <c r="BM170" s="408"/>
      <c r="BN170" s="408"/>
      <c r="BO170" s="408"/>
      <c r="BP170" s="408"/>
      <c r="BQ170" s="408"/>
      <c r="BR170" s="408">
        <v>2284.5038399999989</v>
      </c>
      <c r="BS170" s="408"/>
      <c r="BT170" s="408"/>
      <c r="BU170" s="408"/>
      <c r="BV170" s="408">
        <v>9246.7147754455327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16754.303200000002</v>
      </c>
      <c r="CJ170" s="408">
        <v>-8950.0987999999888</v>
      </c>
      <c r="CK170" s="408"/>
      <c r="CL170" s="408"/>
      <c r="CM170" s="408"/>
      <c r="CN170" s="408"/>
      <c r="CO170" s="408">
        <v>-11379.925499999999</v>
      </c>
      <c r="CP170" s="408">
        <v>1208.5499399999997</v>
      </c>
      <c r="CQ170" s="408">
        <v>31</v>
      </c>
      <c r="CR170" s="408">
        <v>1431.5300279428502</v>
      </c>
      <c r="CS170" s="408">
        <v>33.932758528261559</v>
      </c>
      <c r="CT170" s="408">
        <v>106.31418283763173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2.9764722312450473</v>
      </c>
      <c r="DA170" s="408">
        <v>0</v>
      </c>
      <c r="DB170" s="408">
        <v>0</v>
      </c>
      <c r="DC170" s="408">
        <v>1208.7052597190959</v>
      </c>
      <c r="DD170" s="408">
        <v>0</v>
      </c>
      <c r="DE170" s="408">
        <v>0</v>
      </c>
      <c r="DF170" s="408">
        <v>3.3673161428812826</v>
      </c>
      <c r="DG170" s="408">
        <v>200.64727055229287</v>
      </c>
      <c r="DH170" s="408">
        <v>0</v>
      </c>
      <c r="DI170" s="408">
        <v>-107.25483694056538</v>
      </c>
      <c r="DJ170" s="408"/>
      <c r="DK170" s="408">
        <v>0</v>
      </c>
      <c r="DL170" s="408">
        <v>0</v>
      </c>
      <c r="DM170" s="408">
        <v>0</v>
      </c>
      <c r="DN170" s="408">
        <v>0</v>
      </c>
      <c r="DO170" s="408">
        <v>-14.067971146043362</v>
      </c>
      <c r="DP170" s="408">
        <v>-3.0904239819514885</v>
      </c>
      <c r="DQ170" s="408">
        <v>0</v>
      </c>
      <c r="DR170" s="408">
        <v>0</v>
      </c>
      <c r="DS170" s="408"/>
      <c r="DT170" s="408"/>
      <c r="DU170" s="408"/>
      <c r="DV170" s="408">
        <v>15792.398324527127</v>
      </c>
      <c r="DW170" s="408">
        <v>0</v>
      </c>
      <c r="DX170" s="408">
        <v>0</v>
      </c>
      <c r="DY170" s="408">
        <v>-11379.925499999998</v>
      </c>
      <c r="DZ170" s="234">
        <v>1208.549939999999</v>
      </c>
      <c r="EA170" s="408">
        <v>0</v>
      </c>
      <c r="EB170" s="408">
        <v>0</v>
      </c>
      <c r="EC170" s="408">
        <v>-11602.83008974143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0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242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169</v>
      </c>
      <c r="B171" s="408" t="s">
        <v>1036</v>
      </c>
      <c r="C171" s="408" t="s">
        <v>2231</v>
      </c>
      <c r="D171" s="408" t="s">
        <v>1955</v>
      </c>
      <c r="E171" s="408" t="s">
        <v>2242</v>
      </c>
      <c r="F171" s="408" t="s">
        <v>1322</v>
      </c>
      <c r="G171" s="408" t="s">
        <v>1322</v>
      </c>
      <c r="H171" s="408" t="s">
        <v>1322</v>
      </c>
      <c r="I171" s="408" t="s">
        <v>1322</v>
      </c>
      <c r="J171" s="408" t="s">
        <v>2232</v>
      </c>
      <c r="K171" s="828">
        <v>44470</v>
      </c>
      <c r="L171" s="408">
        <v>0</v>
      </c>
      <c r="M171" s="408">
        <v>0</v>
      </c>
      <c r="N171" s="408">
        <v>30.19</v>
      </c>
      <c r="O171" s="408">
        <v>30.19</v>
      </c>
      <c r="P171" s="408">
        <v>30.19</v>
      </c>
      <c r="Q171" s="408">
        <v>30.19</v>
      </c>
      <c r="R171" s="408"/>
      <c r="S171" s="408">
        <v>571.87</v>
      </c>
      <c r="T171" s="408">
        <v>216.76</v>
      </c>
      <c r="U171" s="408"/>
      <c r="V171" s="408">
        <v>23808.739700000002</v>
      </c>
      <c r="W171" s="408">
        <v>23808.739700000002</v>
      </c>
      <c r="X171" s="408">
        <v>15517.9619</v>
      </c>
      <c r="Y171" s="408">
        <v>0</v>
      </c>
      <c r="Z171" s="408">
        <v>1829.8345285595467</v>
      </c>
      <c r="AA171" s="408">
        <v>0</v>
      </c>
      <c r="AB171" s="408">
        <v>0</v>
      </c>
      <c r="AC171" s="408">
        <v>0</v>
      </c>
      <c r="AD171" s="408">
        <v>24.813574588150505</v>
      </c>
      <c r="AE171" s="408">
        <v>12872.522960674822</v>
      </c>
      <c r="AF171" s="408">
        <v>6448.6293098655715</v>
      </c>
      <c r="AG171" s="408">
        <v>95.32204899349675</v>
      </c>
      <c r="AH171" s="408">
        <v>0</v>
      </c>
      <c r="AI171" s="408">
        <v>0</v>
      </c>
      <c r="AJ171" s="408">
        <v>0</v>
      </c>
      <c r="AK171" s="408">
        <v>0</v>
      </c>
      <c r="AL171" s="408">
        <v>282.99000015222134</v>
      </c>
      <c r="AM171" s="408"/>
      <c r="AN171" s="408">
        <v>57.918595900323375</v>
      </c>
      <c r="AO171" s="408">
        <v>268.13845504541473</v>
      </c>
      <c r="AP171" s="408">
        <v>840.10030342084167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17.965151884599166</v>
      </c>
      <c r="BE171" s="408">
        <v>0</v>
      </c>
      <c r="BF171" s="408">
        <v>0</v>
      </c>
      <c r="BG171" s="408">
        <v>1070.4841891138251</v>
      </c>
      <c r="BH171" s="408">
        <v>0</v>
      </c>
      <c r="BI171" s="408">
        <v>124.71</v>
      </c>
      <c r="BJ171" s="408">
        <v>575.22</v>
      </c>
      <c r="BK171" s="408">
        <v>7900.14</v>
      </c>
      <c r="BL171" s="408">
        <v>102</v>
      </c>
      <c r="BM171" s="408"/>
      <c r="BN171" s="408"/>
      <c r="BO171" s="408"/>
      <c r="BP171" s="408"/>
      <c r="BQ171" s="408"/>
      <c r="BR171" s="408"/>
      <c r="BS171" s="408"/>
      <c r="BT171" s="408"/>
      <c r="BU171" s="408"/>
      <c r="BV171" s="408">
        <v>7537.0786508639958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15517.9619</v>
      </c>
      <c r="CJ171" s="408">
        <v>-8290.8077999999969</v>
      </c>
      <c r="CK171" s="408"/>
      <c r="CL171" s="408"/>
      <c r="CM171" s="408"/>
      <c r="CN171" s="408"/>
      <c r="CO171" s="408">
        <v>-9275.8775000000005</v>
      </c>
      <c r="CP171" s="408">
        <v>985.09969999999987</v>
      </c>
      <c r="CQ171" s="408">
        <v>31</v>
      </c>
      <c r="CR171" s="408">
        <v>1166.8527335059825</v>
      </c>
      <c r="CS171" s="408">
        <v>27.658890327993333</v>
      </c>
      <c r="CT171" s="408">
        <v>86.65762675814301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2.4261487299877942</v>
      </c>
      <c r="DA171" s="408">
        <v>0</v>
      </c>
      <c r="DB171" s="408">
        <v>0</v>
      </c>
      <c r="DC171" s="408">
        <v>985.22630247096276</v>
      </c>
      <c r="DD171" s="408">
        <v>0</v>
      </c>
      <c r="DE171" s="408">
        <v>0</v>
      </c>
      <c r="DF171" s="408">
        <v>2.7447290445916614</v>
      </c>
      <c r="DG171" s="408">
        <v>163.54935736199923</v>
      </c>
      <c r="DH171" s="408">
        <v>0</v>
      </c>
      <c r="DI171" s="408">
        <v>-87.424362201946224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-11.466927180167659</v>
      </c>
      <c r="DP171" s="408">
        <v>-2.5190318055811716</v>
      </c>
      <c r="DQ171" s="408">
        <v>0</v>
      </c>
      <c r="DR171" s="408">
        <v>0</v>
      </c>
      <c r="DS171" s="408"/>
      <c r="DT171" s="408"/>
      <c r="DU171" s="408"/>
      <c r="DV171" s="408">
        <v>12872.522960674822</v>
      </c>
      <c r="DW171" s="408">
        <v>0</v>
      </c>
      <c r="DX171" s="408">
        <v>0</v>
      </c>
      <c r="DY171" s="408">
        <v>-9275.8775000000005</v>
      </c>
      <c r="DZ171" s="234">
        <v>985.09969999999976</v>
      </c>
      <c r="EA171" s="408">
        <v>0</v>
      </c>
      <c r="EB171" s="408">
        <v>0</v>
      </c>
      <c r="EC171" s="408">
        <v>-9457.5689942570843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0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242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170</v>
      </c>
      <c r="B172" s="408" t="s">
        <v>2234</v>
      </c>
      <c r="C172" s="408" t="s">
        <v>2231</v>
      </c>
      <c r="D172" s="408" t="s">
        <v>1955</v>
      </c>
      <c r="E172" s="408" t="s">
        <v>2242</v>
      </c>
      <c r="F172" s="408" t="s">
        <v>1322</v>
      </c>
      <c r="G172" s="408" t="s">
        <v>1322</v>
      </c>
      <c r="H172" s="408" t="s">
        <v>1322</v>
      </c>
      <c r="I172" s="408" t="s">
        <v>1322</v>
      </c>
      <c r="J172" s="408" t="s">
        <v>2232</v>
      </c>
      <c r="K172" s="828">
        <v>44470</v>
      </c>
      <c r="L172" s="408">
        <v>0</v>
      </c>
      <c r="M172" s="408">
        <v>0</v>
      </c>
      <c r="N172" s="408">
        <v>0.1</v>
      </c>
      <c r="O172" s="408">
        <v>0.1</v>
      </c>
      <c r="P172" s="408">
        <v>0.1</v>
      </c>
      <c r="Q172" s="408">
        <v>0.1</v>
      </c>
      <c r="R172" s="408"/>
      <c r="S172" s="408">
        <v>571.87</v>
      </c>
      <c r="T172" s="408">
        <v>216.76</v>
      </c>
      <c r="U172" s="408"/>
      <c r="V172" s="408">
        <v>78.863</v>
      </c>
      <c r="W172" s="408">
        <v>78.863</v>
      </c>
      <c r="X172" s="408">
        <v>51.401000000000003</v>
      </c>
      <c r="Y172" s="408">
        <v>0</v>
      </c>
      <c r="Z172" s="408">
        <v>6.0610617044039303</v>
      </c>
      <c r="AA172" s="408">
        <v>0</v>
      </c>
      <c r="AB172" s="408">
        <v>0</v>
      </c>
      <c r="AC172" s="408">
        <v>0</v>
      </c>
      <c r="AD172" s="408">
        <v>8.2191369950813206E-2</v>
      </c>
      <c r="AE172" s="408">
        <v>42.638366878684401</v>
      </c>
      <c r="AF172" s="408">
        <v>21.360150082363603</v>
      </c>
      <c r="AG172" s="408">
        <v>0.31574047364523605</v>
      </c>
      <c r="AH172" s="408">
        <v>0</v>
      </c>
      <c r="AI172" s="408">
        <v>0</v>
      </c>
      <c r="AJ172" s="408">
        <v>0</v>
      </c>
      <c r="AK172" s="408">
        <v>0</v>
      </c>
      <c r="AL172" s="408">
        <v>0.93736336585697699</v>
      </c>
      <c r="AM172" s="408"/>
      <c r="AN172" s="408">
        <v>0.19184695561551302</v>
      </c>
      <c r="AO172" s="408">
        <v>0.88816977491028393</v>
      </c>
      <c r="AP172" s="408">
        <v>2.7827105114966599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5.9506962188139001E-2</v>
      </c>
      <c r="BE172" s="408">
        <v>0</v>
      </c>
      <c r="BF172" s="408">
        <v>0</v>
      </c>
      <c r="BG172" s="408">
        <v>3.5458237466506297</v>
      </c>
      <c r="BH172" s="408">
        <v>0</v>
      </c>
      <c r="BI172" s="408">
        <v>0.41</v>
      </c>
      <c r="BJ172" s="408">
        <v>1.91</v>
      </c>
      <c r="BK172" s="408">
        <v>95.9</v>
      </c>
      <c r="BL172" s="408">
        <v>1</v>
      </c>
      <c r="BM172" s="408"/>
      <c r="BN172" s="408"/>
      <c r="BO172" s="408"/>
      <c r="BP172" s="408"/>
      <c r="BQ172" s="408"/>
      <c r="BR172" s="408"/>
      <c r="BS172" s="408"/>
      <c r="BT172" s="408"/>
      <c r="BU172" s="408"/>
      <c r="BV172" s="408">
        <v>24.965480791202371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51.401000000000003</v>
      </c>
      <c r="CJ172" s="408">
        <v>-27.492000000000012</v>
      </c>
      <c r="CK172" s="408"/>
      <c r="CL172" s="408"/>
      <c r="CM172" s="408"/>
      <c r="CN172" s="408"/>
      <c r="CO172" s="408">
        <v>-30.725000000000001</v>
      </c>
      <c r="CP172" s="408">
        <v>3.2629999999999999</v>
      </c>
      <c r="CQ172" s="408">
        <v>31</v>
      </c>
      <c r="CR172" s="408">
        <v>3.8650305846504907</v>
      </c>
      <c r="CS172" s="408">
        <v>9.1616066008590069E-2</v>
      </c>
      <c r="CT172" s="408">
        <v>0.28704083060001029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8.0362660814434911E-3</v>
      </c>
      <c r="DA172" s="408">
        <v>0</v>
      </c>
      <c r="DB172" s="408">
        <v>0</v>
      </c>
      <c r="DC172" s="408">
        <v>3.2634193523383992</v>
      </c>
      <c r="DD172" s="408">
        <v>0</v>
      </c>
      <c r="DE172" s="408">
        <v>0</v>
      </c>
      <c r="DF172" s="408">
        <v>9.0915172063320976E-3</v>
      </c>
      <c r="DG172" s="408">
        <v>0.5417335454190102</v>
      </c>
      <c r="DH172" s="408">
        <v>0</v>
      </c>
      <c r="DI172" s="408">
        <v>-0.28958053064572997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-3.7982534548418934E-2</v>
      </c>
      <c r="DP172" s="408">
        <v>-8.3439278091460012E-3</v>
      </c>
      <c r="DQ172" s="408">
        <v>0</v>
      </c>
      <c r="DR172" s="408">
        <v>0</v>
      </c>
      <c r="DS172" s="408"/>
      <c r="DT172" s="408"/>
      <c r="DU172" s="408"/>
      <c r="DV172" s="408">
        <v>42.638366878684401</v>
      </c>
      <c r="DW172" s="408">
        <v>0</v>
      </c>
      <c r="DX172" s="408">
        <v>0</v>
      </c>
      <c r="DY172" s="408">
        <v>-30.725000000000001</v>
      </c>
      <c r="DZ172" s="234">
        <v>3.2629999999999981</v>
      </c>
      <c r="EA172" s="408">
        <v>0</v>
      </c>
      <c r="EB172" s="408">
        <v>0</v>
      </c>
      <c r="EC172" s="408">
        <v>-31.326826744806503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242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171</v>
      </c>
      <c r="B173" s="408" t="s">
        <v>1036</v>
      </c>
      <c r="C173" s="408" t="s">
        <v>2239</v>
      </c>
      <c r="D173" s="408" t="s">
        <v>597</v>
      </c>
      <c r="E173" s="408" t="s">
        <v>2242</v>
      </c>
      <c r="F173" s="408" t="s">
        <v>1322</v>
      </c>
      <c r="G173" s="408" t="s">
        <v>1322</v>
      </c>
      <c r="H173" s="408" t="s">
        <v>1322</v>
      </c>
      <c r="I173" s="408" t="s">
        <v>973</v>
      </c>
      <c r="J173" s="408" t="s">
        <v>2232</v>
      </c>
      <c r="K173" s="828">
        <v>44470</v>
      </c>
      <c r="L173" s="408">
        <v>0</v>
      </c>
      <c r="M173" s="408">
        <v>0</v>
      </c>
      <c r="N173" s="408">
        <v>1.071</v>
      </c>
      <c r="O173" s="408">
        <v>1.071</v>
      </c>
      <c r="P173" s="408">
        <v>1.071</v>
      </c>
      <c r="Q173" s="408">
        <v>1.071</v>
      </c>
      <c r="R173" s="408"/>
      <c r="S173" s="408">
        <v>2592.54</v>
      </c>
      <c r="T173" s="408">
        <v>216.76</v>
      </c>
      <c r="U173" s="408"/>
      <c r="V173" s="408">
        <v>3008.7602999999999</v>
      </c>
      <c r="W173" s="408">
        <v>3008.7602999999999</v>
      </c>
      <c r="X173" s="408">
        <v>1265.0652</v>
      </c>
      <c r="Y173" s="408">
        <v>0</v>
      </c>
      <c r="Z173" s="408">
        <v>56.475154643124505</v>
      </c>
      <c r="AA173" s="408">
        <v>0</v>
      </c>
      <c r="AB173" s="408">
        <v>0</v>
      </c>
      <c r="AC173" s="408">
        <v>0</v>
      </c>
      <c r="AD173" s="408">
        <v>5.4156563067684464</v>
      </c>
      <c r="AE173" s="408">
        <v>2453.5448012272118</v>
      </c>
      <c r="AF173" s="408">
        <v>228.76720738211415</v>
      </c>
      <c r="AG173" s="408">
        <v>3.3815804727404775</v>
      </c>
      <c r="AH173" s="408">
        <v>0</v>
      </c>
      <c r="AI173" s="408">
        <v>0</v>
      </c>
      <c r="AJ173" s="408">
        <v>0</v>
      </c>
      <c r="AK173" s="408">
        <v>0</v>
      </c>
      <c r="AL173" s="408">
        <v>10.039161648328223</v>
      </c>
      <c r="AM173" s="408"/>
      <c r="AN173" s="408">
        <v>1.4707209724530528</v>
      </c>
      <c r="AO173" s="408">
        <v>48.318027420231715</v>
      </c>
      <c r="AP173" s="408">
        <v>183.35600188379598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0.48976690604525785</v>
      </c>
      <c r="BE173" s="408">
        <v>0</v>
      </c>
      <c r="BF173" s="408">
        <v>0</v>
      </c>
      <c r="BG173" s="408">
        <v>17.496023961775904</v>
      </c>
      <c r="BH173" s="408">
        <v>0</v>
      </c>
      <c r="BI173" s="408">
        <v>0</v>
      </c>
      <c r="BJ173" s="408">
        <v>0</v>
      </c>
      <c r="BK173" s="408">
        <v>0</v>
      </c>
      <c r="BL173" s="408">
        <v>0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>
        <v>246.7529982499353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1263.884</v>
      </c>
      <c r="CJ173" s="408">
        <v>-1744.9063000000006</v>
      </c>
      <c r="CK173" s="408"/>
      <c r="CL173" s="408"/>
      <c r="CM173" s="408"/>
      <c r="CN173" s="408"/>
      <c r="CO173" s="408">
        <v>-1778.64183</v>
      </c>
      <c r="CP173" s="408">
        <v>34.946729999999995</v>
      </c>
      <c r="CQ173" s="408">
        <v>31</v>
      </c>
      <c r="CR173" s="408">
        <v>58.957165926912694</v>
      </c>
      <c r="CS173" s="408">
        <v>4.9840781735495696</v>
      </c>
      <c r="CT173" s="408">
        <v>18.913451061034948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0.52951611723815173</v>
      </c>
      <c r="DA173" s="408">
        <v>0</v>
      </c>
      <c r="DB173" s="408">
        <v>0</v>
      </c>
      <c r="DC173" s="408">
        <v>34.951221263544284</v>
      </c>
      <c r="DD173" s="408">
        <v>0</v>
      </c>
      <c r="DE173" s="408">
        <v>0</v>
      </c>
      <c r="DF173" s="408">
        <v>7.4826946119760929E-2</v>
      </c>
      <c r="DG173" s="408">
        <v>2.6730553374238895</v>
      </c>
      <c r="DH173" s="408">
        <v>0</v>
      </c>
      <c r="DI173" s="408">
        <v>-2.6982245103976581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-0.40679294501356722</v>
      </c>
      <c r="DP173" s="408">
        <v>-6.3965516586769411E-2</v>
      </c>
      <c r="DQ173" s="408">
        <v>0</v>
      </c>
      <c r="DR173" s="408">
        <v>0</v>
      </c>
      <c r="DS173" s="408"/>
      <c r="DT173" s="408"/>
      <c r="DU173" s="408"/>
      <c r="DV173" s="408">
        <v>2453.5448012272118</v>
      </c>
      <c r="DW173" s="408">
        <v>0</v>
      </c>
      <c r="DX173" s="408">
        <v>0</v>
      </c>
      <c r="DY173" s="408">
        <v>-1778.6418299999998</v>
      </c>
      <c r="DZ173" s="234">
        <v>34.946729999999974</v>
      </c>
      <c r="EA173" s="408">
        <v>0</v>
      </c>
      <c r="EB173" s="408">
        <v>0</v>
      </c>
      <c r="EC173" s="408">
        <v>-1802.6434529576231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242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172</v>
      </c>
      <c r="B174" s="408" t="s">
        <v>1036</v>
      </c>
      <c r="C174" s="408" t="s">
        <v>2239</v>
      </c>
      <c r="D174" s="408" t="s">
        <v>597</v>
      </c>
      <c r="E174" s="408" t="s">
        <v>2242</v>
      </c>
      <c r="F174" s="408" t="s">
        <v>1322</v>
      </c>
      <c r="G174" s="408" t="s">
        <v>1322</v>
      </c>
      <c r="H174" s="408" t="s">
        <v>1322</v>
      </c>
      <c r="I174" s="408" t="s">
        <v>2240</v>
      </c>
      <c r="J174" s="408" t="s">
        <v>2232</v>
      </c>
      <c r="K174" s="828">
        <v>44470</v>
      </c>
      <c r="L174" s="408">
        <v>0</v>
      </c>
      <c r="M174" s="408">
        <v>0</v>
      </c>
      <c r="N174" s="408">
        <v>10.381</v>
      </c>
      <c r="O174" s="408">
        <v>10.381</v>
      </c>
      <c r="P174" s="408">
        <v>10.381</v>
      </c>
      <c r="Q174" s="408">
        <v>10.381</v>
      </c>
      <c r="R174" s="408"/>
      <c r="S174" s="408">
        <v>80.27</v>
      </c>
      <c r="T174" s="408">
        <v>216.76</v>
      </c>
      <c r="U174" s="408"/>
      <c r="V174" s="408">
        <v>3083.4684299999999</v>
      </c>
      <c r="W174" s="408">
        <v>3083.4684299999999</v>
      </c>
      <c r="X174" s="408">
        <v>3418.1518700000001</v>
      </c>
      <c r="Y174" s="408">
        <v>0</v>
      </c>
      <c r="Z174" s="408">
        <v>547.40296951472976</v>
      </c>
      <c r="AA174" s="408">
        <v>0</v>
      </c>
      <c r="AB174" s="408">
        <v>0</v>
      </c>
      <c r="AC174" s="408">
        <v>0</v>
      </c>
      <c r="AD174" s="408">
        <v>0</v>
      </c>
      <c r="AE174" s="408">
        <v>0</v>
      </c>
      <c r="AF174" s="408">
        <v>2217.3971800501654</v>
      </c>
      <c r="AG174" s="408">
        <v>32.777018569111952</v>
      </c>
      <c r="AH174" s="408">
        <v>0</v>
      </c>
      <c r="AI174" s="408">
        <v>0</v>
      </c>
      <c r="AJ174" s="408">
        <v>0</v>
      </c>
      <c r="AK174" s="408">
        <v>0</v>
      </c>
      <c r="AL174" s="408">
        <v>97.307691009612782</v>
      </c>
      <c r="AM174" s="408"/>
      <c r="AN174" s="408">
        <v>14.255419621881552</v>
      </c>
      <c r="AO174" s="408">
        <v>0</v>
      </c>
      <c r="AP174" s="408">
        <v>0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4.7472177886608984</v>
      </c>
      <c r="BE174" s="408">
        <v>0</v>
      </c>
      <c r="BF174" s="408">
        <v>0</v>
      </c>
      <c r="BG174" s="408">
        <v>169.58564402165794</v>
      </c>
      <c r="BH174" s="408">
        <v>0</v>
      </c>
      <c r="BI174" s="408">
        <v>0</v>
      </c>
      <c r="BJ174" s="408">
        <v>0</v>
      </c>
      <c r="BK174" s="408">
        <v>0</v>
      </c>
      <c r="BL174" s="408">
        <v>0</v>
      </c>
      <c r="BM174" s="408"/>
      <c r="BN174" s="408"/>
      <c r="BO174" s="408"/>
      <c r="BP174" s="408"/>
      <c r="BQ174" s="408"/>
      <c r="BR174" s="408"/>
      <c r="BS174" s="408"/>
      <c r="BT174" s="408"/>
      <c r="BU174" s="408"/>
      <c r="BV174" s="408">
        <v>2391.7300418604841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3417.8226</v>
      </c>
      <c r="CJ174" s="408">
        <v>334.32416999999987</v>
      </c>
      <c r="CK174" s="408"/>
      <c r="CL174" s="408"/>
      <c r="CM174" s="408"/>
      <c r="CN174" s="408"/>
      <c r="CO174" s="408">
        <v>-4.0485900000000061</v>
      </c>
      <c r="CP174" s="408">
        <v>338.73202999999995</v>
      </c>
      <c r="CQ174" s="408">
        <v>31</v>
      </c>
      <c r="CR174" s="408">
        <v>334.69391380953175</v>
      </c>
      <c r="CS174" s="408">
        <v>0</v>
      </c>
      <c r="CT174" s="408">
        <v>0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0</v>
      </c>
      <c r="DA174" s="408">
        <v>0</v>
      </c>
      <c r="DB174" s="408">
        <v>0</v>
      </c>
      <c r="DC174" s="408">
        <v>338.77556296624925</v>
      </c>
      <c r="DD174" s="408">
        <v>0</v>
      </c>
      <c r="DE174" s="408">
        <v>0</v>
      </c>
      <c r="DF174" s="408">
        <v>0.72528340585362994</v>
      </c>
      <c r="DG174" s="408">
        <v>25.909418728102168</v>
      </c>
      <c r="DH174" s="408">
        <v>0</v>
      </c>
      <c r="DI174" s="408">
        <v>-26.153378751109358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-3.9429669114713732</v>
      </c>
      <c r="DP174" s="408">
        <v>-0.62000562809267379</v>
      </c>
      <c r="DQ174" s="408">
        <v>0</v>
      </c>
      <c r="DR174" s="408">
        <v>0</v>
      </c>
      <c r="DS174" s="408"/>
      <c r="DT174" s="408"/>
      <c r="DU174" s="408"/>
      <c r="DV174" s="408">
        <v>0</v>
      </c>
      <c r="DW174" s="408">
        <v>0</v>
      </c>
      <c r="DX174" s="408">
        <v>0</v>
      </c>
      <c r="DY174" s="408">
        <v>-4.0485899999999901</v>
      </c>
      <c r="DZ174" s="234">
        <v>338.73203000000012</v>
      </c>
      <c r="EA174" s="408">
        <v>0</v>
      </c>
      <c r="EB174" s="408">
        <v>0</v>
      </c>
      <c r="EC174" s="408">
        <v>0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242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173</v>
      </c>
      <c r="B175" s="408" t="s">
        <v>1036</v>
      </c>
      <c r="C175" s="408" t="s">
        <v>2239</v>
      </c>
      <c r="D175" s="408" t="s">
        <v>597</v>
      </c>
      <c r="E175" s="408" t="s">
        <v>2242</v>
      </c>
      <c r="F175" s="408" t="s">
        <v>1322</v>
      </c>
      <c r="G175" s="408" t="s">
        <v>1322</v>
      </c>
      <c r="H175" s="408" t="s">
        <v>1322</v>
      </c>
      <c r="I175" s="408" t="s">
        <v>1322</v>
      </c>
      <c r="J175" s="408" t="s">
        <v>2232</v>
      </c>
      <c r="K175" s="828">
        <v>44470</v>
      </c>
      <c r="L175" s="408">
        <v>70</v>
      </c>
      <c r="M175" s="408">
        <v>70</v>
      </c>
      <c r="N175" s="408">
        <v>0</v>
      </c>
      <c r="O175" s="408">
        <v>0</v>
      </c>
      <c r="P175" s="408">
        <v>0</v>
      </c>
      <c r="Q175" s="408">
        <v>0</v>
      </c>
      <c r="R175" s="408">
        <v>32.17</v>
      </c>
      <c r="S175" s="408"/>
      <c r="T175" s="408"/>
      <c r="U175" s="408">
        <v>2251.9</v>
      </c>
      <c r="V175" s="408"/>
      <c r="W175" s="408">
        <v>2251.9</v>
      </c>
      <c r="X175" s="408">
        <v>905.1</v>
      </c>
      <c r="Y175" s="408">
        <v>0</v>
      </c>
      <c r="Z175" s="408">
        <v>0</v>
      </c>
      <c r="AA175" s="408">
        <v>0</v>
      </c>
      <c r="AB175" s="408">
        <v>0</v>
      </c>
      <c r="AC175" s="408">
        <v>0</v>
      </c>
      <c r="AD175" s="408">
        <v>6.9941357591892785</v>
      </c>
      <c r="AE175" s="408">
        <v>1884.8714799945101</v>
      </c>
      <c r="AF175" s="408"/>
      <c r="AG175" s="408"/>
      <c r="AH175" s="408"/>
      <c r="AI175" s="408">
        <v>0</v>
      </c>
      <c r="AJ175" s="408">
        <v>0</v>
      </c>
      <c r="AK175" s="408">
        <v>0</v>
      </c>
      <c r="AL175" s="408">
        <v>0</v>
      </c>
      <c r="AM175" s="408"/>
      <c r="AN175" s="408">
        <v>0</v>
      </c>
      <c r="AO175" s="408">
        <v>123.50947744896111</v>
      </c>
      <c r="AP175" s="408">
        <v>236.8005615811976</v>
      </c>
      <c r="AQ175" s="408">
        <v>0</v>
      </c>
      <c r="AR175" s="408">
        <v>0</v>
      </c>
      <c r="AS175" s="408"/>
      <c r="AT175" s="408"/>
      <c r="AU175" s="408">
        <v>0</v>
      </c>
      <c r="AV175" s="408">
        <v>0</v>
      </c>
      <c r="AW175" s="408">
        <v>0</v>
      </c>
      <c r="AX175" s="408"/>
      <c r="AY175" s="408"/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0</v>
      </c>
      <c r="BF175" s="408"/>
      <c r="BG175" s="408">
        <v>0</v>
      </c>
      <c r="BH175" s="408">
        <v>0</v>
      </c>
      <c r="BI175" s="408">
        <v>45.76</v>
      </c>
      <c r="BJ175" s="408">
        <v>210.31</v>
      </c>
      <c r="BK175" s="408">
        <v>2977.87</v>
      </c>
      <c r="BL175" s="408">
        <v>1</v>
      </c>
      <c r="BM175" s="408"/>
      <c r="BN175" s="408"/>
      <c r="BO175" s="408"/>
      <c r="BP175" s="408"/>
      <c r="BQ175" s="408"/>
      <c r="BR175" s="408"/>
      <c r="BS175" s="408"/>
      <c r="BT175" s="408"/>
      <c r="BU175" s="408"/>
      <c r="BV175" s="408">
        <v>0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905.1</v>
      </c>
      <c r="CJ175" s="408">
        <v>-1346.8300000000008</v>
      </c>
      <c r="CK175" s="408"/>
      <c r="CL175" s="408"/>
      <c r="CM175" s="408"/>
      <c r="CN175" s="408"/>
      <c r="CO175" s="408">
        <v>-1346.8000000000002</v>
      </c>
      <c r="CP175" s="408">
        <v>0</v>
      </c>
      <c r="CQ175" s="408">
        <v>31</v>
      </c>
      <c r="CR175" s="408">
        <v>37.850381741193246</v>
      </c>
      <c r="CS175" s="408">
        <v>12.740190848977889</v>
      </c>
      <c r="CT175" s="408">
        <v>24.426338852710217</v>
      </c>
      <c r="CU175" s="408">
        <v>0</v>
      </c>
      <c r="CV175" s="408">
        <v>0</v>
      </c>
      <c r="CW175" s="408"/>
      <c r="CX175" s="408"/>
      <c r="CY175" s="408"/>
      <c r="CZ175" s="408">
        <v>0.68385203950515105</v>
      </c>
      <c r="DA175" s="408">
        <v>0</v>
      </c>
      <c r="DB175" s="408">
        <v>0</v>
      </c>
      <c r="DC175" s="408"/>
      <c r="DD175" s="408"/>
      <c r="DE175" s="408">
        <v>0</v>
      </c>
      <c r="DF175" s="408">
        <v>0</v>
      </c>
      <c r="DG175" s="408">
        <v>0</v>
      </c>
      <c r="DH175" s="408">
        <v>0</v>
      </c>
      <c r="DI175" s="408">
        <v>0</v>
      </c>
      <c r="DJ175" s="408"/>
      <c r="DK175" s="408">
        <v>0</v>
      </c>
      <c r="DL175" s="408">
        <v>0</v>
      </c>
      <c r="DM175" s="408"/>
      <c r="DN175" s="408">
        <v>0</v>
      </c>
      <c r="DO175" s="408">
        <v>0</v>
      </c>
      <c r="DP175" s="408">
        <v>0</v>
      </c>
      <c r="DQ175" s="408">
        <v>0</v>
      </c>
      <c r="DR175" s="408">
        <v>0</v>
      </c>
      <c r="DS175" s="408"/>
      <c r="DT175" s="408"/>
      <c r="DU175" s="408">
        <v>1884.8714799945101</v>
      </c>
      <c r="DV175" s="408"/>
      <c r="DW175" s="408">
        <v>0</v>
      </c>
      <c r="DX175" s="408">
        <v>0</v>
      </c>
      <c r="DY175" s="408">
        <v>-1346.8000000000002</v>
      </c>
      <c r="DZ175" s="234"/>
      <c r="EA175" s="408">
        <v>0</v>
      </c>
      <c r="EB175" s="408"/>
      <c r="EC175" s="408">
        <v>-1384.8335809393659</v>
      </c>
      <c r="ED175" s="408"/>
      <c r="EE175" s="408">
        <v>0</v>
      </c>
      <c r="EF175" s="408">
        <v>0</v>
      </c>
      <c r="EG175" s="408"/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/>
      <c r="EN175" s="408"/>
      <c r="EO175" s="408">
        <v>0</v>
      </c>
      <c r="EP175" s="408">
        <v>0</v>
      </c>
      <c r="EQ175" s="408"/>
      <c r="ER175" s="408">
        <v>0</v>
      </c>
      <c r="ES175" s="408"/>
      <c r="ET175" s="408">
        <v>0</v>
      </c>
      <c r="EU175" s="408"/>
      <c r="EV175" s="408">
        <v>242</v>
      </c>
      <c r="EW175" s="408"/>
      <c r="EX175" s="408"/>
      <c r="EY175" s="408"/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174</v>
      </c>
      <c r="B176" s="408" t="s">
        <v>1036</v>
      </c>
      <c r="C176" s="408" t="s">
        <v>2231</v>
      </c>
      <c r="D176" s="408" t="s">
        <v>2243</v>
      </c>
      <c r="E176" s="408" t="s">
        <v>2244</v>
      </c>
      <c r="F176" s="408" t="s">
        <v>2245</v>
      </c>
      <c r="G176" s="408" t="s">
        <v>1322</v>
      </c>
      <c r="H176" s="408" t="s">
        <v>1322</v>
      </c>
      <c r="I176" s="408" t="s">
        <v>1322</v>
      </c>
      <c r="J176" s="408" t="s">
        <v>2232</v>
      </c>
      <c r="K176" s="828">
        <v>44470</v>
      </c>
      <c r="L176" s="408">
        <v>0</v>
      </c>
      <c r="M176" s="408">
        <v>0</v>
      </c>
      <c r="N176" s="408">
        <v>74.558999999999997</v>
      </c>
      <c r="O176" s="408">
        <v>74.558999999999997</v>
      </c>
      <c r="P176" s="408">
        <v>74.558999999999997</v>
      </c>
      <c r="Q176" s="408">
        <v>74.558999999999997</v>
      </c>
      <c r="R176" s="408"/>
      <c r="S176" s="408">
        <v>314.52999999999997</v>
      </c>
      <c r="T176" s="408">
        <v>119.22</v>
      </c>
      <c r="U176" s="408"/>
      <c r="V176" s="408">
        <v>32339.966249999998</v>
      </c>
      <c r="W176" s="408">
        <v>32339.966249999998</v>
      </c>
      <c r="X176" s="408">
        <v>21078.574889999996</v>
      </c>
      <c r="Y176" s="408">
        <v>0</v>
      </c>
      <c r="Z176" s="408">
        <v>2485.4868479025881</v>
      </c>
      <c r="AA176" s="408">
        <v>0</v>
      </c>
      <c r="AB176" s="408">
        <v>0</v>
      </c>
      <c r="AC176" s="408">
        <v>0</v>
      </c>
      <c r="AD176" s="408">
        <v>33.704584936894776</v>
      </c>
      <c r="AE176" s="408">
        <v>17484.906978593051</v>
      </c>
      <c r="AF176" s="408">
        <v>8759.2528649502256</v>
      </c>
      <c r="AG176" s="408">
        <v>129.47711685983347</v>
      </c>
      <c r="AH176" s="408">
        <v>0</v>
      </c>
      <c r="AI176" s="408">
        <v>0</v>
      </c>
      <c r="AJ176" s="408">
        <v>0</v>
      </c>
      <c r="AK176" s="408">
        <v>0</v>
      </c>
      <c r="AL176" s="408">
        <v>384.38881357211665</v>
      </c>
      <c r="AM176" s="408"/>
      <c r="AN176" s="408">
        <v>78.671544400553572</v>
      </c>
      <c r="AO176" s="408">
        <v>364.21577636144713</v>
      </c>
      <c r="AP176" s="408">
        <v>1141.1186216467347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24.402287765820041</v>
      </c>
      <c r="BE176" s="408">
        <v>0</v>
      </c>
      <c r="BF176" s="408">
        <v>0</v>
      </c>
      <c r="BG176" s="408">
        <v>1454.0518999958863</v>
      </c>
      <c r="BH176" s="408">
        <v>0</v>
      </c>
      <c r="BI176" s="408">
        <v>200.81</v>
      </c>
      <c r="BJ176" s="408">
        <v>923.07</v>
      </c>
      <c r="BK176" s="408">
        <v>8197.3700000000008</v>
      </c>
      <c r="BL176" s="408">
        <v>10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>
        <v>10237.707052711932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21078.857599999999</v>
      </c>
      <c r="CJ176" s="408">
        <v>-11261.138649999994</v>
      </c>
      <c r="CK176" s="408"/>
      <c r="CL176" s="408"/>
      <c r="CM176" s="408"/>
      <c r="CN176" s="408"/>
      <c r="CO176" s="408">
        <v>-12599.725409999997</v>
      </c>
      <c r="CP176" s="408">
        <v>1338.334049999999</v>
      </c>
      <c r="CQ176" s="408">
        <v>31</v>
      </c>
      <c r="CR176" s="408">
        <v>1584.9504844852454</v>
      </c>
      <c r="CS176" s="408">
        <v>37.569412460439878</v>
      </c>
      <c r="CT176" s="408">
        <v>117.70812508788731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3.2954677952148828</v>
      </c>
      <c r="DA176" s="408">
        <v>0</v>
      </c>
      <c r="DB176" s="408">
        <v>0</v>
      </c>
      <c r="DC176" s="408">
        <v>1338.2450592004789</v>
      </c>
      <c r="DD176" s="408">
        <v>0</v>
      </c>
      <c r="DE176" s="408">
        <v>0</v>
      </c>
      <c r="DF176" s="408">
        <v>3.7281993726279907</v>
      </c>
      <c r="DG176" s="408">
        <v>222.15111277092387</v>
      </c>
      <c r="DH176" s="408">
        <v>0</v>
      </c>
      <c r="DI176" s="408">
        <v>-118.74959131428113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-15.575668863675276</v>
      </c>
      <c r="DP176" s="408">
        <v>-3.4216320243714193</v>
      </c>
      <c r="DQ176" s="408">
        <v>0</v>
      </c>
      <c r="DR176" s="408">
        <v>0</v>
      </c>
      <c r="DS176" s="408"/>
      <c r="DT176" s="408"/>
      <c r="DU176" s="408"/>
      <c r="DV176" s="408">
        <v>17484.906978593051</v>
      </c>
      <c r="DW176" s="408">
        <v>0</v>
      </c>
      <c r="DX176" s="408">
        <v>0</v>
      </c>
      <c r="DY176" s="408">
        <v>-12599.725409999999</v>
      </c>
      <c r="DZ176" s="234">
        <v>1338.3340499999995</v>
      </c>
      <c r="EA176" s="408">
        <v>0</v>
      </c>
      <c r="EB176" s="408">
        <v>0</v>
      </c>
      <c r="EC176" s="408">
        <v>-12846.332813963127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242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175</v>
      </c>
      <c r="B177" s="408" t="s">
        <v>1036</v>
      </c>
      <c r="C177" s="408" t="s">
        <v>2231</v>
      </c>
      <c r="D177" s="408" t="s">
        <v>1955</v>
      </c>
      <c r="E177" s="408" t="s">
        <v>1001</v>
      </c>
      <c r="F177" s="408" t="s">
        <v>2246</v>
      </c>
      <c r="G177" s="408" t="s">
        <v>1322</v>
      </c>
      <c r="H177" s="408" t="s">
        <v>1322</v>
      </c>
      <c r="I177" s="408" t="s">
        <v>1322</v>
      </c>
      <c r="J177" s="408" t="s">
        <v>2232</v>
      </c>
      <c r="K177" s="828">
        <v>44470</v>
      </c>
      <c r="L177" s="408">
        <v>0</v>
      </c>
      <c r="M177" s="408">
        <v>0</v>
      </c>
      <c r="N177" s="408">
        <v>130.50800000000001</v>
      </c>
      <c r="O177" s="408">
        <v>122.67752</v>
      </c>
      <c r="P177" s="408">
        <v>130.50800000000001</v>
      </c>
      <c r="Q177" s="408">
        <v>122.67752</v>
      </c>
      <c r="R177" s="408"/>
      <c r="S177" s="408">
        <v>571.87</v>
      </c>
      <c r="T177" s="408">
        <v>216.76</v>
      </c>
      <c r="U177" s="408"/>
      <c r="V177" s="408">
        <v>102922.52404</v>
      </c>
      <c r="W177" s="408">
        <v>102922.52404</v>
      </c>
      <c r="X177" s="408">
        <v>67082.417079999999</v>
      </c>
      <c r="Y177" s="408">
        <v>0</v>
      </c>
      <c r="Z177" s="408">
        <v>7910.1704091834818</v>
      </c>
      <c r="AA177" s="408">
        <v>0</v>
      </c>
      <c r="AB177" s="408">
        <v>0</v>
      </c>
      <c r="AC177" s="408">
        <v>0</v>
      </c>
      <c r="AD177" s="408">
        <v>107.2663130954073</v>
      </c>
      <c r="AE177" s="408">
        <v>55646.479846033442</v>
      </c>
      <c r="AF177" s="408">
        <v>27876.70466949109</v>
      </c>
      <c r="AG177" s="408">
        <v>412.06657734492467</v>
      </c>
      <c r="AH177" s="408">
        <v>0</v>
      </c>
      <c r="AI177" s="408">
        <v>0</v>
      </c>
      <c r="AJ177" s="408">
        <v>0</v>
      </c>
      <c r="AK177" s="408">
        <v>0</v>
      </c>
      <c r="AL177" s="408">
        <v>1223.3341815126234</v>
      </c>
      <c r="AM177" s="408"/>
      <c r="AN177" s="408">
        <v>250.37562483469372</v>
      </c>
      <c r="AO177" s="408">
        <v>1159.1326098399134</v>
      </c>
      <c r="AP177" s="408">
        <v>3631.6598343440614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77.661346212496454</v>
      </c>
      <c r="BE177" s="408">
        <v>0</v>
      </c>
      <c r="BF177" s="408">
        <v>0</v>
      </c>
      <c r="BG177" s="408">
        <v>4627.5836552788041</v>
      </c>
      <c r="BH177" s="408">
        <v>0</v>
      </c>
      <c r="BI177" s="408">
        <v>507.57</v>
      </c>
      <c r="BJ177" s="408">
        <v>2334.6</v>
      </c>
      <c r="BK177" s="408">
        <v>37713.519999999997</v>
      </c>
      <c r="BL177" s="408">
        <v>91</v>
      </c>
      <c r="BM177" s="408"/>
      <c r="BN177" s="408"/>
      <c r="BO177" s="408"/>
      <c r="BP177" s="408"/>
      <c r="BQ177" s="408">
        <v>4024.9450248000039</v>
      </c>
      <c r="BR177" s="408"/>
      <c r="BS177" s="408"/>
      <c r="BT177" s="408"/>
      <c r="BU177" s="408"/>
      <c r="BV177" s="408">
        <v>32581.949670982387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63058.746800000001</v>
      </c>
      <c r="CJ177" s="408">
        <v>-33688.455797599985</v>
      </c>
      <c r="CK177" s="408"/>
      <c r="CL177" s="408"/>
      <c r="CM177" s="408"/>
      <c r="CN177" s="408"/>
      <c r="CO177" s="408">
        <v>-40098.583000000006</v>
      </c>
      <c r="CP177" s="408">
        <v>4258.4760399999996</v>
      </c>
      <c r="CQ177" s="408">
        <v>31</v>
      </c>
      <c r="CR177" s="408">
        <v>5044.1741154156698</v>
      </c>
      <c r="CS177" s="408">
        <v>119.5662954264908</v>
      </c>
      <c r="CT177" s="408">
        <v>374.6112471994611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10.487970137570287</v>
      </c>
      <c r="DA177" s="408">
        <v>0</v>
      </c>
      <c r="DB177" s="408">
        <v>0</v>
      </c>
      <c r="DC177" s="408">
        <v>4259.0233283497982</v>
      </c>
      <c r="DD177" s="408">
        <v>0</v>
      </c>
      <c r="DE177" s="408">
        <v>0</v>
      </c>
      <c r="DF177" s="408">
        <v>11.865157275639902</v>
      </c>
      <c r="DG177" s="408">
        <v>707.00561545544224</v>
      </c>
      <c r="DH177" s="408">
        <v>0</v>
      </c>
      <c r="DI177" s="408">
        <v>-377.92575893513003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-49.570246188450483</v>
      </c>
      <c r="DP177" s="408">
        <v>-10.889493305160272</v>
      </c>
      <c r="DQ177" s="408">
        <v>0</v>
      </c>
      <c r="DR177" s="408">
        <v>0</v>
      </c>
      <c r="DS177" s="408"/>
      <c r="DT177" s="408"/>
      <c r="DU177" s="408"/>
      <c r="DV177" s="408">
        <v>55646.479846033442</v>
      </c>
      <c r="DW177" s="408">
        <v>0</v>
      </c>
      <c r="DX177" s="408">
        <v>0</v>
      </c>
      <c r="DY177" s="408">
        <v>-40098.582999999999</v>
      </c>
      <c r="DZ177" s="234">
        <v>4258.4760399999977</v>
      </c>
      <c r="EA177" s="408">
        <v>0</v>
      </c>
      <c r="EB177" s="408">
        <v>0</v>
      </c>
      <c r="EC177" s="408">
        <v>-40884.015048112073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242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176</v>
      </c>
      <c r="B178" s="408" t="s">
        <v>1036</v>
      </c>
      <c r="C178" s="408" t="s">
        <v>2239</v>
      </c>
      <c r="D178" s="408" t="s">
        <v>597</v>
      </c>
      <c r="E178" s="408" t="s">
        <v>1001</v>
      </c>
      <c r="F178" s="408" t="s">
        <v>2246</v>
      </c>
      <c r="G178" s="408" t="s">
        <v>1322</v>
      </c>
      <c r="H178" s="408" t="s">
        <v>1322</v>
      </c>
      <c r="I178" s="408" t="s">
        <v>973</v>
      </c>
      <c r="J178" s="408" t="s">
        <v>2232</v>
      </c>
      <c r="K178" s="828">
        <v>44470</v>
      </c>
      <c r="L178" s="408">
        <v>0</v>
      </c>
      <c r="M178" s="408">
        <v>0</v>
      </c>
      <c r="N178" s="408">
        <v>3.6850000000000001</v>
      </c>
      <c r="O178" s="408">
        <v>3.4639000000000002</v>
      </c>
      <c r="P178" s="408">
        <v>3.6850000000000001</v>
      </c>
      <c r="Q178" s="408">
        <v>3.4639000000000002</v>
      </c>
      <c r="R178" s="408"/>
      <c r="S178" s="408">
        <v>2592.54</v>
      </c>
      <c r="T178" s="408">
        <v>216.76</v>
      </c>
      <c r="U178" s="408"/>
      <c r="V178" s="408">
        <v>10352.270499999999</v>
      </c>
      <c r="W178" s="408">
        <v>10352.270499999999</v>
      </c>
      <c r="X178" s="408">
        <v>4352.7219999999998</v>
      </c>
      <c r="Y178" s="408">
        <v>0</v>
      </c>
      <c r="Z178" s="408">
        <v>194.31460771233785</v>
      </c>
      <c r="AA178" s="408">
        <v>0</v>
      </c>
      <c r="AB178" s="408">
        <v>0</v>
      </c>
      <c r="AC178" s="408">
        <v>0</v>
      </c>
      <c r="AD178" s="408">
        <v>18.633700738040829</v>
      </c>
      <c r="AE178" s="408">
        <v>8441.9351937649626</v>
      </c>
      <c r="AF178" s="408">
        <v>787.12153053509871</v>
      </c>
      <c r="AG178" s="408">
        <v>11.635036453826947</v>
      </c>
      <c r="AH178" s="408">
        <v>0</v>
      </c>
      <c r="AI178" s="408">
        <v>0</v>
      </c>
      <c r="AJ178" s="408">
        <v>0</v>
      </c>
      <c r="AK178" s="408">
        <v>0</v>
      </c>
      <c r="AL178" s="408">
        <v>34.541840031829601</v>
      </c>
      <c r="AM178" s="408"/>
      <c r="AN178" s="408">
        <v>5.0603237941078429</v>
      </c>
      <c r="AO178" s="408">
        <v>166.24830162796815</v>
      </c>
      <c r="AP178" s="408">
        <v>630.87475904928874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1.685145703806513</v>
      </c>
      <c r="BE178" s="408">
        <v>0</v>
      </c>
      <c r="BF178" s="408">
        <v>0</v>
      </c>
      <c r="BG178" s="408">
        <v>60.198737907697677</v>
      </c>
      <c r="BH178" s="408">
        <v>0</v>
      </c>
      <c r="BI178" s="408">
        <v>0</v>
      </c>
      <c r="BJ178" s="408">
        <v>0</v>
      </c>
      <c r="BK178" s="408">
        <v>0</v>
      </c>
      <c r="BL178" s="408">
        <v>0</v>
      </c>
      <c r="BM178" s="408"/>
      <c r="BN178" s="408"/>
      <c r="BO178" s="408"/>
      <c r="BP178" s="408"/>
      <c r="BQ178" s="408">
        <v>261.16331999999983</v>
      </c>
      <c r="BR178" s="408"/>
      <c r="BS178" s="408"/>
      <c r="BT178" s="408"/>
      <c r="BU178" s="408"/>
      <c r="BV178" s="408">
        <v>849.0054141466029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4086.9519999999998</v>
      </c>
      <c r="CJ178" s="408">
        <v>-5644.2122700000018</v>
      </c>
      <c r="CK178" s="408"/>
      <c r="CL178" s="408"/>
      <c r="CM178" s="408"/>
      <c r="CN178" s="408"/>
      <c r="CO178" s="408">
        <v>-6119.7900500000005</v>
      </c>
      <c r="CP178" s="408">
        <v>120.24154999999999</v>
      </c>
      <c r="CQ178" s="408">
        <v>31</v>
      </c>
      <c r="CR178" s="408">
        <v>202.85448780641696</v>
      </c>
      <c r="CS178" s="408">
        <v>17.148765704509941</v>
      </c>
      <c r="CT178" s="408">
        <v>65.075692959770095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1.8219111970332307</v>
      </c>
      <c r="DA178" s="408">
        <v>0</v>
      </c>
      <c r="DB178" s="408">
        <v>0</v>
      </c>
      <c r="DC178" s="408">
        <v>120.25700313366997</v>
      </c>
      <c r="DD178" s="408">
        <v>0</v>
      </c>
      <c r="DE178" s="408">
        <v>0</v>
      </c>
      <c r="DF178" s="408">
        <v>0.25745779313848627</v>
      </c>
      <c r="DG178" s="408">
        <v>9.1972072067292601</v>
      </c>
      <c r="DH178" s="408">
        <v>0</v>
      </c>
      <c r="DI178" s="408">
        <v>-9.2838070222366014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-1.3996563981092365</v>
      </c>
      <c r="DP178" s="408">
        <v>-0.22008676808799699</v>
      </c>
      <c r="DQ178" s="408">
        <v>0</v>
      </c>
      <c r="DR178" s="408">
        <v>0</v>
      </c>
      <c r="DS178" s="408"/>
      <c r="DT178" s="408"/>
      <c r="DU178" s="408"/>
      <c r="DV178" s="408">
        <v>8441.9351937649626</v>
      </c>
      <c r="DW178" s="408">
        <v>0</v>
      </c>
      <c r="DX178" s="408">
        <v>0</v>
      </c>
      <c r="DY178" s="408">
        <v>-6119.7900499999996</v>
      </c>
      <c r="DZ178" s="234">
        <v>120.24154999999996</v>
      </c>
      <c r="EA178" s="408">
        <v>0</v>
      </c>
      <c r="EB178" s="408">
        <v>0</v>
      </c>
      <c r="EC178" s="408">
        <v>-6202.3726649382261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242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177</v>
      </c>
      <c r="B179" s="408" t="s">
        <v>1036</v>
      </c>
      <c r="C179" s="408" t="s">
        <v>2239</v>
      </c>
      <c r="D179" s="408" t="s">
        <v>597</v>
      </c>
      <c r="E179" s="408" t="s">
        <v>1001</v>
      </c>
      <c r="F179" s="408" t="s">
        <v>2246</v>
      </c>
      <c r="G179" s="408" t="s">
        <v>1322</v>
      </c>
      <c r="H179" s="408" t="s">
        <v>1322</v>
      </c>
      <c r="I179" s="408" t="s">
        <v>2240</v>
      </c>
      <c r="J179" s="408" t="s">
        <v>2232</v>
      </c>
      <c r="K179" s="828">
        <v>44470</v>
      </c>
      <c r="L179" s="408">
        <v>0</v>
      </c>
      <c r="M179" s="408">
        <v>0</v>
      </c>
      <c r="N179" s="408">
        <v>94.995000000000005</v>
      </c>
      <c r="O179" s="408">
        <v>89.295299999999997</v>
      </c>
      <c r="P179" s="408">
        <v>94.995000000000005</v>
      </c>
      <c r="Q179" s="408">
        <v>89.295299999999997</v>
      </c>
      <c r="R179" s="408"/>
      <c r="S179" s="408">
        <v>80.27</v>
      </c>
      <c r="T179" s="408">
        <v>216.76</v>
      </c>
      <c r="U179" s="408"/>
      <c r="V179" s="408">
        <v>28216.364849999998</v>
      </c>
      <c r="W179" s="408">
        <v>28216.364849999998</v>
      </c>
      <c r="X179" s="408">
        <v>31279.003649999999</v>
      </c>
      <c r="Y179" s="408">
        <v>0</v>
      </c>
      <c r="Z179" s="408">
        <v>5009.2038425057081</v>
      </c>
      <c r="AA179" s="408">
        <v>0</v>
      </c>
      <c r="AB179" s="408">
        <v>0</v>
      </c>
      <c r="AC179" s="408">
        <v>0</v>
      </c>
      <c r="AD179" s="408">
        <v>0</v>
      </c>
      <c r="AE179" s="408">
        <v>0</v>
      </c>
      <c r="AF179" s="408">
        <v>20291.074570741304</v>
      </c>
      <c r="AG179" s="408">
        <v>299.93766293929195</v>
      </c>
      <c r="AH179" s="408">
        <v>0</v>
      </c>
      <c r="AI179" s="408">
        <v>0</v>
      </c>
      <c r="AJ179" s="408">
        <v>0</v>
      </c>
      <c r="AK179" s="408">
        <v>0</v>
      </c>
      <c r="AL179" s="408">
        <v>890.44832939583523</v>
      </c>
      <c r="AM179" s="408"/>
      <c r="AN179" s="408">
        <v>130.44924255665524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43.44108985972855</v>
      </c>
      <c r="BE179" s="408">
        <v>0</v>
      </c>
      <c r="BF179" s="408">
        <v>0</v>
      </c>
      <c r="BG179" s="408">
        <v>1551.8532177860898</v>
      </c>
      <c r="BH179" s="408">
        <v>0</v>
      </c>
      <c r="BI179" s="408">
        <v>0</v>
      </c>
      <c r="BJ179" s="408">
        <v>0</v>
      </c>
      <c r="BK179" s="408">
        <v>0</v>
      </c>
      <c r="BL179" s="408">
        <v>0</v>
      </c>
      <c r="BM179" s="408"/>
      <c r="BN179" s="408"/>
      <c r="BO179" s="408"/>
      <c r="BP179" s="408"/>
      <c r="BQ179" s="408">
        <v>1876.7402190000023</v>
      </c>
      <c r="BR179" s="408"/>
      <c r="BS179" s="408"/>
      <c r="BT179" s="408"/>
      <c r="BU179" s="408"/>
      <c r="BV179" s="408">
        <v>21886.368878387122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29403.810999999998</v>
      </c>
      <c r="CJ179" s="408">
        <v>2880.3980410000004</v>
      </c>
      <c r="CK179" s="408"/>
      <c r="CL179" s="408"/>
      <c r="CM179" s="408"/>
      <c r="CN179" s="408"/>
      <c r="CO179" s="408">
        <v>-37.048050000000053</v>
      </c>
      <c r="CP179" s="408">
        <v>3099.6868499999996</v>
      </c>
      <c r="CQ179" s="408">
        <v>31</v>
      </c>
      <c r="CR179" s="408">
        <v>3062.7346442863345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0</v>
      </c>
      <c r="DA179" s="408">
        <v>0</v>
      </c>
      <c r="DB179" s="408">
        <v>0</v>
      </c>
      <c r="DC179" s="408">
        <v>3100.0852137538604</v>
      </c>
      <c r="DD179" s="408">
        <v>0</v>
      </c>
      <c r="DE179" s="408">
        <v>0</v>
      </c>
      <c r="DF179" s="408">
        <v>6.6369614814628264</v>
      </c>
      <c r="DG179" s="408">
        <v>237.09326963453077</v>
      </c>
      <c r="DH179" s="408">
        <v>0</v>
      </c>
      <c r="DI179" s="408">
        <v>-239.32571182560787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-36.081508694270497</v>
      </c>
      <c r="DP179" s="408">
        <v>-5.6735800636415945</v>
      </c>
      <c r="DQ179" s="408">
        <v>0</v>
      </c>
      <c r="DR179" s="408">
        <v>0</v>
      </c>
      <c r="DS179" s="408"/>
      <c r="DT179" s="408"/>
      <c r="DU179" s="408"/>
      <c r="DV179" s="408">
        <v>0</v>
      </c>
      <c r="DW179" s="408">
        <v>0</v>
      </c>
      <c r="DX179" s="408">
        <v>0</v>
      </c>
      <c r="DY179" s="408">
        <v>-37.048049999999421</v>
      </c>
      <c r="DZ179" s="234">
        <v>3099.6868499999982</v>
      </c>
      <c r="EA179" s="408">
        <v>0</v>
      </c>
      <c r="EB179" s="408">
        <v>0</v>
      </c>
      <c r="EC179" s="408">
        <v>0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242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178</v>
      </c>
      <c r="B180" s="408" t="s">
        <v>1036</v>
      </c>
      <c r="C180" s="408" t="s">
        <v>2239</v>
      </c>
      <c r="D180" s="408" t="s">
        <v>597</v>
      </c>
      <c r="E180" s="408" t="s">
        <v>1001</v>
      </c>
      <c r="F180" s="408" t="s">
        <v>2246</v>
      </c>
      <c r="G180" s="408" t="s">
        <v>1322</v>
      </c>
      <c r="H180" s="408" t="s">
        <v>1322</v>
      </c>
      <c r="I180" s="408" t="s">
        <v>1322</v>
      </c>
      <c r="J180" s="408" t="s">
        <v>2232</v>
      </c>
      <c r="K180" s="828">
        <v>44470</v>
      </c>
      <c r="L180" s="408">
        <v>535</v>
      </c>
      <c r="M180" s="408">
        <v>502.9</v>
      </c>
      <c r="N180" s="408">
        <v>0</v>
      </c>
      <c r="O180" s="408">
        <v>0</v>
      </c>
      <c r="P180" s="408">
        <v>0</v>
      </c>
      <c r="Q180" s="408">
        <v>0</v>
      </c>
      <c r="R180" s="408">
        <v>32.17</v>
      </c>
      <c r="S180" s="408"/>
      <c r="T180" s="408"/>
      <c r="U180" s="408">
        <v>17210.95</v>
      </c>
      <c r="V180" s="408"/>
      <c r="W180" s="408">
        <v>17210.95</v>
      </c>
      <c r="X180" s="408">
        <v>6917.55</v>
      </c>
      <c r="Y180" s="408">
        <v>0</v>
      </c>
      <c r="Z180" s="408">
        <v>0</v>
      </c>
      <c r="AA180" s="408">
        <v>0</v>
      </c>
      <c r="AB180" s="408">
        <v>0</v>
      </c>
      <c r="AC180" s="408">
        <v>0</v>
      </c>
      <c r="AD180" s="408">
        <v>53.455180445232344</v>
      </c>
      <c r="AE180" s="408">
        <v>14405.803454243754</v>
      </c>
      <c r="AF180" s="408"/>
      <c r="AG180" s="408"/>
      <c r="AH180" s="408"/>
      <c r="AI180" s="408">
        <v>0</v>
      </c>
      <c r="AJ180" s="408">
        <v>0</v>
      </c>
      <c r="AK180" s="408">
        <v>0</v>
      </c>
      <c r="AL180" s="408">
        <v>0</v>
      </c>
      <c r="AM180" s="408"/>
      <c r="AN180" s="408">
        <v>0</v>
      </c>
      <c r="AO180" s="408">
        <v>943.96529193134563</v>
      </c>
      <c r="AP180" s="408">
        <v>1809.8328635134387</v>
      </c>
      <c r="AQ180" s="408">
        <v>0</v>
      </c>
      <c r="AR180" s="408">
        <v>0</v>
      </c>
      <c r="AS180" s="408"/>
      <c r="AT180" s="408"/>
      <c r="AU180" s="408">
        <v>0</v>
      </c>
      <c r="AV180" s="408">
        <v>0</v>
      </c>
      <c r="AW180" s="408">
        <v>0</v>
      </c>
      <c r="AX180" s="408"/>
      <c r="AY180" s="408"/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/>
      <c r="BG180" s="408">
        <v>0</v>
      </c>
      <c r="BH180" s="408">
        <v>0</v>
      </c>
      <c r="BI180" s="408">
        <v>342.6</v>
      </c>
      <c r="BJ180" s="408">
        <v>1574.36</v>
      </c>
      <c r="BK180" s="408">
        <v>24200.26</v>
      </c>
      <c r="BL180" s="408">
        <v>2</v>
      </c>
      <c r="BM180" s="408"/>
      <c r="BN180" s="408"/>
      <c r="BO180" s="408"/>
      <c r="BP180" s="408"/>
      <c r="BQ180" s="408">
        <v>415.05300000000028</v>
      </c>
      <c r="BR180" s="408"/>
      <c r="BS180" s="408"/>
      <c r="BT180" s="408"/>
      <c r="BU180" s="408"/>
      <c r="BV180" s="408">
        <v>0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6502.4969999999994</v>
      </c>
      <c r="CJ180" s="408">
        <v>-9675.8260000000009</v>
      </c>
      <c r="CK180" s="408"/>
      <c r="CL180" s="408"/>
      <c r="CM180" s="408"/>
      <c r="CN180" s="408"/>
      <c r="CO180" s="408">
        <v>-10293.400000000001</v>
      </c>
      <c r="CP180" s="408">
        <v>0</v>
      </c>
      <c r="CQ180" s="408">
        <v>31</v>
      </c>
      <c r="CR180" s="408">
        <v>289.28506045054837</v>
      </c>
      <c r="CS180" s="408">
        <v>97.371458631473729</v>
      </c>
      <c r="CT180" s="408">
        <v>186.68701837428534</v>
      </c>
      <c r="CU180" s="408">
        <v>0</v>
      </c>
      <c r="CV180" s="408">
        <v>0</v>
      </c>
      <c r="CW180" s="408"/>
      <c r="CX180" s="408"/>
      <c r="CY180" s="408"/>
      <c r="CZ180" s="408">
        <v>5.2265834447893695</v>
      </c>
      <c r="DA180" s="408">
        <v>0</v>
      </c>
      <c r="DB180" s="408">
        <v>0</v>
      </c>
      <c r="DC180" s="408"/>
      <c r="DD180" s="408"/>
      <c r="DE180" s="408">
        <v>0</v>
      </c>
      <c r="DF180" s="408">
        <v>0</v>
      </c>
      <c r="DG180" s="408">
        <v>0</v>
      </c>
      <c r="DH180" s="408">
        <v>0</v>
      </c>
      <c r="DI180" s="408">
        <v>0</v>
      </c>
      <c r="DJ180" s="408"/>
      <c r="DK180" s="408">
        <v>0</v>
      </c>
      <c r="DL180" s="408">
        <v>0</v>
      </c>
      <c r="DM180" s="408"/>
      <c r="DN180" s="408">
        <v>0</v>
      </c>
      <c r="DO180" s="408">
        <v>0</v>
      </c>
      <c r="DP180" s="408">
        <v>0</v>
      </c>
      <c r="DQ180" s="408">
        <v>0</v>
      </c>
      <c r="DR180" s="408">
        <v>0</v>
      </c>
      <c r="DS180" s="408"/>
      <c r="DT180" s="408"/>
      <c r="DU180" s="408">
        <v>14405.803454243754</v>
      </c>
      <c r="DV180" s="408"/>
      <c r="DW180" s="408">
        <v>0</v>
      </c>
      <c r="DX180" s="408">
        <v>0</v>
      </c>
      <c r="DY180" s="408">
        <v>-10293.400000000001</v>
      </c>
      <c r="DZ180" s="234"/>
      <c r="EA180" s="408">
        <v>0</v>
      </c>
      <c r="EB180" s="408"/>
      <c r="EC180" s="408">
        <v>-10584.085225750867</v>
      </c>
      <c r="ED180" s="408"/>
      <c r="EE180" s="408">
        <v>0</v>
      </c>
      <c r="EF180" s="408">
        <v>0</v>
      </c>
      <c r="EG180" s="408"/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/>
      <c r="EN180" s="408"/>
      <c r="EO180" s="408">
        <v>0</v>
      </c>
      <c r="EP180" s="408">
        <v>0</v>
      </c>
      <c r="EQ180" s="408"/>
      <c r="ER180" s="408">
        <v>0</v>
      </c>
      <c r="ES180" s="408"/>
      <c r="ET180" s="408">
        <v>0</v>
      </c>
      <c r="EU180" s="408"/>
      <c r="EV180" s="408">
        <v>242</v>
      </c>
      <c r="EW180" s="408"/>
      <c r="EX180" s="408"/>
      <c r="EY180" s="408"/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179</v>
      </c>
      <c r="B181" s="408" t="s">
        <v>1036</v>
      </c>
      <c r="C181" s="408" t="s">
        <v>2231</v>
      </c>
      <c r="D181" s="408" t="s">
        <v>1955</v>
      </c>
      <c r="E181" s="408" t="s">
        <v>2247</v>
      </c>
      <c r="F181" s="408" t="s">
        <v>1322</v>
      </c>
      <c r="G181" s="408" t="s">
        <v>1322</v>
      </c>
      <c r="H181" s="408" t="s">
        <v>1322</v>
      </c>
      <c r="I181" s="408" t="s">
        <v>1322</v>
      </c>
      <c r="J181" s="408" t="s">
        <v>2232</v>
      </c>
      <c r="K181" s="828">
        <v>44470</v>
      </c>
      <c r="L181" s="408">
        <v>0</v>
      </c>
      <c r="M181" s="408">
        <v>0</v>
      </c>
      <c r="N181" s="408">
        <v>0.251</v>
      </c>
      <c r="O181" s="408">
        <v>0.251</v>
      </c>
      <c r="P181" s="408">
        <v>0.251</v>
      </c>
      <c r="Q181" s="408">
        <v>0.251</v>
      </c>
      <c r="R181" s="408"/>
      <c r="S181" s="408">
        <v>571.87</v>
      </c>
      <c r="T181" s="408">
        <v>216.76</v>
      </c>
      <c r="U181" s="408"/>
      <c r="V181" s="408">
        <v>197.94612999999998</v>
      </c>
      <c r="W181" s="408">
        <v>197.94612999999998</v>
      </c>
      <c r="X181" s="408">
        <v>129.01650999999998</v>
      </c>
      <c r="Y181" s="408">
        <v>0</v>
      </c>
      <c r="Z181" s="408">
        <v>15.213264878053865</v>
      </c>
      <c r="AA181" s="408">
        <v>0</v>
      </c>
      <c r="AB181" s="408">
        <v>0</v>
      </c>
      <c r="AC181" s="408">
        <v>0</v>
      </c>
      <c r="AD181" s="408">
        <v>0.20630033857654112</v>
      </c>
      <c r="AE181" s="408">
        <v>107.02230086549784</v>
      </c>
      <c r="AF181" s="408">
        <v>53.613976706732636</v>
      </c>
      <c r="AG181" s="408">
        <v>0.79250858884954234</v>
      </c>
      <c r="AH181" s="408">
        <v>0</v>
      </c>
      <c r="AI181" s="408">
        <v>0</v>
      </c>
      <c r="AJ181" s="408">
        <v>0</v>
      </c>
      <c r="AK181" s="408">
        <v>0</v>
      </c>
      <c r="AL181" s="408">
        <v>2.352782048301012</v>
      </c>
      <c r="AM181" s="408"/>
      <c r="AN181" s="408">
        <v>0.48153585859493764</v>
      </c>
      <c r="AO181" s="408">
        <v>2.2293061350248125</v>
      </c>
      <c r="AP181" s="408">
        <v>6.9846033838566166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0.14936247509222889</v>
      </c>
      <c r="BE181" s="408">
        <v>0</v>
      </c>
      <c r="BF181" s="408">
        <v>0</v>
      </c>
      <c r="BG181" s="408">
        <v>8.9000176040930814</v>
      </c>
      <c r="BH181" s="408">
        <v>0</v>
      </c>
      <c r="BI181" s="408">
        <v>1.04</v>
      </c>
      <c r="BJ181" s="408">
        <v>4.79</v>
      </c>
      <c r="BK181" s="408">
        <v>73.03</v>
      </c>
      <c r="BL181" s="408">
        <v>2</v>
      </c>
      <c r="BM181" s="408"/>
      <c r="BN181" s="408"/>
      <c r="BO181" s="408"/>
      <c r="BP181" s="408"/>
      <c r="BQ181" s="408"/>
      <c r="BR181" s="408"/>
      <c r="BS181" s="408"/>
      <c r="BT181" s="408"/>
      <c r="BU181" s="408"/>
      <c r="BV181" s="408">
        <v>62.663356785917948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128.5025</v>
      </c>
      <c r="CJ181" s="408">
        <v>-69.473629999999957</v>
      </c>
      <c r="CK181" s="408"/>
      <c r="CL181" s="408"/>
      <c r="CM181" s="408"/>
      <c r="CN181" s="408"/>
      <c r="CO181" s="408">
        <v>-77.119749999999996</v>
      </c>
      <c r="CP181" s="408">
        <v>8.1901299999999981</v>
      </c>
      <c r="CQ181" s="408">
        <v>31</v>
      </c>
      <c r="CR181" s="408">
        <v>9.7012267674727326</v>
      </c>
      <c r="CS181" s="408">
        <v>0.22995632568156132</v>
      </c>
      <c r="CT181" s="408">
        <v>0.72047248480602555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2.017102786442318E-2</v>
      </c>
      <c r="DA181" s="408">
        <v>0</v>
      </c>
      <c r="DB181" s="408">
        <v>0</v>
      </c>
      <c r="DC181" s="408">
        <v>8.1911825743693853</v>
      </c>
      <c r="DD181" s="408">
        <v>0</v>
      </c>
      <c r="DE181" s="408">
        <v>0</v>
      </c>
      <c r="DF181" s="408">
        <v>2.2819708187893584E-2</v>
      </c>
      <c r="DG181" s="408">
        <v>1.3597511990017157</v>
      </c>
      <c r="DH181" s="408">
        <v>0</v>
      </c>
      <c r="DI181" s="408">
        <v>-0.72684713192078299</v>
      </c>
      <c r="DJ181" s="408"/>
      <c r="DK181" s="408">
        <v>0</v>
      </c>
      <c r="DL181" s="408">
        <v>0</v>
      </c>
      <c r="DM181" s="408">
        <v>0</v>
      </c>
      <c r="DN181" s="408">
        <v>0</v>
      </c>
      <c r="DO181" s="408">
        <v>-9.5336161716531365E-2</v>
      </c>
      <c r="DP181" s="408">
        <v>-2.0943258800956432E-2</v>
      </c>
      <c r="DQ181" s="408">
        <v>0</v>
      </c>
      <c r="DR181" s="408">
        <v>0</v>
      </c>
      <c r="DS181" s="408"/>
      <c r="DT181" s="408"/>
      <c r="DU181" s="408"/>
      <c r="DV181" s="408">
        <v>107.02230086549784</v>
      </c>
      <c r="DW181" s="408">
        <v>0</v>
      </c>
      <c r="DX181" s="408">
        <v>0</v>
      </c>
      <c r="DY181" s="408">
        <v>-77.119749999999996</v>
      </c>
      <c r="DZ181" s="234">
        <v>8.1901299999999964</v>
      </c>
      <c r="EA181" s="408">
        <v>0</v>
      </c>
      <c r="EB181" s="408">
        <v>0</v>
      </c>
      <c r="EC181" s="408">
        <v>-78.630335129464314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242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180</v>
      </c>
      <c r="B182" s="408" t="s">
        <v>1036</v>
      </c>
      <c r="C182" s="408" t="s">
        <v>2231</v>
      </c>
      <c r="D182" s="408" t="s">
        <v>2241</v>
      </c>
      <c r="E182" s="408" t="s">
        <v>974</v>
      </c>
      <c r="F182" s="408" t="s">
        <v>2248</v>
      </c>
      <c r="G182" s="408" t="s">
        <v>2249</v>
      </c>
      <c r="H182" s="408" t="s">
        <v>1322</v>
      </c>
      <c r="I182" s="408" t="s">
        <v>1322</v>
      </c>
      <c r="J182" s="408" t="s">
        <v>2232</v>
      </c>
      <c r="K182" s="828">
        <v>44470</v>
      </c>
      <c r="L182" s="408">
        <v>0</v>
      </c>
      <c r="M182" s="408">
        <v>0</v>
      </c>
      <c r="N182" s="408">
        <v>0</v>
      </c>
      <c r="O182" s="408">
        <v>0</v>
      </c>
      <c r="P182" s="408">
        <v>0</v>
      </c>
      <c r="Q182" s="408">
        <v>0</v>
      </c>
      <c r="R182" s="408"/>
      <c r="S182" s="408"/>
      <c r="T182" s="408"/>
      <c r="U182" s="408"/>
      <c r="V182" s="408"/>
      <c r="W182" s="408"/>
      <c r="X182" s="408"/>
      <c r="Y182" s="408"/>
      <c r="Z182" s="408"/>
      <c r="AA182" s="408">
        <v>0</v>
      </c>
      <c r="AB182" s="408"/>
      <c r="AC182" s="408"/>
      <c r="AD182" s="408"/>
      <c r="AE182" s="408"/>
      <c r="AF182" s="408"/>
      <c r="AG182" s="408"/>
      <c r="AH182" s="408"/>
      <c r="AI182" s="408"/>
      <c r="AJ182" s="408"/>
      <c r="AK182" s="408"/>
      <c r="AL182" s="408"/>
      <c r="AM182" s="408"/>
      <c r="AN182" s="408"/>
      <c r="AO182" s="408"/>
      <c r="AP182" s="408"/>
      <c r="AQ182" s="408"/>
      <c r="AR182" s="408"/>
      <c r="AS182" s="408"/>
      <c r="AT182" s="408"/>
      <c r="AU182" s="408"/>
      <c r="AV182" s="408"/>
      <c r="AW182" s="408"/>
      <c r="AX182" s="408"/>
      <c r="AY182" s="408"/>
      <c r="AZ182" s="408">
        <v>0</v>
      </c>
      <c r="BA182" s="408"/>
      <c r="BB182" s="408"/>
      <c r="BC182" s="408"/>
      <c r="BD182" s="408"/>
      <c r="BE182" s="408"/>
      <c r="BF182" s="408"/>
      <c r="BG182" s="408"/>
      <c r="BH182" s="408"/>
      <c r="BI182" s="408">
        <v>71.27</v>
      </c>
      <c r="BJ182" s="408">
        <v>331.53</v>
      </c>
      <c r="BK182" s="408">
        <v>926.71</v>
      </c>
      <c r="BL182" s="408">
        <v>126</v>
      </c>
      <c r="BM182" s="408"/>
      <c r="BN182" s="408"/>
      <c r="BO182" s="408"/>
      <c r="BP182" s="408"/>
      <c r="BQ182" s="408"/>
      <c r="BR182" s="408"/>
      <c r="BS182" s="408"/>
      <c r="BT182" s="408"/>
      <c r="BU182" s="408"/>
      <c r="BV182" s="408"/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/>
      <c r="CJ182" s="408">
        <v>-0.03</v>
      </c>
      <c r="CK182" s="408"/>
      <c r="CL182" s="408"/>
      <c r="CM182" s="408"/>
      <c r="CN182" s="408"/>
      <c r="CO182" s="408">
        <v>0</v>
      </c>
      <c r="CP182" s="408">
        <v>0</v>
      </c>
      <c r="CQ182" s="408">
        <v>31</v>
      </c>
      <c r="CR182" s="408"/>
      <c r="CS182" s="408"/>
      <c r="CT182" s="408"/>
      <c r="CU182" s="408"/>
      <c r="CV182" s="408"/>
      <c r="CW182" s="408"/>
      <c r="CX182" s="408"/>
      <c r="CY182" s="408"/>
      <c r="CZ182" s="408"/>
      <c r="DA182" s="408"/>
      <c r="DB182" s="408"/>
      <c r="DC182" s="408"/>
      <c r="DD182" s="408"/>
      <c r="DE182" s="408"/>
      <c r="DF182" s="408"/>
      <c r="DG182" s="408"/>
      <c r="DH182" s="408"/>
      <c r="DI182" s="408"/>
      <c r="DJ182" s="408"/>
      <c r="DK182" s="408">
        <v>0</v>
      </c>
      <c r="DL182" s="408"/>
      <c r="DM182" s="408"/>
      <c r="DN182" s="408"/>
      <c r="DO182" s="408"/>
      <c r="DP182" s="408"/>
      <c r="DQ182" s="408"/>
      <c r="DR182" s="408"/>
      <c r="DS182" s="408"/>
      <c r="DT182" s="408"/>
      <c r="DU182" s="408"/>
      <c r="DV182" s="408"/>
      <c r="DW182" s="408"/>
      <c r="DX182" s="408"/>
      <c r="DY182" s="408"/>
      <c r="DZ182" s="234"/>
      <c r="EA182" s="408"/>
      <c r="EB182" s="408"/>
      <c r="EC182" s="408"/>
      <c r="ED182" s="408"/>
      <c r="EE182" s="408"/>
      <c r="EF182" s="408"/>
      <c r="EG182" s="408"/>
      <c r="EH182" s="408"/>
      <c r="EI182" s="408"/>
      <c r="EJ182" s="408"/>
      <c r="EK182" s="408"/>
      <c r="EL182" s="408"/>
      <c r="EM182" s="408"/>
      <c r="EN182" s="408"/>
      <c r="EO182" s="408"/>
      <c r="EP182" s="408"/>
      <c r="EQ182" s="408"/>
      <c r="ER182" s="408"/>
      <c r="ES182" s="408"/>
      <c r="ET182" s="408"/>
      <c r="EU182" s="408"/>
      <c r="EV182" s="408">
        <v>242</v>
      </c>
      <c r="EW182" s="408"/>
      <c r="EX182" s="408"/>
      <c r="EY182" s="408"/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181</v>
      </c>
      <c r="B183" s="408" t="s">
        <v>2233</v>
      </c>
      <c r="C183" s="408" t="s">
        <v>2231</v>
      </c>
      <c r="D183" s="408" t="s">
        <v>2241</v>
      </c>
      <c r="E183" s="408" t="s">
        <v>974</v>
      </c>
      <c r="F183" s="408" t="s">
        <v>2248</v>
      </c>
      <c r="G183" s="408" t="s">
        <v>2249</v>
      </c>
      <c r="H183" s="408" t="s">
        <v>1322</v>
      </c>
      <c r="I183" s="408" t="s">
        <v>1322</v>
      </c>
      <c r="J183" s="408" t="s">
        <v>2232</v>
      </c>
      <c r="K183" s="828">
        <v>44470</v>
      </c>
      <c r="L183" s="408">
        <v>0</v>
      </c>
      <c r="M183" s="408">
        <v>0</v>
      </c>
      <c r="N183" s="408">
        <v>0</v>
      </c>
      <c r="O183" s="408">
        <v>0</v>
      </c>
      <c r="P183" s="408">
        <v>0</v>
      </c>
      <c r="Q183" s="408">
        <v>0</v>
      </c>
      <c r="R183" s="408"/>
      <c r="S183" s="408"/>
      <c r="T183" s="408"/>
      <c r="U183" s="408"/>
      <c r="V183" s="408"/>
      <c r="W183" s="408"/>
      <c r="X183" s="408"/>
      <c r="Y183" s="408"/>
      <c r="Z183" s="408"/>
      <c r="AA183" s="408">
        <v>0</v>
      </c>
      <c r="AB183" s="408"/>
      <c r="AC183" s="408"/>
      <c r="AD183" s="408"/>
      <c r="AE183" s="408"/>
      <c r="AF183" s="408"/>
      <c r="AG183" s="408"/>
      <c r="AH183" s="408"/>
      <c r="AI183" s="408"/>
      <c r="AJ183" s="408"/>
      <c r="AK183" s="408"/>
      <c r="AL183" s="408"/>
      <c r="AM183" s="408"/>
      <c r="AN183" s="408"/>
      <c r="AO183" s="408"/>
      <c r="AP183" s="408"/>
      <c r="AQ183" s="408"/>
      <c r="AR183" s="408"/>
      <c r="AS183" s="408"/>
      <c r="AT183" s="408"/>
      <c r="AU183" s="408"/>
      <c r="AV183" s="408"/>
      <c r="AW183" s="408"/>
      <c r="AX183" s="408"/>
      <c r="AY183" s="408"/>
      <c r="AZ183" s="408">
        <v>0</v>
      </c>
      <c r="BA183" s="408"/>
      <c r="BB183" s="408"/>
      <c r="BC183" s="408"/>
      <c r="BD183" s="408"/>
      <c r="BE183" s="408"/>
      <c r="BF183" s="408"/>
      <c r="BG183" s="408"/>
      <c r="BH183" s="408"/>
      <c r="BI183" s="408">
        <v>-1.5</v>
      </c>
      <c r="BJ183" s="408">
        <v>-6.89</v>
      </c>
      <c r="BK183" s="408">
        <v>-4.43</v>
      </c>
      <c r="BL183" s="408">
        <v>0</v>
      </c>
      <c r="BM183" s="408"/>
      <c r="BN183" s="408"/>
      <c r="BO183" s="408"/>
      <c r="BP183" s="408"/>
      <c r="BQ183" s="408"/>
      <c r="BR183" s="408"/>
      <c r="BS183" s="408"/>
      <c r="BT183" s="408"/>
      <c r="BU183" s="408"/>
      <c r="BV183" s="408"/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/>
      <c r="CJ183" s="408">
        <v>-0.03</v>
      </c>
      <c r="CK183" s="408"/>
      <c r="CL183" s="408"/>
      <c r="CM183" s="408"/>
      <c r="CN183" s="408"/>
      <c r="CO183" s="408">
        <v>0</v>
      </c>
      <c r="CP183" s="408">
        <v>0</v>
      </c>
      <c r="CQ183" s="408">
        <v>31</v>
      </c>
      <c r="CR183" s="408"/>
      <c r="CS183" s="408"/>
      <c r="CT183" s="408"/>
      <c r="CU183" s="408"/>
      <c r="CV183" s="408"/>
      <c r="CW183" s="408"/>
      <c r="CX183" s="408"/>
      <c r="CY183" s="408"/>
      <c r="CZ183" s="408"/>
      <c r="DA183" s="408"/>
      <c r="DB183" s="408"/>
      <c r="DC183" s="408"/>
      <c r="DD183" s="408"/>
      <c r="DE183" s="408"/>
      <c r="DF183" s="408"/>
      <c r="DG183" s="408"/>
      <c r="DH183" s="408"/>
      <c r="DI183" s="408"/>
      <c r="DJ183" s="408"/>
      <c r="DK183" s="408">
        <v>0</v>
      </c>
      <c r="DL183" s="408"/>
      <c r="DM183" s="408"/>
      <c r="DN183" s="408"/>
      <c r="DO183" s="408"/>
      <c r="DP183" s="408"/>
      <c r="DQ183" s="408"/>
      <c r="DR183" s="408"/>
      <c r="DS183" s="408"/>
      <c r="DT183" s="408"/>
      <c r="DU183" s="408"/>
      <c r="DV183" s="408"/>
      <c r="DW183" s="408"/>
      <c r="DX183" s="408"/>
      <c r="DY183" s="408"/>
      <c r="DZ183" s="234"/>
      <c r="EA183" s="408"/>
      <c r="EB183" s="408"/>
      <c r="EC183" s="408"/>
      <c r="ED183" s="408"/>
      <c r="EE183" s="408"/>
      <c r="EF183" s="408"/>
      <c r="EG183" s="408"/>
      <c r="EH183" s="408"/>
      <c r="EI183" s="408"/>
      <c r="EJ183" s="408"/>
      <c r="EK183" s="408"/>
      <c r="EL183" s="408"/>
      <c r="EM183" s="408"/>
      <c r="EN183" s="408"/>
      <c r="EO183" s="408"/>
      <c r="EP183" s="408"/>
      <c r="EQ183" s="408"/>
      <c r="ER183" s="408"/>
      <c r="ES183" s="408"/>
      <c r="ET183" s="408"/>
      <c r="EU183" s="408"/>
      <c r="EV183" s="408">
        <v>242</v>
      </c>
      <c r="EW183" s="408"/>
      <c r="EX183" s="408"/>
      <c r="EY183" s="408"/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182</v>
      </c>
      <c r="B184" s="408" t="s">
        <v>2234</v>
      </c>
      <c r="C184" s="408" t="s">
        <v>2231</v>
      </c>
      <c r="D184" s="408" t="s">
        <v>2241</v>
      </c>
      <c r="E184" s="408" t="s">
        <v>974</v>
      </c>
      <c r="F184" s="408" t="s">
        <v>2248</v>
      </c>
      <c r="G184" s="408" t="s">
        <v>2249</v>
      </c>
      <c r="H184" s="408" t="s">
        <v>1322</v>
      </c>
      <c r="I184" s="408" t="s">
        <v>1322</v>
      </c>
      <c r="J184" s="408" t="s">
        <v>2232</v>
      </c>
      <c r="K184" s="828">
        <v>44470</v>
      </c>
      <c r="L184" s="408">
        <v>0</v>
      </c>
      <c r="M184" s="408">
        <v>0</v>
      </c>
      <c r="N184" s="408">
        <v>0</v>
      </c>
      <c r="O184" s="408">
        <v>0</v>
      </c>
      <c r="P184" s="408">
        <v>0</v>
      </c>
      <c r="Q184" s="408">
        <v>0</v>
      </c>
      <c r="R184" s="408"/>
      <c r="S184" s="408"/>
      <c r="T184" s="408"/>
      <c r="U184" s="408"/>
      <c r="V184" s="408"/>
      <c r="W184" s="408"/>
      <c r="X184" s="408"/>
      <c r="Y184" s="408"/>
      <c r="Z184" s="408"/>
      <c r="AA184" s="408">
        <v>0</v>
      </c>
      <c r="AB184" s="408"/>
      <c r="AC184" s="408"/>
      <c r="AD184" s="408"/>
      <c r="AE184" s="408"/>
      <c r="AF184" s="408"/>
      <c r="AG184" s="408"/>
      <c r="AH184" s="408"/>
      <c r="AI184" s="408"/>
      <c r="AJ184" s="408"/>
      <c r="AK184" s="408"/>
      <c r="AL184" s="408"/>
      <c r="AM184" s="408"/>
      <c r="AN184" s="408"/>
      <c r="AO184" s="408"/>
      <c r="AP184" s="408"/>
      <c r="AQ184" s="408"/>
      <c r="AR184" s="408"/>
      <c r="AS184" s="408"/>
      <c r="AT184" s="408"/>
      <c r="AU184" s="408"/>
      <c r="AV184" s="408"/>
      <c r="AW184" s="408"/>
      <c r="AX184" s="408"/>
      <c r="AY184" s="408"/>
      <c r="AZ184" s="408">
        <v>0</v>
      </c>
      <c r="BA184" s="408"/>
      <c r="BB184" s="408"/>
      <c r="BC184" s="408"/>
      <c r="BD184" s="408"/>
      <c r="BE184" s="408"/>
      <c r="BF184" s="408"/>
      <c r="BG184" s="408"/>
      <c r="BH184" s="408"/>
      <c r="BI184" s="408">
        <v>4.8499999999999996</v>
      </c>
      <c r="BJ184" s="408">
        <v>22.36</v>
      </c>
      <c r="BK184" s="408">
        <v>38.1</v>
      </c>
      <c r="BL184" s="408">
        <v>3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/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/>
      <c r="CJ184" s="408">
        <v>-0.03</v>
      </c>
      <c r="CK184" s="408"/>
      <c r="CL184" s="408"/>
      <c r="CM184" s="408"/>
      <c r="CN184" s="408"/>
      <c r="CO184" s="408">
        <v>0</v>
      </c>
      <c r="CP184" s="408">
        <v>0</v>
      </c>
      <c r="CQ184" s="408">
        <v>31</v>
      </c>
      <c r="CR184" s="408"/>
      <c r="CS184" s="408"/>
      <c r="CT184" s="408"/>
      <c r="CU184" s="408"/>
      <c r="CV184" s="408"/>
      <c r="CW184" s="408"/>
      <c r="CX184" s="408"/>
      <c r="CY184" s="408"/>
      <c r="CZ184" s="408"/>
      <c r="DA184" s="408"/>
      <c r="DB184" s="408"/>
      <c r="DC184" s="408"/>
      <c r="DD184" s="408"/>
      <c r="DE184" s="408"/>
      <c r="DF184" s="408"/>
      <c r="DG184" s="408"/>
      <c r="DH184" s="408"/>
      <c r="DI184" s="408"/>
      <c r="DJ184" s="408"/>
      <c r="DK184" s="408">
        <v>0</v>
      </c>
      <c r="DL184" s="408"/>
      <c r="DM184" s="408"/>
      <c r="DN184" s="408"/>
      <c r="DO184" s="408"/>
      <c r="DP184" s="408"/>
      <c r="DQ184" s="408"/>
      <c r="DR184" s="408"/>
      <c r="DS184" s="408"/>
      <c r="DT184" s="408"/>
      <c r="DU184" s="408"/>
      <c r="DV184" s="408"/>
      <c r="DW184" s="408"/>
      <c r="DX184" s="408"/>
      <c r="DY184" s="408"/>
      <c r="DZ184" s="234"/>
      <c r="EA184" s="408"/>
      <c r="EB184" s="408"/>
      <c r="EC184" s="408"/>
      <c r="ED184" s="408"/>
      <c r="EE184" s="408"/>
      <c r="EF184" s="408"/>
      <c r="EG184" s="408"/>
      <c r="EH184" s="408"/>
      <c r="EI184" s="408"/>
      <c r="EJ184" s="408"/>
      <c r="EK184" s="408"/>
      <c r="EL184" s="408"/>
      <c r="EM184" s="408"/>
      <c r="EN184" s="408"/>
      <c r="EO184" s="408"/>
      <c r="EP184" s="408"/>
      <c r="EQ184" s="408"/>
      <c r="ER184" s="408"/>
      <c r="ES184" s="408"/>
      <c r="ET184" s="408"/>
      <c r="EU184" s="408"/>
      <c r="EV184" s="408">
        <v>242</v>
      </c>
      <c r="EW184" s="408"/>
      <c r="EX184" s="408"/>
      <c r="EY184" s="408"/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183</v>
      </c>
      <c r="B185" s="408" t="s">
        <v>1036</v>
      </c>
      <c r="C185" s="408" t="s">
        <v>2231</v>
      </c>
      <c r="D185" s="408" t="s">
        <v>2241</v>
      </c>
      <c r="E185" s="408" t="s">
        <v>974</v>
      </c>
      <c r="F185" s="408" t="s">
        <v>2248</v>
      </c>
      <c r="G185" s="408" t="s">
        <v>2249</v>
      </c>
      <c r="H185" s="408" t="s">
        <v>1322</v>
      </c>
      <c r="I185" s="408" t="s">
        <v>1322</v>
      </c>
      <c r="J185" s="408" t="s">
        <v>2232</v>
      </c>
      <c r="K185" s="828">
        <v>44470</v>
      </c>
      <c r="L185" s="408">
        <v>0</v>
      </c>
      <c r="M185" s="408">
        <v>0</v>
      </c>
      <c r="N185" s="408">
        <v>16.279</v>
      </c>
      <c r="O185" s="408">
        <v>16.279</v>
      </c>
      <c r="P185" s="408">
        <v>16.279</v>
      </c>
      <c r="Q185" s="408">
        <v>16.279</v>
      </c>
      <c r="R185" s="408"/>
      <c r="S185" s="408">
        <v>571.87</v>
      </c>
      <c r="T185" s="408">
        <v>216.76</v>
      </c>
      <c r="U185" s="408"/>
      <c r="V185" s="408">
        <v>12838.107769999999</v>
      </c>
      <c r="W185" s="408">
        <v>12838.107769999999</v>
      </c>
      <c r="X185" s="408">
        <v>8367.5687900000012</v>
      </c>
      <c r="Y185" s="408">
        <v>0</v>
      </c>
      <c r="Z185" s="408">
        <v>986.6802348599158</v>
      </c>
      <c r="AA185" s="408">
        <v>0</v>
      </c>
      <c r="AB185" s="408">
        <v>0</v>
      </c>
      <c r="AC185" s="408">
        <v>0</v>
      </c>
      <c r="AD185" s="408">
        <v>13.37993311429288</v>
      </c>
      <c r="AE185" s="408">
        <v>6941.0997441810332</v>
      </c>
      <c r="AF185" s="408">
        <v>3477.2188319079705</v>
      </c>
      <c r="AG185" s="408">
        <v>51.399391704707966</v>
      </c>
      <c r="AH185" s="408">
        <v>0</v>
      </c>
      <c r="AI185" s="408">
        <v>0</v>
      </c>
      <c r="AJ185" s="408">
        <v>0</v>
      </c>
      <c r="AK185" s="408">
        <v>0</v>
      </c>
      <c r="AL185" s="408">
        <v>152.59338232785728</v>
      </c>
      <c r="AM185" s="408"/>
      <c r="AN185" s="408">
        <v>31.23076590464936</v>
      </c>
      <c r="AO185" s="408">
        <v>144.58515765764511</v>
      </c>
      <c r="AP185" s="408">
        <v>452.99744416654124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9.687138374607148</v>
      </c>
      <c r="BE185" s="408">
        <v>0</v>
      </c>
      <c r="BF185" s="408">
        <v>0</v>
      </c>
      <c r="BG185" s="408">
        <v>577.22464771725606</v>
      </c>
      <c r="BH185" s="408">
        <v>0</v>
      </c>
      <c r="BI185" s="408">
        <v>0</v>
      </c>
      <c r="BJ185" s="408">
        <v>0</v>
      </c>
      <c r="BK185" s="408">
        <v>0</v>
      </c>
      <c r="BL185" s="408">
        <v>0</v>
      </c>
      <c r="BM185" s="408"/>
      <c r="BN185" s="408"/>
      <c r="BO185" s="408"/>
      <c r="BP185" s="408"/>
      <c r="BQ185" s="408"/>
      <c r="BR185" s="408">
        <v>1004.0887199999996</v>
      </c>
      <c r="BS185" s="408"/>
      <c r="BT185" s="408"/>
      <c r="BU185" s="408"/>
      <c r="BV185" s="408">
        <v>4064.1306179998337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7363.9324000000006</v>
      </c>
      <c r="CJ185" s="408">
        <v>-3933.7236000000003</v>
      </c>
      <c r="CK185" s="408"/>
      <c r="CL185" s="408"/>
      <c r="CM185" s="408"/>
      <c r="CN185" s="408"/>
      <c r="CO185" s="408">
        <v>-5001.7227499999999</v>
      </c>
      <c r="CP185" s="408">
        <v>531.18376999999987</v>
      </c>
      <c r="CQ185" s="408">
        <v>31</v>
      </c>
      <c r="CR185" s="408">
        <v>629.18832887525514</v>
      </c>
      <c r="CS185" s="408">
        <v>14.914179385538375</v>
      </c>
      <c r="CT185" s="408">
        <v>46.727376813375656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1.3082237553981866</v>
      </c>
      <c r="DA185" s="408">
        <v>0</v>
      </c>
      <c r="DB185" s="408">
        <v>0</v>
      </c>
      <c r="DC185" s="408">
        <v>531.25203636716788</v>
      </c>
      <c r="DD185" s="408">
        <v>0</v>
      </c>
      <c r="DE185" s="408">
        <v>0</v>
      </c>
      <c r="DF185" s="408">
        <v>1.4800080860188025</v>
      </c>
      <c r="DG185" s="408">
        <v>88.188803858760593</v>
      </c>
      <c r="DH185" s="408">
        <v>0</v>
      </c>
      <c r="DI185" s="408">
        <v>-47.140814583818496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-6.1831767991371294</v>
      </c>
      <c r="DP185" s="408">
        <v>-1.3583080080508765</v>
      </c>
      <c r="DQ185" s="408">
        <v>0</v>
      </c>
      <c r="DR185" s="408">
        <v>0</v>
      </c>
      <c r="DS185" s="408"/>
      <c r="DT185" s="408"/>
      <c r="DU185" s="408"/>
      <c r="DV185" s="408">
        <v>6941.0997441810332</v>
      </c>
      <c r="DW185" s="408">
        <v>0</v>
      </c>
      <c r="DX185" s="408">
        <v>0</v>
      </c>
      <c r="DY185" s="408">
        <v>-5001.722749999999</v>
      </c>
      <c r="DZ185" s="234">
        <v>531.1837700000001</v>
      </c>
      <c r="EA185" s="408">
        <v>0</v>
      </c>
      <c r="EB185" s="408">
        <v>0</v>
      </c>
      <c r="EC185" s="408">
        <v>-5099.6941257870494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242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184</v>
      </c>
      <c r="B186" s="408" t="s">
        <v>2233</v>
      </c>
      <c r="C186" s="408" t="s">
        <v>2231</v>
      </c>
      <c r="D186" s="408" t="s">
        <v>2241</v>
      </c>
      <c r="E186" s="408" t="s">
        <v>974</v>
      </c>
      <c r="F186" s="408" t="s">
        <v>2248</v>
      </c>
      <c r="G186" s="408" t="s">
        <v>2249</v>
      </c>
      <c r="H186" s="408" t="s">
        <v>1322</v>
      </c>
      <c r="I186" s="408" t="s">
        <v>1322</v>
      </c>
      <c r="J186" s="408" t="s">
        <v>2232</v>
      </c>
      <c r="K186" s="828">
        <v>44470</v>
      </c>
      <c r="L186" s="408">
        <v>0</v>
      </c>
      <c r="M186" s="408">
        <v>0</v>
      </c>
      <c r="N186" s="408">
        <v>-0.63300000000000001</v>
      </c>
      <c r="O186" s="408">
        <v>-0.63300000000000001</v>
      </c>
      <c r="P186" s="408">
        <v>-0.63300000000000001</v>
      </c>
      <c r="Q186" s="408">
        <v>-0.63300000000000001</v>
      </c>
      <c r="R186" s="408"/>
      <c r="S186" s="408">
        <v>571.87</v>
      </c>
      <c r="T186" s="408">
        <v>216.76</v>
      </c>
      <c r="U186" s="408"/>
      <c r="V186" s="408">
        <v>-499.20279000000005</v>
      </c>
      <c r="W186" s="408">
        <v>-499.20279000000005</v>
      </c>
      <c r="X186" s="408">
        <v>-325.36833000000001</v>
      </c>
      <c r="Y186" s="408">
        <v>0</v>
      </c>
      <c r="Z186" s="408">
        <v>-38.366520588876881</v>
      </c>
      <c r="AA186" s="408">
        <v>0</v>
      </c>
      <c r="AB186" s="408">
        <v>0</v>
      </c>
      <c r="AC186" s="408">
        <v>0</v>
      </c>
      <c r="AD186" s="408">
        <v>-0.52027137178864757</v>
      </c>
      <c r="AE186" s="408">
        <v>-269.90086234207223</v>
      </c>
      <c r="AF186" s="408">
        <v>-135.2097500213616</v>
      </c>
      <c r="AG186" s="408">
        <v>-1.998637198174344</v>
      </c>
      <c r="AH186" s="408">
        <v>0</v>
      </c>
      <c r="AI186" s="408">
        <v>0</v>
      </c>
      <c r="AJ186" s="408">
        <v>0</v>
      </c>
      <c r="AK186" s="408">
        <v>0</v>
      </c>
      <c r="AL186" s="408">
        <v>-5.9335101058746638</v>
      </c>
      <c r="AM186" s="408"/>
      <c r="AN186" s="408">
        <v>-1.2143912290461973</v>
      </c>
      <c r="AO186" s="408">
        <v>-5.6221146751820976</v>
      </c>
      <c r="AP186" s="408">
        <v>-17.614557537773859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-0.37667907065091988</v>
      </c>
      <c r="BE186" s="408">
        <v>0</v>
      </c>
      <c r="BF186" s="408">
        <v>0</v>
      </c>
      <c r="BG186" s="408">
        <v>-22.445064316298485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>
        <v>-39.04343999999999</v>
      </c>
      <c r="BS186" s="408"/>
      <c r="BT186" s="408"/>
      <c r="BU186" s="408"/>
      <c r="BV186" s="408">
        <v>-158.03149340831101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-284.96789999999999</v>
      </c>
      <c r="CJ186" s="408">
        <v>154.30410000000006</v>
      </c>
      <c r="CK186" s="408"/>
      <c r="CL186" s="408"/>
      <c r="CM186" s="408"/>
      <c r="CN186" s="408"/>
      <c r="CO186" s="408">
        <v>194.48925</v>
      </c>
      <c r="CP186" s="408">
        <v>-20.654789999999998</v>
      </c>
      <c r="CQ186" s="408">
        <v>31</v>
      </c>
      <c r="CR186" s="408">
        <v>-24.465643600837609</v>
      </c>
      <c r="CS186" s="408">
        <v>-0.5799296978343742</v>
      </c>
      <c r="CT186" s="408">
        <v>-1.8169684576980636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-5.0869564295537351E-2</v>
      </c>
      <c r="DA186" s="408">
        <v>0</v>
      </c>
      <c r="DB186" s="408">
        <v>0</v>
      </c>
      <c r="DC186" s="408">
        <v>-20.657444500302063</v>
      </c>
      <c r="DD186" s="408">
        <v>0</v>
      </c>
      <c r="DE186" s="408">
        <v>0</v>
      </c>
      <c r="DF186" s="408">
        <v>-5.7549303916082206E-2</v>
      </c>
      <c r="DG186" s="408">
        <v>-3.4291733425023381</v>
      </c>
      <c r="DH186" s="408">
        <v>0</v>
      </c>
      <c r="DI186" s="408">
        <v>1.8330447589874765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0.24042944369149133</v>
      </c>
      <c r="DP186" s="408">
        <v>5.2817063031894262E-2</v>
      </c>
      <c r="DQ186" s="408">
        <v>0</v>
      </c>
      <c r="DR186" s="408">
        <v>0</v>
      </c>
      <c r="DS186" s="408"/>
      <c r="DT186" s="408"/>
      <c r="DU186" s="408"/>
      <c r="DV186" s="408">
        <v>-269.90086234207223</v>
      </c>
      <c r="DW186" s="408">
        <v>0</v>
      </c>
      <c r="DX186" s="408">
        <v>0</v>
      </c>
      <c r="DY186" s="408">
        <v>194.48925000000003</v>
      </c>
      <c r="DZ186" s="234">
        <v>-20.654789999999991</v>
      </c>
      <c r="EA186" s="408">
        <v>0</v>
      </c>
      <c r="EB186" s="408">
        <v>0</v>
      </c>
      <c r="EC186" s="408">
        <v>198.29881329462512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242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185</v>
      </c>
      <c r="B187" s="408" t="s">
        <v>2234</v>
      </c>
      <c r="C187" s="408" t="s">
        <v>2231</v>
      </c>
      <c r="D187" s="408" t="s">
        <v>2241</v>
      </c>
      <c r="E187" s="408" t="s">
        <v>974</v>
      </c>
      <c r="F187" s="408" t="s">
        <v>2248</v>
      </c>
      <c r="G187" s="408" t="s">
        <v>2249</v>
      </c>
      <c r="H187" s="408" t="s">
        <v>1322</v>
      </c>
      <c r="I187" s="408" t="s">
        <v>1322</v>
      </c>
      <c r="J187" s="408" t="s">
        <v>2232</v>
      </c>
      <c r="K187" s="828">
        <v>44470</v>
      </c>
      <c r="L187" s="408">
        <v>0</v>
      </c>
      <c r="M187" s="408">
        <v>0</v>
      </c>
      <c r="N187" s="408">
        <v>1.141</v>
      </c>
      <c r="O187" s="408">
        <v>1.141</v>
      </c>
      <c r="P187" s="408">
        <v>1.141</v>
      </c>
      <c r="Q187" s="408">
        <v>1.141</v>
      </c>
      <c r="R187" s="408"/>
      <c r="S187" s="408">
        <v>571.87</v>
      </c>
      <c r="T187" s="408">
        <v>216.76</v>
      </c>
      <c r="U187" s="408"/>
      <c r="V187" s="408">
        <v>899.82683000000009</v>
      </c>
      <c r="W187" s="408">
        <v>899.82683000000009</v>
      </c>
      <c r="X187" s="408">
        <v>586.48541</v>
      </c>
      <c r="Y187" s="408">
        <v>0</v>
      </c>
      <c r="Z187" s="408">
        <v>69.15671404724884</v>
      </c>
      <c r="AA187" s="408">
        <v>0</v>
      </c>
      <c r="AB187" s="408">
        <v>0</v>
      </c>
      <c r="AC187" s="408">
        <v>0</v>
      </c>
      <c r="AD187" s="408">
        <v>0.93780353113877857</v>
      </c>
      <c r="AE187" s="408">
        <v>486.50376608578898</v>
      </c>
      <c r="AF187" s="408">
        <v>243.71931243976869</v>
      </c>
      <c r="AG187" s="408">
        <v>3.6025988042921431</v>
      </c>
      <c r="AH187" s="408">
        <v>0</v>
      </c>
      <c r="AI187" s="408">
        <v>0</v>
      </c>
      <c r="AJ187" s="408">
        <v>0</v>
      </c>
      <c r="AK187" s="408">
        <v>0</v>
      </c>
      <c r="AL187" s="408">
        <v>10.695316004428108</v>
      </c>
      <c r="AM187" s="408"/>
      <c r="AN187" s="408">
        <v>2.1889737635730033</v>
      </c>
      <c r="AO187" s="408">
        <v>10.13401713172634</v>
      </c>
      <c r="AP187" s="408">
        <v>31.750726936176889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0.67897443856666606</v>
      </c>
      <c r="BE187" s="408">
        <v>0</v>
      </c>
      <c r="BF187" s="408">
        <v>0</v>
      </c>
      <c r="BG187" s="408">
        <v>40.457848949283687</v>
      </c>
      <c r="BH187" s="408">
        <v>0</v>
      </c>
      <c r="BI187" s="408">
        <v>0</v>
      </c>
      <c r="BJ187" s="408">
        <v>0</v>
      </c>
      <c r="BK187" s="408">
        <v>0</v>
      </c>
      <c r="BL187" s="408">
        <v>0</v>
      </c>
      <c r="BM187" s="408"/>
      <c r="BN187" s="408"/>
      <c r="BO187" s="408"/>
      <c r="BP187" s="408"/>
      <c r="BQ187" s="408"/>
      <c r="BR187" s="408">
        <v>70.376879999999971</v>
      </c>
      <c r="BS187" s="408"/>
      <c r="BT187" s="408"/>
      <c r="BU187" s="408"/>
      <c r="BV187" s="408">
        <v>284.85613582761903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515.65620000000001</v>
      </c>
      <c r="CJ187" s="408">
        <v>-276.2278</v>
      </c>
      <c r="CK187" s="408"/>
      <c r="CL187" s="408"/>
      <c r="CM187" s="408"/>
      <c r="CN187" s="408"/>
      <c r="CO187" s="408">
        <v>-350.57225</v>
      </c>
      <c r="CP187" s="408">
        <v>37.230829999999997</v>
      </c>
      <c r="CQ187" s="408">
        <v>31</v>
      </c>
      <c r="CR187" s="408">
        <v>44.099998970862146</v>
      </c>
      <c r="CS187" s="408">
        <v>1.0453393131580118</v>
      </c>
      <c r="CT187" s="408">
        <v>3.2751358771461199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9.169379598927041E-2</v>
      </c>
      <c r="DA187" s="408">
        <v>0</v>
      </c>
      <c r="DB187" s="408">
        <v>0</v>
      </c>
      <c r="DC187" s="408">
        <v>37.235614810181147</v>
      </c>
      <c r="DD187" s="408">
        <v>0</v>
      </c>
      <c r="DE187" s="408">
        <v>0</v>
      </c>
      <c r="DF187" s="408">
        <v>0.1037342113242492</v>
      </c>
      <c r="DG187" s="408">
        <v>6.1811797532309072</v>
      </c>
      <c r="DH187" s="408">
        <v>0</v>
      </c>
      <c r="DI187" s="408">
        <v>-3.3041138546677757</v>
      </c>
      <c r="DJ187" s="408"/>
      <c r="DK187" s="408">
        <v>0</v>
      </c>
      <c r="DL187" s="408">
        <v>0</v>
      </c>
      <c r="DM187" s="408">
        <v>0</v>
      </c>
      <c r="DN187" s="408">
        <v>0</v>
      </c>
      <c r="DO187" s="408">
        <v>-0.43338071919746035</v>
      </c>
      <c r="DP187" s="408">
        <v>-9.5204216302355871E-2</v>
      </c>
      <c r="DQ187" s="408">
        <v>0</v>
      </c>
      <c r="DR187" s="408">
        <v>0</v>
      </c>
      <c r="DS187" s="408"/>
      <c r="DT187" s="408"/>
      <c r="DU187" s="408"/>
      <c r="DV187" s="408">
        <v>486.50376608578898</v>
      </c>
      <c r="DW187" s="408">
        <v>0</v>
      </c>
      <c r="DX187" s="408">
        <v>0</v>
      </c>
      <c r="DY187" s="408">
        <v>-350.57225000000005</v>
      </c>
      <c r="DZ187" s="234">
        <v>37.230829999999997</v>
      </c>
      <c r="EA187" s="408">
        <v>0</v>
      </c>
      <c r="EB187" s="408">
        <v>0</v>
      </c>
      <c r="EC187" s="408">
        <v>-357.43909315824214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0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242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186</v>
      </c>
      <c r="B188" s="408" t="s">
        <v>1036</v>
      </c>
      <c r="C188" s="408" t="s">
        <v>2231</v>
      </c>
      <c r="D188" s="408" t="s">
        <v>2241</v>
      </c>
      <c r="E188" s="408" t="s">
        <v>974</v>
      </c>
      <c r="F188" s="408" t="s">
        <v>2248</v>
      </c>
      <c r="G188" s="408" t="s">
        <v>2250</v>
      </c>
      <c r="H188" s="408" t="s">
        <v>1322</v>
      </c>
      <c r="I188" s="408" t="s">
        <v>1322</v>
      </c>
      <c r="J188" s="408" t="s">
        <v>2232</v>
      </c>
      <c r="K188" s="828">
        <v>44470</v>
      </c>
      <c r="L188" s="408">
        <v>0</v>
      </c>
      <c r="M188" s="408">
        <v>0</v>
      </c>
      <c r="N188" s="408">
        <v>12.356999999999999</v>
      </c>
      <c r="O188" s="408">
        <v>4.9428000000000001</v>
      </c>
      <c r="P188" s="408">
        <v>12.356999999999999</v>
      </c>
      <c r="Q188" s="408">
        <v>4.9428000000000001</v>
      </c>
      <c r="R188" s="408"/>
      <c r="S188" s="408">
        <v>571.87</v>
      </c>
      <c r="T188" s="408">
        <v>216.76</v>
      </c>
      <c r="U188" s="408"/>
      <c r="V188" s="408">
        <v>9745.1009099999992</v>
      </c>
      <c r="W188" s="408">
        <v>9745.1009099999992</v>
      </c>
      <c r="X188" s="408">
        <v>6351.6215699999993</v>
      </c>
      <c r="Y188" s="408">
        <v>0</v>
      </c>
      <c r="Z188" s="408">
        <v>748.9653948131936</v>
      </c>
      <c r="AA188" s="408">
        <v>0</v>
      </c>
      <c r="AB188" s="408">
        <v>0</v>
      </c>
      <c r="AC188" s="408">
        <v>0</v>
      </c>
      <c r="AD188" s="408">
        <v>10.156387584821987</v>
      </c>
      <c r="AE188" s="408">
        <v>5268.8229951990306</v>
      </c>
      <c r="AF188" s="408">
        <v>2639.4737456776697</v>
      </c>
      <c r="AG188" s="408">
        <v>39.016050328341812</v>
      </c>
      <c r="AH188" s="408">
        <v>0</v>
      </c>
      <c r="AI188" s="408">
        <v>0</v>
      </c>
      <c r="AJ188" s="408">
        <v>0</v>
      </c>
      <c r="AK188" s="408">
        <v>0</v>
      </c>
      <c r="AL188" s="408">
        <v>115.82999111894664</v>
      </c>
      <c r="AM188" s="408"/>
      <c r="AN188" s="408">
        <v>23.706528305408938</v>
      </c>
      <c r="AO188" s="408">
        <v>109.75113908566378</v>
      </c>
      <c r="AP188" s="408">
        <v>343.85953790564224</v>
      </c>
      <c r="AQ188" s="408">
        <v>0</v>
      </c>
      <c r="AR188" s="408">
        <v>0</v>
      </c>
      <c r="AS188" s="408">
        <v>0</v>
      </c>
      <c r="AT188" s="408">
        <v>0</v>
      </c>
      <c r="AU188" s="408">
        <v>0</v>
      </c>
      <c r="AV188" s="408">
        <v>0</v>
      </c>
      <c r="AW188" s="408">
        <v>0</v>
      </c>
      <c r="AX188" s="408">
        <v>0</v>
      </c>
      <c r="AY188" s="408">
        <v>0</v>
      </c>
      <c r="AZ188" s="408">
        <v>0</v>
      </c>
      <c r="BA188" s="408"/>
      <c r="BB188" s="408">
        <v>0</v>
      </c>
      <c r="BC188" s="408">
        <v>0</v>
      </c>
      <c r="BD188" s="408">
        <v>7.3532753175883361</v>
      </c>
      <c r="BE188" s="408">
        <v>0</v>
      </c>
      <c r="BF188" s="408">
        <v>0</v>
      </c>
      <c r="BG188" s="408">
        <v>438.15744037361827</v>
      </c>
      <c r="BH188" s="408">
        <v>0</v>
      </c>
      <c r="BI188" s="408">
        <v>0</v>
      </c>
      <c r="BJ188" s="408">
        <v>0</v>
      </c>
      <c r="BK188" s="408">
        <v>0</v>
      </c>
      <c r="BL188" s="408">
        <v>0</v>
      </c>
      <c r="BM188" s="408"/>
      <c r="BN188" s="408"/>
      <c r="BO188" s="408"/>
      <c r="BP188" s="408"/>
      <c r="BQ188" s="408"/>
      <c r="BR188" s="408"/>
      <c r="BS188" s="408">
        <v>4115.844846</v>
      </c>
      <c r="BT188" s="408"/>
      <c r="BU188" s="408"/>
      <c r="BV188" s="408">
        <v>3084.9844613688761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2234.5102000000002</v>
      </c>
      <c r="CJ188" s="408">
        <v>-1195.8230000000008</v>
      </c>
      <c r="CK188" s="408"/>
      <c r="CL188" s="408"/>
      <c r="CM188" s="408"/>
      <c r="CN188" s="408"/>
      <c r="CO188" s="408">
        <v>-3796.6882499999997</v>
      </c>
      <c r="CP188" s="408">
        <v>403.20890999999995</v>
      </c>
      <c r="CQ188" s="408">
        <v>31</v>
      </c>
      <c r="CR188" s="408">
        <v>477.60182934526165</v>
      </c>
      <c r="CS188" s="408">
        <v>11.320997276681467</v>
      </c>
      <c r="CT188" s="408">
        <v>35.469635437243255</v>
      </c>
      <c r="CU188" s="408">
        <v>0</v>
      </c>
      <c r="CV188" s="408">
        <v>0</v>
      </c>
      <c r="CW188" s="408">
        <v>0</v>
      </c>
      <c r="CX188" s="408">
        <v>0</v>
      </c>
      <c r="CY188" s="408">
        <v>0</v>
      </c>
      <c r="CZ188" s="408">
        <v>0.99304139968397287</v>
      </c>
      <c r="DA188" s="408">
        <v>0</v>
      </c>
      <c r="DB188" s="408">
        <v>0</v>
      </c>
      <c r="DC188" s="408">
        <v>403.2607293684564</v>
      </c>
      <c r="DD188" s="408">
        <v>0</v>
      </c>
      <c r="DE188" s="408">
        <v>0</v>
      </c>
      <c r="DF188" s="408">
        <v>1.1234387811864579</v>
      </c>
      <c r="DG188" s="408">
        <v>66.942014207427121</v>
      </c>
      <c r="DH188" s="408">
        <v>0</v>
      </c>
      <c r="DI188" s="408">
        <v>-35.783466171892883</v>
      </c>
      <c r="DJ188" s="408"/>
      <c r="DK188" s="408">
        <v>0</v>
      </c>
      <c r="DL188" s="408">
        <v>0</v>
      </c>
      <c r="DM188" s="408">
        <v>0</v>
      </c>
      <c r="DN188" s="408">
        <v>0</v>
      </c>
      <c r="DO188" s="408">
        <v>-4.6935017941481334</v>
      </c>
      <c r="DP188" s="408">
        <v>-1.03105915937617</v>
      </c>
      <c r="DQ188" s="408">
        <v>0</v>
      </c>
      <c r="DR188" s="408">
        <v>0</v>
      </c>
      <c r="DS188" s="408"/>
      <c r="DT188" s="408"/>
      <c r="DU188" s="408"/>
      <c r="DV188" s="408">
        <v>5268.8229951990306</v>
      </c>
      <c r="DW188" s="408">
        <v>0</v>
      </c>
      <c r="DX188" s="408">
        <v>0</v>
      </c>
      <c r="DY188" s="408">
        <v>-3796.6882499999997</v>
      </c>
      <c r="DZ188" s="234">
        <v>403.20890999999983</v>
      </c>
      <c r="EA188" s="408">
        <v>0</v>
      </c>
      <c r="EB188" s="408">
        <v>0</v>
      </c>
      <c r="EC188" s="408">
        <v>-3871.0559808557387</v>
      </c>
      <c r="ED188" s="408">
        <v>0</v>
      </c>
      <c r="EE188" s="408">
        <v>0</v>
      </c>
      <c r="EF188" s="408">
        <v>0</v>
      </c>
      <c r="EG188" s="408">
        <v>0</v>
      </c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>
        <v>0</v>
      </c>
      <c r="EN188" s="408">
        <v>0</v>
      </c>
      <c r="EO188" s="408">
        <v>0</v>
      </c>
      <c r="EP188" s="408">
        <v>0</v>
      </c>
      <c r="EQ188" s="408">
        <v>0</v>
      </c>
      <c r="ER188" s="408">
        <v>0</v>
      </c>
      <c r="ES188" s="408">
        <v>0</v>
      </c>
      <c r="ET188" s="408">
        <v>0</v>
      </c>
      <c r="EU188" s="408">
        <v>0</v>
      </c>
      <c r="EV188" s="408">
        <v>242</v>
      </c>
      <c r="EW188" s="408">
        <v>0</v>
      </c>
      <c r="EX188" s="408">
        <v>0</v>
      </c>
      <c r="EY188" s="408">
        <v>0</v>
      </c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187</v>
      </c>
      <c r="B189" s="408" t="s">
        <v>2233</v>
      </c>
      <c r="C189" s="408" t="s">
        <v>2231</v>
      </c>
      <c r="D189" s="408" t="s">
        <v>2241</v>
      </c>
      <c r="E189" s="408" t="s">
        <v>974</v>
      </c>
      <c r="F189" s="408" t="s">
        <v>2248</v>
      </c>
      <c r="G189" s="408" t="s">
        <v>2250</v>
      </c>
      <c r="H189" s="408" t="s">
        <v>1322</v>
      </c>
      <c r="I189" s="408" t="s">
        <v>1322</v>
      </c>
      <c r="J189" s="408" t="s">
        <v>2232</v>
      </c>
      <c r="K189" s="828">
        <v>44470</v>
      </c>
      <c r="L189" s="408">
        <v>0</v>
      </c>
      <c r="M189" s="408">
        <v>0</v>
      </c>
      <c r="N189" s="408">
        <v>0.218</v>
      </c>
      <c r="O189" s="408">
        <v>8.72E-2</v>
      </c>
      <c r="P189" s="408">
        <v>0.218</v>
      </c>
      <c r="Q189" s="408">
        <v>8.72E-2</v>
      </c>
      <c r="R189" s="408"/>
      <c r="S189" s="408">
        <v>571.87</v>
      </c>
      <c r="T189" s="408">
        <v>216.76</v>
      </c>
      <c r="U189" s="408"/>
      <c r="V189" s="408">
        <v>171.92133999999999</v>
      </c>
      <c r="W189" s="408">
        <v>171.92133999999999</v>
      </c>
      <c r="X189" s="408">
        <v>112.05418</v>
      </c>
      <c r="Y189" s="408">
        <v>0</v>
      </c>
      <c r="Z189" s="408">
        <v>13.213114515600568</v>
      </c>
      <c r="AA189" s="408">
        <v>0</v>
      </c>
      <c r="AB189" s="408">
        <v>0</v>
      </c>
      <c r="AC189" s="408">
        <v>0</v>
      </c>
      <c r="AD189" s="408">
        <v>0.17917718649277278</v>
      </c>
      <c r="AE189" s="408">
        <v>92.951639795531989</v>
      </c>
      <c r="AF189" s="408">
        <v>46.565127179552647</v>
      </c>
      <c r="AG189" s="408">
        <v>0.6883142325466145</v>
      </c>
      <c r="AH189" s="408">
        <v>0</v>
      </c>
      <c r="AI189" s="408">
        <v>0</v>
      </c>
      <c r="AJ189" s="408">
        <v>0</v>
      </c>
      <c r="AK189" s="408">
        <v>0</v>
      </c>
      <c r="AL189" s="408">
        <v>2.0434521375682095</v>
      </c>
      <c r="AM189" s="408"/>
      <c r="AN189" s="408">
        <v>0.41822636324181833</v>
      </c>
      <c r="AO189" s="408">
        <v>1.9362101093044191</v>
      </c>
      <c r="AP189" s="408">
        <v>6.0663089150627183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0.12972517757014301</v>
      </c>
      <c r="BE189" s="408">
        <v>0</v>
      </c>
      <c r="BF189" s="408">
        <v>0</v>
      </c>
      <c r="BG189" s="408">
        <v>7.7298957676983724</v>
      </c>
      <c r="BH189" s="408">
        <v>0</v>
      </c>
      <c r="BI189" s="408">
        <v>0</v>
      </c>
      <c r="BJ189" s="408">
        <v>0</v>
      </c>
      <c r="BK189" s="408">
        <v>0</v>
      </c>
      <c r="BL189" s="408">
        <v>0</v>
      </c>
      <c r="BM189" s="408"/>
      <c r="BN189" s="408"/>
      <c r="BO189" s="408"/>
      <c r="BP189" s="408"/>
      <c r="BQ189" s="408"/>
      <c r="BR189" s="408"/>
      <c r="BS189" s="408">
        <v>72.611003999999994</v>
      </c>
      <c r="BT189" s="408"/>
      <c r="BU189" s="408"/>
      <c r="BV189" s="408">
        <v>54.424748124821164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40.709699999999998</v>
      </c>
      <c r="CJ189" s="408">
        <v>-19.8371</v>
      </c>
      <c r="CK189" s="408"/>
      <c r="CL189" s="408"/>
      <c r="CM189" s="408"/>
      <c r="CN189" s="408"/>
      <c r="CO189" s="408">
        <v>-66.980500000000006</v>
      </c>
      <c r="CP189" s="408">
        <v>7.1133399999999991</v>
      </c>
      <c r="CQ189" s="408">
        <v>31</v>
      </c>
      <c r="CR189" s="408">
        <v>8.4257666745380533</v>
      </c>
      <c r="CS189" s="408">
        <v>0.19972302389872598</v>
      </c>
      <c r="CT189" s="408">
        <v>0.6257490107080228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1.7519060057546804E-2</v>
      </c>
      <c r="DA189" s="408">
        <v>0</v>
      </c>
      <c r="DB189" s="408">
        <v>0</v>
      </c>
      <c r="DC189" s="408">
        <v>7.1142541880977106</v>
      </c>
      <c r="DD189" s="408">
        <v>0</v>
      </c>
      <c r="DE189" s="408">
        <v>0</v>
      </c>
      <c r="DF189" s="408">
        <v>1.9819507509803991E-2</v>
      </c>
      <c r="DG189" s="408">
        <v>1.1809791290134433</v>
      </c>
      <c r="DH189" s="408">
        <v>0</v>
      </c>
      <c r="DI189" s="408">
        <v>-0.63128555680769161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-8.2801925315552971E-2</v>
      </c>
      <c r="DP189" s="408">
        <v>-1.8189762623938288E-2</v>
      </c>
      <c r="DQ189" s="408">
        <v>0</v>
      </c>
      <c r="DR189" s="408">
        <v>0</v>
      </c>
      <c r="DS189" s="408"/>
      <c r="DT189" s="408"/>
      <c r="DU189" s="408"/>
      <c r="DV189" s="408">
        <v>92.951639795531989</v>
      </c>
      <c r="DW189" s="408">
        <v>0</v>
      </c>
      <c r="DX189" s="408">
        <v>0</v>
      </c>
      <c r="DY189" s="408">
        <v>-66.980500000000006</v>
      </c>
      <c r="DZ189" s="234">
        <v>7.1133400000000009</v>
      </c>
      <c r="EA189" s="408">
        <v>0</v>
      </c>
      <c r="EB189" s="408">
        <v>0</v>
      </c>
      <c r="EC189" s="408">
        <v>-68.29248230367817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242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188</v>
      </c>
      <c r="B190" s="408" t="s">
        <v>2234</v>
      </c>
      <c r="C190" s="408" t="s">
        <v>2231</v>
      </c>
      <c r="D190" s="408" t="s">
        <v>2241</v>
      </c>
      <c r="E190" s="408" t="s">
        <v>974</v>
      </c>
      <c r="F190" s="408" t="s">
        <v>2248</v>
      </c>
      <c r="G190" s="408" t="s">
        <v>2250</v>
      </c>
      <c r="H190" s="408" t="s">
        <v>1322</v>
      </c>
      <c r="I190" s="408" t="s">
        <v>1322</v>
      </c>
      <c r="J190" s="408" t="s">
        <v>2232</v>
      </c>
      <c r="K190" s="828">
        <v>44470</v>
      </c>
      <c r="L190" s="408">
        <v>0</v>
      </c>
      <c r="M190" s="408">
        <v>0</v>
      </c>
      <c r="N190" s="408">
        <v>0.374</v>
      </c>
      <c r="O190" s="408">
        <v>0.14960000000000001</v>
      </c>
      <c r="P190" s="408">
        <v>0.374</v>
      </c>
      <c r="Q190" s="408">
        <v>0.14960000000000001</v>
      </c>
      <c r="R190" s="408"/>
      <c r="S190" s="408">
        <v>571.87</v>
      </c>
      <c r="T190" s="408">
        <v>216.76</v>
      </c>
      <c r="U190" s="408"/>
      <c r="V190" s="408">
        <v>294.94762000000003</v>
      </c>
      <c r="W190" s="408">
        <v>294.94762000000003</v>
      </c>
      <c r="X190" s="408">
        <v>192.23973999999998</v>
      </c>
      <c r="Y190" s="408">
        <v>0</v>
      </c>
      <c r="Z190" s="408">
        <v>22.668370774470699</v>
      </c>
      <c r="AA190" s="408">
        <v>0</v>
      </c>
      <c r="AB190" s="408">
        <v>0</v>
      </c>
      <c r="AC190" s="408">
        <v>0</v>
      </c>
      <c r="AD190" s="408">
        <v>0.30739572361604134</v>
      </c>
      <c r="AE190" s="408">
        <v>159.46749212627967</v>
      </c>
      <c r="AF190" s="408">
        <v>79.886961308039858</v>
      </c>
      <c r="AG190" s="408">
        <v>1.1808693714331826</v>
      </c>
      <c r="AH190" s="408">
        <v>0</v>
      </c>
      <c r="AI190" s="408">
        <v>0</v>
      </c>
      <c r="AJ190" s="408">
        <v>0</v>
      </c>
      <c r="AK190" s="408">
        <v>0</v>
      </c>
      <c r="AL190" s="408">
        <v>3.5057389883050938</v>
      </c>
      <c r="AM190" s="408"/>
      <c r="AN190" s="408">
        <v>0.71750761400201857</v>
      </c>
      <c r="AO190" s="408">
        <v>3.3217549581644619</v>
      </c>
      <c r="AP190" s="408">
        <v>10.407337312997509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0.22255603858363987</v>
      </c>
      <c r="BE190" s="408">
        <v>0</v>
      </c>
      <c r="BF190" s="408">
        <v>0</v>
      </c>
      <c r="BG190" s="408">
        <v>13.261380812473355</v>
      </c>
      <c r="BH190" s="408">
        <v>0</v>
      </c>
      <c r="BI190" s="408">
        <v>0</v>
      </c>
      <c r="BJ190" s="408">
        <v>0</v>
      </c>
      <c r="BK190" s="408">
        <v>0</v>
      </c>
      <c r="BL190" s="408">
        <v>0</v>
      </c>
      <c r="BM190" s="408"/>
      <c r="BN190" s="408"/>
      <c r="BO190" s="408"/>
      <c r="BP190" s="408"/>
      <c r="BQ190" s="408"/>
      <c r="BR190" s="408"/>
      <c r="BS190" s="408">
        <v>124.57117199999998</v>
      </c>
      <c r="BT190" s="408"/>
      <c r="BU190" s="408"/>
      <c r="BV190" s="408">
        <v>93.370898159096839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67.849500000000006</v>
      </c>
      <c r="CJ190" s="408">
        <v>-36.002900000000025</v>
      </c>
      <c r="CK190" s="408"/>
      <c r="CL190" s="408"/>
      <c r="CM190" s="408"/>
      <c r="CN190" s="408"/>
      <c r="CO190" s="408">
        <v>-114.9115</v>
      </c>
      <c r="CP190" s="408">
        <v>12.203619999999999</v>
      </c>
      <c r="CQ190" s="408">
        <v>31</v>
      </c>
      <c r="CR190" s="408">
        <v>14.455214386592843</v>
      </c>
      <c r="CS190" s="408">
        <v>0.34264408687212677</v>
      </c>
      <c r="CT190" s="408">
        <v>1.0735327064440376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3.0055635144598691E-2</v>
      </c>
      <c r="DA190" s="408">
        <v>0</v>
      </c>
      <c r="DB190" s="408">
        <v>0</v>
      </c>
      <c r="DC190" s="408">
        <v>12.205188377745628</v>
      </c>
      <c r="DD190" s="408">
        <v>0</v>
      </c>
      <c r="DE190" s="408">
        <v>0</v>
      </c>
      <c r="DF190" s="408">
        <v>3.4002274351682071E-2</v>
      </c>
      <c r="DG190" s="408">
        <v>2.0260834598670971</v>
      </c>
      <c r="DH190" s="408">
        <v>0</v>
      </c>
      <c r="DI190" s="408">
        <v>-1.0830311846150309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-0.14205467921108683</v>
      </c>
      <c r="DP190" s="408">
        <v>-3.1206290006206006E-2</v>
      </c>
      <c r="DQ190" s="408">
        <v>0</v>
      </c>
      <c r="DR190" s="408">
        <v>0</v>
      </c>
      <c r="DS190" s="408"/>
      <c r="DT190" s="408"/>
      <c r="DU190" s="408"/>
      <c r="DV190" s="408">
        <v>159.46749212627967</v>
      </c>
      <c r="DW190" s="408">
        <v>0</v>
      </c>
      <c r="DX190" s="408">
        <v>0</v>
      </c>
      <c r="DY190" s="408">
        <v>-114.91149999999999</v>
      </c>
      <c r="DZ190" s="234">
        <v>12.203619999999987</v>
      </c>
      <c r="EA190" s="408">
        <v>0</v>
      </c>
      <c r="EB190" s="408">
        <v>0</v>
      </c>
      <c r="EC190" s="408">
        <v>-117.16233202557632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242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189</v>
      </c>
      <c r="B191" s="408" t="s">
        <v>1036</v>
      </c>
      <c r="C191" s="408" t="s">
        <v>2239</v>
      </c>
      <c r="D191" s="408" t="s">
        <v>597</v>
      </c>
      <c r="E191" s="408" t="s">
        <v>974</v>
      </c>
      <c r="F191" s="408" t="s">
        <v>2248</v>
      </c>
      <c r="G191" s="408" t="s">
        <v>1322</v>
      </c>
      <c r="H191" s="408" t="s">
        <v>1322</v>
      </c>
      <c r="I191" s="408" t="s">
        <v>973</v>
      </c>
      <c r="J191" s="408" t="s">
        <v>2232</v>
      </c>
      <c r="K191" s="828">
        <v>44470</v>
      </c>
      <c r="L191" s="408">
        <v>0</v>
      </c>
      <c r="M191" s="408">
        <v>0</v>
      </c>
      <c r="N191" s="408">
        <v>0.67700000000000005</v>
      </c>
      <c r="O191" s="408">
        <v>0.64992000000000005</v>
      </c>
      <c r="P191" s="408">
        <v>0.67700000000000005</v>
      </c>
      <c r="Q191" s="408">
        <v>0.64992000000000005</v>
      </c>
      <c r="R191" s="408"/>
      <c r="S191" s="408">
        <v>2592.54</v>
      </c>
      <c r="T191" s="408">
        <v>216.76</v>
      </c>
      <c r="U191" s="408"/>
      <c r="V191" s="408">
        <v>1901.8960999999999</v>
      </c>
      <c r="W191" s="408">
        <v>1901.8960999999999</v>
      </c>
      <c r="X191" s="408">
        <v>799.67240000000004</v>
      </c>
      <c r="Y191" s="408">
        <v>0</v>
      </c>
      <c r="Z191" s="408">
        <v>35.699047332768714</v>
      </c>
      <c r="AA191" s="408">
        <v>0</v>
      </c>
      <c r="AB191" s="408">
        <v>0</v>
      </c>
      <c r="AC191" s="408">
        <v>0</v>
      </c>
      <c r="AD191" s="408">
        <v>3.423342035184163</v>
      </c>
      <c r="AE191" s="408">
        <v>1550.9335484881628</v>
      </c>
      <c r="AF191" s="408">
        <v>144.6082160576016</v>
      </c>
      <c r="AG191" s="408">
        <v>2.1375630065782478</v>
      </c>
      <c r="AH191" s="408">
        <v>0</v>
      </c>
      <c r="AI191" s="408">
        <v>0</v>
      </c>
      <c r="AJ191" s="408">
        <v>0</v>
      </c>
      <c r="AK191" s="408">
        <v>0</v>
      </c>
      <c r="AL191" s="408">
        <v>6.3459499868517346</v>
      </c>
      <c r="AM191" s="408"/>
      <c r="AN191" s="408">
        <v>0.92967142703148165</v>
      </c>
      <c r="AO191" s="408">
        <v>30.542768033143673</v>
      </c>
      <c r="AP191" s="408">
        <v>115.9029068863958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0.30959121885400526</v>
      </c>
      <c r="BE191" s="408">
        <v>0</v>
      </c>
      <c r="BF191" s="408">
        <v>0</v>
      </c>
      <c r="BG191" s="408">
        <v>11.059578171916236</v>
      </c>
      <c r="BH191" s="408">
        <v>0</v>
      </c>
      <c r="BI191" s="408">
        <v>0</v>
      </c>
      <c r="BJ191" s="408">
        <v>0</v>
      </c>
      <c r="BK191" s="408">
        <v>0</v>
      </c>
      <c r="BL191" s="408">
        <v>0</v>
      </c>
      <c r="BM191" s="408"/>
      <c r="BN191" s="408"/>
      <c r="BO191" s="408"/>
      <c r="BP191" s="408"/>
      <c r="BQ191" s="408"/>
      <c r="BR191" s="408">
        <v>31.986895999999987</v>
      </c>
      <c r="BS191" s="408"/>
      <c r="BT191" s="408"/>
      <c r="BU191" s="408"/>
      <c r="BV191" s="408">
        <v>155.97738544837182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767.78</v>
      </c>
      <c r="CJ191" s="408">
        <v>-1058.070256</v>
      </c>
      <c r="CK191" s="408"/>
      <c r="CL191" s="408"/>
      <c r="CM191" s="408"/>
      <c r="CN191" s="408"/>
      <c r="CO191" s="408">
        <v>-1124.31421</v>
      </c>
      <c r="CP191" s="408">
        <v>22.090509999999998</v>
      </c>
      <c r="CQ191" s="408">
        <v>31</v>
      </c>
      <c r="CR191" s="408">
        <v>37.267975100391936</v>
      </c>
      <c r="CS191" s="408">
        <v>3.1505330751569147</v>
      </c>
      <c r="CT191" s="408">
        <v>11.955561501699961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0.33471747093392068</v>
      </c>
      <c r="DA191" s="408">
        <v>0</v>
      </c>
      <c r="DB191" s="408">
        <v>0</v>
      </c>
      <c r="DC191" s="408">
        <v>22.093349015330944</v>
      </c>
      <c r="DD191" s="408">
        <v>0</v>
      </c>
      <c r="DE191" s="408">
        <v>0</v>
      </c>
      <c r="DF191" s="408">
        <v>4.7299572850679816E-2</v>
      </c>
      <c r="DG191" s="408">
        <v>1.6896904420503951</v>
      </c>
      <c r="DH191" s="408">
        <v>0</v>
      </c>
      <c r="DI191" s="408">
        <v>-1.7056003674502449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-0.25714175889279645</v>
      </c>
      <c r="DP191" s="408">
        <v>-4.0433851287808409E-2</v>
      </c>
      <c r="DQ191" s="408">
        <v>0</v>
      </c>
      <c r="DR191" s="408">
        <v>0</v>
      </c>
      <c r="DS191" s="408"/>
      <c r="DT191" s="408"/>
      <c r="DU191" s="408"/>
      <c r="DV191" s="408">
        <v>1550.9335484881628</v>
      </c>
      <c r="DW191" s="408">
        <v>0</v>
      </c>
      <c r="DX191" s="408">
        <v>0</v>
      </c>
      <c r="DY191" s="408">
        <v>-1124.31421</v>
      </c>
      <c r="DZ191" s="234">
        <v>22.090509999999995</v>
      </c>
      <c r="EA191" s="408">
        <v>0</v>
      </c>
      <c r="EB191" s="408">
        <v>0</v>
      </c>
      <c r="EC191" s="408">
        <v>-1139.4861042505236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242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190</v>
      </c>
      <c r="B192" s="408" t="s">
        <v>1036</v>
      </c>
      <c r="C192" s="408" t="s">
        <v>2239</v>
      </c>
      <c r="D192" s="408" t="s">
        <v>597</v>
      </c>
      <c r="E192" s="408" t="s">
        <v>974</v>
      </c>
      <c r="F192" s="408" t="s">
        <v>2248</v>
      </c>
      <c r="G192" s="408" t="s">
        <v>1322</v>
      </c>
      <c r="H192" s="408" t="s">
        <v>1322</v>
      </c>
      <c r="I192" s="408" t="s">
        <v>2240</v>
      </c>
      <c r="J192" s="408" t="s">
        <v>2232</v>
      </c>
      <c r="K192" s="828">
        <v>44470</v>
      </c>
      <c r="L192" s="408">
        <v>0</v>
      </c>
      <c r="M192" s="408">
        <v>0</v>
      </c>
      <c r="N192" s="408">
        <v>48.718000000000004</v>
      </c>
      <c r="O192" s="408">
        <v>46.769280000000002</v>
      </c>
      <c r="P192" s="408">
        <v>48.718000000000004</v>
      </c>
      <c r="Q192" s="408">
        <v>46.769280000000002</v>
      </c>
      <c r="R192" s="408"/>
      <c r="S192" s="408">
        <v>80.27</v>
      </c>
      <c r="T192" s="408">
        <v>216.76</v>
      </c>
      <c r="U192" s="408"/>
      <c r="V192" s="408">
        <v>14470.707539999999</v>
      </c>
      <c r="W192" s="408">
        <v>14470.707539999999</v>
      </c>
      <c r="X192" s="408">
        <v>16041.37586</v>
      </c>
      <c r="Y192" s="408">
        <v>0</v>
      </c>
      <c r="Z192" s="408">
        <v>2568.9603958018115</v>
      </c>
      <c r="AA192" s="408">
        <v>0</v>
      </c>
      <c r="AB192" s="408">
        <v>0</v>
      </c>
      <c r="AC192" s="408">
        <v>0</v>
      </c>
      <c r="AD192" s="408">
        <v>0</v>
      </c>
      <c r="AE192" s="408">
        <v>0</v>
      </c>
      <c r="AF192" s="408">
        <v>10406.2379171259</v>
      </c>
      <c r="AG192" s="408">
        <v>153.8224439504861</v>
      </c>
      <c r="AH192" s="408">
        <v>0</v>
      </c>
      <c r="AI192" s="408">
        <v>0</v>
      </c>
      <c r="AJ192" s="408">
        <v>0</v>
      </c>
      <c r="AK192" s="408">
        <v>0</v>
      </c>
      <c r="AL192" s="408">
        <v>456.66468457820207</v>
      </c>
      <c r="AM192" s="408"/>
      <c r="AN192" s="408">
        <v>66.90063896915764</v>
      </c>
      <c r="AO192" s="408">
        <v>0</v>
      </c>
      <c r="AP192" s="408">
        <v>0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22.27867799132855</v>
      </c>
      <c r="BE192" s="408">
        <v>0</v>
      </c>
      <c r="BF192" s="408">
        <v>0</v>
      </c>
      <c r="BG192" s="408">
        <v>795.86488830046551</v>
      </c>
      <c r="BH192" s="408">
        <v>0</v>
      </c>
      <c r="BI192" s="408">
        <v>0</v>
      </c>
      <c r="BJ192" s="408">
        <v>0</v>
      </c>
      <c r="BK192" s="408">
        <v>0</v>
      </c>
      <c r="BL192" s="408">
        <v>0</v>
      </c>
      <c r="BM192" s="408"/>
      <c r="BN192" s="408"/>
      <c r="BO192" s="408"/>
      <c r="BP192" s="408"/>
      <c r="BQ192" s="408"/>
      <c r="BR192" s="408">
        <v>641.65503440000043</v>
      </c>
      <c r="BS192" s="408"/>
      <c r="BT192" s="408"/>
      <c r="BU192" s="408"/>
      <c r="BV192" s="408">
        <v>11224.381483417694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15399.957900000001</v>
      </c>
      <c r="CJ192" s="408">
        <v>1508.0486615999998</v>
      </c>
      <c r="CK192" s="408"/>
      <c r="CL192" s="408"/>
      <c r="CM192" s="408"/>
      <c r="CN192" s="408"/>
      <c r="CO192" s="408">
        <v>-19.000020000000028</v>
      </c>
      <c r="CP192" s="408">
        <v>1589.6683399999999</v>
      </c>
      <c r="CQ192" s="408">
        <v>31</v>
      </c>
      <c r="CR192" s="408">
        <v>1570.717473554836</v>
      </c>
      <c r="CS192" s="408">
        <v>0</v>
      </c>
      <c r="CT192" s="408">
        <v>0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0</v>
      </c>
      <c r="DA192" s="408">
        <v>0</v>
      </c>
      <c r="DB192" s="408">
        <v>0</v>
      </c>
      <c r="DC192" s="408">
        <v>1589.8726400722207</v>
      </c>
      <c r="DD192" s="408">
        <v>0</v>
      </c>
      <c r="DE192" s="408">
        <v>0</v>
      </c>
      <c r="DF192" s="408">
        <v>3.4037527180789091</v>
      </c>
      <c r="DG192" s="408">
        <v>121.59281972793383</v>
      </c>
      <c r="DH192" s="408">
        <v>0</v>
      </c>
      <c r="DI192" s="408">
        <v>-122.73772334038586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-18.504331181298767</v>
      </c>
      <c r="DP192" s="408">
        <v>-2.9096844417126277</v>
      </c>
      <c r="DQ192" s="408">
        <v>0</v>
      </c>
      <c r="DR192" s="408">
        <v>0</v>
      </c>
      <c r="DS192" s="408"/>
      <c r="DT192" s="408"/>
      <c r="DU192" s="408"/>
      <c r="DV192" s="408">
        <v>0</v>
      </c>
      <c r="DW192" s="408">
        <v>0</v>
      </c>
      <c r="DX192" s="408">
        <v>0</v>
      </c>
      <c r="DY192" s="408">
        <v>-19.00001999999995</v>
      </c>
      <c r="DZ192" s="234">
        <v>1589.6683400000002</v>
      </c>
      <c r="EA192" s="408">
        <v>0</v>
      </c>
      <c r="EB192" s="408">
        <v>0</v>
      </c>
      <c r="EC192" s="408">
        <v>0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242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191</v>
      </c>
      <c r="B193" s="408" t="s">
        <v>1036</v>
      </c>
      <c r="C193" s="408" t="s">
        <v>2239</v>
      </c>
      <c r="D193" s="408" t="s">
        <v>597</v>
      </c>
      <c r="E193" s="408" t="s">
        <v>974</v>
      </c>
      <c r="F193" s="408" t="s">
        <v>2248</v>
      </c>
      <c r="G193" s="408" t="s">
        <v>1322</v>
      </c>
      <c r="H193" s="408" t="s">
        <v>1322</v>
      </c>
      <c r="I193" s="408" t="s">
        <v>1322</v>
      </c>
      <c r="J193" s="408" t="s">
        <v>2232</v>
      </c>
      <c r="K193" s="828">
        <v>44470</v>
      </c>
      <c r="L193" s="408">
        <v>2263</v>
      </c>
      <c r="M193" s="408">
        <v>2172.48</v>
      </c>
      <c r="N193" s="408">
        <v>0</v>
      </c>
      <c r="O193" s="408">
        <v>0</v>
      </c>
      <c r="P193" s="408">
        <v>0</v>
      </c>
      <c r="Q193" s="408">
        <v>0</v>
      </c>
      <c r="R193" s="408">
        <v>32.17</v>
      </c>
      <c r="S193" s="408"/>
      <c r="T193" s="408"/>
      <c r="U193" s="408">
        <v>72800.710000000006</v>
      </c>
      <c r="V193" s="408"/>
      <c r="W193" s="408">
        <v>72800.710000000006</v>
      </c>
      <c r="X193" s="408">
        <v>29260.59</v>
      </c>
      <c r="Y193" s="408">
        <v>0</v>
      </c>
      <c r="Z193" s="408">
        <v>0</v>
      </c>
      <c r="AA193" s="408">
        <v>0</v>
      </c>
      <c r="AB193" s="408">
        <v>0</v>
      </c>
      <c r="AC193" s="408">
        <v>0</v>
      </c>
      <c r="AD193" s="408">
        <v>226.11041747207625</v>
      </c>
      <c r="AE193" s="408">
        <v>60935.202274679657</v>
      </c>
      <c r="AF193" s="408"/>
      <c r="AG193" s="408"/>
      <c r="AH193" s="408"/>
      <c r="AI193" s="408">
        <v>0</v>
      </c>
      <c r="AJ193" s="408">
        <v>0</v>
      </c>
      <c r="AK193" s="408">
        <v>0</v>
      </c>
      <c r="AL193" s="408">
        <v>0</v>
      </c>
      <c r="AM193" s="408"/>
      <c r="AN193" s="408">
        <v>0</v>
      </c>
      <c r="AO193" s="408">
        <v>3992.884963814271</v>
      </c>
      <c r="AP193" s="408">
        <v>7655.4238694035739</v>
      </c>
      <c r="AQ193" s="408">
        <v>0</v>
      </c>
      <c r="AR193" s="408">
        <v>0</v>
      </c>
      <c r="AS193" s="408"/>
      <c r="AT193" s="408"/>
      <c r="AU193" s="408">
        <v>0</v>
      </c>
      <c r="AV193" s="408">
        <v>0</v>
      </c>
      <c r="AW193" s="408">
        <v>0</v>
      </c>
      <c r="AX193" s="408"/>
      <c r="AY193" s="408"/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/>
      <c r="BG193" s="408">
        <v>0</v>
      </c>
      <c r="BH193" s="408">
        <v>0</v>
      </c>
      <c r="BI193" s="408">
        <v>392.51</v>
      </c>
      <c r="BJ193" s="408">
        <v>1804.06</v>
      </c>
      <c r="BK193" s="408">
        <v>79.55</v>
      </c>
      <c r="BL193" s="408">
        <v>13</v>
      </c>
      <c r="BM193" s="408"/>
      <c r="BN193" s="408"/>
      <c r="BO193" s="408"/>
      <c r="BP193" s="408"/>
      <c r="BQ193" s="408"/>
      <c r="BR193" s="408">
        <v>1170.4235999999999</v>
      </c>
      <c r="BS193" s="408"/>
      <c r="BT193" s="408"/>
      <c r="BU193" s="408"/>
      <c r="BV193" s="408">
        <v>0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28090.166399999998</v>
      </c>
      <c r="CJ193" s="408">
        <v>-41798.545199999993</v>
      </c>
      <c r="CK193" s="408"/>
      <c r="CL193" s="408"/>
      <c r="CM193" s="408"/>
      <c r="CN193" s="408"/>
      <c r="CO193" s="408">
        <v>-43540.12</v>
      </c>
      <c r="CP193" s="408">
        <v>0</v>
      </c>
      <c r="CQ193" s="408">
        <v>31</v>
      </c>
      <c r="CR193" s="408">
        <v>1223.6487697188641</v>
      </c>
      <c r="CS193" s="408">
        <v>411.87216987481406</v>
      </c>
      <c r="CT193" s="408">
        <v>789.6686403383319</v>
      </c>
      <c r="CU193" s="408">
        <v>0</v>
      </c>
      <c r="CV193" s="408">
        <v>0</v>
      </c>
      <c r="CW193" s="408"/>
      <c r="CX193" s="408"/>
      <c r="CY193" s="408"/>
      <c r="CZ193" s="408">
        <v>22.107959505716536</v>
      </c>
      <c r="DA193" s="408">
        <v>0</v>
      </c>
      <c r="DB193" s="408">
        <v>0</v>
      </c>
      <c r="DC193" s="408"/>
      <c r="DD193" s="408"/>
      <c r="DE193" s="408">
        <v>0</v>
      </c>
      <c r="DF193" s="408">
        <v>0</v>
      </c>
      <c r="DG193" s="408">
        <v>0</v>
      </c>
      <c r="DH193" s="408">
        <v>0</v>
      </c>
      <c r="DI193" s="408">
        <v>0</v>
      </c>
      <c r="DJ193" s="408"/>
      <c r="DK193" s="408">
        <v>0</v>
      </c>
      <c r="DL193" s="408">
        <v>0</v>
      </c>
      <c r="DM193" s="408"/>
      <c r="DN193" s="408">
        <v>0</v>
      </c>
      <c r="DO193" s="408">
        <v>0</v>
      </c>
      <c r="DP193" s="408">
        <v>0</v>
      </c>
      <c r="DQ193" s="408">
        <v>0</v>
      </c>
      <c r="DR193" s="408">
        <v>0</v>
      </c>
      <c r="DS193" s="408"/>
      <c r="DT193" s="408"/>
      <c r="DU193" s="408">
        <v>60935.202274679657</v>
      </c>
      <c r="DV193" s="408"/>
      <c r="DW193" s="408">
        <v>0</v>
      </c>
      <c r="DX193" s="408">
        <v>0</v>
      </c>
      <c r="DY193" s="408">
        <v>-43540.12000000001</v>
      </c>
      <c r="DZ193" s="234"/>
      <c r="EA193" s="408">
        <v>0</v>
      </c>
      <c r="EB193" s="408"/>
      <c r="EC193" s="408">
        <v>-44769.691338082645</v>
      </c>
      <c r="ED193" s="408"/>
      <c r="EE193" s="408">
        <v>0</v>
      </c>
      <c r="EF193" s="408">
        <v>0</v>
      </c>
      <c r="EG193" s="408"/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/>
      <c r="EN193" s="408"/>
      <c r="EO193" s="408">
        <v>0</v>
      </c>
      <c r="EP193" s="408">
        <v>0</v>
      </c>
      <c r="EQ193" s="408"/>
      <c r="ER193" s="408">
        <v>0</v>
      </c>
      <c r="ES193" s="408"/>
      <c r="ET193" s="408">
        <v>0</v>
      </c>
      <c r="EU193" s="408"/>
      <c r="EV193" s="408">
        <v>242</v>
      </c>
      <c r="EW193" s="408"/>
      <c r="EX193" s="408"/>
      <c r="EY193" s="408"/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192</v>
      </c>
      <c r="B194" s="408" t="s">
        <v>1036</v>
      </c>
      <c r="C194" s="408" t="s">
        <v>2239</v>
      </c>
      <c r="D194" s="408" t="s">
        <v>597</v>
      </c>
      <c r="E194" s="408" t="s">
        <v>974</v>
      </c>
      <c r="F194" s="408" t="s">
        <v>2248</v>
      </c>
      <c r="G194" s="408" t="s">
        <v>2250</v>
      </c>
      <c r="H194" s="408" t="s">
        <v>1322</v>
      </c>
      <c r="I194" s="408" t="s">
        <v>2240</v>
      </c>
      <c r="J194" s="408" t="s">
        <v>2232</v>
      </c>
      <c r="K194" s="828">
        <v>44470</v>
      </c>
      <c r="L194" s="408">
        <v>0</v>
      </c>
      <c r="M194" s="408">
        <v>0</v>
      </c>
      <c r="N194" s="408">
        <v>58.411999999999999</v>
      </c>
      <c r="O194" s="408">
        <v>17.523599999999998</v>
      </c>
      <c r="P194" s="408">
        <v>58.411999999999999</v>
      </c>
      <c r="Q194" s="408">
        <v>17.523599999999998</v>
      </c>
      <c r="R194" s="408"/>
      <c r="S194" s="408">
        <v>80.27</v>
      </c>
      <c r="T194" s="408">
        <v>216.76</v>
      </c>
      <c r="U194" s="408"/>
      <c r="V194" s="408">
        <v>17350.11636</v>
      </c>
      <c r="W194" s="408">
        <v>17350.11636</v>
      </c>
      <c r="X194" s="408">
        <v>19233.319239999997</v>
      </c>
      <c r="Y194" s="408">
        <v>0</v>
      </c>
      <c r="Z194" s="408">
        <v>3080.1370056154892</v>
      </c>
      <c r="AA194" s="408">
        <v>0</v>
      </c>
      <c r="AB194" s="408">
        <v>0</v>
      </c>
      <c r="AC194" s="408">
        <v>0</v>
      </c>
      <c r="AD194" s="408">
        <v>0</v>
      </c>
      <c r="AE194" s="408">
        <v>0</v>
      </c>
      <c r="AF194" s="408">
        <v>12476.890866110225</v>
      </c>
      <c r="AG194" s="408">
        <v>184.43032546565524</v>
      </c>
      <c r="AH194" s="408">
        <v>0</v>
      </c>
      <c r="AI194" s="408">
        <v>0</v>
      </c>
      <c r="AJ194" s="408">
        <v>0</v>
      </c>
      <c r="AK194" s="408">
        <v>0</v>
      </c>
      <c r="AL194" s="408">
        <v>547.53268926437738</v>
      </c>
      <c r="AM194" s="408"/>
      <c r="AN194" s="408">
        <v>80.21265494204269</v>
      </c>
      <c r="AO194" s="408">
        <v>0</v>
      </c>
      <c r="AP194" s="408">
        <v>0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26.711731574150889</v>
      </c>
      <c r="BE194" s="408">
        <v>0</v>
      </c>
      <c r="BF194" s="408">
        <v>0</v>
      </c>
      <c r="BG194" s="408">
        <v>954.22759258193662</v>
      </c>
      <c r="BH194" s="408">
        <v>0</v>
      </c>
      <c r="BI194" s="408">
        <v>0</v>
      </c>
      <c r="BJ194" s="408">
        <v>0</v>
      </c>
      <c r="BK194" s="408">
        <v>0</v>
      </c>
      <c r="BL194" s="408">
        <v>0</v>
      </c>
      <c r="BM194" s="408"/>
      <c r="BN194" s="408"/>
      <c r="BO194" s="408"/>
      <c r="BP194" s="408"/>
      <c r="BQ194" s="408"/>
      <c r="BR194" s="408"/>
      <c r="BS194" s="408">
        <v>13463.323468000001</v>
      </c>
      <c r="BT194" s="408"/>
      <c r="BU194" s="408"/>
      <c r="BV194" s="408">
        <v>13457.830190266312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5768.8103999999994</v>
      </c>
      <c r="CJ194" s="408">
        <v>563.74549200000001</v>
      </c>
      <c r="CK194" s="408"/>
      <c r="CL194" s="408"/>
      <c r="CM194" s="408"/>
      <c r="CN194" s="408"/>
      <c r="CO194" s="408">
        <v>-22.780680000000032</v>
      </c>
      <c r="CP194" s="408">
        <v>1905.9835599999997</v>
      </c>
      <c r="CQ194" s="408">
        <v>31</v>
      </c>
      <c r="CR194" s="408">
        <v>1883.2618142223619</v>
      </c>
      <c r="CS194" s="408">
        <v>0</v>
      </c>
      <c r="CT194" s="408">
        <v>0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0</v>
      </c>
      <c r="DA194" s="408">
        <v>0</v>
      </c>
      <c r="DB194" s="408">
        <v>0</v>
      </c>
      <c r="DC194" s="408">
        <v>1906.2285120879078</v>
      </c>
      <c r="DD194" s="408">
        <v>0</v>
      </c>
      <c r="DE194" s="408">
        <v>0</v>
      </c>
      <c r="DF194" s="408">
        <v>4.0810378867856905</v>
      </c>
      <c r="DG194" s="408">
        <v>145.78758951410293</v>
      </c>
      <c r="DH194" s="408">
        <v>0</v>
      </c>
      <c r="DI194" s="408">
        <v>-147.16030821787899</v>
      </c>
      <c r="DJ194" s="408"/>
      <c r="DK194" s="408">
        <v>0</v>
      </c>
      <c r="DL194" s="408">
        <v>0</v>
      </c>
      <c r="DM194" s="408">
        <v>0</v>
      </c>
      <c r="DN194" s="408">
        <v>0</v>
      </c>
      <c r="DO194" s="408">
        <v>-22.186358080422451</v>
      </c>
      <c r="DP194" s="408">
        <v>-3.4886589681292008</v>
      </c>
      <c r="DQ194" s="408">
        <v>0</v>
      </c>
      <c r="DR194" s="408">
        <v>0</v>
      </c>
      <c r="DS194" s="408"/>
      <c r="DT194" s="408"/>
      <c r="DU194" s="408"/>
      <c r="DV194" s="408">
        <v>0</v>
      </c>
      <c r="DW194" s="408">
        <v>0</v>
      </c>
      <c r="DX194" s="408">
        <v>0</v>
      </c>
      <c r="DY194" s="408">
        <v>-22.780680000000757</v>
      </c>
      <c r="DZ194" s="234">
        <v>1905.9835600000006</v>
      </c>
      <c r="EA194" s="408">
        <v>0</v>
      </c>
      <c r="EB194" s="408">
        <v>0</v>
      </c>
      <c r="EC194" s="408">
        <v>0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242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193</v>
      </c>
      <c r="B195" s="408" t="s">
        <v>1036</v>
      </c>
      <c r="C195" s="408" t="s">
        <v>2231</v>
      </c>
      <c r="D195" s="408" t="s">
        <v>2241</v>
      </c>
      <c r="E195" s="408" t="s">
        <v>974</v>
      </c>
      <c r="F195" s="408" t="s">
        <v>2251</v>
      </c>
      <c r="G195" s="408" t="s">
        <v>2249</v>
      </c>
      <c r="H195" s="408" t="s">
        <v>1322</v>
      </c>
      <c r="I195" s="408" t="s">
        <v>1322</v>
      </c>
      <c r="J195" s="408" t="s">
        <v>2232</v>
      </c>
      <c r="K195" s="828">
        <v>44470</v>
      </c>
      <c r="L195" s="408">
        <v>0</v>
      </c>
      <c r="M195" s="408">
        <v>0</v>
      </c>
      <c r="N195" s="408">
        <v>0</v>
      </c>
      <c r="O195" s="408">
        <v>0</v>
      </c>
      <c r="P195" s="408">
        <v>0</v>
      </c>
      <c r="Q195" s="408">
        <v>0</v>
      </c>
      <c r="R195" s="408"/>
      <c r="S195" s="408"/>
      <c r="T195" s="408"/>
      <c r="U195" s="408"/>
      <c r="V195" s="408"/>
      <c r="W195" s="408"/>
      <c r="X195" s="408"/>
      <c r="Y195" s="408"/>
      <c r="Z195" s="408"/>
      <c r="AA195" s="408">
        <v>0</v>
      </c>
      <c r="AB195" s="408"/>
      <c r="AC195" s="408"/>
      <c r="AD195" s="408"/>
      <c r="AE195" s="408"/>
      <c r="AF195" s="408"/>
      <c r="AG195" s="408"/>
      <c r="AH195" s="408"/>
      <c r="AI195" s="408"/>
      <c r="AJ195" s="408"/>
      <c r="AK195" s="408"/>
      <c r="AL195" s="408"/>
      <c r="AM195" s="408"/>
      <c r="AN195" s="408"/>
      <c r="AO195" s="408"/>
      <c r="AP195" s="408"/>
      <c r="AQ195" s="408"/>
      <c r="AR195" s="408"/>
      <c r="AS195" s="408"/>
      <c r="AT195" s="408"/>
      <c r="AU195" s="408"/>
      <c r="AV195" s="408"/>
      <c r="AW195" s="408"/>
      <c r="AX195" s="408"/>
      <c r="AY195" s="408"/>
      <c r="AZ195" s="408">
        <v>0</v>
      </c>
      <c r="BA195" s="408"/>
      <c r="BB195" s="408"/>
      <c r="BC195" s="408"/>
      <c r="BD195" s="408"/>
      <c r="BE195" s="408"/>
      <c r="BF195" s="408"/>
      <c r="BG195" s="408"/>
      <c r="BH195" s="408"/>
      <c r="BI195" s="408">
        <v>40.21</v>
      </c>
      <c r="BJ195" s="408">
        <v>185.06</v>
      </c>
      <c r="BK195" s="408">
        <v>78.64</v>
      </c>
      <c r="BL195" s="408">
        <v>9</v>
      </c>
      <c r="BM195" s="408"/>
      <c r="BN195" s="408"/>
      <c r="BO195" s="408"/>
      <c r="BP195" s="408"/>
      <c r="BQ195" s="408"/>
      <c r="BR195" s="408"/>
      <c r="BS195" s="408"/>
      <c r="BT195" s="408"/>
      <c r="BU195" s="408"/>
      <c r="BV195" s="408"/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/>
      <c r="CJ195" s="408">
        <v>-0.03</v>
      </c>
      <c r="CK195" s="408"/>
      <c r="CL195" s="408"/>
      <c r="CM195" s="408"/>
      <c r="CN195" s="408"/>
      <c r="CO195" s="408">
        <v>0</v>
      </c>
      <c r="CP195" s="408">
        <v>0</v>
      </c>
      <c r="CQ195" s="408">
        <v>31</v>
      </c>
      <c r="CR195" s="408"/>
      <c r="CS195" s="408"/>
      <c r="CT195" s="408"/>
      <c r="CU195" s="408"/>
      <c r="CV195" s="408"/>
      <c r="CW195" s="408"/>
      <c r="CX195" s="408"/>
      <c r="CY195" s="408"/>
      <c r="CZ195" s="408"/>
      <c r="DA195" s="408"/>
      <c r="DB195" s="408"/>
      <c r="DC195" s="408"/>
      <c r="DD195" s="408"/>
      <c r="DE195" s="408"/>
      <c r="DF195" s="408"/>
      <c r="DG195" s="408"/>
      <c r="DH195" s="408"/>
      <c r="DI195" s="408"/>
      <c r="DJ195" s="408"/>
      <c r="DK195" s="408">
        <v>0</v>
      </c>
      <c r="DL195" s="408"/>
      <c r="DM195" s="408"/>
      <c r="DN195" s="408"/>
      <c r="DO195" s="408"/>
      <c r="DP195" s="408"/>
      <c r="DQ195" s="408"/>
      <c r="DR195" s="408"/>
      <c r="DS195" s="408"/>
      <c r="DT195" s="408"/>
      <c r="DU195" s="408"/>
      <c r="DV195" s="408"/>
      <c r="DW195" s="408"/>
      <c r="DX195" s="408"/>
      <c r="DY195" s="408"/>
      <c r="DZ195" s="234"/>
      <c r="EA195" s="408"/>
      <c r="EB195" s="408"/>
      <c r="EC195" s="408"/>
      <c r="ED195" s="408"/>
      <c r="EE195" s="408"/>
      <c r="EF195" s="408"/>
      <c r="EG195" s="408"/>
      <c r="EH195" s="408"/>
      <c r="EI195" s="408"/>
      <c r="EJ195" s="408"/>
      <c r="EK195" s="408"/>
      <c r="EL195" s="408"/>
      <c r="EM195" s="408"/>
      <c r="EN195" s="408"/>
      <c r="EO195" s="408"/>
      <c r="EP195" s="408"/>
      <c r="EQ195" s="408"/>
      <c r="ER195" s="408"/>
      <c r="ES195" s="408"/>
      <c r="ET195" s="408"/>
      <c r="EU195" s="408"/>
      <c r="EV195" s="408">
        <v>242</v>
      </c>
      <c r="EW195" s="408"/>
      <c r="EX195" s="408"/>
      <c r="EY195" s="408"/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194</v>
      </c>
      <c r="B196" s="408" t="s">
        <v>1036</v>
      </c>
      <c r="C196" s="408" t="s">
        <v>2231</v>
      </c>
      <c r="D196" s="408" t="s">
        <v>2241</v>
      </c>
      <c r="E196" s="408" t="s">
        <v>974</v>
      </c>
      <c r="F196" s="408" t="s">
        <v>2251</v>
      </c>
      <c r="G196" s="408" t="s">
        <v>2249</v>
      </c>
      <c r="H196" s="408" t="s">
        <v>1322</v>
      </c>
      <c r="I196" s="408" t="s">
        <v>1322</v>
      </c>
      <c r="J196" s="408" t="s">
        <v>2232</v>
      </c>
      <c r="K196" s="828">
        <v>44470</v>
      </c>
      <c r="L196" s="408">
        <v>0</v>
      </c>
      <c r="M196" s="408">
        <v>0</v>
      </c>
      <c r="N196" s="408">
        <v>10.263999999999999</v>
      </c>
      <c r="O196" s="408">
        <v>10.263999999999999</v>
      </c>
      <c r="P196" s="408">
        <v>10.263999999999999</v>
      </c>
      <c r="Q196" s="408">
        <v>10.263999999999999</v>
      </c>
      <c r="R196" s="408"/>
      <c r="S196" s="408">
        <v>571.87</v>
      </c>
      <c r="T196" s="408">
        <v>216.76</v>
      </c>
      <c r="U196" s="408"/>
      <c r="V196" s="408">
        <v>8094.4983199999997</v>
      </c>
      <c r="W196" s="408">
        <v>8094.4983199999997</v>
      </c>
      <c r="X196" s="408">
        <v>5275.7986399999991</v>
      </c>
      <c r="Y196" s="408">
        <v>0</v>
      </c>
      <c r="Z196" s="408">
        <v>622.10737334001931</v>
      </c>
      <c r="AA196" s="408">
        <v>0</v>
      </c>
      <c r="AB196" s="408">
        <v>0</v>
      </c>
      <c r="AC196" s="408">
        <v>0</v>
      </c>
      <c r="AD196" s="408">
        <v>8.4361222117514654</v>
      </c>
      <c r="AE196" s="408">
        <v>4376.4019764281666</v>
      </c>
      <c r="AF196" s="408">
        <v>2192.4058044537996</v>
      </c>
      <c r="AG196" s="408">
        <v>32.407602214947019</v>
      </c>
      <c r="AH196" s="408">
        <v>0</v>
      </c>
      <c r="AI196" s="408">
        <v>0</v>
      </c>
      <c r="AJ196" s="408">
        <v>0</v>
      </c>
      <c r="AK196" s="408">
        <v>0</v>
      </c>
      <c r="AL196" s="408">
        <v>96.210975871560109</v>
      </c>
      <c r="AM196" s="408"/>
      <c r="AN196" s="408">
        <v>19.691171524376252</v>
      </c>
      <c r="AO196" s="408">
        <v>91.161745696791542</v>
      </c>
      <c r="AP196" s="408">
        <v>285.61740690001716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6.1077945989905871</v>
      </c>
      <c r="BE196" s="408">
        <v>0</v>
      </c>
      <c r="BF196" s="408">
        <v>0</v>
      </c>
      <c r="BG196" s="408">
        <v>363.94334935622061</v>
      </c>
      <c r="BH196" s="408">
        <v>0</v>
      </c>
      <c r="BI196" s="408">
        <v>0</v>
      </c>
      <c r="BJ196" s="408">
        <v>0</v>
      </c>
      <c r="BK196" s="408">
        <v>0</v>
      </c>
      <c r="BL196" s="408">
        <v>0</v>
      </c>
      <c r="BM196" s="408"/>
      <c r="BN196" s="408"/>
      <c r="BO196" s="408"/>
      <c r="BP196" s="408"/>
      <c r="BQ196" s="408"/>
      <c r="BR196" s="408">
        <v>633.08351999999968</v>
      </c>
      <c r="BS196" s="408"/>
      <c r="BT196" s="408"/>
      <c r="BU196" s="408"/>
      <c r="BV196" s="408">
        <v>2562.4569484090107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4640.9058000000005</v>
      </c>
      <c r="CJ196" s="408">
        <v>-2482.3401999999996</v>
      </c>
      <c r="CK196" s="408"/>
      <c r="CL196" s="408"/>
      <c r="CM196" s="408"/>
      <c r="CN196" s="408"/>
      <c r="CO196" s="408">
        <v>-3153.6139999999996</v>
      </c>
      <c r="CP196" s="408">
        <v>334.91431999999992</v>
      </c>
      <c r="CQ196" s="408">
        <v>31</v>
      </c>
      <c r="CR196" s="408">
        <v>396.70673920852551</v>
      </c>
      <c r="CS196" s="408">
        <v>9.4034730151216763</v>
      </c>
      <c r="CT196" s="408">
        <v>29.461870852785012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0.8248423505993614</v>
      </c>
      <c r="DA196" s="408">
        <v>0</v>
      </c>
      <c r="DB196" s="408">
        <v>0</v>
      </c>
      <c r="DC196" s="408">
        <v>334.9573623240135</v>
      </c>
      <c r="DD196" s="408">
        <v>0</v>
      </c>
      <c r="DE196" s="408">
        <v>0</v>
      </c>
      <c r="DF196" s="408">
        <v>0.93315332605792634</v>
      </c>
      <c r="DG196" s="408">
        <v>55.603531101807221</v>
      </c>
      <c r="DH196" s="408">
        <v>0</v>
      </c>
      <c r="DI196" s="408">
        <v>-29.722545665477696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-3.8985273460497183</v>
      </c>
      <c r="DP196" s="408">
        <v>-0.85642075033074505</v>
      </c>
      <c r="DQ196" s="408">
        <v>0</v>
      </c>
      <c r="DR196" s="408">
        <v>0</v>
      </c>
      <c r="DS196" s="408"/>
      <c r="DT196" s="408"/>
      <c r="DU196" s="408"/>
      <c r="DV196" s="408">
        <v>4376.4019764281666</v>
      </c>
      <c r="DW196" s="408">
        <v>0</v>
      </c>
      <c r="DX196" s="408">
        <v>0</v>
      </c>
      <c r="DY196" s="408">
        <v>-3153.614</v>
      </c>
      <c r="DZ196" s="234">
        <v>334.91431999999986</v>
      </c>
      <c r="EA196" s="408">
        <v>0</v>
      </c>
      <c r="EB196" s="408">
        <v>0</v>
      </c>
      <c r="EC196" s="408">
        <v>-3215.3854970869388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242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195</v>
      </c>
      <c r="B197" s="408" t="s">
        <v>1036</v>
      </c>
      <c r="C197" s="408" t="s">
        <v>2231</v>
      </c>
      <c r="D197" s="408" t="s">
        <v>2241</v>
      </c>
      <c r="E197" s="408" t="s">
        <v>974</v>
      </c>
      <c r="F197" s="408" t="s">
        <v>2251</v>
      </c>
      <c r="G197" s="408" t="s">
        <v>2250</v>
      </c>
      <c r="H197" s="408" t="s">
        <v>1322</v>
      </c>
      <c r="I197" s="408" t="s">
        <v>1322</v>
      </c>
      <c r="J197" s="408" t="s">
        <v>2232</v>
      </c>
      <c r="K197" s="828">
        <v>44470</v>
      </c>
      <c r="L197" s="408">
        <v>0</v>
      </c>
      <c r="M197" s="408">
        <v>0</v>
      </c>
      <c r="N197" s="408">
        <v>1.042</v>
      </c>
      <c r="O197" s="408">
        <v>0.4168</v>
      </c>
      <c r="P197" s="408">
        <v>1.042</v>
      </c>
      <c r="Q197" s="408">
        <v>0.4168</v>
      </c>
      <c r="R197" s="408"/>
      <c r="S197" s="408">
        <v>571.87</v>
      </c>
      <c r="T197" s="408">
        <v>216.76</v>
      </c>
      <c r="U197" s="408"/>
      <c r="V197" s="408">
        <v>821.75246000000004</v>
      </c>
      <c r="W197" s="408">
        <v>821.75246000000004</v>
      </c>
      <c r="X197" s="408">
        <v>535.59842000000003</v>
      </c>
      <c r="Y197" s="408">
        <v>0</v>
      </c>
      <c r="Z197" s="408">
        <v>63.156262959888956</v>
      </c>
      <c r="AA197" s="408">
        <v>0</v>
      </c>
      <c r="AB197" s="408">
        <v>0</v>
      </c>
      <c r="AC197" s="408">
        <v>0</v>
      </c>
      <c r="AD197" s="408">
        <v>0.85643407488747358</v>
      </c>
      <c r="AE197" s="408">
        <v>444.29178287589144</v>
      </c>
      <c r="AF197" s="408">
        <v>222.57276385822871</v>
      </c>
      <c r="AG197" s="408">
        <v>3.2900157353833595</v>
      </c>
      <c r="AH197" s="408">
        <v>0</v>
      </c>
      <c r="AI197" s="408">
        <v>0</v>
      </c>
      <c r="AJ197" s="408">
        <v>0</v>
      </c>
      <c r="AK197" s="408">
        <v>0</v>
      </c>
      <c r="AL197" s="408">
        <v>9.7673262722297007</v>
      </c>
      <c r="AM197" s="408"/>
      <c r="AN197" s="408">
        <v>1.9990452775136454</v>
      </c>
      <c r="AO197" s="408">
        <v>9.2547290545651588</v>
      </c>
      <c r="AP197" s="408">
        <v>28.995843529795199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0.62006254600040844</v>
      </c>
      <c r="BE197" s="408">
        <v>0</v>
      </c>
      <c r="BF197" s="408">
        <v>0</v>
      </c>
      <c r="BG197" s="408">
        <v>36.94748344009956</v>
      </c>
      <c r="BH197" s="408">
        <v>0</v>
      </c>
      <c r="BI197" s="408">
        <v>0</v>
      </c>
      <c r="BJ197" s="408">
        <v>0</v>
      </c>
      <c r="BK197" s="408">
        <v>0</v>
      </c>
      <c r="BL197" s="408">
        <v>0</v>
      </c>
      <c r="BM197" s="408"/>
      <c r="BN197" s="408"/>
      <c r="BO197" s="408"/>
      <c r="BP197" s="408"/>
      <c r="BQ197" s="408"/>
      <c r="BR197" s="408"/>
      <c r="BS197" s="408">
        <v>347.06727599999988</v>
      </c>
      <c r="BT197" s="408"/>
      <c r="BU197" s="408"/>
      <c r="BV197" s="408">
        <v>260.14030984432867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189.9786</v>
      </c>
      <c r="CJ197" s="408">
        <v>-99.310599999999994</v>
      </c>
      <c r="CK197" s="408"/>
      <c r="CL197" s="408"/>
      <c r="CM197" s="408"/>
      <c r="CN197" s="408"/>
      <c r="CO197" s="408">
        <v>-320.15449999999998</v>
      </c>
      <c r="CP197" s="408">
        <v>34.000459999999997</v>
      </c>
      <c r="CQ197" s="408">
        <v>31</v>
      </c>
      <c r="CR197" s="408">
        <v>40.273618692058164</v>
      </c>
      <c r="CS197" s="408">
        <v>0.95463940780950729</v>
      </c>
      <c r="CT197" s="408">
        <v>2.9909654548521054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8.3737892568641281E-2</v>
      </c>
      <c r="DA197" s="408">
        <v>0</v>
      </c>
      <c r="DB197" s="408">
        <v>0</v>
      </c>
      <c r="DC197" s="408">
        <v>34.004829651366151</v>
      </c>
      <c r="DD197" s="408">
        <v>0</v>
      </c>
      <c r="DE197" s="408">
        <v>0</v>
      </c>
      <c r="DF197" s="408">
        <v>9.4733609289980425E-2</v>
      </c>
      <c r="DG197" s="408">
        <v>5.6448635432660907</v>
      </c>
      <c r="DH197" s="408">
        <v>0</v>
      </c>
      <c r="DI197" s="408">
        <v>-3.0174291293285123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-0.39577800999452606</v>
      </c>
      <c r="DP197" s="408">
        <v>-8.6943727771301216E-2</v>
      </c>
      <c r="DQ197" s="408">
        <v>0</v>
      </c>
      <c r="DR197" s="408">
        <v>0</v>
      </c>
      <c r="DS197" s="408"/>
      <c r="DT197" s="408"/>
      <c r="DU197" s="408"/>
      <c r="DV197" s="408">
        <v>444.29178287589144</v>
      </c>
      <c r="DW197" s="408">
        <v>0</v>
      </c>
      <c r="DX197" s="408">
        <v>0</v>
      </c>
      <c r="DY197" s="408">
        <v>-320.15450000000004</v>
      </c>
      <c r="DZ197" s="234">
        <v>34.000459999999975</v>
      </c>
      <c r="EA197" s="408">
        <v>0</v>
      </c>
      <c r="EB197" s="408">
        <v>0</v>
      </c>
      <c r="EC197" s="408">
        <v>-326.42553468088374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242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196</v>
      </c>
      <c r="B198" s="408" t="s">
        <v>1036</v>
      </c>
      <c r="C198" s="408" t="s">
        <v>2231</v>
      </c>
      <c r="D198" s="408" t="s">
        <v>1952</v>
      </c>
      <c r="E198" s="408" t="s">
        <v>969</v>
      </c>
      <c r="F198" s="408" t="s">
        <v>969</v>
      </c>
      <c r="G198" s="408" t="s">
        <v>1322</v>
      </c>
      <c r="H198" s="408" t="s">
        <v>1322</v>
      </c>
      <c r="I198" s="408" t="s">
        <v>1322</v>
      </c>
      <c r="J198" s="408" t="s">
        <v>2232</v>
      </c>
      <c r="K198" s="828">
        <v>44501</v>
      </c>
      <c r="L198" s="408">
        <v>0</v>
      </c>
      <c r="M198" s="408">
        <v>0</v>
      </c>
      <c r="N198" s="408">
        <v>777.37900000000002</v>
      </c>
      <c r="O198" s="408">
        <v>777.37900000000002</v>
      </c>
      <c r="P198" s="408">
        <v>777.37900000000002</v>
      </c>
      <c r="Q198" s="408">
        <v>777.37900000000002</v>
      </c>
      <c r="R198" s="408"/>
      <c r="S198" s="408">
        <v>571.87</v>
      </c>
      <c r="T198" s="408">
        <v>216.76</v>
      </c>
      <c r="U198" s="408"/>
      <c r="V198" s="408">
        <v>613064.40077000007</v>
      </c>
      <c r="W198" s="408">
        <v>613064.40077000007</v>
      </c>
      <c r="X198" s="408">
        <v>399580.57978999999</v>
      </c>
      <c r="Y198" s="408">
        <v>0</v>
      </c>
      <c r="Z198" s="408">
        <v>47117.420867078232</v>
      </c>
      <c r="AA198" s="408">
        <v>0</v>
      </c>
      <c r="AB198" s="408">
        <v>0</v>
      </c>
      <c r="AC198" s="408">
        <v>0</v>
      </c>
      <c r="AD198" s="408">
        <v>638.93844980993219</v>
      </c>
      <c r="AE198" s="408">
        <v>331461.71005784802</v>
      </c>
      <c r="AF198" s="408">
        <v>166049.32110877734</v>
      </c>
      <c r="AG198" s="408">
        <v>2454.5001366185993</v>
      </c>
      <c r="AH198" s="408">
        <v>0</v>
      </c>
      <c r="AI198" s="408">
        <v>0</v>
      </c>
      <c r="AJ198" s="408">
        <v>0</v>
      </c>
      <c r="AK198" s="408">
        <v>0</v>
      </c>
      <c r="AL198" s="408">
        <v>7286.8659598653085</v>
      </c>
      <c r="AM198" s="408"/>
      <c r="AN198" s="408">
        <v>1491.3779450943189</v>
      </c>
      <c r="AO198" s="408">
        <v>6904.445314499816</v>
      </c>
      <c r="AP198" s="408">
        <v>21632.207147167621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462.59462758853311</v>
      </c>
      <c r="BE198" s="408">
        <v>0</v>
      </c>
      <c r="BF198" s="408">
        <v>0</v>
      </c>
      <c r="BG198" s="408">
        <v>27564.489183475198</v>
      </c>
      <c r="BH198" s="408">
        <v>0</v>
      </c>
      <c r="BI198" s="408">
        <v>2730.17</v>
      </c>
      <c r="BJ198" s="408">
        <v>12646.53</v>
      </c>
      <c r="BK198" s="408">
        <v>218839.69</v>
      </c>
      <c r="BL198" s="408">
        <v>4492</v>
      </c>
      <c r="BM198" s="408"/>
      <c r="BN198" s="408"/>
      <c r="BO198" s="408"/>
      <c r="BP198" s="408"/>
      <c r="BQ198" s="408"/>
      <c r="BR198" s="408"/>
      <c r="BS198" s="408"/>
      <c r="BT198" s="408"/>
      <c r="BU198" s="408"/>
      <c r="BV198" s="408">
        <v>194076.40491984106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399581.09380000003</v>
      </c>
      <c r="CJ198" s="408">
        <v>-213483.33697000006</v>
      </c>
      <c r="CK198" s="408"/>
      <c r="CL198" s="408"/>
      <c r="CM198" s="408"/>
      <c r="CN198" s="408"/>
      <c r="CO198" s="408">
        <v>-238849.69774999999</v>
      </c>
      <c r="CP198" s="408">
        <v>25365.876769999995</v>
      </c>
      <c r="CQ198" s="408">
        <v>30</v>
      </c>
      <c r="CR198" s="408">
        <v>30045.936108650174</v>
      </c>
      <c r="CS198" s="408">
        <v>712.20405777691758</v>
      </c>
      <c r="CT198" s="408">
        <v>2231.3951385100518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62.472244901264617</v>
      </c>
      <c r="DA198" s="408">
        <v>0</v>
      </c>
      <c r="DB198" s="408">
        <v>0</v>
      </c>
      <c r="DC198" s="408">
        <v>25369.136727014731</v>
      </c>
      <c r="DD198" s="408">
        <v>0</v>
      </c>
      <c r="DE198" s="408">
        <v>0</v>
      </c>
      <c r="DF198" s="408">
        <v>70.675545543412397</v>
      </c>
      <c r="DG198" s="408">
        <v>4211.3228180428487</v>
      </c>
      <c r="DH198" s="408">
        <v>0</v>
      </c>
      <c r="DI198" s="408">
        <v>-2251.1382333284782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-295.26824724715334</v>
      </c>
      <c r="DP198" s="408">
        <v>-64.863942563461023</v>
      </c>
      <c r="DQ198" s="408">
        <v>0</v>
      </c>
      <c r="DR198" s="408">
        <v>0</v>
      </c>
      <c r="DS198" s="408"/>
      <c r="DT198" s="408"/>
      <c r="DU198" s="408"/>
      <c r="DV198" s="408">
        <v>331461.71005784802</v>
      </c>
      <c r="DW198" s="408">
        <v>0</v>
      </c>
      <c r="DX198" s="408">
        <v>0</v>
      </c>
      <c r="DY198" s="408">
        <v>-238849.69775000002</v>
      </c>
      <c r="DZ198" s="234">
        <v>25365.876770000003</v>
      </c>
      <c r="EA198" s="408">
        <v>0</v>
      </c>
      <c r="EB198" s="408">
        <v>0</v>
      </c>
      <c r="EC198" s="408">
        <v>-243528.17248050933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242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197</v>
      </c>
      <c r="B199" s="408" t="s">
        <v>2233</v>
      </c>
      <c r="C199" s="408" t="s">
        <v>2231</v>
      </c>
      <c r="D199" s="408" t="s">
        <v>1952</v>
      </c>
      <c r="E199" s="408" t="s">
        <v>969</v>
      </c>
      <c r="F199" s="408" t="s">
        <v>969</v>
      </c>
      <c r="G199" s="408" t="s">
        <v>1322</v>
      </c>
      <c r="H199" s="408" t="s">
        <v>1322</v>
      </c>
      <c r="I199" s="408" t="s">
        <v>1322</v>
      </c>
      <c r="J199" s="408" t="s">
        <v>2232</v>
      </c>
      <c r="K199" s="828">
        <v>44501</v>
      </c>
      <c r="L199" s="408">
        <v>0</v>
      </c>
      <c r="M199" s="408">
        <v>0</v>
      </c>
      <c r="N199" s="408">
        <v>-1.26</v>
      </c>
      <c r="O199" s="408">
        <v>-1.26</v>
      </c>
      <c r="P199" s="408">
        <v>-1.26</v>
      </c>
      <c r="Q199" s="408">
        <v>-1.26</v>
      </c>
      <c r="R199" s="408"/>
      <c r="S199" s="408">
        <v>571.87</v>
      </c>
      <c r="T199" s="408">
        <v>216.76</v>
      </c>
      <c r="U199" s="408"/>
      <c r="V199" s="408">
        <v>-993.67380000000003</v>
      </c>
      <c r="W199" s="408">
        <v>-993.67380000000003</v>
      </c>
      <c r="X199" s="408">
        <v>-647.65260000000001</v>
      </c>
      <c r="Y199" s="408">
        <v>0</v>
      </c>
      <c r="Z199" s="408">
        <v>-76.369377475489514</v>
      </c>
      <c r="AA199" s="408">
        <v>0</v>
      </c>
      <c r="AB199" s="408">
        <v>0</v>
      </c>
      <c r="AC199" s="408">
        <v>0</v>
      </c>
      <c r="AD199" s="408">
        <v>-1.0356112613802464</v>
      </c>
      <c r="AE199" s="408">
        <v>-537.24342267142345</v>
      </c>
      <c r="AF199" s="408">
        <v>-269.13789103778134</v>
      </c>
      <c r="AG199" s="408">
        <v>-3.978329967929974</v>
      </c>
      <c r="AH199" s="408">
        <v>0</v>
      </c>
      <c r="AI199" s="408">
        <v>0</v>
      </c>
      <c r="AJ199" s="408">
        <v>0</v>
      </c>
      <c r="AK199" s="408">
        <v>0</v>
      </c>
      <c r="AL199" s="408">
        <v>-11.810778409797908</v>
      </c>
      <c r="AM199" s="408"/>
      <c r="AN199" s="408">
        <v>-2.4172716407554637</v>
      </c>
      <c r="AO199" s="408">
        <v>-11.190939163869578</v>
      </c>
      <c r="AP199" s="408">
        <v>-35.062152444857915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-0.74978772357055146</v>
      </c>
      <c r="BE199" s="408">
        <v>0</v>
      </c>
      <c r="BF199" s="408">
        <v>0</v>
      </c>
      <c r="BG199" s="408">
        <v>-44.677379207797934</v>
      </c>
      <c r="BH199" s="408">
        <v>0</v>
      </c>
      <c r="BI199" s="408">
        <v>-5.31</v>
      </c>
      <c r="BJ199" s="408">
        <v>-24.41</v>
      </c>
      <c r="BK199" s="408">
        <v>-390.04</v>
      </c>
      <c r="BL199" s="408">
        <v>0</v>
      </c>
      <c r="BM199" s="408"/>
      <c r="BN199" s="408"/>
      <c r="BO199" s="408"/>
      <c r="BP199" s="408"/>
      <c r="BQ199" s="408"/>
      <c r="BR199" s="408"/>
      <c r="BS199" s="408"/>
      <c r="BT199" s="408"/>
      <c r="BU199" s="408"/>
      <c r="BV199" s="408">
        <v>-314.56505796914979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-647.65260000000001</v>
      </c>
      <c r="CJ199" s="408">
        <v>345.99120000000005</v>
      </c>
      <c r="CK199" s="408"/>
      <c r="CL199" s="408"/>
      <c r="CM199" s="408"/>
      <c r="CN199" s="408"/>
      <c r="CO199" s="408">
        <v>387.13499999999999</v>
      </c>
      <c r="CP199" s="408">
        <v>-41.113799999999998</v>
      </c>
      <c r="CQ199" s="408">
        <v>30</v>
      </c>
      <c r="CR199" s="408">
        <v>-48.699385366596232</v>
      </c>
      <c r="CS199" s="408">
        <v>-1.1543624317082344</v>
      </c>
      <c r="CT199" s="408">
        <v>-3.6167144655601291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-0.10125695262618795</v>
      </c>
      <c r="DA199" s="408">
        <v>0</v>
      </c>
      <c r="DB199" s="408">
        <v>0</v>
      </c>
      <c r="DC199" s="408">
        <v>-41.119083839463883</v>
      </c>
      <c r="DD199" s="408">
        <v>0</v>
      </c>
      <c r="DE199" s="408">
        <v>0</v>
      </c>
      <c r="DF199" s="408">
        <v>-0.11455311679978442</v>
      </c>
      <c r="DG199" s="408">
        <v>-6.8258426722795278</v>
      </c>
      <c r="DH199" s="408">
        <v>0</v>
      </c>
      <c r="DI199" s="408">
        <v>3.6487146861362021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0.47857993531007814</v>
      </c>
      <c r="DP199" s="408">
        <v>0.10513349039523945</v>
      </c>
      <c r="DQ199" s="408">
        <v>0</v>
      </c>
      <c r="DR199" s="408">
        <v>0</v>
      </c>
      <c r="DS199" s="408"/>
      <c r="DT199" s="408"/>
      <c r="DU199" s="408"/>
      <c r="DV199" s="408">
        <v>-537.24342267142345</v>
      </c>
      <c r="DW199" s="408">
        <v>0</v>
      </c>
      <c r="DX199" s="408">
        <v>0</v>
      </c>
      <c r="DY199" s="408">
        <v>387.13499999999999</v>
      </c>
      <c r="DZ199" s="234">
        <v>-41.113800000000026</v>
      </c>
      <c r="EA199" s="408">
        <v>0</v>
      </c>
      <c r="EB199" s="408">
        <v>0</v>
      </c>
      <c r="EC199" s="408">
        <v>394.71801698456193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242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198</v>
      </c>
      <c r="B200" s="408" t="s">
        <v>2234</v>
      </c>
      <c r="C200" s="408" t="s">
        <v>2231</v>
      </c>
      <c r="D200" s="408" t="s">
        <v>1952</v>
      </c>
      <c r="E200" s="408" t="s">
        <v>969</v>
      </c>
      <c r="F200" s="408" t="s">
        <v>969</v>
      </c>
      <c r="G200" s="408" t="s">
        <v>1322</v>
      </c>
      <c r="H200" s="408" t="s">
        <v>1322</v>
      </c>
      <c r="I200" s="408" t="s">
        <v>1322</v>
      </c>
      <c r="J200" s="408" t="s">
        <v>2232</v>
      </c>
      <c r="K200" s="828">
        <v>44501</v>
      </c>
      <c r="L200" s="408">
        <v>0</v>
      </c>
      <c r="M200" s="408">
        <v>0</v>
      </c>
      <c r="N200" s="408">
        <v>9.0690000000000008</v>
      </c>
      <c r="O200" s="408">
        <v>9.0690000000000008</v>
      </c>
      <c r="P200" s="408">
        <v>9.0690000000000008</v>
      </c>
      <c r="Q200" s="408">
        <v>9.0690000000000008</v>
      </c>
      <c r="R200" s="408"/>
      <c r="S200" s="408">
        <v>571.87</v>
      </c>
      <c r="T200" s="408">
        <v>216.76</v>
      </c>
      <c r="U200" s="408"/>
      <c r="V200" s="408">
        <v>7152.0854700000009</v>
      </c>
      <c r="W200" s="408">
        <v>7152.0854700000009</v>
      </c>
      <c r="X200" s="408">
        <v>4661.5566900000003</v>
      </c>
      <c r="Y200" s="408">
        <v>0</v>
      </c>
      <c r="Z200" s="408">
        <v>549.67768597239251</v>
      </c>
      <c r="AA200" s="408">
        <v>0</v>
      </c>
      <c r="AB200" s="408">
        <v>0</v>
      </c>
      <c r="AC200" s="408">
        <v>0</v>
      </c>
      <c r="AD200" s="408">
        <v>7.4539353408392497</v>
      </c>
      <c r="AE200" s="408">
        <v>3866.8734922278886</v>
      </c>
      <c r="AF200" s="408">
        <v>1937.152010969555</v>
      </c>
      <c r="AG200" s="408">
        <v>28.634503554886457</v>
      </c>
      <c r="AH200" s="408">
        <v>0</v>
      </c>
      <c r="AI200" s="408">
        <v>0</v>
      </c>
      <c r="AJ200" s="408">
        <v>0</v>
      </c>
      <c r="AK200" s="408">
        <v>0</v>
      </c>
      <c r="AL200" s="408">
        <v>85.009483649569248</v>
      </c>
      <c r="AM200" s="408"/>
      <c r="AN200" s="408">
        <v>17.398600404770875</v>
      </c>
      <c r="AO200" s="408">
        <v>80.548116886613656</v>
      </c>
      <c r="AP200" s="408">
        <v>252.36401628763213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5.3966864008423263</v>
      </c>
      <c r="BE200" s="408">
        <v>0</v>
      </c>
      <c r="BF200" s="408">
        <v>0</v>
      </c>
      <c r="BG200" s="408">
        <v>321.57075558374567</v>
      </c>
      <c r="BH200" s="408">
        <v>0</v>
      </c>
      <c r="BI200" s="408">
        <v>30.91</v>
      </c>
      <c r="BJ200" s="408">
        <v>145.81</v>
      </c>
      <c r="BK200" s="408">
        <v>7236.3</v>
      </c>
      <c r="BL200" s="408">
        <v>140</v>
      </c>
      <c r="BM200" s="408"/>
      <c r="BN200" s="408"/>
      <c r="BO200" s="408"/>
      <c r="BP200" s="408"/>
      <c r="BQ200" s="408"/>
      <c r="BR200" s="408"/>
      <c r="BS200" s="408"/>
      <c r="BT200" s="408"/>
      <c r="BU200" s="408"/>
      <c r="BV200" s="408">
        <v>2264.1194529541431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4662.0707000000002</v>
      </c>
      <c r="CJ200" s="408">
        <v>-2490.0447700000013</v>
      </c>
      <c r="CK200" s="408"/>
      <c r="CL200" s="408"/>
      <c r="CM200" s="408"/>
      <c r="CN200" s="408"/>
      <c r="CO200" s="408">
        <v>-2786.4502500000003</v>
      </c>
      <c r="CP200" s="408">
        <v>295.92147</v>
      </c>
      <c r="CQ200" s="408">
        <v>30</v>
      </c>
      <c r="CR200" s="408">
        <v>350.51962372195339</v>
      </c>
      <c r="CS200" s="408">
        <v>8.3086610263190295</v>
      </c>
      <c r="CT200" s="408">
        <v>26.031732927114888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0.72880897092611008</v>
      </c>
      <c r="DA200" s="408">
        <v>0</v>
      </c>
      <c r="DB200" s="408">
        <v>0</v>
      </c>
      <c r="DC200" s="408">
        <v>295.95950106356963</v>
      </c>
      <c r="DD200" s="408">
        <v>0</v>
      </c>
      <c r="DE200" s="408">
        <v>0</v>
      </c>
      <c r="DF200" s="408">
        <v>0.82450969544225838</v>
      </c>
      <c r="DG200" s="408">
        <v>49.12981523405</v>
      </c>
      <c r="DH200" s="408">
        <v>0</v>
      </c>
      <c r="DI200" s="408">
        <v>-26.262058324261375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-3.4446360581961102</v>
      </c>
      <c r="DP200" s="408">
        <v>-0.75671081301144838</v>
      </c>
      <c r="DQ200" s="408">
        <v>0</v>
      </c>
      <c r="DR200" s="408">
        <v>0</v>
      </c>
      <c r="DS200" s="408"/>
      <c r="DT200" s="408"/>
      <c r="DU200" s="408"/>
      <c r="DV200" s="408">
        <v>3866.8734922278886</v>
      </c>
      <c r="DW200" s="408">
        <v>0</v>
      </c>
      <c r="DX200" s="408">
        <v>0</v>
      </c>
      <c r="DY200" s="408">
        <v>-2786.4502500000008</v>
      </c>
      <c r="DZ200" s="234">
        <v>295.92147000000023</v>
      </c>
      <c r="EA200" s="408">
        <v>0</v>
      </c>
      <c r="EB200" s="408">
        <v>0</v>
      </c>
      <c r="EC200" s="408">
        <v>-2841.0299174865017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0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242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199</v>
      </c>
      <c r="B201" s="408" t="s">
        <v>1036</v>
      </c>
      <c r="C201" s="408" t="s">
        <v>2231</v>
      </c>
      <c r="D201" s="408" t="s">
        <v>1952</v>
      </c>
      <c r="E201" s="408" t="s">
        <v>969</v>
      </c>
      <c r="F201" s="408" t="s">
        <v>2235</v>
      </c>
      <c r="G201" s="408" t="s">
        <v>1322</v>
      </c>
      <c r="H201" s="408" t="s">
        <v>1322</v>
      </c>
      <c r="I201" s="408" t="s">
        <v>1322</v>
      </c>
      <c r="J201" s="408" t="s">
        <v>2232</v>
      </c>
      <c r="K201" s="828">
        <v>44501</v>
      </c>
      <c r="L201" s="408">
        <v>0</v>
      </c>
      <c r="M201" s="408">
        <v>0</v>
      </c>
      <c r="N201" s="408">
        <v>3.39</v>
      </c>
      <c r="O201" s="408">
        <v>3.39</v>
      </c>
      <c r="P201" s="408">
        <v>3.39</v>
      </c>
      <c r="Q201" s="408">
        <v>3.39</v>
      </c>
      <c r="R201" s="408"/>
      <c r="S201" s="408">
        <v>501.89</v>
      </c>
      <c r="T201" s="408">
        <v>216.76</v>
      </c>
      <c r="U201" s="408"/>
      <c r="V201" s="408">
        <v>2436.2235000000001</v>
      </c>
      <c r="W201" s="408">
        <v>2436.2235000000001</v>
      </c>
      <c r="X201" s="408">
        <v>1516.347</v>
      </c>
      <c r="Y201" s="408">
        <v>0</v>
      </c>
      <c r="Z201" s="408">
        <v>0</v>
      </c>
      <c r="AA201" s="408">
        <v>0</v>
      </c>
      <c r="AB201" s="408">
        <v>0</v>
      </c>
      <c r="AC201" s="408">
        <v>0</v>
      </c>
      <c r="AD201" s="408">
        <v>2.7862874413325676</v>
      </c>
      <c r="AE201" s="408">
        <v>1445.4406371874013</v>
      </c>
      <c r="AF201" s="408">
        <v>724.10908779212605</v>
      </c>
      <c r="AG201" s="408">
        <v>10.703602056573501</v>
      </c>
      <c r="AH201" s="408">
        <v>0</v>
      </c>
      <c r="AI201" s="408">
        <v>0</v>
      </c>
      <c r="AJ201" s="408">
        <v>0</v>
      </c>
      <c r="AK201" s="408">
        <v>0</v>
      </c>
      <c r="AL201" s="408">
        <v>0</v>
      </c>
      <c r="AM201" s="408"/>
      <c r="AN201" s="408">
        <v>6.5036117953658907</v>
      </c>
      <c r="AO201" s="408">
        <v>30.108955369458627</v>
      </c>
      <c r="AP201" s="408">
        <v>94.333886339736779</v>
      </c>
      <c r="AQ201" s="408">
        <v>0</v>
      </c>
      <c r="AR201" s="408">
        <v>0</v>
      </c>
      <c r="AS201" s="408">
        <v>0</v>
      </c>
      <c r="AT201" s="408">
        <v>0</v>
      </c>
      <c r="AU201" s="408">
        <v>0</v>
      </c>
      <c r="AV201" s="408">
        <v>0</v>
      </c>
      <c r="AW201" s="408">
        <v>0</v>
      </c>
      <c r="AX201" s="408">
        <v>0</v>
      </c>
      <c r="AY201" s="408">
        <v>0</v>
      </c>
      <c r="AZ201" s="408">
        <v>0</v>
      </c>
      <c r="BA201" s="408"/>
      <c r="BB201" s="408">
        <v>0</v>
      </c>
      <c r="BC201" s="408">
        <v>0</v>
      </c>
      <c r="BD201" s="408">
        <v>2.0172860181779124</v>
      </c>
      <c r="BE201" s="408">
        <v>0</v>
      </c>
      <c r="BF201" s="408">
        <v>0</v>
      </c>
      <c r="BG201" s="408">
        <v>120.20342501145635</v>
      </c>
      <c r="BH201" s="408">
        <v>0</v>
      </c>
      <c r="BI201" s="408">
        <v>2.44</v>
      </c>
      <c r="BJ201" s="408">
        <v>13.47</v>
      </c>
      <c r="BK201" s="408">
        <v>218.88</v>
      </c>
      <c r="BL201" s="408">
        <v>7</v>
      </c>
      <c r="BM201" s="408"/>
      <c r="BN201" s="408"/>
      <c r="BO201" s="408"/>
      <c r="BP201" s="408"/>
      <c r="BQ201" s="408"/>
      <c r="BR201" s="408"/>
      <c r="BS201" s="408"/>
      <c r="BT201" s="408">
        <v>985.6085999999998</v>
      </c>
      <c r="BU201" s="408"/>
      <c r="BV201" s="408">
        <v>846.32979882176028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530.73840000000007</v>
      </c>
      <c r="CJ201" s="408">
        <v>-321.97829999999988</v>
      </c>
      <c r="CK201" s="408"/>
      <c r="CL201" s="408"/>
      <c r="CM201" s="408"/>
      <c r="CN201" s="408"/>
      <c r="CO201" s="408">
        <v>-1030.4922000000001</v>
      </c>
      <c r="CP201" s="408">
        <v>110.61569999999999</v>
      </c>
      <c r="CQ201" s="408">
        <v>30</v>
      </c>
      <c r="CR201" s="408">
        <v>142.12892472973317</v>
      </c>
      <c r="CS201" s="408">
        <v>3.1057846376912011</v>
      </c>
      <c r="CT201" s="408">
        <v>9.7306841573403347</v>
      </c>
      <c r="CU201" s="408">
        <v>0</v>
      </c>
      <c r="CV201" s="408">
        <v>0</v>
      </c>
      <c r="CW201" s="408">
        <v>0</v>
      </c>
      <c r="CX201" s="408">
        <v>0</v>
      </c>
      <c r="CY201" s="408">
        <v>0</v>
      </c>
      <c r="CZ201" s="408">
        <v>0.27242942016093474</v>
      </c>
      <c r="DA201" s="408">
        <v>0</v>
      </c>
      <c r="DB201" s="408">
        <v>0</v>
      </c>
      <c r="DC201" s="408">
        <v>110.62991604427179</v>
      </c>
      <c r="DD201" s="408">
        <v>0</v>
      </c>
      <c r="DE201" s="408">
        <v>0</v>
      </c>
      <c r="DF201" s="408">
        <v>0.30820243329465802</v>
      </c>
      <c r="DG201" s="408">
        <v>18.364767189704452</v>
      </c>
      <c r="DH201" s="408">
        <v>0</v>
      </c>
      <c r="DI201" s="408">
        <v>0</v>
      </c>
      <c r="DJ201" s="408"/>
      <c r="DK201" s="408">
        <v>0</v>
      </c>
      <c r="DL201" s="408">
        <v>0</v>
      </c>
      <c r="DM201" s="408">
        <v>0</v>
      </c>
      <c r="DN201" s="408">
        <v>0</v>
      </c>
      <c r="DO201" s="408">
        <v>0</v>
      </c>
      <c r="DP201" s="408">
        <v>-0.28285915273004925</v>
      </c>
      <c r="DQ201" s="408">
        <v>0</v>
      </c>
      <c r="DR201" s="408">
        <v>0</v>
      </c>
      <c r="DS201" s="408"/>
      <c r="DT201" s="408"/>
      <c r="DU201" s="408"/>
      <c r="DV201" s="408">
        <v>1445.4406371874013</v>
      </c>
      <c r="DW201" s="408">
        <v>0</v>
      </c>
      <c r="DX201" s="408">
        <v>0</v>
      </c>
      <c r="DY201" s="408">
        <v>-1030.4922000000001</v>
      </c>
      <c r="DZ201" s="234">
        <v>110.61569999999995</v>
      </c>
      <c r="EA201" s="408">
        <v>0</v>
      </c>
      <c r="EB201" s="408">
        <v>0</v>
      </c>
      <c r="EC201" s="408">
        <v>-1061.9794266489405</v>
      </c>
      <c r="ED201" s="408">
        <v>0</v>
      </c>
      <c r="EE201" s="408">
        <v>0</v>
      </c>
      <c r="EF201" s="408">
        <v>0</v>
      </c>
      <c r="EG201" s="408">
        <v>0</v>
      </c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>
        <v>0</v>
      </c>
      <c r="EN201" s="408">
        <v>0</v>
      </c>
      <c r="EO201" s="408">
        <v>0</v>
      </c>
      <c r="EP201" s="408">
        <v>0</v>
      </c>
      <c r="EQ201" s="408">
        <v>0</v>
      </c>
      <c r="ER201" s="408">
        <v>0</v>
      </c>
      <c r="ES201" s="408">
        <v>0</v>
      </c>
      <c r="ET201" s="408">
        <v>0</v>
      </c>
      <c r="EU201" s="408">
        <v>0</v>
      </c>
      <c r="EV201" s="408">
        <v>242</v>
      </c>
      <c r="EW201" s="408">
        <v>0</v>
      </c>
      <c r="EX201" s="408">
        <v>0</v>
      </c>
      <c r="EY201" s="408">
        <v>0</v>
      </c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200</v>
      </c>
      <c r="B202" s="408" t="s">
        <v>1036</v>
      </c>
      <c r="C202" s="408" t="s">
        <v>2231</v>
      </c>
      <c r="D202" s="408" t="s">
        <v>1952</v>
      </c>
      <c r="E202" s="408" t="s">
        <v>969</v>
      </c>
      <c r="F202" s="408" t="s">
        <v>2236</v>
      </c>
      <c r="G202" s="408" t="s">
        <v>1322</v>
      </c>
      <c r="H202" s="408" t="s">
        <v>1322</v>
      </c>
      <c r="I202" s="408" t="s">
        <v>1322</v>
      </c>
      <c r="J202" s="408" t="s">
        <v>2232</v>
      </c>
      <c r="K202" s="828">
        <v>44501</v>
      </c>
      <c r="L202" s="408">
        <v>0</v>
      </c>
      <c r="M202" s="408">
        <v>0</v>
      </c>
      <c r="N202" s="408">
        <v>7.0469999999999997</v>
      </c>
      <c r="O202" s="408">
        <v>7.0469999999999997</v>
      </c>
      <c r="P202" s="408">
        <v>7.0469999999999997</v>
      </c>
      <c r="Q202" s="408">
        <v>7.0469999999999997</v>
      </c>
      <c r="R202" s="408"/>
      <c r="S202" s="408">
        <v>501.89</v>
      </c>
      <c r="T202" s="408">
        <v>216.76</v>
      </c>
      <c r="U202" s="408"/>
      <c r="V202" s="408">
        <v>5064.3265499999998</v>
      </c>
      <c r="W202" s="408">
        <v>5064.3265499999998</v>
      </c>
      <c r="X202" s="408">
        <v>3152.1230999999998</v>
      </c>
      <c r="Y202" s="408">
        <v>0</v>
      </c>
      <c r="Z202" s="408">
        <v>0</v>
      </c>
      <c r="AA202" s="408">
        <v>0</v>
      </c>
      <c r="AB202" s="408">
        <v>0</v>
      </c>
      <c r="AC202" s="408">
        <v>0</v>
      </c>
      <c r="AD202" s="408">
        <v>5.7920258404338059</v>
      </c>
      <c r="AE202" s="408">
        <v>3004.7257139408894</v>
      </c>
      <c r="AF202" s="408">
        <v>1505.2497763041629</v>
      </c>
      <c r="AG202" s="408">
        <v>22.250231177779781</v>
      </c>
      <c r="AH202" s="408">
        <v>0</v>
      </c>
      <c r="AI202" s="408">
        <v>0</v>
      </c>
      <c r="AJ202" s="408">
        <v>0</v>
      </c>
      <c r="AK202" s="408">
        <v>0</v>
      </c>
      <c r="AL202" s="408">
        <v>0</v>
      </c>
      <c r="AM202" s="408"/>
      <c r="AN202" s="408">
        <v>13.5194549622252</v>
      </c>
      <c r="AO202" s="408">
        <v>62.589324037927703</v>
      </c>
      <c r="AP202" s="408">
        <v>196.09760974516962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4.1934556253981556</v>
      </c>
      <c r="BE202" s="408">
        <v>0</v>
      </c>
      <c r="BF202" s="408">
        <v>0</v>
      </c>
      <c r="BG202" s="408">
        <v>249.87419942646986</v>
      </c>
      <c r="BH202" s="408">
        <v>0</v>
      </c>
      <c r="BI202" s="408">
        <v>10.19</v>
      </c>
      <c r="BJ202" s="408">
        <v>46.84</v>
      </c>
      <c r="BK202" s="408">
        <v>840.75</v>
      </c>
      <c r="BL202" s="408">
        <v>12</v>
      </c>
      <c r="BM202" s="408"/>
      <c r="BN202" s="408"/>
      <c r="BO202" s="408"/>
      <c r="BP202" s="408"/>
      <c r="BQ202" s="408"/>
      <c r="BR202" s="408"/>
      <c r="BS202" s="408"/>
      <c r="BT202" s="408">
        <v>1260.7787699999999</v>
      </c>
      <c r="BU202" s="408"/>
      <c r="BV202" s="408">
        <v>1759.317431356031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1892.1495</v>
      </c>
      <c r="CJ202" s="408">
        <v>-1146.4764300000006</v>
      </c>
      <c r="CK202" s="408"/>
      <c r="CL202" s="408"/>
      <c r="CM202" s="408"/>
      <c r="CN202" s="408"/>
      <c r="CO202" s="408">
        <v>-2142.1470600000002</v>
      </c>
      <c r="CP202" s="408">
        <v>229.94360999999995</v>
      </c>
      <c r="CQ202" s="408">
        <v>30</v>
      </c>
      <c r="CR202" s="408">
        <v>295.45207450455155</v>
      </c>
      <c r="CS202" s="408">
        <v>6.4561841716253454</v>
      </c>
      <c r="CT202" s="408">
        <v>20.227767332382712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0.5663156707593231</v>
      </c>
      <c r="DA202" s="408">
        <v>0</v>
      </c>
      <c r="DB202" s="408">
        <v>0</v>
      </c>
      <c r="DC202" s="408">
        <v>229.973161759287</v>
      </c>
      <c r="DD202" s="408">
        <v>0</v>
      </c>
      <c r="DE202" s="408">
        <v>0</v>
      </c>
      <c r="DF202" s="408">
        <v>0.64067921753022272</v>
      </c>
      <c r="DG202" s="408">
        <v>38.175962945677639</v>
      </c>
      <c r="DH202" s="408">
        <v>0</v>
      </c>
      <c r="DI202" s="408">
        <v>0</v>
      </c>
      <c r="DJ202" s="408"/>
      <c r="DK202" s="408">
        <v>0</v>
      </c>
      <c r="DL202" s="408">
        <v>0</v>
      </c>
      <c r="DM202" s="408">
        <v>0</v>
      </c>
      <c r="DN202" s="408">
        <v>0</v>
      </c>
      <c r="DO202" s="408">
        <v>0</v>
      </c>
      <c r="DP202" s="408">
        <v>-0.58799659271051752</v>
      </c>
      <c r="DQ202" s="408">
        <v>0</v>
      </c>
      <c r="DR202" s="408">
        <v>0</v>
      </c>
      <c r="DS202" s="408"/>
      <c r="DT202" s="408"/>
      <c r="DU202" s="408"/>
      <c r="DV202" s="408">
        <v>3004.7257139408894</v>
      </c>
      <c r="DW202" s="408">
        <v>0</v>
      </c>
      <c r="DX202" s="408">
        <v>0</v>
      </c>
      <c r="DY202" s="408">
        <v>-2142.1470599999998</v>
      </c>
      <c r="DZ202" s="234">
        <v>229.94361000000004</v>
      </c>
      <c r="EA202" s="408">
        <v>0</v>
      </c>
      <c r="EB202" s="408">
        <v>0</v>
      </c>
      <c r="EC202" s="408">
        <v>-2207.6014807065139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0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242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201</v>
      </c>
      <c r="B203" s="408" t="s">
        <v>1036</v>
      </c>
      <c r="C203" s="408" t="s">
        <v>2231</v>
      </c>
      <c r="D203" s="408" t="s">
        <v>1952</v>
      </c>
      <c r="E203" s="408" t="s">
        <v>969</v>
      </c>
      <c r="F203" s="408" t="s">
        <v>2237</v>
      </c>
      <c r="G203" s="408" t="s">
        <v>1322</v>
      </c>
      <c r="H203" s="408" t="s">
        <v>1322</v>
      </c>
      <c r="I203" s="408" t="s">
        <v>1322</v>
      </c>
      <c r="J203" s="408" t="s">
        <v>2232</v>
      </c>
      <c r="K203" s="828">
        <v>44501</v>
      </c>
      <c r="L203" s="408">
        <v>0</v>
      </c>
      <c r="M203" s="408">
        <v>0</v>
      </c>
      <c r="N203" s="408">
        <v>7.5049999999999999</v>
      </c>
      <c r="O203" s="408">
        <v>7.5049999999999999</v>
      </c>
      <c r="P203" s="408">
        <v>7.5049999999999999</v>
      </c>
      <c r="Q203" s="408">
        <v>7.5049999999999999</v>
      </c>
      <c r="R203" s="408"/>
      <c r="S203" s="408">
        <v>501.89</v>
      </c>
      <c r="T203" s="408">
        <v>216.76</v>
      </c>
      <c r="U203" s="408"/>
      <c r="V203" s="408">
        <v>5393.4682499999999</v>
      </c>
      <c r="W203" s="408">
        <v>5393.4682499999999</v>
      </c>
      <c r="X203" s="408">
        <v>3356.9865</v>
      </c>
      <c r="Y203" s="408">
        <v>0</v>
      </c>
      <c r="Z203" s="408">
        <v>0</v>
      </c>
      <c r="AA203" s="408">
        <v>0</v>
      </c>
      <c r="AB203" s="408">
        <v>0</v>
      </c>
      <c r="AC203" s="408">
        <v>0</v>
      </c>
      <c r="AD203" s="408">
        <v>6.1684623148085302</v>
      </c>
      <c r="AE203" s="408">
        <v>3200.0094342452639</v>
      </c>
      <c r="AF203" s="408">
        <v>1603.0792636813883</v>
      </c>
      <c r="AG203" s="408">
        <v>23.696322547074963</v>
      </c>
      <c r="AH203" s="408">
        <v>0</v>
      </c>
      <c r="AI203" s="408">
        <v>0</v>
      </c>
      <c r="AJ203" s="408">
        <v>0</v>
      </c>
      <c r="AK203" s="408">
        <v>0</v>
      </c>
      <c r="AL203" s="408">
        <v>0</v>
      </c>
      <c r="AM203" s="408"/>
      <c r="AN203" s="408">
        <v>14.39811401894425</v>
      </c>
      <c r="AO203" s="408">
        <v>66.657141607016811</v>
      </c>
      <c r="AP203" s="408">
        <v>208.84242388782434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4.4659975122198317</v>
      </c>
      <c r="BE203" s="408">
        <v>0</v>
      </c>
      <c r="BF203" s="408">
        <v>0</v>
      </c>
      <c r="BG203" s="408">
        <v>266.11407218612976</v>
      </c>
      <c r="BH203" s="408">
        <v>0</v>
      </c>
      <c r="BI203" s="408">
        <v>18.48</v>
      </c>
      <c r="BJ203" s="408">
        <v>85.32</v>
      </c>
      <c r="BK203" s="408">
        <v>1514.22</v>
      </c>
      <c r="BL203" s="408">
        <v>65</v>
      </c>
      <c r="BM203" s="408"/>
      <c r="BN203" s="408"/>
      <c r="BO203" s="408"/>
      <c r="BP203" s="408"/>
      <c r="BQ203" s="408"/>
      <c r="BR203" s="408"/>
      <c r="BS203" s="408"/>
      <c r="BT203" s="408">
        <v>335.69864999999993</v>
      </c>
      <c r="BU203" s="408"/>
      <c r="BV203" s="408">
        <v>1873.659333379738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3023.3006999999998</v>
      </c>
      <c r="CJ203" s="408">
        <v>-1830.8132000000005</v>
      </c>
      <c r="CK203" s="408"/>
      <c r="CL203" s="408"/>
      <c r="CM203" s="408"/>
      <c r="CN203" s="408"/>
      <c r="CO203" s="408">
        <v>-2281.3699000000001</v>
      </c>
      <c r="CP203" s="408">
        <v>244.88814999999997</v>
      </c>
      <c r="CQ203" s="408">
        <v>30</v>
      </c>
      <c r="CR203" s="408">
        <v>314.65415342083952</v>
      </c>
      <c r="CS203" s="408">
        <v>6.8757857539446832</v>
      </c>
      <c r="CT203" s="408">
        <v>21.542414336530754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0.60312176941233453</v>
      </c>
      <c r="DA203" s="408">
        <v>0</v>
      </c>
      <c r="DB203" s="408">
        <v>0</v>
      </c>
      <c r="DC203" s="408">
        <v>244.91962239299687</v>
      </c>
      <c r="DD203" s="408">
        <v>0</v>
      </c>
      <c r="DE203" s="408">
        <v>0</v>
      </c>
      <c r="DF203" s="408">
        <v>0.6823183663352248</v>
      </c>
      <c r="DG203" s="408">
        <v>40.657102583696712</v>
      </c>
      <c r="DH203" s="408">
        <v>0</v>
      </c>
      <c r="DI203" s="408">
        <v>0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0</v>
      </c>
      <c r="DP203" s="408">
        <v>-0.62621178207640682</v>
      </c>
      <c r="DQ203" s="408">
        <v>0</v>
      </c>
      <c r="DR203" s="408">
        <v>0</v>
      </c>
      <c r="DS203" s="408"/>
      <c r="DT203" s="408"/>
      <c r="DU203" s="408"/>
      <c r="DV203" s="408">
        <v>3200.0094342452639</v>
      </c>
      <c r="DW203" s="408">
        <v>0</v>
      </c>
      <c r="DX203" s="408">
        <v>0</v>
      </c>
      <c r="DY203" s="408">
        <v>-2281.3698999999997</v>
      </c>
      <c r="DZ203" s="234">
        <v>244.88815</v>
      </c>
      <c r="EA203" s="408">
        <v>0</v>
      </c>
      <c r="EB203" s="408">
        <v>0</v>
      </c>
      <c r="EC203" s="408">
        <v>-2351.0783471977275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242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202</v>
      </c>
      <c r="B204" s="408" t="s">
        <v>1036</v>
      </c>
      <c r="C204" s="408" t="s">
        <v>2231</v>
      </c>
      <c r="D204" s="408" t="s">
        <v>1952</v>
      </c>
      <c r="E204" s="408" t="s">
        <v>969</v>
      </c>
      <c r="F204" s="408" t="s">
        <v>2238</v>
      </c>
      <c r="G204" s="408" t="s">
        <v>1322</v>
      </c>
      <c r="H204" s="408" t="s">
        <v>1322</v>
      </c>
      <c r="I204" s="408" t="s">
        <v>1322</v>
      </c>
      <c r="J204" s="408" t="s">
        <v>2232</v>
      </c>
      <c r="K204" s="828">
        <v>44501</v>
      </c>
      <c r="L204" s="408">
        <v>0</v>
      </c>
      <c r="M204" s="408">
        <v>0</v>
      </c>
      <c r="N204" s="408">
        <v>2.7429999999999999</v>
      </c>
      <c r="O204" s="408">
        <v>2.7429999999999999</v>
      </c>
      <c r="P204" s="408">
        <v>2.7429999999999999</v>
      </c>
      <c r="Q204" s="408">
        <v>2.7429999999999999</v>
      </c>
      <c r="R204" s="408"/>
      <c r="S204" s="408">
        <v>501.89</v>
      </c>
      <c r="T204" s="408">
        <v>216.76</v>
      </c>
      <c r="U204" s="408"/>
      <c r="V204" s="408">
        <v>1971.25695</v>
      </c>
      <c r="W204" s="408">
        <v>1971.25695</v>
      </c>
      <c r="X204" s="408">
        <v>1226.9438999999998</v>
      </c>
      <c r="Y204" s="408">
        <v>0</v>
      </c>
      <c r="Z204" s="408">
        <v>0</v>
      </c>
      <c r="AA204" s="408">
        <v>0</v>
      </c>
      <c r="AB204" s="408">
        <v>0</v>
      </c>
      <c r="AC204" s="408">
        <v>0</v>
      </c>
      <c r="AD204" s="408">
        <v>2.254509277750806</v>
      </c>
      <c r="AE204" s="408">
        <v>1169.5704034823129</v>
      </c>
      <c r="AF204" s="408">
        <v>585.90891675923353</v>
      </c>
      <c r="AG204" s="408">
        <v>8.6607611920888239</v>
      </c>
      <c r="AH204" s="408">
        <v>0</v>
      </c>
      <c r="AI204" s="408">
        <v>0</v>
      </c>
      <c r="AJ204" s="408">
        <v>0</v>
      </c>
      <c r="AK204" s="408">
        <v>0</v>
      </c>
      <c r="AL204" s="408">
        <v>0</v>
      </c>
      <c r="AM204" s="408"/>
      <c r="AN204" s="408">
        <v>5.2623619925335214</v>
      </c>
      <c r="AO204" s="408">
        <v>24.362496925789088</v>
      </c>
      <c r="AP204" s="408">
        <v>76.32974933035338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1.6322759728206526</v>
      </c>
      <c r="BE204" s="408">
        <v>0</v>
      </c>
      <c r="BF204" s="408">
        <v>0</v>
      </c>
      <c r="BG204" s="408">
        <v>97.261945370626762</v>
      </c>
      <c r="BH204" s="408">
        <v>0</v>
      </c>
      <c r="BI204" s="408">
        <v>8.74</v>
      </c>
      <c r="BJ204" s="408">
        <v>40.11</v>
      </c>
      <c r="BK204" s="408">
        <v>713.53</v>
      </c>
      <c r="BL204" s="408">
        <v>29</v>
      </c>
      <c r="BM204" s="408"/>
      <c r="BN204" s="408"/>
      <c r="BO204" s="408"/>
      <c r="BP204" s="408"/>
      <c r="BQ204" s="408"/>
      <c r="BR204" s="408"/>
      <c r="BS204" s="408"/>
      <c r="BT204" s="408"/>
      <c r="BU204" s="408"/>
      <c r="BV204" s="408">
        <v>684.80313810268103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1225.6020000000001</v>
      </c>
      <c r="CJ204" s="408">
        <v>-745.68494999999984</v>
      </c>
      <c r="CK204" s="408"/>
      <c r="CL204" s="408"/>
      <c r="CM204" s="408"/>
      <c r="CN204" s="408"/>
      <c r="CO204" s="408">
        <v>-833.81713999999999</v>
      </c>
      <c r="CP204" s="408">
        <v>89.504089999999977</v>
      </c>
      <c r="CQ204" s="408">
        <v>30</v>
      </c>
      <c r="CR204" s="408">
        <v>115.00284381523852</v>
      </c>
      <c r="CS204" s="408">
        <v>2.5130286906156236</v>
      </c>
      <c r="CT204" s="408">
        <v>7.8735299833582815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0.22043477861399507</v>
      </c>
      <c r="DA204" s="408">
        <v>0</v>
      </c>
      <c r="DB204" s="408">
        <v>0</v>
      </c>
      <c r="DC204" s="408">
        <v>89.515592834642348</v>
      </c>
      <c r="DD204" s="408">
        <v>0</v>
      </c>
      <c r="DE204" s="408">
        <v>0</v>
      </c>
      <c r="DF204" s="408">
        <v>0.24938031696968954</v>
      </c>
      <c r="DG204" s="408">
        <v>14.859751150843451</v>
      </c>
      <c r="DH204" s="408">
        <v>0</v>
      </c>
      <c r="DI204" s="408">
        <v>0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0</v>
      </c>
      <c r="DP204" s="408">
        <v>-0.22887393980487492</v>
      </c>
      <c r="DQ204" s="408">
        <v>0</v>
      </c>
      <c r="DR204" s="408">
        <v>0</v>
      </c>
      <c r="DS204" s="408"/>
      <c r="DT204" s="408"/>
      <c r="DU204" s="408"/>
      <c r="DV204" s="408">
        <v>1169.5704034823129</v>
      </c>
      <c r="DW204" s="408">
        <v>0</v>
      </c>
      <c r="DX204" s="408">
        <v>0</v>
      </c>
      <c r="DY204" s="408">
        <v>-833.81713999999999</v>
      </c>
      <c r="DZ204" s="234">
        <v>89.504089999999906</v>
      </c>
      <c r="EA204" s="408">
        <v>0</v>
      </c>
      <c r="EB204" s="408">
        <v>0</v>
      </c>
      <c r="EC204" s="408">
        <v>-859.29485761004219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242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203</v>
      </c>
      <c r="B205" s="408" t="s">
        <v>1036</v>
      </c>
      <c r="C205" s="408" t="s">
        <v>2231</v>
      </c>
      <c r="D205" s="408" t="s">
        <v>1955</v>
      </c>
      <c r="E205" s="408" t="s">
        <v>970</v>
      </c>
      <c r="F205" s="408" t="s">
        <v>1322</v>
      </c>
      <c r="G205" s="408" t="s">
        <v>1322</v>
      </c>
      <c r="H205" s="408" t="s">
        <v>1322</v>
      </c>
      <c r="I205" s="408" t="s">
        <v>1322</v>
      </c>
      <c r="J205" s="408" t="s">
        <v>2232</v>
      </c>
      <c r="K205" s="828">
        <v>44501</v>
      </c>
      <c r="L205" s="408">
        <v>0</v>
      </c>
      <c r="M205" s="408">
        <v>0</v>
      </c>
      <c r="N205" s="408">
        <v>34.716000000000001</v>
      </c>
      <c r="O205" s="408">
        <v>34.716000000000001</v>
      </c>
      <c r="P205" s="408">
        <v>34.716000000000001</v>
      </c>
      <c r="Q205" s="408">
        <v>34.716000000000001</v>
      </c>
      <c r="R205" s="408"/>
      <c r="S205" s="408">
        <v>571.87</v>
      </c>
      <c r="T205" s="408">
        <v>216.76</v>
      </c>
      <c r="U205" s="408"/>
      <c r="V205" s="408">
        <v>27378.07908</v>
      </c>
      <c r="W205" s="408">
        <v>27378.07908</v>
      </c>
      <c r="X205" s="408">
        <v>17844.371160000002</v>
      </c>
      <c r="Y205" s="408">
        <v>0</v>
      </c>
      <c r="Z205" s="408">
        <v>2104.1581813008684</v>
      </c>
      <c r="AA205" s="408">
        <v>0</v>
      </c>
      <c r="AB205" s="408">
        <v>0</v>
      </c>
      <c r="AC205" s="408">
        <v>0</v>
      </c>
      <c r="AD205" s="408">
        <v>28.53355599212431</v>
      </c>
      <c r="AE205" s="408">
        <v>14802.335445604076</v>
      </c>
      <c r="AF205" s="408">
        <v>7415.3897025933475</v>
      </c>
      <c r="AG205" s="408">
        <v>109.61246283068013</v>
      </c>
      <c r="AH205" s="408">
        <v>0</v>
      </c>
      <c r="AI205" s="408">
        <v>0</v>
      </c>
      <c r="AJ205" s="408">
        <v>0</v>
      </c>
      <c r="AK205" s="408">
        <v>0</v>
      </c>
      <c r="AL205" s="408">
        <v>325.41506609090811</v>
      </c>
      <c r="AM205" s="408"/>
      <c r="AN205" s="408">
        <v>66.601589111481488</v>
      </c>
      <c r="AO205" s="408">
        <v>308.33701905785415</v>
      </c>
      <c r="AP205" s="408">
        <v>966.04578117118047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20.658436993234336</v>
      </c>
      <c r="BE205" s="408">
        <v>0</v>
      </c>
      <c r="BF205" s="408">
        <v>0</v>
      </c>
      <c r="BG205" s="408">
        <v>1230.9681718872328</v>
      </c>
      <c r="BH205" s="408">
        <v>0</v>
      </c>
      <c r="BI205" s="408">
        <v>125.59</v>
      </c>
      <c r="BJ205" s="408">
        <v>577.48</v>
      </c>
      <c r="BK205" s="408">
        <v>4979.76</v>
      </c>
      <c r="BL205" s="408">
        <v>25</v>
      </c>
      <c r="BM205" s="408"/>
      <c r="BN205" s="408"/>
      <c r="BO205" s="408"/>
      <c r="BP205" s="408"/>
      <c r="BQ205" s="408"/>
      <c r="BR205" s="408"/>
      <c r="BS205" s="408"/>
      <c r="BT205" s="408"/>
      <c r="BU205" s="408"/>
      <c r="BV205" s="408">
        <v>8667.0163114738152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17846.427199999998</v>
      </c>
      <c r="CJ205" s="408">
        <v>-9531.6818799999965</v>
      </c>
      <c r="CK205" s="408"/>
      <c r="CL205" s="408"/>
      <c r="CM205" s="408"/>
      <c r="CN205" s="408"/>
      <c r="CO205" s="408">
        <v>-10666.491</v>
      </c>
      <c r="CP205" s="408">
        <v>1132.7830799999999</v>
      </c>
      <c r="CQ205" s="408">
        <v>30</v>
      </c>
      <c r="CR205" s="408">
        <v>1341.7840177672661</v>
      </c>
      <c r="CS205" s="408">
        <v>31.805433475542145</v>
      </c>
      <c r="CT205" s="408">
        <v>99.649094751099597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2.7898701328339257</v>
      </c>
      <c r="DA205" s="408">
        <v>0</v>
      </c>
      <c r="DB205" s="408">
        <v>0</v>
      </c>
      <c r="DC205" s="408">
        <v>1132.9286623577991</v>
      </c>
      <c r="DD205" s="408">
        <v>0</v>
      </c>
      <c r="DE205" s="408">
        <v>0</v>
      </c>
      <c r="DF205" s="408">
        <v>3.1562111133502526</v>
      </c>
      <c r="DG205" s="408">
        <v>188.06821762766344</v>
      </c>
      <c r="DH205" s="408">
        <v>0</v>
      </c>
      <c r="DI205" s="408">
        <v>-100.53077701897178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-13.186016693829117</v>
      </c>
      <c r="DP205" s="408">
        <v>-2.8966779782231171</v>
      </c>
      <c r="DQ205" s="408">
        <v>0</v>
      </c>
      <c r="DR205" s="408">
        <v>0</v>
      </c>
      <c r="DS205" s="408"/>
      <c r="DT205" s="408"/>
      <c r="DU205" s="408"/>
      <c r="DV205" s="408">
        <v>14802.335445604076</v>
      </c>
      <c r="DW205" s="408">
        <v>0</v>
      </c>
      <c r="DX205" s="408">
        <v>0</v>
      </c>
      <c r="DY205" s="408">
        <v>-10666.490999999998</v>
      </c>
      <c r="DZ205" s="234">
        <v>1132.7830800000002</v>
      </c>
      <c r="EA205" s="408">
        <v>0</v>
      </c>
      <c r="EB205" s="408">
        <v>0</v>
      </c>
      <c r="EC205" s="408">
        <v>-10875.421172727025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242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204</v>
      </c>
      <c r="B206" s="408" t="s">
        <v>2234</v>
      </c>
      <c r="C206" s="408" t="s">
        <v>2231</v>
      </c>
      <c r="D206" s="408" t="s">
        <v>1955</v>
      </c>
      <c r="E206" s="408" t="s">
        <v>970</v>
      </c>
      <c r="F206" s="408" t="s">
        <v>1322</v>
      </c>
      <c r="G206" s="408" t="s">
        <v>1322</v>
      </c>
      <c r="H206" s="408" t="s">
        <v>1322</v>
      </c>
      <c r="I206" s="408" t="s">
        <v>1322</v>
      </c>
      <c r="J206" s="408" t="s">
        <v>2232</v>
      </c>
      <c r="K206" s="828">
        <v>44501</v>
      </c>
      <c r="L206" s="408">
        <v>0</v>
      </c>
      <c r="M206" s="408">
        <v>0</v>
      </c>
      <c r="N206" s="408">
        <v>1.94</v>
      </c>
      <c r="O206" s="408">
        <v>1.94</v>
      </c>
      <c r="P206" s="408">
        <v>1.94</v>
      </c>
      <c r="Q206" s="408">
        <v>1.94</v>
      </c>
      <c r="R206" s="408"/>
      <c r="S206" s="408">
        <v>571.87</v>
      </c>
      <c r="T206" s="408">
        <v>216.76</v>
      </c>
      <c r="U206" s="408"/>
      <c r="V206" s="408">
        <v>1529.9422</v>
      </c>
      <c r="W206" s="408">
        <v>1529.9422</v>
      </c>
      <c r="X206" s="408">
        <v>997.17939999999999</v>
      </c>
      <c r="Y206" s="408">
        <v>0</v>
      </c>
      <c r="Z206" s="408">
        <v>117.58459706543624</v>
      </c>
      <c r="AA206" s="408">
        <v>0</v>
      </c>
      <c r="AB206" s="408">
        <v>0</v>
      </c>
      <c r="AC206" s="408">
        <v>0</v>
      </c>
      <c r="AD206" s="408">
        <v>1.594512577045776</v>
      </c>
      <c r="AE206" s="408">
        <v>827.18431744647728</v>
      </c>
      <c r="AF206" s="408">
        <v>414.38691159785384</v>
      </c>
      <c r="AG206" s="408">
        <v>6.125365188717578</v>
      </c>
      <c r="AH206" s="408">
        <v>0</v>
      </c>
      <c r="AI206" s="408">
        <v>0</v>
      </c>
      <c r="AJ206" s="408">
        <v>0</v>
      </c>
      <c r="AK206" s="408">
        <v>0</v>
      </c>
      <c r="AL206" s="408">
        <v>18.184849297625352</v>
      </c>
      <c r="AM206" s="408"/>
      <c r="AN206" s="408">
        <v>3.7218309389409518</v>
      </c>
      <c r="AO206" s="408">
        <v>17.230493633259506</v>
      </c>
      <c r="AP206" s="408">
        <v>53.984583923035203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1.1544350664498966</v>
      </c>
      <c r="BE206" s="408">
        <v>0</v>
      </c>
      <c r="BF206" s="408">
        <v>0</v>
      </c>
      <c r="BG206" s="408">
        <v>68.78898068502221</v>
      </c>
      <c r="BH206" s="408">
        <v>0</v>
      </c>
      <c r="BI206" s="408">
        <v>7.09</v>
      </c>
      <c r="BJ206" s="408">
        <v>32.700000000000003</v>
      </c>
      <c r="BK206" s="408">
        <v>845.63</v>
      </c>
      <c r="BL206" s="408">
        <v>4</v>
      </c>
      <c r="BM206" s="408"/>
      <c r="BN206" s="408"/>
      <c r="BO206" s="408"/>
      <c r="BP206" s="408"/>
      <c r="BQ206" s="408"/>
      <c r="BR206" s="408"/>
      <c r="BS206" s="408"/>
      <c r="BT206" s="408"/>
      <c r="BU206" s="408"/>
      <c r="BV206" s="408">
        <v>484.3303273493259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997.17939999999999</v>
      </c>
      <c r="CJ206" s="408">
        <v>-532.79279999999994</v>
      </c>
      <c r="CK206" s="408"/>
      <c r="CL206" s="408"/>
      <c r="CM206" s="408"/>
      <c r="CN206" s="408"/>
      <c r="CO206" s="408">
        <v>-596.06499999999994</v>
      </c>
      <c r="CP206" s="408">
        <v>63.302199999999992</v>
      </c>
      <c r="CQ206" s="408">
        <v>30</v>
      </c>
      <c r="CR206" s="408">
        <v>74.981593342219639</v>
      </c>
      <c r="CS206" s="408">
        <v>1.7773516805666496</v>
      </c>
      <c r="CT206" s="408">
        <v>5.568592113640193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0.15590356198000399</v>
      </c>
      <c r="DA206" s="408">
        <v>0</v>
      </c>
      <c r="DB206" s="408">
        <v>0</v>
      </c>
      <c r="DC206" s="408">
        <v>63.310335435364948</v>
      </c>
      <c r="DD206" s="408">
        <v>0</v>
      </c>
      <c r="DE206" s="408">
        <v>0</v>
      </c>
      <c r="DF206" s="408">
        <v>0.17637543380284271</v>
      </c>
      <c r="DG206" s="408">
        <v>10.509630781128806</v>
      </c>
      <c r="DH206" s="408">
        <v>0</v>
      </c>
      <c r="DI206" s="408">
        <v>-5.6178622945271712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-0.73686117023932596</v>
      </c>
      <c r="DP206" s="408">
        <v>-0.16187219949743215</v>
      </c>
      <c r="DQ206" s="408">
        <v>0</v>
      </c>
      <c r="DR206" s="408">
        <v>0</v>
      </c>
      <c r="DS206" s="408"/>
      <c r="DT206" s="408"/>
      <c r="DU206" s="408"/>
      <c r="DV206" s="408">
        <v>827.18431744647728</v>
      </c>
      <c r="DW206" s="408">
        <v>0</v>
      </c>
      <c r="DX206" s="408">
        <v>0</v>
      </c>
      <c r="DY206" s="408">
        <v>-596.06499999999994</v>
      </c>
      <c r="DZ206" s="234">
        <v>63.302199999999971</v>
      </c>
      <c r="EA206" s="408">
        <v>0</v>
      </c>
      <c r="EB206" s="408">
        <v>0</v>
      </c>
      <c r="EC206" s="408">
        <v>-607.74043884924606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242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205</v>
      </c>
      <c r="B207" s="408" t="s">
        <v>1036</v>
      </c>
      <c r="C207" s="408" t="s">
        <v>2239</v>
      </c>
      <c r="D207" s="408" t="s">
        <v>597</v>
      </c>
      <c r="E207" s="408" t="s">
        <v>970</v>
      </c>
      <c r="F207" s="408" t="s">
        <v>1322</v>
      </c>
      <c r="G207" s="408" t="s">
        <v>1322</v>
      </c>
      <c r="H207" s="408" t="s">
        <v>1322</v>
      </c>
      <c r="I207" s="408" t="s">
        <v>973</v>
      </c>
      <c r="J207" s="408" t="s">
        <v>2232</v>
      </c>
      <c r="K207" s="828">
        <v>44501</v>
      </c>
      <c r="L207" s="408">
        <v>0</v>
      </c>
      <c r="M207" s="408">
        <v>0</v>
      </c>
      <c r="N207" s="408">
        <v>5.8550000000000004</v>
      </c>
      <c r="O207" s="408">
        <v>5.8550000000000004</v>
      </c>
      <c r="P207" s="408">
        <v>5.8550000000000004</v>
      </c>
      <c r="Q207" s="408">
        <v>5.8550000000000004</v>
      </c>
      <c r="R207" s="408"/>
      <c r="S207" s="408">
        <v>2592.54</v>
      </c>
      <c r="T207" s="408">
        <v>216.76</v>
      </c>
      <c r="U207" s="408"/>
      <c r="V207" s="408">
        <v>16448.451499999999</v>
      </c>
      <c r="W207" s="408">
        <v>16448.451499999999</v>
      </c>
      <c r="X207" s="408">
        <v>6915.9260000000004</v>
      </c>
      <c r="Y207" s="408">
        <v>0</v>
      </c>
      <c r="Z207" s="408">
        <v>308.74139162977968</v>
      </c>
      <c r="AA207" s="408">
        <v>0</v>
      </c>
      <c r="AB207" s="408">
        <v>0</v>
      </c>
      <c r="AC207" s="408">
        <v>0</v>
      </c>
      <c r="AD207" s="408">
        <v>29.606599137375593</v>
      </c>
      <c r="AE207" s="408">
        <v>13413.169758342974</v>
      </c>
      <c r="AF207" s="408">
        <v>1250.636787322389</v>
      </c>
      <c r="AG207" s="408">
        <v>18.486604731928569</v>
      </c>
      <c r="AH207" s="408">
        <v>0</v>
      </c>
      <c r="AI207" s="408">
        <v>0</v>
      </c>
      <c r="AJ207" s="408">
        <v>0</v>
      </c>
      <c r="AK207" s="408">
        <v>0</v>
      </c>
      <c r="AL207" s="408">
        <v>54.882625070926004</v>
      </c>
      <c r="AM207" s="408"/>
      <c r="AN207" s="408">
        <v>8.0402159605159902</v>
      </c>
      <c r="AO207" s="408">
        <v>264.14757287157488</v>
      </c>
      <c r="AP207" s="408">
        <v>1002.380383781163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2.6774838794537676</v>
      </c>
      <c r="BE207" s="408">
        <v>0</v>
      </c>
      <c r="BF207" s="408">
        <v>0</v>
      </c>
      <c r="BG207" s="408">
        <v>95.648198222407032</v>
      </c>
      <c r="BH207" s="408">
        <v>0</v>
      </c>
      <c r="BI207" s="408">
        <v>0</v>
      </c>
      <c r="BJ207" s="408">
        <v>0</v>
      </c>
      <c r="BK207" s="408">
        <v>0</v>
      </c>
      <c r="BL207" s="408">
        <v>0</v>
      </c>
      <c r="BM207" s="408"/>
      <c r="BN207" s="408"/>
      <c r="BO207" s="408"/>
      <c r="BP207" s="408"/>
      <c r="BQ207" s="408"/>
      <c r="BR207" s="408"/>
      <c r="BS207" s="408"/>
      <c r="BT207" s="408"/>
      <c r="BU207" s="408"/>
      <c r="BV207" s="408">
        <v>1348.9624694242498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6921.8320000000003</v>
      </c>
      <c r="CJ207" s="408">
        <v>-9526.6494999999977</v>
      </c>
      <c r="CK207" s="408"/>
      <c r="CL207" s="408"/>
      <c r="CM207" s="408"/>
      <c r="CN207" s="408"/>
      <c r="CO207" s="408">
        <v>-9723.5741500000004</v>
      </c>
      <c r="CP207" s="408">
        <v>191.04864999999998</v>
      </c>
      <c r="CQ207" s="408">
        <v>30</v>
      </c>
      <c r="CR207" s="408">
        <v>322.31018347532563</v>
      </c>
      <c r="CS207" s="408">
        <v>27.247224748956796</v>
      </c>
      <c r="CT207" s="408">
        <v>103.39706439062536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2.8947869901301395</v>
      </c>
      <c r="DA207" s="408">
        <v>0</v>
      </c>
      <c r="DB207" s="408">
        <v>0</v>
      </c>
      <c r="DC207" s="408">
        <v>191.07320307941336</v>
      </c>
      <c r="DD207" s="408">
        <v>0</v>
      </c>
      <c r="DE207" s="408">
        <v>0</v>
      </c>
      <c r="DF207" s="408">
        <v>0.40906794540728297</v>
      </c>
      <c r="DG207" s="408">
        <v>14.613201681248242</v>
      </c>
      <c r="DH207" s="408">
        <v>0</v>
      </c>
      <c r="DI207" s="408">
        <v>-14.750797860297212</v>
      </c>
      <c r="DJ207" s="408"/>
      <c r="DK207" s="408">
        <v>0</v>
      </c>
      <c r="DL207" s="408">
        <v>0</v>
      </c>
      <c r="DM207" s="408">
        <v>0</v>
      </c>
      <c r="DN207" s="408">
        <v>0</v>
      </c>
      <c r="DO207" s="408">
        <v>-2.2238773978099289</v>
      </c>
      <c r="DP207" s="408">
        <v>-0.34969010234877196</v>
      </c>
      <c r="DQ207" s="408">
        <v>0</v>
      </c>
      <c r="DR207" s="408">
        <v>0</v>
      </c>
      <c r="DS207" s="408"/>
      <c r="DT207" s="408"/>
      <c r="DU207" s="408"/>
      <c r="DV207" s="408">
        <v>13413.169758342974</v>
      </c>
      <c r="DW207" s="408">
        <v>0</v>
      </c>
      <c r="DX207" s="408">
        <v>0</v>
      </c>
      <c r="DY207" s="408">
        <v>-9723.5741500000004</v>
      </c>
      <c r="DZ207" s="234">
        <v>191.04865000000018</v>
      </c>
      <c r="EA207" s="408">
        <v>0</v>
      </c>
      <c r="EB207" s="408">
        <v>0</v>
      </c>
      <c r="EC207" s="408">
        <v>-9854.7875042641281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242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206</v>
      </c>
      <c r="B208" s="408" t="s">
        <v>1036</v>
      </c>
      <c r="C208" s="408" t="s">
        <v>2239</v>
      </c>
      <c r="D208" s="408" t="s">
        <v>597</v>
      </c>
      <c r="E208" s="408" t="s">
        <v>970</v>
      </c>
      <c r="F208" s="408" t="s">
        <v>1322</v>
      </c>
      <c r="G208" s="408" t="s">
        <v>1322</v>
      </c>
      <c r="H208" s="408" t="s">
        <v>1322</v>
      </c>
      <c r="I208" s="408" t="s">
        <v>2240</v>
      </c>
      <c r="J208" s="408" t="s">
        <v>2232</v>
      </c>
      <c r="K208" s="828">
        <v>44501</v>
      </c>
      <c r="L208" s="408">
        <v>0</v>
      </c>
      <c r="M208" s="408">
        <v>0</v>
      </c>
      <c r="N208" s="408">
        <v>122.092</v>
      </c>
      <c r="O208" s="408">
        <v>122.092</v>
      </c>
      <c r="P208" s="408">
        <v>122.092</v>
      </c>
      <c r="Q208" s="408">
        <v>122.092</v>
      </c>
      <c r="R208" s="408"/>
      <c r="S208" s="408">
        <v>80.27</v>
      </c>
      <c r="T208" s="408">
        <v>216.76</v>
      </c>
      <c r="U208" s="408"/>
      <c r="V208" s="408">
        <v>36264.98676</v>
      </c>
      <c r="W208" s="408">
        <v>36264.98676</v>
      </c>
      <c r="X208" s="408">
        <v>40201.232839999997</v>
      </c>
      <c r="Y208" s="408">
        <v>0</v>
      </c>
      <c r="Z208" s="408">
        <v>6438.0621668425374</v>
      </c>
      <c r="AA208" s="408">
        <v>0</v>
      </c>
      <c r="AB208" s="408">
        <v>0</v>
      </c>
      <c r="AC208" s="408">
        <v>0</v>
      </c>
      <c r="AD208" s="408">
        <v>0</v>
      </c>
      <c r="AE208" s="408">
        <v>0</v>
      </c>
      <c r="AF208" s="408">
        <v>26079.034438559367</v>
      </c>
      <c r="AG208" s="408">
        <v>385.49385908294153</v>
      </c>
      <c r="AH208" s="408">
        <v>0</v>
      </c>
      <c r="AI208" s="408">
        <v>0</v>
      </c>
      <c r="AJ208" s="408">
        <v>0</v>
      </c>
      <c r="AK208" s="408">
        <v>0</v>
      </c>
      <c r="AL208" s="408">
        <v>1144.4456806421003</v>
      </c>
      <c r="AM208" s="408"/>
      <c r="AN208" s="408">
        <v>167.65944441525502</v>
      </c>
      <c r="AO208" s="408">
        <v>0</v>
      </c>
      <c r="AP208" s="408">
        <v>0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55.832512691762489</v>
      </c>
      <c r="BE208" s="408">
        <v>0</v>
      </c>
      <c r="BF208" s="408">
        <v>0</v>
      </c>
      <c r="BG208" s="408">
        <v>1994.514059328799</v>
      </c>
      <c r="BH208" s="408">
        <v>0</v>
      </c>
      <c r="BI208" s="408">
        <v>0</v>
      </c>
      <c r="BJ208" s="408">
        <v>0</v>
      </c>
      <c r="BK208" s="408">
        <v>0</v>
      </c>
      <c r="BL208" s="408">
        <v>0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>
        <v>28129.381010579928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40200.5743</v>
      </c>
      <c r="CJ208" s="408">
        <v>3935.5575400000016</v>
      </c>
      <c r="CK208" s="408"/>
      <c r="CL208" s="408"/>
      <c r="CM208" s="408"/>
      <c r="CN208" s="408"/>
      <c r="CO208" s="408">
        <v>-47.615880000000068</v>
      </c>
      <c r="CP208" s="408">
        <v>3983.8619599999993</v>
      </c>
      <c r="CQ208" s="408">
        <v>30</v>
      </c>
      <c r="CR208" s="408">
        <v>3936.3692635423722</v>
      </c>
      <c r="CS208" s="408">
        <v>0</v>
      </c>
      <c r="CT208" s="408">
        <v>0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0</v>
      </c>
      <c r="DA208" s="408">
        <v>0</v>
      </c>
      <c r="DB208" s="408">
        <v>0</v>
      </c>
      <c r="DC208" s="408">
        <v>3984.3739556569999</v>
      </c>
      <c r="DD208" s="408">
        <v>0</v>
      </c>
      <c r="DE208" s="408">
        <v>0</v>
      </c>
      <c r="DF208" s="408">
        <v>8.5301321247935107</v>
      </c>
      <c r="DG208" s="408">
        <v>304.7233167663469</v>
      </c>
      <c r="DH208" s="408">
        <v>0</v>
      </c>
      <c r="DI208" s="408">
        <v>-307.59255548410056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-46.373636080855704</v>
      </c>
      <c r="DP208" s="408">
        <v>-7.2919494408140508</v>
      </c>
      <c r="DQ208" s="408">
        <v>0</v>
      </c>
      <c r="DR208" s="408">
        <v>0</v>
      </c>
      <c r="DS208" s="408"/>
      <c r="DT208" s="408"/>
      <c r="DU208" s="408"/>
      <c r="DV208" s="408">
        <v>0</v>
      </c>
      <c r="DW208" s="408">
        <v>0</v>
      </c>
      <c r="DX208" s="408">
        <v>0</v>
      </c>
      <c r="DY208" s="408">
        <v>-47.615879999999379</v>
      </c>
      <c r="DZ208" s="234">
        <v>3983.8619599999984</v>
      </c>
      <c r="EA208" s="408">
        <v>0</v>
      </c>
      <c r="EB208" s="408">
        <v>0</v>
      </c>
      <c r="EC208" s="408">
        <v>0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242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207</v>
      </c>
      <c r="B209" s="408" t="s">
        <v>1036</v>
      </c>
      <c r="C209" s="408" t="s">
        <v>2239</v>
      </c>
      <c r="D209" s="408" t="s">
        <v>597</v>
      </c>
      <c r="E209" s="408" t="s">
        <v>970</v>
      </c>
      <c r="F209" s="408" t="s">
        <v>1322</v>
      </c>
      <c r="G209" s="408" t="s">
        <v>1322</v>
      </c>
      <c r="H209" s="408" t="s">
        <v>1322</v>
      </c>
      <c r="I209" s="408" t="s">
        <v>1322</v>
      </c>
      <c r="J209" s="408" t="s">
        <v>2232</v>
      </c>
      <c r="K209" s="828">
        <v>44501</v>
      </c>
      <c r="L209" s="408">
        <v>925</v>
      </c>
      <c r="M209" s="408">
        <v>925</v>
      </c>
      <c r="N209" s="408">
        <v>0</v>
      </c>
      <c r="O209" s="408">
        <v>0</v>
      </c>
      <c r="P209" s="408">
        <v>0</v>
      </c>
      <c r="Q209" s="408">
        <v>0</v>
      </c>
      <c r="R209" s="408">
        <v>32.17</v>
      </c>
      <c r="S209" s="408"/>
      <c r="T209" s="408"/>
      <c r="U209" s="408">
        <v>29757.25</v>
      </c>
      <c r="V209" s="408"/>
      <c r="W209" s="408">
        <v>29757.25</v>
      </c>
      <c r="X209" s="408">
        <v>11960.25</v>
      </c>
      <c r="Y209" s="408">
        <v>0</v>
      </c>
      <c r="Z209" s="408">
        <v>0</v>
      </c>
      <c r="AA209" s="408">
        <v>0</v>
      </c>
      <c r="AB209" s="408">
        <v>0</v>
      </c>
      <c r="AC209" s="408">
        <v>0</v>
      </c>
      <c r="AD209" s="408">
        <v>92.422508246429743</v>
      </c>
      <c r="AE209" s="408">
        <v>24907.230271356024</v>
      </c>
      <c r="AF209" s="408"/>
      <c r="AG209" s="408"/>
      <c r="AH209" s="408"/>
      <c r="AI209" s="408">
        <v>0</v>
      </c>
      <c r="AJ209" s="408">
        <v>0</v>
      </c>
      <c r="AK209" s="408">
        <v>0</v>
      </c>
      <c r="AL209" s="408">
        <v>0</v>
      </c>
      <c r="AM209" s="408"/>
      <c r="AN209" s="408">
        <v>0</v>
      </c>
      <c r="AO209" s="408">
        <v>1632.0895234327004</v>
      </c>
      <c r="AP209" s="408">
        <v>3129.1502780372539</v>
      </c>
      <c r="AQ209" s="408">
        <v>0</v>
      </c>
      <c r="AR209" s="408">
        <v>0</v>
      </c>
      <c r="AS209" s="408"/>
      <c r="AT209" s="408"/>
      <c r="AU209" s="408">
        <v>0</v>
      </c>
      <c r="AV209" s="408">
        <v>0</v>
      </c>
      <c r="AW209" s="408">
        <v>0</v>
      </c>
      <c r="AX209" s="408"/>
      <c r="AY209" s="408"/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/>
      <c r="BG209" s="408">
        <v>0</v>
      </c>
      <c r="BH209" s="408">
        <v>0</v>
      </c>
      <c r="BI209" s="408">
        <v>416.95</v>
      </c>
      <c r="BJ209" s="408">
        <v>1915.08</v>
      </c>
      <c r="BK209" s="408">
        <v>16182.19</v>
      </c>
      <c r="BL209" s="408">
        <v>6</v>
      </c>
      <c r="BM209" s="408"/>
      <c r="BN209" s="408"/>
      <c r="BO209" s="408"/>
      <c r="BP209" s="408"/>
      <c r="BQ209" s="408"/>
      <c r="BR209" s="408"/>
      <c r="BS209" s="408"/>
      <c r="BT209" s="408"/>
      <c r="BU209" s="408"/>
      <c r="BV209" s="408">
        <v>0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11960.25</v>
      </c>
      <c r="CJ209" s="408">
        <v>-17797.029999999995</v>
      </c>
      <c r="CK209" s="408"/>
      <c r="CL209" s="408"/>
      <c r="CM209" s="408"/>
      <c r="CN209" s="408"/>
      <c r="CO209" s="408">
        <v>-17797.000000000004</v>
      </c>
      <c r="CP209" s="408">
        <v>0</v>
      </c>
      <c r="CQ209" s="408">
        <v>30</v>
      </c>
      <c r="CR209" s="408">
        <v>500.16575872291105</v>
      </c>
      <c r="CS209" s="408">
        <v>168.35252193292195</v>
      </c>
      <c r="CT209" s="408">
        <v>322.77662055367091</v>
      </c>
      <c r="CU209" s="408">
        <v>0</v>
      </c>
      <c r="CV209" s="408">
        <v>0</v>
      </c>
      <c r="CW209" s="408"/>
      <c r="CX209" s="408"/>
      <c r="CY209" s="408"/>
      <c r="CZ209" s="408">
        <v>9.036616236318082</v>
      </c>
      <c r="DA209" s="408">
        <v>0</v>
      </c>
      <c r="DB209" s="408">
        <v>0</v>
      </c>
      <c r="DC209" s="408"/>
      <c r="DD209" s="408"/>
      <c r="DE209" s="408">
        <v>0</v>
      </c>
      <c r="DF209" s="408">
        <v>0</v>
      </c>
      <c r="DG209" s="408">
        <v>0</v>
      </c>
      <c r="DH209" s="408">
        <v>0</v>
      </c>
      <c r="DI209" s="408">
        <v>0</v>
      </c>
      <c r="DJ209" s="408"/>
      <c r="DK209" s="408">
        <v>0</v>
      </c>
      <c r="DL209" s="408">
        <v>0</v>
      </c>
      <c r="DM209" s="408"/>
      <c r="DN209" s="408">
        <v>0</v>
      </c>
      <c r="DO209" s="408">
        <v>0</v>
      </c>
      <c r="DP209" s="408">
        <v>0</v>
      </c>
      <c r="DQ209" s="408">
        <v>0</v>
      </c>
      <c r="DR209" s="408">
        <v>0</v>
      </c>
      <c r="DS209" s="408"/>
      <c r="DT209" s="408"/>
      <c r="DU209" s="408">
        <v>24907.230271356024</v>
      </c>
      <c r="DV209" s="408"/>
      <c r="DW209" s="408">
        <v>0</v>
      </c>
      <c r="DX209" s="408">
        <v>0</v>
      </c>
      <c r="DY209" s="408">
        <v>-17797</v>
      </c>
      <c r="DZ209" s="234"/>
      <c r="EA209" s="408">
        <v>0</v>
      </c>
      <c r="EB209" s="408"/>
      <c r="EC209" s="408">
        <v>-18299.586605270189</v>
      </c>
      <c r="ED209" s="408"/>
      <c r="EE209" s="408">
        <v>0</v>
      </c>
      <c r="EF209" s="408">
        <v>0</v>
      </c>
      <c r="EG209" s="408"/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/>
      <c r="EN209" s="408"/>
      <c r="EO209" s="408">
        <v>0</v>
      </c>
      <c r="EP209" s="408">
        <v>0</v>
      </c>
      <c r="EQ209" s="408"/>
      <c r="ER209" s="408">
        <v>0</v>
      </c>
      <c r="ES209" s="408"/>
      <c r="ET209" s="408">
        <v>0</v>
      </c>
      <c r="EU209" s="408"/>
      <c r="EV209" s="408">
        <v>242</v>
      </c>
      <c r="EW209" s="408"/>
      <c r="EX209" s="408"/>
      <c r="EY209" s="408"/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208</v>
      </c>
      <c r="B210" s="408" t="s">
        <v>1036</v>
      </c>
      <c r="C210" s="408" t="s">
        <v>2231</v>
      </c>
      <c r="D210" s="408" t="s">
        <v>1955</v>
      </c>
      <c r="E210" s="408" t="s">
        <v>998</v>
      </c>
      <c r="F210" s="408" t="s">
        <v>1322</v>
      </c>
      <c r="G210" s="408" t="s">
        <v>1322</v>
      </c>
      <c r="H210" s="408" t="s">
        <v>1322</v>
      </c>
      <c r="I210" s="408" t="s">
        <v>1322</v>
      </c>
      <c r="J210" s="408" t="s">
        <v>2232</v>
      </c>
      <c r="K210" s="828">
        <v>44501</v>
      </c>
      <c r="L210" s="408">
        <v>0</v>
      </c>
      <c r="M210" s="408">
        <v>0</v>
      </c>
      <c r="N210" s="408">
        <v>262.37599999999998</v>
      </c>
      <c r="O210" s="408">
        <v>262.37599999999998</v>
      </c>
      <c r="P210" s="408">
        <v>262.37599999999998</v>
      </c>
      <c r="Q210" s="408">
        <v>262.37599999999998</v>
      </c>
      <c r="R210" s="408"/>
      <c r="S210" s="408">
        <v>571.87</v>
      </c>
      <c r="T210" s="408">
        <v>216.76</v>
      </c>
      <c r="U210" s="408"/>
      <c r="V210" s="408">
        <v>206917.58487999998</v>
      </c>
      <c r="W210" s="408">
        <v>206917.58487999998</v>
      </c>
      <c r="X210" s="408">
        <v>134863.88775999998</v>
      </c>
      <c r="Y210" s="408">
        <v>0</v>
      </c>
      <c r="Z210" s="408">
        <v>15902.771257546854</v>
      </c>
      <c r="AA210" s="408">
        <v>0</v>
      </c>
      <c r="AB210" s="408">
        <v>0</v>
      </c>
      <c r="AC210" s="408">
        <v>0</v>
      </c>
      <c r="AD210" s="408">
        <v>215.65042882214561</v>
      </c>
      <c r="AE210" s="408">
        <v>111872.84148161697</v>
      </c>
      <c r="AF210" s="408">
        <v>56043.907380102311</v>
      </c>
      <c r="AG210" s="408">
        <v>828.42722513142439</v>
      </c>
      <c r="AH210" s="408">
        <v>0</v>
      </c>
      <c r="AI210" s="408">
        <v>0</v>
      </c>
      <c r="AJ210" s="408">
        <v>0</v>
      </c>
      <c r="AK210" s="408">
        <v>0</v>
      </c>
      <c r="AL210" s="408">
        <v>2459.4165048009017</v>
      </c>
      <c r="AM210" s="408"/>
      <c r="AN210" s="408">
        <v>503.36036826575832</v>
      </c>
      <c r="AO210" s="408">
        <v>2330.3443286186061</v>
      </c>
      <c r="AP210" s="408">
        <v>7301.1645316444756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156.13198711075157</v>
      </c>
      <c r="BE210" s="408">
        <v>0</v>
      </c>
      <c r="BF210" s="408">
        <v>0</v>
      </c>
      <c r="BG210" s="408">
        <v>9303.3905135120549</v>
      </c>
      <c r="BH210" s="408">
        <v>0</v>
      </c>
      <c r="BI210" s="408">
        <v>936.67</v>
      </c>
      <c r="BJ210" s="408">
        <v>4319.37</v>
      </c>
      <c r="BK210" s="408">
        <v>76009.490000000005</v>
      </c>
      <c r="BL210" s="408">
        <v>703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65503.429880725118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134865.94380000001</v>
      </c>
      <c r="CJ210" s="408">
        <v>-72051.67108</v>
      </c>
      <c r="CK210" s="408"/>
      <c r="CL210" s="408"/>
      <c r="CM210" s="408"/>
      <c r="CN210" s="408"/>
      <c r="CO210" s="408">
        <v>-80615.025999999998</v>
      </c>
      <c r="CP210" s="408">
        <v>8561.3288799999973</v>
      </c>
      <c r="CQ210" s="408">
        <v>30</v>
      </c>
      <c r="CR210" s="408">
        <v>10140.912646782555</v>
      </c>
      <c r="CS210" s="408">
        <v>240.3785693506984</v>
      </c>
      <c r="CT210" s="408">
        <v>753.12624969508306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21.085233493848193</v>
      </c>
      <c r="DA210" s="408">
        <v>0</v>
      </c>
      <c r="DB210" s="408">
        <v>0</v>
      </c>
      <c r="DC210" s="408">
        <v>8562.429159891406</v>
      </c>
      <c r="DD210" s="408">
        <v>0</v>
      </c>
      <c r="DE210" s="408">
        <v>0</v>
      </c>
      <c r="DF210" s="408">
        <v>23.853959185285902</v>
      </c>
      <c r="DG210" s="408">
        <v>1421.3788071285817</v>
      </c>
      <c r="DH210" s="408">
        <v>0</v>
      </c>
      <c r="DI210" s="408">
        <v>-759.78981308704169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-99.65705484675982</v>
      </c>
      <c r="DP210" s="408">
        <v>-21.892464028524898</v>
      </c>
      <c r="DQ210" s="408">
        <v>0</v>
      </c>
      <c r="DR210" s="408">
        <v>0</v>
      </c>
      <c r="DS210" s="408"/>
      <c r="DT210" s="408"/>
      <c r="DU210" s="408"/>
      <c r="DV210" s="408">
        <v>111872.84148161697</v>
      </c>
      <c r="DW210" s="408">
        <v>0</v>
      </c>
      <c r="DX210" s="408">
        <v>0</v>
      </c>
      <c r="DY210" s="408">
        <v>-80615.026000000013</v>
      </c>
      <c r="DZ210" s="234">
        <v>8561.3288799999937</v>
      </c>
      <c r="EA210" s="408">
        <v>0</v>
      </c>
      <c r="EB210" s="408">
        <v>0</v>
      </c>
      <c r="EC210" s="408">
        <v>-82194.074939953498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242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209</v>
      </c>
      <c r="B211" s="408" t="s">
        <v>2234</v>
      </c>
      <c r="C211" s="408" t="s">
        <v>2231</v>
      </c>
      <c r="D211" s="408" t="s">
        <v>1955</v>
      </c>
      <c r="E211" s="408" t="s">
        <v>998</v>
      </c>
      <c r="F211" s="408" t="s">
        <v>1322</v>
      </c>
      <c r="G211" s="408" t="s">
        <v>1322</v>
      </c>
      <c r="H211" s="408" t="s">
        <v>1322</v>
      </c>
      <c r="I211" s="408" t="s">
        <v>1322</v>
      </c>
      <c r="J211" s="408" t="s">
        <v>2232</v>
      </c>
      <c r="K211" s="828">
        <v>44501</v>
      </c>
      <c r="L211" s="408">
        <v>0</v>
      </c>
      <c r="M211" s="408">
        <v>0</v>
      </c>
      <c r="N211" s="408">
        <v>5.6520000000000001</v>
      </c>
      <c r="O211" s="408">
        <v>5.6520000000000001</v>
      </c>
      <c r="P211" s="408">
        <v>5.6520000000000001</v>
      </c>
      <c r="Q211" s="408">
        <v>5.6520000000000001</v>
      </c>
      <c r="R211" s="408"/>
      <c r="S211" s="408">
        <v>571.87</v>
      </c>
      <c r="T211" s="408">
        <v>216.76</v>
      </c>
      <c r="U211" s="408"/>
      <c r="V211" s="408">
        <v>4457.3367600000001</v>
      </c>
      <c r="W211" s="408">
        <v>4457.3367600000001</v>
      </c>
      <c r="X211" s="408">
        <v>2905.1845199999998</v>
      </c>
      <c r="Y211" s="408">
        <v>0</v>
      </c>
      <c r="Z211" s="408">
        <v>342.57120753291014</v>
      </c>
      <c r="AA211" s="408">
        <v>0</v>
      </c>
      <c r="AB211" s="408">
        <v>0</v>
      </c>
      <c r="AC211" s="408">
        <v>0</v>
      </c>
      <c r="AD211" s="408">
        <v>4.6454562296199624</v>
      </c>
      <c r="AE211" s="408">
        <v>2409.9204959832423</v>
      </c>
      <c r="AF211" s="408">
        <v>1207.2756826551906</v>
      </c>
      <c r="AG211" s="408">
        <v>17.845651570428739</v>
      </c>
      <c r="AH211" s="408">
        <v>0</v>
      </c>
      <c r="AI211" s="408">
        <v>0</v>
      </c>
      <c r="AJ211" s="408">
        <v>0</v>
      </c>
      <c r="AK211" s="408">
        <v>0</v>
      </c>
      <c r="AL211" s="408">
        <v>52.97977743823634</v>
      </c>
      <c r="AM211" s="408"/>
      <c r="AN211" s="408">
        <v>10.843189931388794</v>
      </c>
      <c r="AO211" s="408">
        <v>50.199355677929248</v>
      </c>
      <c r="AP211" s="408">
        <v>157.27879810979121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3.3633335028736164</v>
      </c>
      <c r="BE211" s="408">
        <v>0</v>
      </c>
      <c r="BF211" s="408">
        <v>0</v>
      </c>
      <c r="BG211" s="408">
        <v>200.40995816069361</v>
      </c>
      <c r="BH211" s="408">
        <v>0</v>
      </c>
      <c r="BI211" s="408">
        <v>19.91</v>
      </c>
      <c r="BJ211" s="408">
        <v>91.9</v>
      </c>
      <c r="BK211" s="408">
        <v>3135.48</v>
      </c>
      <c r="BL211" s="408">
        <v>18</v>
      </c>
      <c r="BM211" s="408"/>
      <c r="BN211" s="408"/>
      <c r="BO211" s="408"/>
      <c r="BP211" s="408"/>
      <c r="BQ211" s="408"/>
      <c r="BR211" s="408"/>
      <c r="BS211" s="408"/>
      <c r="BT211" s="408"/>
      <c r="BU211" s="408"/>
      <c r="BV211" s="408">
        <v>1411.0489743187579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2904.1565000000001</v>
      </c>
      <c r="CJ211" s="408">
        <v>-1553.2102600000007</v>
      </c>
      <c r="CK211" s="408"/>
      <c r="CL211" s="408"/>
      <c r="CM211" s="408"/>
      <c r="CN211" s="408"/>
      <c r="CO211" s="408">
        <v>-1736.577</v>
      </c>
      <c r="CP211" s="408">
        <v>184.42475999999999</v>
      </c>
      <c r="CQ211" s="408">
        <v>30</v>
      </c>
      <c r="CR211" s="408">
        <v>218.45152864444481</v>
      </c>
      <c r="CS211" s="408">
        <v>5.17814005080551</v>
      </c>
      <c r="CT211" s="408">
        <v>16.223547745512576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0.45420975892318616</v>
      </c>
      <c r="DA211" s="408">
        <v>0</v>
      </c>
      <c r="DB211" s="408">
        <v>0</v>
      </c>
      <c r="DC211" s="408">
        <v>184.44846179416641</v>
      </c>
      <c r="DD211" s="408">
        <v>0</v>
      </c>
      <c r="DE211" s="408">
        <v>0</v>
      </c>
      <c r="DF211" s="408">
        <v>0.51385255250189044</v>
      </c>
      <c r="DG211" s="408">
        <v>30.618779987082462</v>
      </c>
      <c r="DH211" s="408">
        <v>0</v>
      </c>
      <c r="DI211" s="408">
        <v>-16.367091592096699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-2.1467728526766408</v>
      </c>
      <c r="DP211" s="408">
        <v>-0.47159879977293073</v>
      </c>
      <c r="DQ211" s="408">
        <v>0</v>
      </c>
      <c r="DR211" s="408">
        <v>0</v>
      </c>
      <c r="DS211" s="408"/>
      <c r="DT211" s="408"/>
      <c r="DU211" s="408"/>
      <c r="DV211" s="408">
        <v>2409.9204959832423</v>
      </c>
      <c r="DW211" s="408">
        <v>0</v>
      </c>
      <c r="DX211" s="408">
        <v>0</v>
      </c>
      <c r="DY211" s="408">
        <v>-1736.577</v>
      </c>
      <c r="DZ211" s="234">
        <v>184.42475999999988</v>
      </c>
      <c r="EA211" s="408">
        <v>0</v>
      </c>
      <c r="EB211" s="408">
        <v>0</v>
      </c>
      <c r="EC211" s="408">
        <v>-1770.5922476164633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242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210</v>
      </c>
      <c r="B212" s="408" t="s">
        <v>1036</v>
      </c>
      <c r="C212" s="408" t="s">
        <v>2239</v>
      </c>
      <c r="D212" s="408" t="s">
        <v>597</v>
      </c>
      <c r="E212" s="408" t="s">
        <v>998</v>
      </c>
      <c r="F212" s="408" t="s">
        <v>1322</v>
      </c>
      <c r="G212" s="408" t="s">
        <v>1322</v>
      </c>
      <c r="H212" s="408" t="s">
        <v>1322</v>
      </c>
      <c r="I212" s="408" t="s">
        <v>973</v>
      </c>
      <c r="J212" s="408" t="s">
        <v>2232</v>
      </c>
      <c r="K212" s="828">
        <v>44501</v>
      </c>
      <c r="L212" s="408">
        <v>0</v>
      </c>
      <c r="M212" s="408">
        <v>0</v>
      </c>
      <c r="N212" s="408">
        <v>5.8559999999999999</v>
      </c>
      <c r="O212" s="408">
        <v>5.8559999999999999</v>
      </c>
      <c r="P212" s="408">
        <v>5.8559999999999999</v>
      </c>
      <c r="Q212" s="408">
        <v>5.8559999999999999</v>
      </c>
      <c r="R212" s="408"/>
      <c r="S212" s="408">
        <v>2592.54</v>
      </c>
      <c r="T212" s="408">
        <v>216.76</v>
      </c>
      <c r="U212" s="408"/>
      <c r="V212" s="408">
        <v>16451.2608</v>
      </c>
      <c r="W212" s="408">
        <v>16451.2608</v>
      </c>
      <c r="X212" s="408">
        <v>6917.1071999999986</v>
      </c>
      <c r="Y212" s="408">
        <v>0</v>
      </c>
      <c r="Z212" s="408">
        <v>308.79412286660795</v>
      </c>
      <c r="AA212" s="408">
        <v>0</v>
      </c>
      <c r="AB212" s="408">
        <v>0</v>
      </c>
      <c r="AC212" s="408">
        <v>0</v>
      </c>
      <c r="AD212" s="408">
        <v>29.611655772582655</v>
      </c>
      <c r="AE212" s="408">
        <v>13415.460649847388</v>
      </c>
      <c r="AF212" s="408">
        <v>1250.8503888232124</v>
      </c>
      <c r="AG212" s="408">
        <v>18.489762136665021</v>
      </c>
      <c r="AH212" s="408">
        <v>0</v>
      </c>
      <c r="AI212" s="408">
        <v>0</v>
      </c>
      <c r="AJ212" s="408">
        <v>0</v>
      </c>
      <c r="AK212" s="408">
        <v>0</v>
      </c>
      <c r="AL212" s="408">
        <v>54.891998704584566</v>
      </c>
      <c r="AM212" s="408"/>
      <c r="AN212" s="408">
        <v>8.0415891827124906</v>
      </c>
      <c r="AO212" s="408">
        <v>264.1926877431157</v>
      </c>
      <c r="AP212" s="408">
        <v>1002.5515845298874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2.6779411781522224</v>
      </c>
      <c r="BE212" s="408">
        <v>0</v>
      </c>
      <c r="BF212" s="408">
        <v>0</v>
      </c>
      <c r="BG212" s="408">
        <v>95.66453437923407</v>
      </c>
      <c r="BH212" s="408">
        <v>0</v>
      </c>
      <c r="BI212" s="408">
        <v>0</v>
      </c>
      <c r="BJ212" s="408">
        <v>0</v>
      </c>
      <c r="BK212" s="408">
        <v>0</v>
      </c>
      <c r="BL212" s="408">
        <v>0</v>
      </c>
      <c r="BM212" s="408"/>
      <c r="BN212" s="408"/>
      <c r="BO212" s="408"/>
      <c r="BP212" s="408"/>
      <c r="BQ212" s="408"/>
      <c r="BR212" s="408"/>
      <c r="BS212" s="408"/>
      <c r="BT212" s="408"/>
      <c r="BU212" s="408"/>
      <c r="BV212" s="408">
        <v>1349.1928643805986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6921.8320000000003</v>
      </c>
      <c r="CJ212" s="408">
        <v>-9529.4587999999985</v>
      </c>
      <c r="CK212" s="408"/>
      <c r="CL212" s="408"/>
      <c r="CM212" s="408"/>
      <c r="CN212" s="408"/>
      <c r="CO212" s="408">
        <v>-9725.23488</v>
      </c>
      <c r="CP212" s="408">
        <v>191.08127999999996</v>
      </c>
      <c r="CQ212" s="408">
        <v>30</v>
      </c>
      <c r="CR212" s="408">
        <v>322.36523218300727</v>
      </c>
      <c r="CS212" s="408">
        <v>27.251878416719194</v>
      </c>
      <c r="CT212" s="408">
        <v>103.41472400879616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2.8952814029380214</v>
      </c>
      <c r="DA212" s="408">
        <v>0</v>
      </c>
      <c r="DB212" s="408">
        <v>0</v>
      </c>
      <c r="DC212" s="408">
        <v>191.1058372729367</v>
      </c>
      <c r="DD212" s="408">
        <v>0</v>
      </c>
      <c r="DE212" s="408">
        <v>0</v>
      </c>
      <c r="DF212" s="408">
        <v>0.40913781183689979</v>
      </c>
      <c r="DG212" s="408">
        <v>14.615697531236506</v>
      </c>
      <c r="DH212" s="408">
        <v>0</v>
      </c>
      <c r="DI212" s="408">
        <v>-14.753317210913849</v>
      </c>
      <c r="DJ212" s="408"/>
      <c r="DK212" s="408">
        <v>0</v>
      </c>
      <c r="DL212" s="408">
        <v>0</v>
      </c>
      <c r="DM212" s="408">
        <v>0</v>
      </c>
      <c r="DN212" s="408">
        <v>0</v>
      </c>
      <c r="DO212" s="408">
        <v>-2.2242572231554121</v>
      </c>
      <c r="DP212" s="408">
        <v>-0.34974982738760207</v>
      </c>
      <c r="DQ212" s="408">
        <v>0</v>
      </c>
      <c r="DR212" s="408">
        <v>0</v>
      </c>
      <c r="DS212" s="408"/>
      <c r="DT212" s="408"/>
      <c r="DU212" s="408"/>
      <c r="DV212" s="408">
        <v>13415.460649847388</v>
      </c>
      <c r="DW212" s="408">
        <v>0</v>
      </c>
      <c r="DX212" s="408">
        <v>0</v>
      </c>
      <c r="DY212" s="408">
        <v>-9725.23488</v>
      </c>
      <c r="DZ212" s="234">
        <v>191.08127999999988</v>
      </c>
      <c r="EA212" s="408">
        <v>0</v>
      </c>
      <c r="EB212" s="408">
        <v>0</v>
      </c>
      <c r="EC212" s="408">
        <v>-9856.4706447430817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0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242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211</v>
      </c>
      <c r="B213" s="408" t="s">
        <v>1036</v>
      </c>
      <c r="C213" s="408" t="s">
        <v>2239</v>
      </c>
      <c r="D213" s="408" t="s">
        <v>597</v>
      </c>
      <c r="E213" s="408" t="s">
        <v>998</v>
      </c>
      <c r="F213" s="408" t="s">
        <v>1322</v>
      </c>
      <c r="G213" s="408" t="s">
        <v>1322</v>
      </c>
      <c r="H213" s="408" t="s">
        <v>1322</v>
      </c>
      <c r="I213" s="408" t="s">
        <v>2240</v>
      </c>
      <c r="J213" s="408" t="s">
        <v>2232</v>
      </c>
      <c r="K213" s="828">
        <v>44501</v>
      </c>
      <c r="L213" s="408">
        <v>0</v>
      </c>
      <c r="M213" s="408">
        <v>0</v>
      </c>
      <c r="N213" s="408">
        <v>81.64</v>
      </c>
      <c r="O213" s="408">
        <v>81.64</v>
      </c>
      <c r="P213" s="408">
        <v>81.64</v>
      </c>
      <c r="Q213" s="408">
        <v>81.64</v>
      </c>
      <c r="R213" s="408"/>
      <c r="S213" s="408">
        <v>80.27</v>
      </c>
      <c r="T213" s="408">
        <v>216.76</v>
      </c>
      <c r="U213" s="408"/>
      <c r="V213" s="408">
        <v>24249.529200000001</v>
      </c>
      <c r="W213" s="408">
        <v>24249.529200000001</v>
      </c>
      <c r="X213" s="408">
        <v>26881.602800000001</v>
      </c>
      <c r="Y213" s="408">
        <v>0</v>
      </c>
      <c r="Z213" s="408">
        <v>4304.9781746635717</v>
      </c>
      <c r="AA213" s="408">
        <v>0</v>
      </c>
      <c r="AB213" s="408">
        <v>0</v>
      </c>
      <c r="AC213" s="408">
        <v>0</v>
      </c>
      <c r="AD213" s="408">
        <v>0</v>
      </c>
      <c r="AE213" s="408">
        <v>0</v>
      </c>
      <c r="AF213" s="408">
        <v>17438.426527241645</v>
      </c>
      <c r="AG213" s="408">
        <v>257.77052268397068</v>
      </c>
      <c r="AH213" s="408">
        <v>0</v>
      </c>
      <c r="AI213" s="408">
        <v>0</v>
      </c>
      <c r="AJ213" s="408">
        <v>0</v>
      </c>
      <c r="AK213" s="408">
        <v>0</v>
      </c>
      <c r="AL213" s="408">
        <v>765.26345188563596</v>
      </c>
      <c r="AM213" s="408"/>
      <c r="AN213" s="408">
        <v>112.10986012237838</v>
      </c>
      <c r="AO213" s="408">
        <v>0</v>
      </c>
      <c r="AP213" s="408">
        <v>0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37.33386574186261</v>
      </c>
      <c r="BE213" s="408">
        <v>0</v>
      </c>
      <c r="BF213" s="408">
        <v>0</v>
      </c>
      <c r="BG213" s="408">
        <v>1333.6838433607702</v>
      </c>
      <c r="BH213" s="408">
        <v>0</v>
      </c>
      <c r="BI213" s="408">
        <v>0</v>
      </c>
      <c r="BJ213" s="408">
        <v>0</v>
      </c>
      <c r="BK213" s="408">
        <v>0</v>
      </c>
      <c r="BL213" s="408">
        <v>0</v>
      </c>
      <c r="BM213" s="408"/>
      <c r="BN213" s="408"/>
      <c r="BO213" s="408"/>
      <c r="BP213" s="408"/>
      <c r="BQ213" s="408"/>
      <c r="BR213" s="408"/>
      <c r="BS213" s="408"/>
      <c r="BT213" s="408"/>
      <c r="BU213" s="408"/>
      <c r="BV213" s="408">
        <v>18809.444236344279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26881.602800000001</v>
      </c>
      <c r="CJ213" s="408">
        <v>2632.0436000000009</v>
      </c>
      <c r="CK213" s="408"/>
      <c r="CL213" s="408"/>
      <c r="CM213" s="408"/>
      <c r="CN213" s="408"/>
      <c r="CO213" s="408">
        <v>-31.839600000000047</v>
      </c>
      <c r="CP213" s="408">
        <v>2663.9131999999995</v>
      </c>
      <c r="CQ213" s="408">
        <v>30</v>
      </c>
      <c r="CR213" s="408">
        <v>2632.1559698882738</v>
      </c>
      <c r="CS213" s="408">
        <v>0</v>
      </c>
      <c r="CT213" s="408">
        <v>0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0</v>
      </c>
      <c r="DA213" s="408">
        <v>0</v>
      </c>
      <c r="DB213" s="408">
        <v>0</v>
      </c>
      <c r="DC213" s="408">
        <v>2664.255559249068</v>
      </c>
      <c r="DD213" s="408">
        <v>0</v>
      </c>
      <c r="DE213" s="408">
        <v>0</v>
      </c>
      <c r="DF213" s="408">
        <v>5.7038953139283635</v>
      </c>
      <c r="DG213" s="408">
        <v>203.76119304135045</v>
      </c>
      <c r="DH213" s="408">
        <v>0</v>
      </c>
      <c r="DI213" s="408">
        <v>-205.67978434067754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-31.008941205329165</v>
      </c>
      <c r="DP213" s="408">
        <v>-4.8759521700689561</v>
      </c>
      <c r="DQ213" s="408">
        <v>0</v>
      </c>
      <c r="DR213" s="408">
        <v>0</v>
      </c>
      <c r="DS213" s="408"/>
      <c r="DT213" s="408"/>
      <c r="DU213" s="408"/>
      <c r="DV213" s="408">
        <v>0</v>
      </c>
      <c r="DW213" s="408">
        <v>0</v>
      </c>
      <c r="DX213" s="408">
        <v>0</v>
      </c>
      <c r="DY213" s="408">
        <v>-31.839600000000246</v>
      </c>
      <c r="DZ213" s="234">
        <v>2663.9131999999991</v>
      </c>
      <c r="EA213" s="408">
        <v>0</v>
      </c>
      <c r="EB213" s="408">
        <v>0</v>
      </c>
      <c r="EC213" s="408">
        <v>0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242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212</v>
      </c>
      <c r="B214" s="408" t="s">
        <v>1036</v>
      </c>
      <c r="C214" s="408" t="s">
        <v>2239</v>
      </c>
      <c r="D214" s="408" t="s">
        <v>597</v>
      </c>
      <c r="E214" s="408" t="s">
        <v>998</v>
      </c>
      <c r="F214" s="408" t="s">
        <v>1322</v>
      </c>
      <c r="G214" s="408" t="s">
        <v>1322</v>
      </c>
      <c r="H214" s="408" t="s">
        <v>1322</v>
      </c>
      <c r="I214" s="408" t="s">
        <v>1322</v>
      </c>
      <c r="J214" s="408" t="s">
        <v>2232</v>
      </c>
      <c r="K214" s="828">
        <v>44501</v>
      </c>
      <c r="L214" s="408">
        <v>897</v>
      </c>
      <c r="M214" s="408">
        <v>897</v>
      </c>
      <c r="N214" s="408">
        <v>0</v>
      </c>
      <c r="O214" s="408">
        <v>0</v>
      </c>
      <c r="P214" s="408">
        <v>0</v>
      </c>
      <c r="Q214" s="408">
        <v>0</v>
      </c>
      <c r="R214" s="408">
        <v>32.17</v>
      </c>
      <c r="S214" s="408"/>
      <c r="T214" s="408"/>
      <c r="U214" s="408">
        <v>28856.49</v>
      </c>
      <c r="V214" s="408"/>
      <c r="W214" s="408">
        <v>28856.49</v>
      </c>
      <c r="X214" s="408">
        <v>11598.21</v>
      </c>
      <c r="Y214" s="408">
        <v>0</v>
      </c>
      <c r="Z214" s="408">
        <v>0</v>
      </c>
      <c r="AA214" s="408">
        <v>0</v>
      </c>
      <c r="AB214" s="408">
        <v>0</v>
      </c>
      <c r="AC214" s="408">
        <v>0</v>
      </c>
      <c r="AD214" s="408">
        <v>89.624853942754044</v>
      </c>
      <c r="AE214" s="408">
        <v>24153.281679358221</v>
      </c>
      <c r="AF214" s="408"/>
      <c r="AG214" s="408"/>
      <c r="AH214" s="408"/>
      <c r="AI214" s="408">
        <v>0</v>
      </c>
      <c r="AJ214" s="408">
        <v>0</v>
      </c>
      <c r="AK214" s="408">
        <v>0</v>
      </c>
      <c r="AL214" s="408">
        <v>0</v>
      </c>
      <c r="AM214" s="408"/>
      <c r="AN214" s="408">
        <v>0</v>
      </c>
      <c r="AO214" s="408">
        <v>1582.6857324531159</v>
      </c>
      <c r="AP214" s="408">
        <v>3034.4300534047752</v>
      </c>
      <c r="AQ214" s="408">
        <v>0</v>
      </c>
      <c r="AR214" s="408">
        <v>0</v>
      </c>
      <c r="AS214" s="408"/>
      <c r="AT214" s="408"/>
      <c r="AU214" s="408">
        <v>0</v>
      </c>
      <c r="AV214" s="408">
        <v>0</v>
      </c>
      <c r="AW214" s="408">
        <v>0</v>
      </c>
      <c r="AX214" s="408"/>
      <c r="AY214" s="408"/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/>
      <c r="BG214" s="408">
        <v>0</v>
      </c>
      <c r="BH214" s="408">
        <v>0</v>
      </c>
      <c r="BI214" s="408">
        <v>313.89999999999998</v>
      </c>
      <c r="BJ214" s="408">
        <v>1441.86</v>
      </c>
      <c r="BK214" s="408">
        <v>24449.62</v>
      </c>
      <c r="BL214" s="408">
        <v>8</v>
      </c>
      <c r="BM214" s="408"/>
      <c r="BN214" s="408"/>
      <c r="BO214" s="408"/>
      <c r="BP214" s="408"/>
      <c r="BQ214" s="408"/>
      <c r="BR214" s="408"/>
      <c r="BS214" s="408"/>
      <c r="BT214" s="408"/>
      <c r="BU214" s="408"/>
      <c r="BV214" s="408">
        <v>0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11598.21</v>
      </c>
      <c r="CJ214" s="408">
        <v>-17258.309999999998</v>
      </c>
      <c r="CK214" s="408"/>
      <c r="CL214" s="408"/>
      <c r="CM214" s="408"/>
      <c r="CN214" s="408"/>
      <c r="CO214" s="408">
        <v>-17258.280000000002</v>
      </c>
      <c r="CP214" s="408">
        <v>0</v>
      </c>
      <c r="CQ214" s="408">
        <v>30</v>
      </c>
      <c r="CR214" s="408">
        <v>485.02560602643371</v>
      </c>
      <c r="CS214" s="408">
        <v>163.25644559333091</v>
      </c>
      <c r="CT214" s="408">
        <v>313.00608501258648</v>
      </c>
      <c r="CU214" s="408">
        <v>0</v>
      </c>
      <c r="CV214" s="408">
        <v>0</v>
      </c>
      <c r="CW214" s="408"/>
      <c r="CX214" s="408"/>
      <c r="CY214" s="408"/>
      <c r="CZ214" s="408">
        <v>8.7630754205160031</v>
      </c>
      <c r="DA214" s="408">
        <v>0</v>
      </c>
      <c r="DB214" s="408">
        <v>0</v>
      </c>
      <c r="DC214" s="408"/>
      <c r="DD214" s="408"/>
      <c r="DE214" s="408">
        <v>0</v>
      </c>
      <c r="DF214" s="408">
        <v>0</v>
      </c>
      <c r="DG214" s="408">
        <v>0</v>
      </c>
      <c r="DH214" s="408">
        <v>0</v>
      </c>
      <c r="DI214" s="408">
        <v>0</v>
      </c>
      <c r="DJ214" s="408"/>
      <c r="DK214" s="408">
        <v>0</v>
      </c>
      <c r="DL214" s="408">
        <v>0</v>
      </c>
      <c r="DM214" s="408"/>
      <c r="DN214" s="408">
        <v>0</v>
      </c>
      <c r="DO214" s="408">
        <v>0</v>
      </c>
      <c r="DP214" s="408">
        <v>0</v>
      </c>
      <c r="DQ214" s="408">
        <v>0</v>
      </c>
      <c r="DR214" s="408">
        <v>0</v>
      </c>
      <c r="DS214" s="408"/>
      <c r="DT214" s="408"/>
      <c r="DU214" s="408">
        <v>24153.281679358221</v>
      </c>
      <c r="DV214" s="408"/>
      <c r="DW214" s="408">
        <v>0</v>
      </c>
      <c r="DX214" s="408">
        <v>0</v>
      </c>
      <c r="DY214" s="408">
        <v>-17258.280000000002</v>
      </c>
      <c r="DZ214" s="234"/>
      <c r="EA214" s="408">
        <v>0</v>
      </c>
      <c r="EB214" s="408"/>
      <c r="EC214" s="408">
        <v>-17745.653172894446</v>
      </c>
      <c r="ED214" s="408"/>
      <c r="EE214" s="408">
        <v>0</v>
      </c>
      <c r="EF214" s="408">
        <v>0</v>
      </c>
      <c r="EG214" s="408"/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/>
      <c r="EN214" s="408"/>
      <c r="EO214" s="408">
        <v>0</v>
      </c>
      <c r="EP214" s="408">
        <v>0</v>
      </c>
      <c r="EQ214" s="408"/>
      <c r="ER214" s="408">
        <v>0</v>
      </c>
      <c r="ES214" s="408"/>
      <c r="ET214" s="408">
        <v>0</v>
      </c>
      <c r="EU214" s="408"/>
      <c r="EV214" s="408">
        <v>242</v>
      </c>
      <c r="EW214" s="408"/>
      <c r="EX214" s="408"/>
      <c r="EY214" s="408"/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213</v>
      </c>
      <c r="B215" s="408" t="s">
        <v>1036</v>
      </c>
      <c r="C215" s="408" t="s">
        <v>2231</v>
      </c>
      <c r="D215" s="408" t="s">
        <v>2241</v>
      </c>
      <c r="E215" s="408" t="s">
        <v>974</v>
      </c>
      <c r="F215" s="408" t="s">
        <v>1322</v>
      </c>
      <c r="G215" s="408" t="s">
        <v>1322</v>
      </c>
      <c r="H215" s="408" t="s">
        <v>1322</v>
      </c>
      <c r="I215" s="408" t="s">
        <v>1322</v>
      </c>
      <c r="J215" s="408" t="s">
        <v>2232</v>
      </c>
      <c r="K215" s="828">
        <v>44501</v>
      </c>
      <c r="L215" s="408">
        <v>0</v>
      </c>
      <c r="M215" s="408">
        <v>0</v>
      </c>
      <c r="N215" s="408">
        <v>3702.933</v>
      </c>
      <c r="O215" s="408">
        <v>3702.933</v>
      </c>
      <c r="P215" s="408">
        <v>3702.933</v>
      </c>
      <c r="Q215" s="408">
        <v>3702.933</v>
      </c>
      <c r="R215" s="408"/>
      <c r="S215" s="408">
        <v>571.87</v>
      </c>
      <c r="T215" s="408">
        <v>216.76</v>
      </c>
      <c r="U215" s="408"/>
      <c r="V215" s="408">
        <v>2920244.0517899999</v>
      </c>
      <c r="W215" s="408">
        <v>2920244.0517899999</v>
      </c>
      <c r="X215" s="408">
        <v>1903344.59133</v>
      </c>
      <c r="Y215" s="408">
        <v>0</v>
      </c>
      <c r="Z215" s="408">
        <v>224437.05400273559</v>
      </c>
      <c r="AA215" s="408">
        <v>0</v>
      </c>
      <c r="AB215" s="408">
        <v>0</v>
      </c>
      <c r="AC215" s="408">
        <v>0</v>
      </c>
      <c r="AD215" s="408">
        <v>3043.4913610607455</v>
      </c>
      <c r="AE215" s="408">
        <v>1578870.1578118745</v>
      </c>
      <c r="AF215" s="408">
        <v>790952.04624936893</v>
      </c>
      <c r="AG215" s="408">
        <v>11691.658192965748</v>
      </c>
      <c r="AH215" s="408">
        <v>0</v>
      </c>
      <c r="AI215" s="408">
        <v>0</v>
      </c>
      <c r="AJ215" s="408">
        <v>0</v>
      </c>
      <c r="AK215" s="408">
        <v>0</v>
      </c>
      <c r="AL215" s="408">
        <v>34709.937404228731</v>
      </c>
      <c r="AM215" s="408"/>
      <c r="AN215" s="408">
        <v>7103.9642289821841</v>
      </c>
      <c r="AO215" s="408">
        <v>32888.331691178624</v>
      </c>
      <c r="AP215" s="408">
        <v>103041.90582467862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2203.5029401621209</v>
      </c>
      <c r="BE215" s="408">
        <v>0</v>
      </c>
      <c r="BF215" s="408">
        <v>0</v>
      </c>
      <c r="BG215" s="408">
        <v>131299.47763656257</v>
      </c>
      <c r="BH215" s="408">
        <v>0</v>
      </c>
      <c r="BI215" s="408">
        <v>11924.22</v>
      </c>
      <c r="BJ215" s="408">
        <v>55004.33</v>
      </c>
      <c r="BK215" s="408">
        <v>140877.44</v>
      </c>
      <c r="BL215" s="408">
        <v>10516</v>
      </c>
      <c r="BM215" s="408"/>
      <c r="BN215" s="408"/>
      <c r="BO215" s="408"/>
      <c r="BP215" s="408"/>
      <c r="BQ215" s="408"/>
      <c r="BR215" s="408">
        <v>228396.90743999992</v>
      </c>
      <c r="BS215" s="408"/>
      <c r="BT215" s="408"/>
      <c r="BU215" s="408"/>
      <c r="BV215" s="408">
        <v>924455.02682609356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1674946.3269</v>
      </c>
      <c r="CJ215" s="408">
        <v>-894889.20509999967</v>
      </c>
      <c r="CK215" s="408"/>
      <c r="CL215" s="408"/>
      <c r="CM215" s="408"/>
      <c r="CN215" s="408"/>
      <c r="CO215" s="408">
        <v>-1137726.1642499999</v>
      </c>
      <c r="CP215" s="408">
        <v>120826.70378999999</v>
      </c>
      <c r="CQ215" s="408">
        <v>30</v>
      </c>
      <c r="CR215" s="408">
        <v>143119.49297911557</v>
      </c>
      <c r="CS215" s="408">
        <v>3392.4815415338599</v>
      </c>
      <c r="CT215" s="408">
        <v>10628.929639761875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297.57754869757855</v>
      </c>
      <c r="DA215" s="408">
        <v>0</v>
      </c>
      <c r="DB215" s="408">
        <v>0</v>
      </c>
      <c r="DC215" s="408">
        <v>120842.2321261249</v>
      </c>
      <c r="DD215" s="408">
        <v>0</v>
      </c>
      <c r="DE215" s="408">
        <v>0</v>
      </c>
      <c r="DF215" s="408">
        <v>336.65279083394944</v>
      </c>
      <c r="DG215" s="408">
        <v>20060.03022539051</v>
      </c>
      <c r="DH215" s="408">
        <v>0</v>
      </c>
      <c r="DI215" s="408">
        <v>-10722.973030855879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-1406.4678060298029</v>
      </c>
      <c r="DP215" s="408">
        <v>-308.97005634104426</v>
      </c>
      <c r="DQ215" s="408">
        <v>0</v>
      </c>
      <c r="DR215" s="408">
        <v>0</v>
      </c>
      <c r="DS215" s="408"/>
      <c r="DT215" s="408"/>
      <c r="DU215" s="408"/>
      <c r="DV215" s="408">
        <v>1578870.1578118745</v>
      </c>
      <c r="DW215" s="408">
        <v>0</v>
      </c>
      <c r="DX215" s="408">
        <v>0</v>
      </c>
      <c r="DY215" s="408">
        <v>-1137726.1642499999</v>
      </c>
      <c r="DZ215" s="234">
        <v>120826.70378999994</v>
      </c>
      <c r="EA215" s="408">
        <v>0</v>
      </c>
      <c r="EB215" s="408">
        <v>0</v>
      </c>
      <c r="EC215" s="408">
        <v>-1160011.4053862656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242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214</v>
      </c>
      <c r="B216" s="408" t="s">
        <v>2233</v>
      </c>
      <c r="C216" s="408" t="s">
        <v>2231</v>
      </c>
      <c r="D216" s="408" t="s">
        <v>2241</v>
      </c>
      <c r="E216" s="408" t="s">
        <v>974</v>
      </c>
      <c r="F216" s="408" t="s">
        <v>1322</v>
      </c>
      <c r="G216" s="408" t="s">
        <v>1322</v>
      </c>
      <c r="H216" s="408" t="s">
        <v>1322</v>
      </c>
      <c r="I216" s="408" t="s">
        <v>1322</v>
      </c>
      <c r="J216" s="408" t="s">
        <v>2232</v>
      </c>
      <c r="K216" s="828">
        <v>44501</v>
      </c>
      <c r="L216" s="408">
        <v>0</v>
      </c>
      <c r="M216" s="408">
        <v>0</v>
      </c>
      <c r="N216" s="408">
        <v>-4.4530000000000003</v>
      </c>
      <c r="O216" s="408">
        <v>-4.4530000000000003</v>
      </c>
      <c r="P216" s="408">
        <v>-4.4530000000000003</v>
      </c>
      <c r="Q216" s="408">
        <v>-4.4530000000000003</v>
      </c>
      <c r="R216" s="408"/>
      <c r="S216" s="408">
        <v>571.87</v>
      </c>
      <c r="T216" s="408">
        <v>216.76</v>
      </c>
      <c r="U216" s="408"/>
      <c r="V216" s="408">
        <v>-3511.7693900000004</v>
      </c>
      <c r="W216" s="408">
        <v>-3511.7693900000004</v>
      </c>
      <c r="X216" s="408">
        <v>-2288.8865300000002</v>
      </c>
      <c r="Y216" s="408">
        <v>0</v>
      </c>
      <c r="Z216" s="408">
        <v>-269.89907769710703</v>
      </c>
      <c r="AA216" s="408">
        <v>0</v>
      </c>
      <c r="AB216" s="408">
        <v>0</v>
      </c>
      <c r="AC216" s="408">
        <v>0</v>
      </c>
      <c r="AD216" s="408">
        <v>-3.659981703909712</v>
      </c>
      <c r="AE216" s="408">
        <v>-1898.6864771078165</v>
      </c>
      <c r="AF216" s="408">
        <v>-951.1674831676512</v>
      </c>
      <c r="AG216" s="408">
        <v>-14.05992329142236</v>
      </c>
      <c r="AH216" s="408">
        <v>0</v>
      </c>
      <c r="AI216" s="408">
        <v>0</v>
      </c>
      <c r="AJ216" s="408">
        <v>0</v>
      </c>
      <c r="AK216" s="408">
        <v>0</v>
      </c>
      <c r="AL216" s="408">
        <v>-41.740790681611188</v>
      </c>
      <c r="AM216" s="408"/>
      <c r="AN216" s="408">
        <v>-8.5429449335587933</v>
      </c>
      <c r="AO216" s="408">
        <v>-39.550200076754948</v>
      </c>
      <c r="AP216" s="408">
        <v>-123.91409907694627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-2.6498450262378297</v>
      </c>
      <c r="BE216" s="408">
        <v>0</v>
      </c>
      <c r="BF216" s="408">
        <v>0</v>
      </c>
      <c r="BG216" s="408">
        <v>-157.89553143835255</v>
      </c>
      <c r="BH216" s="408">
        <v>0</v>
      </c>
      <c r="BI216" s="408">
        <v>-16.5</v>
      </c>
      <c r="BJ216" s="408">
        <v>-75.81</v>
      </c>
      <c r="BK216" s="408">
        <v>-1062.71</v>
      </c>
      <c r="BL216" s="408">
        <v>0</v>
      </c>
      <c r="BM216" s="408"/>
      <c r="BN216" s="408"/>
      <c r="BO216" s="408"/>
      <c r="BP216" s="408"/>
      <c r="BQ216" s="408"/>
      <c r="BR216" s="408">
        <v>-274.66103999999996</v>
      </c>
      <c r="BS216" s="408"/>
      <c r="BT216" s="408"/>
      <c r="BU216" s="408"/>
      <c r="BV216" s="408">
        <v>-1111.7128596322416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-2012.8685</v>
      </c>
      <c r="CJ216" s="408">
        <v>1077.4834999999998</v>
      </c>
      <c r="CK216" s="408"/>
      <c r="CL216" s="408"/>
      <c r="CM216" s="408"/>
      <c r="CN216" s="408"/>
      <c r="CO216" s="408">
        <v>1368.18425</v>
      </c>
      <c r="CP216" s="408">
        <v>-145.30139</v>
      </c>
      <c r="CQ216" s="408">
        <v>30</v>
      </c>
      <c r="CR216" s="408">
        <v>-172.10981193448629</v>
      </c>
      <c r="CS216" s="408">
        <v>-4.079663419362511</v>
      </c>
      <c r="CT216" s="408">
        <v>-12.781928186618458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-0.35785492860667922</v>
      </c>
      <c r="DA216" s="408">
        <v>0</v>
      </c>
      <c r="DB216" s="408">
        <v>0</v>
      </c>
      <c r="DC216" s="408">
        <v>-145.32006375962897</v>
      </c>
      <c r="DD216" s="408">
        <v>0</v>
      </c>
      <c r="DE216" s="408">
        <v>0</v>
      </c>
      <c r="DF216" s="408">
        <v>-0.40484526119796849</v>
      </c>
      <c r="DG216" s="408">
        <v>-24.123394777508537</v>
      </c>
      <c r="DH216" s="408">
        <v>0</v>
      </c>
      <c r="DI216" s="408">
        <v>12.895021029654401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1.6913622634410999</v>
      </c>
      <c r="DP216" s="408">
        <v>0.37155510534127068</v>
      </c>
      <c r="DQ216" s="408">
        <v>0</v>
      </c>
      <c r="DR216" s="408">
        <v>0</v>
      </c>
      <c r="DS216" s="408"/>
      <c r="DT216" s="408"/>
      <c r="DU216" s="408"/>
      <c r="DV216" s="408">
        <v>-1898.6864771078165</v>
      </c>
      <c r="DW216" s="408">
        <v>0</v>
      </c>
      <c r="DX216" s="408">
        <v>0</v>
      </c>
      <c r="DY216" s="408">
        <v>1368.18425</v>
      </c>
      <c r="DZ216" s="234">
        <v>-145.30138999999997</v>
      </c>
      <c r="EA216" s="408">
        <v>0</v>
      </c>
      <c r="EB216" s="408">
        <v>0</v>
      </c>
      <c r="EC216" s="408">
        <v>1394.9835949462336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242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215</v>
      </c>
      <c r="B217" s="408" t="s">
        <v>2234</v>
      </c>
      <c r="C217" s="408" t="s">
        <v>2231</v>
      </c>
      <c r="D217" s="408" t="s">
        <v>2241</v>
      </c>
      <c r="E217" s="408" t="s">
        <v>974</v>
      </c>
      <c r="F217" s="408" t="s">
        <v>1322</v>
      </c>
      <c r="G217" s="408" t="s">
        <v>1322</v>
      </c>
      <c r="H217" s="408" t="s">
        <v>1322</v>
      </c>
      <c r="I217" s="408" t="s">
        <v>1322</v>
      </c>
      <c r="J217" s="408" t="s">
        <v>2232</v>
      </c>
      <c r="K217" s="828">
        <v>44501</v>
      </c>
      <c r="L217" s="408">
        <v>0</v>
      </c>
      <c r="M217" s="408">
        <v>0</v>
      </c>
      <c r="N217" s="408">
        <v>47.308999999999997</v>
      </c>
      <c r="O217" s="408">
        <v>47.308999999999997</v>
      </c>
      <c r="P217" s="408">
        <v>47.308999999999997</v>
      </c>
      <c r="Q217" s="408">
        <v>47.308999999999997</v>
      </c>
      <c r="R217" s="408"/>
      <c r="S217" s="408">
        <v>571.87</v>
      </c>
      <c r="T217" s="408">
        <v>216.76</v>
      </c>
      <c r="U217" s="408"/>
      <c r="V217" s="408">
        <v>37309.296669999996</v>
      </c>
      <c r="W217" s="408">
        <v>37309.296669999996</v>
      </c>
      <c r="X217" s="408">
        <v>24317.29909</v>
      </c>
      <c r="Y217" s="408">
        <v>0</v>
      </c>
      <c r="Z217" s="408">
        <v>2867.4276817364553</v>
      </c>
      <c r="AA217" s="408">
        <v>0</v>
      </c>
      <c r="AB217" s="408">
        <v>0</v>
      </c>
      <c r="AC217" s="408">
        <v>0</v>
      </c>
      <c r="AD217" s="408">
        <v>38.883915210030217</v>
      </c>
      <c r="AE217" s="408">
        <v>20171.784986636801</v>
      </c>
      <c r="AF217" s="408">
        <v>10105.273402465395</v>
      </c>
      <c r="AG217" s="408">
        <v>149.3736606768247</v>
      </c>
      <c r="AH217" s="408">
        <v>0</v>
      </c>
      <c r="AI217" s="408">
        <v>0</v>
      </c>
      <c r="AJ217" s="408">
        <v>0</v>
      </c>
      <c r="AK217" s="408">
        <v>0</v>
      </c>
      <c r="AL217" s="408">
        <v>443.45723475327719</v>
      </c>
      <c r="AM217" s="408"/>
      <c r="AN217" s="408">
        <v>90.760876232143033</v>
      </c>
      <c r="AO217" s="408">
        <v>420.18423881230621</v>
      </c>
      <c r="AP217" s="408">
        <v>1316.4725158839549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28.152148741586679</v>
      </c>
      <c r="BE217" s="408">
        <v>0</v>
      </c>
      <c r="BF217" s="408">
        <v>0</v>
      </c>
      <c r="BG217" s="408">
        <v>1677.4937563029464</v>
      </c>
      <c r="BH217" s="408">
        <v>0</v>
      </c>
      <c r="BI217" s="408">
        <v>162.03</v>
      </c>
      <c r="BJ217" s="408">
        <v>745.7</v>
      </c>
      <c r="BK217" s="408">
        <v>1402.07</v>
      </c>
      <c r="BL217" s="408">
        <v>164</v>
      </c>
      <c r="BM217" s="408"/>
      <c r="BN217" s="408"/>
      <c r="BO217" s="408"/>
      <c r="BP217" s="408"/>
      <c r="BQ217" s="408"/>
      <c r="BR217" s="408">
        <v>2918.019119999999</v>
      </c>
      <c r="BS217" s="408"/>
      <c r="BT217" s="408"/>
      <c r="BU217" s="408"/>
      <c r="BV217" s="408">
        <v>11810.919307509928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21399.732300000003</v>
      </c>
      <c r="CJ217" s="408">
        <v>-11432.743699999992</v>
      </c>
      <c r="CK217" s="408"/>
      <c r="CL217" s="408"/>
      <c r="CM217" s="408"/>
      <c r="CN217" s="408"/>
      <c r="CO217" s="408">
        <v>-14535.69025</v>
      </c>
      <c r="CP217" s="408">
        <v>1543.6926699999997</v>
      </c>
      <c r="CQ217" s="408">
        <v>30</v>
      </c>
      <c r="CR217" s="408">
        <v>1828.5073192922973</v>
      </c>
      <c r="CS217" s="408">
        <v>43.342644668003857</v>
      </c>
      <c r="CT217" s="408">
        <v>135.79614654855868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3.8018771204701025</v>
      </c>
      <c r="DA217" s="408">
        <v>0</v>
      </c>
      <c r="DB217" s="408">
        <v>0</v>
      </c>
      <c r="DC217" s="408">
        <v>1543.8910613977732</v>
      </c>
      <c r="DD217" s="408">
        <v>0</v>
      </c>
      <c r="DE217" s="408">
        <v>0</v>
      </c>
      <c r="DF217" s="408">
        <v>4.3011058751436551</v>
      </c>
      <c r="DG217" s="408">
        <v>256.28872300227954</v>
      </c>
      <c r="DH217" s="408">
        <v>0</v>
      </c>
      <c r="DI217" s="408">
        <v>-136.99765324318878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-17.969157269511527</v>
      </c>
      <c r="DP217" s="408">
        <v>-3.9474288072288743</v>
      </c>
      <c r="DQ217" s="408">
        <v>0</v>
      </c>
      <c r="DR217" s="408">
        <v>0</v>
      </c>
      <c r="DS217" s="408"/>
      <c r="DT217" s="408"/>
      <c r="DU217" s="408"/>
      <c r="DV217" s="408">
        <v>20171.784986636801</v>
      </c>
      <c r="DW217" s="408">
        <v>0</v>
      </c>
      <c r="DX217" s="408">
        <v>0</v>
      </c>
      <c r="DY217" s="408">
        <v>-14535.69025</v>
      </c>
      <c r="DZ217" s="234">
        <v>1543.6926700000004</v>
      </c>
      <c r="EA217" s="408">
        <v>0</v>
      </c>
      <c r="EB217" s="408">
        <v>0</v>
      </c>
      <c r="EC217" s="408">
        <v>-14820.408464700507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242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216</v>
      </c>
      <c r="B218" s="408" t="s">
        <v>1036</v>
      </c>
      <c r="C218" s="408" t="s">
        <v>2231</v>
      </c>
      <c r="D218" s="408" t="s">
        <v>1955</v>
      </c>
      <c r="E218" s="408" t="s">
        <v>2242</v>
      </c>
      <c r="F218" s="408" t="s">
        <v>1322</v>
      </c>
      <c r="G218" s="408" t="s">
        <v>1322</v>
      </c>
      <c r="H218" s="408" t="s">
        <v>1322</v>
      </c>
      <c r="I218" s="408" t="s">
        <v>1322</v>
      </c>
      <c r="J218" s="408" t="s">
        <v>2232</v>
      </c>
      <c r="K218" s="828">
        <v>44501</v>
      </c>
      <c r="L218" s="408">
        <v>0</v>
      </c>
      <c r="M218" s="408">
        <v>0</v>
      </c>
      <c r="N218" s="408">
        <v>37.689</v>
      </c>
      <c r="O218" s="408">
        <v>37.689</v>
      </c>
      <c r="P218" s="408">
        <v>37.689</v>
      </c>
      <c r="Q218" s="408">
        <v>37.689</v>
      </c>
      <c r="R218" s="408"/>
      <c r="S218" s="408">
        <v>571.87</v>
      </c>
      <c r="T218" s="408">
        <v>216.76</v>
      </c>
      <c r="U218" s="408"/>
      <c r="V218" s="408">
        <v>29722.676069999998</v>
      </c>
      <c r="W218" s="408">
        <v>29722.676069999998</v>
      </c>
      <c r="X218" s="408">
        <v>19372.52289</v>
      </c>
      <c r="Y218" s="408">
        <v>0</v>
      </c>
      <c r="Z218" s="408">
        <v>2284.3535457727971</v>
      </c>
      <c r="AA218" s="408">
        <v>0</v>
      </c>
      <c r="AB218" s="408">
        <v>0</v>
      </c>
      <c r="AC218" s="408">
        <v>0</v>
      </c>
      <c r="AD218" s="408">
        <v>30.977105420761987</v>
      </c>
      <c r="AE218" s="408">
        <v>16069.974092907363</v>
      </c>
      <c r="AF218" s="408">
        <v>8050.4269645420172</v>
      </c>
      <c r="AG218" s="408">
        <v>118.999427112153</v>
      </c>
      <c r="AH218" s="408">
        <v>0</v>
      </c>
      <c r="AI218" s="408">
        <v>0</v>
      </c>
      <c r="AJ218" s="408">
        <v>0</v>
      </c>
      <c r="AK218" s="408">
        <v>0</v>
      </c>
      <c r="AL218" s="408">
        <v>353.28287895783603</v>
      </c>
      <c r="AM218" s="408"/>
      <c r="AN218" s="408">
        <v>72.305199101930697</v>
      </c>
      <c r="AO218" s="408">
        <v>334.74230646593691</v>
      </c>
      <c r="AP218" s="408">
        <v>1048.7757646779762</v>
      </c>
      <c r="AQ218" s="408">
        <v>0</v>
      </c>
      <c r="AR218" s="408">
        <v>0</v>
      </c>
      <c r="AS218" s="408">
        <v>0</v>
      </c>
      <c r="AT218" s="408">
        <v>0</v>
      </c>
      <c r="AU218" s="408">
        <v>0</v>
      </c>
      <c r="AV218" s="408">
        <v>0</v>
      </c>
      <c r="AW218" s="408">
        <v>0</v>
      </c>
      <c r="AX218" s="408">
        <v>0</v>
      </c>
      <c r="AY218" s="408">
        <v>0</v>
      </c>
      <c r="AZ218" s="408">
        <v>0</v>
      </c>
      <c r="BA218" s="408"/>
      <c r="BB218" s="408">
        <v>0</v>
      </c>
      <c r="BC218" s="408">
        <v>0</v>
      </c>
      <c r="BD218" s="408">
        <v>22.427578979087709</v>
      </c>
      <c r="BE218" s="408">
        <v>0</v>
      </c>
      <c r="BF218" s="408">
        <v>0</v>
      </c>
      <c r="BG218" s="408">
        <v>1336.3855118751558</v>
      </c>
      <c r="BH218" s="408">
        <v>0</v>
      </c>
      <c r="BI218" s="408">
        <v>132.86000000000001</v>
      </c>
      <c r="BJ218" s="408">
        <v>613.03</v>
      </c>
      <c r="BK218" s="408">
        <v>9865.98</v>
      </c>
      <c r="BL218" s="408">
        <v>107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>
        <v>9409.2400553962616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19373.036899999999</v>
      </c>
      <c r="CJ218" s="408">
        <v>-10349.669169999994</v>
      </c>
      <c r="CK218" s="408"/>
      <c r="CL218" s="408"/>
      <c r="CM218" s="408"/>
      <c r="CN218" s="408"/>
      <c r="CO218" s="408">
        <v>-11579.945250000001</v>
      </c>
      <c r="CP218" s="408">
        <v>1229.7920699999997</v>
      </c>
      <c r="CQ218" s="408">
        <v>30</v>
      </c>
      <c r="CR218" s="408">
        <v>1456.6913770489264</v>
      </c>
      <c r="CS218" s="408">
        <v>34.529179117977492</v>
      </c>
      <c r="CT218" s="408">
        <v>108.18281864483765</v>
      </c>
      <c r="CU218" s="408">
        <v>0</v>
      </c>
      <c r="CV218" s="408">
        <v>0</v>
      </c>
      <c r="CW218" s="408">
        <v>0</v>
      </c>
      <c r="CX218" s="408">
        <v>0</v>
      </c>
      <c r="CY218" s="408">
        <v>0</v>
      </c>
      <c r="CZ218" s="408">
        <v>3.0287883234352364</v>
      </c>
      <c r="DA218" s="408">
        <v>0</v>
      </c>
      <c r="DB218" s="408">
        <v>0</v>
      </c>
      <c r="DC218" s="408">
        <v>1229.9501197028203</v>
      </c>
      <c r="DD218" s="408">
        <v>0</v>
      </c>
      <c r="DE218" s="408">
        <v>0</v>
      </c>
      <c r="DF218" s="408">
        <v>3.4265019198945055</v>
      </c>
      <c r="DG218" s="408">
        <v>204.17395593297078</v>
      </c>
      <c r="DH218" s="408">
        <v>0</v>
      </c>
      <c r="DI218" s="408">
        <v>-109.14000619506942</v>
      </c>
      <c r="DJ218" s="408"/>
      <c r="DK218" s="408">
        <v>0</v>
      </c>
      <c r="DL218" s="408">
        <v>0</v>
      </c>
      <c r="DM218" s="408">
        <v>0</v>
      </c>
      <c r="DN218" s="408">
        <v>0</v>
      </c>
      <c r="DO218" s="408">
        <v>-14.315237445953585</v>
      </c>
      <c r="DP218" s="408">
        <v>-3.1447429519890306</v>
      </c>
      <c r="DQ218" s="408">
        <v>0</v>
      </c>
      <c r="DR218" s="408">
        <v>0</v>
      </c>
      <c r="DS218" s="408"/>
      <c r="DT218" s="408"/>
      <c r="DU218" s="408"/>
      <c r="DV218" s="408">
        <v>16069.974092907363</v>
      </c>
      <c r="DW218" s="408">
        <v>0</v>
      </c>
      <c r="DX218" s="408">
        <v>0</v>
      </c>
      <c r="DY218" s="408">
        <v>-11579.945249999999</v>
      </c>
      <c r="DZ218" s="234">
        <v>1229.7920700000004</v>
      </c>
      <c r="EA218" s="408">
        <v>0</v>
      </c>
      <c r="EB218" s="408">
        <v>0</v>
      </c>
      <c r="EC218" s="408">
        <v>-11806.767731850123</v>
      </c>
      <c r="ED218" s="408">
        <v>0</v>
      </c>
      <c r="EE218" s="408">
        <v>0</v>
      </c>
      <c r="EF218" s="408">
        <v>0</v>
      </c>
      <c r="EG218" s="408">
        <v>0</v>
      </c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>
        <v>0</v>
      </c>
      <c r="EN218" s="408">
        <v>0</v>
      </c>
      <c r="EO218" s="408">
        <v>0</v>
      </c>
      <c r="EP218" s="408">
        <v>0</v>
      </c>
      <c r="EQ218" s="408">
        <v>0</v>
      </c>
      <c r="ER218" s="408">
        <v>0</v>
      </c>
      <c r="ES218" s="408">
        <v>0</v>
      </c>
      <c r="ET218" s="408">
        <v>0</v>
      </c>
      <c r="EU218" s="408">
        <v>0</v>
      </c>
      <c r="EV218" s="408">
        <v>242</v>
      </c>
      <c r="EW218" s="408">
        <v>0</v>
      </c>
      <c r="EX218" s="408">
        <v>0</v>
      </c>
      <c r="EY218" s="408">
        <v>0</v>
      </c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217</v>
      </c>
      <c r="B219" s="408" t="s">
        <v>2234</v>
      </c>
      <c r="C219" s="408" t="s">
        <v>2231</v>
      </c>
      <c r="D219" s="408" t="s">
        <v>1955</v>
      </c>
      <c r="E219" s="408" t="s">
        <v>2242</v>
      </c>
      <c r="F219" s="408" t="s">
        <v>1322</v>
      </c>
      <c r="G219" s="408" t="s">
        <v>1322</v>
      </c>
      <c r="H219" s="408" t="s">
        <v>1322</v>
      </c>
      <c r="I219" s="408" t="s">
        <v>1322</v>
      </c>
      <c r="J219" s="408" t="s">
        <v>2232</v>
      </c>
      <c r="K219" s="828">
        <v>44501</v>
      </c>
      <c r="L219" s="408">
        <v>0</v>
      </c>
      <c r="M219" s="408">
        <v>0</v>
      </c>
      <c r="N219" s="408">
        <v>0.1</v>
      </c>
      <c r="O219" s="408">
        <v>0.1</v>
      </c>
      <c r="P219" s="408">
        <v>0.1</v>
      </c>
      <c r="Q219" s="408">
        <v>0.1</v>
      </c>
      <c r="R219" s="408"/>
      <c r="S219" s="408">
        <v>571.87</v>
      </c>
      <c r="T219" s="408">
        <v>216.76</v>
      </c>
      <c r="U219" s="408"/>
      <c r="V219" s="408">
        <v>78.863</v>
      </c>
      <c r="W219" s="408">
        <v>78.863</v>
      </c>
      <c r="X219" s="408">
        <v>51.401000000000003</v>
      </c>
      <c r="Y219" s="408">
        <v>0</v>
      </c>
      <c r="Z219" s="408">
        <v>6.0610617044039303</v>
      </c>
      <c r="AA219" s="408">
        <v>0</v>
      </c>
      <c r="AB219" s="408">
        <v>0</v>
      </c>
      <c r="AC219" s="408">
        <v>0</v>
      </c>
      <c r="AD219" s="408">
        <v>8.2191369950813206E-2</v>
      </c>
      <c r="AE219" s="408">
        <v>42.638366878684401</v>
      </c>
      <c r="AF219" s="408">
        <v>21.360150082363603</v>
      </c>
      <c r="AG219" s="408">
        <v>0.31574047364523605</v>
      </c>
      <c r="AH219" s="408">
        <v>0</v>
      </c>
      <c r="AI219" s="408">
        <v>0</v>
      </c>
      <c r="AJ219" s="408">
        <v>0</v>
      </c>
      <c r="AK219" s="408">
        <v>0</v>
      </c>
      <c r="AL219" s="408">
        <v>0.93736336585697699</v>
      </c>
      <c r="AM219" s="408"/>
      <c r="AN219" s="408">
        <v>0.19184695561551302</v>
      </c>
      <c r="AO219" s="408">
        <v>0.88816977491028393</v>
      </c>
      <c r="AP219" s="408">
        <v>2.7827105114966599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5.9506962188139001E-2</v>
      </c>
      <c r="BE219" s="408">
        <v>0</v>
      </c>
      <c r="BF219" s="408">
        <v>0</v>
      </c>
      <c r="BG219" s="408">
        <v>3.5458237466506297</v>
      </c>
      <c r="BH219" s="408">
        <v>0</v>
      </c>
      <c r="BI219" s="408">
        <v>0.35</v>
      </c>
      <c r="BJ219" s="408">
        <v>1.62</v>
      </c>
      <c r="BK219" s="408">
        <v>121.71</v>
      </c>
      <c r="BL219" s="408">
        <v>1</v>
      </c>
      <c r="BM219" s="408"/>
      <c r="BN219" s="408"/>
      <c r="BO219" s="408"/>
      <c r="BP219" s="408"/>
      <c r="BQ219" s="408"/>
      <c r="BR219" s="408"/>
      <c r="BS219" s="408"/>
      <c r="BT219" s="408"/>
      <c r="BU219" s="408"/>
      <c r="BV219" s="408">
        <v>24.965480791202371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51.401000000000003</v>
      </c>
      <c r="CJ219" s="408">
        <v>-27.492000000000012</v>
      </c>
      <c r="CK219" s="408"/>
      <c r="CL219" s="408"/>
      <c r="CM219" s="408"/>
      <c r="CN219" s="408"/>
      <c r="CO219" s="408">
        <v>-30.725000000000001</v>
      </c>
      <c r="CP219" s="408">
        <v>3.2629999999999999</v>
      </c>
      <c r="CQ219" s="408">
        <v>30</v>
      </c>
      <c r="CR219" s="408">
        <v>3.8650305846504907</v>
      </c>
      <c r="CS219" s="408">
        <v>9.1616066008590069E-2</v>
      </c>
      <c r="CT219" s="408">
        <v>0.28704083060001029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8.0362660814434911E-3</v>
      </c>
      <c r="DA219" s="408">
        <v>0</v>
      </c>
      <c r="DB219" s="408">
        <v>0</v>
      </c>
      <c r="DC219" s="408">
        <v>3.2634193523383992</v>
      </c>
      <c r="DD219" s="408">
        <v>0</v>
      </c>
      <c r="DE219" s="408">
        <v>0</v>
      </c>
      <c r="DF219" s="408">
        <v>9.0915172063320976E-3</v>
      </c>
      <c r="DG219" s="408">
        <v>0.5417335454190102</v>
      </c>
      <c r="DH219" s="408">
        <v>0</v>
      </c>
      <c r="DI219" s="408">
        <v>-0.28958053064572997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-3.7982534548418934E-2</v>
      </c>
      <c r="DP219" s="408">
        <v>-8.3439278091460012E-3</v>
      </c>
      <c r="DQ219" s="408">
        <v>0</v>
      </c>
      <c r="DR219" s="408">
        <v>0</v>
      </c>
      <c r="DS219" s="408"/>
      <c r="DT219" s="408"/>
      <c r="DU219" s="408"/>
      <c r="DV219" s="408">
        <v>42.638366878684401</v>
      </c>
      <c r="DW219" s="408">
        <v>0</v>
      </c>
      <c r="DX219" s="408">
        <v>0</v>
      </c>
      <c r="DY219" s="408">
        <v>-30.725000000000001</v>
      </c>
      <c r="DZ219" s="234">
        <v>3.2629999999999981</v>
      </c>
      <c r="EA219" s="408">
        <v>0</v>
      </c>
      <c r="EB219" s="408">
        <v>0</v>
      </c>
      <c r="EC219" s="408">
        <v>-31.326826744806503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242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218</v>
      </c>
      <c r="B220" s="408" t="s">
        <v>1036</v>
      </c>
      <c r="C220" s="408" t="s">
        <v>2239</v>
      </c>
      <c r="D220" s="408" t="s">
        <v>597</v>
      </c>
      <c r="E220" s="408" t="s">
        <v>2242</v>
      </c>
      <c r="F220" s="408" t="s">
        <v>1322</v>
      </c>
      <c r="G220" s="408" t="s">
        <v>1322</v>
      </c>
      <c r="H220" s="408" t="s">
        <v>1322</v>
      </c>
      <c r="I220" s="408" t="s">
        <v>973</v>
      </c>
      <c r="J220" s="408" t="s">
        <v>2232</v>
      </c>
      <c r="K220" s="828">
        <v>44501</v>
      </c>
      <c r="L220" s="408">
        <v>0</v>
      </c>
      <c r="M220" s="408">
        <v>0</v>
      </c>
      <c r="N220" s="408">
        <v>1.659</v>
      </c>
      <c r="O220" s="408">
        <v>1.659</v>
      </c>
      <c r="P220" s="408">
        <v>1.659</v>
      </c>
      <c r="Q220" s="408">
        <v>1.659</v>
      </c>
      <c r="R220" s="408"/>
      <c r="S220" s="408">
        <v>2592.54</v>
      </c>
      <c r="T220" s="408">
        <v>216.76</v>
      </c>
      <c r="U220" s="408"/>
      <c r="V220" s="408">
        <v>4660.6287000000002</v>
      </c>
      <c r="W220" s="408">
        <v>4660.6287000000002</v>
      </c>
      <c r="X220" s="408">
        <v>1959.6107999999999</v>
      </c>
      <c r="Y220" s="408">
        <v>0</v>
      </c>
      <c r="Z220" s="408">
        <v>87.481121898173257</v>
      </c>
      <c r="AA220" s="408">
        <v>0</v>
      </c>
      <c r="AB220" s="408">
        <v>0</v>
      </c>
      <c r="AC220" s="408">
        <v>0</v>
      </c>
      <c r="AD220" s="408">
        <v>8.3889578085236725</v>
      </c>
      <c r="AE220" s="408">
        <v>3800.5890058225436</v>
      </c>
      <c r="AF220" s="408">
        <v>354.36488986641211</v>
      </c>
      <c r="AG220" s="408">
        <v>5.2381344577744651</v>
      </c>
      <c r="AH220" s="408">
        <v>0</v>
      </c>
      <c r="AI220" s="408">
        <v>0</v>
      </c>
      <c r="AJ220" s="408">
        <v>0</v>
      </c>
      <c r="AK220" s="408">
        <v>0</v>
      </c>
      <c r="AL220" s="408">
        <v>15.550858239567248</v>
      </c>
      <c r="AM220" s="408"/>
      <c r="AN220" s="408">
        <v>2.2781756239959057</v>
      </c>
      <c r="AO220" s="408">
        <v>74.845571886241288</v>
      </c>
      <c r="AP220" s="408">
        <v>284.02204213372323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0.75865854073677208</v>
      </c>
      <c r="BE220" s="408">
        <v>0</v>
      </c>
      <c r="BF220" s="408">
        <v>0</v>
      </c>
      <c r="BG220" s="408">
        <v>27.101684176084245</v>
      </c>
      <c r="BH220" s="408">
        <v>0</v>
      </c>
      <c r="BI220" s="408">
        <v>0</v>
      </c>
      <c r="BJ220" s="408">
        <v>0</v>
      </c>
      <c r="BK220" s="408">
        <v>0</v>
      </c>
      <c r="BL220" s="408">
        <v>0</v>
      </c>
      <c r="BM220" s="408"/>
      <c r="BN220" s="408"/>
      <c r="BO220" s="408"/>
      <c r="BP220" s="408"/>
      <c r="BQ220" s="408"/>
      <c r="BR220" s="408"/>
      <c r="BS220" s="408"/>
      <c r="BT220" s="408"/>
      <c r="BU220" s="408"/>
      <c r="BV220" s="408">
        <v>382.22523258323309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1960.7919999999999</v>
      </c>
      <c r="CJ220" s="408">
        <v>-2699.8667000000009</v>
      </c>
      <c r="CK220" s="408"/>
      <c r="CL220" s="408"/>
      <c r="CM220" s="408"/>
      <c r="CN220" s="408"/>
      <c r="CO220" s="408">
        <v>-2755.1510699999999</v>
      </c>
      <c r="CP220" s="408">
        <v>54.133169999999993</v>
      </c>
      <c r="CQ220" s="408">
        <v>30</v>
      </c>
      <c r="CR220" s="408">
        <v>91.325806043648754</v>
      </c>
      <c r="CS220" s="408">
        <v>7.7204348178512845</v>
      </c>
      <c r="CT220" s="408">
        <v>29.297306545524691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0.82023084827086379</v>
      </c>
      <c r="DA220" s="408">
        <v>0</v>
      </c>
      <c r="DB220" s="408">
        <v>0</v>
      </c>
      <c r="DC220" s="408">
        <v>54.140127055294101</v>
      </c>
      <c r="DD220" s="408">
        <v>0</v>
      </c>
      <c r="DE220" s="408">
        <v>0</v>
      </c>
      <c r="DF220" s="408">
        <v>0.11590840673453151</v>
      </c>
      <c r="DG220" s="408">
        <v>4.1406151305193575</v>
      </c>
      <c r="DH220" s="408">
        <v>0</v>
      </c>
      <c r="DI220" s="408">
        <v>-4.179602672968926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-0.63013024815827023</v>
      </c>
      <c r="DP220" s="408">
        <v>-9.9083839418721453E-2</v>
      </c>
      <c r="DQ220" s="408">
        <v>0</v>
      </c>
      <c r="DR220" s="408">
        <v>0</v>
      </c>
      <c r="DS220" s="408"/>
      <c r="DT220" s="408"/>
      <c r="DU220" s="408"/>
      <c r="DV220" s="408">
        <v>3800.5890058225436</v>
      </c>
      <c r="DW220" s="408">
        <v>0</v>
      </c>
      <c r="DX220" s="408">
        <v>0</v>
      </c>
      <c r="DY220" s="408">
        <v>-2755.1510700000003</v>
      </c>
      <c r="DZ220" s="234">
        <v>54.133170000000007</v>
      </c>
      <c r="EA220" s="408">
        <v>0</v>
      </c>
      <c r="EB220" s="408">
        <v>0</v>
      </c>
      <c r="EC220" s="408">
        <v>-2792.3300545814159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242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219</v>
      </c>
      <c r="B221" s="408" t="s">
        <v>1036</v>
      </c>
      <c r="C221" s="408" t="s">
        <v>2239</v>
      </c>
      <c r="D221" s="408" t="s">
        <v>597</v>
      </c>
      <c r="E221" s="408" t="s">
        <v>2242</v>
      </c>
      <c r="F221" s="408" t="s">
        <v>1322</v>
      </c>
      <c r="G221" s="408" t="s">
        <v>1322</v>
      </c>
      <c r="H221" s="408" t="s">
        <v>1322</v>
      </c>
      <c r="I221" s="408" t="s">
        <v>2240</v>
      </c>
      <c r="J221" s="408" t="s">
        <v>2232</v>
      </c>
      <c r="K221" s="828">
        <v>44501</v>
      </c>
      <c r="L221" s="408">
        <v>0</v>
      </c>
      <c r="M221" s="408">
        <v>0</v>
      </c>
      <c r="N221" s="408">
        <v>14.122999999999999</v>
      </c>
      <c r="O221" s="408">
        <v>14.122999999999999</v>
      </c>
      <c r="P221" s="408">
        <v>14.122999999999999</v>
      </c>
      <c r="Q221" s="408">
        <v>14.122999999999999</v>
      </c>
      <c r="R221" s="408"/>
      <c r="S221" s="408">
        <v>80.27</v>
      </c>
      <c r="T221" s="408">
        <v>216.76</v>
      </c>
      <c r="U221" s="408"/>
      <c r="V221" s="408">
        <v>4194.9546899999996</v>
      </c>
      <c r="W221" s="408">
        <v>4194.9546899999996</v>
      </c>
      <c r="X221" s="408">
        <v>4650.280209999999</v>
      </c>
      <c r="Y221" s="408">
        <v>0</v>
      </c>
      <c r="Z221" s="408">
        <v>744.72325772628142</v>
      </c>
      <c r="AA221" s="408">
        <v>0</v>
      </c>
      <c r="AB221" s="408">
        <v>0</v>
      </c>
      <c r="AC221" s="408">
        <v>0</v>
      </c>
      <c r="AD221" s="408">
        <v>0</v>
      </c>
      <c r="AE221" s="408">
        <v>0</v>
      </c>
      <c r="AF221" s="408">
        <v>3016.6939961322109</v>
      </c>
      <c r="AG221" s="408">
        <v>44.59202709291668</v>
      </c>
      <c r="AH221" s="408">
        <v>0</v>
      </c>
      <c r="AI221" s="408">
        <v>0</v>
      </c>
      <c r="AJ221" s="408">
        <v>0</v>
      </c>
      <c r="AK221" s="408">
        <v>0</v>
      </c>
      <c r="AL221" s="408">
        <v>132.38382815998085</v>
      </c>
      <c r="AM221" s="408"/>
      <c r="AN221" s="408">
        <v>19.394017081189975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6.4584295182793436</v>
      </c>
      <c r="BE221" s="408">
        <v>0</v>
      </c>
      <c r="BF221" s="408">
        <v>0</v>
      </c>
      <c r="BG221" s="408">
        <v>230.71554286849775</v>
      </c>
      <c r="BH221" s="408">
        <v>0</v>
      </c>
      <c r="BI221" s="408">
        <v>0</v>
      </c>
      <c r="BJ221" s="408">
        <v>0</v>
      </c>
      <c r="BK221" s="408">
        <v>0</v>
      </c>
      <c r="BL221" s="408">
        <v>0</v>
      </c>
      <c r="BM221" s="408"/>
      <c r="BN221" s="408"/>
      <c r="BO221" s="408"/>
      <c r="BP221" s="408"/>
      <c r="BQ221" s="408"/>
      <c r="BR221" s="408"/>
      <c r="BS221" s="408"/>
      <c r="BT221" s="408"/>
      <c r="BU221" s="408"/>
      <c r="BV221" s="408">
        <v>3253.8679685189882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4649.2923999999994</v>
      </c>
      <c r="CJ221" s="408">
        <v>454.30771000000004</v>
      </c>
      <c r="CK221" s="408"/>
      <c r="CL221" s="408"/>
      <c r="CM221" s="408"/>
      <c r="CN221" s="408"/>
      <c r="CO221" s="408">
        <v>-5.5079700000000074</v>
      </c>
      <c r="CP221" s="408">
        <v>460.83348999999993</v>
      </c>
      <c r="CQ221" s="408">
        <v>30</v>
      </c>
      <c r="CR221" s="408">
        <v>455.33976926423293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0</v>
      </c>
      <c r="DA221" s="408">
        <v>0</v>
      </c>
      <c r="DB221" s="408">
        <v>0</v>
      </c>
      <c r="DC221" s="408">
        <v>460.89271513075255</v>
      </c>
      <c r="DD221" s="408">
        <v>0</v>
      </c>
      <c r="DE221" s="408">
        <v>0</v>
      </c>
      <c r="DF221" s="408">
        <v>0.98672358548028249</v>
      </c>
      <c r="DG221" s="408">
        <v>35.248889384162084</v>
      </c>
      <c r="DH221" s="408">
        <v>0</v>
      </c>
      <c r="DI221" s="408">
        <v>-35.580788758493213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-5.3642733542732088</v>
      </c>
      <c r="DP221" s="408">
        <v>-0.8434967233939723</v>
      </c>
      <c r="DQ221" s="408">
        <v>0</v>
      </c>
      <c r="DR221" s="408">
        <v>0</v>
      </c>
      <c r="DS221" s="408"/>
      <c r="DT221" s="408"/>
      <c r="DU221" s="408"/>
      <c r="DV221" s="408">
        <v>0</v>
      </c>
      <c r="DW221" s="408">
        <v>0</v>
      </c>
      <c r="DX221" s="408">
        <v>0</v>
      </c>
      <c r="DY221" s="408">
        <v>-5.5079700000001139</v>
      </c>
      <c r="DZ221" s="234">
        <v>460.83348999999998</v>
      </c>
      <c r="EA221" s="408">
        <v>0</v>
      </c>
      <c r="EB221" s="408">
        <v>0</v>
      </c>
      <c r="EC221" s="408">
        <v>0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242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220</v>
      </c>
      <c r="B222" s="408" t="s">
        <v>1036</v>
      </c>
      <c r="C222" s="408" t="s">
        <v>2239</v>
      </c>
      <c r="D222" s="408" t="s">
        <v>597</v>
      </c>
      <c r="E222" s="408" t="s">
        <v>2242</v>
      </c>
      <c r="F222" s="408" t="s">
        <v>1322</v>
      </c>
      <c r="G222" s="408" t="s">
        <v>1322</v>
      </c>
      <c r="H222" s="408" t="s">
        <v>1322</v>
      </c>
      <c r="I222" s="408" t="s">
        <v>1322</v>
      </c>
      <c r="J222" s="408" t="s">
        <v>2232</v>
      </c>
      <c r="K222" s="828">
        <v>44501</v>
      </c>
      <c r="L222" s="408">
        <v>70</v>
      </c>
      <c r="M222" s="408">
        <v>70</v>
      </c>
      <c r="N222" s="408">
        <v>0</v>
      </c>
      <c r="O222" s="408">
        <v>0</v>
      </c>
      <c r="P222" s="408">
        <v>0</v>
      </c>
      <c r="Q222" s="408">
        <v>0</v>
      </c>
      <c r="R222" s="408">
        <v>32.17</v>
      </c>
      <c r="S222" s="408"/>
      <c r="T222" s="408"/>
      <c r="U222" s="408">
        <v>2251.9</v>
      </c>
      <c r="V222" s="408"/>
      <c r="W222" s="408">
        <v>2251.9</v>
      </c>
      <c r="X222" s="408">
        <v>905.1</v>
      </c>
      <c r="Y222" s="408">
        <v>0</v>
      </c>
      <c r="Z222" s="408">
        <v>0</v>
      </c>
      <c r="AA222" s="408">
        <v>0</v>
      </c>
      <c r="AB222" s="408">
        <v>0</v>
      </c>
      <c r="AC222" s="408">
        <v>0</v>
      </c>
      <c r="AD222" s="408">
        <v>6.9941357591892785</v>
      </c>
      <c r="AE222" s="408">
        <v>1884.8714799945101</v>
      </c>
      <c r="AF222" s="408"/>
      <c r="AG222" s="408"/>
      <c r="AH222" s="408"/>
      <c r="AI222" s="408">
        <v>0</v>
      </c>
      <c r="AJ222" s="408">
        <v>0</v>
      </c>
      <c r="AK222" s="408">
        <v>0</v>
      </c>
      <c r="AL222" s="408">
        <v>0</v>
      </c>
      <c r="AM222" s="408"/>
      <c r="AN222" s="408">
        <v>0</v>
      </c>
      <c r="AO222" s="408">
        <v>123.50947744896111</v>
      </c>
      <c r="AP222" s="408">
        <v>236.8005615811976</v>
      </c>
      <c r="AQ222" s="408">
        <v>0</v>
      </c>
      <c r="AR222" s="408">
        <v>0</v>
      </c>
      <c r="AS222" s="408"/>
      <c r="AT222" s="408"/>
      <c r="AU222" s="408">
        <v>0</v>
      </c>
      <c r="AV222" s="408">
        <v>0</v>
      </c>
      <c r="AW222" s="408">
        <v>0</v>
      </c>
      <c r="AX222" s="408"/>
      <c r="AY222" s="408"/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/>
      <c r="BG222" s="408">
        <v>0</v>
      </c>
      <c r="BH222" s="408">
        <v>0</v>
      </c>
      <c r="BI222" s="408">
        <v>52.66</v>
      </c>
      <c r="BJ222" s="408">
        <v>241.86</v>
      </c>
      <c r="BK222" s="408">
        <v>4301.66</v>
      </c>
      <c r="BL222" s="408">
        <v>1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>
        <v>0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905.1</v>
      </c>
      <c r="CJ222" s="408">
        <v>-1346.8300000000008</v>
      </c>
      <c r="CK222" s="408"/>
      <c r="CL222" s="408"/>
      <c r="CM222" s="408"/>
      <c r="CN222" s="408"/>
      <c r="CO222" s="408">
        <v>-1346.8000000000002</v>
      </c>
      <c r="CP222" s="408">
        <v>0</v>
      </c>
      <c r="CQ222" s="408">
        <v>30</v>
      </c>
      <c r="CR222" s="408">
        <v>37.850381741193246</v>
      </c>
      <c r="CS222" s="408">
        <v>12.740190848977889</v>
      </c>
      <c r="CT222" s="408">
        <v>24.426338852710217</v>
      </c>
      <c r="CU222" s="408">
        <v>0</v>
      </c>
      <c r="CV222" s="408">
        <v>0</v>
      </c>
      <c r="CW222" s="408"/>
      <c r="CX222" s="408"/>
      <c r="CY222" s="408"/>
      <c r="CZ222" s="408">
        <v>0.68385203950515105</v>
      </c>
      <c r="DA222" s="408">
        <v>0</v>
      </c>
      <c r="DB222" s="408">
        <v>0</v>
      </c>
      <c r="DC222" s="408"/>
      <c r="DD222" s="408"/>
      <c r="DE222" s="408">
        <v>0</v>
      </c>
      <c r="DF222" s="408">
        <v>0</v>
      </c>
      <c r="DG222" s="408">
        <v>0</v>
      </c>
      <c r="DH222" s="408">
        <v>0</v>
      </c>
      <c r="DI222" s="408">
        <v>0</v>
      </c>
      <c r="DJ222" s="408"/>
      <c r="DK222" s="408">
        <v>0</v>
      </c>
      <c r="DL222" s="408">
        <v>0</v>
      </c>
      <c r="DM222" s="408"/>
      <c r="DN222" s="408">
        <v>0</v>
      </c>
      <c r="DO222" s="408">
        <v>0</v>
      </c>
      <c r="DP222" s="408">
        <v>0</v>
      </c>
      <c r="DQ222" s="408">
        <v>0</v>
      </c>
      <c r="DR222" s="408">
        <v>0</v>
      </c>
      <c r="DS222" s="408"/>
      <c r="DT222" s="408"/>
      <c r="DU222" s="408">
        <v>1884.8714799945101</v>
      </c>
      <c r="DV222" s="408"/>
      <c r="DW222" s="408">
        <v>0</v>
      </c>
      <c r="DX222" s="408">
        <v>0</v>
      </c>
      <c r="DY222" s="408">
        <v>-1346.8000000000002</v>
      </c>
      <c r="DZ222" s="234"/>
      <c r="EA222" s="408">
        <v>0</v>
      </c>
      <c r="EB222" s="408"/>
      <c r="EC222" s="408">
        <v>-1384.8335809393659</v>
      </c>
      <c r="ED222" s="408"/>
      <c r="EE222" s="408">
        <v>0</v>
      </c>
      <c r="EF222" s="408">
        <v>0</v>
      </c>
      <c r="EG222" s="408"/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/>
      <c r="EN222" s="408"/>
      <c r="EO222" s="408">
        <v>0</v>
      </c>
      <c r="EP222" s="408">
        <v>0</v>
      </c>
      <c r="EQ222" s="408"/>
      <c r="ER222" s="408">
        <v>0</v>
      </c>
      <c r="ES222" s="408"/>
      <c r="ET222" s="408">
        <v>0</v>
      </c>
      <c r="EU222" s="408"/>
      <c r="EV222" s="408">
        <v>242</v>
      </c>
      <c r="EW222" s="408"/>
      <c r="EX222" s="408"/>
      <c r="EY222" s="408"/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221</v>
      </c>
      <c r="B223" s="408" t="s">
        <v>1036</v>
      </c>
      <c r="C223" s="408" t="s">
        <v>2231</v>
      </c>
      <c r="D223" s="408" t="s">
        <v>2243</v>
      </c>
      <c r="E223" s="408" t="s">
        <v>2244</v>
      </c>
      <c r="F223" s="408" t="s">
        <v>2245</v>
      </c>
      <c r="G223" s="408" t="s">
        <v>1322</v>
      </c>
      <c r="H223" s="408" t="s">
        <v>1322</v>
      </c>
      <c r="I223" s="408" t="s">
        <v>1322</v>
      </c>
      <c r="J223" s="408" t="s">
        <v>2232</v>
      </c>
      <c r="K223" s="828">
        <v>44501</v>
      </c>
      <c r="L223" s="408">
        <v>0</v>
      </c>
      <c r="M223" s="408">
        <v>0</v>
      </c>
      <c r="N223" s="408">
        <v>72.322000000000003</v>
      </c>
      <c r="O223" s="408">
        <v>72.322000000000003</v>
      </c>
      <c r="P223" s="408">
        <v>72.322000000000003</v>
      </c>
      <c r="Q223" s="408">
        <v>72.322000000000003</v>
      </c>
      <c r="R223" s="408"/>
      <c r="S223" s="408">
        <v>314.52999999999997</v>
      </c>
      <c r="T223" s="408">
        <v>119.22</v>
      </c>
      <c r="U223" s="408"/>
      <c r="V223" s="408">
        <v>31369.6675</v>
      </c>
      <c r="W223" s="408">
        <v>31369.6675</v>
      </c>
      <c r="X223" s="408">
        <v>20446.152620000001</v>
      </c>
      <c r="Y223" s="408">
        <v>0</v>
      </c>
      <c r="Z223" s="408">
        <v>2410.9145752224545</v>
      </c>
      <c r="AA223" s="408">
        <v>0</v>
      </c>
      <c r="AB223" s="408">
        <v>0</v>
      </c>
      <c r="AC223" s="408">
        <v>0</v>
      </c>
      <c r="AD223" s="408">
        <v>32.693343416704948</v>
      </c>
      <c r="AE223" s="408">
        <v>16960.30583170116</v>
      </c>
      <c r="AF223" s="408">
        <v>8496.448258411865</v>
      </c>
      <c r="AG223" s="408">
        <v>125.59240394233932</v>
      </c>
      <c r="AH223" s="408">
        <v>0</v>
      </c>
      <c r="AI223" s="408">
        <v>0</v>
      </c>
      <c r="AJ223" s="408">
        <v>0</v>
      </c>
      <c r="AK223" s="408">
        <v>0</v>
      </c>
      <c r="AL223" s="408">
        <v>372.85596340029537</v>
      </c>
      <c r="AM223" s="408"/>
      <c r="AN223" s="408">
        <v>76.311155382138125</v>
      </c>
      <c r="AO223" s="408">
        <v>353.28817953583848</v>
      </c>
      <c r="AP223" s="408">
        <v>1106.8815428685357</v>
      </c>
      <c r="AQ223" s="408">
        <v>0</v>
      </c>
      <c r="AR223" s="408">
        <v>0</v>
      </c>
      <c r="AS223" s="408">
        <v>0</v>
      </c>
      <c r="AT223" s="408">
        <v>0</v>
      </c>
      <c r="AU223" s="408">
        <v>0</v>
      </c>
      <c r="AV223" s="408">
        <v>0</v>
      </c>
      <c r="AW223" s="408">
        <v>0</v>
      </c>
      <c r="AX223" s="408">
        <v>0</v>
      </c>
      <c r="AY223" s="408">
        <v>0</v>
      </c>
      <c r="AZ223" s="408">
        <v>0</v>
      </c>
      <c r="BA223" s="408"/>
      <c r="BB223" s="408">
        <v>0</v>
      </c>
      <c r="BC223" s="408">
        <v>0</v>
      </c>
      <c r="BD223" s="408">
        <v>23.670143856538274</v>
      </c>
      <c r="BE223" s="408">
        <v>0</v>
      </c>
      <c r="BF223" s="408">
        <v>0</v>
      </c>
      <c r="BG223" s="408">
        <v>1410.4258575289705</v>
      </c>
      <c r="BH223" s="408">
        <v>0</v>
      </c>
      <c r="BI223" s="408">
        <v>165.76</v>
      </c>
      <c r="BJ223" s="408">
        <v>761.48</v>
      </c>
      <c r="BK223" s="408">
        <v>7910.7</v>
      </c>
      <c r="BL223" s="408">
        <v>10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>
        <v>9930.5442597973743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20445.587199999998</v>
      </c>
      <c r="CJ223" s="408">
        <v>-10924.110299999997</v>
      </c>
      <c r="CK223" s="408"/>
      <c r="CL223" s="408"/>
      <c r="CM223" s="408"/>
      <c r="CN223" s="408"/>
      <c r="CO223" s="408">
        <v>-12221.69478</v>
      </c>
      <c r="CP223" s="408">
        <v>1298.1798999999992</v>
      </c>
      <c r="CQ223" s="408">
        <v>30</v>
      </c>
      <c r="CR223" s="408">
        <v>1537.3970806869966</v>
      </c>
      <c r="CS223" s="408">
        <v>36.442214192303197</v>
      </c>
      <c r="CT223" s="408">
        <v>114.17651822860012</v>
      </c>
      <c r="CU223" s="408">
        <v>0</v>
      </c>
      <c r="CV223" s="408">
        <v>0</v>
      </c>
      <c r="CW223" s="408">
        <v>0</v>
      </c>
      <c r="CX223" s="408">
        <v>0</v>
      </c>
      <c r="CY223" s="408">
        <v>0</v>
      </c>
      <c r="CZ223" s="408">
        <v>3.1965935954818434</v>
      </c>
      <c r="DA223" s="408">
        <v>0</v>
      </c>
      <c r="DB223" s="408">
        <v>0</v>
      </c>
      <c r="DC223" s="408">
        <v>1298.093579198985</v>
      </c>
      <c r="DD223" s="408">
        <v>0</v>
      </c>
      <c r="DE223" s="408">
        <v>0</v>
      </c>
      <c r="DF223" s="408">
        <v>3.6163418906798839</v>
      </c>
      <c r="DG223" s="408">
        <v>215.48589409486112</v>
      </c>
      <c r="DH223" s="408">
        <v>0</v>
      </c>
      <c r="DI223" s="408">
        <v>-115.1867372554816</v>
      </c>
      <c r="DJ223" s="408"/>
      <c r="DK223" s="408">
        <v>0</v>
      </c>
      <c r="DL223" s="408">
        <v>0</v>
      </c>
      <c r="DM223" s="408">
        <v>0</v>
      </c>
      <c r="DN223" s="408">
        <v>0</v>
      </c>
      <c r="DO223" s="408">
        <v>-15.108350749858857</v>
      </c>
      <c r="DP223" s="408">
        <v>-3.3189725085716049</v>
      </c>
      <c r="DQ223" s="408">
        <v>0</v>
      </c>
      <c r="DR223" s="408">
        <v>0</v>
      </c>
      <c r="DS223" s="408"/>
      <c r="DT223" s="408"/>
      <c r="DU223" s="408"/>
      <c r="DV223" s="408">
        <v>16960.30583170116</v>
      </c>
      <c r="DW223" s="408">
        <v>0</v>
      </c>
      <c r="DX223" s="408">
        <v>0</v>
      </c>
      <c r="DY223" s="408">
        <v>-12221.69478</v>
      </c>
      <c r="DZ223" s="234">
        <v>1298.1798999999992</v>
      </c>
      <c r="EA223" s="408">
        <v>0</v>
      </c>
      <c r="EB223" s="408">
        <v>0</v>
      </c>
      <c r="EC223" s="408">
        <v>-12460.903201108402</v>
      </c>
      <c r="ED223" s="408">
        <v>0</v>
      </c>
      <c r="EE223" s="408">
        <v>0</v>
      </c>
      <c r="EF223" s="408">
        <v>0</v>
      </c>
      <c r="EG223" s="408">
        <v>0</v>
      </c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>
        <v>0</v>
      </c>
      <c r="EN223" s="408">
        <v>0</v>
      </c>
      <c r="EO223" s="408">
        <v>0</v>
      </c>
      <c r="EP223" s="408">
        <v>0</v>
      </c>
      <c r="EQ223" s="408">
        <v>0</v>
      </c>
      <c r="ER223" s="408">
        <v>0</v>
      </c>
      <c r="ES223" s="408">
        <v>0</v>
      </c>
      <c r="ET223" s="408">
        <v>0</v>
      </c>
      <c r="EU223" s="408">
        <v>0</v>
      </c>
      <c r="EV223" s="408">
        <v>242</v>
      </c>
      <c r="EW223" s="408">
        <v>0</v>
      </c>
      <c r="EX223" s="408">
        <v>0</v>
      </c>
      <c r="EY223" s="408">
        <v>0</v>
      </c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222</v>
      </c>
      <c r="B224" s="408" t="s">
        <v>1036</v>
      </c>
      <c r="C224" s="408" t="s">
        <v>2231</v>
      </c>
      <c r="D224" s="408" t="s">
        <v>1955</v>
      </c>
      <c r="E224" s="408" t="s">
        <v>1001</v>
      </c>
      <c r="F224" s="408" t="s">
        <v>2246</v>
      </c>
      <c r="G224" s="408" t="s">
        <v>1322</v>
      </c>
      <c r="H224" s="408" t="s">
        <v>1322</v>
      </c>
      <c r="I224" s="408" t="s">
        <v>1322</v>
      </c>
      <c r="J224" s="408" t="s">
        <v>2232</v>
      </c>
      <c r="K224" s="828">
        <v>44501</v>
      </c>
      <c r="L224" s="408">
        <v>0</v>
      </c>
      <c r="M224" s="408">
        <v>0</v>
      </c>
      <c r="N224" s="408">
        <v>125.09699999999999</v>
      </c>
      <c r="O224" s="408">
        <v>117.59117999999999</v>
      </c>
      <c r="P224" s="408">
        <v>125.09699999999999</v>
      </c>
      <c r="Q224" s="408">
        <v>117.59117999999999</v>
      </c>
      <c r="R224" s="408"/>
      <c r="S224" s="408">
        <v>571.87</v>
      </c>
      <c r="T224" s="408">
        <v>216.76</v>
      </c>
      <c r="U224" s="408"/>
      <c r="V224" s="408">
        <v>98655.247109999997</v>
      </c>
      <c r="W224" s="408">
        <v>98655.247109999997</v>
      </c>
      <c r="X224" s="408">
        <v>64301.108970000001</v>
      </c>
      <c r="Y224" s="408">
        <v>0</v>
      </c>
      <c r="Z224" s="408">
        <v>7582.2063603581837</v>
      </c>
      <c r="AA224" s="408">
        <v>0</v>
      </c>
      <c r="AB224" s="408">
        <v>0</v>
      </c>
      <c r="AC224" s="408">
        <v>0</v>
      </c>
      <c r="AD224" s="408">
        <v>102.81893806736878</v>
      </c>
      <c r="AE224" s="408">
        <v>53339.317814227819</v>
      </c>
      <c r="AF224" s="408">
        <v>26720.906948534393</v>
      </c>
      <c r="AG224" s="408">
        <v>394.9818603159809</v>
      </c>
      <c r="AH224" s="408">
        <v>0</v>
      </c>
      <c r="AI224" s="408">
        <v>0</v>
      </c>
      <c r="AJ224" s="408">
        <v>0</v>
      </c>
      <c r="AK224" s="408">
        <v>0</v>
      </c>
      <c r="AL224" s="408">
        <v>1172.6134497861024</v>
      </c>
      <c r="AM224" s="408"/>
      <c r="AN224" s="408">
        <v>239.99478606633826</v>
      </c>
      <c r="AO224" s="408">
        <v>1111.0737433195179</v>
      </c>
      <c r="AP224" s="408">
        <v>3481.0873685669767</v>
      </c>
      <c r="AQ224" s="408">
        <v>0</v>
      </c>
      <c r="AR224" s="408">
        <v>0</v>
      </c>
      <c r="AS224" s="408">
        <v>0</v>
      </c>
      <c r="AT224" s="408">
        <v>0</v>
      </c>
      <c r="AU224" s="408">
        <v>0</v>
      </c>
      <c r="AV224" s="408">
        <v>0</v>
      </c>
      <c r="AW224" s="408">
        <v>0</v>
      </c>
      <c r="AX224" s="408">
        <v>0</v>
      </c>
      <c r="AY224" s="408">
        <v>0</v>
      </c>
      <c r="AZ224" s="408">
        <v>0</v>
      </c>
      <c r="BA224" s="408"/>
      <c r="BB224" s="408">
        <v>0</v>
      </c>
      <c r="BC224" s="408">
        <v>0</v>
      </c>
      <c r="BD224" s="408">
        <v>74.441424488496239</v>
      </c>
      <c r="BE224" s="408">
        <v>0</v>
      </c>
      <c r="BF224" s="408">
        <v>0</v>
      </c>
      <c r="BG224" s="408">
        <v>4435.7191323475381</v>
      </c>
      <c r="BH224" s="408">
        <v>0</v>
      </c>
      <c r="BI224" s="408">
        <v>421.95</v>
      </c>
      <c r="BJ224" s="408">
        <v>1940.35</v>
      </c>
      <c r="BK224" s="408">
        <v>35987.75</v>
      </c>
      <c r="BL224" s="408">
        <v>91</v>
      </c>
      <c r="BM224" s="408"/>
      <c r="BN224" s="408"/>
      <c r="BO224" s="408"/>
      <c r="BP224" s="408"/>
      <c r="BQ224" s="408">
        <v>3858.0665381999997</v>
      </c>
      <c r="BR224" s="408"/>
      <c r="BS224" s="408"/>
      <c r="BT224" s="408"/>
      <c r="BU224" s="408"/>
      <c r="BV224" s="408">
        <v>31231.067505370429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60442.435899999997</v>
      </c>
      <c r="CJ224" s="408">
        <v>-32293.526383399992</v>
      </c>
      <c r="CK224" s="408"/>
      <c r="CL224" s="408"/>
      <c r="CM224" s="408"/>
      <c r="CN224" s="408"/>
      <c r="CO224" s="408">
        <v>-38436.053249999997</v>
      </c>
      <c r="CP224" s="408">
        <v>4081.9151099999995</v>
      </c>
      <c r="CQ224" s="408">
        <v>30</v>
      </c>
      <c r="CR224" s="408">
        <v>4835.0373104802275</v>
      </c>
      <c r="CS224" s="408">
        <v>114.60895009476576</v>
      </c>
      <c r="CT224" s="408">
        <v>359.07946785569447</v>
      </c>
      <c r="CU224" s="408">
        <v>0</v>
      </c>
      <c r="CV224" s="408">
        <v>0</v>
      </c>
      <c r="CW224" s="408">
        <v>0</v>
      </c>
      <c r="CX224" s="408">
        <v>0</v>
      </c>
      <c r="CY224" s="408">
        <v>0</v>
      </c>
      <c r="CZ224" s="408">
        <v>10.053127779903377</v>
      </c>
      <c r="DA224" s="408">
        <v>0</v>
      </c>
      <c r="DB224" s="408">
        <v>0</v>
      </c>
      <c r="DC224" s="408">
        <v>4082.4397071947678</v>
      </c>
      <c r="DD224" s="408">
        <v>0</v>
      </c>
      <c r="DE224" s="408">
        <v>0</v>
      </c>
      <c r="DF224" s="408">
        <v>11.373215279605276</v>
      </c>
      <c r="DG224" s="408">
        <v>677.69241331281955</v>
      </c>
      <c r="DH224" s="408">
        <v>0</v>
      </c>
      <c r="DI224" s="408">
        <v>-362.2565564218894</v>
      </c>
      <c r="DJ224" s="408"/>
      <c r="DK224" s="408">
        <v>0</v>
      </c>
      <c r="DL224" s="408">
        <v>0</v>
      </c>
      <c r="DM224" s="408">
        <v>0</v>
      </c>
      <c r="DN224" s="408">
        <v>0</v>
      </c>
      <c r="DO224" s="408">
        <v>-47.515011244035577</v>
      </c>
      <c r="DP224" s="408">
        <v>-10.438003371407348</v>
      </c>
      <c r="DQ224" s="408">
        <v>0</v>
      </c>
      <c r="DR224" s="408">
        <v>0</v>
      </c>
      <c r="DS224" s="408"/>
      <c r="DT224" s="408"/>
      <c r="DU224" s="408"/>
      <c r="DV224" s="408">
        <v>53339.317814227819</v>
      </c>
      <c r="DW224" s="408">
        <v>0</v>
      </c>
      <c r="DX224" s="408">
        <v>0</v>
      </c>
      <c r="DY224" s="408">
        <v>-38436.05324999999</v>
      </c>
      <c r="DZ224" s="234">
        <v>4081.9151099999981</v>
      </c>
      <c r="EA224" s="408">
        <v>0</v>
      </c>
      <c r="EB224" s="408">
        <v>0</v>
      </c>
      <c r="EC224" s="408">
        <v>-39188.920452950581</v>
      </c>
      <c r="ED224" s="408">
        <v>0</v>
      </c>
      <c r="EE224" s="408">
        <v>0</v>
      </c>
      <c r="EF224" s="408">
        <v>0</v>
      </c>
      <c r="EG224" s="408">
        <v>0</v>
      </c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>
        <v>0</v>
      </c>
      <c r="EN224" s="408">
        <v>0</v>
      </c>
      <c r="EO224" s="408">
        <v>0</v>
      </c>
      <c r="EP224" s="408">
        <v>0</v>
      </c>
      <c r="EQ224" s="408">
        <v>0</v>
      </c>
      <c r="ER224" s="408">
        <v>0</v>
      </c>
      <c r="ES224" s="408">
        <v>0</v>
      </c>
      <c r="ET224" s="408">
        <v>0</v>
      </c>
      <c r="EU224" s="408">
        <v>0</v>
      </c>
      <c r="EV224" s="408">
        <v>242</v>
      </c>
      <c r="EW224" s="408">
        <v>0</v>
      </c>
      <c r="EX224" s="408">
        <v>0</v>
      </c>
      <c r="EY224" s="408">
        <v>0</v>
      </c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223</v>
      </c>
      <c r="B225" s="408" t="s">
        <v>1036</v>
      </c>
      <c r="C225" s="408" t="s">
        <v>2239</v>
      </c>
      <c r="D225" s="408" t="s">
        <v>597</v>
      </c>
      <c r="E225" s="408" t="s">
        <v>1001</v>
      </c>
      <c r="F225" s="408" t="s">
        <v>2246</v>
      </c>
      <c r="G225" s="408" t="s">
        <v>1322</v>
      </c>
      <c r="H225" s="408" t="s">
        <v>1322</v>
      </c>
      <c r="I225" s="408" t="s">
        <v>973</v>
      </c>
      <c r="J225" s="408" t="s">
        <v>2232</v>
      </c>
      <c r="K225" s="828">
        <v>44501</v>
      </c>
      <c r="L225" s="408">
        <v>0</v>
      </c>
      <c r="M225" s="408">
        <v>0</v>
      </c>
      <c r="N225" s="408">
        <v>4.6470000000000002</v>
      </c>
      <c r="O225" s="408">
        <v>4.3681799999999997</v>
      </c>
      <c r="P225" s="408">
        <v>4.6470000000000002</v>
      </c>
      <c r="Q225" s="408">
        <v>4.3681799999999997</v>
      </c>
      <c r="R225" s="408"/>
      <c r="S225" s="408">
        <v>2592.54</v>
      </c>
      <c r="T225" s="408">
        <v>216.76</v>
      </c>
      <c r="U225" s="408"/>
      <c r="V225" s="408">
        <v>13054.8171</v>
      </c>
      <c r="W225" s="408">
        <v>13054.8171</v>
      </c>
      <c r="X225" s="408">
        <v>5489.0364</v>
      </c>
      <c r="Y225" s="408">
        <v>0</v>
      </c>
      <c r="Z225" s="408">
        <v>245.04205754117612</v>
      </c>
      <c r="AA225" s="408">
        <v>0</v>
      </c>
      <c r="AB225" s="408">
        <v>0</v>
      </c>
      <c r="AC225" s="408">
        <v>0</v>
      </c>
      <c r="AD225" s="408">
        <v>23.498183807239005</v>
      </c>
      <c r="AE225" s="408">
        <v>10645.772821011067</v>
      </c>
      <c r="AF225" s="408">
        <v>992.60617432743652</v>
      </c>
      <c r="AG225" s="408">
        <v>14.672459810294118</v>
      </c>
      <c r="AH225" s="408">
        <v>0</v>
      </c>
      <c r="AI225" s="408">
        <v>0</v>
      </c>
      <c r="AJ225" s="408">
        <v>0</v>
      </c>
      <c r="AK225" s="408">
        <v>0</v>
      </c>
      <c r="AL225" s="408">
        <v>43.559275611373721</v>
      </c>
      <c r="AM225" s="408"/>
      <c r="AN225" s="408">
        <v>6.3813635471422385</v>
      </c>
      <c r="AO225" s="408">
        <v>209.6488080502491</v>
      </c>
      <c r="AP225" s="408">
        <v>795.56987932212883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2.1250670517201806</v>
      </c>
      <c r="BE225" s="408">
        <v>0</v>
      </c>
      <c r="BF225" s="408">
        <v>0</v>
      </c>
      <c r="BG225" s="408">
        <v>75.914120775324591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>
        <v>329.3421840000006</v>
      </c>
      <c r="BR225" s="408"/>
      <c r="BS225" s="408"/>
      <c r="BT225" s="408"/>
      <c r="BU225" s="408"/>
      <c r="BV225" s="408">
        <v>1070.6453621544813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5161.8440000000001</v>
      </c>
      <c r="CJ225" s="408">
        <v>-7109.7140739999986</v>
      </c>
      <c r="CK225" s="408"/>
      <c r="CL225" s="408"/>
      <c r="CM225" s="408"/>
      <c r="CN225" s="408"/>
      <c r="CO225" s="408">
        <v>-7717.4123100000006</v>
      </c>
      <c r="CP225" s="408">
        <v>151.63160999999999</v>
      </c>
      <c r="CQ225" s="408">
        <v>30</v>
      </c>
      <c r="CR225" s="408">
        <v>255.81134459604436</v>
      </c>
      <c r="CS225" s="408">
        <v>21.625594091955975</v>
      </c>
      <c r="CT225" s="408">
        <v>82.064245640176978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2.2975363182125967</v>
      </c>
      <c r="DA225" s="408">
        <v>0</v>
      </c>
      <c r="DB225" s="408">
        <v>0</v>
      </c>
      <c r="DC225" s="408">
        <v>151.65109730316544</v>
      </c>
      <c r="DD225" s="408">
        <v>0</v>
      </c>
      <c r="DE225" s="408">
        <v>0</v>
      </c>
      <c r="DF225" s="408">
        <v>0.32466929842999903</v>
      </c>
      <c r="DG225" s="408">
        <v>11.59821489543306</v>
      </c>
      <c r="DH225" s="408">
        <v>0</v>
      </c>
      <c r="DI225" s="408">
        <v>-11.707422315422917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-1.765048380465025</v>
      </c>
      <c r="DP225" s="408">
        <v>-0.27754225544231304</v>
      </c>
      <c r="DQ225" s="408">
        <v>0</v>
      </c>
      <c r="DR225" s="408">
        <v>0</v>
      </c>
      <c r="DS225" s="408"/>
      <c r="DT225" s="408"/>
      <c r="DU225" s="408"/>
      <c r="DV225" s="408">
        <v>10645.772821011067</v>
      </c>
      <c r="DW225" s="408">
        <v>0</v>
      </c>
      <c r="DX225" s="408">
        <v>0</v>
      </c>
      <c r="DY225" s="408">
        <v>-7717.4123100000006</v>
      </c>
      <c r="DZ225" s="234">
        <v>151.63161000000002</v>
      </c>
      <c r="EA225" s="408">
        <v>0</v>
      </c>
      <c r="EB225" s="408">
        <v>0</v>
      </c>
      <c r="EC225" s="408">
        <v>-7821.5538056900787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242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224</v>
      </c>
      <c r="B226" s="408" t="s">
        <v>1036</v>
      </c>
      <c r="C226" s="408" t="s">
        <v>2239</v>
      </c>
      <c r="D226" s="408" t="s">
        <v>597</v>
      </c>
      <c r="E226" s="408" t="s">
        <v>1001</v>
      </c>
      <c r="F226" s="408" t="s">
        <v>2246</v>
      </c>
      <c r="G226" s="408" t="s">
        <v>1322</v>
      </c>
      <c r="H226" s="408" t="s">
        <v>1322</v>
      </c>
      <c r="I226" s="408" t="s">
        <v>2240</v>
      </c>
      <c r="J226" s="408" t="s">
        <v>2232</v>
      </c>
      <c r="K226" s="828">
        <v>44501</v>
      </c>
      <c r="L226" s="408">
        <v>0</v>
      </c>
      <c r="M226" s="408">
        <v>0</v>
      </c>
      <c r="N226" s="408">
        <v>93.045000000000002</v>
      </c>
      <c r="O226" s="408">
        <v>87.462299999999999</v>
      </c>
      <c r="P226" s="408">
        <v>93.045000000000002</v>
      </c>
      <c r="Q226" s="408">
        <v>87.462299999999999</v>
      </c>
      <c r="R226" s="408"/>
      <c r="S226" s="408">
        <v>80.27</v>
      </c>
      <c r="T226" s="408">
        <v>216.76</v>
      </c>
      <c r="U226" s="408"/>
      <c r="V226" s="408">
        <v>27637.156349999997</v>
      </c>
      <c r="W226" s="408">
        <v>27637.156349999997</v>
      </c>
      <c r="X226" s="408">
        <v>30636.92715</v>
      </c>
      <c r="Y226" s="408">
        <v>0</v>
      </c>
      <c r="Z226" s="408">
        <v>4906.3779306904953</v>
      </c>
      <c r="AA226" s="408">
        <v>0</v>
      </c>
      <c r="AB226" s="408">
        <v>0</v>
      </c>
      <c r="AC226" s="408">
        <v>0</v>
      </c>
      <c r="AD226" s="408">
        <v>0</v>
      </c>
      <c r="AE226" s="408">
        <v>0</v>
      </c>
      <c r="AF226" s="408">
        <v>19874.551644135212</v>
      </c>
      <c r="AG226" s="408">
        <v>293.78072370320984</v>
      </c>
      <c r="AH226" s="408">
        <v>0</v>
      </c>
      <c r="AI226" s="408">
        <v>0</v>
      </c>
      <c r="AJ226" s="408">
        <v>0</v>
      </c>
      <c r="AK226" s="408">
        <v>0</v>
      </c>
      <c r="AL226" s="408">
        <v>872.1697437616242</v>
      </c>
      <c r="AM226" s="408"/>
      <c r="AN226" s="408">
        <v>127.77145927347742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42.549357397741382</v>
      </c>
      <c r="BE226" s="408">
        <v>0</v>
      </c>
      <c r="BF226" s="408">
        <v>0</v>
      </c>
      <c r="BG226" s="408">
        <v>1519.9977119733323</v>
      </c>
      <c r="BH226" s="408">
        <v>0</v>
      </c>
      <c r="BI226" s="408">
        <v>0</v>
      </c>
      <c r="BJ226" s="408">
        <v>0</v>
      </c>
      <c r="BK226" s="408">
        <v>0</v>
      </c>
      <c r="BL226" s="408">
        <v>0</v>
      </c>
      <c r="BM226" s="408"/>
      <c r="BN226" s="408"/>
      <c r="BO226" s="408"/>
      <c r="BP226" s="408"/>
      <c r="BQ226" s="408">
        <v>1838.2156290000007</v>
      </c>
      <c r="BR226" s="408"/>
      <c r="BS226" s="408"/>
      <c r="BT226" s="408"/>
      <c r="BU226" s="408"/>
      <c r="BV226" s="408">
        <v>21437.098713506286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28797.954199999996</v>
      </c>
      <c r="CJ226" s="408">
        <v>2818.9972309999976</v>
      </c>
      <c r="CK226" s="408"/>
      <c r="CL226" s="408"/>
      <c r="CM226" s="408"/>
      <c r="CN226" s="408"/>
      <c r="CO226" s="408">
        <v>-36.287550000000053</v>
      </c>
      <c r="CP226" s="408">
        <v>3036.0583499999998</v>
      </c>
      <c r="CQ226" s="408">
        <v>30</v>
      </c>
      <c r="CR226" s="408">
        <v>2999.8646768526996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0</v>
      </c>
      <c r="DA226" s="408">
        <v>0</v>
      </c>
      <c r="DB226" s="408">
        <v>0</v>
      </c>
      <c r="DC226" s="408">
        <v>3036.4485363832646</v>
      </c>
      <c r="DD226" s="408">
        <v>0</v>
      </c>
      <c r="DE226" s="408">
        <v>0</v>
      </c>
      <c r="DF226" s="408">
        <v>6.5007219437097632</v>
      </c>
      <c r="DG226" s="408">
        <v>232.22636215742841</v>
      </c>
      <c r="DH226" s="408">
        <v>0</v>
      </c>
      <c r="DI226" s="408">
        <v>-234.41297812320317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-35.340849270576427</v>
      </c>
      <c r="DP226" s="408">
        <v>-5.5571162379233954</v>
      </c>
      <c r="DQ226" s="408">
        <v>0</v>
      </c>
      <c r="DR226" s="408">
        <v>0</v>
      </c>
      <c r="DS226" s="408"/>
      <c r="DT226" s="408"/>
      <c r="DU226" s="408"/>
      <c r="DV226" s="408">
        <v>0</v>
      </c>
      <c r="DW226" s="408">
        <v>0</v>
      </c>
      <c r="DX226" s="408">
        <v>0</v>
      </c>
      <c r="DY226" s="408">
        <v>-36.28755000000001</v>
      </c>
      <c r="DZ226" s="234">
        <v>3036.0583499999993</v>
      </c>
      <c r="EA226" s="408">
        <v>0</v>
      </c>
      <c r="EB226" s="408">
        <v>0</v>
      </c>
      <c r="EC226" s="408">
        <v>0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242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225</v>
      </c>
      <c r="B227" s="408" t="s">
        <v>1036</v>
      </c>
      <c r="C227" s="408" t="s">
        <v>2239</v>
      </c>
      <c r="D227" s="408" t="s">
        <v>597</v>
      </c>
      <c r="E227" s="408" t="s">
        <v>1001</v>
      </c>
      <c r="F227" s="408" t="s">
        <v>2246</v>
      </c>
      <c r="G227" s="408" t="s">
        <v>1322</v>
      </c>
      <c r="H227" s="408" t="s">
        <v>1322</v>
      </c>
      <c r="I227" s="408" t="s">
        <v>1322</v>
      </c>
      <c r="J227" s="408" t="s">
        <v>2232</v>
      </c>
      <c r="K227" s="828">
        <v>44501</v>
      </c>
      <c r="L227" s="408">
        <v>535</v>
      </c>
      <c r="M227" s="408">
        <v>502.9</v>
      </c>
      <c r="N227" s="408">
        <v>0</v>
      </c>
      <c r="O227" s="408">
        <v>0</v>
      </c>
      <c r="P227" s="408">
        <v>0</v>
      </c>
      <c r="Q227" s="408">
        <v>0</v>
      </c>
      <c r="R227" s="408">
        <v>32.17</v>
      </c>
      <c r="S227" s="408"/>
      <c r="T227" s="408"/>
      <c r="U227" s="408">
        <v>17210.95</v>
      </c>
      <c r="V227" s="408"/>
      <c r="W227" s="408">
        <v>17210.95</v>
      </c>
      <c r="X227" s="408">
        <v>6917.55</v>
      </c>
      <c r="Y227" s="408">
        <v>0</v>
      </c>
      <c r="Z227" s="408">
        <v>0</v>
      </c>
      <c r="AA227" s="408">
        <v>0</v>
      </c>
      <c r="AB227" s="408">
        <v>0</v>
      </c>
      <c r="AC227" s="408">
        <v>0</v>
      </c>
      <c r="AD227" s="408">
        <v>53.455180445232344</v>
      </c>
      <c r="AE227" s="408">
        <v>14405.803454243754</v>
      </c>
      <c r="AF227" s="408"/>
      <c r="AG227" s="408"/>
      <c r="AH227" s="408"/>
      <c r="AI227" s="408">
        <v>0</v>
      </c>
      <c r="AJ227" s="408">
        <v>0</v>
      </c>
      <c r="AK227" s="408">
        <v>0</v>
      </c>
      <c r="AL227" s="408">
        <v>0</v>
      </c>
      <c r="AM227" s="408"/>
      <c r="AN227" s="408">
        <v>0</v>
      </c>
      <c r="AO227" s="408">
        <v>943.96529193134563</v>
      </c>
      <c r="AP227" s="408">
        <v>1809.8328635134387</v>
      </c>
      <c r="AQ227" s="408">
        <v>0</v>
      </c>
      <c r="AR227" s="408">
        <v>0</v>
      </c>
      <c r="AS227" s="408"/>
      <c r="AT227" s="408"/>
      <c r="AU227" s="408">
        <v>0</v>
      </c>
      <c r="AV227" s="408">
        <v>0</v>
      </c>
      <c r="AW227" s="408">
        <v>0</v>
      </c>
      <c r="AX227" s="408"/>
      <c r="AY227" s="408"/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/>
      <c r="BG227" s="408">
        <v>0</v>
      </c>
      <c r="BH227" s="408">
        <v>0</v>
      </c>
      <c r="BI227" s="408">
        <v>293.27999999999997</v>
      </c>
      <c r="BJ227" s="408">
        <v>1347.01</v>
      </c>
      <c r="BK227" s="408">
        <v>24249.68</v>
      </c>
      <c r="BL227" s="408">
        <v>2</v>
      </c>
      <c r="BM227" s="408"/>
      <c r="BN227" s="408"/>
      <c r="BO227" s="408"/>
      <c r="BP227" s="408"/>
      <c r="BQ227" s="408">
        <v>415.05300000000028</v>
      </c>
      <c r="BR227" s="408"/>
      <c r="BS227" s="408"/>
      <c r="BT227" s="408"/>
      <c r="BU227" s="408"/>
      <c r="BV227" s="408">
        <v>0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6502.4969999999994</v>
      </c>
      <c r="CJ227" s="408">
        <v>-9675.8260000000009</v>
      </c>
      <c r="CK227" s="408"/>
      <c r="CL227" s="408"/>
      <c r="CM227" s="408"/>
      <c r="CN227" s="408"/>
      <c r="CO227" s="408">
        <v>-10293.400000000001</v>
      </c>
      <c r="CP227" s="408">
        <v>0</v>
      </c>
      <c r="CQ227" s="408">
        <v>30</v>
      </c>
      <c r="CR227" s="408">
        <v>289.28506045054837</v>
      </c>
      <c r="CS227" s="408">
        <v>97.371458631473729</v>
      </c>
      <c r="CT227" s="408">
        <v>186.68701837428534</v>
      </c>
      <c r="CU227" s="408">
        <v>0</v>
      </c>
      <c r="CV227" s="408">
        <v>0</v>
      </c>
      <c r="CW227" s="408"/>
      <c r="CX227" s="408"/>
      <c r="CY227" s="408"/>
      <c r="CZ227" s="408">
        <v>5.2265834447893695</v>
      </c>
      <c r="DA227" s="408">
        <v>0</v>
      </c>
      <c r="DB227" s="408">
        <v>0</v>
      </c>
      <c r="DC227" s="408"/>
      <c r="DD227" s="408"/>
      <c r="DE227" s="408">
        <v>0</v>
      </c>
      <c r="DF227" s="408">
        <v>0</v>
      </c>
      <c r="DG227" s="408">
        <v>0</v>
      </c>
      <c r="DH227" s="408">
        <v>0</v>
      </c>
      <c r="DI227" s="408">
        <v>0</v>
      </c>
      <c r="DJ227" s="408"/>
      <c r="DK227" s="408">
        <v>0</v>
      </c>
      <c r="DL227" s="408">
        <v>0</v>
      </c>
      <c r="DM227" s="408"/>
      <c r="DN227" s="408">
        <v>0</v>
      </c>
      <c r="DO227" s="408">
        <v>0</v>
      </c>
      <c r="DP227" s="408">
        <v>0</v>
      </c>
      <c r="DQ227" s="408">
        <v>0</v>
      </c>
      <c r="DR227" s="408">
        <v>0</v>
      </c>
      <c r="DS227" s="408"/>
      <c r="DT227" s="408"/>
      <c r="DU227" s="408">
        <v>14405.803454243754</v>
      </c>
      <c r="DV227" s="408"/>
      <c r="DW227" s="408">
        <v>0</v>
      </c>
      <c r="DX227" s="408">
        <v>0</v>
      </c>
      <c r="DY227" s="408">
        <v>-10293.400000000001</v>
      </c>
      <c r="DZ227" s="234"/>
      <c r="EA227" s="408">
        <v>0</v>
      </c>
      <c r="EB227" s="408"/>
      <c r="EC227" s="408">
        <v>-10584.085225750867</v>
      </c>
      <c r="ED227" s="408"/>
      <c r="EE227" s="408">
        <v>0</v>
      </c>
      <c r="EF227" s="408">
        <v>0</v>
      </c>
      <c r="EG227" s="408"/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/>
      <c r="EN227" s="408"/>
      <c r="EO227" s="408">
        <v>0</v>
      </c>
      <c r="EP227" s="408">
        <v>0</v>
      </c>
      <c r="EQ227" s="408"/>
      <c r="ER227" s="408">
        <v>0</v>
      </c>
      <c r="ES227" s="408"/>
      <c r="ET227" s="408">
        <v>0</v>
      </c>
      <c r="EU227" s="408"/>
      <c r="EV227" s="408">
        <v>242</v>
      </c>
      <c r="EW227" s="408"/>
      <c r="EX227" s="408"/>
      <c r="EY227" s="408"/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226</v>
      </c>
      <c r="B228" s="408" t="s">
        <v>1036</v>
      </c>
      <c r="C228" s="408" t="s">
        <v>2231</v>
      </c>
      <c r="D228" s="408" t="s">
        <v>1955</v>
      </c>
      <c r="E228" s="408" t="s">
        <v>2247</v>
      </c>
      <c r="F228" s="408" t="s">
        <v>1322</v>
      </c>
      <c r="G228" s="408" t="s">
        <v>1322</v>
      </c>
      <c r="H228" s="408" t="s">
        <v>1322</v>
      </c>
      <c r="I228" s="408" t="s">
        <v>1322</v>
      </c>
      <c r="J228" s="408" t="s">
        <v>2232</v>
      </c>
      <c r="K228" s="828">
        <v>44501</v>
      </c>
      <c r="L228" s="408">
        <v>0</v>
      </c>
      <c r="M228" s="408">
        <v>0</v>
      </c>
      <c r="N228" s="408">
        <v>0.19900000000000001</v>
      </c>
      <c r="O228" s="408">
        <v>0.19900000000000001</v>
      </c>
      <c r="P228" s="408">
        <v>0.19900000000000001</v>
      </c>
      <c r="Q228" s="408">
        <v>0.19900000000000001</v>
      </c>
      <c r="R228" s="408"/>
      <c r="S228" s="408">
        <v>571.87</v>
      </c>
      <c r="T228" s="408">
        <v>216.76</v>
      </c>
      <c r="U228" s="408"/>
      <c r="V228" s="408">
        <v>156.93737000000002</v>
      </c>
      <c r="W228" s="408">
        <v>156.93737000000002</v>
      </c>
      <c r="X228" s="408">
        <v>102.28799000000001</v>
      </c>
      <c r="Y228" s="408">
        <v>0</v>
      </c>
      <c r="Z228" s="408">
        <v>12.061512791763821</v>
      </c>
      <c r="AA228" s="408">
        <v>0</v>
      </c>
      <c r="AB228" s="408">
        <v>0</v>
      </c>
      <c r="AC228" s="408">
        <v>0</v>
      </c>
      <c r="AD228" s="408">
        <v>0.16356082620211826</v>
      </c>
      <c r="AE228" s="408">
        <v>84.850350088581962</v>
      </c>
      <c r="AF228" s="408">
        <v>42.506698663903563</v>
      </c>
      <c r="AG228" s="408">
        <v>0.62832354255401968</v>
      </c>
      <c r="AH228" s="408">
        <v>0</v>
      </c>
      <c r="AI228" s="408">
        <v>0</v>
      </c>
      <c r="AJ228" s="408">
        <v>0</v>
      </c>
      <c r="AK228" s="408">
        <v>0</v>
      </c>
      <c r="AL228" s="408">
        <v>1.8653530980553841</v>
      </c>
      <c r="AM228" s="408"/>
      <c r="AN228" s="408">
        <v>0.38177544167487087</v>
      </c>
      <c r="AO228" s="408">
        <v>1.767457852071465</v>
      </c>
      <c r="AP228" s="408">
        <v>5.537593917878354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0.11841885475439662</v>
      </c>
      <c r="BE228" s="408">
        <v>0</v>
      </c>
      <c r="BF228" s="408">
        <v>0</v>
      </c>
      <c r="BG228" s="408">
        <v>7.0561892558347532</v>
      </c>
      <c r="BH228" s="408">
        <v>0</v>
      </c>
      <c r="BI228" s="408">
        <v>0.7</v>
      </c>
      <c r="BJ228" s="408">
        <v>3.23</v>
      </c>
      <c r="BK228" s="408">
        <v>57.6</v>
      </c>
      <c r="BL228" s="408">
        <v>2</v>
      </c>
      <c r="BM228" s="408"/>
      <c r="BN228" s="408"/>
      <c r="BO228" s="408"/>
      <c r="BP228" s="408"/>
      <c r="BQ228" s="408"/>
      <c r="BR228" s="408"/>
      <c r="BS228" s="408"/>
      <c r="BT228" s="408"/>
      <c r="BU228" s="408"/>
      <c r="BV228" s="408">
        <v>49.681306774492711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102.80200000000001</v>
      </c>
      <c r="CJ228" s="408">
        <v>-54.16537000000001</v>
      </c>
      <c r="CK228" s="408"/>
      <c r="CL228" s="408"/>
      <c r="CM228" s="408"/>
      <c r="CN228" s="408"/>
      <c r="CO228" s="408">
        <v>-61.142750000000007</v>
      </c>
      <c r="CP228" s="408">
        <v>6.4933699999999996</v>
      </c>
      <c r="CQ228" s="408">
        <v>30</v>
      </c>
      <c r="CR228" s="408">
        <v>7.6914108634544789</v>
      </c>
      <c r="CS228" s="408">
        <v>0.18231597135709432</v>
      </c>
      <c r="CT228" s="408">
        <v>0.57121125289401942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1.5992169502072578E-2</v>
      </c>
      <c r="DA228" s="408">
        <v>0</v>
      </c>
      <c r="DB228" s="408">
        <v>0</v>
      </c>
      <c r="DC228" s="408">
        <v>6.4942045111534199</v>
      </c>
      <c r="DD228" s="408">
        <v>0</v>
      </c>
      <c r="DE228" s="408">
        <v>0</v>
      </c>
      <c r="DF228" s="408">
        <v>1.809211924060089E-2</v>
      </c>
      <c r="DG228" s="408">
        <v>1.0780497553838311</v>
      </c>
      <c r="DH228" s="408">
        <v>0</v>
      </c>
      <c r="DI228" s="408">
        <v>-0.57626525598500322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-7.5585243751353559E-2</v>
      </c>
      <c r="DP228" s="408">
        <v>-1.6604416340200545E-2</v>
      </c>
      <c r="DQ228" s="408">
        <v>0</v>
      </c>
      <c r="DR228" s="408">
        <v>0</v>
      </c>
      <c r="DS228" s="408"/>
      <c r="DT228" s="408"/>
      <c r="DU228" s="408"/>
      <c r="DV228" s="408">
        <v>84.850350088581962</v>
      </c>
      <c r="DW228" s="408">
        <v>0</v>
      </c>
      <c r="DX228" s="408">
        <v>0</v>
      </c>
      <c r="DY228" s="408">
        <v>-61.142749999999999</v>
      </c>
      <c r="DZ228" s="234">
        <v>6.4933699999999988</v>
      </c>
      <c r="EA228" s="408">
        <v>0</v>
      </c>
      <c r="EB228" s="408">
        <v>0</v>
      </c>
      <c r="EC228" s="408">
        <v>-62.34038522216494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242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227</v>
      </c>
      <c r="B229" s="408" t="s">
        <v>1036</v>
      </c>
      <c r="C229" s="408" t="s">
        <v>2231</v>
      </c>
      <c r="D229" s="408" t="s">
        <v>2241</v>
      </c>
      <c r="E229" s="408" t="s">
        <v>974</v>
      </c>
      <c r="F229" s="408" t="s">
        <v>2248</v>
      </c>
      <c r="G229" s="408" t="s">
        <v>2249</v>
      </c>
      <c r="H229" s="408" t="s">
        <v>1322</v>
      </c>
      <c r="I229" s="408" t="s">
        <v>1322</v>
      </c>
      <c r="J229" s="408" t="s">
        <v>2232</v>
      </c>
      <c r="K229" s="828">
        <v>44501</v>
      </c>
      <c r="L229" s="408">
        <v>0</v>
      </c>
      <c r="M229" s="408">
        <v>0</v>
      </c>
      <c r="N229" s="408">
        <v>0</v>
      </c>
      <c r="O229" s="408">
        <v>0</v>
      </c>
      <c r="P229" s="408">
        <v>0</v>
      </c>
      <c r="Q229" s="408">
        <v>0</v>
      </c>
      <c r="R229" s="408"/>
      <c r="S229" s="408"/>
      <c r="T229" s="408"/>
      <c r="U229" s="408"/>
      <c r="V229" s="408"/>
      <c r="W229" s="408"/>
      <c r="X229" s="408"/>
      <c r="Y229" s="408"/>
      <c r="Z229" s="408"/>
      <c r="AA229" s="408">
        <v>0</v>
      </c>
      <c r="AB229" s="408"/>
      <c r="AC229" s="408"/>
      <c r="AD229" s="408"/>
      <c r="AE229" s="408"/>
      <c r="AF229" s="408"/>
      <c r="AG229" s="408"/>
      <c r="AH229" s="408"/>
      <c r="AI229" s="408"/>
      <c r="AJ229" s="408"/>
      <c r="AK229" s="408"/>
      <c r="AL229" s="408"/>
      <c r="AM229" s="408"/>
      <c r="AN229" s="408"/>
      <c r="AO229" s="408"/>
      <c r="AP229" s="408"/>
      <c r="AQ229" s="408"/>
      <c r="AR229" s="408"/>
      <c r="AS229" s="408"/>
      <c r="AT229" s="408"/>
      <c r="AU229" s="408"/>
      <c r="AV229" s="408"/>
      <c r="AW229" s="408"/>
      <c r="AX229" s="408"/>
      <c r="AY229" s="408"/>
      <c r="AZ229" s="408">
        <v>0</v>
      </c>
      <c r="BA229" s="408"/>
      <c r="BB229" s="408"/>
      <c r="BC229" s="408"/>
      <c r="BD229" s="408"/>
      <c r="BE229" s="408"/>
      <c r="BF229" s="408"/>
      <c r="BG229" s="408"/>
      <c r="BH229" s="408"/>
      <c r="BI229" s="408">
        <v>160.96</v>
      </c>
      <c r="BJ229" s="408">
        <v>740.84</v>
      </c>
      <c r="BK229" s="408">
        <v>979.44</v>
      </c>
      <c r="BL229" s="408">
        <v>125</v>
      </c>
      <c r="BM229" s="408"/>
      <c r="BN229" s="408"/>
      <c r="BO229" s="408"/>
      <c r="BP229" s="408"/>
      <c r="BQ229" s="408"/>
      <c r="BR229" s="408"/>
      <c r="BS229" s="408"/>
      <c r="BT229" s="408"/>
      <c r="BU229" s="408"/>
      <c r="BV229" s="408"/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/>
      <c r="CJ229" s="408">
        <v>-0.03</v>
      </c>
      <c r="CK229" s="408"/>
      <c r="CL229" s="408"/>
      <c r="CM229" s="408"/>
      <c r="CN229" s="408"/>
      <c r="CO229" s="408">
        <v>0</v>
      </c>
      <c r="CP229" s="408">
        <v>0</v>
      </c>
      <c r="CQ229" s="408">
        <v>30</v>
      </c>
      <c r="CR229" s="408"/>
      <c r="CS229" s="408"/>
      <c r="CT229" s="408"/>
      <c r="CU229" s="408"/>
      <c r="CV229" s="408"/>
      <c r="CW229" s="408"/>
      <c r="CX229" s="408"/>
      <c r="CY229" s="408"/>
      <c r="CZ229" s="408"/>
      <c r="DA229" s="408"/>
      <c r="DB229" s="408"/>
      <c r="DC229" s="408"/>
      <c r="DD229" s="408"/>
      <c r="DE229" s="408"/>
      <c r="DF229" s="408"/>
      <c r="DG229" s="408"/>
      <c r="DH229" s="408"/>
      <c r="DI229" s="408"/>
      <c r="DJ229" s="408"/>
      <c r="DK229" s="408">
        <v>0</v>
      </c>
      <c r="DL229" s="408"/>
      <c r="DM229" s="408"/>
      <c r="DN229" s="408"/>
      <c r="DO229" s="408"/>
      <c r="DP229" s="408"/>
      <c r="DQ229" s="408"/>
      <c r="DR229" s="408"/>
      <c r="DS229" s="408"/>
      <c r="DT229" s="408"/>
      <c r="DU229" s="408"/>
      <c r="DV229" s="408"/>
      <c r="DW229" s="408"/>
      <c r="DX229" s="408"/>
      <c r="DY229" s="408"/>
      <c r="DZ229" s="234"/>
      <c r="EA229" s="408"/>
      <c r="EB229" s="408"/>
      <c r="EC229" s="408"/>
      <c r="ED229" s="408"/>
      <c r="EE229" s="408"/>
      <c r="EF229" s="408"/>
      <c r="EG229" s="408"/>
      <c r="EH229" s="408"/>
      <c r="EI229" s="408"/>
      <c r="EJ229" s="408"/>
      <c r="EK229" s="408"/>
      <c r="EL229" s="408"/>
      <c r="EM229" s="408"/>
      <c r="EN229" s="408"/>
      <c r="EO229" s="408"/>
      <c r="EP229" s="408"/>
      <c r="EQ229" s="408"/>
      <c r="ER229" s="408"/>
      <c r="ES229" s="408"/>
      <c r="ET229" s="408"/>
      <c r="EU229" s="408"/>
      <c r="EV229" s="408">
        <v>242</v>
      </c>
      <c r="EW229" s="408"/>
      <c r="EX229" s="408"/>
      <c r="EY229" s="408"/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228</v>
      </c>
      <c r="B230" s="408" t="s">
        <v>2234</v>
      </c>
      <c r="C230" s="408" t="s">
        <v>2231</v>
      </c>
      <c r="D230" s="408" t="s">
        <v>2241</v>
      </c>
      <c r="E230" s="408" t="s">
        <v>974</v>
      </c>
      <c r="F230" s="408" t="s">
        <v>2248</v>
      </c>
      <c r="G230" s="408" t="s">
        <v>2249</v>
      </c>
      <c r="H230" s="408" t="s">
        <v>1322</v>
      </c>
      <c r="I230" s="408" t="s">
        <v>1322</v>
      </c>
      <c r="J230" s="408" t="s">
        <v>2232</v>
      </c>
      <c r="K230" s="828">
        <v>44501</v>
      </c>
      <c r="L230" s="408">
        <v>0</v>
      </c>
      <c r="M230" s="408">
        <v>0</v>
      </c>
      <c r="N230" s="408">
        <v>0</v>
      </c>
      <c r="O230" s="408">
        <v>0</v>
      </c>
      <c r="P230" s="408">
        <v>0</v>
      </c>
      <c r="Q230" s="408">
        <v>0</v>
      </c>
      <c r="R230" s="408"/>
      <c r="S230" s="408"/>
      <c r="T230" s="408"/>
      <c r="U230" s="408"/>
      <c r="V230" s="408"/>
      <c r="W230" s="408"/>
      <c r="X230" s="408"/>
      <c r="Y230" s="408"/>
      <c r="Z230" s="408"/>
      <c r="AA230" s="408">
        <v>0</v>
      </c>
      <c r="AB230" s="408"/>
      <c r="AC230" s="408"/>
      <c r="AD230" s="408"/>
      <c r="AE230" s="408"/>
      <c r="AF230" s="408"/>
      <c r="AG230" s="408"/>
      <c r="AH230" s="408"/>
      <c r="AI230" s="408"/>
      <c r="AJ230" s="408"/>
      <c r="AK230" s="408"/>
      <c r="AL230" s="408"/>
      <c r="AM230" s="408"/>
      <c r="AN230" s="408"/>
      <c r="AO230" s="408"/>
      <c r="AP230" s="408"/>
      <c r="AQ230" s="408"/>
      <c r="AR230" s="408"/>
      <c r="AS230" s="408"/>
      <c r="AT230" s="408"/>
      <c r="AU230" s="408"/>
      <c r="AV230" s="408"/>
      <c r="AW230" s="408"/>
      <c r="AX230" s="408"/>
      <c r="AY230" s="408"/>
      <c r="AZ230" s="408">
        <v>0</v>
      </c>
      <c r="BA230" s="408"/>
      <c r="BB230" s="408"/>
      <c r="BC230" s="408"/>
      <c r="BD230" s="408"/>
      <c r="BE230" s="408"/>
      <c r="BF230" s="408"/>
      <c r="BG230" s="408"/>
      <c r="BH230" s="408"/>
      <c r="BI230" s="408">
        <v>5.91</v>
      </c>
      <c r="BJ230" s="408">
        <v>27.23</v>
      </c>
      <c r="BK230" s="408">
        <v>35.74</v>
      </c>
      <c r="BL230" s="408">
        <v>4</v>
      </c>
      <c r="BM230" s="408"/>
      <c r="BN230" s="408"/>
      <c r="BO230" s="408"/>
      <c r="BP230" s="408"/>
      <c r="BQ230" s="408"/>
      <c r="BR230" s="408"/>
      <c r="BS230" s="408"/>
      <c r="BT230" s="408"/>
      <c r="BU230" s="408"/>
      <c r="BV230" s="408"/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/>
      <c r="CJ230" s="408">
        <v>-0.03</v>
      </c>
      <c r="CK230" s="408"/>
      <c r="CL230" s="408"/>
      <c r="CM230" s="408"/>
      <c r="CN230" s="408"/>
      <c r="CO230" s="408">
        <v>0</v>
      </c>
      <c r="CP230" s="408">
        <v>0</v>
      </c>
      <c r="CQ230" s="408">
        <v>30</v>
      </c>
      <c r="CR230" s="408"/>
      <c r="CS230" s="408"/>
      <c r="CT230" s="408"/>
      <c r="CU230" s="408"/>
      <c r="CV230" s="408"/>
      <c r="CW230" s="408"/>
      <c r="CX230" s="408"/>
      <c r="CY230" s="408"/>
      <c r="CZ230" s="408"/>
      <c r="DA230" s="408"/>
      <c r="DB230" s="408"/>
      <c r="DC230" s="408"/>
      <c r="DD230" s="408"/>
      <c r="DE230" s="408"/>
      <c r="DF230" s="408"/>
      <c r="DG230" s="408"/>
      <c r="DH230" s="408"/>
      <c r="DI230" s="408"/>
      <c r="DJ230" s="408"/>
      <c r="DK230" s="408">
        <v>0</v>
      </c>
      <c r="DL230" s="408"/>
      <c r="DM230" s="408"/>
      <c r="DN230" s="408"/>
      <c r="DO230" s="408"/>
      <c r="DP230" s="408"/>
      <c r="DQ230" s="408"/>
      <c r="DR230" s="408"/>
      <c r="DS230" s="408"/>
      <c r="DT230" s="408"/>
      <c r="DU230" s="408"/>
      <c r="DV230" s="408"/>
      <c r="DW230" s="408"/>
      <c r="DX230" s="408"/>
      <c r="DY230" s="408"/>
      <c r="DZ230" s="234"/>
      <c r="EA230" s="408"/>
      <c r="EB230" s="408"/>
      <c r="EC230" s="408"/>
      <c r="ED230" s="408"/>
      <c r="EE230" s="408"/>
      <c r="EF230" s="408"/>
      <c r="EG230" s="408"/>
      <c r="EH230" s="408"/>
      <c r="EI230" s="408"/>
      <c r="EJ230" s="408"/>
      <c r="EK230" s="408"/>
      <c r="EL230" s="408"/>
      <c r="EM230" s="408"/>
      <c r="EN230" s="408"/>
      <c r="EO230" s="408"/>
      <c r="EP230" s="408"/>
      <c r="EQ230" s="408"/>
      <c r="ER230" s="408"/>
      <c r="ES230" s="408"/>
      <c r="ET230" s="408"/>
      <c r="EU230" s="408"/>
      <c r="EV230" s="408">
        <v>242</v>
      </c>
      <c r="EW230" s="408"/>
      <c r="EX230" s="408"/>
      <c r="EY230" s="408"/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229</v>
      </c>
      <c r="B231" s="408" t="s">
        <v>1036</v>
      </c>
      <c r="C231" s="408" t="s">
        <v>2231</v>
      </c>
      <c r="D231" s="408" t="s">
        <v>2241</v>
      </c>
      <c r="E231" s="408" t="s">
        <v>974</v>
      </c>
      <c r="F231" s="408" t="s">
        <v>2248</v>
      </c>
      <c r="G231" s="408" t="s">
        <v>2249</v>
      </c>
      <c r="H231" s="408" t="s">
        <v>1322</v>
      </c>
      <c r="I231" s="408" t="s">
        <v>1322</v>
      </c>
      <c r="J231" s="408" t="s">
        <v>2232</v>
      </c>
      <c r="K231" s="828">
        <v>44501</v>
      </c>
      <c r="L231" s="408">
        <v>0</v>
      </c>
      <c r="M231" s="408">
        <v>0</v>
      </c>
      <c r="N231" s="408">
        <v>34.040999999999997</v>
      </c>
      <c r="O231" s="408">
        <v>34.040999999999997</v>
      </c>
      <c r="P231" s="408">
        <v>34.040999999999997</v>
      </c>
      <c r="Q231" s="408">
        <v>34.040999999999997</v>
      </c>
      <c r="R231" s="408"/>
      <c r="S231" s="408">
        <v>571.87</v>
      </c>
      <c r="T231" s="408">
        <v>216.76</v>
      </c>
      <c r="U231" s="408"/>
      <c r="V231" s="408">
        <v>26845.753829999998</v>
      </c>
      <c r="W231" s="408">
        <v>26845.753829999998</v>
      </c>
      <c r="X231" s="408">
        <v>17497.414409999998</v>
      </c>
      <c r="Y231" s="408">
        <v>0</v>
      </c>
      <c r="Z231" s="408">
        <v>2063.2460147961415</v>
      </c>
      <c r="AA231" s="408">
        <v>0</v>
      </c>
      <c r="AB231" s="408">
        <v>0</v>
      </c>
      <c r="AC231" s="408">
        <v>0</v>
      </c>
      <c r="AD231" s="408">
        <v>27.978764244956317</v>
      </c>
      <c r="AE231" s="408">
        <v>14514.526469172955</v>
      </c>
      <c r="AF231" s="408">
        <v>7271.2086895373923</v>
      </c>
      <c r="AG231" s="408">
        <v>107.48121463357478</v>
      </c>
      <c r="AH231" s="408">
        <v>0</v>
      </c>
      <c r="AI231" s="408">
        <v>0</v>
      </c>
      <c r="AJ231" s="408">
        <v>0</v>
      </c>
      <c r="AK231" s="408">
        <v>0</v>
      </c>
      <c r="AL231" s="408">
        <v>319.08786337137349</v>
      </c>
      <c r="AM231" s="408"/>
      <c r="AN231" s="408">
        <v>65.306622161076774</v>
      </c>
      <c r="AO231" s="408">
        <v>302.3418730772097</v>
      </c>
      <c r="AP231" s="408">
        <v>947.26248521857792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20.256764998464394</v>
      </c>
      <c r="BE231" s="408">
        <v>0</v>
      </c>
      <c r="BF231" s="408">
        <v>0</v>
      </c>
      <c r="BG231" s="408">
        <v>1207.0338615973408</v>
      </c>
      <c r="BH231" s="408">
        <v>0</v>
      </c>
      <c r="BI231" s="408">
        <v>0</v>
      </c>
      <c r="BJ231" s="408">
        <v>0</v>
      </c>
      <c r="BK231" s="408">
        <v>0</v>
      </c>
      <c r="BL231" s="408">
        <v>0</v>
      </c>
      <c r="BM231" s="408"/>
      <c r="BN231" s="408"/>
      <c r="BO231" s="408"/>
      <c r="BP231" s="408"/>
      <c r="BQ231" s="408"/>
      <c r="BR231" s="408">
        <v>2099.6488799999993</v>
      </c>
      <c r="BS231" s="408"/>
      <c r="BT231" s="408"/>
      <c r="BU231" s="408"/>
      <c r="BV231" s="408">
        <v>8498.4993161331968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15397.313200000001</v>
      </c>
      <c r="CJ231" s="408">
        <v>-8227.1707999999926</v>
      </c>
      <c r="CK231" s="408"/>
      <c r="CL231" s="408"/>
      <c r="CM231" s="408"/>
      <c r="CN231" s="408"/>
      <c r="CO231" s="408">
        <v>-10459.097249999999</v>
      </c>
      <c r="CP231" s="408">
        <v>1110.7578299999998</v>
      </c>
      <c r="CQ231" s="408">
        <v>30</v>
      </c>
      <c r="CR231" s="408">
        <v>1315.6950613208755</v>
      </c>
      <c r="CS231" s="408">
        <v>31.18702502998417</v>
      </c>
      <c r="CT231" s="408">
        <v>97.711569144549458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2.7356253367841816</v>
      </c>
      <c r="DA231" s="408">
        <v>0</v>
      </c>
      <c r="DB231" s="408">
        <v>0</v>
      </c>
      <c r="DC231" s="408">
        <v>1110.9005817295147</v>
      </c>
      <c r="DD231" s="408">
        <v>0</v>
      </c>
      <c r="DE231" s="408">
        <v>0</v>
      </c>
      <c r="DF231" s="408">
        <v>3.0948433722075102</v>
      </c>
      <c r="DG231" s="408">
        <v>184.41151619608513</v>
      </c>
      <c r="DH231" s="408">
        <v>0</v>
      </c>
      <c r="DI231" s="408">
        <v>-98.576108437112907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-12.929634585627298</v>
      </c>
      <c r="DP231" s="408">
        <v>-2.8403564655113911</v>
      </c>
      <c r="DQ231" s="408">
        <v>0</v>
      </c>
      <c r="DR231" s="408">
        <v>0</v>
      </c>
      <c r="DS231" s="408"/>
      <c r="DT231" s="408"/>
      <c r="DU231" s="408"/>
      <c r="DV231" s="408">
        <v>14514.526469172955</v>
      </c>
      <c r="DW231" s="408">
        <v>0</v>
      </c>
      <c r="DX231" s="408">
        <v>0</v>
      </c>
      <c r="DY231" s="408">
        <v>-10459.097250000001</v>
      </c>
      <c r="DZ231" s="234">
        <v>1110.7578300000005</v>
      </c>
      <c r="EA231" s="408">
        <v>0</v>
      </c>
      <c r="EB231" s="408">
        <v>0</v>
      </c>
      <c r="EC231" s="408">
        <v>-10663.96509219958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242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230</v>
      </c>
      <c r="B232" s="408" t="s">
        <v>2234</v>
      </c>
      <c r="C232" s="408" t="s">
        <v>2231</v>
      </c>
      <c r="D232" s="408" t="s">
        <v>2241</v>
      </c>
      <c r="E232" s="408" t="s">
        <v>974</v>
      </c>
      <c r="F232" s="408" t="s">
        <v>2248</v>
      </c>
      <c r="G232" s="408" t="s">
        <v>2249</v>
      </c>
      <c r="H232" s="408" t="s">
        <v>1322</v>
      </c>
      <c r="I232" s="408" t="s">
        <v>1322</v>
      </c>
      <c r="J232" s="408" t="s">
        <v>2232</v>
      </c>
      <c r="K232" s="828">
        <v>44501</v>
      </c>
      <c r="L232" s="408">
        <v>0</v>
      </c>
      <c r="M232" s="408">
        <v>0</v>
      </c>
      <c r="N232" s="408">
        <v>1.5029999999999999</v>
      </c>
      <c r="O232" s="408">
        <v>1.5029999999999999</v>
      </c>
      <c r="P232" s="408">
        <v>1.5029999999999999</v>
      </c>
      <c r="Q232" s="408">
        <v>1.5029999999999999</v>
      </c>
      <c r="R232" s="408"/>
      <c r="S232" s="408">
        <v>571.87</v>
      </c>
      <c r="T232" s="408">
        <v>216.76</v>
      </c>
      <c r="U232" s="408"/>
      <c r="V232" s="408">
        <v>1185.3108899999997</v>
      </c>
      <c r="W232" s="408">
        <v>1185.3108899999997</v>
      </c>
      <c r="X232" s="408">
        <v>772.55702999999994</v>
      </c>
      <c r="Y232" s="408">
        <v>0</v>
      </c>
      <c r="Z232" s="408">
        <v>91.097757417191062</v>
      </c>
      <c r="AA232" s="408">
        <v>0</v>
      </c>
      <c r="AB232" s="408">
        <v>0</v>
      </c>
      <c r="AC232" s="408">
        <v>0</v>
      </c>
      <c r="AD232" s="408">
        <v>1.2353362903607223</v>
      </c>
      <c r="AE232" s="408">
        <v>640.85465418662648</v>
      </c>
      <c r="AF232" s="408">
        <v>321.04305573792487</v>
      </c>
      <c r="AG232" s="408">
        <v>4.7455793188878967</v>
      </c>
      <c r="AH232" s="408">
        <v>0</v>
      </c>
      <c r="AI232" s="408">
        <v>0</v>
      </c>
      <c r="AJ232" s="408">
        <v>0</v>
      </c>
      <c r="AK232" s="408">
        <v>0</v>
      </c>
      <c r="AL232" s="408">
        <v>14.088571388830362</v>
      </c>
      <c r="AM232" s="408"/>
      <c r="AN232" s="408">
        <v>2.8834597429011599</v>
      </c>
      <c r="AO232" s="408">
        <v>13.349191716901567</v>
      </c>
      <c r="AP232" s="408">
        <v>41.824138987794797</v>
      </c>
      <c r="AQ232" s="408">
        <v>0</v>
      </c>
      <c r="AR232" s="408">
        <v>0</v>
      </c>
      <c r="AS232" s="408">
        <v>0</v>
      </c>
      <c r="AT232" s="408">
        <v>0</v>
      </c>
      <c r="AU232" s="408">
        <v>0</v>
      </c>
      <c r="AV232" s="408">
        <v>0</v>
      </c>
      <c r="AW232" s="408">
        <v>0</v>
      </c>
      <c r="AX232" s="408">
        <v>0</v>
      </c>
      <c r="AY232" s="408">
        <v>0</v>
      </c>
      <c r="AZ232" s="408">
        <v>0</v>
      </c>
      <c r="BA232" s="408"/>
      <c r="BB232" s="408">
        <v>0</v>
      </c>
      <c r="BC232" s="408">
        <v>0</v>
      </c>
      <c r="BD232" s="408">
        <v>0.89438964168772916</v>
      </c>
      <c r="BE232" s="408">
        <v>0</v>
      </c>
      <c r="BF232" s="408">
        <v>0</v>
      </c>
      <c r="BG232" s="408">
        <v>53.293730912158964</v>
      </c>
      <c r="BH232" s="408">
        <v>0</v>
      </c>
      <c r="BI232" s="408">
        <v>0</v>
      </c>
      <c r="BJ232" s="408">
        <v>0</v>
      </c>
      <c r="BK232" s="408">
        <v>0</v>
      </c>
      <c r="BL232" s="408">
        <v>0</v>
      </c>
      <c r="BM232" s="408"/>
      <c r="BN232" s="408"/>
      <c r="BO232" s="408"/>
      <c r="BP232" s="408"/>
      <c r="BQ232" s="408"/>
      <c r="BR232" s="408">
        <v>92.705039999999968</v>
      </c>
      <c r="BS232" s="408"/>
      <c r="BT232" s="408"/>
      <c r="BU232" s="408"/>
      <c r="BV232" s="408">
        <v>375.23117629177159</v>
      </c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>
        <v>678.495</v>
      </c>
      <c r="CJ232" s="408">
        <v>-364.61699999999985</v>
      </c>
      <c r="CK232" s="408"/>
      <c r="CL232" s="408"/>
      <c r="CM232" s="408"/>
      <c r="CN232" s="408"/>
      <c r="CO232" s="408">
        <v>-461.79674999999997</v>
      </c>
      <c r="CP232" s="408">
        <v>49.042889999999993</v>
      </c>
      <c r="CQ232" s="408">
        <v>30</v>
      </c>
      <c r="CR232" s="408">
        <v>58.091409687296846</v>
      </c>
      <c r="CS232" s="408">
        <v>1.3769894721091074</v>
      </c>
      <c r="CT232" s="408">
        <v>4.3142236839181507</v>
      </c>
      <c r="CU232" s="408">
        <v>0</v>
      </c>
      <c r="CV232" s="408">
        <v>0</v>
      </c>
      <c r="CW232" s="408">
        <v>0</v>
      </c>
      <c r="CX232" s="408">
        <v>0</v>
      </c>
      <c r="CY232" s="408">
        <v>0</v>
      </c>
      <c r="CZ232" s="408">
        <v>0.12078507920409565</v>
      </c>
      <c r="DA232" s="408">
        <v>0</v>
      </c>
      <c r="DB232" s="408">
        <v>0</v>
      </c>
      <c r="DC232" s="408">
        <v>49.049192865646148</v>
      </c>
      <c r="DD232" s="408">
        <v>0</v>
      </c>
      <c r="DE232" s="408">
        <v>0</v>
      </c>
      <c r="DF232" s="408">
        <v>0.13664550361117145</v>
      </c>
      <c r="DG232" s="408">
        <v>8.14225518764772</v>
      </c>
      <c r="DH232" s="408">
        <v>0</v>
      </c>
      <c r="DI232" s="408">
        <v>-4.352395375605326</v>
      </c>
      <c r="DJ232" s="408"/>
      <c r="DK232" s="408">
        <v>0</v>
      </c>
      <c r="DL232" s="408">
        <v>0</v>
      </c>
      <c r="DM232" s="408">
        <v>0</v>
      </c>
      <c r="DN232" s="408">
        <v>0</v>
      </c>
      <c r="DO232" s="408">
        <v>-0.57087749426273504</v>
      </c>
      <c r="DP232" s="408">
        <v>-0.12540923497146395</v>
      </c>
      <c r="DQ232" s="408">
        <v>0</v>
      </c>
      <c r="DR232" s="408">
        <v>0</v>
      </c>
      <c r="DS232" s="408"/>
      <c r="DT232" s="408"/>
      <c r="DU232" s="408"/>
      <c r="DV232" s="408">
        <v>640.85465418662648</v>
      </c>
      <c r="DW232" s="408">
        <v>0</v>
      </c>
      <c r="DX232" s="408">
        <v>0</v>
      </c>
      <c r="DY232" s="408">
        <v>-461.79674999999992</v>
      </c>
      <c r="DZ232" s="234">
        <v>49.04289</v>
      </c>
      <c r="EA232" s="408">
        <v>0</v>
      </c>
      <c r="EB232" s="408">
        <v>0</v>
      </c>
      <c r="EC232" s="408">
        <v>-470.84220597444164</v>
      </c>
      <c r="ED232" s="408">
        <v>0</v>
      </c>
      <c r="EE232" s="408">
        <v>0</v>
      </c>
      <c r="EF232" s="408">
        <v>0</v>
      </c>
      <c r="EG232" s="408">
        <v>0</v>
      </c>
      <c r="EH232" s="408">
        <v>0</v>
      </c>
      <c r="EI232" s="408">
        <v>0</v>
      </c>
      <c r="EJ232" s="408">
        <v>0</v>
      </c>
      <c r="EK232" s="408">
        <v>0</v>
      </c>
      <c r="EL232" s="408">
        <v>0</v>
      </c>
      <c r="EM232" s="408">
        <v>0</v>
      </c>
      <c r="EN232" s="408">
        <v>0</v>
      </c>
      <c r="EO232" s="408">
        <v>0</v>
      </c>
      <c r="EP232" s="408">
        <v>0</v>
      </c>
      <c r="EQ232" s="408">
        <v>0</v>
      </c>
      <c r="ER232" s="408">
        <v>0</v>
      </c>
      <c r="ES232" s="408">
        <v>0</v>
      </c>
      <c r="ET232" s="408">
        <v>0</v>
      </c>
      <c r="EU232" s="408">
        <v>0</v>
      </c>
      <c r="EV232" s="408">
        <v>242</v>
      </c>
      <c r="EW232" s="408">
        <v>0</v>
      </c>
      <c r="EX232" s="408">
        <v>0</v>
      </c>
      <c r="EY232" s="408">
        <v>0</v>
      </c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231</v>
      </c>
      <c r="B233" s="408" t="s">
        <v>1036</v>
      </c>
      <c r="C233" s="408" t="s">
        <v>2231</v>
      </c>
      <c r="D233" s="408" t="s">
        <v>2241</v>
      </c>
      <c r="E233" s="408" t="s">
        <v>974</v>
      </c>
      <c r="F233" s="408" t="s">
        <v>2248</v>
      </c>
      <c r="G233" s="408" t="s">
        <v>2250</v>
      </c>
      <c r="H233" s="408" t="s">
        <v>1322</v>
      </c>
      <c r="I233" s="408" t="s">
        <v>1322</v>
      </c>
      <c r="J233" s="408" t="s">
        <v>2232</v>
      </c>
      <c r="K233" s="828">
        <v>44501</v>
      </c>
      <c r="L233" s="408">
        <v>0</v>
      </c>
      <c r="M233" s="408">
        <v>0</v>
      </c>
      <c r="N233" s="408">
        <v>37.99</v>
      </c>
      <c r="O233" s="408">
        <v>15.196</v>
      </c>
      <c r="P233" s="408">
        <v>37.99</v>
      </c>
      <c r="Q233" s="408">
        <v>15.196</v>
      </c>
      <c r="R233" s="408"/>
      <c r="S233" s="408">
        <v>571.87</v>
      </c>
      <c r="T233" s="408">
        <v>216.76</v>
      </c>
      <c r="U233" s="408"/>
      <c r="V233" s="408">
        <v>29960.0537</v>
      </c>
      <c r="W233" s="408">
        <v>29960.0537</v>
      </c>
      <c r="X233" s="408">
        <v>19527.2399</v>
      </c>
      <c r="Y233" s="408">
        <v>0</v>
      </c>
      <c r="Z233" s="408">
        <v>2302.597341503053</v>
      </c>
      <c r="AA233" s="408">
        <v>0</v>
      </c>
      <c r="AB233" s="408">
        <v>0</v>
      </c>
      <c r="AC233" s="408">
        <v>0</v>
      </c>
      <c r="AD233" s="408">
        <v>31.224501444313937</v>
      </c>
      <c r="AE233" s="408">
        <v>16198.315577212205</v>
      </c>
      <c r="AF233" s="408">
        <v>8114.7210162899319</v>
      </c>
      <c r="AG233" s="408">
        <v>119.94980593782516</v>
      </c>
      <c r="AH233" s="408">
        <v>0</v>
      </c>
      <c r="AI233" s="408">
        <v>0</v>
      </c>
      <c r="AJ233" s="408">
        <v>0</v>
      </c>
      <c r="AK233" s="408">
        <v>0</v>
      </c>
      <c r="AL233" s="408">
        <v>356.10434268906556</v>
      </c>
      <c r="AM233" s="408"/>
      <c r="AN233" s="408">
        <v>72.882658438333394</v>
      </c>
      <c r="AO233" s="408">
        <v>337.41569748841687</v>
      </c>
      <c r="AP233" s="408">
        <v>1057.1517233175812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22.606694935274007</v>
      </c>
      <c r="BE233" s="408">
        <v>0</v>
      </c>
      <c r="BF233" s="408">
        <v>0</v>
      </c>
      <c r="BG233" s="408">
        <v>1347.0584413525744</v>
      </c>
      <c r="BH233" s="408">
        <v>0</v>
      </c>
      <c r="BI233" s="408">
        <v>0</v>
      </c>
      <c r="BJ233" s="408">
        <v>0</v>
      </c>
      <c r="BK233" s="408">
        <v>0</v>
      </c>
      <c r="BL233" s="408">
        <v>0</v>
      </c>
      <c r="BM233" s="408"/>
      <c r="BN233" s="408"/>
      <c r="BO233" s="408"/>
      <c r="BP233" s="408"/>
      <c r="BQ233" s="408"/>
      <c r="BR233" s="408"/>
      <c r="BS233" s="408">
        <v>12653.633220000002</v>
      </c>
      <c r="BT233" s="408"/>
      <c r="BU233" s="408"/>
      <c r="BV233" s="408">
        <v>9484.3861525777811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6875.4160000000002</v>
      </c>
      <c r="CJ233" s="408">
        <v>-3670.6379999999999</v>
      </c>
      <c r="CK233" s="408"/>
      <c r="CL233" s="408"/>
      <c r="CM233" s="408"/>
      <c r="CN233" s="408"/>
      <c r="CO233" s="408">
        <v>-11672.4275</v>
      </c>
      <c r="CP233" s="408">
        <v>1239.6136999999999</v>
      </c>
      <c r="CQ233" s="408">
        <v>30</v>
      </c>
      <c r="CR233" s="408">
        <v>1468.3251191087238</v>
      </c>
      <c r="CS233" s="408">
        <v>34.804943476663368</v>
      </c>
      <c r="CT233" s="408">
        <v>109.04681154494392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3.0529774843403814</v>
      </c>
      <c r="DA233" s="408">
        <v>0</v>
      </c>
      <c r="DB233" s="408">
        <v>0</v>
      </c>
      <c r="DC233" s="408">
        <v>1239.7730119533589</v>
      </c>
      <c r="DD233" s="408">
        <v>0</v>
      </c>
      <c r="DE233" s="408">
        <v>0</v>
      </c>
      <c r="DF233" s="408">
        <v>3.453867386685566</v>
      </c>
      <c r="DG233" s="408">
        <v>205.804573904682</v>
      </c>
      <c r="DH233" s="408">
        <v>0</v>
      </c>
      <c r="DI233" s="408">
        <v>-110.01164359231279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-14.429564874944333</v>
      </c>
      <c r="DP233" s="408">
        <v>-3.1698581746945678</v>
      </c>
      <c r="DQ233" s="408">
        <v>0</v>
      </c>
      <c r="DR233" s="408">
        <v>0</v>
      </c>
      <c r="DS233" s="408"/>
      <c r="DT233" s="408"/>
      <c r="DU233" s="408"/>
      <c r="DV233" s="408">
        <v>16198.315577212205</v>
      </c>
      <c r="DW233" s="408">
        <v>0</v>
      </c>
      <c r="DX233" s="408">
        <v>0</v>
      </c>
      <c r="DY233" s="408">
        <v>-11672.4275</v>
      </c>
      <c r="DZ233" s="234">
        <v>1239.6136999999999</v>
      </c>
      <c r="EA233" s="408">
        <v>0</v>
      </c>
      <c r="EB233" s="408">
        <v>0</v>
      </c>
      <c r="EC233" s="408">
        <v>-11901.061480351989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242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232</v>
      </c>
      <c r="B234" s="408" t="s">
        <v>2234</v>
      </c>
      <c r="C234" s="408" t="s">
        <v>2231</v>
      </c>
      <c r="D234" s="408" t="s">
        <v>2241</v>
      </c>
      <c r="E234" s="408" t="s">
        <v>974</v>
      </c>
      <c r="F234" s="408" t="s">
        <v>2248</v>
      </c>
      <c r="G234" s="408" t="s">
        <v>2250</v>
      </c>
      <c r="H234" s="408" t="s">
        <v>1322</v>
      </c>
      <c r="I234" s="408" t="s">
        <v>1322</v>
      </c>
      <c r="J234" s="408" t="s">
        <v>2232</v>
      </c>
      <c r="K234" s="828">
        <v>44501</v>
      </c>
      <c r="L234" s="408">
        <v>0</v>
      </c>
      <c r="M234" s="408">
        <v>0</v>
      </c>
      <c r="N234" s="408">
        <v>0.86299999999999999</v>
      </c>
      <c r="O234" s="408">
        <v>0.34520000000000001</v>
      </c>
      <c r="P234" s="408">
        <v>0.86299999999999999</v>
      </c>
      <c r="Q234" s="408">
        <v>0.34520000000000001</v>
      </c>
      <c r="R234" s="408"/>
      <c r="S234" s="408">
        <v>571.87</v>
      </c>
      <c r="T234" s="408">
        <v>216.76</v>
      </c>
      <c r="U234" s="408"/>
      <c r="V234" s="408">
        <v>680.58769000000007</v>
      </c>
      <c r="W234" s="408">
        <v>680.58769000000007</v>
      </c>
      <c r="X234" s="408">
        <v>443.59063000000003</v>
      </c>
      <c r="Y234" s="408">
        <v>0</v>
      </c>
      <c r="Z234" s="408">
        <v>52.306962509005913</v>
      </c>
      <c r="AA234" s="408">
        <v>0</v>
      </c>
      <c r="AB234" s="408">
        <v>0</v>
      </c>
      <c r="AC234" s="408">
        <v>0</v>
      </c>
      <c r="AD234" s="408">
        <v>0.70931152267551789</v>
      </c>
      <c r="AE234" s="408">
        <v>367.96910616304638</v>
      </c>
      <c r="AF234" s="408">
        <v>184.33809521079786</v>
      </c>
      <c r="AG234" s="408">
        <v>2.7248402875583868</v>
      </c>
      <c r="AH234" s="408">
        <v>0</v>
      </c>
      <c r="AI234" s="408">
        <v>0</v>
      </c>
      <c r="AJ234" s="408">
        <v>0</v>
      </c>
      <c r="AK234" s="408">
        <v>0</v>
      </c>
      <c r="AL234" s="408">
        <v>8.0894458473457114</v>
      </c>
      <c r="AM234" s="408"/>
      <c r="AN234" s="408">
        <v>1.6556392269618772</v>
      </c>
      <c r="AO234" s="408">
        <v>7.6649051574757499</v>
      </c>
      <c r="AP234" s="408">
        <v>24.014791714216177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0.5135450836836396</v>
      </c>
      <c r="BE234" s="408">
        <v>0</v>
      </c>
      <c r="BF234" s="408">
        <v>0</v>
      </c>
      <c r="BG234" s="408">
        <v>30.600458933594933</v>
      </c>
      <c r="BH234" s="408">
        <v>0</v>
      </c>
      <c r="BI234" s="408">
        <v>0</v>
      </c>
      <c r="BJ234" s="408">
        <v>0</v>
      </c>
      <c r="BK234" s="408">
        <v>0</v>
      </c>
      <c r="BL234" s="408">
        <v>0</v>
      </c>
      <c r="BM234" s="408"/>
      <c r="BN234" s="408"/>
      <c r="BO234" s="408"/>
      <c r="BP234" s="408"/>
      <c r="BQ234" s="408"/>
      <c r="BR234" s="408"/>
      <c r="BS234" s="408">
        <v>287.44631400000003</v>
      </c>
      <c r="BT234" s="408"/>
      <c r="BU234" s="408"/>
      <c r="BV234" s="408">
        <v>215.45209922807643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158.31549999999999</v>
      </c>
      <c r="CJ234" s="408">
        <v>-81.283299999999997</v>
      </c>
      <c r="CK234" s="408"/>
      <c r="CL234" s="408"/>
      <c r="CM234" s="408"/>
      <c r="CN234" s="408"/>
      <c r="CO234" s="408">
        <v>-265.15674999999999</v>
      </c>
      <c r="CP234" s="408">
        <v>28.159689999999994</v>
      </c>
      <c r="CQ234" s="408">
        <v>30</v>
      </c>
      <c r="CR234" s="408">
        <v>33.355213945533762</v>
      </c>
      <c r="CS234" s="408">
        <v>0.79064664965413289</v>
      </c>
      <c r="CT234" s="408">
        <v>2.477162368078087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6.9352976282857415E-2</v>
      </c>
      <c r="DA234" s="408">
        <v>0</v>
      </c>
      <c r="DB234" s="408">
        <v>0</v>
      </c>
      <c r="DC234" s="408">
        <v>28.163309010680393</v>
      </c>
      <c r="DD234" s="408">
        <v>0</v>
      </c>
      <c r="DE234" s="408">
        <v>0</v>
      </c>
      <c r="DF234" s="408">
        <v>7.8459793490646024E-2</v>
      </c>
      <c r="DG234" s="408">
        <v>4.6751604969660612</v>
      </c>
      <c r="DH234" s="408">
        <v>0</v>
      </c>
      <c r="DI234" s="408">
        <v>-2.4990799794726541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-0.327789273152856</v>
      </c>
      <c r="DP234" s="408">
        <v>-7.2008096992929982E-2</v>
      </c>
      <c r="DQ234" s="408">
        <v>0</v>
      </c>
      <c r="DR234" s="408">
        <v>0</v>
      </c>
      <c r="DS234" s="408"/>
      <c r="DT234" s="408"/>
      <c r="DU234" s="408"/>
      <c r="DV234" s="408">
        <v>367.96910616304638</v>
      </c>
      <c r="DW234" s="408">
        <v>0</v>
      </c>
      <c r="DX234" s="408">
        <v>0</v>
      </c>
      <c r="DY234" s="408">
        <v>-265.15674999999999</v>
      </c>
      <c r="DZ234" s="234">
        <v>28.159690000000012</v>
      </c>
      <c r="EA234" s="408">
        <v>0</v>
      </c>
      <c r="EB234" s="408">
        <v>0</v>
      </c>
      <c r="EC234" s="408">
        <v>-270.3505148076801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242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233</v>
      </c>
      <c r="B235" s="408" t="s">
        <v>1036</v>
      </c>
      <c r="C235" s="408" t="s">
        <v>2239</v>
      </c>
      <c r="D235" s="408" t="s">
        <v>597</v>
      </c>
      <c r="E235" s="408" t="s">
        <v>974</v>
      </c>
      <c r="F235" s="408" t="s">
        <v>2248</v>
      </c>
      <c r="G235" s="408" t="s">
        <v>1322</v>
      </c>
      <c r="H235" s="408" t="s">
        <v>1322</v>
      </c>
      <c r="I235" s="408" t="s">
        <v>973</v>
      </c>
      <c r="J235" s="408" t="s">
        <v>2232</v>
      </c>
      <c r="K235" s="828">
        <v>44501</v>
      </c>
      <c r="L235" s="408">
        <v>0</v>
      </c>
      <c r="M235" s="408">
        <v>0</v>
      </c>
      <c r="N235" s="408">
        <v>1.702</v>
      </c>
      <c r="O235" s="408">
        <v>1.63392</v>
      </c>
      <c r="P235" s="408">
        <v>1.702</v>
      </c>
      <c r="Q235" s="408">
        <v>1.63392</v>
      </c>
      <c r="R235" s="408"/>
      <c r="S235" s="408">
        <v>2592.54</v>
      </c>
      <c r="T235" s="408">
        <v>216.76</v>
      </c>
      <c r="U235" s="408"/>
      <c r="V235" s="408">
        <v>4781.4285999999993</v>
      </c>
      <c r="W235" s="408">
        <v>4781.4285999999993</v>
      </c>
      <c r="X235" s="408">
        <v>2010.4023999999999</v>
      </c>
      <c r="Y235" s="408">
        <v>0</v>
      </c>
      <c r="Z235" s="408">
        <v>89.748565081790773</v>
      </c>
      <c r="AA235" s="408">
        <v>0</v>
      </c>
      <c r="AB235" s="408">
        <v>0</v>
      </c>
      <c r="AC235" s="408">
        <v>0</v>
      </c>
      <c r="AD235" s="408">
        <v>8.6063931224275407</v>
      </c>
      <c r="AE235" s="408">
        <v>3899.0973405123382</v>
      </c>
      <c r="AF235" s="408">
        <v>363.54975440182847</v>
      </c>
      <c r="AG235" s="408">
        <v>5.3739028614419171</v>
      </c>
      <c r="AH235" s="408">
        <v>0</v>
      </c>
      <c r="AI235" s="408">
        <v>0</v>
      </c>
      <c r="AJ235" s="408">
        <v>0</v>
      </c>
      <c r="AK235" s="408">
        <v>0</v>
      </c>
      <c r="AL235" s="408">
        <v>15.953924486885747</v>
      </c>
      <c r="AM235" s="408"/>
      <c r="AN235" s="408">
        <v>2.3372241784454677</v>
      </c>
      <c r="AO235" s="408">
        <v>76.78551136249709</v>
      </c>
      <c r="AP235" s="408">
        <v>291.38367432887094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0.77832238477033511</v>
      </c>
      <c r="BE235" s="408">
        <v>0</v>
      </c>
      <c r="BF235" s="408">
        <v>0</v>
      </c>
      <c r="BG235" s="408">
        <v>27.80413891964761</v>
      </c>
      <c r="BH235" s="408">
        <v>0</v>
      </c>
      <c r="BI235" s="408">
        <v>0</v>
      </c>
      <c r="BJ235" s="408">
        <v>0</v>
      </c>
      <c r="BK235" s="408">
        <v>0</v>
      </c>
      <c r="BL235" s="408">
        <v>0</v>
      </c>
      <c r="BM235" s="408"/>
      <c r="BN235" s="408"/>
      <c r="BO235" s="408"/>
      <c r="BP235" s="408"/>
      <c r="BQ235" s="408"/>
      <c r="BR235" s="408">
        <v>80.416095999999897</v>
      </c>
      <c r="BS235" s="408"/>
      <c r="BT235" s="408"/>
      <c r="BU235" s="408"/>
      <c r="BV235" s="408">
        <v>392.13221570624637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1925.3559999999998</v>
      </c>
      <c r="CJ235" s="408">
        <v>-2664.8454560000009</v>
      </c>
      <c r="CK235" s="408"/>
      <c r="CL235" s="408"/>
      <c r="CM235" s="408"/>
      <c r="CN235" s="408"/>
      <c r="CO235" s="408">
        <v>-2826.5624600000001</v>
      </c>
      <c r="CP235" s="408">
        <v>55.536259999999992</v>
      </c>
      <c r="CQ235" s="408">
        <v>30</v>
      </c>
      <c r="CR235" s="408">
        <v>93.69290047395441</v>
      </c>
      <c r="CS235" s="408">
        <v>7.9205425316352631</v>
      </c>
      <c r="CT235" s="408">
        <v>30.056670126873485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0.84149059900964929</v>
      </c>
      <c r="DA235" s="408">
        <v>0</v>
      </c>
      <c r="DB235" s="408">
        <v>0</v>
      </c>
      <c r="DC235" s="408">
        <v>55.543397376799589</v>
      </c>
      <c r="DD235" s="408">
        <v>0</v>
      </c>
      <c r="DE235" s="408">
        <v>0</v>
      </c>
      <c r="DF235" s="408">
        <v>0.11891266320806071</v>
      </c>
      <c r="DG235" s="408">
        <v>4.2479366800144369</v>
      </c>
      <c r="DH235" s="408">
        <v>0</v>
      </c>
      <c r="DI235" s="408">
        <v>-4.2879347494834974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-0.64646273801409038</v>
      </c>
      <c r="DP235" s="408">
        <v>-0.10165201608840491</v>
      </c>
      <c r="DQ235" s="408">
        <v>0</v>
      </c>
      <c r="DR235" s="408">
        <v>0</v>
      </c>
      <c r="DS235" s="408"/>
      <c r="DT235" s="408"/>
      <c r="DU235" s="408"/>
      <c r="DV235" s="408">
        <v>3899.0973405123382</v>
      </c>
      <c r="DW235" s="408">
        <v>0</v>
      </c>
      <c r="DX235" s="408">
        <v>0</v>
      </c>
      <c r="DY235" s="408">
        <v>-2826.5624599999996</v>
      </c>
      <c r="DZ235" s="234">
        <v>55.536260000000027</v>
      </c>
      <c r="EA235" s="408">
        <v>0</v>
      </c>
      <c r="EB235" s="408">
        <v>0</v>
      </c>
      <c r="EC235" s="408">
        <v>-2864.7050951763531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242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234</v>
      </c>
      <c r="B236" s="408" t="s">
        <v>1036</v>
      </c>
      <c r="C236" s="408" t="s">
        <v>2239</v>
      </c>
      <c r="D236" s="408" t="s">
        <v>597</v>
      </c>
      <c r="E236" s="408" t="s">
        <v>974</v>
      </c>
      <c r="F236" s="408" t="s">
        <v>2248</v>
      </c>
      <c r="G236" s="408" t="s">
        <v>1322</v>
      </c>
      <c r="H236" s="408" t="s">
        <v>1322</v>
      </c>
      <c r="I236" s="408" t="s">
        <v>2240</v>
      </c>
      <c r="J236" s="408" t="s">
        <v>2232</v>
      </c>
      <c r="K236" s="828">
        <v>44501</v>
      </c>
      <c r="L236" s="408">
        <v>0</v>
      </c>
      <c r="M236" s="408">
        <v>0</v>
      </c>
      <c r="N236" s="408">
        <v>203.255</v>
      </c>
      <c r="O236" s="408">
        <v>195.12479999999999</v>
      </c>
      <c r="P236" s="408">
        <v>203.255</v>
      </c>
      <c r="Q236" s="408">
        <v>195.12479999999999</v>
      </c>
      <c r="R236" s="408"/>
      <c r="S236" s="408">
        <v>80.27</v>
      </c>
      <c r="T236" s="408">
        <v>216.76</v>
      </c>
      <c r="U236" s="408"/>
      <c r="V236" s="408">
        <v>60372.832649999997</v>
      </c>
      <c r="W236" s="408">
        <v>60372.832649999997</v>
      </c>
      <c r="X236" s="408">
        <v>66925.773849999998</v>
      </c>
      <c r="Y236" s="408">
        <v>0</v>
      </c>
      <c r="Z236" s="408">
        <v>10717.887541539003</v>
      </c>
      <c r="AA236" s="408">
        <v>0</v>
      </c>
      <c r="AB236" s="408">
        <v>0</v>
      </c>
      <c r="AC236" s="408">
        <v>0</v>
      </c>
      <c r="AD236" s="408">
        <v>0</v>
      </c>
      <c r="AE236" s="408">
        <v>0</v>
      </c>
      <c r="AF236" s="408">
        <v>43415.573049908133</v>
      </c>
      <c r="AG236" s="408">
        <v>641.75829970762447</v>
      </c>
      <c r="AH236" s="408">
        <v>0</v>
      </c>
      <c r="AI236" s="408">
        <v>0</v>
      </c>
      <c r="AJ236" s="408">
        <v>0</v>
      </c>
      <c r="AK236" s="408">
        <v>0</v>
      </c>
      <c r="AL236" s="408">
        <v>1905.2379092725985</v>
      </c>
      <c r="AM236" s="408"/>
      <c r="AN236" s="408">
        <v>279.11427754990223</v>
      </c>
      <c r="AO236" s="408">
        <v>0</v>
      </c>
      <c r="AP236" s="408">
        <v>0</v>
      </c>
      <c r="AQ236" s="408">
        <v>0</v>
      </c>
      <c r="AR236" s="408">
        <v>0</v>
      </c>
      <c r="AS236" s="408">
        <v>0</v>
      </c>
      <c r="AT236" s="408">
        <v>0</v>
      </c>
      <c r="AU236" s="408">
        <v>0</v>
      </c>
      <c r="AV236" s="408">
        <v>0</v>
      </c>
      <c r="AW236" s="408">
        <v>0</v>
      </c>
      <c r="AX236" s="408">
        <v>0</v>
      </c>
      <c r="AY236" s="408">
        <v>0</v>
      </c>
      <c r="AZ236" s="408">
        <v>0</v>
      </c>
      <c r="BA236" s="408"/>
      <c r="BB236" s="408">
        <v>0</v>
      </c>
      <c r="BC236" s="408">
        <v>0</v>
      </c>
      <c r="BD236" s="408">
        <v>92.948246954462078</v>
      </c>
      <c r="BE236" s="408">
        <v>0</v>
      </c>
      <c r="BF236" s="408">
        <v>0</v>
      </c>
      <c r="BG236" s="408">
        <v>3320.4055558830637</v>
      </c>
      <c r="BH236" s="408">
        <v>0</v>
      </c>
      <c r="BI236" s="408">
        <v>0</v>
      </c>
      <c r="BJ236" s="408">
        <v>0</v>
      </c>
      <c r="BK236" s="408">
        <v>0</v>
      </c>
      <c r="BL236" s="408">
        <v>0</v>
      </c>
      <c r="BM236" s="408"/>
      <c r="BN236" s="408"/>
      <c r="BO236" s="408"/>
      <c r="BP236" s="408"/>
      <c r="BQ236" s="408"/>
      <c r="BR236" s="408">
        <v>2677.0309540000007</v>
      </c>
      <c r="BS236" s="408"/>
      <c r="BT236" s="408"/>
      <c r="BU236" s="408"/>
      <c r="BV236" s="408">
        <v>46828.926852745659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64247.162399999994</v>
      </c>
      <c r="CJ236" s="408">
        <v>6289.2130559999932</v>
      </c>
      <c r="CK236" s="408"/>
      <c r="CL236" s="408"/>
      <c r="CM236" s="408"/>
      <c r="CN236" s="408"/>
      <c r="CO236" s="408">
        <v>-79.26945000000012</v>
      </c>
      <c r="CP236" s="408">
        <v>6632.2106499999991</v>
      </c>
      <c r="CQ236" s="408">
        <v>30</v>
      </c>
      <c r="CR236" s="408">
        <v>6553.1462721661228</v>
      </c>
      <c r="CS236" s="408">
        <v>0</v>
      </c>
      <c r="CT236" s="408">
        <v>0</v>
      </c>
      <c r="CU236" s="408">
        <v>0</v>
      </c>
      <c r="CV236" s="408">
        <v>0</v>
      </c>
      <c r="CW236" s="408">
        <v>0</v>
      </c>
      <c r="CX236" s="408">
        <v>0</v>
      </c>
      <c r="CY236" s="408">
        <v>0</v>
      </c>
      <c r="CZ236" s="408">
        <v>0</v>
      </c>
      <c r="DA236" s="408">
        <v>0</v>
      </c>
      <c r="DB236" s="408">
        <v>0</v>
      </c>
      <c r="DC236" s="408">
        <v>6633.0630045954167</v>
      </c>
      <c r="DD236" s="408">
        <v>0</v>
      </c>
      <c r="DE236" s="408">
        <v>0</v>
      </c>
      <c r="DF236" s="408">
        <v>14.20070115179459</v>
      </c>
      <c r="DG236" s="408">
        <v>507.29398936329881</v>
      </c>
      <c r="DH236" s="408">
        <v>0</v>
      </c>
      <c r="DI236" s="408">
        <v>-512.07060958065085</v>
      </c>
      <c r="DJ236" s="408"/>
      <c r="DK236" s="408">
        <v>0</v>
      </c>
      <c r="DL236" s="408">
        <v>0</v>
      </c>
      <c r="DM236" s="408">
        <v>0</v>
      </c>
      <c r="DN236" s="408">
        <v>0</v>
      </c>
      <c r="DO236" s="408">
        <v>-77.201400596389021</v>
      </c>
      <c r="DP236" s="408">
        <v>-12.139412767361193</v>
      </c>
      <c r="DQ236" s="408">
        <v>0</v>
      </c>
      <c r="DR236" s="408">
        <v>0</v>
      </c>
      <c r="DS236" s="408"/>
      <c r="DT236" s="408"/>
      <c r="DU236" s="408"/>
      <c r="DV236" s="408">
        <v>0</v>
      </c>
      <c r="DW236" s="408">
        <v>0</v>
      </c>
      <c r="DX236" s="408">
        <v>0</v>
      </c>
      <c r="DY236" s="408">
        <v>-79.269449999999779</v>
      </c>
      <c r="DZ236" s="234">
        <v>6632.2106500000009</v>
      </c>
      <c r="EA236" s="408">
        <v>0</v>
      </c>
      <c r="EB236" s="408">
        <v>0</v>
      </c>
      <c r="EC236" s="408">
        <v>0</v>
      </c>
      <c r="ED236" s="408">
        <v>0</v>
      </c>
      <c r="EE236" s="408">
        <v>0</v>
      </c>
      <c r="EF236" s="408">
        <v>0</v>
      </c>
      <c r="EG236" s="408">
        <v>0</v>
      </c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>
        <v>0</v>
      </c>
      <c r="EN236" s="408">
        <v>0</v>
      </c>
      <c r="EO236" s="408">
        <v>0</v>
      </c>
      <c r="EP236" s="408">
        <v>0</v>
      </c>
      <c r="EQ236" s="408">
        <v>0</v>
      </c>
      <c r="ER236" s="408">
        <v>0</v>
      </c>
      <c r="ES236" s="408">
        <v>0</v>
      </c>
      <c r="ET236" s="408">
        <v>0</v>
      </c>
      <c r="EU236" s="408">
        <v>0</v>
      </c>
      <c r="EV236" s="408">
        <v>242</v>
      </c>
      <c r="EW236" s="408">
        <v>0</v>
      </c>
      <c r="EX236" s="408">
        <v>0</v>
      </c>
      <c r="EY236" s="408">
        <v>0</v>
      </c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235</v>
      </c>
      <c r="B237" s="408" t="s">
        <v>1036</v>
      </c>
      <c r="C237" s="408" t="s">
        <v>2239</v>
      </c>
      <c r="D237" s="408" t="s">
        <v>597</v>
      </c>
      <c r="E237" s="408" t="s">
        <v>974</v>
      </c>
      <c r="F237" s="408" t="s">
        <v>2248</v>
      </c>
      <c r="G237" s="408" t="s">
        <v>1322</v>
      </c>
      <c r="H237" s="408" t="s">
        <v>1322</v>
      </c>
      <c r="I237" s="408" t="s">
        <v>1322</v>
      </c>
      <c r="J237" s="408" t="s">
        <v>2232</v>
      </c>
      <c r="K237" s="828">
        <v>44501</v>
      </c>
      <c r="L237" s="408">
        <v>2231</v>
      </c>
      <c r="M237" s="408">
        <v>2141.7600000000002</v>
      </c>
      <c r="N237" s="408">
        <v>0</v>
      </c>
      <c r="O237" s="408">
        <v>0</v>
      </c>
      <c r="P237" s="408">
        <v>0</v>
      </c>
      <c r="Q237" s="408">
        <v>0</v>
      </c>
      <c r="R237" s="408">
        <v>32.17</v>
      </c>
      <c r="S237" s="408"/>
      <c r="T237" s="408"/>
      <c r="U237" s="408">
        <v>71771.27</v>
      </c>
      <c r="V237" s="408"/>
      <c r="W237" s="408">
        <v>71771.27</v>
      </c>
      <c r="X237" s="408">
        <v>28846.829999999998</v>
      </c>
      <c r="Y237" s="408">
        <v>0</v>
      </c>
      <c r="Z237" s="408">
        <v>0</v>
      </c>
      <c r="AA237" s="408">
        <v>0</v>
      </c>
      <c r="AB237" s="408">
        <v>0</v>
      </c>
      <c r="AC237" s="408">
        <v>0</v>
      </c>
      <c r="AD237" s="408">
        <v>222.91309826787543</v>
      </c>
      <c r="AE237" s="408">
        <v>60073.546740967882</v>
      </c>
      <c r="AF237" s="408"/>
      <c r="AG237" s="408"/>
      <c r="AH237" s="408"/>
      <c r="AI237" s="408">
        <v>0</v>
      </c>
      <c r="AJ237" s="408">
        <v>0</v>
      </c>
      <c r="AK237" s="408">
        <v>0</v>
      </c>
      <c r="AL237" s="408">
        <v>0</v>
      </c>
      <c r="AM237" s="408"/>
      <c r="AN237" s="408">
        <v>0</v>
      </c>
      <c r="AO237" s="408">
        <v>3936.423488409032</v>
      </c>
      <c r="AP237" s="408">
        <v>7547.1721841093122</v>
      </c>
      <c r="AQ237" s="408">
        <v>0</v>
      </c>
      <c r="AR237" s="408">
        <v>0</v>
      </c>
      <c r="AS237" s="408"/>
      <c r="AT237" s="408"/>
      <c r="AU237" s="408">
        <v>0</v>
      </c>
      <c r="AV237" s="408">
        <v>0</v>
      </c>
      <c r="AW237" s="408">
        <v>0</v>
      </c>
      <c r="AX237" s="408"/>
      <c r="AY237" s="408"/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/>
      <c r="BG237" s="408">
        <v>0</v>
      </c>
      <c r="BH237" s="408">
        <v>0</v>
      </c>
      <c r="BI237" s="408">
        <v>865.62</v>
      </c>
      <c r="BJ237" s="408">
        <v>3975.92</v>
      </c>
      <c r="BK237" s="408">
        <v>78.819999999999993</v>
      </c>
      <c r="BL237" s="408">
        <v>13</v>
      </c>
      <c r="BM237" s="408"/>
      <c r="BN237" s="408"/>
      <c r="BO237" s="408"/>
      <c r="BP237" s="408"/>
      <c r="BQ237" s="408"/>
      <c r="BR237" s="408">
        <v>1153.873199999997</v>
      </c>
      <c r="BS237" s="408"/>
      <c r="BT237" s="408"/>
      <c r="BU237" s="408"/>
      <c r="BV237" s="408">
        <v>0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27692.956800000004</v>
      </c>
      <c r="CJ237" s="408">
        <v>-41207.492399999988</v>
      </c>
      <c r="CK237" s="408"/>
      <c r="CL237" s="408"/>
      <c r="CM237" s="408"/>
      <c r="CN237" s="408"/>
      <c r="CO237" s="408">
        <v>-42924.44</v>
      </c>
      <c r="CP237" s="408">
        <v>0</v>
      </c>
      <c r="CQ237" s="408">
        <v>30</v>
      </c>
      <c r="CR237" s="408">
        <v>1206.3457380657474</v>
      </c>
      <c r="CS237" s="408">
        <v>406.04808262956703</v>
      </c>
      <c r="CT237" s="408">
        <v>778.50231400566463</v>
      </c>
      <c r="CU237" s="408">
        <v>0</v>
      </c>
      <c r="CV237" s="408">
        <v>0</v>
      </c>
      <c r="CW237" s="408"/>
      <c r="CX237" s="408"/>
      <c r="CY237" s="408"/>
      <c r="CZ237" s="408">
        <v>21.795341430514185</v>
      </c>
      <c r="DA237" s="408">
        <v>0</v>
      </c>
      <c r="DB237" s="408">
        <v>0</v>
      </c>
      <c r="DC237" s="408"/>
      <c r="DD237" s="408"/>
      <c r="DE237" s="408">
        <v>0</v>
      </c>
      <c r="DF237" s="408">
        <v>0</v>
      </c>
      <c r="DG237" s="408">
        <v>0</v>
      </c>
      <c r="DH237" s="408">
        <v>0</v>
      </c>
      <c r="DI237" s="408">
        <v>0</v>
      </c>
      <c r="DJ237" s="408"/>
      <c r="DK237" s="408">
        <v>0</v>
      </c>
      <c r="DL237" s="408">
        <v>0</v>
      </c>
      <c r="DM237" s="408"/>
      <c r="DN237" s="408">
        <v>0</v>
      </c>
      <c r="DO237" s="408">
        <v>0</v>
      </c>
      <c r="DP237" s="408">
        <v>0</v>
      </c>
      <c r="DQ237" s="408">
        <v>0</v>
      </c>
      <c r="DR237" s="408">
        <v>0</v>
      </c>
      <c r="DS237" s="408"/>
      <c r="DT237" s="408"/>
      <c r="DU237" s="408">
        <v>60073.546740967882</v>
      </c>
      <c r="DV237" s="408"/>
      <c r="DW237" s="408">
        <v>0</v>
      </c>
      <c r="DX237" s="408">
        <v>0</v>
      </c>
      <c r="DY237" s="408">
        <v>-42924.44</v>
      </c>
      <c r="DZ237" s="234"/>
      <c r="EA237" s="408">
        <v>0</v>
      </c>
      <c r="EB237" s="408"/>
      <c r="EC237" s="408">
        <v>-44136.624558224648</v>
      </c>
      <c r="ED237" s="408"/>
      <c r="EE237" s="408">
        <v>0</v>
      </c>
      <c r="EF237" s="408">
        <v>0</v>
      </c>
      <c r="EG237" s="408"/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/>
      <c r="EN237" s="408"/>
      <c r="EO237" s="408">
        <v>0</v>
      </c>
      <c r="EP237" s="408">
        <v>0</v>
      </c>
      <c r="EQ237" s="408"/>
      <c r="ER237" s="408">
        <v>0</v>
      </c>
      <c r="ES237" s="408"/>
      <c r="ET237" s="408">
        <v>0</v>
      </c>
      <c r="EU237" s="408"/>
      <c r="EV237" s="408">
        <v>242</v>
      </c>
      <c r="EW237" s="408"/>
      <c r="EX237" s="408"/>
      <c r="EY237" s="408"/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236</v>
      </c>
      <c r="B238" s="408" t="s">
        <v>1036</v>
      </c>
      <c r="C238" s="408" t="s">
        <v>2239</v>
      </c>
      <c r="D238" s="408" t="s">
        <v>597</v>
      </c>
      <c r="E238" s="408" t="s">
        <v>974</v>
      </c>
      <c r="F238" s="408" t="s">
        <v>2248</v>
      </c>
      <c r="G238" s="408" t="s">
        <v>2250</v>
      </c>
      <c r="H238" s="408" t="s">
        <v>1322</v>
      </c>
      <c r="I238" s="408" t="s">
        <v>2240</v>
      </c>
      <c r="J238" s="408" t="s">
        <v>2232</v>
      </c>
      <c r="K238" s="828">
        <v>44501</v>
      </c>
      <c r="L238" s="408">
        <v>0</v>
      </c>
      <c r="M238" s="408">
        <v>0</v>
      </c>
      <c r="N238" s="408">
        <v>228.31800000000001</v>
      </c>
      <c r="O238" s="408">
        <v>68.495400000000004</v>
      </c>
      <c r="P238" s="408">
        <v>228.31800000000001</v>
      </c>
      <c r="Q238" s="408">
        <v>68.495400000000004</v>
      </c>
      <c r="R238" s="408"/>
      <c r="S238" s="408">
        <v>80.27</v>
      </c>
      <c r="T238" s="408">
        <v>216.76</v>
      </c>
      <c r="U238" s="408"/>
      <c r="V238" s="408">
        <v>67817.295539999992</v>
      </c>
      <c r="W238" s="408">
        <v>67817.295539999992</v>
      </c>
      <c r="X238" s="408">
        <v>75178.267860000007</v>
      </c>
      <c r="Y238" s="408">
        <v>0</v>
      </c>
      <c r="Z238" s="408">
        <v>12039.490530167042</v>
      </c>
      <c r="AA238" s="408">
        <v>0</v>
      </c>
      <c r="AB238" s="408">
        <v>0</v>
      </c>
      <c r="AC238" s="408">
        <v>0</v>
      </c>
      <c r="AD238" s="408">
        <v>0</v>
      </c>
      <c r="AE238" s="408">
        <v>0</v>
      </c>
      <c r="AF238" s="408">
        <v>48769.067465050925</v>
      </c>
      <c r="AG238" s="408">
        <v>720.89233461732999</v>
      </c>
      <c r="AH238" s="408">
        <v>0</v>
      </c>
      <c r="AI238" s="408">
        <v>0</v>
      </c>
      <c r="AJ238" s="408">
        <v>0</v>
      </c>
      <c r="AK238" s="408">
        <v>0</v>
      </c>
      <c r="AL238" s="408">
        <v>2140.1692896573327</v>
      </c>
      <c r="AM238" s="408"/>
      <c r="AN238" s="408">
        <v>313.53134546081805</v>
      </c>
      <c r="AO238" s="408">
        <v>0</v>
      </c>
      <c r="AP238" s="408">
        <v>0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104.40952423383865</v>
      </c>
      <c r="BE238" s="408">
        <v>0</v>
      </c>
      <c r="BF238" s="408">
        <v>0</v>
      </c>
      <c r="BG238" s="408">
        <v>3729.8386544395435</v>
      </c>
      <c r="BH238" s="408">
        <v>0</v>
      </c>
      <c r="BI238" s="408">
        <v>0</v>
      </c>
      <c r="BJ238" s="408">
        <v>0</v>
      </c>
      <c r="BK238" s="408">
        <v>0</v>
      </c>
      <c r="BL238" s="408">
        <v>0</v>
      </c>
      <c r="BM238" s="408"/>
      <c r="BN238" s="408"/>
      <c r="BO238" s="408"/>
      <c r="BP238" s="408"/>
      <c r="BQ238" s="408"/>
      <c r="BR238" s="408"/>
      <c r="BS238" s="408">
        <v>52624.787502000006</v>
      </c>
      <c r="BT238" s="408"/>
      <c r="BU238" s="408"/>
      <c r="BV238" s="408">
        <v>52603.315643724301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22554.994999999999</v>
      </c>
      <c r="CJ238" s="408">
        <v>2209.7763379999997</v>
      </c>
      <c r="CK238" s="408"/>
      <c r="CL238" s="408"/>
      <c r="CM238" s="408"/>
      <c r="CN238" s="408"/>
      <c r="CO238" s="408">
        <v>-89.044020000000131</v>
      </c>
      <c r="CP238" s="408">
        <v>7450.0163399999992</v>
      </c>
      <c r="CQ238" s="408">
        <v>30</v>
      </c>
      <c r="CR238" s="408">
        <v>7361.2026792375254</v>
      </c>
      <c r="CS238" s="408">
        <v>0</v>
      </c>
      <c r="CT238" s="408">
        <v>0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0</v>
      </c>
      <c r="DA238" s="408">
        <v>0</v>
      </c>
      <c r="DB238" s="408">
        <v>0</v>
      </c>
      <c r="DC238" s="408">
        <v>7450.9737968719928</v>
      </c>
      <c r="DD238" s="408">
        <v>0</v>
      </c>
      <c r="DE238" s="408">
        <v>0</v>
      </c>
      <c r="DF238" s="408">
        <v>15.951763477284373</v>
      </c>
      <c r="DG238" s="408">
        <v>569.84747761899871</v>
      </c>
      <c r="DH238" s="408">
        <v>0</v>
      </c>
      <c r="DI238" s="408">
        <v>-575.21309408494199</v>
      </c>
      <c r="DJ238" s="408"/>
      <c r="DK238" s="408">
        <v>0</v>
      </c>
      <c r="DL238" s="408">
        <v>0</v>
      </c>
      <c r="DM238" s="408">
        <v>0</v>
      </c>
      <c r="DN238" s="408">
        <v>0</v>
      </c>
      <c r="DO238" s="408">
        <v>-86.720963230259258</v>
      </c>
      <c r="DP238" s="408">
        <v>-13.636301415553703</v>
      </c>
      <c r="DQ238" s="408">
        <v>0</v>
      </c>
      <c r="DR238" s="408">
        <v>0</v>
      </c>
      <c r="DS238" s="408"/>
      <c r="DT238" s="408"/>
      <c r="DU238" s="408"/>
      <c r="DV238" s="408">
        <v>0</v>
      </c>
      <c r="DW238" s="408">
        <v>0</v>
      </c>
      <c r="DX238" s="408">
        <v>0</v>
      </c>
      <c r="DY238" s="408">
        <v>-89.044019999997545</v>
      </c>
      <c r="DZ238" s="234">
        <v>7450.0163400000019</v>
      </c>
      <c r="EA238" s="408">
        <v>0</v>
      </c>
      <c r="EB238" s="408">
        <v>0</v>
      </c>
      <c r="EC238" s="408">
        <v>0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242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237</v>
      </c>
      <c r="B239" s="408" t="s">
        <v>1036</v>
      </c>
      <c r="C239" s="408" t="s">
        <v>2231</v>
      </c>
      <c r="D239" s="408" t="s">
        <v>2241</v>
      </c>
      <c r="E239" s="408" t="s">
        <v>974</v>
      </c>
      <c r="F239" s="408" t="s">
        <v>2251</v>
      </c>
      <c r="G239" s="408" t="s">
        <v>2249</v>
      </c>
      <c r="H239" s="408" t="s">
        <v>1322</v>
      </c>
      <c r="I239" s="408" t="s">
        <v>1322</v>
      </c>
      <c r="J239" s="408" t="s">
        <v>2232</v>
      </c>
      <c r="K239" s="828">
        <v>44501</v>
      </c>
      <c r="L239" s="408">
        <v>0</v>
      </c>
      <c r="M239" s="408">
        <v>0</v>
      </c>
      <c r="N239" s="408">
        <v>0</v>
      </c>
      <c r="O239" s="408">
        <v>0</v>
      </c>
      <c r="P239" s="408">
        <v>0</v>
      </c>
      <c r="Q239" s="408">
        <v>0</v>
      </c>
      <c r="R239" s="408"/>
      <c r="S239" s="408"/>
      <c r="T239" s="408"/>
      <c r="U239" s="408"/>
      <c r="V239" s="408"/>
      <c r="W239" s="408"/>
      <c r="X239" s="408"/>
      <c r="Y239" s="408"/>
      <c r="Z239" s="408"/>
      <c r="AA239" s="408">
        <v>0</v>
      </c>
      <c r="AB239" s="408"/>
      <c r="AC239" s="408"/>
      <c r="AD239" s="408"/>
      <c r="AE239" s="408"/>
      <c r="AF239" s="408"/>
      <c r="AG239" s="408"/>
      <c r="AH239" s="408"/>
      <c r="AI239" s="408"/>
      <c r="AJ239" s="408"/>
      <c r="AK239" s="408"/>
      <c r="AL239" s="408"/>
      <c r="AM239" s="408"/>
      <c r="AN239" s="408"/>
      <c r="AO239" s="408"/>
      <c r="AP239" s="408"/>
      <c r="AQ239" s="408"/>
      <c r="AR239" s="408"/>
      <c r="AS239" s="408"/>
      <c r="AT239" s="408"/>
      <c r="AU239" s="408"/>
      <c r="AV239" s="408"/>
      <c r="AW239" s="408"/>
      <c r="AX239" s="408"/>
      <c r="AY239" s="408"/>
      <c r="AZ239" s="408">
        <v>0</v>
      </c>
      <c r="BA239" s="408"/>
      <c r="BB239" s="408"/>
      <c r="BC239" s="408"/>
      <c r="BD239" s="408"/>
      <c r="BE239" s="408"/>
      <c r="BF239" s="408"/>
      <c r="BG239" s="408"/>
      <c r="BH239" s="408"/>
      <c r="BI239" s="408">
        <v>12.99</v>
      </c>
      <c r="BJ239" s="408">
        <v>59.76</v>
      </c>
      <c r="BK239" s="408">
        <v>62.61</v>
      </c>
      <c r="BL239" s="408">
        <v>9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/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/>
      <c r="CJ239" s="408">
        <v>-0.03</v>
      </c>
      <c r="CK239" s="408"/>
      <c r="CL239" s="408"/>
      <c r="CM239" s="408"/>
      <c r="CN239" s="408"/>
      <c r="CO239" s="408">
        <v>0</v>
      </c>
      <c r="CP239" s="408">
        <v>0</v>
      </c>
      <c r="CQ239" s="408">
        <v>30</v>
      </c>
      <c r="CR239" s="408"/>
      <c r="CS239" s="408"/>
      <c r="CT239" s="408"/>
      <c r="CU239" s="408"/>
      <c r="CV239" s="408"/>
      <c r="CW239" s="408"/>
      <c r="CX239" s="408"/>
      <c r="CY239" s="408"/>
      <c r="CZ239" s="408"/>
      <c r="DA239" s="408"/>
      <c r="DB239" s="408"/>
      <c r="DC239" s="408"/>
      <c r="DD239" s="408"/>
      <c r="DE239" s="408"/>
      <c r="DF239" s="408"/>
      <c r="DG239" s="408"/>
      <c r="DH239" s="408"/>
      <c r="DI239" s="408"/>
      <c r="DJ239" s="408"/>
      <c r="DK239" s="408">
        <v>0</v>
      </c>
      <c r="DL239" s="408"/>
      <c r="DM239" s="408"/>
      <c r="DN239" s="408"/>
      <c r="DO239" s="408"/>
      <c r="DP239" s="408"/>
      <c r="DQ239" s="408"/>
      <c r="DR239" s="408"/>
      <c r="DS239" s="408"/>
      <c r="DT239" s="408"/>
      <c r="DU239" s="408"/>
      <c r="DV239" s="408"/>
      <c r="DW239" s="408"/>
      <c r="DX239" s="408"/>
      <c r="DY239" s="408"/>
      <c r="DZ239" s="234"/>
      <c r="EA239" s="408"/>
      <c r="EB239" s="408"/>
      <c r="EC239" s="408"/>
      <c r="ED239" s="408"/>
      <c r="EE239" s="408"/>
      <c r="EF239" s="408"/>
      <c r="EG239" s="408"/>
      <c r="EH239" s="408"/>
      <c r="EI239" s="408"/>
      <c r="EJ239" s="408"/>
      <c r="EK239" s="408"/>
      <c r="EL239" s="408"/>
      <c r="EM239" s="408"/>
      <c r="EN239" s="408"/>
      <c r="EO239" s="408"/>
      <c r="EP239" s="408"/>
      <c r="EQ239" s="408"/>
      <c r="ER239" s="408"/>
      <c r="ES239" s="408"/>
      <c r="ET239" s="408"/>
      <c r="EU239" s="408"/>
      <c r="EV239" s="408">
        <v>242</v>
      </c>
      <c r="EW239" s="408"/>
      <c r="EX239" s="408"/>
      <c r="EY239" s="408"/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238</v>
      </c>
      <c r="B240" s="408" t="s">
        <v>2233</v>
      </c>
      <c r="C240" s="408" t="s">
        <v>2231</v>
      </c>
      <c r="D240" s="408" t="s">
        <v>2241</v>
      </c>
      <c r="E240" s="408" t="s">
        <v>974</v>
      </c>
      <c r="F240" s="408" t="s">
        <v>2251</v>
      </c>
      <c r="G240" s="408" t="s">
        <v>2249</v>
      </c>
      <c r="H240" s="408" t="s">
        <v>1322</v>
      </c>
      <c r="I240" s="408" t="s">
        <v>1322</v>
      </c>
      <c r="J240" s="408" t="s">
        <v>2232</v>
      </c>
      <c r="K240" s="828">
        <v>44501</v>
      </c>
      <c r="L240" s="408">
        <v>0</v>
      </c>
      <c r="M240" s="408">
        <v>0</v>
      </c>
      <c r="N240" s="408">
        <v>0</v>
      </c>
      <c r="O240" s="408">
        <v>0</v>
      </c>
      <c r="P240" s="408">
        <v>0</v>
      </c>
      <c r="Q240" s="408">
        <v>0</v>
      </c>
      <c r="R240" s="408"/>
      <c r="S240" s="408"/>
      <c r="T240" s="408"/>
      <c r="U240" s="408"/>
      <c r="V240" s="408"/>
      <c r="W240" s="408"/>
      <c r="X240" s="408"/>
      <c r="Y240" s="408"/>
      <c r="Z240" s="408"/>
      <c r="AA240" s="408">
        <v>0</v>
      </c>
      <c r="AB240" s="408"/>
      <c r="AC240" s="408"/>
      <c r="AD240" s="408"/>
      <c r="AE240" s="408"/>
      <c r="AF240" s="408"/>
      <c r="AG240" s="408"/>
      <c r="AH240" s="408"/>
      <c r="AI240" s="408"/>
      <c r="AJ240" s="408"/>
      <c r="AK240" s="408"/>
      <c r="AL240" s="408"/>
      <c r="AM240" s="408"/>
      <c r="AN240" s="408"/>
      <c r="AO240" s="408"/>
      <c r="AP240" s="408"/>
      <c r="AQ240" s="408"/>
      <c r="AR240" s="408"/>
      <c r="AS240" s="408"/>
      <c r="AT240" s="408"/>
      <c r="AU240" s="408"/>
      <c r="AV240" s="408"/>
      <c r="AW240" s="408"/>
      <c r="AX240" s="408"/>
      <c r="AY240" s="408"/>
      <c r="AZ240" s="408">
        <v>0</v>
      </c>
      <c r="BA240" s="408"/>
      <c r="BB240" s="408"/>
      <c r="BC240" s="408"/>
      <c r="BD240" s="408"/>
      <c r="BE240" s="408"/>
      <c r="BF240" s="408"/>
      <c r="BG240" s="408"/>
      <c r="BH240" s="408"/>
      <c r="BI240" s="408">
        <v>-1.34</v>
      </c>
      <c r="BJ240" s="408">
        <v>-6.18</v>
      </c>
      <c r="BK240" s="408">
        <v>0</v>
      </c>
      <c r="BL240" s="408">
        <v>0</v>
      </c>
      <c r="BM240" s="408"/>
      <c r="BN240" s="408"/>
      <c r="BO240" s="408"/>
      <c r="BP240" s="408"/>
      <c r="BQ240" s="408"/>
      <c r="BR240" s="408"/>
      <c r="BS240" s="408"/>
      <c r="BT240" s="408"/>
      <c r="BU240" s="408"/>
      <c r="BV240" s="408"/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/>
      <c r="CJ240" s="408">
        <v>-0.03</v>
      </c>
      <c r="CK240" s="408"/>
      <c r="CL240" s="408"/>
      <c r="CM240" s="408"/>
      <c r="CN240" s="408"/>
      <c r="CO240" s="408">
        <v>0</v>
      </c>
      <c r="CP240" s="408">
        <v>0</v>
      </c>
      <c r="CQ240" s="408">
        <v>30</v>
      </c>
      <c r="CR240" s="408"/>
      <c r="CS240" s="408"/>
      <c r="CT240" s="408"/>
      <c r="CU240" s="408"/>
      <c r="CV240" s="408"/>
      <c r="CW240" s="408"/>
      <c r="CX240" s="408"/>
      <c r="CY240" s="408"/>
      <c r="CZ240" s="408"/>
      <c r="DA240" s="408"/>
      <c r="DB240" s="408"/>
      <c r="DC240" s="408"/>
      <c r="DD240" s="408"/>
      <c r="DE240" s="408"/>
      <c r="DF240" s="408"/>
      <c r="DG240" s="408"/>
      <c r="DH240" s="408"/>
      <c r="DI240" s="408"/>
      <c r="DJ240" s="408"/>
      <c r="DK240" s="408">
        <v>0</v>
      </c>
      <c r="DL240" s="408"/>
      <c r="DM240" s="408"/>
      <c r="DN240" s="408"/>
      <c r="DO240" s="408"/>
      <c r="DP240" s="408"/>
      <c r="DQ240" s="408"/>
      <c r="DR240" s="408"/>
      <c r="DS240" s="408"/>
      <c r="DT240" s="408"/>
      <c r="DU240" s="408"/>
      <c r="DV240" s="408"/>
      <c r="DW240" s="408"/>
      <c r="DX240" s="408"/>
      <c r="DY240" s="408"/>
      <c r="DZ240" s="234"/>
      <c r="EA240" s="408"/>
      <c r="EB240" s="408"/>
      <c r="EC240" s="408"/>
      <c r="ED240" s="408"/>
      <c r="EE240" s="408"/>
      <c r="EF240" s="408"/>
      <c r="EG240" s="408"/>
      <c r="EH240" s="408"/>
      <c r="EI240" s="408"/>
      <c r="EJ240" s="408"/>
      <c r="EK240" s="408"/>
      <c r="EL240" s="408"/>
      <c r="EM240" s="408"/>
      <c r="EN240" s="408"/>
      <c r="EO240" s="408"/>
      <c r="EP240" s="408"/>
      <c r="EQ240" s="408"/>
      <c r="ER240" s="408"/>
      <c r="ES240" s="408"/>
      <c r="ET240" s="408"/>
      <c r="EU240" s="408"/>
      <c r="EV240" s="408">
        <v>242</v>
      </c>
      <c r="EW240" s="408"/>
      <c r="EX240" s="408"/>
      <c r="EY240" s="408"/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239</v>
      </c>
      <c r="B241" s="408" t="s">
        <v>1036</v>
      </c>
      <c r="C241" s="408" t="s">
        <v>2231</v>
      </c>
      <c r="D241" s="408" t="s">
        <v>2241</v>
      </c>
      <c r="E241" s="408" t="s">
        <v>974</v>
      </c>
      <c r="F241" s="408" t="s">
        <v>2251</v>
      </c>
      <c r="G241" s="408" t="s">
        <v>2249</v>
      </c>
      <c r="H241" s="408" t="s">
        <v>1322</v>
      </c>
      <c r="I241" s="408" t="s">
        <v>1322</v>
      </c>
      <c r="J241" s="408" t="s">
        <v>2232</v>
      </c>
      <c r="K241" s="828">
        <v>44501</v>
      </c>
      <c r="L241" s="408">
        <v>0</v>
      </c>
      <c r="M241" s="408">
        <v>0</v>
      </c>
      <c r="N241" s="408">
        <v>2.5609999999999999</v>
      </c>
      <c r="O241" s="408">
        <v>2.5609999999999999</v>
      </c>
      <c r="P241" s="408">
        <v>2.5609999999999999</v>
      </c>
      <c r="Q241" s="408">
        <v>2.5609999999999999</v>
      </c>
      <c r="R241" s="408"/>
      <c r="S241" s="408">
        <v>571.87</v>
      </c>
      <c r="T241" s="408">
        <v>216.76</v>
      </c>
      <c r="U241" s="408"/>
      <c r="V241" s="408">
        <v>2019.6814300000001</v>
      </c>
      <c r="W241" s="408">
        <v>2019.6814300000001</v>
      </c>
      <c r="X241" s="408">
        <v>1316.37961</v>
      </c>
      <c r="Y241" s="408">
        <v>0</v>
      </c>
      <c r="Z241" s="408">
        <v>155.22379024978466</v>
      </c>
      <c r="AA241" s="408">
        <v>0</v>
      </c>
      <c r="AB241" s="408">
        <v>0</v>
      </c>
      <c r="AC241" s="408">
        <v>0</v>
      </c>
      <c r="AD241" s="408">
        <v>2.104920984440326</v>
      </c>
      <c r="AE241" s="408">
        <v>1091.9685757631075</v>
      </c>
      <c r="AF241" s="408">
        <v>547.03344360933181</v>
      </c>
      <c r="AG241" s="408">
        <v>8.0861135300544937</v>
      </c>
      <c r="AH241" s="408">
        <v>0</v>
      </c>
      <c r="AI241" s="408">
        <v>0</v>
      </c>
      <c r="AJ241" s="408">
        <v>0</v>
      </c>
      <c r="AK241" s="408">
        <v>0</v>
      </c>
      <c r="AL241" s="408">
        <v>24.005875799597177</v>
      </c>
      <c r="AM241" s="408"/>
      <c r="AN241" s="408">
        <v>4.9132005333132875</v>
      </c>
      <c r="AO241" s="408">
        <v>22.746027935452371</v>
      </c>
      <c r="AP241" s="408">
        <v>71.26521619942946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1.5239733016382397</v>
      </c>
      <c r="BE241" s="408">
        <v>0</v>
      </c>
      <c r="BF241" s="408">
        <v>0</v>
      </c>
      <c r="BG241" s="408">
        <v>90.808546151722624</v>
      </c>
      <c r="BH241" s="408">
        <v>0</v>
      </c>
      <c r="BI241" s="408">
        <v>0</v>
      </c>
      <c r="BJ241" s="408">
        <v>0</v>
      </c>
      <c r="BK241" s="408">
        <v>0</v>
      </c>
      <c r="BL241" s="408">
        <v>0</v>
      </c>
      <c r="BM241" s="408"/>
      <c r="BN241" s="408"/>
      <c r="BO241" s="408"/>
      <c r="BP241" s="408"/>
      <c r="BQ241" s="408"/>
      <c r="BR241" s="408">
        <v>157.96247999999994</v>
      </c>
      <c r="BS241" s="408"/>
      <c r="BT241" s="408"/>
      <c r="BU241" s="408"/>
      <c r="BV241" s="408">
        <v>639.36596306269257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1157.9648000000002</v>
      </c>
      <c r="CJ241" s="408">
        <v>-619.39919999999961</v>
      </c>
      <c r="CK241" s="408"/>
      <c r="CL241" s="408"/>
      <c r="CM241" s="408"/>
      <c r="CN241" s="408"/>
      <c r="CO241" s="408">
        <v>-786.86725000000001</v>
      </c>
      <c r="CP241" s="408">
        <v>83.565429999999992</v>
      </c>
      <c r="CQ241" s="408">
        <v>30</v>
      </c>
      <c r="CR241" s="408">
        <v>98.983433272898878</v>
      </c>
      <c r="CS241" s="408">
        <v>2.3462874504799913</v>
      </c>
      <c r="CT241" s="408">
        <v>7.351115671666264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0.20580877434576772</v>
      </c>
      <c r="DA241" s="408">
        <v>0</v>
      </c>
      <c r="DB241" s="408">
        <v>0</v>
      </c>
      <c r="DC241" s="408">
        <v>83.576169613386355</v>
      </c>
      <c r="DD241" s="408">
        <v>0</v>
      </c>
      <c r="DE241" s="408">
        <v>0</v>
      </c>
      <c r="DF241" s="408">
        <v>0.23283375565416509</v>
      </c>
      <c r="DG241" s="408">
        <v>13.873796098180847</v>
      </c>
      <c r="DH241" s="408">
        <v>0</v>
      </c>
      <c r="DI241" s="408">
        <v>-7.4161573898371671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-0.97273270978500648</v>
      </c>
      <c r="DP241" s="408">
        <v>-0.21368799119222892</v>
      </c>
      <c r="DQ241" s="408">
        <v>0</v>
      </c>
      <c r="DR241" s="408">
        <v>0</v>
      </c>
      <c r="DS241" s="408"/>
      <c r="DT241" s="408"/>
      <c r="DU241" s="408"/>
      <c r="DV241" s="408">
        <v>1091.9685757631075</v>
      </c>
      <c r="DW241" s="408">
        <v>0</v>
      </c>
      <c r="DX241" s="408">
        <v>0</v>
      </c>
      <c r="DY241" s="408">
        <v>-786.86725000000001</v>
      </c>
      <c r="DZ241" s="234">
        <v>83.565429999999992</v>
      </c>
      <c r="EA241" s="408">
        <v>0</v>
      </c>
      <c r="EB241" s="408">
        <v>0</v>
      </c>
      <c r="EC241" s="408">
        <v>-802.28003293449456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242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240</v>
      </c>
      <c r="B242" s="408" t="s">
        <v>2233</v>
      </c>
      <c r="C242" s="408" t="s">
        <v>2231</v>
      </c>
      <c r="D242" s="408" t="s">
        <v>2241</v>
      </c>
      <c r="E242" s="408" t="s">
        <v>974</v>
      </c>
      <c r="F242" s="408" t="s">
        <v>2251</v>
      </c>
      <c r="G242" s="408" t="s">
        <v>2249</v>
      </c>
      <c r="H242" s="408" t="s">
        <v>1322</v>
      </c>
      <c r="I242" s="408" t="s">
        <v>1322</v>
      </c>
      <c r="J242" s="408" t="s">
        <v>2232</v>
      </c>
      <c r="K242" s="828">
        <v>44501</v>
      </c>
      <c r="L242" s="408">
        <v>0</v>
      </c>
      <c r="M242" s="408">
        <v>0</v>
      </c>
      <c r="N242" s="408">
        <v>-0.66</v>
      </c>
      <c r="O242" s="408">
        <v>-0.66</v>
      </c>
      <c r="P242" s="408">
        <v>-0.66</v>
      </c>
      <c r="Q242" s="408">
        <v>-0.66</v>
      </c>
      <c r="R242" s="408"/>
      <c r="S242" s="408">
        <v>571.87</v>
      </c>
      <c r="T242" s="408">
        <v>216.76</v>
      </c>
      <c r="U242" s="408"/>
      <c r="V242" s="408">
        <v>-520.49580000000003</v>
      </c>
      <c r="W242" s="408">
        <v>-520.49580000000003</v>
      </c>
      <c r="X242" s="408">
        <v>-339.2466</v>
      </c>
      <c r="Y242" s="408">
        <v>0</v>
      </c>
      <c r="Z242" s="408">
        <v>-40.003007249065938</v>
      </c>
      <c r="AA242" s="408">
        <v>0</v>
      </c>
      <c r="AB242" s="408">
        <v>0</v>
      </c>
      <c r="AC242" s="408">
        <v>0</v>
      </c>
      <c r="AD242" s="408">
        <v>-0.54246304167536719</v>
      </c>
      <c r="AE242" s="408">
        <v>-281.41322139931702</v>
      </c>
      <c r="AF242" s="408">
        <v>-140.97699054359975</v>
      </c>
      <c r="AG242" s="408">
        <v>-2.0838871260585576</v>
      </c>
      <c r="AH242" s="408">
        <v>0</v>
      </c>
      <c r="AI242" s="408">
        <v>0</v>
      </c>
      <c r="AJ242" s="408">
        <v>0</v>
      </c>
      <c r="AK242" s="408">
        <v>0</v>
      </c>
      <c r="AL242" s="408">
        <v>-6.1865982146560476</v>
      </c>
      <c r="AM242" s="408"/>
      <c r="AN242" s="408">
        <v>-1.2661899070623859</v>
      </c>
      <c r="AO242" s="408">
        <v>-5.8619205144078741</v>
      </c>
      <c r="AP242" s="408">
        <v>-18.365889375877956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-0.39274595044171745</v>
      </c>
      <c r="BE242" s="408">
        <v>0</v>
      </c>
      <c r="BF242" s="408">
        <v>0</v>
      </c>
      <c r="BG242" s="408">
        <v>-23.402436727894159</v>
      </c>
      <c r="BH242" s="408">
        <v>0</v>
      </c>
      <c r="BI242" s="408">
        <v>0</v>
      </c>
      <c r="BJ242" s="408">
        <v>0</v>
      </c>
      <c r="BK242" s="408">
        <v>0</v>
      </c>
      <c r="BL242" s="408">
        <v>0</v>
      </c>
      <c r="BM242" s="408"/>
      <c r="BN242" s="408"/>
      <c r="BO242" s="408"/>
      <c r="BP242" s="408"/>
      <c r="BQ242" s="408"/>
      <c r="BR242" s="408">
        <v>-40.708799999999982</v>
      </c>
      <c r="BS242" s="408"/>
      <c r="BT242" s="408"/>
      <c r="BU242" s="408"/>
      <c r="BV242" s="408">
        <v>-164.77217322193562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-298.5378</v>
      </c>
      <c r="CJ242" s="408">
        <v>159.4722000000001</v>
      </c>
      <c r="CK242" s="408"/>
      <c r="CL242" s="408"/>
      <c r="CM242" s="408"/>
      <c r="CN242" s="408"/>
      <c r="CO242" s="408">
        <v>202.785</v>
      </c>
      <c r="CP242" s="408">
        <v>-21.535799999999998</v>
      </c>
      <c r="CQ242" s="408">
        <v>30</v>
      </c>
      <c r="CR242" s="408">
        <v>-25.509201858693302</v>
      </c>
      <c r="CS242" s="408">
        <v>-0.60466603565669441</v>
      </c>
      <c r="CT242" s="408">
        <v>-1.8944694819600691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-5.3039356137527083E-2</v>
      </c>
      <c r="DA242" s="408">
        <v>0</v>
      </c>
      <c r="DB242" s="408">
        <v>0</v>
      </c>
      <c r="DC242" s="408">
        <v>-21.538567725433467</v>
      </c>
      <c r="DD242" s="408">
        <v>0</v>
      </c>
      <c r="DE242" s="408">
        <v>0</v>
      </c>
      <c r="DF242" s="408">
        <v>-6.0004013561791858E-2</v>
      </c>
      <c r="DG242" s="408">
        <v>-3.5754413997654666</v>
      </c>
      <c r="DH242" s="408">
        <v>0</v>
      </c>
      <c r="DI242" s="408">
        <v>1.9112315022618205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0.25068472801956432</v>
      </c>
      <c r="DP242" s="408">
        <v>5.5069923540363552E-2</v>
      </c>
      <c r="DQ242" s="408">
        <v>0</v>
      </c>
      <c r="DR242" s="408">
        <v>0</v>
      </c>
      <c r="DS242" s="408"/>
      <c r="DT242" s="408"/>
      <c r="DU242" s="408"/>
      <c r="DV242" s="408">
        <v>-281.41322139931702</v>
      </c>
      <c r="DW242" s="408">
        <v>0</v>
      </c>
      <c r="DX242" s="408">
        <v>0</v>
      </c>
      <c r="DY242" s="408">
        <v>202.78500000000003</v>
      </c>
      <c r="DZ242" s="234">
        <v>-21.535799999999995</v>
      </c>
      <c r="EA242" s="408">
        <v>0</v>
      </c>
      <c r="EB242" s="408">
        <v>0</v>
      </c>
      <c r="EC242" s="408">
        <v>206.75705651572287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242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241</v>
      </c>
      <c r="B243" s="408" t="s">
        <v>1036</v>
      </c>
      <c r="C243" s="408" t="s">
        <v>2231</v>
      </c>
      <c r="D243" s="408" t="s">
        <v>2241</v>
      </c>
      <c r="E243" s="408" t="s">
        <v>974</v>
      </c>
      <c r="F243" s="408" t="s">
        <v>2251</v>
      </c>
      <c r="G243" s="408" t="s">
        <v>2250</v>
      </c>
      <c r="H243" s="408" t="s">
        <v>1322</v>
      </c>
      <c r="I243" s="408" t="s">
        <v>1322</v>
      </c>
      <c r="J243" s="408" t="s">
        <v>2232</v>
      </c>
      <c r="K243" s="828">
        <v>44501</v>
      </c>
      <c r="L243" s="408">
        <v>0</v>
      </c>
      <c r="M243" s="408">
        <v>0</v>
      </c>
      <c r="N243" s="408">
        <v>3.7429999999999999</v>
      </c>
      <c r="O243" s="408">
        <v>1.4972000000000001</v>
      </c>
      <c r="P243" s="408">
        <v>3.7429999999999999</v>
      </c>
      <c r="Q243" s="408">
        <v>1.4972000000000001</v>
      </c>
      <c r="R243" s="408"/>
      <c r="S243" s="408">
        <v>571.87</v>
      </c>
      <c r="T243" s="408">
        <v>216.76</v>
      </c>
      <c r="U243" s="408"/>
      <c r="V243" s="408">
        <v>2951.8420900000001</v>
      </c>
      <c r="W243" s="408">
        <v>2951.8420900000001</v>
      </c>
      <c r="X243" s="408">
        <v>1923.9394299999999</v>
      </c>
      <c r="Y243" s="408">
        <v>0</v>
      </c>
      <c r="Z243" s="408">
        <v>226.8655395958391</v>
      </c>
      <c r="AA243" s="408">
        <v>0</v>
      </c>
      <c r="AB243" s="408">
        <v>0</v>
      </c>
      <c r="AC243" s="408">
        <v>0</v>
      </c>
      <c r="AD243" s="408">
        <v>3.0764229772589378</v>
      </c>
      <c r="AE243" s="408">
        <v>1595.954072269157</v>
      </c>
      <c r="AF243" s="408">
        <v>799.51041758286954</v>
      </c>
      <c r="AG243" s="408">
        <v>11.818165928541184</v>
      </c>
      <c r="AH243" s="408">
        <v>0</v>
      </c>
      <c r="AI243" s="408">
        <v>0</v>
      </c>
      <c r="AJ243" s="408">
        <v>0</v>
      </c>
      <c r="AK243" s="408">
        <v>0</v>
      </c>
      <c r="AL243" s="408">
        <v>35.085510784026646</v>
      </c>
      <c r="AM243" s="408"/>
      <c r="AN243" s="408">
        <v>7.1808315486886514</v>
      </c>
      <c r="AO243" s="408">
        <v>33.244194674891929</v>
      </c>
      <c r="AP243" s="408">
        <v>104.15685444531998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2.2273455947020429</v>
      </c>
      <c r="BE243" s="408">
        <v>0</v>
      </c>
      <c r="BF243" s="408">
        <v>0</v>
      </c>
      <c r="BG243" s="408">
        <v>132.72018283713305</v>
      </c>
      <c r="BH243" s="408">
        <v>0</v>
      </c>
      <c r="BI243" s="408">
        <v>0</v>
      </c>
      <c r="BJ243" s="408">
        <v>0</v>
      </c>
      <c r="BK243" s="408">
        <v>0</v>
      </c>
      <c r="BL243" s="408">
        <v>0</v>
      </c>
      <c r="BM243" s="408"/>
      <c r="BN243" s="408"/>
      <c r="BO243" s="408"/>
      <c r="BP243" s="408"/>
      <c r="BQ243" s="408"/>
      <c r="BR243" s="408"/>
      <c r="BS243" s="408">
        <v>1246.7109539999999</v>
      </c>
      <c r="BT243" s="408"/>
      <c r="BU243" s="408"/>
      <c r="BV243" s="408">
        <v>934.45794601470459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678.495</v>
      </c>
      <c r="CJ243" s="408">
        <v>-360.59180000000003</v>
      </c>
      <c r="CK243" s="408"/>
      <c r="CL243" s="408"/>
      <c r="CM243" s="408"/>
      <c r="CN243" s="408"/>
      <c r="CO243" s="408">
        <v>-1150.03675</v>
      </c>
      <c r="CP243" s="408">
        <v>122.13408999999997</v>
      </c>
      <c r="CQ243" s="408">
        <v>30</v>
      </c>
      <c r="CR243" s="408">
        <v>144.6680947834675</v>
      </c>
      <c r="CS243" s="408">
        <v>3.4291893507015203</v>
      </c>
      <c r="CT243" s="408">
        <v>10.743938289358383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0.30079743942843029</v>
      </c>
      <c r="DA243" s="408">
        <v>0</v>
      </c>
      <c r="DB243" s="408">
        <v>0</v>
      </c>
      <c r="DC243" s="408">
        <v>122.14978635802629</v>
      </c>
      <c r="DD243" s="408">
        <v>0</v>
      </c>
      <c r="DE243" s="408">
        <v>0</v>
      </c>
      <c r="DF243" s="408">
        <v>0.34029548903301032</v>
      </c>
      <c r="DG243" s="408">
        <v>20.27708660503356</v>
      </c>
      <c r="DH243" s="408">
        <v>0</v>
      </c>
      <c r="DI243" s="408">
        <v>-10.838999262069677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-1.4216862681473188</v>
      </c>
      <c r="DP243" s="408">
        <v>-0.31231321789633437</v>
      </c>
      <c r="DQ243" s="408">
        <v>0</v>
      </c>
      <c r="DR243" s="408">
        <v>0</v>
      </c>
      <c r="DS243" s="408"/>
      <c r="DT243" s="408"/>
      <c r="DU243" s="408"/>
      <c r="DV243" s="408">
        <v>1595.954072269157</v>
      </c>
      <c r="DW243" s="408">
        <v>0</v>
      </c>
      <c r="DX243" s="408">
        <v>0</v>
      </c>
      <c r="DY243" s="408">
        <v>-1150.0367500000002</v>
      </c>
      <c r="DZ243" s="234">
        <v>122.1340899999999</v>
      </c>
      <c r="EA243" s="408">
        <v>0</v>
      </c>
      <c r="EB243" s="408">
        <v>0</v>
      </c>
      <c r="EC243" s="408">
        <v>-1172.5631250581073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242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242</v>
      </c>
      <c r="B244" s="408" t="s">
        <v>2233</v>
      </c>
      <c r="C244" s="408" t="s">
        <v>2231</v>
      </c>
      <c r="D244" s="408" t="s">
        <v>2241</v>
      </c>
      <c r="E244" s="408" t="s">
        <v>974</v>
      </c>
      <c r="F244" s="408" t="s">
        <v>2251</v>
      </c>
      <c r="G244" s="408" t="s">
        <v>2250</v>
      </c>
      <c r="H244" s="408" t="s">
        <v>1322</v>
      </c>
      <c r="I244" s="408" t="s">
        <v>1322</v>
      </c>
      <c r="J244" s="408" t="s">
        <v>2232</v>
      </c>
      <c r="K244" s="828">
        <v>44501</v>
      </c>
      <c r="L244" s="408">
        <v>0</v>
      </c>
      <c r="M244" s="408">
        <v>0</v>
      </c>
      <c r="N244" s="408">
        <v>0.75900000000000001</v>
      </c>
      <c r="O244" s="408">
        <v>0.30359999999999998</v>
      </c>
      <c r="P244" s="408">
        <v>0.75900000000000001</v>
      </c>
      <c r="Q244" s="408">
        <v>0.30359999999999998</v>
      </c>
      <c r="R244" s="408"/>
      <c r="S244" s="408">
        <v>571.87</v>
      </c>
      <c r="T244" s="408">
        <v>216.76</v>
      </c>
      <c r="U244" s="408"/>
      <c r="V244" s="408">
        <v>598.57016999999996</v>
      </c>
      <c r="W244" s="408">
        <v>598.57016999999996</v>
      </c>
      <c r="X244" s="408">
        <v>390.13359000000003</v>
      </c>
      <c r="Y244" s="408">
        <v>0</v>
      </c>
      <c r="Z244" s="408">
        <v>46.00345833642583</v>
      </c>
      <c r="AA244" s="408">
        <v>0</v>
      </c>
      <c r="AB244" s="408">
        <v>0</v>
      </c>
      <c r="AC244" s="408">
        <v>0</v>
      </c>
      <c r="AD244" s="408">
        <v>0.62383249792667217</v>
      </c>
      <c r="AE244" s="408">
        <v>323.62520460921462</v>
      </c>
      <c r="AF244" s="408">
        <v>162.12353912513973</v>
      </c>
      <c r="AG244" s="408">
        <v>2.3964701949673413</v>
      </c>
      <c r="AH244" s="408">
        <v>0</v>
      </c>
      <c r="AI244" s="408">
        <v>0</v>
      </c>
      <c r="AJ244" s="408">
        <v>0</v>
      </c>
      <c r="AK244" s="408">
        <v>0</v>
      </c>
      <c r="AL244" s="408">
        <v>7.1145879468544546</v>
      </c>
      <c r="AM244" s="408"/>
      <c r="AN244" s="408">
        <v>1.4561183931217436</v>
      </c>
      <c r="AO244" s="408">
        <v>6.7412085915690554</v>
      </c>
      <c r="AP244" s="408">
        <v>21.12077278225965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0.45165784300797501</v>
      </c>
      <c r="BE244" s="408">
        <v>0</v>
      </c>
      <c r="BF244" s="408">
        <v>0</v>
      </c>
      <c r="BG244" s="408">
        <v>26.912802237078282</v>
      </c>
      <c r="BH244" s="408">
        <v>0</v>
      </c>
      <c r="BI244" s="408">
        <v>0</v>
      </c>
      <c r="BJ244" s="408">
        <v>0</v>
      </c>
      <c r="BK244" s="408">
        <v>0</v>
      </c>
      <c r="BL244" s="408">
        <v>0</v>
      </c>
      <c r="BM244" s="408"/>
      <c r="BN244" s="408"/>
      <c r="BO244" s="408"/>
      <c r="BP244" s="408"/>
      <c r="BQ244" s="408"/>
      <c r="BR244" s="408"/>
      <c r="BS244" s="408">
        <v>252.80620199999998</v>
      </c>
      <c r="BT244" s="408"/>
      <c r="BU244" s="408"/>
      <c r="BV244" s="408">
        <v>189.487999205226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135.69900000000001</v>
      </c>
      <c r="CJ244" s="408">
        <v>-75.029399999999953</v>
      </c>
      <c r="CK244" s="408"/>
      <c r="CL244" s="408"/>
      <c r="CM244" s="408"/>
      <c r="CN244" s="408"/>
      <c r="CO244" s="408">
        <v>-233.20275000000001</v>
      </c>
      <c r="CP244" s="408">
        <v>24.766169999999995</v>
      </c>
      <c r="CQ244" s="408">
        <v>30</v>
      </c>
      <c r="CR244" s="408">
        <v>29.335582137497113</v>
      </c>
      <c r="CS244" s="408">
        <v>0.695365941005198</v>
      </c>
      <c r="CT244" s="408">
        <v>2.1786399042540765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6.0995259558156212E-2</v>
      </c>
      <c r="DA244" s="408">
        <v>0</v>
      </c>
      <c r="DB244" s="408">
        <v>0</v>
      </c>
      <c r="DC244" s="408">
        <v>24.769352884248462</v>
      </c>
      <c r="DD244" s="408">
        <v>0</v>
      </c>
      <c r="DE244" s="408">
        <v>0</v>
      </c>
      <c r="DF244" s="408">
        <v>6.9004615596060692E-2</v>
      </c>
      <c r="DG244" s="408">
        <v>4.1117576097302866</v>
      </c>
      <c r="DH244" s="408">
        <v>0</v>
      </c>
      <c r="DI244" s="408">
        <v>-2.1979162276010911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-0.2882874372224995</v>
      </c>
      <c r="DP244" s="408">
        <v>-6.3330412071417985E-2</v>
      </c>
      <c r="DQ244" s="408">
        <v>0</v>
      </c>
      <c r="DR244" s="408">
        <v>0</v>
      </c>
      <c r="DS244" s="408"/>
      <c r="DT244" s="408"/>
      <c r="DU244" s="408"/>
      <c r="DV244" s="408">
        <v>323.62520460921462</v>
      </c>
      <c r="DW244" s="408">
        <v>0</v>
      </c>
      <c r="DX244" s="408">
        <v>0</v>
      </c>
      <c r="DY244" s="408">
        <v>-233.20274999999998</v>
      </c>
      <c r="DZ244" s="234">
        <v>24.766169999999988</v>
      </c>
      <c r="EA244" s="408">
        <v>0</v>
      </c>
      <c r="EB244" s="408">
        <v>0</v>
      </c>
      <c r="EC244" s="408">
        <v>-237.77061499308138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242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243</v>
      </c>
      <c r="B245" s="408" t="s">
        <v>1036</v>
      </c>
      <c r="C245" s="408" t="s">
        <v>2231</v>
      </c>
      <c r="D245" s="408" t="s">
        <v>1952</v>
      </c>
      <c r="E245" s="408" t="s">
        <v>969</v>
      </c>
      <c r="F245" s="408" t="s">
        <v>969</v>
      </c>
      <c r="G245" s="408" t="s">
        <v>1322</v>
      </c>
      <c r="H245" s="408" t="s">
        <v>1322</v>
      </c>
      <c r="I245" s="408" t="s">
        <v>1322</v>
      </c>
      <c r="J245" s="408" t="s">
        <v>2232</v>
      </c>
      <c r="K245" s="828">
        <v>44531</v>
      </c>
      <c r="L245" s="408">
        <v>0</v>
      </c>
      <c r="M245" s="408">
        <v>0</v>
      </c>
      <c r="N245" s="408">
        <v>825.30600000000004</v>
      </c>
      <c r="O245" s="408">
        <v>825.30600000000004</v>
      </c>
      <c r="P245" s="408">
        <v>825.30600000000004</v>
      </c>
      <c r="Q245" s="408">
        <v>825.30600000000004</v>
      </c>
      <c r="R245" s="408"/>
      <c r="S245" s="408">
        <v>571.87</v>
      </c>
      <c r="T245" s="408">
        <v>216.76</v>
      </c>
      <c r="U245" s="408"/>
      <c r="V245" s="408">
        <v>650861.07077999995</v>
      </c>
      <c r="W245" s="408">
        <v>650861.07077999995</v>
      </c>
      <c r="X245" s="408">
        <v>424215.53706</v>
      </c>
      <c r="Y245" s="408">
        <v>0</v>
      </c>
      <c r="Z245" s="408">
        <v>50022.305910147901</v>
      </c>
      <c r="AA245" s="408">
        <v>0</v>
      </c>
      <c r="AB245" s="408">
        <v>0</v>
      </c>
      <c r="AC245" s="408">
        <v>0</v>
      </c>
      <c r="AD245" s="408">
        <v>678.33030768625838</v>
      </c>
      <c r="AE245" s="408">
        <v>351897.0001517951</v>
      </c>
      <c r="AF245" s="408">
        <v>176286.60023875174</v>
      </c>
      <c r="AG245" s="408">
        <v>2605.8250734225517</v>
      </c>
      <c r="AH245" s="408">
        <v>0</v>
      </c>
      <c r="AI245" s="408">
        <v>0</v>
      </c>
      <c r="AJ245" s="408">
        <v>0</v>
      </c>
      <c r="AK245" s="408">
        <v>0</v>
      </c>
      <c r="AL245" s="408">
        <v>7736.1161002195822</v>
      </c>
      <c r="AM245" s="408"/>
      <c r="AN245" s="408">
        <v>1583.3244355121658</v>
      </c>
      <c r="AO245" s="408">
        <v>7330.1184425210686</v>
      </c>
      <c r="AP245" s="408">
        <v>22965.876814012627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491.11452935644246</v>
      </c>
      <c r="BE245" s="408">
        <v>0</v>
      </c>
      <c r="BF245" s="408">
        <v>0</v>
      </c>
      <c r="BG245" s="408">
        <v>29263.896130532448</v>
      </c>
      <c r="BH245" s="408">
        <v>0</v>
      </c>
      <c r="BI245" s="408">
        <v>2365.77</v>
      </c>
      <c r="BJ245" s="408">
        <v>10968.25</v>
      </c>
      <c r="BK245" s="408">
        <v>222930.97</v>
      </c>
      <c r="BL245" s="408">
        <v>4494</v>
      </c>
      <c r="BM245" s="408"/>
      <c r="BN245" s="408"/>
      <c r="BO245" s="408"/>
      <c r="BP245" s="408"/>
      <c r="BQ245" s="408"/>
      <c r="BR245" s="408"/>
      <c r="BS245" s="408"/>
      <c r="BT245" s="408"/>
      <c r="BU245" s="408"/>
      <c r="BV245" s="408">
        <v>206041.61089864065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424217.59309999994</v>
      </c>
      <c r="CJ245" s="408">
        <v>-226643.50768000004</v>
      </c>
      <c r="CK245" s="408"/>
      <c r="CL245" s="408"/>
      <c r="CM245" s="408"/>
      <c r="CN245" s="408"/>
      <c r="CO245" s="408">
        <v>-253575.26850000001</v>
      </c>
      <c r="CP245" s="408">
        <v>26929.734779999999</v>
      </c>
      <c r="CQ245" s="408"/>
      <c r="CR245" s="408">
        <v>31898.329316955467</v>
      </c>
      <c r="CS245" s="408">
        <v>756.11288973285355</v>
      </c>
      <c r="CT245" s="408">
        <v>2368.9651973917171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66.323786146118096</v>
      </c>
      <c r="DA245" s="408">
        <v>0</v>
      </c>
      <c r="DB245" s="408">
        <v>0</v>
      </c>
      <c r="DC245" s="408">
        <v>26933.195720009971</v>
      </c>
      <c r="DD245" s="408">
        <v>0</v>
      </c>
      <c r="DE245" s="408">
        <v>0</v>
      </c>
      <c r="DF245" s="408">
        <v>75.032836994891284</v>
      </c>
      <c r="DG245" s="408">
        <v>4470.9594543558123</v>
      </c>
      <c r="DH245" s="408">
        <v>0</v>
      </c>
      <c r="DI245" s="408">
        <v>-2389.9254942510524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-313.47213658017426</v>
      </c>
      <c r="DP245" s="408">
        <v>-68.862936844550404</v>
      </c>
      <c r="DQ245" s="408">
        <v>0</v>
      </c>
      <c r="DR245" s="408">
        <v>0</v>
      </c>
      <c r="DS245" s="408"/>
      <c r="DT245" s="408"/>
      <c r="DU245" s="408"/>
      <c r="DV245" s="408">
        <v>351897.0001517951</v>
      </c>
      <c r="DW245" s="408">
        <v>0</v>
      </c>
      <c r="DX245" s="408">
        <v>0</v>
      </c>
      <c r="DY245" s="408">
        <v>-253575.26850000001</v>
      </c>
      <c r="DZ245" s="234">
        <v>26929.734779999999</v>
      </c>
      <c r="EA245" s="408">
        <v>0</v>
      </c>
      <c r="EB245" s="408">
        <v>0</v>
      </c>
      <c r="EC245" s="408">
        <v>-258542.18073449278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242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244</v>
      </c>
      <c r="B246" s="408" t="s">
        <v>2233</v>
      </c>
      <c r="C246" s="408" t="s">
        <v>2231</v>
      </c>
      <c r="D246" s="408" t="s">
        <v>1952</v>
      </c>
      <c r="E246" s="408" t="s">
        <v>969</v>
      </c>
      <c r="F246" s="408" t="s">
        <v>969</v>
      </c>
      <c r="G246" s="408" t="s">
        <v>1322</v>
      </c>
      <c r="H246" s="408" t="s">
        <v>1322</v>
      </c>
      <c r="I246" s="408" t="s">
        <v>1322</v>
      </c>
      <c r="J246" s="408" t="s">
        <v>2232</v>
      </c>
      <c r="K246" s="828">
        <v>44531</v>
      </c>
      <c r="L246" s="408">
        <v>0</v>
      </c>
      <c r="M246" s="408">
        <v>0</v>
      </c>
      <c r="N246" s="408">
        <v>-1.107</v>
      </c>
      <c r="O246" s="408">
        <v>-1.107</v>
      </c>
      <c r="P246" s="408">
        <v>-1.107</v>
      </c>
      <c r="Q246" s="408">
        <v>-1.107</v>
      </c>
      <c r="R246" s="408"/>
      <c r="S246" s="408">
        <v>571.87</v>
      </c>
      <c r="T246" s="408">
        <v>216.76</v>
      </c>
      <c r="U246" s="408"/>
      <c r="V246" s="408">
        <v>-873.01340999999991</v>
      </c>
      <c r="W246" s="408">
        <v>-873.01340999999991</v>
      </c>
      <c r="X246" s="408">
        <v>-569.00907000000007</v>
      </c>
      <c r="Y246" s="408">
        <v>0</v>
      </c>
      <c r="Z246" s="408">
        <v>-67.095953067751509</v>
      </c>
      <c r="AA246" s="408">
        <v>0</v>
      </c>
      <c r="AB246" s="408">
        <v>0</v>
      </c>
      <c r="AC246" s="408">
        <v>0</v>
      </c>
      <c r="AD246" s="408">
        <v>-0.90985846535550208</v>
      </c>
      <c r="AE246" s="408">
        <v>-472.00672134703632</v>
      </c>
      <c r="AF246" s="408">
        <v>-236.45686141176506</v>
      </c>
      <c r="AG246" s="408">
        <v>-3.4952470432527627</v>
      </c>
      <c r="AH246" s="408">
        <v>0</v>
      </c>
      <c r="AI246" s="408">
        <v>0</v>
      </c>
      <c r="AJ246" s="408">
        <v>0</v>
      </c>
      <c r="AK246" s="408">
        <v>0</v>
      </c>
      <c r="AL246" s="408">
        <v>-10.376612460036734</v>
      </c>
      <c r="AM246" s="408"/>
      <c r="AN246" s="408">
        <v>-2.1237457986637289</v>
      </c>
      <c r="AO246" s="408">
        <v>-9.8320394082568434</v>
      </c>
      <c r="AP246" s="408">
        <v>-30.804605362268024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-0.65874207142269869</v>
      </c>
      <c r="BE246" s="408">
        <v>0</v>
      </c>
      <c r="BF246" s="408">
        <v>0</v>
      </c>
      <c r="BG246" s="408">
        <v>-39.252268875422473</v>
      </c>
      <c r="BH246" s="408">
        <v>0</v>
      </c>
      <c r="BI246" s="408">
        <v>-4.0599999999999996</v>
      </c>
      <c r="BJ246" s="408">
        <v>-18.68</v>
      </c>
      <c r="BK246" s="408">
        <v>-332.84</v>
      </c>
      <c r="BL246" s="408">
        <v>0</v>
      </c>
      <c r="BM246" s="408"/>
      <c r="BN246" s="408"/>
      <c r="BO246" s="408"/>
      <c r="BP246" s="408"/>
      <c r="BQ246" s="408"/>
      <c r="BR246" s="408"/>
      <c r="BS246" s="408"/>
      <c r="BT246" s="408"/>
      <c r="BU246" s="408"/>
      <c r="BV246" s="408">
        <v>-276.36787235861021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-570.55110000000002</v>
      </c>
      <c r="CJ246" s="408">
        <v>302.43230999999992</v>
      </c>
      <c r="CK246" s="408"/>
      <c r="CL246" s="408"/>
      <c r="CM246" s="408"/>
      <c r="CN246" s="408"/>
      <c r="CO246" s="408">
        <v>340.12574999999998</v>
      </c>
      <c r="CP246" s="408">
        <v>-36.121409999999997</v>
      </c>
      <c r="CQ246" s="408"/>
      <c r="CR246" s="408">
        <v>-42.785888572080978</v>
      </c>
      <c r="CS246" s="408">
        <v>-1.0141898507150913</v>
      </c>
      <c r="CT246" s="408">
        <v>-3.1775419947421106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-8.8961465521579575E-2</v>
      </c>
      <c r="DA246" s="408">
        <v>0</v>
      </c>
      <c r="DB246" s="408">
        <v>0</v>
      </c>
      <c r="DC246" s="408">
        <v>-36.12605223038608</v>
      </c>
      <c r="DD246" s="408">
        <v>0</v>
      </c>
      <c r="DE246" s="408">
        <v>0</v>
      </c>
      <c r="DF246" s="408">
        <v>-0.10064309547409633</v>
      </c>
      <c r="DG246" s="408">
        <v>-5.9969903477884401</v>
      </c>
      <c r="DH246" s="408">
        <v>0</v>
      </c>
      <c r="DI246" s="408">
        <v>3.2056564742482365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0.4204666574509961</v>
      </c>
      <c r="DP246" s="408">
        <v>9.2367280847246214E-2</v>
      </c>
      <c r="DQ246" s="408">
        <v>0</v>
      </c>
      <c r="DR246" s="408">
        <v>0</v>
      </c>
      <c r="DS246" s="408"/>
      <c r="DT246" s="408"/>
      <c r="DU246" s="408"/>
      <c r="DV246" s="408">
        <v>-472.00672134703632</v>
      </c>
      <c r="DW246" s="408">
        <v>0</v>
      </c>
      <c r="DX246" s="408">
        <v>0</v>
      </c>
      <c r="DY246" s="408">
        <v>340.12574999999993</v>
      </c>
      <c r="DZ246" s="234">
        <v>-36.121409999999997</v>
      </c>
      <c r="EA246" s="408">
        <v>0</v>
      </c>
      <c r="EB246" s="408">
        <v>0</v>
      </c>
      <c r="EC246" s="408">
        <v>346.78797206500798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242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245</v>
      </c>
      <c r="B247" s="408" t="s">
        <v>2234</v>
      </c>
      <c r="C247" s="408" t="s">
        <v>2231</v>
      </c>
      <c r="D247" s="408" t="s">
        <v>1952</v>
      </c>
      <c r="E247" s="408" t="s">
        <v>969</v>
      </c>
      <c r="F247" s="408" t="s">
        <v>969</v>
      </c>
      <c r="G247" s="408" t="s">
        <v>1322</v>
      </c>
      <c r="H247" s="408" t="s">
        <v>1322</v>
      </c>
      <c r="I247" s="408" t="s">
        <v>1322</v>
      </c>
      <c r="J247" s="408" t="s">
        <v>2232</v>
      </c>
      <c r="K247" s="828">
        <v>44531</v>
      </c>
      <c r="L247" s="408">
        <v>0</v>
      </c>
      <c r="M247" s="408">
        <v>0</v>
      </c>
      <c r="N247" s="408">
        <v>12.351000000000001</v>
      </c>
      <c r="O247" s="408">
        <v>12.351000000000001</v>
      </c>
      <c r="P247" s="408">
        <v>12.351000000000001</v>
      </c>
      <c r="Q247" s="408">
        <v>12.351000000000001</v>
      </c>
      <c r="R247" s="408"/>
      <c r="S247" s="408">
        <v>571.87</v>
      </c>
      <c r="T247" s="408">
        <v>216.76</v>
      </c>
      <c r="U247" s="408"/>
      <c r="V247" s="408">
        <v>9740.369130000001</v>
      </c>
      <c r="W247" s="408">
        <v>9740.369130000001</v>
      </c>
      <c r="X247" s="408">
        <v>6348.5375100000001</v>
      </c>
      <c r="Y247" s="408">
        <v>0</v>
      </c>
      <c r="Z247" s="408">
        <v>748.60173111092945</v>
      </c>
      <c r="AA247" s="408">
        <v>0</v>
      </c>
      <c r="AB247" s="408">
        <v>0</v>
      </c>
      <c r="AC247" s="408">
        <v>0</v>
      </c>
      <c r="AD247" s="408">
        <v>10.151456102624939</v>
      </c>
      <c r="AE247" s="408">
        <v>5266.264693186311</v>
      </c>
      <c r="AF247" s="408">
        <v>2638.1921366727283</v>
      </c>
      <c r="AG247" s="408">
        <v>38.997105899923099</v>
      </c>
      <c r="AH247" s="408">
        <v>0</v>
      </c>
      <c r="AI247" s="408">
        <v>0</v>
      </c>
      <c r="AJ247" s="408">
        <v>0</v>
      </c>
      <c r="AK247" s="408">
        <v>0</v>
      </c>
      <c r="AL247" s="408">
        <v>115.77374931699522</v>
      </c>
      <c r="AM247" s="408"/>
      <c r="AN247" s="408">
        <v>23.695017488072011</v>
      </c>
      <c r="AO247" s="408">
        <v>109.69784889916917</v>
      </c>
      <c r="AP247" s="408">
        <v>343.6925752749525</v>
      </c>
      <c r="AQ247" s="408">
        <v>0</v>
      </c>
      <c r="AR247" s="408">
        <v>0</v>
      </c>
      <c r="AS247" s="408">
        <v>0</v>
      </c>
      <c r="AT247" s="408">
        <v>0</v>
      </c>
      <c r="AU247" s="408">
        <v>0</v>
      </c>
      <c r="AV247" s="408">
        <v>0</v>
      </c>
      <c r="AW247" s="408">
        <v>0</v>
      </c>
      <c r="AX247" s="408">
        <v>0</v>
      </c>
      <c r="AY247" s="408">
        <v>0</v>
      </c>
      <c r="AZ247" s="408">
        <v>0</v>
      </c>
      <c r="BA247" s="408"/>
      <c r="BB247" s="408">
        <v>0</v>
      </c>
      <c r="BC247" s="408">
        <v>0</v>
      </c>
      <c r="BD247" s="408">
        <v>7.3497048998570484</v>
      </c>
      <c r="BE247" s="408">
        <v>0</v>
      </c>
      <c r="BF247" s="408">
        <v>0</v>
      </c>
      <c r="BG247" s="408">
        <v>437.9446909488193</v>
      </c>
      <c r="BH247" s="408">
        <v>0</v>
      </c>
      <c r="BI247" s="408">
        <v>34.770000000000003</v>
      </c>
      <c r="BJ247" s="408">
        <v>163.72999999999999</v>
      </c>
      <c r="BK247" s="408">
        <v>8728.65</v>
      </c>
      <c r="BL247" s="408">
        <v>157</v>
      </c>
      <c r="BM247" s="408"/>
      <c r="BN247" s="408"/>
      <c r="BO247" s="408"/>
      <c r="BP247" s="408"/>
      <c r="BQ247" s="408"/>
      <c r="BR247" s="408"/>
      <c r="BS247" s="408"/>
      <c r="BT247" s="408"/>
      <c r="BU247" s="408"/>
      <c r="BV247" s="408">
        <v>3083.4865325214046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6348.0234999999993</v>
      </c>
      <c r="CJ247" s="408">
        <v>-3392.3756300000023</v>
      </c>
      <c r="CK247" s="408"/>
      <c r="CL247" s="408"/>
      <c r="CM247" s="408"/>
      <c r="CN247" s="408"/>
      <c r="CO247" s="408">
        <v>-3794.8447500000002</v>
      </c>
      <c r="CP247" s="408">
        <v>403.01312999999999</v>
      </c>
      <c r="CQ247" s="408"/>
      <c r="CR247" s="408">
        <v>477.36992751018352</v>
      </c>
      <c r="CS247" s="408">
        <v>11.315500312720957</v>
      </c>
      <c r="CT247" s="408">
        <v>35.452412987407229</v>
      </c>
      <c r="CU247" s="408">
        <v>0</v>
      </c>
      <c r="CV247" s="408">
        <v>0</v>
      </c>
      <c r="CW247" s="408">
        <v>0</v>
      </c>
      <c r="CX247" s="408">
        <v>0</v>
      </c>
      <c r="CY247" s="408">
        <v>0</v>
      </c>
      <c r="CZ247" s="408">
        <v>0.99255922371908589</v>
      </c>
      <c r="DA247" s="408">
        <v>0</v>
      </c>
      <c r="DB247" s="408">
        <v>0</v>
      </c>
      <c r="DC247" s="408">
        <v>403.06492420731593</v>
      </c>
      <c r="DD247" s="408">
        <v>0</v>
      </c>
      <c r="DE247" s="408">
        <v>0</v>
      </c>
      <c r="DF247" s="408">
        <v>1.122893290154078</v>
      </c>
      <c r="DG247" s="408">
        <v>66.909510194701966</v>
      </c>
      <c r="DH247" s="408">
        <v>0</v>
      </c>
      <c r="DI247" s="408">
        <v>-35.766091340054118</v>
      </c>
      <c r="DJ247" s="408"/>
      <c r="DK247" s="408">
        <v>0</v>
      </c>
      <c r="DL247" s="408">
        <v>0</v>
      </c>
      <c r="DM247" s="408">
        <v>0</v>
      </c>
      <c r="DN247" s="408">
        <v>0</v>
      </c>
      <c r="DO247" s="408">
        <v>-4.69122284207522</v>
      </c>
      <c r="DP247" s="408">
        <v>-1.0305585237076222</v>
      </c>
      <c r="DQ247" s="408">
        <v>0</v>
      </c>
      <c r="DR247" s="408">
        <v>0</v>
      </c>
      <c r="DS247" s="408"/>
      <c r="DT247" s="408"/>
      <c r="DU247" s="408"/>
      <c r="DV247" s="408">
        <v>5266.264693186311</v>
      </c>
      <c r="DW247" s="408">
        <v>0</v>
      </c>
      <c r="DX247" s="408">
        <v>0</v>
      </c>
      <c r="DY247" s="408">
        <v>-3794.8447500000007</v>
      </c>
      <c r="DZ247" s="234">
        <v>403.01312999999982</v>
      </c>
      <c r="EA247" s="408">
        <v>0</v>
      </c>
      <c r="EB247" s="408">
        <v>0</v>
      </c>
      <c r="EC247" s="408">
        <v>-3869.1763712510515</v>
      </c>
      <c r="ED247" s="408">
        <v>0</v>
      </c>
      <c r="EE247" s="408">
        <v>0</v>
      </c>
      <c r="EF247" s="408">
        <v>0</v>
      </c>
      <c r="EG247" s="408">
        <v>0</v>
      </c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>
        <v>0</v>
      </c>
      <c r="EN247" s="408">
        <v>0</v>
      </c>
      <c r="EO247" s="408">
        <v>0</v>
      </c>
      <c r="EP247" s="408">
        <v>0</v>
      </c>
      <c r="EQ247" s="408">
        <v>0</v>
      </c>
      <c r="ER247" s="408">
        <v>0</v>
      </c>
      <c r="ES247" s="408">
        <v>0</v>
      </c>
      <c r="ET247" s="408">
        <v>0</v>
      </c>
      <c r="EU247" s="408">
        <v>0</v>
      </c>
      <c r="EV247" s="408">
        <v>242</v>
      </c>
      <c r="EW247" s="408">
        <v>0</v>
      </c>
      <c r="EX247" s="408">
        <v>0</v>
      </c>
      <c r="EY247" s="408">
        <v>0</v>
      </c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246</v>
      </c>
      <c r="B248" s="408" t="s">
        <v>2234</v>
      </c>
      <c r="C248" s="408" t="s">
        <v>2231</v>
      </c>
      <c r="D248" s="408" t="s">
        <v>1952</v>
      </c>
      <c r="E248" s="408" t="s">
        <v>969</v>
      </c>
      <c r="F248" s="408" t="s">
        <v>969</v>
      </c>
      <c r="G248" s="408" t="s">
        <v>1322</v>
      </c>
      <c r="H248" s="408" t="s">
        <v>1322</v>
      </c>
      <c r="I248" s="408" t="s">
        <v>1322</v>
      </c>
      <c r="J248" s="408" t="s">
        <v>2232</v>
      </c>
      <c r="K248" s="828">
        <v>44531</v>
      </c>
      <c r="L248" s="408">
        <v>0</v>
      </c>
      <c r="M248" s="408">
        <v>0</v>
      </c>
      <c r="N248" s="408">
        <v>-1.2649999999999999</v>
      </c>
      <c r="O248" s="408">
        <v>-1.2649999999999999</v>
      </c>
      <c r="P248" s="408">
        <v>-1.2649999999999999</v>
      </c>
      <c r="Q248" s="408">
        <v>-1.2649999999999999</v>
      </c>
      <c r="R248" s="408"/>
      <c r="S248" s="408">
        <v>571.87</v>
      </c>
      <c r="T248" s="408">
        <v>216.76</v>
      </c>
      <c r="U248" s="408"/>
      <c r="V248" s="408">
        <v>-997.61694999999986</v>
      </c>
      <c r="W248" s="408">
        <v>-997.61694999999986</v>
      </c>
      <c r="X248" s="408">
        <v>-650.22264999999993</v>
      </c>
      <c r="Y248" s="408">
        <v>0</v>
      </c>
      <c r="Z248" s="408">
        <v>-76.672430560709714</v>
      </c>
      <c r="AA248" s="408">
        <v>0</v>
      </c>
      <c r="AB248" s="408">
        <v>0</v>
      </c>
      <c r="AC248" s="408">
        <v>0</v>
      </c>
      <c r="AD248" s="408">
        <v>-1.0397208298777869</v>
      </c>
      <c r="AE248" s="408">
        <v>-539.37534101535766</v>
      </c>
      <c r="AF248" s="408">
        <v>-270.2058985418995</v>
      </c>
      <c r="AG248" s="408">
        <v>-3.994116991612235</v>
      </c>
      <c r="AH248" s="408">
        <v>0</v>
      </c>
      <c r="AI248" s="408">
        <v>0</v>
      </c>
      <c r="AJ248" s="408">
        <v>0</v>
      </c>
      <c r="AK248" s="408">
        <v>0</v>
      </c>
      <c r="AL248" s="408">
        <v>-11.857646578090757</v>
      </c>
      <c r="AM248" s="408"/>
      <c r="AN248" s="408">
        <v>-2.4268639885362391</v>
      </c>
      <c r="AO248" s="408">
        <v>-11.23534765261509</v>
      </c>
      <c r="AP248" s="408">
        <v>-35.201287970432745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-0.75276307167995826</v>
      </c>
      <c r="BE248" s="408">
        <v>0</v>
      </c>
      <c r="BF248" s="408">
        <v>0</v>
      </c>
      <c r="BG248" s="408">
        <v>-44.854670395130462</v>
      </c>
      <c r="BH248" s="408">
        <v>0</v>
      </c>
      <c r="BI248" s="408">
        <v>0.35</v>
      </c>
      <c r="BJ248" s="408">
        <v>1.63</v>
      </c>
      <c r="BK248" s="408">
        <v>-100.34</v>
      </c>
      <c r="BL248" s="408">
        <v>3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-315.81333200870995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-652.79269999999997</v>
      </c>
      <c r="CJ248" s="408">
        <v>344.79424999999992</v>
      </c>
      <c r="CK248" s="408"/>
      <c r="CL248" s="408"/>
      <c r="CM248" s="408"/>
      <c r="CN248" s="408"/>
      <c r="CO248" s="408">
        <v>388.67124999999999</v>
      </c>
      <c r="CP248" s="408">
        <v>-41.276949999999992</v>
      </c>
      <c r="CQ248" s="408"/>
      <c r="CR248" s="408">
        <v>-48.892636895828673</v>
      </c>
      <c r="CS248" s="408">
        <v>-1.1589432350086639</v>
      </c>
      <c r="CT248" s="408">
        <v>-3.6310665070901251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-0.10165876593026013</v>
      </c>
      <c r="DA248" s="408">
        <v>0</v>
      </c>
      <c r="DB248" s="408">
        <v>0</v>
      </c>
      <c r="DC248" s="408">
        <v>-41.28225480708079</v>
      </c>
      <c r="DD248" s="408">
        <v>0</v>
      </c>
      <c r="DE248" s="408">
        <v>0</v>
      </c>
      <c r="DF248" s="408">
        <v>-0.11500769266010114</v>
      </c>
      <c r="DG248" s="408">
        <v>-6.8529293495504788</v>
      </c>
      <c r="DH248" s="408">
        <v>0</v>
      </c>
      <c r="DI248" s="408">
        <v>3.6631937126684875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0.48047906203749768</v>
      </c>
      <c r="DP248" s="408">
        <v>0.10555068678569679</v>
      </c>
      <c r="DQ248" s="408">
        <v>0</v>
      </c>
      <c r="DR248" s="408">
        <v>0</v>
      </c>
      <c r="DS248" s="408"/>
      <c r="DT248" s="408"/>
      <c r="DU248" s="408"/>
      <c r="DV248" s="408">
        <v>-539.37534101535766</v>
      </c>
      <c r="DW248" s="408">
        <v>0</v>
      </c>
      <c r="DX248" s="408">
        <v>0</v>
      </c>
      <c r="DY248" s="408">
        <v>388.67124999999999</v>
      </c>
      <c r="DZ248" s="234">
        <v>-41.276949999999999</v>
      </c>
      <c r="EA248" s="408">
        <v>0</v>
      </c>
      <c r="EB248" s="408">
        <v>0</v>
      </c>
      <c r="EC248" s="408">
        <v>396.28435832180224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242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247</v>
      </c>
      <c r="B249" s="408" t="s">
        <v>1036</v>
      </c>
      <c r="C249" s="408" t="s">
        <v>2231</v>
      </c>
      <c r="D249" s="408" t="s">
        <v>1952</v>
      </c>
      <c r="E249" s="408" t="s">
        <v>969</v>
      </c>
      <c r="F249" s="408" t="s">
        <v>2235</v>
      </c>
      <c r="G249" s="408" t="s">
        <v>1322</v>
      </c>
      <c r="H249" s="408" t="s">
        <v>1322</v>
      </c>
      <c r="I249" s="408" t="s">
        <v>1322</v>
      </c>
      <c r="J249" s="408" t="s">
        <v>2232</v>
      </c>
      <c r="K249" s="828">
        <v>44531</v>
      </c>
      <c r="L249" s="408">
        <v>0</v>
      </c>
      <c r="M249" s="408">
        <v>0</v>
      </c>
      <c r="N249" s="408">
        <v>3.48</v>
      </c>
      <c r="O249" s="408">
        <v>3.48</v>
      </c>
      <c r="P249" s="408">
        <v>3.48</v>
      </c>
      <c r="Q249" s="408">
        <v>3.48</v>
      </c>
      <c r="R249" s="408"/>
      <c r="S249" s="408">
        <v>501.89</v>
      </c>
      <c r="T249" s="408">
        <v>216.76</v>
      </c>
      <c r="U249" s="408"/>
      <c r="V249" s="408">
        <v>2500.902</v>
      </c>
      <c r="W249" s="408">
        <v>2500.902</v>
      </c>
      <c r="X249" s="408">
        <v>1556.6039999999998</v>
      </c>
      <c r="Y249" s="408">
        <v>0</v>
      </c>
      <c r="Z249" s="408">
        <v>0</v>
      </c>
      <c r="AA249" s="408">
        <v>0</v>
      </c>
      <c r="AB249" s="408">
        <v>0</v>
      </c>
      <c r="AC249" s="408">
        <v>0</v>
      </c>
      <c r="AD249" s="408">
        <v>2.8602596742882991</v>
      </c>
      <c r="AE249" s="408">
        <v>1483.8151673782172</v>
      </c>
      <c r="AF249" s="408">
        <v>743.33322286625332</v>
      </c>
      <c r="AG249" s="408">
        <v>10.987768482854213</v>
      </c>
      <c r="AH249" s="408">
        <v>0</v>
      </c>
      <c r="AI249" s="408">
        <v>0</v>
      </c>
      <c r="AJ249" s="408">
        <v>0</v>
      </c>
      <c r="AK249" s="408">
        <v>0</v>
      </c>
      <c r="AL249" s="408">
        <v>0</v>
      </c>
      <c r="AM249" s="408"/>
      <c r="AN249" s="408">
        <v>6.6762740554198521</v>
      </c>
      <c r="AO249" s="408">
        <v>30.90830816687788</v>
      </c>
      <c r="AP249" s="408">
        <v>96.838325800083766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2.0708422841472371</v>
      </c>
      <c r="BE249" s="408">
        <v>0</v>
      </c>
      <c r="BF249" s="408">
        <v>0</v>
      </c>
      <c r="BG249" s="408">
        <v>123.39466638344192</v>
      </c>
      <c r="BH249" s="408">
        <v>0</v>
      </c>
      <c r="BI249" s="408">
        <v>2.3199999999999998</v>
      </c>
      <c r="BJ249" s="408">
        <v>11.6</v>
      </c>
      <c r="BK249" s="408">
        <v>226.32</v>
      </c>
      <c r="BL249" s="408">
        <v>4</v>
      </c>
      <c r="BM249" s="408"/>
      <c r="BN249" s="408"/>
      <c r="BO249" s="408"/>
      <c r="BP249" s="408"/>
      <c r="BQ249" s="408"/>
      <c r="BR249" s="408"/>
      <c r="BS249" s="408"/>
      <c r="BT249" s="408">
        <v>1011.7751999999998</v>
      </c>
      <c r="BU249" s="408"/>
      <c r="BV249" s="408">
        <v>868.79873153384256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544.8288</v>
      </c>
      <c r="CJ249" s="408">
        <v>-330.52559999999994</v>
      </c>
      <c r="CK249" s="408"/>
      <c r="CL249" s="408"/>
      <c r="CM249" s="408"/>
      <c r="CN249" s="408"/>
      <c r="CO249" s="408">
        <v>-1057.8504</v>
      </c>
      <c r="CP249" s="408">
        <v>113.55239999999998</v>
      </c>
      <c r="CQ249" s="408"/>
      <c r="CR249" s="408">
        <v>145.90225901459337</v>
      </c>
      <c r="CS249" s="408">
        <v>3.1882390970989363</v>
      </c>
      <c r="CT249" s="408">
        <v>9.9890209048803484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0.27966205963423407</v>
      </c>
      <c r="DA249" s="408">
        <v>0</v>
      </c>
      <c r="DB249" s="408">
        <v>0</v>
      </c>
      <c r="DC249" s="408">
        <v>113.56699346137623</v>
      </c>
      <c r="DD249" s="408">
        <v>0</v>
      </c>
      <c r="DE249" s="408">
        <v>0</v>
      </c>
      <c r="DF249" s="408">
        <v>0.31638479878035719</v>
      </c>
      <c r="DG249" s="408">
        <v>18.852327380581556</v>
      </c>
      <c r="DH249" s="408">
        <v>0</v>
      </c>
      <c r="DI249" s="408">
        <v>0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0</v>
      </c>
      <c r="DP249" s="408">
        <v>-0.29036868775828051</v>
      </c>
      <c r="DQ249" s="408">
        <v>0</v>
      </c>
      <c r="DR249" s="408">
        <v>0</v>
      </c>
      <c r="DS249" s="408"/>
      <c r="DT249" s="408"/>
      <c r="DU249" s="408"/>
      <c r="DV249" s="408">
        <v>1483.8151673782172</v>
      </c>
      <c r="DW249" s="408">
        <v>0</v>
      </c>
      <c r="DX249" s="408">
        <v>0</v>
      </c>
      <c r="DY249" s="408">
        <v>-1057.8503999999998</v>
      </c>
      <c r="DZ249" s="234">
        <v>113.55239999999992</v>
      </c>
      <c r="EA249" s="408">
        <v>0</v>
      </c>
      <c r="EB249" s="408">
        <v>0</v>
      </c>
      <c r="EC249" s="408">
        <v>-1090.1735707192663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242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248</v>
      </c>
      <c r="B250" s="408" t="s">
        <v>1036</v>
      </c>
      <c r="C250" s="408" t="s">
        <v>2231</v>
      </c>
      <c r="D250" s="408" t="s">
        <v>1952</v>
      </c>
      <c r="E250" s="408" t="s">
        <v>969</v>
      </c>
      <c r="F250" s="408" t="s">
        <v>2236</v>
      </c>
      <c r="G250" s="408" t="s">
        <v>1322</v>
      </c>
      <c r="H250" s="408" t="s">
        <v>1322</v>
      </c>
      <c r="I250" s="408" t="s">
        <v>1322</v>
      </c>
      <c r="J250" s="408" t="s">
        <v>2232</v>
      </c>
      <c r="K250" s="828">
        <v>44531</v>
      </c>
      <c r="L250" s="408">
        <v>0</v>
      </c>
      <c r="M250" s="408">
        <v>0</v>
      </c>
      <c r="N250" s="408">
        <v>7.2480000000000002</v>
      </c>
      <c r="O250" s="408">
        <v>7.2480000000000002</v>
      </c>
      <c r="P250" s="408">
        <v>7.2480000000000002</v>
      </c>
      <c r="Q250" s="408">
        <v>7.2480000000000002</v>
      </c>
      <c r="R250" s="408"/>
      <c r="S250" s="408">
        <v>501.89</v>
      </c>
      <c r="T250" s="408">
        <v>216.76</v>
      </c>
      <c r="U250" s="408"/>
      <c r="V250" s="408">
        <v>5208.7752</v>
      </c>
      <c r="W250" s="408">
        <v>5208.7752</v>
      </c>
      <c r="X250" s="408">
        <v>3242.0304000000001</v>
      </c>
      <c r="Y250" s="408">
        <v>0</v>
      </c>
      <c r="Z250" s="408">
        <v>0</v>
      </c>
      <c r="AA250" s="408">
        <v>0</v>
      </c>
      <c r="AB250" s="408">
        <v>0</v>
      </c>
      <c r="AC250" s="408">
        <v>0</v>
      </c>
      <c r="AD250" s="408">
        <v>5.957230494034941</v>
      </c>
      <c r="AE250" s="408">
        <v>3090.4288313670454</v>
      </c>
      <c r="AF250" s="408">
        <v>1548.1836779697137</v>
      </c>
      <c r="AG250" s="408">
        <v>22.884869529806707</v>
      </c>
      <c r="AH250" s="408">
        <v>0</v>
      </c>
      <c r="AI250" s="408">
        <v>0</v>
      </c>
      <c r="AJ250" s="408">
        <v>0</v>
      </c>
      <c r="AK250" s="408">
        <v>0</v>
      </c>
      <c r="AL250" s="408">
        <v>0</v>
      </c>
      <c r="AM250" s="408"/>
      <c r="AN250" s="408">
        <v>13.905067343012382</v>
      </c>
      <c r="AO250" s="408">
        <v>64.374545285497376</v>
      </c>
      <c r="AP250" s="408">
        <v>201.69085787327791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4.3130646193963154</v>
      </c>
      <c r="BE250" s="408">
        <v>0</v>
      </c>
      <c r="BF250" s="408">
        <v>0</v>
      </c>
      <c r="BG250" s="408">
        <v>257.00130515723765</v>
      </c>
      <c r="BH250" s="408">
        <v>0</v>
      </c>
      <c r="BI250" s="408">
        <v>8.77</v>
      </c>
      <c r="BJ250" s="408">
        <v>41.07</v>
      </c>
      <c r="BK250" s="408">
        <v>852.04</v>
      </c>
      <c r="BL250" s="408">
        <v>21</v>
      </c>
      <c r="BM250" s="408"/>
      <c r="BN250" s="408"/>
      <c r="BO250" s="408"/>
      <c r="BP250" s="408"/>
      <c r="BQ250" s="408"/>
      <c r="BR250" s="408"/>
      <c r="BS250" s="408"/>
      <c r="BT250" s="408">
        <v>1296.7396800000001</v>
      </c>
      <c r="BU250" s="408"/>
      <c r="BV250" s="408">
        <v>1809.4980477463478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1945.8274999999999</v>
      </c>
      <c r="CJ250" s="408">
        <v>-1179.4676200000008</v>
      </c>
      <c r="CK250" s="408"/>
      <c r="CL250" s="408"/>
      <c r="CM250" s="408"/>
      <c r="CN250" s="408"/>
      <c r="CO250" s="408">
        <v>-2203.2470400000002</v>
      </c>
      <c r="CP250" s="408">
        <v>236.50223999999997</v>
      </c>
      <c r="CQ250" s="408"/>
      <c r="CR250" s="408">
        <v>303.87918774073887</v>
      </c>
      <c r="CS250" s="408">
        <v>6.6403324643026167</v>
      </c>
      <c r="CT250" s="408">
        <v>20.804719401888747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0.5824685655830244</v>
      </c>
      <c r="DA250" s="408">
        <v>0</v>
      </c>
      <c r="DB250" s="408">
        <v>0</v>
      </c>
      <c r="DC250" s="408">
        <v>236.53263465748728</v>
      </c>
      <c r="DD250" s="408">
        <v>0</v>
      </c>
      <c r="DE250" s="408">
        <v>0</v>
      </c>
      <c r="DF250" s="408">
        <v>0.65895316711494978</v>
      </c>
      <c r="DG250" s="408">
        <v>39.264847371969836</v>
      </c>
      <c r="DH250" s="408">
        <v>0</v>
      </c>
      <c r="DI250" s="408">
        <v>0</v>
      </c>
      <c r="DJ250" s="408"/>
      <c r="DK250" s="408">
        <v>0</v>
      </c>
      <c r="DL250" s="408">
        <v>0</v>
      </c>
      <c r="DM250" s="408">
        <v>0</v>
      </c>
      <c r="DN250" s="408">
        <v>0</v>
      </c>
      <c r="DO250" s="408">
        <v>0</v>
      </c>
      <c r="DP250" s="408">
        <v>-0.6047678876069007</v>
      </c>
      <c r="DQ250" s="408">
        <v>0</v>
      </c>
      <c r="DR250" s="408">
        <v>0</v>
      </c>
      <c r="DS250" s="408"/>
      <c r="DT250" s="408"/>
      <c r="DU250" s="408"/>
      <c r="DV250" s="408">
        <v>3090.4288313670454</v>
      </c>
      <c r="DW250" s="408">
        <v>0</v>
      </c>
      <c r="DX250" s="408">
        <v>0</v>
      </c>
      <c r="DY250" s="408">
        <v>-2203.2470399999997</v>
      </c>
      <c r="DZ250" s="234">
        <v>236.50224000000003</v>
      </c>
      <c r="EA250" s="408">
        <v>0</v>
      </c>
      <c r="EB250" s="408">
        <v>0</v>
      </c>
      <c r="EC250" s="408">
        <v>-2270.5684024635752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242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249</v>
      </c>
      <c r="B251" s="408" t="s">
        <v>1036</v>
      </c>
      <c r="C251" s="408" t="s">
        <v>2231</v>
      </c>
      <c r="D251" s="408" t="s">
        <v>1952</v>
      </c>
      <c r="E251" s="408" t="s">
        <v>969</v>
      </c>
      <c r="F251" s="408" t="s">
        <v>2237</v>
      </c>
      <c r="G251" s="408" t="s">
        <v>1322</v>
      </c>
      <c r="H251" s="408" t="s">
        <v>1322</v>
      </c>
      <c r="I251" s="408" t="s">
        <v>1322</v>
      </c>
      <c r="J251" s="408" t="s">
        <v>2232</v>
      </c>
      <c r="K251" s="828">
        <v>44531</v>
      </c>
      <c r="L251" s="408">
        <v>0</v>
      </c>
      <c r="M251" s="408">
        <v>0</v>
      </c>
      <c r="N251" s="408">
        <v>7.6470000000000002</v>
      </c>
      <c r="O251" s="408">
        <v>7.6470000000000002</v>
      </c>
      <c r="P251" s="408">
        <v>7.6470000000000002</v>
      </c>
      <c r="Q251" s="408">
        <v>7.6470000000000002</v>
      </c>
      <c r="R251" s="408"/>
      <c r="S251" s="408">
        <v>501.89</v>
      </c>
      <c r="T251" s="408">
        <v>216.76</v>
      </c>
      <c r="U251" s="408"/>
      <c r="V251" s="408">
        <v>5495.5165500000003</v>
      </c>
      <c r="W251" s="408">
        <v>5495.5165500000003</v>
      </c>
      <c r="X251" s="408">
        <v>3420.5030999999999</v>
      </c>
      <c r="Y251" s="408">
        <v>0</v>
      </c>
      <c r="Z251" s="408">
        <v>0</v>
      </c>
      <c r="AA251" s="408">
        <v>0</v>
      </c>
      <c r="AB251" s="408">
        <v>0</v>
      </c>
      <c r="AC251" s="408">
        <v>0</v>
      </c>
      <c r="AD251" s="408">
        <v>6.2851740601386856</v>
      </c>
      <c r="AE251" s="408">
        <v>3260.5559152129963</v>
      </c>
      <c r="AF251" s="408">
        <v>1633.4106767983446</v>
      </c>
      <c r="AG251" s="408">
        <v>24.144674019651198</v>
      </c>
      <c r="AH251" s="408">
        <v>0</v>
      </c>
      <c r="AI251" s="408">
        <v>0</v>
      </c>
      <c r="AJ251" s="408">
        <v>0</v>
      </c>
      <c r="AK251" s="408">
        <v>0</v>
      </c>
      <c r="AL251" s="408">
        <v>0</v>
      </c>
      <c r="AM251" s="408"/>
      <c r="AN251" s="408">
        <v>14.67053669591828</v>
      </c>
      <c r="AO251" s="408">
        <v>67.918342687389412</v>
      </c>
      <c r="AP251" s="408">
        <v>212.79387281414958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4.5504973985269892</v>
      </c>
      <c r="BE251" s="408">
        <v>0</v>
      </c>
      <c r="BF251" s="408">
        <v>0</v>
      </c>
      <c r="BG251" s="408">
        <v>271.14914190637364</v>
      </c>
      <c r="BH251" s="408">
        <v>0</v>
      </c>
      <c r="BI251" s="408">
        <v>14.29</v>
      </c>
      <c r="BJ251" s="408">
        <v>66.13</v>
      </c>
      <c r="BK251" s="408">
        <v>1380.87</v>
      </c>
      <c r="BL251" s="408">
        <v>62</v>
      </c>
      <c r="BM251" s="408"/>
      <c r="BN251" s="408"/>
      <c r="BO251" s="408"/>
      <c r="BP251" s="408"/>
      <c r="BQ251" s="408"/>
      <c r="BR251" s="408"/>
      <c r="BS251" s="408"/>
      <c r="BT251" s="408">
        <v>342.05030999999991</v>
      </c>
      <c r="BU251" s="408"/>
      <c r="BV251" s="408">
        <v>1909.1103161032452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3079.6605</v>
      </c>
      <c r="CJ251" s="408">
        <v>-1866.2961600000008</v>
      </c>
      <c r="CK251" s="408"/>
      <c r="CL251" s="408"/>
      <c r="CM251" s="408"/>
      <c r="CN251" s="408"/>
      <c r="CO251" s="408">
        <v>-2324.5350600000002</v>
      </c>
      <c r="CP251" s="408">
        <v>249.52160999999998</v>
      </c>
      <c r="CQ251" s="408"/>
      <c r="CR251" s="408">
        <v>320.60763640361984</v>
      </c>
      <c r="CS251" s="408">
        <v>7.0058805676768827</v>
      </c>
      <c r="CT251" s="408">
        <v>21.950012315982775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0.6145332672479844</v>
      </c>
      <c r="DA251" s="408">
        <v>0</v>
      </c>
      <c r="DB251" s="408">
        <v>0</v>
      </c>
      <c r="DC251" s="408">
        <v>249.55367787331738</v>
      </c>
      <c r="DD251" s="408">
        <v>0</v>
      </c>
      <c r="DE251" s="408">
        <v>0</v>
      </c>
      <c r="DF251" s="408">
        <v>0.69522832076821572</v>
      </c>
      <c r="DG251" s="408">
        <v>41.426364218191736</v>
      </c>
      <c r="DH251" s="408">
        <v>0</v>
      </c>
      <c r="DI251" s="408">
        <v>0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0</v>
      </c>
      <c r="DP251" s="408">
        <v>-0.63806015956539497</v>
      </c>
      <c r="DQ251" s="408">
        <v>0</v>
      </c>
      <c r="DR251" s="408">
        <v>0</v>
      </c>
      <c r="DS251" s="408"/>
      <c r="DT251" s="408"/>
      <c r="DU251" s="408"/>
      <c r="DV251" s="408">
        <v>3260.5559152129963</v>
      </c>
      <c r="DW251" s="408">
        <v>0</v>
      </c>
      <c r="DX251" s="408">
        <v>0</v>
      </c>
      <c r="DY251" s="408">
        <v>-2324.5350600000002</v>
      </c>
      <c r="DZ251" s="234">
        <v>249.52161000000001</v>
      </c>
      <c r="EA251" s="408">
        <v>0</v>
      </c>
      <c r="EB251" s="408">
        <v>0</v>
      </c>
      <c r="EC251" s="408">
        <v>-2395.5624411753533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242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250</v>
      </c>
      <c r="B252" s="408" t="s">
        <v>1036</v>
      </c>
      <c r="C252" s="408" t="s">
        <v>2231</v>
      </c>
      <c r="D252" s="408" t="s">
        <v>1952</v>
      </c>
      <c r="E252" s="408" t="s">
        <v>969</v>
      </c>
      <c r="F252" s="408" t="s">
        <v>2238</v>
      </c>
      <c r="G252" s="408" t="s">
        <v>1322</v>
      </c>
      <c r="H252" s="408" t="s">
        <v>1322</v>
      </c>
      <c r="I252" s="408" t="s">
        <v>1322</v>
      </c>
      <c r="J252" s="408" t="s">
        <v>2232</v>
      </c>
      <c r="K252" s="828">
        <v>44531</v>
      </c>
      <c r="L252" s="408">
        <v>0</v>
      </c>
      <c r="M252" s="408">
        <v>0</v>
      </c>
      <c r="N252" s="408">
        <v>3.0049999999999999</v>
      </c>
      <c r="O252" s="408">
        <v>3.0049999999999999</v>
      </c>
      <c r="P252" s="408">
        <v>3.0049999999999999</v>
      </c>
      <c r="Q252" s="408">
        <v>3.0049999999999999</v>
      </c>
      <c r="R252" s="408"/>
      <c r="S252" s="408">
        <v>501.89</v>
      </c>
      <c r="T252" s="408">
        <v>216.76</v>
      </c>
      <c r="U252" s="408"/>
      <c r="V252" s="408">
        <v>2159.5432499999997</v>
      </c>
      <c r="W252" s="408">
        <v>2159.5432499999997</v>
      </c>
      <c r="X252" s="408">
        <v>1344.1364999999998</v>
      </c>
      <c r="Y252" s="408">
        <v>0</v>
      </c>
      <c r="Z252" s="408">
        <v>0</v>
      </c>
      <c r="AA252" s="408">
        <v>0</v>
      </c>
      <c r="AB252" s="408">
        <v>0</v>
      </c>
      <c r="AC252" s="408">
        <v>0</v>
      </c>
      <c r="AD252" s="408">
        <v>2.4698506670219365</v>
      </c>
      <c r="AE252" s="408">
        <v>1281.2829247044663</v>
      </c>
      <c r="AF252" s="408">
        <v>641.87250997502622</v>
      </c>
      <c r="AG252" s="408">
        <v>9.4880012330393413</v>
      </c>
      <c r="AH252" s="408">
        <v>0</v>
      </c>
      <c r="AI252" s="408">
        <v>0</v>
      </c>
      <c r="AJ252" s="408">
        <v>0</v>
      </c>
      <c r="AK252" s="408">
        <v>0</v>
      </c>
      <c r="AL252" s="408">
        <v>0</v>
      </c>
      <c r="AM252" s="408"/>
      <c r="AN252" s="408">
        <v>5.7650010162461651</v>
      </c>
      <c r="AO252" s="408">
        <v>26.68950173605403</v>
      </c>
      <c r="AP252" s="408">
        <v>83.620450870474627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1.7881842137535768</v>
      </c>
      <c r="BE252" s="408">
        <v>0</v>
      </c>
      <c r="BF252" s="408">
        <v>0</v>
      </c>
      <c r="BG252" s="408">
        <v>106.55200358685141</v>
      </c>
      <c r="BH252" s="408">
        <v>0</v>
      </c>
      <c r="BI252" s="408">
        <v>6.36</v>
      </c>
      <c r="BJ252" s="408">
        <v>29.48</v>
      </c>
      <c r="BK252" s="408">
        <v>616.09</v>
      </c>
      <c r="BL252" s="408">
        <v>29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>
        <v>750.21269777563111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1346.3729999999998</v>
      </c>
      <c r="CJ252" s="408">
        <v>-813.2002500000001</v>
      </c>
      <c r="CK252" s="408"/>
      <c r="CL252" s="408"/>
      <c r="CM252" s="408"/>
      <c r="CN252" s="408"/>
      <c r="CO252" s="408">
        <v>-913.45990000000006</v>
      </c>
      <c r="CP252" s="408">
        <v>98.053149999999988</v>
      </c>
      <c r="CQ252" s="408"/>
      <c r="CR252" s="408">
        <v>125.98743917783133</v>
      </c>
      <c r="CS252" s="408">
        <v>2.7530627835581321</v>
      </c>
      <c r="CT252" s="408">
        <v>8.6255769595303065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0.24148979574737739</v>
      </c>
      <c r="DA252" s="408">
        <v>0</v>
      </c>
      <c r="DB252" s="408">
        <v>0</v>
      </c>
      <c r="DC252" s="408">
        <v>98.065751537768847</v>
      </c>
      <c r="DD252" s="408">
        <v>0</v>
      </c>
      <c r="DE252" s="408">
        <v>0</v>
      </c>
      <c r="DF252" s="408">
        <v>0.27320009205027951</v>
      </c>
      <c r="DG252" s="408">
        <v>16.279093039841257</v>
      </c>
      <c r="DH252" s="408">
        <v>0</v>
      </c>
      <c r="DI252" s="408">
        <v>0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0</v>
      </c>
      <c r="DP252" s="408">
        <v>-0.2507350306648366</v>
      </c>
      <c r="DQ252" s="408">
        <v>0</v>
      </c>
      <c r="DR252" s="408">
        <v>0</v>
      </c>
      <c r="DS252" s="408"/>
      <c r="DT252" s="408"/>
      <c r="DU252" s="408"/>
      <c r="DV252" s="408">
        <v>1281.2829247044663</v>
      </c>
      <c r="DW252" s="408">
        <v>0</v>
      </c>
      <c r="DX252" s="408">
        <v>0</v>
      </c>
      <c r="DY252" s="408">
        <v>-913.45989999999995</v>
      </c>
      <c r="DZ252" s="234">
        <v>98.05314999999996</v>
      </c>
      <c r="EA252" s="408">
        <v>0</v>
      </c>
      <c r="EB252" s="408">
        <v>0</v>
      </c>
      <c r="EC252" s="408">
        <v>-941.37114368143534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242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251</v>
      </c>
      <c r="B253" s="408" t="s">
        <v>1036</v>
      </c>
      <c r="C253" s="408" t="s">
        <v>2231</v>
      </c>
      <c r="D253" s="408" t="s">
        <v>1955</v>
      </c>
      <c r="E253" s="408" t="s">
        <v>970</v>
      </c>
      <c r="F253" s="408" t="s">
        <v>1322</v>
      </c>
      <c r="G253" s="408" t="s">
        <v>1322</v>
      </c>
      <c r="H253" s="408" t="s">
        <v>1322</v>
      </c>
      <c r="I253" s="408" t="s">
        <v>1322</v>
      </c>
      <c r="J253" s="408" t="s">
        <v>2232</v>
      </c>
      <c r="K253" s="828">
        <v>44531</v>
      </c>
      <c r="L253" s="408">
        <v>0</v>
      </c>
      <c r="M253" s="408">
        <v>0</v>
      </c>
      <c r="N253" s="408">
        <v>34.615000000000002</v>
      </c>
      <c r="O253" s="408">
        <v>34.615000000000002</v>
      </c>
      <c r="P253" s="408">
        <v>34.615000000000002</v>
      </c>
      <c r="Q253" s="408">
        <v>34.615000000000002</v>
      </c>
      <c r="R253" s="408"/>
      <c r="S253" s="408">
        <v>571.87</v>
      </c>
      <c r="T253" s="408">
        <v>216.76</v>
      </c>
      <c r="U253" s="408"/>
      <c r="V253" s="408">
        <v>27298.427450000003</v>
      </c>
      <c r="W253" s="408">
        <v>27298.427450000003</v>
      </c>
      <c r="X253" s="408">
        <v>17792.456150000002</v>
      </c>
      <c r="Y253" s="408">
        <v>0</v>
      </c>
      <c r="Z253" s="408">
        <v>2098.0365089794204</v>
      </c>
      <c r="AA253" s="408">
        <v>0</v>
      </c>
      <c r="AB253" s="408">
        <v>0</v>
      </c>
      <c r="AC253" s="408">
        <v>0</v>
      </c>
      <c r="AD253" s="408">
        <v>28.450542708473989</v>
      </c>
      <c r="AE253" s="408">
        <v>14759.270695056606</v>
      </c>
      <c r="AF253" s="408">
        <v>7393.8159510101605</v>
      </c>
      <c r="AG253" s="408">
        <v>109.29356495229845</v>
      </c>
      <c r="AH253" s="408">
        <v>0</v>
      </c>
      <c r="AI253" s="408">
        <v>0</v>
      </c>
      <c r="AJ253" s="408">
        <v>0</v>
      </c>
      <c r="AK253" s="408">
        <v>0</v>
      </c>
      <c r="AL253" s="408">
        <v>324.4683290913926</v>
      </c>
      <c r="AM253" s="408"/>
      <c r="AN253" s="408">
        <v>66.407823686309825</v>
      </c>
      <c r="AO253" s="408">
        <v>307.43996758519478</v>
      </c>
      <c r="AP253" s="408">
        <v>963.23524355456891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20.598334961424317</v>
      </c>
      <c r="BE253" s="408">
        <v>0</v>
      </c>
      <c r="BF253" s="408">
        <v>0</v>
      </c>
      <c r="BG253" s="408">
        <v>1227.3868899031156</v>
      </c>
      <c r="BH253" s="408">
        <v>0</v>
      </c>
      <c r="BI253" s="408">
        <v>104.01</v>
      </c>
      <c r="BJ253" s="408">
        <v>478.09</v>
      </c>
      <c r="BK253" s="408">
        <v>4778.21</v>
      </c>
      <c r="BL253" s="408">
        <v>25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8641.8011758746998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17795.0262</v>
      </c>
      <c r="CJ253" s="408">
        <v>-9503.4312499999978</v>
      </c>
      <c r="CK253" s="408"/>
      <c r="CL253" s="408"/>
      <c r="CM253" s="408"/>
      <c r="CN253" s="408"/>
      <c r="CO253" s="408">
        <v>-10635.45875</v>
      </c>
      <c r="CP253" s="408">
        <v>1129.4874499999999</v>
      </c>
      <c r="CQ253" s="408"/>
      <c r="CR253" s="408">
        <v>1337.8803368767694</v>
      </c>
      <c r="CS253" s="408">
        <v>31.712901248873436</v>
      </c>
      <c r="CT253" s="408">
        <v>99.359183512193454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2.7817535040916681</v>
      </c>
      <c r="DA253" s="408">
        <v>0</v>
      </c>
      <c r="DB253" s="408">
        <v>0</v>
      </c>
      <c r="DC253" s="408">
        <v>1129.6326088119376</v>
      </c>
      <c r="DD253" s="408">
        <v>0</v>
      </c>
      <c r="DE253" s="408">
        <v>0</v>
      </c>
      <c r="DF253" s="408">
        <v>3.1470286809718573</v>
      </c>
      <c r="DG253" s="408">
        <v>187.52106674679021</v>
      </c>
      <c r="DH253" s="408">
        <v>0</v>
      </c>
      <c r="DI253" s="408">
        <v>-100.23830068301959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-13.147654333935236</v>
      </c>
      <c r="DP253" s="408">
        <v>-2.8882506111358808</v>
      </c>
      <c r="DQ253" s="408">
        <v>0</v>
      </c>
      <c r="DR253" s="408">
        <v>0</v>
      </c>
      <c r="DS253" s="408"/>
      <c r="DT253" s="408"/>
      <c r="DU253" s="408"/>
      <c r="DV253" s="408">
        <v>14759.270695056606</v>
      </c>
      <c r="DW253" s="408">
        <v>0</v>
      </c>
      <c r="DX253" s="408">
        <v>0</v>
      </c>
      <c r="DY253" s="408">
        <v>-10635.45875</v>
      </c>
      <c r="DZ253" s="234">
        <v>1129.4874500000005</v>
      </c>
      <c r="EA253" s="408">
        <v>0</v>
      </c>
      <c r="EB253" s="408">
        <v>0</v>
      </c>
      <c r="EC253" s="408">
        <v>-10843.781077714772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242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252</v>
      </c>
      <c r="B254" s="408" t="s">
        <v>2234</v>
      </c>
      <c r="C254" s="408" t="s">
        <v>2231</v>
      </c>
      <c r="D254" s="408" t="s">
        <v>1955</v>
      </c>
      <c r="E254" s="408" t="s">
        <v>970</v>
      </c>
      <c r="F254" s="408" t="s">
        <v>1322</v>
      </c>
      <c r="G254" s="408" t="s">
        <v>1322</v>
      </c>
      <c r="H254" s="408" t="s">
        <v>1322</v>
      </c>
      <c r="I254" s="408" t="s">
        <v>1322</v>
      </c>
      <c r="J254" s="408" t="s">
        <v>2232</v>
      </c>
      <c r="K254" s="828">
        <v>44531</v>
      </c>
      <c r="L254" s="408">
        <v>0</v>
      </c>
      <c r="M254" s="408">
        <v>0</v>
      </c>
      <c r="N254" s="408">
        <v>2.8730000000000002</v>
      </c>
      <c r="O254" s="408">
        <v>2.8730000000000002</v>
      </c>
      <c r="P254" s="408">
        <v>2.8730000000000002</v>
      </c>
      <c r="Q254" s="408">
        <v>2.8730000000000002</v>
      </c>
      <c r="R254" s="408"/>
      <c r="S254" s="408">
        <v>571.87</v>
      </c>
      <c r="T254" s="408">
        <v>216.76</v>
      </c>
      <c r="U254" s="408"/>
      <c r="V254" s="408">
        <v>2265.7339900000002</v>
      </c>
      <c r="W254" s="408">
        <v>2265.7339900000002</v>
      </c>
      <c r="X254" s="408">
        <v>1476.7507300000002</v>
      </c>
      <c r="Y254" s="408">
        <v>0</v>
      </c>
      <c r="Z254" s="408">
        <v>174.13430276752493</v>
      </c>
      <c r="AA254" s="408">
        <v>0</v>
      </c>
      <c r="AB254" s="408">
        <v>0</v>
      </c>
      <c r="AC254" s="408">
        <v>0</v>
      </c>
      <c r="AD254" s="408">
        <v>2.3613580586868634</v>
      </c>
      <c r="AE254" s="408">
        <v>1225.0002804246028</v>
      </c>
      <c r="AF254" s="408">
        <v>613.67711186630629</v>
      </c>
      <c r="AG254" s="408">
        <v>9.0712238078276304</v>
      </c>
      <c r="AH254" s="408">
        <v>0</v>
      </c>
      <c r="AI254" s="408">
        <v>0</v>
      </c>
      <c r="AJ254" s="408">
        <v>0</v>
      </c>
      <c r="AK254" s="408">
        <v>0</v>
      </c>
      <c r="AL254" s="408">
        <v>26.930449501070949</v>
      </c>
      <c r="AM254" s="408"/>
      <c r="AN254" s="408">
        <v>5.511763034833689</v>
      </c>
      <c r="AO254" s="408">
        <v>25.517117633172457</v>
      </c>
      <c r="AP254" s="408">
        <v>79.947272995299045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1.7096350236652336</v>
      </c>
      <c r="BE254" s="408">
        <v>0</v>
      </c>
      <c r="BF254" s="408">
        <v>0</v>
      </c>
      <c r="BG254" s="408">
        <v>101.8715162412726</v>
      </c>
      <c r="BH254" s="408">
        <v>0</v>
      </c>
      <c r="BI254" s="408">
        <v>8.6</v>
      </c>
      <c r="BJ254" s="408">
        <v>39.6</v>
      </c>
      <c r="BK254" s="408">
        <v>972.18</v>
      </c>
      <c r="BL254" s="408">
        <v>4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717.25826313124412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1475.2087000000001</v>
      </c>
      <c r="CJ254" s="408">
        <v>-790.55529000000024</v>
      </c>
      <c r="CK254" s="408"/>
      <c r="CL254" s="408"/>
      <c r="CM254" s="408"/>
      <c r="CN254" s="408"/>
      <c r="CO254" s="408">
        <v>-882.72925000000009</v>
      </c>
      <c r="CP254" s="408">
        <v>93.745989999999992</v>
      </c>
      <c r="CQ254" s="408"/>
      <c r="CR254" s="408">
        <v>111.04232869700854</v>
      </c>
      <c r="CS254" s="408">
        <v>2.6321295764267951</v>
      </c>
      <c r="CT254" s="408">
        <v>8.2466830631382919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0.23088192451987188</v>
      </c>
      <c r="DA254" s="408">
        <v>0</v>
      </c>
      <c r="DB254" s="408">
        <v>0</v>
      </c>
      <c r="DC254" s="408">
        <v>93.758037992682262</v>
      </c>
      <c r="DD254" s="408">
        <v>0</v>
      </c>
      <c r="DE254" s="408">
        <v>0</v>
      </c>
      <c r="DF254" s="408">
        <v>0.26119928933792136</v>
      </c>
      <c r="DG254" s="408">
        <v>15.564004759888164</v>
      </c>
      <c r="DH254" s="408">
        <v>0</v>
      </c>
      <c r="DI254" s="408">
        <v>-8.3196486454518492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-1.0912382175760769</v>
      </c>
      <c r="DP254" s="408">
        <v>-0.23972104595676491</v>
      </c>
      <c r="DQ254" s="408">
        <v>0</v>
      </c>
      <c r="DR254" s="408">
        <v>0</v>
      </c>
      <c r="DS254" s="408"/>
      <c r="DT254" s="408"/>
      <c r="DU254" s="408"/>
      <c r="DV254" s="408">
        <v>1225.0002804246028</v>
      </c>
      <c r="DW254" s="408">
        <v>0</v>
      </c>
      <c r="DX254" s="408">
        <v>0</v>
      </c>
      <c r="DY254" s="408">
        <v>-882.72924999999998</v>
      </c>
      <c r="DZ254" s="234">
        <v>93.745990000000006</v>
      </c>
      <c r="EA254" s="408">
        <v>0</v>
      </c>
      <c r="EB254" s="408">
        <v>0</v>
      </c>
      <c r="EC254" s="408">
        <v>-900.01973237829066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242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253</v>
      </c>
      <c r="B255" s="408" t="s">
        <v>1036</v>
      </c>
      <c r="C255" s="408" t="s">
        <v>2239</v>
      </c>
      <c r="D255" s="408" t="s">
        <v>597</v>
      </c>
      <c r="E255" s="408" t="s">
        <v>970</v>
      </c>
      <c r="F255" s="408" t="s">
        <v>1322</v>
      </c>
      <c r="G255" s="408" t="s">
        <v>1322</v>
      </c>
      <c r="H255" s="408" t="s">
        <v>1322</v>
      </c>
      <c r="I255" s="408" t="s">
        <v>973</v>
      </c>
      <c r="J255" s="408" t="s">
        <v>2232</v>
      </c>
      <c r="K255" s="828">
        <v>44531</v>
      </c>
      <c r="L255" s="408">
        <v>0</v>
      </c>
      <c r="M255" s="408">
        <v>0</v>
      </c>
      <c r="N255" s="408">
        <v>3.0539999999999998</v>
      </c>
      <c r="O255" s="408">
        <v>3.0539999999999998</v>
      </c>
      <c r="P255" s="408">
        <v>3.0539999999999998</v>
      </c>
      <c r="Q255" s="408">
        <v>3.0539999999999998</v>
      </c>
      <c r="R255" s="408"/>
      <c r="S255" s="408">
        <v>2592.54</v>
      </c>
      <c r="T255" s="408">
        <v>216.76</v>
      </c>
      <c r="U255" s="408"/>
      <c r="V255" s="408">
        <v>8579.6021999999994</v>
      </c>
      <c r="W255" s="408">
        <v>8579.6021999999994</v>
      </c>
      <c r="X255" s="408">
        <v>3607.3847999999998</v>
      </c>
      <c r="Y255" s="408">
        <v>0</v>
      </c>
      <c r="Z255" s="408">
        <v>161.04119727367157</v>
      </c>
      <c r="AA255" s="408">
        <v>0</v>
      </c>
      <c r="AB255" s="408">
        <v>0</v>
      </c>
      <c r="AC255" s="408">
        <v>0</v>
      </c>
      <c r="AD255" s="408">
        <v>15.442963922381733</v>
      </c>
      <c r="AE255" s="408">
        <v>6996.3826544798358</v>
      </c>
      <c r="AF255" s="408">
        <v>652.33898351538426</v>
      </c>
      <c r="AG255" s="408">
        <v>9.6427140651255066</v>
      </c>
      <c r="AH255" s="408">
        <v>0</v>
      </c>
      <c r="AI255" s="408">
        <v>0</v>
      </c>
      <c r="AJ255" s="408">
        <v>0</v>
      </c>
      <c r="AK255" s="408">
        <v>0</v>
      </c>
      <c r="AL255" s="408">
        <v>28.627077193272072</v>
      </c>
      <c r="AM255" s="408"/>
      <c r="AN255" s="408">
        <v>4.193820588115428</v>
      </c>
      <c r="AO255" s="408">
        <v>137.78081768570277</v>
      </c>
      <c r="AP255" s="408">
        <v>522.84708660421381</v>
      </c>
      <c r="AQ255" s="408">
        <v>0</v>
      </c>
      <c r="AR255" s="408">
        <v>0</v>
      </c>
      <c r="AS255" s="408">
        <v>0</v>
      </c>
      <c r="AT255" s="408">
        <v>0</v>
      </c>
      <c r="AU255" s="408">
        <v>0</v>
      </c>
      <c r="AV255" s="408">
        <v>0</v>
      </c>
      <c r="AW255" s="408">
        <v>0</v>
      </c>
      <c r="AX255" s="408">
        <v>0</v>
      </c>
      <c r="AY255" s="408">
        <v>0</v>
      </c>
      <c r="AZ255" s="408">
        <v>0</v>
      </c>
      <c r="BA255" s="408"/>
      <c r="BB255" s="408">
        <v>0</v>
      </c>
      <c r="BC255" s="408">
        <v>0</v>
      </c>
      <c r="BD255" s="408">
        <v>1.3965902250814357</v>
      </c>
      <c r="BE255" s="408">
        <v>0</v>
      </c>
      <c r="BF255" s="408">
        <v>0</v>
      </c>
      <c r="BG255" s="408">
        <v>49.890622949825968</v>
      </c>
      <c r="BH255" s="408">
        <v>0</v>
      </c>
      <c r="BI255" s="408">
        <v>0</v>
      </c>
      <c r="BJ255" s="408">
        <v>0</v>
      </c>
      <c r="BK255" s="408">
        <v>0</v>
      </c>
      <c r="BL255" s="408">
        <v>0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703.62619669029164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3602.6599999999994</v>
      </c>
      <c r="CJ255" s="408">
        <v>-4976.9722000000002</v>
      </c>
      <c r="CK255" s="408"/>
      <c r="CL255" s="408"/>
      <c r="CM255" s="408"/>
      <c r="CN255" s="408"/>
      <c r="CO255" s="408">
        <v>-5071.86942</v>
      </c>
      <c r="CP255" s="408">
        <v>99.652019999999979</v>
      </c>
      <c r="CQ255" s="408"/>
      <c r="CR255" s="408">
        <v>168.11875325937535</v>
      </c>
      <c r="CS255" s="408">
        <v>14.212301346424255</v>
      </c>
      <c r="CT255" s="408">
        <v>53.932473893931501</v>
      </c>
      <c r="CU255" s="408">
        <v>0</v>
      </c>
      <c r="CV255" s="408">
        <v>0</v>
      </c>
      <c r="CW255" s="408">
        <v>0</v>
      </c>
      <c r="CX255" s="408">
        <v>0</v>
      </c>
      <c r="CY255" s="408">
        <v>0</v>
      </c>
      <c r="CZ255" s="408">
        <v>1.509936715261734</v>
      </c>
      <c r="DA255" s="408">
        <v>0</v>
      </c>
      <c r="DB255" s="408">
        <v>0</v>
      </c>
      <c r="DC255" s="408">
        <v>99.664827020414805</v>
      </c>
      <c r="DD255" s="408">
        <v>0</v>
      </c>
      <c r="DE255" s="408">
        <v>0</v>
      </c>
      <c r="DF255" s="408">
        <v>0.21337207605018627</v>
      </c>
      <c r="DG255" s="408">
        <v>7.6223258641387091</v>
      </c>
      <c r="DH255" s="408">
        <v>0</v>
      </c>
      <c r="DI255" s="408">
        <v>-7.6940967831507692</v>
      </c>
      <c r="DJ255" s="408"/>
      <c r="DK255" s="408">
        <v>0</v>
      </c>
      <c r="DL255" s="408">
        <v>0</v>
      </c>
      <c r="DM255" s="408">
        <v>0</v>
      </c>
      <c r="DN255" s="408">
        <v>0</v>
      </c>
      <c r="DO255" s="408">
        <v>-1.1599866051087133</v>
      </c>
      <c r="DP255" s="408">
        <v>-0.18240026858636238</v>
      </c>
      <c r="DQ255" s="408">
        <v>0</v>
      </c>
      <c r="DR255" s="408">
        <v>0</v>
      </c>
      <c r="DS255" s="408"/>
      <c r="DT255" s="408"/>
      <c r="DU255" s="408"/>
      <c r="DV255" s="408">
        <v>6996.3826544798358</v>
      </c>
      <c r="DW255" s="408">
        <v>0</v>
      </c>
      <c r="DX255" s="408">
        <v>0</v>
      </c>
      <c r="DY255" s="408">
        <v>-5071.86942</v>
      </c>
      <c r="DZ255" s="234">
        <v>99.652019999999993</v>
      </c>
      <c r="EA255" s="408">
        <v>0</v>
      </c>
      <c r="EB255" s="408">
        <v>0</v>
      </c>
      <c r="EC255" s="408">
        <v>-5140.3110227194957</v>
      </c>
      <c r="ED255" s="408">
        <v>0</v>
      </c>
      <c r="EE255" s="408">
        <v>0</v>
      </c>
      <c r="EF255" s="408">
        <v>0</v>
      </c>
      <c r="EG255" s="408">
        <v>0</v>
      </c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>
        <v>0</v>
      </c>
      <c r="EN255" s="408">
        <v>0</v>
      </c>
      <c r="EO255" s="408">
        <v>0</v>
      </c>
      <c r="EP255" s="408">
        <v>0</v>
      </c>
      <c r="EQ255" s="408">
        <v>0</v>
      </c>
      <c r="ER255" s="408">
        <v>0</v>
      </c>
      <c r="ES255" s="408">
        <v>0</v>
      </c>
      <c r="ET255" s="408">
        <v>0</v>
      </c>
      <c r="EU255" s="408">
        <v>0</v>
      </c>
      <c r="EV255" s="408">
        <v>242</v>
      </c>
      <c r="EW255" s="408">
        <v>0</v>
      </c>
      <c r="EX255" s="408">
        <v>0</v>
      </c>
      <c r="EY255" s="408">
        <v>0</v>
      </c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254</v>
      </c>
      <c r="B256" s="408" t="s">
        <v>1036</v>
      </c>
      <c r="C256" s="408" t="s">
        <v>2239</v>
      </c>
      <c r="D256" s="408" t="s">
        <v>597</v>
      </c>
      <c r="E256" s="408" t="s">
        <v>970</v>
      </c>
      <c r="F256" s="408" t="s">
        <v>1322</v>
      </c>
      <c r="G256" s="408" t="s">
        <v>1322</v>
      </c>
      <c r="H256" s="408" t="s">
        <v>1322</v>
      </c>
      <c r="I256" s="408" t="s">
        <v>2240</v>
      </c>
      <c r="J256" s="408" t="s">
        <v>2232</v>
      </c>
      <c r="K256" s="828">
        <v>44531</v>
      </c>
      <c r="L256" s="408">
        <v>0</v>
      </c>
      <c r="M256" s="408">
        <v>0</v>
      </c>
      <c r="N256" s="408">
        <v>109.98699999999999</v>
      </c>
      <c r="O256" s="408">
        <v>109.98699999999999</v>
      </c>
      <c r="P256" s="408">
        <v>109.98699999999999</v>
      </c>
      <c r="Q256" s="408">
        <v>109.98699999999999</v>
      </c>
      <c r="R256" s="408"/>
      <c r="S256" s="408">
        <v>80.27</v>
      </c>
      <c r="T256" s="408">
        <v>216.76</v>
      </c>
      <c r="U256" s="408"/>
      <c r="V256" s="408">
        <v>32669.438609999997</v>
      </c>
      <c r="W256" s="408">
        <v>32669.438609999997</v>
      </c>
      <c r="X256" s="408">
        <v>36215.41949</v>
      </c>
      <c r="Y256" s="408">
        <v>0</v>
      </c>
      <c r="Z256" s="408">
        <v>5799.7505450357939</v>
      </c>
      <c r="AA256" s="408">
        <v>0</v>
      </c>
      <c r="AB256" s="408">
        <v>0</v>
      </c>
      <c r="AC256" s="408">
        <v>0</v>
      </c>
      <c r="AD256" s="408">
        <v>0</v>
      </c>
      <c r="AE256" s="408">
        <v>0</v>
      </c>
      <c r="AF256" s="408">
        <v>23493.38827108925</v>
      </c>
      <c r="AG256" s="408">
        <v>347.27347474818572</v>
      </c>
      <c r="AH256" s="408">
        <v>0</v>
      </c>
      <c r="AI256" s="408">
        <v>0</v>
      </c>
      <c r="AJ256" s="408">
        <v>0</v>
      </c>
      <c r="AK256" s="408">
        <v>0</v>
      </c>
      <c r="AL256" s="408">
        <v>1030.9778452051132</v>
      </c>
      <c r="AM256" s="408"/>
      <c r="AN256" s="408">
        <v>151.03658972660497</v>
      </c>
      <c r="AO256" s="408">
        <v>0</v>
      </c>
      <c r="AP256" s="408">
        <v>0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50.296911946965245</v>
      </c>
      <c r="BE256" s="408">
        <v>0</v>
      </c>
      <c r="BF256" s="408">
        <v>0</v>
      </c>
      <c r="BG256" s="408">
        <v>1796.7648809372981</v>
      </c>
      <c r="BH256" s="408">
        <v>0</v>
      </c>
      <c r="BI256" s="408">
        <v>0</v>
      </c>
      <c r="BJ256" s="408">
        <v>0</v>
      </c>
      <c r="BK256" s="408">
        <v>0</v>
      </c>
      <c r="BL256" s="408">
        <v>0</v>
      </c>
      <c r="BM256" s="408"/>
      <c r="BN256" s="408"/>
      <c r="BO256" s="408"/>
      <c r="BP256" s="408"/>
      <c r="BQ256" s="408"/>
      <c r="BR256" s="408"/>
      <c r="BS256" s="408"/>
      <c r="BT256" s="408"/>
      <c r="BU256" s="408"/>
      <c r="BV256" s="408">
        <v>25340.450063973512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36216.407299999992</v>
      </c>
      <c r="CJ256" s="408">
        <v>3546.938689999999</v>
      </c>
      <c r="CK256" s="408"/>
      <c r="CL256" s="408"/>
      <c r="CM256" s="408"/>
      <c r="CN256" s="408"/>
      <c r="CO256" s="408">
        <v>-42.894930000000059</v>
      </c>
      <c r="CP256" s="408">
        <v>3588.8758099999995</v>
      </c>
      <c r="CQ256" s="408"/>
      <c r="CR256" s="408">
        <v>3546.0918503197208</v>
      </c>
      <c r="CS256" s="408">
        <v>0</v>
      </c>
      <c r="CT256" s="408">
        <v>0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0</v>
      </c>
      <c r="DA256" s="408">
        <v>0</v>
      </c>
      <c r="DB256" s="408">
        <v>0</v>
      </c>
      <c r="DC256" s="408">
        <v>3589.3370430564355</v>
      </c>
      <c r="DD256" s="408">
        <v>0</v>
      </c>
      <c r="DE256" s="408">
        <v>0</v>
      </c>
      <c r="DF256" s="408">
        <v>7.6843989942802438</v>
      </c>
      <c r="DG256" s="408">
        <v>274.51105265848855</v>
      </c>
      <c r="DH256" s="408">
        <v>0</v>
      </c>
      <c r="DI256" s="408">
        <v>-277.09581626994168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-41.775850273769606</v>
      </c>
      <c r="DP256" s="408">
        <v>-6.5689778457787327</v>
      </c>
      <c r="DQ256" s="408">
        <v>0</v>
      </c>
      <c r="DR256" s="408">
        <v>0</v>
      </c>
      <c r="DS256" s="408"/>
      <c r="DT256" s="408"/>
      <c r="DU256" s="408"/>
      <c r="DV256" s="408">
        <v>0</v>
      </c>
      <c r="DW256" s="408">
        <v>0</v>
      </c>
      <c r="DX256" s="408">
        <v>0</v>
      </c>
      <c r="DY256" s="408">
        <v>-42.894930000000386</v>
      </c>
      <c r="DZ256" s="234">
        <v>3588.8758100000014</v>
      </c>
      <c r="EA256" s="408">
        <v>0</v>
      </c>
      <c r="EB256" s="408">
        <v>0</v>
      </c>
      <c r="EC256" s="408">
        <v>0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242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255</v>
      </c>
      <c r="B257" s="408" t="s">
        <v>1036</v>
      </c>
      <c r="C257" s="408" t="s">
        <v>2239</v>
      </c>
      <c r="D257" s="408" t="s">
        <v>597</v>
      </c>
      <c r="E257" s="408" t="s">
        <v>970</v>
      </c>
      <c r="F257" s="408" t="s">
        <v>1322</v>
      </c>
      <c r="G257" s="408" t="s">
        <v>1322</v>
      </c>
      <c r="H257" s="408" t="s">
        <v>1322</v>
      </c>
      <c r="I257" s="408" t="s">
        <v>1322</v>
      </c>
      <c r="J257" s="408" t="s">
        <v>2232</v>
      </c>
      <c r="K257" s="828">
        <v>44531</v>
      </c>
      <c r="L257" s="408">
        <v>925</v>
      </c>
      <c r="M257" s="408">
        <v>925</v>
      </c>
      <c r="N257" s="408">
        <v>0</v>
      </c>
      <c r="O257" s="408">
        <v>0</v>
      </c>
      <c r="P257" s="408">
        <v>0</v>
      </c>
      <c r="Q257" s="408">
        <v>0</v>
      </c>
      <c r="R257" s="408">
        <v>32.17</v>
      </c>
      <c r="S257" s="408"/>
      <c r="T257" s="408"/>
      <c r="U257" s="408">
        <v>29757.25</v>
      </c>
      <c r="V257" s="408"/>
      <c r="W257" s="408">
        <v>29757.25</v>
      </c>
      <c r="X257" s="408">
        <v>11960.25</v>
      </c>
      <c r="Y257" s="408">
        <v>0</v>
      </c>
      <c r="Z257" s="408">
        <v>0</v>
      </c>
      <c r="AA257" s="408">
        <v>0</v>
      </c>
      <c r="AB257" s="408">
        <v>0</v>
      </c>
      <c r="AC257" s="408">
        <v>0</v>
      </c>
      <c r="AD257" s="408">
        <v>92.422508246429743</v>
      </c>
      <c r="AE257" s="408">
        <v>24907.230271356024</v>
      </c>
      <c r="AF257" s="408"/>
      <c r="AG257" s="408"/>
      <c r="AH257" s="408"/>
      <c r="AI257" s="408">
        <v>0</v>
      </c>
      <c r="AJ257" s="408">
        <v>0</v>
      </c>
      <c r="AK257" s="408">
        <v>0</v>
      </c>
      <c r="AL257" s="408">
        <v>0</v>
      </c>
      <c r="AM257" s="408"/>
      <c r="AN257" s="408">
        <v>0</v>
      </c>
      <c r="AO257" s="408">
        <v>1632.0895234327004</v>
      </c>
      <c r="AP257" s="408">
        <v>3129.1502780372539</v>
      </c>
      <c r="AQ257" s="408">
        <v>0</v>
      </c>
      <c r="AR257" s="408">
        <v>0</v>
      </c>
      <c r="AS257" s="408"/>
      <c r="AT257" s="408"/>
      <c r="AU257" s="408">
        <v>0</v>
      </c>
      <c r="AV257" s="408">
        <v>0</v>
      </c>
      <c r="AW257" s="408">
        <v>0</v>
      </c>
      <c r="AX257" s="408"/>
      <c r="AY257" s="408"/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/>
      <c r="BG257" s="408">
        <v>0</v>
      </c>
      <c r="BH257" s="408">
        <v>0</v>
      </c>
      <c r="BI257" s="408">
        <v>286.93</v>
      </c>
      <c r="BJ257" s="408">
        <v>1316.82</v>
      </c>
      <c r="BK257" s="408">
        <v>12995.63</v>
      </c>
      <c r="BL257" s="408">
        <v>6</v>
      </c>
      <c r="BM257" s="408"/>
      <c r="BN257" s="408"/>
      <c r="BO257" s="408"/>
      <c r="BP257" s="408"/>
      <c r="BQ257" s="408"/>
      <c r="BR257" s="408"/>
      <c r="BS257" s="408"/>
      <c r="BT257" s="408"/>
      <c r="BU257" s="408"/>
      <c r="BV257" s="408">
        <v>0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11960.25</v>
      </c>
      <c r="CJ257" s="408">
        <v>-17797.029999999995</v>
      </c>
      <c r="CK257" s="408"/>
      <c r="CL257" s="408"/>
      <c r="CM257" s="408"/>
      <c r="CN257" s="408"/>
      <c r="CO257" s="408">
        <v>-17797.000000000004</v>
      </c>
      <c r="CP257" s="408">
        <v>0</v>
      </c>
      <c r="CQ257" s="408"/>
      <c r="CR257" s="408">
        <v>500.16575872291105</v>
      </c>
      <c r="CS257" s="408">
        <v>168.35252193292195</v>
      </c>
      <c r="CT257" s="408">
        <v>322.77662055367091</v>
      </c>
      <c r="CU257" s="408">
        <v>0</v>
      </c>
      <c r="CV257" s="408">
        <v>0</v>
      </c>
      <c r="CW257" s="408"/>
      <c r="CX257" s="408"/>
      <c r="CY257" s="408"/>
      <c r="CZ257" s="408">
        <v>9.036616236318082</v>
      </c>
      <c r="DA257" s="408">
        <v>0</v>
      </c>
      <c r="DB257" s="408">
        <v>0</v>
      </c>
      <c r="DC257" s="408"/>
      <c r="DD257" s="408"/>
      <c r="DE257" s="408">
        <v>0</v>
      </c>
      <c r="DF257" s="408">
        <v>0</v>
      </c>
      <c r="DG257" s="408">
        <v>0</v>
      </c>
      <c r="DH257" s="408">
        <v>0</v>
      </c>
      <c r="DI257" s="408">
        <v>0</v>
      </c>
      <c r="DJ257" s="408"/>
      <c r="DK257" s="408">
        <v>0</v>
      </c>
      <c r="DL257" s="408">
        <v>0</v>
      </c>
      <c r="DM257" s="408"/>
      <c r="DN257" s="408">
        <v>0</v>
      </c>
      <c r="DO257" s="408">
        <v>0</v>
      </c>
      <c r="DP257" s="408">
        <v>0</v>
      </c>
      <c r="DQ257" s="408">
        <v>0</v>
      </c>
      <c r="DR257" s="408">
        <v>0</v>
      </c>
      <c r="DS257" s="408"/>
      <c r="DT257" s="408"/>
      <c r="DU257" s="408">
        <v>24907.230271356024</v>
      </c>
      <c r="DV257" s="408"/>
      <c r="DW257" s="408">
        <v>0</v>
      </c>
      <c r="DX257" s="408">
        <v>0</v>
      </c>
      <c r="DY257" s="408">
        <v>-17797</v>
      </c>
      <c r="DZ257" s="234"/>
      <c r="EA257" s="408">
        <v>0</v>
      </c>
      <c r="EB257" s="408"/>
      <c r="EC257" s="408">
        <v>-18299.586605270189</v>
      </c>
      <c r="ED257" s="408"/>
      <c r="EE257" s="408">
        <v>0</v>
      </c>
      <c r="EF257" s="408">
        <v>0</v>
      </c>
      <c r="EG257" s="408"/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/>
      <c r="EN257" s="408"/>
      <c r="EO257" s="408">
        <v>0</v>
      </c>
      <c r="EP257" s="408">
        <v>0</v>
      </c>
      <c r="EQ257" s="408"/>
      <c r="ER257" s="408">
        <v>0</v>
      </c>
      <c r="ES257" s="408"/>
      <c r="ET257" s="408">
        <v>0</v>
      </c>
      <c r="EU257" s="408"/>
      <c r="EV257" s="408">
        <v>242</v>
      </c>
      <c r="EW257" s="408"/>
      <c r="EX257" s="408"/>
      <c r="EY257" s="408"/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256</v>
      </c>
      <c r="B258" s="408" t="s">
        <v>1036</v>
      </c>
      <c r="C258" s="408" t="s">
        <v>2231</v>
      </c>
      <c r="D258" s="408" t="s">
        <v>1955</v>
      </c>
      <c r="E258" s="408" t="s">
        <v>998</v>
      </c>
      <c r="F258" s="408" t="s">
        <v>1322</v>
      </c>
      <c r="G258" s="408" t="s">
        <v>1322</v>
      </c>
      <c r="H258" s="408" t="s">
        <v>1322</v>
      </c>
      <c r="I258" s="408" t="s">
        <v>1322</v>
      </c>
      <c r="J258" s="408" t="s">
        <v>2232</v>
      </c>
      <c r="K258" s="828">
        <v>44531</v>
      </c>
      <c r="L258" s="408">
        <v>0</v>
      </c>
      <c r="M258" s="408">
        <v>0</v>
      </c>
      <c r="N258" s="408">
        <v>271.91000000000003</v>
      </c>
      <c r="O258" s="408">
        <v>271.91000000000003</v>
      </c>
      <c r="P258" s="408">
        <v>271.91000000000003</v>
      </c>
      <c r="Q258" s="408">
        <v>271.91000000000003</v>
      </c>
      <c r="R258" s="408"/>
      <c r="S258" s="408">
        <v>571.87</v>
      </c>
      <c r="T258" s="408">
        <v>216.76</v>
      </c>
      <c r="U258" s="408"/>
      <c r="V258" s="408">
        <v>214436.38330000002</v>
      </c>
      <c r="W258" s="408">
        <v>214436.38330000002</v>
      </c>
      <c r="X258" s="408">
        <v>139764.45910000001</v>
      </c>
      <c r="Y258" s="408">
        <v>0</v>
      </c>
      <c r="Z258" s="408">
        <v>16480.632880444729</v>
      </c>
      <c r="AA258" s="408">
        <v>0</v>
      </c>
      <c r="AB258" s="408">
        <v>0</v>
      </c>
      <c r="AC258" s="408">
        <v>0</v>
      </c>
      <c r="AD258" s="408">
        <v>223.4865540332562</v>
      </c>
      <c r="AE258" s="408">
        <v>115937.98337983077</v>
      </c>
      <c r="AF258" s="408">
        <v>58080.384088954874</v>
      </c>
      <c r="AG258" s="408">
        <v>858.52992188876135</v>
      </c>
      <c r="AH258" s="408">
        <v>0</v>
      </c>
      <c r="AI258" s="408">
        <v>0</v>
      </c>
      <c r="AJ258" s="408">
        <v>0</v>
      </c>
      <c r="AK258" s="408">
        <v>0</v>
      </c>
      <c r="AL258" s="408">
        <v>2548.7847281017062</v>
      </c>
      <c r="AM258" s="408"/>
      <c r="AN258" s="408">
        <v>521.65105701414143</v>
      </c>
      <c r="AO258" s="408">
        <v>2415.0224349585533</v>
      </c>
      <c r="AP258" s="408">
        <v>7566.468151810569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161.80538088576878</v>
      </c>
      <c r="BE258" s="408">
        <v>0</v>
      </c>
      <c r="BF258" s="408">
        <v>0</v>
      </c>
      <c r="BG258" s="408">
        <v>9641.4493495177285</v>
      </c>
      <c r="BH258" s="408">
        <v>0</v>
      </c>
      <c r="BI258" s="408">
        <v>801.72</v>
      </c>
      <c r="BJ258" s="408">
        <v>3697.97</v>
      </c>
      <c r="BK258" s="408">
        <v>75891.7</v>
      </c>
      <c r="BL258" s="408">
        <v>701</v>
      </c>
      <c r="BM258" s="408"/>
      <c r="BN258" s="408"/>
      <c r="BO258" s="408"/>
      <c r="BP258" s="408"/>
      <c r="BQ258" s="408"/>
      <c r="BR258" s="408"/>
      <c r="BS258" s="408"/>
      <c r="BT258" s="408"/>
      <c r="BU258" s="408"/>
      <c r="BV258" s="408">
        <v>67883.63881935837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139764.45910000001</v>
      </c>
      <c r="CJ258" s="408">
        <v>-74671.954200000037</v>
      </c>
      <c r="CK258" s="408"/>
      <c r="CL258" s="408"/>
      <c r="CM258" s="408"/>
      <c r="CN258" s="408"/>
      <c r="CO258" s="408">
        <v>-83544.347500000003</v>
      </c>
      <c r="CP258" s="408">
        <v>8872.4233000000004</v>
      </c>
      <c r="CQ258" s="408"/>
      <c r="CR258" s="408">
        <v>10509.404662723144</v>
      </c>
      <c r="CS258" s="408">
        <v>249.11324508395728</v>
      </c>
      <c r="CT258" s="408">
        <v>780.49272248448779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21.851411102053021</v>
      </c>
      <c r="DA258" s="408">
        <v>0</v>
      </c>
      <c r="DB258" s="408">
        <v>0</v>
      </c>
      <c r="DC258" s="408">
        <v>8873.5635609433375</v>
      </c>
      <c r="DD258" s="408">
        <v>0</v>
      </c>
      <c r="DE258" s="408">
        <v>0</v>
      </c>
      <c r="DF258" s="408">
        <v>24.7207444357376</v>
      </c>
      <c r="DG258" s="408">
        <v>1473.0276833488297</v>
      </c>
      <c r="DH258" s="408">
        <v>0</v>
      </c>
      <c r="DI258" s="408">
        <v>-787.39842087880788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-103.27830969060597</v>
      </c>
      <c r="DP258" s="408">
        <v>-22.687974105848866</v>
      </c>
      <c r="DQ258" s="408">
        <v>0</v>
      </c>
      <c r="DR258" s="408">
        <v>0</v>
      </c>
      <c r="DS258" s="408"/>
      <c r="DT258" s="408"/>
      <c r="DU258" s="408"/>
      <c r="DV258" s="408">
        <v>115937.98337983077</v>
      </c>
      <c r="DW258" s="408">
        <v>0</v>
      </c>
      <c r="DX258" s="408">
        <v>0</v>
      </c>
      <c r="DY258" s="408">
        <v>-83544.347500000003</v>
      </c>
      <c r="DZ258" s="234">
        <v>8872.4233000000022</v>
      </c>
      <c r="EA258" s="408">
        <v>0</v>
      </c>
      <c r="EB258" s="408">
        <v>0</v>
      </c>
      <c r="EC258" s="408">
        <v>-85180.774601803365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242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257</v>
      </c>
      <c r="B259" s="408" t="s">
        <v>2234</v>
      </c>
      <c r="C259" s="408" t="s">
        <v>2231</v>
      </c>
      <c r="D259" s="408" t="s">
        <v>1955</v>
      </c>
      <c r="E259" s="408" t="s">
        <v>998</v>
      </c>
      <c r="F259" s="408" t="s">
        <v>1322</v>
      </c>
      <c r="G259" s="408" t="s">
        <v>1322</v>
      </c>
      <c r="H259" s="408" t="s">
        <v>1322</v>
      </c>
      <c r="I259" s="408" t="s">
        <v>1322</v>
      </c>
      <c r="J259" s="408" t="s">
        <v>2232</v>
      </c>
      <c r="K259" s="828">
        <v>44531</v>
      </c>
      <c r="L259" s="408">
        <v>0</v>
      </c>
      <c r="M259" s="408">
        <v>0</v>
      </c>
      <c r="N259" s="408">
        <v>6.9379999999999997</v>
      </c>
      <c r="O259" s="408">
        <v>6.9379999999999997</v>
      </c>
      <c r="P259" s="408">
        <v>6.9379999999999997</v>
      </c>
      <c r="Q259" s="408">
        <v>6.9379999999999997</v>
      </c>
      <c r="R259" s="408"/>
      <c r="S259" s="408">
        <v>571.87</v>
      </c>
      <c r="T259" s="408">
        <v>216.76</v>
      </c>
      <c r="U259" s="408"/>
      <c r="V259" s="408">
        <v>5471.51494</v>
      </c>
      <c r="W259" s="408">
        <v>5471.51494</v>
      </c>
      <c r="X259" s="408">
        <v>3566.2013799999995</v>
      </c>
      <c r="Y259" s="408">
        <v>0</v>
      </c>
      <c r="Z259" s="408">
        <v>420.51646105154464</v>
      </c>
      <c r="AA259" s="408">
        <v>0</v>
      </c>
      <c r="AB259" s="408">
        <v>0</v>
      </c>
      <c r="AC259" s="408">
        <v>0</v>
      </c>
      <c r="AD259" s="408">
        <v>5.7024372471874196</v>
      </c>
      <c r="AE259" s="408">
        <v>2958.2498940431237</v>
      </c>
      <c r="AF259" s="408">
        <v>1481.9672127143865</v>
      </c>
      <c r="AG259" s="408">
        <v>21.906074061506473</v>
      </c>
      <c r="AH259" s="408">
        <v>0</v>
      </c>
      <c r="AI259" s="408">
        <v>0</v>
      </c>
      <c r="AJ259" s="408">
        <v>0</v>
      </c>
      <c r="AK259" s="408">
        <v>0</v>
      </c>
      <c r="AL259" s="408">
        <v>65.03427032315706</v>
      </c>
      <c r="AM259" s="408"/>
      <c r="AN259" s="408">
        <v>13.310341780604292</v>
      </c>
      <c r="AO259" s="408">
        <v>61.621218983275497</v>
      </c>
      <c r="AP259" s="408">
        <v>193.06445528763825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4.1285930366130836</v>
      </c>
      <c r="BE259" s="408">
        <v>0</v>
      </c>
      <c r="BF259" s="408">
        <v>0</v>
      </c>
      <c r="BG259" s="408">
        <v>246.00925154262069</v>
      </c>
      <c r="BH259" s="408">
        <v>0</v>
      </c>
      <c r="BI259" s="408">
        <v>20</v>
      </c>
      <c r="BJ259" s="408">
        <v>92.26</v>
      </c>
      <c r="BK259" s="408">
        <v>3387.12</v>
      </c>
      <c r="BL259" s="408">
        <v>18</v>
      </c>
      <c r="BM259" s="408"/>
      <c r="BN259" s="408"/>
      <c r="BO259" s="408"/>
      <c r="BP259" s="408"/>
      <c r="BQ259" s="408"/>
      <c r="BR259" s="408"/>
      <c r="BS259" s="408"/>
      <c r="BT259" s="408"/>
      <c r="BU259" s="408"/>
      <c r="BV259" s="408">
        <v>1732.1050572936201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3567.2294000000002</v>
      </c>
      <c r="CJ259" s="408">
        <v>-1904.3155400000005</v>
      </c>
      <c r="CK259" s="408"/>
      <c r="CL259" s="408"/>
      <c r="CM259" s="408"/>
      <c r="CN259" s="408"/>
      <c r="CO259" s="408">
        <v>-2131.7004999999999</v>
      </c>
      <c r="CP259" s="408">
        <v>226.38693999999995</v>
      </c>
      <c r="CQ259" s="408"/>
      <c r="CR259" s="408">
        <v>268.15582196305104</v>
      </c>
      <c r="CS259" s="408">
        <v>6.3563226596759677</v>
      </c>
      <c r="CT259" s="408">
        <v>19.914892827028694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0.55755614073054982</v>
      </c>
      <c r="DA259" s="408">
        <v>0</v>
      </c>
      <c r="DB259" s="408">
        <v>0</v>
      </c>
      <c r="DC259" s="408">
        <v>226.41603466523816</v>
      </c>
      <c r="DD259" s="408">
        <v>0</v>
      </c>
      <c r="DE259" s="408">
        <v>0</v>
      </c>
      <c r="DF259" s="408">
        <v>0.63076946377532117</v>
      </c>
      <c r="DG259" s="408">
        <v>37.585473381170914</v>
      </c>
      <c r="DH259" s="408">
        <v>0</v>
      </c>
      <c r="DI259" s="408">
        <v>-20.091097216200751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-2.6352282469693051</v>
      </c>
      <c r="DP259" s="408">
        <v>-0.57890171139854907</v>
      </c>
      <c r="DQ259" s="408">
        <v>0</v>
      </c>
      <c r="DR259" s="408">
        <v>0</v>
      </c>
      <c r="DS259" s="408"/>
      <c r="DT259" s="408"/>
      <c r="DU259" s="408"/>
      <c r="DV259" s="408">
        <v>2958.2498940431237</v>
      </c>
      <c r="DW259" s="408">
        <v>0</v>
      </c>
      <c r="DX259" s="408">
        <v>0</v>
      </c>
      <c r="DY259" s="408">
        <v>-2131.7004999999999</v>
      </c>
      <c r="DZ259" s="234">
        <v>226.38693999999987</v>
      </c>
      <c r="EA259" s="408">
        <v>0</v>
      </c>
      <c r="EB259" s="408">
        <v>0</v>
      </c>
      <c r="EC259" s="408">
        <v>-2173.4552395546752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242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258</v>
      </c>
      <c r="B260" s="408" t="s">
        <v>1036</v>
      </c>
      <c r="C260" s="408" t="s">
        <v>2239</v>
      </c>
      <c r="D260" s="408" t="s">
        <v>597</v>
      </c>
      <c r="E260" s="408" t="s">
        <v>998</v>
      </c>
      <c r="F260" s="408" t="s">
        <v>1322</v>
      </c>
      <c r="G260" s="408" t="s">
        <v>1322</v>
      </c>
      <c r="H260" s="408" t="s">
        <v>1322</v>
      </c>
      <c r="I260" s="408" t="s">
        <v>973</v>
      </c>
      <c r="J260" s="408" t="s">
        <v>2232</v>
      </c>
      <c r="K260" s="828">
        <v>44531</v>
      </c>
      <c r="L260" s="408">
        <v>0</v>
      </c>
      <c r="M260" s="408">
        <v>0</v>
      </c>
      <c r="N260" s="408">
        <v>7.4249999999999998</v>
      </c>
      <c r="O260" s="408">
        <v>7.4249999999999998</v>
      </c>
      <c r="P260" s="408">
        <v>7.4249999999999998</v>
      </c>
      <c r="Q260" s="408">
        <v>7.4249999999999998</v>
      </c>
      <c r="R260" s="408"/>
      <c r="S260" s="408">
        <v>2592.54</v>
      </c>
      <c r="T260" s="408">
        <v>216.76</v>
      </c>
      <c r="U260" s="408"/>
      <c r="V260" s="408">
        <v>20859.052499999998</v>
      </c>
      <c r="W260" s="408">
        <v>20859.052499999998</v>
      </c>
      <c r="X260" s="408">
        <v>8770.41</v>
      </c>
      <c r="Y260" s="408">
        <v>0</v>
      </c>
      <c r="Z260" s="408">
        <v>391.52943345023294</v>
      </c>
      <c r="AA260" s="408">
        <v>0</v>
      </c>
      <c r="AB260" s="408">
        <v>0</v>
      </c>
      <c r="AC260" s="408">
        <v>0</v>
      </c>
      <c r="AD260" s="408">
        <v>37.545516412470327</v>
      </c>
      <c r="AE260" s="408">
        <v>17009.869420272687</v>
      </c>
      <c r="AF260" s="408">
        <v>1585.9911436154973</v>
      </c>
      <c r="AG260" s="408">
        <v>23.443730168158773</v>
      </c>
      <c r="AH260" s="408">
        <v>0</v>
      </c>
      <c r="AI260" s="408">
        <v>0</v>
      </c>
      <c r="AJ260" s="408">
        <v>0</v>
      </c>
      <c r="AK260" s="408">
        <v>0</v>
      </c>
      <c r="AL260" s="408">
        <v>69.599229914880539</v>
      </c>
      <c r="AM260" s="408"/>
      <c r="AN260" s="408">
        <v>10.196174809023265</v>
      </c>
      <c r="AO260" s="408">
        <v>334.97792119068208</v>
      </c>
      <c r="AP260" s="408">
        <v>1271.1655592784175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3.3954428360280482</v>
      </c>
      <c r="BE260" s="408">
        <v>0</v>
      </c>
      <c r="BF260" s="408">
        <v>0</v>
      </c>
      <c r="BG260" s="408">
        <v>121.29596444088337</v>
      </c>
      <c r="BH260" s="408">
        <v>0</v>
      </c>
      <c r="BI260" s="408">
        <v>0</v>
      </c>
      <c r="BJ260" s="408">
        <v>0</v>
      </c>
      <c r="BK260" s="408">
        <v>0</v>
      </c>
      <c r="BL260" s="408">
        <v>0</v>
      </c>
      <c r="BM260" s="408"/>
      <c r="BN260" s="408"/>
      <c r="BO260" s="408"/>
      <c r="BP260" s="408"/>
      <c r="BQ260" s="408"/>
      <c r="BR260" s="408"/>
      <c r="BS260" s="408"/>
      <c r="BT260" s="408"/>
      <c r="BU260" s="408"/>
      <c r="BV260" s="408">
        <v>1710.6825508924087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8776.3159999999989</v>
      </c>
      <c r="CJ260" s="408">
        <v>-12082.766499999994</v>
      </c>
      <c r="CK260" s="408"/>
      <c r="CL260" s="408"/>
      <c r="CM260" s="408"/>
      <c r="CN260" s="408"/>
      <c r="CO260" s="408">
        <v>-12330.920249999999</v>
      </c>
      <c r="CP260" s="408">
        <v>242.27774999999997</v>
      </c>
      <c r="CQ260" s="408"/>
      <c r="CR260" s="408">
        <v>408.73665453531703</v>
      </c>
      <c r="CS260" s="408">
        <v>34.553483135952888</v>
      </c>
      <c r="CT260" s="408">
        <v>131.12266491893979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3.6710150984997867</v>
      </c>
      <c r="DA260" s="408">
        <v>0</v>
      </c>
      <c r="DB260" s="408">
        <v>0</v>
      </c>
      <c r="DC260" s="408">
        <v>242.30888691112614</v>
      </c>
      <c r="DD260" s="408">
        <v>0</v>
      </c>
      <c r="DE260" s="408">
        <v>0</v>
      </c>
      <c r="DF260" s="408">
        <v>0.51875823990590542</v>
      </c>
      <c r="DG260" s="408">
        <v>18.531686162812676</v>
      </c>
      <c r="DH260" s="408">
        <v>0</v>
      </c>
      <c r="DI260" s="408">
        <v>-18.706178328387182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-2.8202031902201128</v>
      </c>
      <c r="DP260" s="408">
        <v>-0.44345841331163705</v>
      </c>
      <c r="DQ260" s="408">
        <v>0</v>
      </c>
      <c r="DR260" s="408">
        <v>0</v>
      </c>
      <c r="DS260" s="408"/>
      <c r="DT260" s="408"/>
      <c r="DU260" s="408"/>
      <c r="DV260" s="408">
        <v>17009.869420272687</v>
      </c>
      <c r="DW260" s="408">
        <v>0</v>
      </c>
      <c r="DX260" s="408">
        <v>0</v>
      </c>
      <c r="DY260" s="408">
        <v>-12330.920249999999</v>
      </c>
      <c r="DZ260" s="234">
        <v>242.27774999999997</v>
      </c>
      <c r="EA260" s="408">
        <v>0</v>
      </c>
      <c r="EB260" s="408">
        <v>0</v>
      </c>
      <c r="EC260" s="408">
        <v>-12497.318056218815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242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259</v>
      </c>
      <c r="B261" s="408" t="s">
        <v>1036</v>
      </c>
      <c r="C261" s="408" t="s">
        <v>2239</v>
      </c>
      <c r="D261" s="408" t="s">
        <v>597</v>
      </c>
      <c r="E261" s="408" t="s">
        <v>998</v>
      </c>
      <c r="F261" s="408" t="s">
        <v>1322</v>
      </c>
      <c r="G261" s="408" t="s">
        <v>1322</v>
      </c>
      <c r="H261" s="408" t="s">
        <v>1322</v>
      </c>
      <c r="I261" s="408" t="s">
        <v>2240</v>
      </c>
      <c r="J261" s="408" t="s">
        <v>2232</v>
      </c>
      <c r="K261" s="828">
        <v>44531</v>
      </c>
      <c r="L261" s="408">
        <v>0</v>
      </c>
      <c r="M261" s="408">
        <v>0</v>
      </c>
      <c r="N261" s="408">
        <v>83.787999999999997</v>
      </c>
      <c r="O261" s="408">
        <v>83.787999999999997</v>
      </c>
      <c r="P261" s="408">
        <v>83.787999999999997</v>
      </c>
      <c r="Q261" s="408">
        <v>83.787999999999997</v>
      </c>
      <c r="R261" s="408"/>
      <c r="S261" s="408">
        <v>80.27</v>
      </c>
      <c r="T261" s="408">
        <v>216.76</v>
      </c>
      <c r="U261" s="408"/>
      <c r="V261" s="408">
        <v>24887.549639999997</v>
      </c>
      <c r="W261" s="408">
        <v>24887.549639999997</v>
      </c>
      <c r="X261" s="408">
        <v>27588.874759999999</v>
      </c>
      <c r="Y261" s="408">
        <v>0</v>
      </c>
      <c r="Z261" s="408">
        <v>4418.24487137079</v>
      </c>
      <c r="AA261" s="408">
        <v>0</v>
      </c>
      <c r="AB261" s="408">
        <v>0</v>
      </c>
      <c r="AC261" s="408">
        <v>0</v>
      </c>
      <c r="AD261" s="408">
        <v>0</v>
      </c>
      <c r="AE261" s="408">
        <v>0</v>
      </c>
      <c r="AF261" s="408">
        <v>17897.242551010811</v>
      </c>
      <c r="AG261" s="408">
        <v>264.55262805787032</v>
      </c>
      <c r="AH261" s="408">
        <v>0</v>
      </c>
      <c r="AI261" s="408">
        <v>0</v>
      </c>
      <c r="AJ261" s="408">
        <v>0</v>
      </c>
      <c r="AK261" s="408">
        <v>0</v>
      </c>
      <c r="AL261" s="408">
        <v>785.39801698424378</v>
      </c>
      <c r="AM261" s="408"/>
      <c r="AN261" s="408">
        <v>115.05954140046349</v>
      </c>
      <c r="AO261" s="408">
        <v>0</v>
      </c>
      <c r="AP261" s="408">
        <v>0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38.316143346143853</v>
      </c>
      <c r="BE261" s="408">
        <v>0</v>
      </c>
      <c r="BF261" s="408">
        <v>0</v>
      </c>
      <c r="BG261" s="408">
        <v>1368.7739082252842</v>
      </c>
      <c r="BH261" s="408">
        <v>0</v>
      </c>
      <c r="BI261" s="408">
        <v>0</v>
      </c>
      <c r="BJ261" s="408">
        <v>0</v>
      </c>
      <c r="BK261" s="408">
        <v>0</v>
      </c>
      <c r="BL261" s="408">
        <v>0</v>
      </c>
      <c r="BM261" s="408"/>
      <c r="BN261" s="408"/>
      <c r="BO261" s="408"/>
      <c r="BP261" s="408"/>
      <c r="BQ261" s="408"/>
      <c r="BR261" s="408"/>
      <c r="BS261" s="408"/>
      <c r="BT261" s="408"/>
      <c r="BU261" s="408"/>
      <c r="BV261" s="408">
        <v>19304.332602582239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27589.533299999999</v>
      </c>
      <c r="CJ261" s="408">
        <v>2701.9536600000029</v>
      </c>
      <c r="CK261" s="408"/>
      <c r="CL261" s="408"/>
      <c r="CM261" s="408"/>
      <c r="CN261" s="408"/>
      <c r="CO261" s="408">
        <v>-32.677320000000044</v>
      </c>
      <c r="CP261" s="408">
        <v>2734.0024399999993</v>
      </c>
      <c r="CQ261" s="408"/>
      <c r="CR261" s="408">
        <v>2701.4096570920956</v>
      </c>
      <c r="CS261" s="408">
        <v>0</v>
      </c>
      <c r="CT261" s="408">
        <v>0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0</v>
      </c>
      <c r="DA261" s="408">
        <v>0</v>
      </c>
      <c r="DB261" s="408">
        <v>0</v>
      </c>
      <c r="DC261" s="408">
        <v>2734.3538069372989</v>
      </c>
      <c r="DD261" s="408">
        <v>0</v>
      </c>
      <c r="DE261" s="408">
        <v>0</v>
      </c>
      <c r="DF261" s="408">
        <v>5.8539684047455864</v>
      </c>
      <c r="DG261" s="408">
        <v>209.12227881612785</v>
      </c>
      <c r="DH261" s="408">
        <v>0</v>
      </c>
      <c r="DI261" s="408">
        <v>-211.09134946517224</v>
      </c>
      <c r="DJ261" s="408"/>
      <c r="DK261" s="408">
        <v>0</v>
      </c>
      <c r="DL261" s="408">
        <v>0</v>
      </c>
      <c r="DM261" s="408">
        <v>0</v>
      </c>
      <c r="DN261" s="408">
        <v>0</v>
      </c>
      <c r="DO261" s="408">
        <v>-31.824806047429206</v>
      </c>
      <c r="DP261" s="408">
        <v>-5.0042415534754809</v>
      </c>
      <c r="DQ261" s="408">
        <v>0</v>
      </c>
      <c r="DR261" s="408">
        <v>0</v>
      </c>
      <c r="DS261" s="408"/>
      <c r="DT261" s="408"/>
      <c r="DU261" s="408"/>
      <c r="DV261" s="408">
        <v>0</v>
      </c>
      <c r="DW261" s="408">
        <v>0</v>
      </c>
      <c r="DX261" s="408">
        <v>0</v>
      </c>
      <c r="DY261" s="408">
        <v>-32.677319999999781</v>
      </c>
      <c r="DZ261" s="234">
        <v>2734.0024400000002</v>
      </c>
      <c r="EA261" s="408">
        <v>0</v>
      </c>
      <c r="EB261" s="408">
        <v>0</v>
      </c>
      <c r="EC261" s="408">
        <v>0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0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242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260</v>
      </c>
      <c r="B262" s="408" t="s">
        <v>1036</v>
      </c>
      <c r="C262" s="408" t="s">
        <v>2239</v>
      </c>
      <c r="D262" s="408" t="s">
        <v>597</v>
      </c>
      <c r="E262" s="408" t="s">
        <v>998</v>
      </c>
      <c r="F262" s="408" t="s">
        <v>1322</v>
      </c>
      <c r="G262" s="408" t="s">
        <v>1322</v>
      </c>
      <c r="H262" s="408" t="s">
        <v>1322</v>
      </c>
      <c r="I262" s="408" t="s">
        <v>1322</v>
      </c>
      <c r="J262" s="408" t="s">
        <v>2232</v>
      </c>
      <c r="K262" s="828">
        <v>44531</v>
      </c>
      <c r="L262" s="408">
        <v>1002</v>
      </c>
      <c r="M262" s="408">
        <v>1002</v>
      </c>
      <c r="N262" s="408">
        <v>0</v>
      </c>
      <c r="O262" s="408">
        <v>0</v>
      </c>
      <c r="P262" s="408">
        <v>0</v>
      </c>
      <c r="Q262" s="408">
        <v>0</v>
      </c>
      <c r="R262" s="408">
        <v>32.17</v>
      </c>
      <c r="S262" s="408"/>
      <c r="T262" s="408"/>
      <c r="U262" s="408">
        <v>32234.34</v>
      </c>
      <c r="V262" s="408"/>
      <c r="W262" s="408">
        <v>32234.34</v>
      </c>
      <c r="X262" s="408">
        <v>12955.86</v>
      </c>
      <c r="Y262" s="408">
        <v>0</v>
      </c>
      <c r="Z262" s="408">
        <v>0</v>
      </c>
      <c r="AA262" s="408">
        <v>0</v>
      </c>
      <c r="AB262" s="408">
        <v>0</v>
      </c>
      <c r="AC262" s="408">
        <v>0</v>
      </c>
      <c r="AD262" s="408">
        <v>100.11605758153796</v>
      </c>
      <c r="AE262" s="408">
        <v>26980.588899349987</v>
      </c>
      <c r="AF262" s="408"/>
      <c r="AG262" s="408"/>
      <c r="AH262" s="408"/>
      <c r="AI262" s="408">
        <v>0</v>
      </c>
      <c r="AJ262" s="408">
        <v>0</v>
      </c>
      <c r="AK262" s="408">
        <v>0</v>
      </c>
      <c r="AL262" s="408">
        <v>0</v>
      </c>
      <c r="AM262" s="408"/>
      <c r="AN262" s="408">
        <v>0</v>
      </c>
      <c r="AO262" s="408">
        <v>1767.9499486265574</v>
      </c>
      <c r="AP262" s="408">
        <v>3389.6308957765714</v>
      </c>
      <c r="AQ262" s="408">
        <v>0</v>
      </c>
      <c r="AR262" s="408">
        <v>0</v>
      </c>
      <c r="AS262" s="408"/>
      <c r="AT262" s="408"/>
      <c r="AU262" s="408">
        <v>0</v>
      </c>
      <c r="AV262" s="408">
        <v>0</v>
      </c>
      <c r="AW262" s="408">
        <v>0</v>
      </c>
      <c r="AX262" s="408"/>
      <c r="AY262" s="408"/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/>
      <c r="BG262" s="408">
        <v>0</v>
      </c>
      <c r="BH262" s="408">
        <v>0</v>
      </c>
      <c r="BI262" s="408">
        <v>280.2</v>
      </c>
      <c r="BJ262" s="408">
        <v>1286.04</v>
      </c>
      <c r="BK262" s="408">
        <v>25863.7</v>
      </c>
      <c r="BL262" s="408">
        <v>8</v>
      </c>
      <c r="BM262" s="408"/>
      <c r="BN262" s="408"/>
      <c r="BO262" s="408"/>
      <c r="BP262" s="408"/>
      <c r="BQ262" s="408"/>
      <c r="BR262" s="408"/>
      <c r="BS262" s="408"/>
      <c r="BT262" s="408"/>
      <c r="BU262" s="408"/>
      <c r="BV262" s="408">
        <v>0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12955.86</v>
      </c>
      <c r="CJ262" s="408">
        <v>-19278.509999999995</v>
      </c>
      <c r="CK262" s="408"/>
      <c r="CL262" s="408"/>
      <c r="CM262" s="408"/>
      <c r="CN262" s="408"/>
      <c r="CO262" s="408">
        <v>-19278.480000000003</v>
      </c>
      <c r="CP262" s="408">
        <v>0</v>
      </c>
      <c r="CQ262" s="408"/>
      <c r="CR262" s="408">
        <v>541.80117863822397</v>
      </c>
      <c r="CS262" s="408">
        <v>182.36673186679786</v>
      </c>
      <c r="CT262" s="408">
        <v>349.64559329165195</v>
      </c>
      <c r="CU262" s="408">
        <v>0</v>
      </c>
      <c r="CV262" s="408">
        <v>0</v>
      </c>
      <c r="CW262" s="408"/>
      <c r="CX262" s="408"/>
      <c r="CY262" s="408"/>
      <c r="CZ262" s="408">
        <v>9.788853479773735</v>
      </c>
      <c r="DA262" s="408">
        <v>0</v>
      </c>
      <c r="DB262" s="408">
        <v>0</v>
      </c>
      <c r="DC262" s="408"/>
      <c r="DD262" s="408"/>
      <c r="DE262" s="408">
        <v>0</v>
      </c>
      <c r="DF262" s="408">
        <v>0</v>
      </c>
      <c r="DG262" s="408">
        <v>0</v>
      </c>
      <c r="DH262" s="408">
        <v>0</v>
      </c>
      <c r="DI262" s="408">
        <v>0</v>
      </c>
      <c r="DJ262" s="408"/>
      <c r="DK262" s="408">
        <v>0</v>
      </c>
      <c r="DL262" s="408">
        <v>0</v>
      </c>
      <c r="DM262" s="408"/>
      <c r="DN262" s="408">
        <v>0</v>
      </c>
      <c r="DO262" s="408">
        <v>0</v>
      </c>
      <c r="DP262" s="408">
        <v>0</v>
      </c>
      <c r="DQ262" s="408">
        <v>0</v>
      </c>
      <c r="DR262" s="408">
        <v>0</v>
      </c>
      <c r="DS262" s="408"/>
      <c r="DT262" s="408"/>
      <c r="DU262" s="408">
        <v>26980.588899349987</v>
      </c>
      <c r="DV262" s="408"/>
      <c r="DW262" s="408">
        <v>0</v>
      </c>
      <c r="DX262" s="408">
        <v>0</v>
      </c>
      <c r="DY262" s="408">
        <v>-19278.48</v>
      </c>
      <c r="DZ262" s="234"/>
      <c r="EA262" s="408">
        <v>0</v>
      </c>
      <c r="EB262" s="408"/>
      <c r="EC262" s="408">
        <v>-19822.903544303495</v>
      </c>
      <c r="ED262" s="408"/>
      <c r="EE262" s="408">
        <v>0</v>
      </c>
      <c r="EF262" s="408">
        <v>0</v>
      </c>
      <c r="EG262" s="408"/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/>
      <c r="EN262" s="408"/>
      <c r="EO262" s="408">
        <v>0</v>
      </c>
      <c r="EP262" s="408">
        <v>0</v>
      </c>
      <c r="EQ262" s="408"/>
      <c r="ER262" s="408">
        <v>0</v>
      </c>
      <c r="ES262" s="408"/>
      <c r="ET262" s="408">
        <v>0</v>
      </c>
      <c r="EU262" s="408"/>
      <c r="EV262" s="408">
        <v>242</v>
      </c>
      <c r="EW262" s="408"/>
      <c r="EX262" s="408"/>
      <c r="EY262" s="408"/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261</v>
      </c>
      <c r="B263" s="408" t="s">
        <v>1036</v>
      </c>
      <c r="C263" s="408" t="s">
        <v>2231</v>
      </c>
      <c r="D263" s="408" t="s">
        <v>2241</v>
      </c>
      <c r="E263" s="408" t="s">
        <v>974</v>
      </c>
      <c r="F263" s="408" t="s">
        <v>1322</v>
      </c>
      <c r="G263" s="408" t="s">
        <v>1322</v>
      </c>
      <c r="H263" s="408" t="s">
        <v>1322</v>
      </c>
      <c r="I263" s="408" t="s">
        <v>1322</v>
      </c>
      <c r="J263" s="408" t="s">
        <v>2232</v>
      </c>
      <c r="K263" s="828">
        <v>44531</v>
      </c>
      <c r="L263" s="408">
        <v>0</v>
      </c>
      <c r="M263" s="408">
        <v>0</v>
      </c>
      <c r="N263" s="408">
        <v>3930.8789999999999</v>
      </c>
      <c r="O263" s="408">
        <v>3930.8789999999999</v>
      </c>
      <c r="P263" s="408">
        <v>3930.8789999999999</v>
      </c>
      <c r="Q263" s="408">
        <v>3930.8789999999999</v>
      </c>
      <c r="R263" s="408"/>
      <c r="S263" s="408">
        <v>571.87</v>
      </c>
      <c r="T263" s="408">
        <v>216.76</v>
      </c>
      <c r="U263" s="408"/>
      <c r="V263" s="408">
        <v>3100009.1057699998</v>
      </c>
      <c r="W263" s="408">
        <v>3100009.1057699998</v>
      </c>
      <c r="X263" s="408">
        <v>2020511.11479</v>
      </c>
      <c r="Y263" s="408">
        <v>0</v>
      </c>
      <c r="Z263" s="408">
        <v>238253.00171545616</v>
      </c>
      <c r="AA263" s="408">
        <v>0</v>
      </c>
      <c r="AB263" s="408">
        <v>0</v>
      </c>
      <c r="AC263" s="408">
        <v>0</v>
      </c>
      <c r="AD263" s="408">
        <v>3230.8433012088262</v>
      </c>
      <c r="AE263" s="408">
        <v>1676062.6095771606</v>
      </c>
      <c r="AF263" s="408">
        <v>839641.6539561135</v>
      </c>
      <c r="AG263" s="408">
        <v>12411.375973021117</v>
      </c>
      <c r="AH263" s="408">
        <v>0</v>
      </c>
      <c r="AI263" s="408">
        <v>0</v>
      </c>
      <c r="AJ263" s="408">
        <v>0</v>
      </c>
      <c r="AK263" s="408">
        <v>0</v>
      </c>
      <c r="AL263" s="408">
        <v>36846.619702165073</v>
      </c>
      <c r="AM263" s="408"/>
      <c r="AN263" s="408">
        <v>7541.2716904295212</v>
      </c>
      <c r="AO263" s="408">
        <v>34912.879166295621</v>
      </c>
      <c r="AP263" s="408">
        <v>109384.98312721479</v>
      </c>
      <c r="AQ263" s="408">
        <v>0</v>
      </c>
      <c r="AR263" s="408">
        <v>0</v>
      </c>
      <c r="AS263" s="408">
        <v>0</v>
      </c>
      <c r="AT263" s="408">
        <v>0</v>
      </c>
      <c r="AU263" s="408">
        <v>0</v>
      </c>
      <c r="AV263" s="408">
        <v>0</v>
      </c>
      <c r="AW263" s="408">
        <v>0</v>
      </c>
      <c r="AX263" s="408">
        <v>0</v>
      </c>
      <c r="AY263" s="408">
        <v>0</v>
      </c>
      <c r="AZ263" s="408">
        <v>0</v>
      </c>
      <c r="BA263" s="408"/>
      <c r="BB263" s="408">
        <v>0</v>
      </c>
      <c r="BC263" s="408">
        <v>0</v>
      </c>
      <c r="BD263" s="408">
        <v>2339.1466801914962</v>
      </c>
      <c r="BE263" s="408">
        <v>0</v>
      </c>
      <c r="BF263" s="408">
        <v>0</v>
      </c>
      <c r="BG263" s="408">
        <v>139382.04103410279</v>
      </c>
      <c r="BH263" s="408">
        <v>0</v>
      </c>
      <c r="BI263" s="408">
        <v>10402.85</v>
      </c>
      <c r="BJ263" s="408">
        <v>47980.25</v>
      </c>
      <c r="BK263" s="408">
        <v>140885.53</v>
      </c>
      <c r="BL263" s="408">
        <v>10502</v>
      </c>
      <c r="BM263" s="408"/>
      <c r="BN263" s="408"/>
      <c r="BO263" s="408"/>
      <c r="BP263" s="408"/>
      <c r="BQ263" s="408"/>
      <c r="BR263" s="408">
        <v>242456.6167199999</v>
      </c>
      <c r="BS263" s="408"/>
      <c r="BT263" s="408"/>
      <c r="BU263" s="408"/>
      <c r="BV263" s="408">
        <v>981362.8416704078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1778054.9504</v>
      </c>
      <c r="CJ263" s="408">
        <v>-949975.10559999989</v>
      </c>
      <c r="CK263" s="408"/>
      <c r="CL263" s="408"/>
      <c r="CM263" s="408"/>
      <c r="CN263" s="408"/>
      <c r="CO263" s="408">
        <v>-1207762.5727500001</v>
      </c>
      <c r="CP263" s="408">
        <v>128264.58176999998</v>
      </c>
      <c r="CQ263" s="408"/>
      <c r="CR263" s="408">
        <v>151929.67559560365</v>
      </c>
      <c r="CS263" s="408">
        <v>3601.3166993577979</v>
      </c>
      <c r="CT263" s="408">
        <v>11283.227731481369</v>
      </c>
      <c r="CU263" s="408">
        <v>0</v>
      </c>
      <c r="CV263" s="408">
        <v>0</v>
      </c>
      <c r="CW263" s="408">
        <v>0</v>
      </c>
      <c r="CX263" s="408">
        <v>0</v>
      </c>
      <c r="CY263" s="408">
        <v>0</v>
      </c>
      <c r="CZ263" s="408">
        <v>315.89589577958532</v>
      </c>
      <c r="DA263" s="408">
        <v>0</v>
      </c>
      <c r="DB263" s="408">
        <v>0</v>
      </c>
      <c r="DC263" s="408">
        <v>128281.06600300607</v>
      </c>
      <c r="DD263" s="408">
        <v>0</v>
      </c>
      <c r="DE263" s="408">
        <v>0</v>
      </c>
      <c r="DF263" s="408">
        <v>357.37654064509525</v>
      </c>
      <c r="DG263" s="408">
        <v>21294.890172831336</v>
      </c>
      <c r="DH263" s="408">
        <v>0</v>
      </c>
      <c r="DI263" s="408">
        <v>-11383.060267241584</v>
      </c>
      <c r="DJ263" s="408"/>
      <c r="DK263" s="408">
        <v>0</v>
      </c>
      <c r="DL263" s="408">
        <v>0</v>
      </c>
      <c r="DM263" s="408">
        <v>0</v>
      </c>
      <c r="DN263" s="408">
        <v>0</v>
      </c>
      <c r="DO263" s="408">
        <v>-1493.0474742315419</v>
      </c>
      <c r="DP263" s="408">
        <v>-327.98970602488043</v>
      </c>
      <c r="DQ263" s="408">
        <v>0</v>
      </c>
      <c r="DR263" s="408">
        <v>0</v>
      </c>
      <c r="DS263" s="408"/>
      <c r="DT263" s="408"/>
      <c r="DU263" s="408"/>
      <c r="DV263" s="408">
        <v>1676062.6095771606</v>
      </c>
      <c r="DW263" s="408">
        <v>0</v>
      </c>
      <c r="DX263" s="408">
        <v>0</v>
      </c>
      <c r="DY263" s="408">
        <v>-1207762.5727500001</v>
      </c>
      <c r="DZ263" s="234">
        <v>128264.58177000005</v>
      </c>
      <c r="EA263" s="408">
        <v>0</v>
      </c>
      <c r="EB263" s="408">
        <v>0</v>
      </c>
      <c r="EC263" s="408">
        <v>-1231419.6538779824</v>
      </c>
      <c r="ED263" s="408">
        <v>0</v>
      </c>
      <c r="EE263" s="408">
        <v>0</v>
      </c>
      <c r="EF263" s="408">
        <v>0</v>
      </c>
      <c r="EG263" s="408">
        <v>0</v>
      </c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>
        <v>0</v>
      </c>
      <c r="EN263" s="408">
        <v>0</v>
      </c>
      <c r="EO263" s="408">
        <v>0</v>
      </c>
      <c r="EP263" s="408">
        <v>0</v>
      </c>
      <c r="EQ263" s="408">
        <v>0</v>
      </c>
      <c r="ER263" s="408">
        <v>0</v>
      </c>
      <c r="ES263" s="408">
        <v>0</v>
      </c>
      <c r="ET263" s="408">
        <v>0</v>
      </c>
      <c r="EU263" s="408">
        <v>0</v>
      </c>
      <c r="EV263" s="408">
        <v>242</v>
      </c>
      <c r="EW263" s="408">
        <v>0</v>
      </c>
      <c r="EX263" s="408">
        <v>0</v>
      </c>
      <c r="EY263" s="408">
        <v>0</v>
      </c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262</v>
      </c>
      <c r="B264" s="408" t="s">
        <v>2233</v>
      </c>
      <c r="C264" s="408" t="s">
        <v>2231</v>
      </c>
      <c r="D264" s="408" t="s">
        <v>2241</v>
      </c>
      <c r="E264" s="408" t="s">
        <v>974</v>
      </c>
      <c r="F264" s="408" t="s">
        <v>1322</v>
      </c>
      <c r="G264" s="408" t="s">
        <v>1322</v>
      </c>
      <c r="H264" s="408" t="s">
        <v>1322</v>
      </c>
      <c r="I264" s="408" t="s">
        <v>1322</v>
      </c>
      <c r="J264" s="408" t="s">
        <v>2232</v>
      </c>
      <c r="K264" s="828">
        <v>44531</v>
      </c>
      <c r="L264" s="408">
        <v>0</v>
      </c>
      <c r="M264" s="408">
        <v>0</v>
      </c>
      <c r="N264" s="408">
        <v>-2.577</v>
      </c>
      <c r="O264" s="408">
        <v>-2.577</v>
      </c>
      <c r="P264" s="408">
        <v>-2.577</v>
      </c>
      <c r="Q264" s="408">
        <v>-2.577</v>
      </c>
      <c r="R264" s="408"/>
      <c r="S264" s="408">
        <v>571.87</v>
      </c>
      <c r="T264" s="408">
        <v>216.76</v>
      </c>
      <c r="U264" s="408"/>
      <c r="V264" s="408">
        <v>-2032.2995100000001</v>
      </c>
      <c r="W264" s="408">
        <v>-2032.2995100000001</v>
      </c>
      <c r="X264" s="408">
        <v>-1324.6037699999999</v>
      </c>
      <c r="Y264" s="408">
        <v>0</v>
      </c>
      <c r="Z264" s="408">
        <v>-156.19356012248929</v>
      </c>
      <c r="AA264" s="408">
        <v>0</v>
      </c>
      <c r="AB264" s="408">
        <v>0</v>
      </c>
      <c r="AC264" s="408">
        <v>0</v>
      </c>
      <c r="AD264" s="408">
        <v>-2.1180716036324561</v>
      </c>
      <c r="AE264" s="408">
        <v>-1098.790714463697</v>
      </c>
      <c r="AF264" s="408">
        <v>-550.45106762250998</v>
      </c>
      <c r="AG264" s="408">
        <v>-8.1366320058377326</v>
      </c>
      <c r="AH264" s="408">
        <v>0</v>
      </c>
      <c r="AI264" s="408">
        <v>0</v>
      </c>
      <c r="AJ264" s="408">
        <v>0</v>
      </c>
      <c r="AK264" s="408">
        <v>0</v>
      </c>
      <c r="AL264" s="408">
        <v>-24.155853938134296</v>
      </c>
      <c r="AM264" s="408"/>
      <c r="AN264" s="408">
        <v>-4.94389604621177</v>
      </c>
      <c r="AO264" s="408">
        <v>-22.888135099438017</v>
      </c>
      <c r="AP264" s="408">
        <v>-71.710449881268929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-1.5334944155883421</v>
      </c>
      <c r="BE264" s="408">
        <v>0</v>
      </c>
      <c r="BF264" s="408">
        <v>0</v>
      </c>
      <c r="BG264" s="408">
        <v>-91.375877951186723</v>
      </c>
      <c r="BH264" s="408">
        <v>0</v>
      </c>
      <c r="BI264" s="408">
        <v>-8.5500000000000007</v>
      </c>
      <c r="BJ264" s="408">
        <v>-39.35</v>
      </c>
      <c r="BK264" s="408">
        <v>-19.45</v>
      </c>
      <c r="BL264" s="408">
        <v>0</v>
      </c>
      <c r="BM264" s="408"/>
      <c r="BN264" s="408"/>
      <c r="BO264" s="408"/>
      <c r="BP264" s="408"/>
      <c r="BQ264" s="408"/>
      <c r="BR264" s="408">
        <v>-158.94935999999996</v>
      </c>
      <c r="BS264" s="408"/>
      <c r="BT264" s="408"/>
      <c r="BU264" s="408"/>
      <c r="BV264" s="408">
        <v>-643.36043998928506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-1167.0114000000001</v>
      </c>
      <c r="CJ264" s="408">
        <v>621.39660000000003</v>
      </c>
      <c r="CK264" s="408"/>
      <c r="CL264" s="408"/>
      <c r="CM264" s="408"/>
      <c r="CN264" s="408"/>
      <c r="CO264" s="408">
        <v>791.78324999999995</v>
      </c>
      <c r="CP264" s="408">
        <v>-84.08750999999998</v>
      </c>
      <c r="CQ264" s="408"/>
      <c r="CR264" s="408">
        <v>-99.601838166443031</v>
      </c>
      <c r="CS264" s="408">
        <v>-2.3609460210413644</v>
      </c>
      <c r="CT264" s="408">
        <v>-7.3970422045622541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-0.20709457691879907</v>
      </c>
      <c r="DA264" s="408">
        <v>0</v>
      </c>
      <c r="DB264" s="408">
        <v>0</v>
      </c>
      <c r="DC264" s="408">
        <v>-84.098316709760525</v>
      </c>
      <c r="DD264" s="408">
        <v>0</v>
      </c>
      <c r="DE264" s="408">
        <v>0</v>
      </c>
      <c r="DF264" s="408">
        <v>-0.23428839840717819</v>
      </c>
      <c r="DG264" s="408">
        <v>-13.96047346544789</v>
      </c>
      <c r="DH264" s="408">
        <v>0</v>
      </c>
      <c r="DI264" s="408">
        <v>7.4624902747404747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0.97880991531275541</v>
      </c>
      <c r="DP264" s="408">
        <v>0.21502301964169224</v>
      </c>
      <c r="DQ264" s="408">
        <v>0</v>
      </c>
      <c r="DR264" s="408">
        <v>0</v>
      </c>
      <c r="DS264" s="408"/>
      <c r="DT264" s="408"/>
      <c r="DU264" s="408"/>
      <c r="DV264" s="408">
        <v>-1098.790714463697</v>
      </c>
      <c r="DW264" s="408">
        <v>0</v>
      </c>
      <c r="DX264" s="408">
        <v>0</v>
      </c>
      <c r="DY264" s="408">
        <v>791.78325000000007</v>
      </c>
      <c r="DZ264" s="234">
        <v>-84.087509999999952</v>
      </c>
      <c r="EA264" s="408">
        <v>0</v>
      </c>
      <c r="EB264" s="408">
        <v>0</v>
      </c>
      <c r="EC264" s="408">
        <v>807.2923252136635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242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263</v>
      </c>
      <c r="B265" s="408" t="s">
        <v>2234</v>
      </c>
      <c r="C265" s="408" t="s">
        <v>2231</v>
      </c>
      <c r="D265" s="408" t="s">
        <v>2241</v>
      </c>
      <c r="E265" s="408" t="s">
        <v>974</v>
      </c>
      <c r="F265" s="408" t="s">
        <v>1322</v>
      </c>
      <c r="G265" s="408" t="s">
        <v>1322</v>
      </c>
      <c r="H265" s="408" t="s">
        <v>1322</v>
      </c>
      <c r="I265" s="408" t="s">
        <v>1322</v>
      </c>
      <c r="J265" s="408" t="s">
        <v>2232</v>
      </c>
      <c r="K265" s="828">
        <v>44531</v>
      </c>
      <c r="L265" s="408">
        <v>0</v>
      </c>
      <c r="M265" s="408">
        <v>0</v>
      </c>
      <c r="N265" s="408">
        <v>57.069000000000003</v>
      </c>
      <c r="O265" s="408">
        <v>57.069000000000003</v>
      </c>
      <c r="P265" s="408">
        <v>57.069000000000003</v>
      </c>
      <c r="Q265" s="408">
        <v>57.069000000000003</v>
      </c>
      <c r="R265" s="408"/>
      <c r="S265" s="408">
        <v>571.87</v>
      </c>
      <c r="T265" s="408">
        <v>216.76</v>
      </c>
      <c r="U265" s="408"/>
      <c r="V265" s="408">
        <v>45006.325470000003</v>
      </c>
      <c r="W265" s="408">
        <v>45006.325470000003</v>
      </c>
      <c r="X265" s="408">
        <v>29334.036690000001</v>
      </c>
      <c r="Y265" s="408">
        <v>0</v>
      </c>
      <c r="Z265" s="408">
        <v>3458.987304086279</v>
      </c>
      <c r="AA265" s="408">
        <v>0</v>
      </c>
      <c r="AB265" s="408">
        <v>0</v>
      </c>
      <c r="AC265" s="408">
        <v>0</v>
      </c>
      <c r="AD265" s="408">
        <v>46.905792917229583</v>
      </c>
      <c r="AE265" s="408">
        <v>24333.2895939964</v>
      </c>
      <c r="AF265" s="408">
        <v>12190.024050504084</v>
      </c>
      <c r="AG265" s="408">
        <v>180.18993090459975</v>
      </c>
      <c r="AH265" s="408">
        <v>0</v>
      </c>
      <c r="AI265" s="408">
        <v>0</v>
      </c>
      <c r="AJ265" s="408">
        <v>0</v>
      </c>
      <c r="AK265" s="408">
        <v>0</v>
      </c>
      <c r="AL265" s="408">
        <v>534.94389926091822</v>
      </c>
      <c r="AM265" s="408"/>
      <c r="AN265" s="408">
        <v>109.48513910021711</v>
      </c>
      <c r="AO265" s="408">
        <v>506.86960884354994</v>
      </c>
      <c r="AP265" s="408">
        <v>1588.065061806029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33.960028251149048</v>
      </c>
      <c r="BE265" s="408">
        <v>0</v>
      </c>
      <c r="BF265" s="408">
        <v>0</v>
      </c>
      <c r="BG265" s="408">
        <v>2023.5661539760479</v>
      </c>
      <c r="BH265" s="408">
        <v>0</v>
      </c>
      <c r="BI265" s="408">
        <v>164.48</v>
      </c>
      <c r="BJ265" s="408">
        <v>759.61</v>
      </c>
      <c r="BK265" s="408">
        <v>1275.67</v>
      </c>
      <c r="BL265" s="408">
        <v>177</v>
      </c>
      <c r="BM265" s="408"/>
      <c r="BN265" s="408"/>
      <c r="BO265" s="408"/>
      <c r="BP265" s="408"/>
      <c r="BQ265" s="408"/>
      <c r="BR265" s="408">
        <v>3520.0159199999989</v>
      </c>
      <c r="BS265" s="408"/>
      <c r="BT265" s="408"/>
      <c r="BU265" s="408"/>
      <c r="BV265" s="408">
        <v>14247.550232731281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25814.473099999999</v>
      </c>
      <c r="CJ265" s="408">
        <v>-13791.442900000005</v>
      </c>
      <c r="CK265" s="408"/>
      <c r="CL265" s="408"/>
      <c r="CM265" s="408"/>
      <c r="CN265" s="408"/>
      <c r="CO265" s="408">
        <v>-17534.450250000002</v>
      </c>
      <c r="CP265" s="408">
        <v>1862.1614699999998</v>
      </c>
      <c r="CQ265" s="408"/>
      <c r="CR265" s="408">
        <v>2205.734304354195</v>
      </c>
      <c r="CS265" s="408">
        <v>52.284372710442312</v>
      </c>
      <c r="CT265" s="408">
        <v>163.8113316151198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4.5862166900189933</v>
      </c>
      <c r="DA265" s="408">
        <v>0</v>
      </c>
      <c r="DB265" s="408">
        <v>0</v>
      </c>
      <c r="DC265" s="408">
        <v>1862.4007901860004</v>
      </c>
      <c r="DD265" s="408">
        <v>0</v>
      </c>
      <c r="DE265" s="408">
        <v>0</v>
      </c>
      <c r="DF265" s="408">
        <v>5.1884379544816639</v>
      </c>
      <c r="DG265" s="408">
        <v>309.16191703517484</v>
      </c>
      <c r="DH265" s="408">
        <v>0</v>
      </c>
      <c r="DI265" s="408">
        <v>-165.26071303421168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-21.676252641437259</v>
      </c>
      <c r="DP265" s="408">
        <v>-4.7617961614015201</v>
      </c>
      <c r="DQ265" s="408">
        <v>0</v>
      </c>
      <c r="DR265" s="408">
        <v>0</v>
      </c>
      <c r="DS265" s="408"/>
      <c r="DT265" s="408"/>
      <c r="DU265" s="408"/>
      <c r="DV265" s="408">
        <v>24333.2895939964</v>
      </c>
      <c r="DW265" s="408">
        <v>0</v>
      </c>
      <c r="DX265" s="408">
        <v>0</v>
      </c>
      <c r="DY265" s="408">
        <v>-17534.450250000002</v>
      </c>
      <c r="DZ265" s="234">
        <v>1862.1614700000009</v>
      </c>
      <c r="EA265" s="408">
        <v>0</v>
      </c>
      <c r="EB265" s="408">
        <v>0</v>
      </c>
      <c r="EC265" s="408">
        <v>-17877.906754993623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242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264</v>
      </c>
      <c r="B266" s="408" t="s">
        <v>1036</v>
      </c>
      <c r="C266" s="408" t="s">
        <v>2231</v>
      </c>
      <c r="D266" s="408" t="s">
        <v>1955</v>
      </c>
      <c r="E266" s="408" t="s">
        <v>2242</v>
      </c>
      <c r="F266" s="408" t="s">
        <v>1322</v>
      </c>
      <c r="G266" s="408" t="s">
        <v>1322</v>
      </c>
      <c r="H266" s="408" t="s">
        <v>1322</v>
      </c>
      <c r="I266" s="408" t="s">
        <v>1322</v>
      </c>
      <c r="J266" s="408" t="s">
        <v>2232</v>
      </c>
      <c r="K266" s="828">
        <v>44531</v>
      </c>
      <c r="L266" s="408">
        <v>0</v>
      </c>
      <c r="M266" s="408">
        <v>0</v>
      </c>
      <c r="N266" s="408">
        <v>46.895000000000003</v>
      </c>
      <c r="O266" s="408">
        <v>46.895000000000003</v>
      </c>
      <c r="P266" s="408">
        <v>46.895000000000003</v>
      </c>
      <c r="Q266" s="408">
        <v>46.895000000000003</v>
      </c>
      <c r="R266" s="408"/>
      <c r="S266" s="408">
        <v>571.87</v>
      </c>
      <c r="T266" s="408">
        <v>216.76</v>
      </c>
      <c r="U266" s="408"/>
      <c r="V266" s="408">
        <v>36982.803850000004</v>
      </c>
      <c r="W266" s="408">
        <v>36982.803850000004</v>
      </c>
      <c r="X266" s="408">
        <v>24104.498950000001</v>
      </c>
      <c r="Y266" s="408">
        <v>0</v>
      </c>
      <c r="Z266" s="408">
        <v>2842.3348862802231</v>
      </c>
      <c r="AA266" s="408">
        <v>0</v>
      </c>
      <c r="AB266" s="408">
        <v>0</v>
      </c>
      <c r="AC266" s="408">
        <v>0</v>
      </c>
      <c r="AD266" s="408">
        <v>38.543642938433855</v>
      </c>
      <c r="AE266" s="408">
        <v>19995.262147759051</v>
      </c>
      <c r="AF266" s="408">
        <v>10016.84238112441</v>
      </c>
      <c r="AG266" s="408">
        <v>148.06649511593344</v>
      </c>
      <c r="AH266" s="408">
        <v>0</v>
      </c>
      <c r="AI266" s="408">
        <v>0</v>
      </c>
      <c r="AJ266" s="408">
        <v>0</v>
      </c>
      <c r="AK266" s="408">
        <v>0</v>
      </c>
      <c r="AL266" s="408">
        <v>439.57655041862938</v>
      </c>
      <c r="AM266" s="408"/>
      <c r="AN266" s="408">
        <v>89.966629835894821</v>
      </c>
      <c r="AO266" s="408">
        <v>416.50721594417769</v>
      </c>
      <c r="AP266" s="408">
        <v>1304.9520943663588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27.905789918127788</v>
      </c>
      <c r="BE266" s="408">
        <v>0</v>
      </c>
      <c r="BF266" s="408">
        <v>0</v>
      </c>
      <c r="BG266" s="408">
        <v>1662.8140459918129</v>
      </c>
      <c r="BH266" s="408">
        <v>0</v>
      </c>
      <c r="BI266" s="408">
        <v>136.38999999999999</v>
      </c>
      <c r="BJ266" s="408">
        <v>629</v>
      </c>
      <c r="BK266" s="408">
        <v>11942.42</v>
      </c>
      <c r="BL266" s="408">
        <v>107</v>
      </c>
      <c r="BM266" s="408"/>
      <c r="BN266" s="408"/>
      <c r="BO266" s="408"/>
      <c r="BP266" s="408"/>
      <c r="BQ266" s="408"/>
      <c r="BR266" s="408"/>
      <c r="BS266" s="408"/>
      <c r="BT266" s="408"/>
      <c r="BU266" s="408"/>
      <c r="BV266" s="408">
        <v>11707.56221703435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24107.069</v>
      </c>
      <c r="CJ266" s="408">
        <v>-12875.764850000003</v>
      </c>
      <c r="CK266" s="408"/>
      <c r="CL266" s="408"/>
      <c r="CM266" s="408"/>
      <c r="CN266" s="408"/>
      <c r="CO266" s="408">
        <v>-14408.48875</v>
      </c>
      <c r="CP266" s="408">
        <v>1530.1838499999999</v>
      </c>
      <c r="CQ266" s="408"/>
      <c r="CR266" s="408">
        <v>1812.5060926718506</v>
      </c>
      <c r="CS266" s="408">
        <v>42.963354154728279</v>
      </c>
      <c r="CT266" s="408">
        <v>134.60779750987467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3.768606978892926</v>
      </c>
      <c r="DA266" s="408">
        <v>0</v>
      </c>
      <c r="DB266" s="408">
        <v>0</v>
      </c>
      <c r="DC266" s="408">
        <v>1530.380505279094</v>
      </c>
      <c r="DD266" s="408">
        <v>0</v>
      </c>
      <c r="DE266" s="408">
        <v>0</v>
      </c>
      <c r="DF266" s="408">
        <v>4.2634669939094394</v>
      </c>
      <c r="DG266" s="408">
        <v>254.04594612424489</v>
      </c>
      <c r="DH266" s="408">
        <v>0</v>
      </c>
      <c r="DI266" s="408">
        <v>-135.79878984631523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-17.811909576481071</v>
      </c>
      <c r="DP266" s="408">
        <v>-3.9128849460990125</v>
      </c>
      <c r="DQ266" s="408">
        <v>0</v>
      </c>
      <c r="DR266" s="408">
        <v>0</v>
      </c>
      <c r="DS266" s="408"/>
      <c r="DT266" s="408"/>
      <c r="DU266" s="408"/>
      <c r="DV266" s="408">
        <v>19995.262147759051</v>
      </c>
      <c r="DW266" s="408">
        <v>0</v>
      </c>
      <c r="DX266" s="408">
        <v>0</v>
      </c>
      <c r="DY266" s="408">
        <v>-14408.488750000002</v>
      </c>
      <c r="DZ266" s="234">
        <v>1530.1838500000013</v>
      </c>
      <c r="EA266" s="408">
        <v>0</v>
      </c>
      <c r="EB266" s="408">
        <v>0</v>
      </c>
      <c r="EC266" s="408">
        <v>-14690.71540197701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242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265</v>
      </c>
      <c r="B267" s="408" t="s">
        <v>2234</v>
      </c>
      <c r="C267" s="408" t="s">
        <v>2231</v>
      </c>
      <c r="D267" s="408" t="s">
        <v>1955</v>
      </c>
      <c r="E267" s="408" t="s">
        <v>2242</v>
      </c>
      <c r="F267" s="408" t="s">
        <v>1322</v>
      </c>
      <c r="G267" s="408" t="s">
        <v>1322</v>
      </c>
      <c r="H267" s="408" t="s">
        <v>1322</v>
      </c>
      <c r="I267" s="408" t="s">
        <v>1322</v>
      </c>
      <c r="J267" s="408" t="s">
        <v>2232</v>
      </c>
      <c r="K267" s="828">
        <v>44531</v>
      </c>
      <c r="L267" s="408">
        <v>0</v>
      </c>
      <c r="M267" s="408">
        <v>0</v>
      </c>
      <c r="N267" s="408">
        <v>0.1</v>
      </c>
      <c r="O267" s="408">
        <v>0.1</v>
      </c>
      <c r="P267" s="408">
        <v>0.1</v>
      </c>
      <c r="Q267" s="408">
        <v>0.1</v>
      </c>
      <c r="R267" s="408"/>
      <c r="S267" s="408">
        <v>571.87</v>
      </c>
      <c r="T267" s="408">
        <v>216.76</v>
      </c>
      <c r="U267" s="408"/>
      <c r="V267" s="408">
        <v>78.863</v>
      </c>
      <c r="W267" s="408">
        <v>78.863</v>
      </c>
      <c r="X267" s="408">
        <v>51.401000000000003</v>
      </c>
      <c r="Y267" s="408">
        <v>0</v>
      </c>
      <c r="Z267" s="408">
        <v>6.0610617044039303</v>
      </c>
      <c r="AA267" s="408">
        <v>0</v>
      </c>
      <c r="AB267" s="408">
        <v>0</v>
      </c>
      <c r="AC267" s="408">
        <v>0</v>
      </c>
      <c r="AD267" s="408">
        <v>8.2191369950813206E-2</v>
      </c>
      <c r="AE267" s="408">
        <v>42.638366878684401</v>
      </c>
      <c r="AF267" s="408">
        <v>21.360150082363603</v>
      </c>
      <c r="AG267" s="408">
        <v>0.31574047364523605</v>
      </c>
      <c r="AH267" s="408">
        <v>0</v>
      </c>
      <c r="AI267" s="408">
        <v>0</v>
      </c>
      <c r="AJ267" s="408">
        <v>0</v>
      </c>
      <c r="AK267" s="408">
        <v>0</v>
      </c>
      <c r="AL267" s="408">
        <v>0.93736336585697699</v>
      </c>
      <c r="AM267" s="408"/>
      <c r="AN267" s="408">
        <v>0.19184695561551302</v>
      </c>
      <c r="AO267" s="408">
        <v>0.88816977491028393</v>
      </c>
      <c r="AP267" s="408">
        <v>2.7827105114966599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5.9506962188139001E-2</v>
      </c>
      <c r="BE267" s="408">
        <v>0</v>
      </c>
      <c r="BF267" s="408">
        <v>0</v>
      </c>
      <c r="BG267" s="408">
        <v>3.5458237466506297</v>
      </c>
      <c r="BH267" s="408">
        <v>0</v>
      </c>
      <c r="BI267" s="408">
        <v>0.28000000000000003</v>
      </c>
      <c r="BJ267" s="408">
        <v>1.33</v>
      </c>
      <c r="BK267" s="408">
        <v>131.03</v>
      </c>
      <c r="BL267" s="408">
        <v>1</v>
      </c>
      <c r="BM267" s="408"/>
      <c r="BN267" s="408"/>
      <c r="BO267" s="408"/>
      <c r="BP267" s="408"/>
      <c r="BQ267" s="408"/>
      <c r="BR267" s="408"/>
      <c r="BS267" s="408"/>
      <c r="BT267" s="408"/>
      <c r="BU267" s="408"/>
      <c r="BV267" s="408">
        <v>24.965480791202371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51.401000000000003</v>
      </c>
      <c r="CJ267" s="408">
        <v>-27.492000000000012</v>
      </c>
      <c r="CK267" s="408"/>
      <c r="CL267" s="408"/>
      <c r="CM267" s="408"/>
      <c r="CN267" s="408"/>
      <c r="CO267" s="408">
        <v>-30.725000000000001</v>
      </c>
      <c r="CP267" s="408">
        <v>3.2629999999999999</v>
      </c>
      <c r="CQ267" s="408"/>
      <c r="CR267" s="408">
        <v>3.8650305846504907</v>
      </c>
      <c r="CS267" s="408">
        <v>9.1616066008590069E-2</v>
      </c>
      <c r="CT267" s="408">
        <v>0.28704083060001029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8.0362660814434911E-3</v>
      </c>
      <c r="DA267" s="408">
        <v>0</v>
      </c>
      <c r="DB267" s="408">
        <v>0</v>
      </c>
      <c r="DC267" s="408">
        <v>3.2634193523383992</v>
      </c>
      <c r="DD267" s="408">
        <v>0</v>
      </c>
      <c r="DE267" s="408">
        <v>0</v>
      </c>
      <c r="DF267" s="408">
        <v>9.0915172063320976E-3</v>
      </c>
      <c r="DG267" s="408">
        <v>0.5417335454190102</v>
      </c>
      <c r="DH267" s="408">
        <v>0</v>
      </c>
      <c r="DI267" s="408">
        <v>-0.28958053064572997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-3.7982534548418934E-2</v>
      </c>
      <c r="DP267" s="408">
        <v>-8.3439278091460012E-3</v>
      </c>
      <c r="DQ267" s="408">
        <v>0</v>
      </c>
      <c r="DR267" s="408">
        <v>0</v>
      </c>
      <c r="DS267" s="408"/>
      <c r="DT267" s="408"/>
      <c r="DU267" s="408"/>
      <c r="DV267" s="408">
        <v>42.638366878684401</v>
      </c>
      <c r="DW267" s="408">
        <v>0</v>
      </c>
      <c r="DX267" s="408">
        <v>0</v>
      </c>
      <c r="DY267" s="408">
        <v>-30.725000000000001</v>
      </c>
      <c r="DZ267" s="234">
        <v>3.2629999999999981</v>
      </c>
      <c r="EA267" s="408">
        <v>0</v>
      </c>
      <c r="EB267" s="408">
        <v>0</v>
      </c>
      <c r="EC267" s="408">
        <v>-31.326826744806503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242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266</v>
      </c>
      <c r="B268" s="408" t="s">
        <v>1036</v>
      </c>
      <c r="C268" s="408" t="s">
        <v>2239</v>
      </c>
      <c r="D268" s="408" t="s">
        <v>597</v>
      </c>
      <c r="E268" s="408" t="s">
        <v>2242</v>
      </c>
      <c r="F268" s="408" t="s">
        <v>1322</v>
      </c>
      <c r="G268" s="408" t="s">
        <v>1322</v>
      </c>
      <c r="H268" s="408" t="s">
        <v>1322</v>
      </c>
      <c r="I268" s="408" t="s">
        <v>973</v>
      </c>
      <c r="J268" s="408" t="s">
        <v>2232</v>
      </c>
      <c r="K268" s="828">
        <v>44531</v>
      </c>
      <c r="L268" s="408">
        <v>0</v>
      </c>
      <c r="M268" s="408">
        <v>0</v>
      </c>
      <c r="N268" s="408">
        <v>1.454</v>
      </c>
      <c r="O268" s="408">
        <v>1.454</v>
      </c>
      <c r="P268" s="408">
        <v>1.454</v>
      </c>
      <c r="Q268" s="408">
        <v>1.454</v>
      </c>
      <c r="R268" s="408"/>
      <c r="S268" s="408">
        <v>2592.54</v>
      </c>
      <c r="T268" s="408">
        <v>216.76</v>
      </c>
      <c r="U268" s="408"/>
      <c r="V268" s="408">
        <v>4084.7222000000002</v>
      </c>
      <c r="W268" s="408">
        <v>4084.7222000000002</v>
      </c>
      <c r="X268" s="408">
        <v>1717.4647999999997</v>
      </c>
      <c r="Y268" s="408">
        <v>0</v>
      </c>
      <c r="Z268" s="408">
        <v>76.671218348368853</v>
      </c>
      <c r="AA268" s="408">
        <v>0</v>
      </c>
      <c r="AB268" s="408">
        <v>0</v>
      </c>
      <c r="AC268" s="408">
        <v>0</v>
      </c>
      <c r="AD268" s="408">
        <v>7.3523475910749969</v>
      </c>
      <c r="AE268" s="408">
        <v>3330.9562474177083</v>
      </c>
      <c r="AF268" s="408">
        <v>310.57658219756672</v>
      </c>
      <c r="AG268" s="408">
        <v>4.5908664868017315</v>
      </c>
      <c r="AH268" s="408">
        <v>0</v>
      </c>
      <c r="AI268" s="408">
        <v>0</v>
      </c>
      <c r="AJ268" s="408">
        <v>0</v>
      </c>
      <c r="AK268" s="408">
        <v>0</v>
      </c>
      <c r="AL268" s="408">
        <v>13.629263339560444</v>
      </c>
      <c r="AM268" s="408"/>
      <c r="AN268" s="408">
        <v>1.9966650737131082</v>
      </c>
      <c r="AO268" s="408">
        <v>65.597023220370602</v>
      </c>
      <c r="AP268" s="408">
        <v>248.92588864522816</v>
      </c>
      <c r="AQ268" s="408">
        <v>0</v>
      </c>
      <c r="AR268" s="408">
        <v>0</v>
      </c>
      <c r="AS268" s="408">
        <v>0</v>
      </c>
      <c r="AT268" s="408">
        <v>0</v>
      </c>
      <c r="AU268" s="408">
        <v>0</v>
      </c>
      <c r="AV268" s="408">
        <v>0</v>
      </c>
      <c r="AW268" s="408">
        <v>0</v>
      </c>
      <c r="AX268" s="408">
        <v>0</v>
      </c>
      <c r="AY268" s="408">
        <v>0</v>
      </c>
      <c r="AZ268" s="408">
        <v>0</v>
      </c>
      <c r="BA268" s="408"/>
      <c r="BB268" s="408">
        <v>0</v>
      </c>
      <c r="BC268" s="408">
        <v>0</v>
      </c>
      <c r="BD268" s="408">
        <v>0.66491230755350605</v>
      </c>
      <c r="BE268" s="408">
        <v>0</v>
      </c>
      <c r="BF268" s="408">
        <v>0</v>
      </c>
      <c r="BG268" s="408">
        <v>23.752772026537968</v>
      </c>
      <c r="BH268" s="408">
        <v>0</v>
      </c>
      <c r="BI268" s="408">
        <v>0</v>
      </c>
      <c r="BJ268" s="408">
        <v>0</v>
      </c>
      <c r="BK268" s="408">
        <v>0</v>
      </c>
      <c r="BL268" s="408">
        <v>0</v>
      </c>
      <c r="BM268" s="408"/>
      <c r="BN268" s="408"/>
      <c r="BO268" s="408"/>
      <c r="BP268" s="408"/>
      <c r="BQ268" s="408"/>
      <c r="BR268" s="408"/>
      <c r="BS268" s="408"/>
      <c r="BT268" s="408"/>
      <c r="BU268" s="408"/>
      <c r="BV268" s="408">
        <v>334.99426653165818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1712.7399999999998</v>
      </c>
      <c r="CJ268" s="408">
        <v>-2372.012200000001</v>
      </c>
      <c r="CK268" s="408"/>
      <c r="CL268" s="408"/>
      <c r="CM268" s="408"/>
      <c r="CN268" s="408"/>
      <c r="CO268" s="408">
        <v>-2414.7014199999999</v>
      </c>
      <c r="CP268" s="408">
        <v>47.444019999999995</v>
      </c>
      <c r="CQ268" s="408"/>
      <c r="CR268" s="408">
        <v>80.040820968936373</v>
      </c>
      <c r="CS268" s="408">
        <v>6.7664329265556233</v>
      </c>
      <c r="CT268" s="408">
        <v>25.677084820490052</v>
      </c>
      <c r="CU268" s="408">
        <v>0</v>
      </c>
      <c r="CV268" s="408">
        <v>0</v>
      </c>
      <c r="CW268" s="408">
        <v>0</v>
      </c>
      <c r="CX268" s="408">
        <v>0</v>
      </c>
      <c r="CY268" s="408">
        <v>0</v>
      </c>
      <c r="CZ268" s="408">
        <v>0.71887622265571594</v>
      </c>
      <c r="DA268" s="408">
        <v>0</v>
      </c>
      <c r="DB268" s="408">
        <v>0</v>
      </c>
      <c r="DC268" s="408">
        <v>47.450117383000361</v>
      </c>
      <c r="DD268" s="408">
        <v>0</v>
      </c>
      <c r="DE268" s="408">
        <v>0</v>
      </c>
      <c r="DF268" s="408">
        <v>0.10158578866305534</v>
      </c>
      <c r="DG268" s="408">
        <v>3.6289658829265505</v>
      </c>
      <c r="DH268" s="408">
        <v>0</v>
      </c>
      <c r="DI268" s="408">
        <v>-3.6631357965622868</v>
      </c>
      <c r="DJ268" s="408"/>
      <c r="DK268" s="408">
        <v>0</v>
      </c>
      <c r="DL268" s="408">
        <v>0</v>
      </c>
      <c r="DM268" s="408">
        <v>0</v>
      </c>
      <c r="DN268" s="408">
        <v>0</v>
      </c>
      <c r="DO268" s="408">
        <v>-0.55226605233401038</v>
      </c>
      <c r="DP268" s="408">
        <v>-8.6840206458602021E-2</v>
      </c>
      <c r="DQ268" s="408">
        <v>0</v>
      </c>
      <c r="DR268" s="408">
        <v>0</v>
      </c>
      <c r="DS268" s="408"/>
      <c r="DT268" s="408"/>
      <c r="DU268" s="408"/>
      <c r="DV268" s="408">
        <v>3330.9562474177083</v>
      </c>
      <c r="DW268" s="408">
        <v>0</v>
      </c>
      <c r="DX268" s="408">
        <v>0</v>
      </c>
      <c r="DY268" s="408">
        <v>-2414.7014200000003</v>
      </c>
      <c r="DZ268" s="234">
        <v>47.444019999999966</v>
      </c>
      <c r="EA268" s="408">
        <v>0</v>
      </c>
      <c r="EB268" s="408">
        <v>0</v>
      </c>
      <c r="EC268" s="408">
        <v>-2447.2862563962499</v>
      </c>
      <c r="ED268" s="408">
        <v>0</v>
      </c>
      <c r="EE268" s="408">
        <v>0</v>
      </c>
      <c r="EF268" s="408">
        <v>0</v>
      </c>
      <c r="EG268" s="408">
        <v>0</v>
      </c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>
        <v>0</v>
      </c>
      <c r="EN268" s="408">
        <v>0</v>
      </c>
      <c r="EO268" s="408">
        <v>0</v>
      </c>
      <c r="EP268" s="408">
        <v>0</v>
      </c>
      <c r="EQ268" s="408">
        <v>0</v>
      </c>
      <c r="ER268" s="408">
        <v>0</v>
      </c>
      <c r="ES268" s="408">
        <v>0</v>
      </c>
      <c r="ET268" s="408">
        <v>0</v>
      </c>
      <c r="EU268" s="408">
        <v>0</v>
      </c>
      <c r="EV268" s="408">
        <v>242</v>
      </c>
      <c r="EW268" s="408">
        <v>0</v>
      </c>
      <c r="EX268" s="408">
        <v>0</v>
      </c>
      <c r="EY268" s="408">
        <v>0</v>
      </c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267</v>
      </c>
      <c r="B269" s="408" t="s">
        <v>1036</v>
      </c>
      <c r="C269" s="408" t="s">
        <v>2239</v>
      </c>
      <c r="D269" s="408" t="s">
        <v>597</v>
      </c>
      <c r="E269" s="408" t="s">
        <v>2242</v>
      </c>
      <c r="F269" s="408" t="s">
        <v>1322</v>
      </c>
      <c r="G269" s="408" t="s">
        <v>1322</v>
      </c>
      <c r="H269" s="408" t="s">
        <v>1322</v>
      </c>
      <c r="I269" s="408" t="s">
        <v>2240</v>
      </c>
      <c r="J269" s="408" t="s">
        <v>2232</v>
      </c>
      <c r="K269" s="828">
        <v>44531</v>
      </c>
      <c r="L269" s="408">
        <v>0</v>
      </c>
      <c r="M269" s="408">
        <v>0</v>
      </c>
      <c r="N269" s="408">
        <v>12.94</v>
      </c>
      <c r="O269" s="408">
        <v>12.94</v>
      </c>
      <c r="P269" s="408">
        <v>12.94</v>
      </c>
      <c r="Q269" s="408">
        <v>12.94</v>
      </c>
      <c r="R269" s="408"/>
      <c r="S269" s="408">
        <v>80.27</v>
      </c>
      <c r="T269" s="408">
        <v>216.76</v>
      </c>
      <c r="U269" s="408"/>
      <c r="V269" s="408">
        <v>3843.5681999999997</v>
      </c>
      <c r="W269" s="408">
        <v>3843.5681999999997</v>
      </c>
      <c r="X269" s="408">
        <v>4260.7537999999995</v>
      </c>
      <c r="Y269" s="408">
        <v>0</v>
      </c>
      <c r="Z269" s="408">
        <v>682.34220455838579</v>
      </c>
      <c r="AA269" s="408">
        <v>0</v>
      </c>
      <c r="AB269" s="408">
        <v>0</v>
      </c>
      <c r="AC269" s="408">
        <v>0</v>
      </c>
      <c r="AD269" s="408">
        <v>0</v>
      </c>
      <c r="AE269" s="408">
        <v>0</v>
      </c>
      <c r="AF269" s="408">
        <v>2764.0034206578498</v>
      </c>
      <c r="AG269" s="408">
        <v>40.856817289693538</v>
      </c>
      <c r="AH269" s="408">
        <v>0</v>
      </c>
      <c r="AI269" s="408">
        <v>0</v>
      </c>
      <c r="AJ269" s="408">
        <v>0</v>
      </c>
      <c r="AK269" s="408">
        <v>0</v>
      </c>
      <c r="AL269" s="408">
        <v>121.29481954189281</v>
      </c>
      <c r="AM269" s="408"/>
      <c r="AN269" s="408">
        <v>17.769495222728761</v>
      </c>
      <c r="AO269" s="408">
        <v>0</v>
      </c>
      <c r="AP269" s="408">
        <v>0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5.9174451580071308</v>
      </c>
      <c r="BE269" s="408">
        <v>0</v>
      </c>
      <c r="BF269" s="408">
        <v>0</v>
      </c>
      <c r="BG269" s="408">
        <v>211.38986934209169</v>
      </c>
      <c r="BH269" s="408">
        <v>0</v>
      </c>
      <c r="BI269" s="408">
        <v>0</v>
      </c>
      <c r="BJ269" s="408">
        <v>0</v>
      </c>
      <c r="BK269" s="408">
        <v>0</v>
      </c>
      <c r="BL269" s="408">
        <v>0</v>
      </c>
      <c r="BM269" s="408"/>
      <c r="BN269" s="408"/>
      <c r="BO269" s="408"/>
      <c r="BP269" s="408"/>
      <c r="BQ269" s="408"/>
      <c r="BR269" s="408"/>
      <c r="BS269" s="408"/>
      <c r="BT269" s="408"/>
      <c r="BU269" s="408"/>
      <c r="BV269" s="408">
        <v>2981.3107351579483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4260.7537999999995</v>
      </c>
      <c r="CJ269" s="408">
        <v>417.15559999999959</v>
      </c>
      <c r="CK269" s="408"/>
      <c r="CL269" s="408"/>
      <c r="CM269" s="408"/>
      <c r="CN269" s="408"/>
      <c r="CO269" s="408">
        <v>-5.0466000000000069</v>
      </c>
      <c r="CP269" s="408">
        <v>422.23219999999992</v>
      </c>
      <c r="CQ269" s="408"/>
      <c r="CR269" s="408">
        <v>417.1986556878287</v>
      </c>
      <c r="CS269" s="408">
        <v>0</v>
      </c>
      <c r="CT269" s="408">
        <v>0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0</v>
      </c>
      <c r="DA269" s="408">
        <v>0</v>
      </c>
      <c r="DB269" s="408">
        <v>0</v>
      </c>
      <c r="DC269" s="408">
        <v>422.28646419258894</v>
      </c>
      <c r="DD269" s="408">
        <v>0</v>
      </c>
      <c r="DE269" s="408">
        <v>0</v>
      </c>
      <c r="DF269" s="408">
        <v>0.90407159924342295</v>
      </c>
      <c r="DG269" s="408">
        <v>32.29629884805334</v>
      </c>
      <c r="DH269" s="408">
        <v>0</v>
      </c>
      <c r="DI269" s="408">
        <v>-32.600396979034372</v>
      </c>
      <c r="DJ269" s="408"/>
      <c r="DK269" s="408">
        <v>0</v>
      </c>
      <c r="DL269" s="408">
        <v>0</v>
      </c>
      <c r="DM269" s="408">
        <v>0</v>
      </c>
      <c r="DN269" s="408">
        <v>0</v>
      </c>
      <c r="DO269" s="408">
        <v>-4.9149399705653991</v>
      </c>
      <c r="DP269" s="408">
        <v>-0.77284200245825829</v>
      </c>
      <c r="DQ269" s="408">
        <v>0</v>
      </c>
      <c r="DR269" s="408">
        <v>0</v>
      </c>
      <c r="DS269" s="408"/>
      <c r="DT269" s="408"/>
      <c r="DU269" s="408"/>
      <c r="DV269" s="408">
        <v>0</v>
      </c>
      <c r="DW269" s="408">
        <v>0</v>
      </c>
      <c r="DX269" s="408">
        <v>0</v>
      </c>
      <c r="DY269" s="408">
        <v>-5.0466000000001259</v>
      </c>
      <c r="DZ269" s="234">
        <v>422.23219999999992</v>
      </c>
      <c r="EA269" s="408">
        <v>0</v>
      </c>
      <c r="EB269" s="408">
        <v>0</v>
      </c>
      <c r="EC269" s="408">
        <v>0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0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242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268</v>
      </c>
      <c r="B270" s="408" t="s">
        <v>1036</v>
      </c>
      <c r="C270" s="408" t="s">
        <v>2239</v>
      </c>
      <c r="D270" s="408" t="s">
        <v>597</v>
      </c>
      <c r="E270" s="408" t="s">
        <v>2242</v>
      </c>
      <c r="F270" s="408" t="s">
        <v>1322</v>
      </c>
      <c r="G270" s="408" t="s">
        <v>1322</v>
      </c>
      <c r="H270" s="408" t="s">
        <v>1322</v>
      </c>
      <c r="I270" s="408" t="s">
        <v>1322</v>
      </c>
      <c r="J270" s="408" t="s">
        <v>2232</v>
      </c>
      <c r="K270" s="828">
        <v>44531</v>
      </c>
      <c r="L270" s="408">
        <v>70</v>
      </c>
      <c r="M270" s="408">
        <v>70</v>
      </c>
      <c r="N270" s="408">
        <v>0</v>
      </c>
      <c r="O270" s="408">
        <v>0</v>
      </c>
      <c r="P270" s="408">
        <v>0</v>
      </c>
      <c r="Q270" s="408">
        <v>0</v>
      </c>
      <c r="R270" s="408">
        <v>32.17</v>
      </c>
      <c r="S270" s="408"/>
      <c r="T270" s="408"/>
      <c r="U270" s="408">
        <v>2251.9</v>
      </c>
      <c r="V270" s="408"/>
      <c r="W270" s="408">
        <v>2251.9</v>
      </c>
      <c r="X270" s="408">
        <v>905.1</v>
      </c>
      <c r="Y270" s="408">
        <v>0</v>
      </c>
      <c r="Z270" s="408">
        <v>0</v>
      </c>
      <c r="AA270" s="408">
        <v>0</v>
      </c>
      <c r="AB270" s="408">
        <v>0</v>
      </c>
      <c r="AC270" s="408">
        <v>0</v>
      </c>
      <c r="AD270" s="408">
        <v>6.9941357591892785</v>
      </c>
      <c r="AE270" s="408">
        <v>1884.8714799945101</v>
      </c>
      <c r="AF270" s="408"/>
      <c r="AG270" s="408"/>
      <c r="AH270" s="408"/>
      <c r="AI270" s="408">
        <v>0</v>
      </c>
      <c r="AJ270" s="408">
        <v>0</v>
      </c>
      <c r="AK270" s="408">
        <v>0</v>
      </c>
      <c r="AL270" s="408">
        <v>0</v>
      </c>
      <c r="AM270" s="408"/>
      <c r="AN270" s="408">
        <v>0</v>
      </c>
      <c r="AO270" s="408">
        <v>123.50947744896111</v>
      </c>
      <c r="AP270" s="408">
        <v>236.8005615811976</v>
      </c>
      <c r="AQ270" s="408">
        <v>0</v>
      </c>
      <c r="AR270" s="408">
        <v>0</v>
      </c>
      <c r="AS270" s="408"/>
      <c r="AT270" s="408"/>
      <c r="AU270" s="408">
        <v>0</v>
      </c>
      <c r="AV270" s="408">
        <v>0</v>
      </c>
      <c r="AW270" s="408">
        <v>0</v>
      </c>
      <c r="AX270" s="408"/>
      <c r="AY270" s="408"/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/>
      <c r="BG270" s="408">
        <v>0</v>
      </c>
      <c r="BH270" s="408">
        <v>0</v>
      </c>
      <c r="BI270" s="408">
        <v>37.869999999999997</v>
      </c>
      <c r="BJ270" s="408">
        <v>173.77</v>
      </c>
      <c r="BK270" s="408">
        <v>3518.23</v>
      </c>
      <c r="BL270" s="408">
        <v>1</v>
      </c>
      <c r="BM270" s="408"/>
      <c r="BN270" s="408"/>
      <c r="BO270" s="408"/>
      <c r="BP270" s="408"/>
      <c r="BQ270" s="408"/>
      <c r="BR270" s="408"/>
      <c r="BS270" s="408"/>
      <c r="BT270" s="408"/>
      <c r="BU270" s="408"/>
      <c r="BV270" s="408">
        <v>0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905.1</v>
      </c>
      <c r="CJ270" s="408">
        <v>-1346.8300000000008</v>
      </c>
      <c r="CK270" s="408"/>
      <c r="CL270" s="408"/>
      <c r="CM270" s="408"/>
      <c r="CN270" s="408"/>
      <c r="CO270" s="408">
        <v>-1346.8000000000002</v>
      </c>
      <c r="CP270" s="408">
        <v>0</v>
      </c>
      <c r="CQ270" s="408"/>
      <c r="CR270" s="408">
        <v>37.850381741193246</v>
      </c>
      <c r="CS270" s="408">
        <v>12.740190848977889</v>
      </c>
      <c r="CT270" s="408">
        <v>24.426338852710217</v>
      </c>
      <c r="CU270" s="408">
        <v>0</v>
      </c>
      <c r="CV270" s="408">
        <v>0</v>
      </c>
      <c r="CW270" s="408"/>
      <c r="CX270" s="408"/>
      <c r="CY270" s="408"/>
      <c r="CZ270" s="408">
        <v>0.68385203950515105</v>
      </c>
      <c r="DA270" s="408">
        <v>0</v>
      </c>
      <c r="DB270" s="408">
        <v>0</v>
      </c>
      <c r="DC270" s="408"/>
      <c r="DD270" s="408"/>
      <c r="DE270" s="408">
        <v>0</v>
      </c>
      <c r="DF270" s="408">
        <v>0</v>
      </c>
      <c r="DG270" s="408">
        <v>0</v>
      </c>
      <c r="DH270" s="408">
        <v>0</v>
      </c>
      <c r="DI270" s="408">
        <v>0</v>
      </c>
      <c r="DJ270" s="408"/>
      <c r="DK270" s="408">
        <v>0</v>
      </c>
      <c r="DL270" s="408">
        <v>0</v>
      </c>
      <c r="DM270" s="408"/>
      <c r="DN270" s="408">
        <v>0</v>
      </c>
      <c r="DO270" s="408">
        <v>0</v>
      </c>
      <c r="DP270" s="408">
        <v>0</v>
      </c>
      <c r="DQ270" s="408">
        <v>0</v>
      </c>
      <c r="DR270" s="408">
        <v>0</v>
      </c>
      <c r="DS270" s="408"/>
      <c r="DT270" s="408"/>
      <c r="DU270" s="408">
        <v>1884.8714799945101</v>
      </c>
      <c r="DV270" s="408"/>
      <c r="DW270" s="408">
        <v>0</v>
      </c>
      <c r="DX270" s="408">
        <v>0</v>
      </c>
      <c r="DY270" s="408">
        <v>-1346.8000000000002</v>
      </c>
      <c r="DZ270" s="234"/>
      <c r="EA270" s="408">
        <v>0</v>
      </c>
      <c r="EB270" s="408"/>
      <c r="EC270" s="408">
        <v>-1384.8335809393659</v>
      </c>
      <c r="ED270" s="408"/>
      <c r="EE270" s="408">
        <v>0</v>
      </c>
      <c r="EF270" s="408">
        <v>0</v>
      </c>
      <c r="EG270" s="408"/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/>
      <c r="EN270" s="408"/>
      <c r="EO270" s="408">
        <v>0</v>
      </c>
      <c r="EP270" s="408">
        <v>0</v>
      </c>
      <c r="EQ270" s="408"/>
      <c r="ER270" s="408">
        <v>0</v>
      </c>
      <c r="ES270" s="408"/>
      <c r="ET270" s="408">
        <v>0</v>
      </c>
      <c r="EU270" s="408"/>
      <c r="EV270" s="408">
        <v>242</v>
      </c>
      <c r="EW270" s="408"/>
      <c r="EX270" s="408"/>
      <c r="EY270" s="408"/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269</v>
      </c>
      <c r="B271" s="408" t="s">
        <v>1036</v>
      </c>
      <c r="C271" s="408" t="s">
        <v>2231</v>
      </c>
      <c r="D271" s="408" t="s">
        <v>2243</v>
      </c>
      <c r="E271" s="408" t="s">
        <v>2244</v>
      </c>
      <c r="F271" s="408" t="s">
        <v>2245</v>
      </c>
      <c r="G271" s="408" t="s">
        <v>1322</v>
      </c>
      <c r="H271" s="408" t="s">
        <v>1322</v>
      </c>
      <c r="I271" s="408" t="s">
        <v>1322</v>
      </c>
      <c r="J271" s="408" t="s">
        <v>2232</v>
      </c>
      <c r="K271" s="828">
        <v>44531</v>
      </c>
      <c r="L271" s="408">
        <v>0</v>
      </c>
      <c r="M271" s="408">
        <v>0</v>
      </c>
      <c r="N271" s="408">
        <v>74.731999999999999</v>
      </c>
      <c r="O271" s="408">
        <v>74.731999999999999</v>
      </c>
      <c r="P271" s="408">
        <v>74.731999999999999</v>
      </c>
      <c r="Q271" s="408">
        <v>74.731999999999999</v>
      </c>
      <c r="R271" s="408"/>
      <c r="S271" s="408">
        <v>314.52999999999997</v>
      </c>
      <c r="T271" s="408">
        <v>119.22</v>
      </c>
      <c r="U271" s="408"/>
      <c r="V271" s="408">
        <v>32415.004999999997</v>
      </c>
      <c r="W271" s="408">
        <v>32415.004999999997</v>
      </c>
      <c r="X271" s="408">
        <v>21127.483719999997</v>
      </c>
      <c r="Y271" s="408">
        <v>0</v>
      </c>
      <c r="Z271" s="408">
        <v>2491.2539481143285</v>
      </c>
      <c r="AA271" s="408">
        <v>0</v>
      </c>
      <c r="AB271" s="408">
        <v>0</v>
      </c>
      <c r="AC271" s="408">
        <v>0</v>
      </c>
      <c r="AD271" s="408">
        <v>33.782790025402974</v>
      </c>
      <c r="AE271" s="408">
        <v>17525.477384678117</v>
      </c>
      <c r="AF271" s="408">
        <v>8779.5770477535953</v>
      </c>
      <c r="AG271" s="408">
        <v>129.77754392050693</v>
      </c>
      <c r="AH271" s="408">
        <v>0</v>
      </c>
      <c r="AI271" s="408">
        <v>0</v>
      </c>
      <c r="AJ271" s="408">
        <v>0</v>
      </c>
      <c r="AK271" s="408">
        <v>0</v>
      </c>
      <c r="AL271" s="408">
        <v>385.28071481472955</v>
      </c>
      <c r="AM271" s="408"/>
      <c r="AN271" s="408">
        <v>78.854086778821738</v>
      </c>
      <c r="AO271" s="408">
        <v>365.06086990227425</v>
      </c>
      <c r="AP271" s="408">
        <v>1143.7663706984238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24.458908640342059</v>
      </c>
      <c r="BE271" s="408">
        <v>0</v>
      </c>
      <c r="BF271" s="408">
        <v>0</v>
      </c>
      <c r="BG271" s="408">
        <v>1457.4257512908246</v>
      </c>
      <c r="BH271" s="408">
        <v>0</v>
      </c>
      <c r="BI271" s="408">
        <v>129.5</v>
      </c>
      <c r="BJ271" s="408">
        <v>594.44000000000005</v>
      </c>
      <c r="BK271" s="408">
        <v>7236.17</v>
      </c>
      <c r="BL271" s="408">
        <v>10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>
        <v>10261.461707684761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21126.918299999998</v>
      </c>
      <c r="CJ271" s="408">
        <v>-11288.116699999995</v>
      </c>
      <c r="CK271" s="408"/>
      <c r="CL271" s="408"/>
      <c r="CM271" s="408"/>
      <c r="CN271" s="408"/>
      <c r="CO271" s="408">
        <v>-12628.960679999998</v>
      </c>
      <c r="CP271" s="408">
        <v>1341.4393999999991</v>
      </c>
      <c r="CQ271" s="408"/>
      <c r="CR271" s="408">
        <v>1588.6280610865415</v>
      </c>
      <c r="CS271" s="408">
        <v>37.656585147247085</v>
      </c>
      <c r="CT271" s="408">
        <v>117.98124443820325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3.3031143023913785</v>
      </c>
      <c r="DA271" s="408">
        <v>0</v>
      </c>
      <c r="DB271" s="408">
        <v>0</v>
      </c>
      <c r="DC271" s="408">
        <v>1341.3502027142295</v>
      </c>
      <c r="DD271" s="408">
        <v>0</v>
      </c>
      <c r="DE271" s="408">
        <v>0</v>
      </c>
      <c r="DF271" s="408">
        <v>3.7368499512498126</v>
      </c>
      <c r="DG271" s="408">
        <v>222.66657223939001</v>
      </c>
      <c r="DH271" s="408">
        <v>0</v>
      </c>
      <c r="DI271" s="408">
        <v>-119.0251271891907</v>
      </c>
      <c r="DJ271" s="408"/>
      <c r="DK271" s="408">
        <v>0</v>
      </c>
      <c r="DL271" s="408">
        <v>0</v>
      </c>
      <c r="DM271" s="408">
        <v>0</v>
      </c>
      <c r="DN271" s="408">
        <v>0</v>
      </c>
      <c r="DO271" s="408">
        <v>-15.611809245298105</v>
      </c>
      <c r="DP271" s="408">
        <v>-3.429571271681823</v>
      </c>
      <c r="DQ271" s="408">
        <v>0</v>
      </c>
      <c r="DR271" s="408">
        <v>0</v>
      </c>
      <c r="DS271" s="408"/>
      <c r="DT271" s="408"/>
      <c r="DU271" s="408"/>
      <c r="DV271" s="408">
        <v>17525.477384678117</v>
      </c>
      <c r="DW271" s="408">
        <v>0</v>
      </c>
      <c r="DX271" s="408">
        <v>0</v>
      </c>
      <c r="DY271" s="408">
        <v>-12628.96068</v>
      </c>
      <c r="DZ271" s="234">
        <v>1341.4393999999993</v>
      </c>
      <c r="EA271" s="408">
        <v>0</v>
      </c>
      <c r="EB271" s="408">
        <v>0</v>
      </c>
      <c r="EC271" s="408">
        <v>-12876.140289610808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0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242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270</v>
      </c>
      <c r="B272" s="408" t="s">
        <v>1036</v>
      </c>
      <c r="C272" s="408" t="s">
        <v>2231</v>
      </c>
      <c r="D272" s="408" t="s">
        <v>1955</v>
      </c>
      <c r="E272" s="408" t="s">
        <v>1001</v>
      </c>
      <c r="F272" s="408" t="s">
        <v>2246</v>
      </c>
      <c r="G272" s="408" t="s">
        <v>1322</v>
      </c>
      <c r="H272" s="408" t="s">
        <v>1322</v>
      </c>
      <c r="I272" s="408" t="s">
        <v>1322</v>
      </c>
      <c r="J272" s="408" t="s">
        <v>2232</v>
      </c>
      <c r="K272" s="828">
        <v>44531</v>
      </c>
      <c r="L272" s="408">
        <v>0</v>
      </c>
      <c r="M272" s="408">
        <v>0</v>
      </c>
      <c r="N272" s="408">
        <v>134.12899999999999</v>
      </c>
      <c r="O272" s="408">
        <v>126.08126</v>
      </c>
      <c r="P272" s="408">
        <v>134.12899999999999</v>
      </c>
      <c r="Q272" s="408">
        <v>126.08126</v>
      </c>
      <c r="R272" s="408"/>
      <c r="S272" s="408">
        <v>571.87</v>
      </c>
      <c r="T272" s="408">
        <v>216.76</v>
      </c>
      <c r="U272" s="408"/>
      <c r="V272" s="408">
        <v>105778.15327</v>
      </c>
      <c r="W272" s="408">
        <v>105778.15327</v>
      </c>
      <c r="X272" s="408">
        <v>68943.647289999994</v>
      </c>
      <c r="Y272" s="408">
        <v>0</v>
      </c>
      <c r="Z272" s="408">
        <v>8129.6414534999467</v>
      </c>
      <c r="AA272" s="408">
        <v>0</v>
      </c>
      <c r="AB272" s="408">
        <v>0</v>
      </c>
      <c r="AC272" s="408">
        <v>0</v>
      </c>
      <c r="AD272" s="408">
        <v>110.24246260132622</v>
      </c>
      <c r="AE272" s="408">
        <v>57190.415110710594</v>
      </c>
      <c r="AF272" s="408">
        <v>28650.155703973473</v>
      </c>
      <c r="AG272" s="408">
        <v>423.49953989561857</v>
      </c>
      <c r="AH272" s="408">
        <v>0</v>
      </c>
      <c r="AI272" s="408">
        <v>0</v>
      </c>
      <c r="AJ272" s="408">
        <v>0</v>
      </c>
      <c r="AK272" s="408">
        <v>0</v>
      </c>
      <c r="AL272" s="408">
        <v>1257.2761089903045</v>
      </c>
      <c r="AM272" s="408"/>
      <c r="AN272" s="408">
        <v>257.32240309753138</v>
      </c>
      <c r="AO272" s="408">
        <v>1191.2932373894146</v>
      </c>
      <c r="AP272" s="408">
        <v>3732.421781965355</v>
      </c>
      <c r="AQ272" s="408">
        <v>0</v>
      </c>
      <c r="AR272" s="408">
        <v>0</v>
      </c>
      <c r="AS272" s="408">
        <v>0</v>
      </c>
      <c r="AT272" s="408">
        <v>0</v>
      </c>
      <c r="AU272" s="408">
        <v>0</v>
      </c>
      <c r="AV272" s="408">
        <v>0</v>
      </c>
      <c r="AW272" s="408">
        <v>0</v>
      </c>
      <c r="AX272" s="408">
        <v>0</v>
      </c>
      <c r="AY272" s="408">
        <v>0</v>
      </c>
      <c r="AZ272" s="408">
        <v>0</v>
      </c>
      <c r="BA272" s="408"/>
      <c r="BB272" s="408">
        <v>0</v>
      </c>
      <c r="BC272" s="408">
        <v>0</v>
      </c>
      <c r="BD272" s="408">
        <v>79.816093313328949</v>
      </c>
      <c r="BE272" s="408">
        <v>0</v>
      </c>
      <c r="BF272" s="408">
        <v>0</v>
      </c>
      <c r="BG272" s="408">
        <v>4755.9779331450227</v>
      </c>
      <c r="BH272" s="408">
        <v>0</v>
      </c>
      <c r="BI272" s="408">
        <v>377.68</v>
      </c>
      <c r="BJ272" s="408">
        <v>1734.96</v>
      </c>
      <c r="BK272" s="408">
        <v>37696.519999999997</v>
      </c>
      <c r="BL272" s="408">
        <v>92</v>
      </c>
      <c r="BM272" s="408"/>
      <c r="BN272" s="408"/>
      <c r="BO272" s="408"/>
      <c r="BP272" s="408"/>
      <c r="BQ272" s="408">
        <v>4136.6188373999948</v>
      </c>
      <c r="BR272" s="408"/>
      <c r="BS272" s="408"/>
      <c r="BT272" s="408"/>
      <c r="BU272" s="408"/>
      <c r="BV272" s="408">
        <v>33485.949730431821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64806.380799999999</v>
      </c>
      <c r="CJ272" s="408">
        <v>-34625.113273799987</v>
      </c>
      <c r="CK272" s="408"/>
      <c r="CL272" s="408"/>
      <c r="CM272" s="408"/>
      <c r="CN272" s="408"/>
      <c r="CO272" s="408">
        <v>-41211.135249999999</v>
      </c>
      <c r="CP272" s="408">
        <v>4376.6292699999995</v>
      </c>
      <c r="CQ272" s="408"/>
      <c r="CR272" s="408">
        <v>5184.1268728858486</v>
      </c>
      <c r="CS272" s="408">
        <v>122.88371317666179</v>
      </c>
      <c r="CT272" s="408">
        <v>385.00499567548741</v>
      </c>
      <c r="CU272" s="408">
        <v>0</v>
      </c>
      <c r="CV272" s="408">
        <v>0</v>
      </c>
      <c r="CW272" s="408">
        <v>0</v>
      </c>
      <c r="CX272" s="408">
        <v>0</v>
      </c>
      <c r="CY272" s="408">
        <v>0</v>
      </c>
      <c r="CZ272" s="408">
        <v>10.778963332379348</v>
      </c>
      <c r="DA272" s="408">
        <v>0</v>
      </c>
      <c r="DB272" s="408">
        <v>0</v>
      </c>
      <c r="DC272" s="408">
        <v>4377.1917430979702</v>
      </c>
      <c r="DD272" s="408">
        <v>0</v>
      </c>
      <c r="DE272" s="408">
        <v>0</v>
      </c>
      <c r="DF272" s="408">
        <v>12.194361113681182</v>
      </c>
      <c r="DG272" s="408">
        <v>726.62178713506455</v>
      </c>
      <c r="DH272" s="408">
        <v>0</v>
      </c>
      <c r="DI272" s="408">
        <v>-388.41146994981136</v>
      </c>
      <c r="DJ272" s="408"/>
      <c r="DK272" s="408">
        <v>0</v>
      </c>
      <c r="DL272" s="408">
        <v>0</v>
      </c>
      <c r="DM272" s="408">
        <v>0</v>
      </c>
      <c r="DN272" s="408">
        <v>0</v>
      </c>
      <c r="DO272" s="408">
        <v>-50.945593764448859</v>
      </c>
      <c r="DP272" s="408">
        <v>-11.191626931129406</v>
      </c>
      <c r="DQ272" s="408">
        <v>0</v>
      </c>
      <c r="DR272" s="408">
        <v>0</v>
      </c>
      <c r="DS272" s="408"/>
      <c r="DT272" s="408"/>
      <c r="DU272" s="408"/>
      <c r="DV272" s="408">
        <v>57190.415110710594</v>
      </c>
      <c r="DW272" s="408">
        <v>0</v>
      </c>
      <c r="DX272" s="408">
        <v>0</v>
      </c>
      <c r="DY272" s="408">
        <v>-41211.135249999999</v>
      </c>
      <c r="DZ272" s="234">
        <v>4376.6292699999976</v>
      </c>
      <c r="EA272" s="408">
        <v>0</v>
      </c>
      <c r="EB272" s="408">
        <v>0</v>
      </c>
      <c r="EC272" s="408">
        <v>-42018.359444541507</v>
      </c>
      <c r="ED272" s="408">
        <v>0</v>
      </c>
      <c r="EE272" s="408">
        <v>0</v>
      </c>
      <c r="EF272" s="408">
        <v>0</v>
      </c>
      <c r="EG272" s="408">
        <v>0</v>
      </c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>
        <v>0</v>
      </c>
      <c r="EN272" s="408">
        <v>0</v>
      </c>
      <c r="EO272" s="408">
        <v>0</v>
      </c>
      <c r="EP272" s="408">
        <v>0</v>
      </c>
      <c r="EQ272" s="408">
        <v>0</v>
      </c>
      <c r="ER272" s="408">
        <v>0</v>
      </c>
      <c r="ES272" s="408">
        <v>0</v>
      </c>
      <c r="ET272" s="408">
        <v>0</v>
      </c>
      <c r="EU272" s="408">
        <v>0</v>
      </c>
      <c r="EV272" s="408">
        <v>242</v>
      </c>
      <c r="EW272" s="408">
        <v>0</v>
      </c>
      <c r="EX272" s="408">
        <v>0</v>
      </c>
      <c r="EY272" s="408">
        <v>0</v>
      </c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271</v>
      </c>
      <c r="B273" s="408" t="s">
        <v>1036</v>
      </c>
      <c r="C273" s="408" t="s">
        <v>2239</v>
      </c>
      <c r="D273" s="408" t="s">
        <v>597</v>
      </c>
      <c r="E273" s="408" t="s">
        <v>1001</v>
      </c>
      <c r="F273" s="408" t="s">
        <v>2246</v>
      </c>
      <c r="G273" s="408" t="s">
        <v>1322</v>
      </c>
      <c r="H273" s="408" t="s">
        <v>1322</v>
      </c>
      <c r="I273" s="408" t="s">
        <v>973</v>
      </c>
      <c r="J273" s="408" t="s">
        <v>2232</v>
      </c>
      <c r="K273" s="828">
        <v>44531</v>
      </c>
      <c r="L273" s="408">
        <v>0</v>
      </c>
      <c r="M273" s="408">
        <v>0</v>
      </c>
      <c r="N273" s="408">
        <v>6.1449999999999996</v>
      </c>
      <c r="O273" s="408">
        <v>5.7763</v>
      </c>
      <c r="P273" s="408">
        <v>6.1449999999999996</v>
      </c>
      <c r="Q273" s="408">
        <v>5.7763</v>
      </c>
      <c r="R273" s="408"/>
      <c r="S273" s="408">
        <v>2592.54</v>
      </c>
      <c r="T273" s="408">
        <v>216.76</v>
      </c>
      <c r="U273" s="408"/>
      <c r="V273" s="408">
        <v>17263.148499999999</v>
      </c>
      <c r="W273" s="408">
        <v>17263.148499999999</v>
      </c>
      <c r="X273" s="408">
        <v>7258.4739999999993</v>
      </c>
      <c r="Y273" s="408">
        <v>0</v>
      </c>
      <c r="Z273" s="408">
        <v>324.03345030999077</v>
      </c>
      <c r="AA273" s="408">
        <v>0</v>
      </c>
      <c r="AB273" s="408">
        <v>0</v>
      </c>
      <c r="AC273" s="408">
        <v>0</v>
      </c>
      <c r="AD273" s="408">
        <v>31.073023347424932</v>
      </c>
      <c r="AE273" s="408">
        <v>14077.528294622984</v>
      </c>
      <c r="AF273" s="408">
        <v>1312.5812225612431</v>
      </c>
      <c r="AG273" s="408">
        <v>19.402252105499752</v>
      </c>
      <c r="AH273" s="408">
        <v>0</v>
      </c>
      <c r="AI273" s="408">
        <v>0</v>
      </c>
      <c r="AJ273" s="408">
        <v>0</v>
      </c>
      <c r="AK273" s="408">
        <v>0</v>
      </c>
      <c r="AL273" s="408">
        <v>57.600978831911227</v>
      </c>
      <c r="AM273" s="408"/>
      <c r="AN273" s="408">
        <v>8.4384503975014091</v>
      </c>
      <c r="AO273" s="408">
        <v>277.23088561841632</v>
      </c>
      <c r="AP273" s="408">
        <v>1052.028600911229</v>
      </c>
      <c r="AQ273" s="408">
        <v>0</v>
      </c>
      <c r="AR273" s="408">
        <v>0</v>
      </c>
      <c r="AS273" s="408">
        <v>0</v>
      </c>
      <c r="AT273" s="408">
        <v>0</v>
      </c>
      <c r="AU273" s="408">
        <v>0</v>
      </c>
      <c r="AV273" s="408">
        <v>0</v>
      </c>
      <c r="AW273" s="408">
        <v>0</v>
      </c>
      <c r="AX273" s="408">
        <v>0</v>
      </c>
      <c r="AY273" s="408">
        <v>0</v>
      </c>
      <c r="AZ273" s="408">
        <v>0</v>
      </c>
      <c r="BA273" s="408"/>
      <c r="BB273" s="408">
        <v>0</v>
      </c>
      <c r="BC273" s="408">
        <v>0</v>
      </c>
      <c r="BD273" s="408">
        <v>2.8101005020057044</v>
      </c>
      <c r="BE273" s="408">
        <v>0</v>
      </c>
      <c r="BF273" s="408">
        <v>0</v>
      </c>
      <c r="BG273" s="408">
        <v>100.38568370225296</v>
      </c>
      <c r="BH273" s="408">
        <v>0</v>
      </c>
      <c r="BI273" s="408">
        <v>0</v>
      </c>
      <c r="BJ273" s="408">
        <v>0</v>
      </c>
      <c r="BK273" s="408">
        <v>0</v>
      </c>
      <c r="BL273" s="408">
        <v>0</v>
      </c>
      <c r="BM273" s="408"/>
      <c r="BN273" s="408"/>
      <c r="BO273" s="408"/>
      <c r="BP273" s="408"/>
      <c r="BQ273" s="408">
        <v>435.5084399999995</v>
      </c>
      <c r="BR273" s="408"/>
      <c r="BS273" s="408"/>
      <c r="BT273" s="408"/>
      <c r="BU273" s="408"/>
      <c r="BV273" s="408">
        <v>1415.7770067655017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6827.3359999999993</v>
      </c>
      <c r="CJ273" s="408">
        <v>-9400.0535900000013</v>
      </c>
      <c r="CK273" s="408"/>
      <c r="CL273" s="408"/>
      <c r="CM273" s="408"/>
      <c r="CN273" s="408"/>
      <c r="CO273" s="408">
        <v>-10205.18585</v>
      </c>
      <c r="CP273" s="408">
        <v>200.51134999999996</v>
      </c>
      <c r="CQ273" s="408"/>
      <c r="CR273" s="408">
        <v>338.27430870296757</v>
      </c>
      <c r="CS273" s="408">
        <v>28.59678840005796</v>
      </c>
      <c r="CT273" s="408">
        <v>108.51835366018668</v>
      </c>
      <c r="CU273" s="408">
        <v>0</v>
      </c>
      <c r="CV273" s="408">
        <v>0</v>
      </c>
      <c r="CW273" s="408">
        <v>0</v>
      </c>
      <c r="CX273" s="408">
        <v>0</v>
      </c>
      <c r="CY273" s="408">
        <v>0</v>
      </c>
      <c r="CZ273" s="408">
        <v>3.03816670441498</v>
      </c>
      <c r="DA273" s="408">
        <v>0</v>
      </c>
      <c r="DB273" s="408">
        <v>0</v>
      </c>
      <c r="DC273" s="408">
        <v>200.53711920119463</v>
      </c>
      <c r="DD273" s="408">
        <v>0</v>
      </c>
      <c r="DE273" s="408">
        <v>0</v>
      </c>
      <c r="DF273" s="408">
        <v>0.4293292099962005</v>
      </c>
      <c r="DG273" s="408">
        <v>15.336998177842958</v>
      </c>
      <c r="DH273" s="408">
        <v>0</v>
      </c>
      <c r="DI273" s="408">
        <v>-15.481409539116385</v>
      </c>
      <c r="DJ273" s="408"/>
      <c r="DK273" s="408">
        <v>0</v>
      </c>
      <c r="DL273" s="408">
        <v>0</v>
      </c>
      <c r="DM273" s="408">
        <v>0</v>
      </c>
      <c r="DN273" s="408">
        <v>0</v>
      </c>
      <c r="DO273" s="408">
        <v>-2.3340267480003405</v>
      </c>
      <c r="DP273" s="408">
        <v>-0.36701036360942751</v>
      </c>
      <c r="DQ273" s="408">
        <v>0</v>
      </c>
      <c r="DR273" s="408">
        <v>0</v>
      </c>
      <c r="DS273" s="408"/>
      <c r="DT273" s="408"/>
      <c r="DU273" s="408"/>
      <c r="DV273" s="408">
        <v>14077.528294622984</v>
      </c>
      <c r="DW273" s="408">
        <v>0</v>
      </c>
      <c r="DX273" s="408">
        <v>0</v>
      </c>
      <c r="DY273" s="408">
        <v>-10205.18585</v>
      </c>
      <c r="DZ273" s="234">
        <v>200.51134999999977</v>
      </c>
      <c r="EA273" s="408">
        <v>0</v>
      </c>
      <c r="EB273" s="408">
        <v>0</v>
      </c>
      <c r="EC273" s="408">
        <v>-10342.898243160216</v>
      </c>
      <c r="ED273" s="408">
        <v>0</v>
      </c>
      <c r="EE273" s="408">
        <v>0</v>
      </c>
      <c r="EF273" s="408">
        <v>0</v>
      </c>
      <c r="EG273" s="408">
        <v>0</v>
      </c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>
        <v>0</v>
      </c>
      <c r="EN273" s="408">
        <v>0</v>
      </c>
      <c r="EO273" s="408">
        <v>0</v>
      </c>
      <c r="EP273" s="408">
        <v>0</v>
      </c>
      <c r="EQ273" s="408">
        <v>0</v>
      </c>
      <c r="ER273" s="408">
        <v>0</v>
      </c>
      <c r="ES273" s="408">
        <v>0</v>
      </c>
      <c r="ET273" s="408">
        <v>0</v>
      </c>
      <c r="EU273" s="408">
        <v>0</v>
      </c>
      <c r="EV273" s="408">
        <v>242</v>
      </c>
      <c r="EW273" s="408">
        <v>0</v>
      </c>
      <c r="EX273" s="408">
        <v>0</v>
      </c>
      <c r="EY273" s="408">
        <v>0</v>
      </c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272</v>
      </c>
      <c r="B274" s="408" t="s">
        <v>1036</v>
      </c>
      <c r="C274" s="408" t="s">
        <v>2239</v>
      </c>
      <c r="D274" s="408" t="s">
        <v>597</v>
      </c>
      <c r="E274" s="408" t="s">
        <v>1001</v>
      </c>
      <c r="F274" s="408" t="s">
        <v>2246</v>
      </c>
      <c r="G274" s="408" t="s">
        <v>1322</v>
      </c>
      <c r="H274" s="408" t="s">
        <v>1322</v>
      </c>
      <c r="I274" s="408" t="s">
        <v>2240</v>
      </c>
      <c r="J274" s="408" t="s">
        <v>2232</v>
      </c>
      <c r="K274" s="828">
        <v>44531</v>
      </c>
      <c r="L274" s="408">
        <v>0</v>
      </c>
      <c r="M274" s="408">
        <v>0</v>
      </c>
      <c r="N274" s="408">
        <v>110.89100000000001</v>
      </c>
      <c r="O274" s="408">
        <v>104.23754</v>
      </c>
      <c r="P274" s="408">
        <v>110.89100000000001</v>
      </c>
      <c r="Q274" s="408">
        <v>104.23754</v>
      </c>
      <c r="R274" s="408"/>
      <c r="S274" s="408">
        <v>80.27</v>
      </c>
      <c r="T274" s="408">
        <v>216.76</v>
      </c>
      <c r="U274" s="408"/>
      <c r="V274" s="408">
        <v>32937.953730000001</v>
      </c>
      <c r="W274" s="408">
        <v>32937.953730000001</v>
      </c>
      <c r="X274" s="408">
        <v>36513.079570000002</v>
      </c>
      <c r="Y274" s="408">
        <v>0</v>
      </c>
      <c r="Z274" s="408">
        <v>5847.4195831285906</v>
      </c>
      <c r="AA274" s="408">
        <v>0</v>
      </c>
      <c r="AB274" s="408">
        <v>0</v>
      </c>
      <c r="AC274" s="408">
        <v>0</v>
      </c>
      <c r="AD274" s="408">
        <v>0</v>
      </c>
      <c r="AE274" s="408">
        <v>0</v>
      </c>
      <c r="AF274" s="408">
        <v>23686.48402783382</v>
      </c>
      <c r="AG274" s="408">
        <v>350.12776862993866</v>
      </c>
      <c r="AH274" s="408">
        <v>0</v>
      </c>
      <c r="AI274" s="408">
        <v>0</v>
      </c>
      <c r="AJ274" s="408">
        <v>0</v>
      </c>
      <c r="AK274" s="408">
        <v>0</v>
      </c>
      <c r="AL274" s="408">
        <v>1039.4516100324604</v>
      </c>
      <c r="AM274" s="408"/>
      <c r="AN274" s="408">
        <v>152.2779825922423</v>
      </c>
      <c r="AO274" s="408">
        <v>0</v>
      </c>
      <c r="AP274" s="408">
        <v>0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50.710309970368527</v>
      </c>
      <c r="BE274" s="408">
        <v>0</v>
      </c>
      <c r="BF274" s="408">
        <v>0</v>
      </c>
      <c r="BG274" s="408">
        <v>1811.5327667089559</v>
      </c>
      <c r="BH274" s="408">
        <v>0</v>
      </c>
      <c r="BI274" s="408">
        <v>0</v>
      </c>
      <c r="BJ274" s="408">
        <v>0</v>
      </c>
      <c r="BK274" s="408">
        <v>0</v>
      </c>
      <c r="BL274" s="408">
        <v>0</v>
      </c>
      <c r="BM274" s="408"/>
      <c r="BN274" s="408"/>
      <c r="BO274" s="408"/>
      <c r="BP274" s="408"/>
      <c r="BQ274" s="408">
        <v>2190.7847742000031</v>
      </c>
      <c r="BR274" s="408"/>
      <c r="BS274" s="408"/>
      <c r="BT274" s="408"/>
      <c r="BU274" s="408"/>
      <c r="BV274" s="408">
        <v>25548.727104513142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34323.104799999994</v>
      </c>
      <c r="CJ274" s="408">
        <v>3361.3982938000008</v>
      </c>
      <c r="CK274" s="408"/>
      <c r="CL274" s="408"/>
      <c r="CM274" s="408"/>
      <c r="CN274" s="408"/>
      <c r="CO274" s="408">
        <v>-43.247490000000063</v>
      </c>
      <c r="CP274" s="408">
        <v>3618.3733299999999</v>
      </c>
      <c r="CQ274" s="408"/>
      <c r="CR274" s="408">
        <v>3575.2377224017764</v>
      </c>
      <c r="CS274" s="408">
        <v>0</v>
      </c>
      <c r="CT274" s="408">
        <v>0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0</v>
      </c>
      <c r="DA274" s="408">
        <v>0</v>
      </c>
      <c r="DB274" s="408">
        <v>0</v>
      </c>
      <c r="DC274" s="408">
        <v>3618.8383540015748</v>
      </c>
      <c r="DD274" s="408">
        <v>0</v>
      </c>
      <c r="DE274" s="408">
        <v>0</v>
      </c>
      <c r="DF274" s="408">
        <v>7.7475582466539734</v>
      </c>
      <c r="DG274" s="408">
        <v>276.76730104787384</v>
      </c>
      <c r="DH274" s="408">
        <v>0</v>
      </c>
      <c r="DI274" s="408">
        <v>-279.37330922736419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-42.11921238608727</v>
      </c>
      <c r="DP274" s="408">
        <v>-6.6229692808809091</v>
      </c>
      <c r="DQ274" s="408">
        <v>0</v>
      </c>
      <c r="DR274" s="408">
        <v>0</v>
      </c>
      <c r="DS274" s="408"/>
      <c r="DT274" s="408"/>
      <c r="DU274" s="408"/>
      <c r="DV274" s="408">
        <v>0</v>
      </c>
      <c r="DW274" s="408">
        <v>0</v>
      </c>
      <c r="DX274" s="408">
        <v>0</v>
      </c>
      <c r="DY274" s="408">
        <v>-43.247489999999743</v>
      </c>
      <c r="DZ274" s="234">
        <v>3618.3733299999985</v>
      </c>
      <c r="EA274" s="408">
        <v>0</v>
      </c>
      <c r="EB274" s="408">
        <v>0</v>
      </c>
      <c r="EC274" s="408">
        <v>0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242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273</v>
      </c>
      <c r="B275" s="408" t="s">
        <v>1036</v>
      </c>
      <c r="C275" s="408" t="s">
        <v>2239</v>
      </c>
      <c r="D275" s="408" t="s">
        <v>597</v>
      </c>
      <c r="E275" s="408" t="s">
        <v>1001</v>
      </c>
      <c r="F275" s="408" t="s">
        <v>2246</v>
      </c>
      <c r="G275" s="408" t="s">
        <v>1322</v>
      </c>
      <c r="H275" s="408" t="s">
        <v>1322</v>
      </c>
      <c r="I275" s="408" t="s">
        <v>1322</v>
      </c>
      <c r="J275" s="408" t="s">
        <v>2232</v>
      </c>
      <c r="K275" s="828">
        <v>44531</v>
      </c>
      <c r="L275" s="408">
        <v>547</v>
      </c>
      <c r="M275" s="408">
        <v>514.17999999999995</v>
      </c>
      <c r="N275" s="408">
        <v>0</v>
      </c>
      <c r="O275" s="408">
        <v>0</v>
      </c>
      <c r="P275" s="408">
        <v>0</v>
      </c>
      <c r="Q275" s="408">
        <v>0</v>
      </c>
      <c r="R275" s="408">
        <v>32.17</v>
      </c>
      <c r="S275" s="408"/>
      <c r="T275" s="408"/>
      <c r="U275" s="408">
        <v>17596.990000000002</v>
      </c>
      <c r="V275" s="408"/>
      <c r="W275" s="408">
        <v>17596.990000000002</v>
      </c>
      <c r="X275" s="408">
        <v>7072.71</v>
      </c>
      <c r="Y275" s="408">
        <v>0</v>
      </c>
      <c r="Z275" s="408">
        <v>0</v>
      </c>
      <c r="AA275" s="408">
        <v>0</v>
      </c>
      <c r="AB275" s="408">
        <v>0</v>
      </c>
      <c r="AC275" s="408">
        <v>0</v>
      </c>
      <c r="AD275" s="408">
        <v>54.654175146807646</v>
      </c>
      <c r="AE275" s="408">
        <v>14728.92427938567</v>
      </c>
      <c r="AF275" s="408"/>
      <c r="AG275" s="408"/>
      <c r="AH275" s="408"/>
      <c r="AI275" s="408">
        <v>0</v>
      </c>
      <c r="AJ275" s="408">
        <v>0</v>
      </c>
      <c r="AK275" s="408">
        <v>0</v>
      </c>
      <c r="AL275" s="408">
        <v>0</v>
      </c>
      <c r="AM275" s="408"/>
      <c r="AN275" s="408">
        <v>0</v>
      </c>
      <c r="AO275" s="408">
        <v>965.1383452083104</v>
      </c>
      <c r="AP275" s="408">
        <v>1850.427245498787</v>
      </c>
      <c r="AQ275" s="408">
        <v>0</v>
      </c>
      <c r="AR275" s="408">
        <v>0</v>
      </c>
      <c r="AS275" s="408"/>
      <c r="AT275" s="408"/>
      <c r="AU275" s="408">
        <v>0</v>
      </c>
      <c r="AV275" s="408">
        <v>0</v>
      </c>
      <c r="AW275" s="408">
        <v>0</v>
      </c>
      <c r="AX275" s="408"/>
      <c r="AY275" s="408"/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0</v>
      </c>
      <c r="BF275" s="408"/>
      <c r="BG275" s="408">
        <v>0</v>
      </c>
      <c r="BH275" s="408">
        <v>0</v>
      </c>
      <c r="BI275" s="408">
        <v>271.72000000000003</v>
      </c>
      <c r="BJ275" s="408">
        <v>1246.9000000000001</v>
      </c>
      <c r="BK275" s="408">
        <v>26573.27</v>
      </c>
      <c r="BL275" s="408">
        <v>2</v>
      </c>
      <c r="BM275" s="408"/>
      <c r="BN275" s="408"/>
      <c r="BO275" s="408"/>
      <c r="BP275" s="408"/>
      <c r="BQ275" s="408">
        <v>424.36260000000061</v>
      </c>
      <c r="BR275" s="408"/>
      <c r="BS275" s="408"/>
      <c r="BT275" s="408"/>
      <c r="BU275" s="408"/>
      <c r="BV275" s="408">
        <v>0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6648.3473999999997</v>
      </c>
      <c r="CJ275" s="408">
        <v>-9892.8531999999941</v>
      </c>
      <c r="CK275" s="408"/>
      <c r="CL275" s="408"/>
      <c r="CM275" s="408"/>
      <c r="CN275" s="408"/>
      <c r="CO275" s="408">
        <v>-10524.28</v>
      </c>
      <c r="CP275" s="408">
        <v>0</v>
      </c>
      <c r="CQ275" s="408"/>
      <c r="CR275" s="408">
        <v>295.77369732046691</v>
      </c>
      <c r="CS275" s="408">
        <v>99.555491348441478</v>
      </c>
      <c r="CT275" s="408">
        <v>190.87439074903546</v>
      </c>
      <c r="CU275" s="408">
        <v>0</v>
      </c>
      <c r="CV275" s="408">
        <v>0</v>
      </c>
      <c r="CW275" s="408"/>
      <c r="CX275" s="408"/>
      <c r="CY275" s="408"/>
      <c r="CZ275" s="408">
        <v>5.3438152229902585</v>
      </c>
      <c r="DA275" s="408">
        <v>0</v>
      </c>
      <c r="DB275" s="408">
        <v>0</v>
      </c>
      <c r="DC275" s="408"/>
      <c r="DD275" s="408"/>
      <c r="DE275" s="408">
        <v>0</v>
      </c>
      <c r="DF275" s="408">
        <v>0</v>
      </c>
      <c r="DG275" s="408">
        <v>0</v>
      </c>
      <c r="DH275" s="408">
        <v>0</v>
      </c>
      <c r="DI275" s="408">
        <v>0</v>
      </c>
      <c r="DJ275" s="408"/>
      <c r="DK275" s="408">
        <v>0</v>
      </c>
      <c r="DL275" s="408">
        <v>0</v>
      </c>
      <c r="DM275" s="408"/>
      <c r="DN275" s="408">
        <v>0</v>
      </c>
      <c r="DO275" s="408">
        <v>0</v>
      </c>
      <c r="DP275" s="408">
        <v>0</v>
      </c>
      <c r="DQ275" s="408">
        <v>0</v>
      </c>
      <c r="DR275" s="408">
        <v>0</v>
      </c>
      <c r="DS275" s="408"/>
      <c r="DT275" s="408"/>
      <c r="DU275" s="408">
        <v>14728.92427938567</v>
      </c>
      <c r="DV275" s="408"/>
      <c r="DW275" s="408">
        <v>0</v>
      </c>
      <c r="DX275" s="408">
        <v>0</v>
      </c>
      <c r="DY275" s="408">
        <v>-10524.280000000002</v>
      </c>
      <c r="DZ275" s="234"/>
      <c r="EA275" s="408">
        <v>0</v>
      </c>
      <c r="EB275" s="408"/>
      <c r="EC275" s="408">
        <v>-10821.485268197615</v>
      </c>
      <c r="ED275" s="408"/>
      <c r="EE275" s="408">
        <v>0</v>
      </c>
      <c r="EF275" s="408">
        <v>0</v>
      </c>
      <c r="EG275" s="408"/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/>
      <c r="EN275" s="408"/>
      <c r="EO275" s="408">
        <v>0</v>
      </c>
      <c r="EP275" s="408">
        <v>0</v>
      </c>
      <c r="EQ275" s="408"/>
      <c r="ER275" s="408">
        <v>0</v>
      </c>
      <c r="ES275" s="408"/>
      <c r="ET275" s="408">
        <v>0</v>
      </c>
      <c r="EU275" s="408"/>
      <c r="EV275" s="408">
        <v>242</v>
      </c>
      <c r="EW275" s="408"/>
      <c r="EX275" s="408"/>
      <c r="EY275" s="408"/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274</v>
      </c>
      <c r="B276" s="408" t="s">
        <v>1036</v>
      </c>
      <c r="C276" s="408" t="s">
        <v>2231</v>
      </c>
      <c r="D276" s="408" t="s">
        <v>1955</v>
      </c>
      <c r="E276" s="408" t="s">
        <v>2247</v>
      </c>
      <c r="F276" s="408" t="s">
        <v>1322</v>
      </c>
      <c r="G276" s="408" t="s">
        <v>1322</v>
      </c>
      <c r="H276" s="408" t="s">
        <v>1322</v>
      </c>
      <c r="I276" s="408" t="s">
        <v>1322</v>
      </c>
      <c r="J276" s="408" t="s">
        <v>2232</v>
      </c>
      <c r="K276" s="828">
        <v>44531</v>
      </c>
      <c r="L276" s="408">
        <v>0</v>
      </c>
      <c r="M276" s="408">
        <v>0</v>
      </c>
      <c r="N276" s="408">
        <v>0.24399999999999999</v>
      </c>
      <c r="O276" s="408">
        <v>0.24399999999999999</v>
      </c>
      <c r="P276" s="408">
        <v>0.24399999999999999</v>
      </c>
      <c r="Q276" s="408">
        <v>0.24399999999999999</v>
      </c>
      <c r="R276" s="408"/>
      <c r="S276" s="408">
        <v>571.87</v>
      </c>
      <c r="T276" s="408">
        <v>216.76</v>
      </c>
      <c r="U276" s="408"/>
      <c r="V276" s="408">
        <v>192.42572000000001</v>
      </c>
      <c r="W276" s="408">
        <v>192.42572000000001</v>
      </c>
      <c r="X276" s="408">
        <v>125.41843999999999</v>
      </c>
      <c r="Y276" s="408">
        <v>0</v>
      </c>
      <c r="Z276" s="408">
        <v>14.788990558745589</v>
      </c>
      <c r="AA276" s="408">
        <v>0</v>
      </c>
      <c r="AB276" s="408">
        <v>0</v>
      </c>
      <c r="AC276" s="408">
        <v>0</v>
      </c>
      <c r="AD276" s="408">
        <v>0.20054694267998419</v>
      </c>
      <c r="AE276" s="408">
        <v>104.03761518398993</v>
      </c>
      <c r="AF276" s="408">
        <v>52.118766200967187</v>
      </c>
      <c r="AG276" s="408">
        <v>0.77040675569437589</v>
      </c>
      <c r="AH276" s="408">
        <v>0</v>
      </c>
      <c r="AI276" s="408">
        <v>0</v>
      </c>
      <c r="AJ276" s="408">
        <v>0</v>
      </c>
      <c r="AK276" s="408">
        <v>0</v>
      </c>
      <c r="AL276" s="408">
        <v>2.2871666126910237</v>
      </c>
      <c r="AM276" s="408"/>
      <c r="AN276" s="408">
        <v>0.46810657170185171</v>
      </c>
      <c r="AO276" s="408">
        <v>2.1671342507810927</v>
      </c>
      <c r="AP276" s="408">
        <v>6.7898136480518501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0.14519698773905915</v>
      </c>
      <c r="BE276" s="408">
        <v>0</v>
      </c>
      <c r="BF276" s="408">
        <v>0</v>
      </c>
      <c r="BG276" s="408">
        <v>8.6518099418275369</v>
      </c>
      <c r="BH276" s="408">
        <v>0</v>
      </c>
      <c r="BI276" s="408">
        <v>0.71</v>
      </c>
      <c r="BJ276" s="408">
        <v>3.29</v>
      </c>
      <c r="BK276" s="408">
        <v>68.790000000000006</v>
      </c>
      <c r="BL276" s="408">
        <v>2</v>
      </c>
      <c r="BM276" s="408"/>
      <c r="BN276" s="408"/>
      <c r="BO276" s="408"/>
      <c r="BP276" s="408"/>
      <c r="BQ276" s="408"/>
      <c r="BR276" s="408"/>
      <c r="BS276" s="408"/>
      <c r="BT276" s="408"/>
      <c r="BU276" s="408"/>
      <c r="BV276" s="408">
        <v>60.915773130533786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123.36239999999999</v>
      </c>
      <c r="CJ276" s="408">
        <v>-69.093319999999991</v>
      </c>
      <c r="CK276" s="408"/>
      <c r="CL276" s="408"/>
      <c r="CM276" s="408"/>
      <c r="CN276" s="408"/>
      <c r="CO276" s="408">
        <v>-74.968999999999994</v>
      </c>
      <c r="CP276" s="408">
        <v>7.9617199999999988</v>
      </c>
      <c r="CQ276" s="408"/>
      <c r="CR276" s="408">
        <v>9.4306746265472157</v>
      </c>
      <c r="CS276" s="408">
        <v>0.22354320106095971</v>
      </c>
      <c r="CT276" s="408">
        <v>0.70037962666402453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1.960848923872216E-2</v>
      </c>
      <c r="DA276" s="408">
        <v>0</v>
      </c>
      <c r="DB276" s="408">
        <v>0</v>
      </c>
      <c r="DC276" s="408">
        <v>7.9627432197056933</v>
      </c>
      <c r="DD276" s="408">
        <v>0</v>
      </c>
      <c r="DE276" s="408">
        <v>0</v>
      </c>
      <c r="DF276" s="408">
        <v>2.2183301983450338E-2</v>
      </c>
      <c r="DG276" s="408">
        <v>1.3218298508223842</v>
      </c>
      <c r="DH276" s="408">
        <v>0</v>
      </c>
      <c r="DI276" s="408">
        <v>-0.70657649477558238</v>
      </c>
      <c r="DJ276" s="408"/>
      <c r="DK276" s="408">
        <v>0</v>
      </c>
      <c r="DL276" s="408">
        <v>0</v>
      </c>
      <c r="DM276" s="408">
        <v>0</v>
      </c>
      <c r="DN276" s="408">
        <v>0</v>
      </c>
      <c r="DO276" s="408">
        <v>-9.2677384298142318E-2</v>
      </c>
      <c r="DP276" s="408">
        <v>-2.0359183854316232E-2</v>
      </c>
      <c r="DQ276" s="408">
        <v>0</v>
      </c>
      <c r="DR276" s="408">
        <v>0</v>
      </c>
      <c r="DS276" s="408"/>
      <c r="DT276" s="408"/>
      <c r="DU276" s="408"/>
      <c r="DV276" s="408">
        <v>104.03761518398993</v>
      </c>
      <c r="DW276" s="408">
        <v>0</v>
      </c>
      <c r="DX276" s="408">
        <v>0</v>
      </c>
      <c r="DY276" s="408">
        <v>-74.969000000000008</v>
      </c>
      <c r="DZ276" s="234">
        <v>7.9617199999999997</v>
      </c>
      <c r="EA276" s="408">
        <v>0</v>
      </c>
      <c r="EB276" s="408">
        <v>0</v>
      </c>
      <c r="EC276" s="408">
        <v>-76.43745725732785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242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275</v>
      </c>
      <c r="B277" s="408" t="s">
        <v>1036</v>
      </c>
      <c r="C277" s="408" t="s">
        <v>2231</v>
      </c>
      <c r="D277" s="408" t="s">
        <v>2241</v>
      </c>
      <c r="E277" s="408" t="s">
        <v>974</v>
      </c>
      <c r="F277" s="408" t="s">
        <v>2248</v>
      </c>
      <c r="G277" s="408" t="s">
        <v>2249</v>
      </c>
      <c r="H277" s="408" t="s">
        <v>1322</v>
      </c>
      <c r="I277" s="408" t="s">
        <v>1322</v>
      </c>
      <c r="J277" s="408" t="s">
        <v>2232</v>
      </c>
      <c r="K277" s="828">
        <v>44531</v>
      </c>
      <c r="L277" s="408">
        <v>0</v>
      </c>
      <c r="M277" s="408">
        <v>0</v>
      </c>
      <c r="N277" s="408">
        <v>0</v>
      </c>
      <c r="O277" s="408">
        <v>0</v>
      </c>
      <c r="P277" s="408">
        <v>0</v>
      </c>
      <c r="Q277" s="408">
        <v>0</v>
      </c>
      <c r="R277" s="408"/>
      <c r="S277" s="408"/>
      <c r="T277" s="408"/>
      <c r="U277" s="408"/>
      <c r="V277" s="408"/>
      <c r="W277" s="408"/>
      <c r="X277" s="408"/>
      <c r="Y277" s="408"/>
      <c r="Z277" s="408"/>
      <c r="AA277" s="408">
        <v>0</v>
      </c>
      <c r="AB277" s="408"/>
      <c r="AC277" s="408"/>
      <c r="AD277" s="408"/>
      <c r="AE277" s="408"/>
      <c r="AF277" s="408"/>
      <c r="AG277" s="408"/>
      <c r="AH277" s="408"/>
      <c r="AI277" s="408"/>
      <c r="AJ277" s="408"/>
      <c r="AK277" s="408"/>
      <c r="AL277" s="408"/>
      <c r="AM277" s="408"/>
      <c r="AN277" s="408"/>
      <c r="AO277" s="408"/>
      <c r="AP277" s="408"/>
      <c r="AQ277" s="408"/>
      <c r="AR277" s="408"/>
      <c r="AS277" s="408"/>
      <c r="AT277" s="408"/>
      <c r="AU277" s="408"/>
      <c r="AV277" s="408"/>
      <c r="AW277" s="408"/>
      <c r="AX277" s="408"/>
      <c r="AY277" s="408"/>
      <c r="AZ277" s="408">
        <v>0</v>
      </c>
      <c r="BA277" s="408"/>
      <c r="BB277" s="408"/>
      <c r="BC277" s="408"/>
      <c r="BD277" s="408"/>
      <c r="BE277" s="408"/>
      <c r="BF277" s="408"/>
      <c r="BG277" s="408"/>
      <c r="BH277" s="408"/>
      <c r="BI277" s="408">
        <v>330.98</v>
      </c>
      <c r="BJ277" s="408">
        <v>1522.17</v>
      </c>
      <c r="BK277" s="408">
        <v>1004.78</v>
      </c>
      <c r="BL277" s="408">
        <v>125</v>
      </c>
      <c r="BM277" s="408"/>
      <c r="BN277" s="408"/>
      <c r="BO277" s="408"/>
      <c r="BP277" s="408"/>
      <c r="BQ277" s="408"/>
      <c r="BR277" s="408"/>
      <c r="BS277" s="408"/>
      <c r="BT277" s="408"/>
      <c r="BU277" s="408"/>
      <c r="BV277" s="408"/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/>
      <c r="CJ277" s="408">
        <v>-0.03</v>
      </c>
      <c r="CK277" s="408"/>
      <c r="CL277" s="408"/>
      <c r="CM277" s="408"/>
      <c r="CN277" s="408"/>
      <c r="CO277" s="408">
        <v>0</v>
      </c>
      <c r="CP277" s="408">
        <v>0</v>
      </c>
      <c r="CQ277" s="408"/>
      <c r="CR277" s="408"/>
      <c r="CS277" s="408"/>
      <c r="CT277" s="408"/>
      <c r="CU277" s="408"/>
      <c r="CV277" s="408"/>
      <c r="CW277" s="408"/>
      <c r="CX277" s="408"/>
      <c r="CY277" s="408"/>
      <c r="CZ277" s="408"/>
      <c r="DA277" s="408"/>
      <c r="DB277" s="408"/>
      <c r="DC277" s="408"/>
      <c r="DD277" s="408"/>
      <c r="DE277" s="408"/>
      <c r="DF277" s="408"/>
      <c r="DG277" s="408"/>
      <c r="DH277" s="408"/>
      <c r="DI277" s="408"/>
      <c r="DJ277" s="408"/>
      <c r="DK277" s="408">
        <v>0</v>
      </c>
      <c r="DL277" s="408"/>
      <c r="DM277" s="408"/>
      <c r="DN277" s="408"/>
      <c r="DO277" s="408"/>
      <c r="DP277" s="408"/>
      <c r="DQ277" s="408"/>
      <c r="DR277" s="408"/>
      <c r="DS277" s="408"/>
      <c r="DT277" s="408"/>
      <c r="DU277" s="408"/>
      <c r="DV277" s="408"/>
      <c r="DW277" s="408"/>
      <c r="DX277" s="408"/>
      <c r="DY277" s="408"/>
      <c r="DZ277" s="234"/>
      <c r="EA277" s="408"/>
      <c r="EB277" s="408"/>
      <c r="EC277" s="408"/>
      <c r="ED277" s="408"/>
      <c r="EE277" s="408"/>
      <c r="EF277" s="408"/>
      <c r="EG277" s="408"/>
      <c r="EH277" s="408"/>
      <c r="EI277" s="408"/>
      <c r="EJ277" s="408"/>
      <c r="EK277" s="408"/>
      <c r="EL277" s="408"/>
      <c r="EM277" s="408"/>
      <c r="EN277" s="408"/>
      <c r="EO277" s="408"/>
      <c r="EP277" s="408"/>
      <c r="EQ277" s="408"/>
      <c r="ER277" s="408"/>
      <c r="ES277" s="408"/>
      <c r="ET277" s="408"/>
      <c r="EU277" s="408"/>
      <c r="EV277" s="408">
        <v>242</v>
      </c>
      <c r="EW277" s="408"/>
      <c r="EX277" s="408"/>
      <c r="EY277" s="408"/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276</v>
      </c>
      <c r="B278" s="408" t="s">
        <v>2233</v>
      </c>
      <c r="C278" s="408" t="s">
        <v>2231</v>
      </c>
      <c r="D278" s="408" t="s">
        <v>2241</v>
      </c>
      <c r="E278" s="408" t="s">
        <v>974</v>
      </c>
      <c r="F278" s="408" t="s">
        <v>2248</v>
      </c>
      <c r="G278" s="408" t="s">
        <v>2249</v>
      </c>
      <c r="H278" s="408" t="s">
        <v>1322</v>
      </c>
      <c r="I278" s="408" t="s">
        <v>1322</v>
      </c>
      <c r="J278" s="408" t="s">
        <v>2232</v>
      </c>
      <c r="K278" s="828">
        <v>44531</v>
      </c>
      <c r="L278" s="408">
        <v>0</v>
      </c>
      <c r="M278" s="408">
        <v>0</v>
      </c>
      <c r="N278" s="408">
        <v>0</v>
      </c>
      <c r="O278" s="408">
        <v>0</v>
      </c>
      <c r="P278" s="408">
        <v>0</v>
      </c>
      <c r="Q278" s="408">
        <v>0</v>
      </c>
      <c r="R278" s="408"/>
      <c r="S278" s="408"/>
      <c r="T278" s="408"/>
      <c r="U278" s="408"/>
      <c r="V278" s="408"/>
      <c r="W278" s="408"/>
      <c r="X278" s="408"/>
      <c r="Y278" s="408"/>
      <c r="Z278" s="408"/>
      <c r="AA278" s="408">
        <v>0</v>
      </c>
      <c r="AB278" s="408"/>
      <c r="AC278" s="408"/>
      <c r="AD278" s="408"/>
      <c r="AE278" s="408"/>
      <c r="AF278" s="408"/>
      <c r="AG278" s="408"/>
      <c r="AH278" s="408"/>
      <c r="AI278" s="408"/>
      <c r="AJ278" s="408"/>
      <c r="AK278" s="408"/>
      <c r="AL278" s="408"/>
      <c r="AM278" s="408"/>
      <c r="AN278" s="408"/>
      <c r="AO278" s="408"/>
      <c r="AP278" s="408"/>
      <c r="AQ278" s="408"/>
      <c r="AR278" s="408"/>
      <c r="AS278" s="408"/>
      <c r="AT278" s="408"/>
      <c r="AU278" s="408"/>
      <c r="AV278" s="408"/>
      <c r="AW278" s="408"/>
      <c r="AX278" s="408"/>
      <c r="AY278" s="408"/>
      <c r="AZ278" s="408">
        <v>0</v>
      </c>
      <c r="BA278" s="408"/>
      <c r="BB278" s="408"/>
      <c r="BC278" s="408"/>
      <c r="BD278" s="408"/>
      <c r="BE278" s="408"/>
      <c r="BF278" s="408"/>
      <c r="BG278" s="408"/>
      <c r="BH278" s="408"/>
      <c r="BI278" s="408">
        <v>-18.02</v>
      </c>
      <c r="BJ278" s="408">
        <v>-82.67</v>
      </c>
      <c r="BK278" s="408">
        <v>-4.6100000000000003</v>
      </c>
      <c r="BL278" s="408">
        <v>0</v>
      </c>
      <c r="BM278" s="408"/>
      <c r="BN278" s="408"/>
      <c r="BO278" s="408"/>
      <c r="BP278" s="408"/>
      <c r="BQ278" s="408"/>
      <c r="BR278" s="408"/>
      <c r="BS278" s="408"/>
      <c r="BT278" s="408"/>
      <c r="BU278" s="408"/>
      <c r="BV278" s="408"/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/>
      <c r="CJ278" s="408">
        <v>-0.03</v>
      </c>
      <c r="CK278" s="408"/>
      <c r="CL278" s="408"/>
      <c r="CM278" s="408"/>
      <c r="CN278" s="408"/>
      <c r="CO278" s="408">
        <v>0</v>
      </c>
      <c r="CP278" s="408">
        <v>0</v>
      </c>
      <c r="CQ278" s="408"/>
      <c r="CR278" s="408"/>
      <c r="CS278" s="408"/>
      <c r="CT278" s="408"/>
      <c r="CU278" s="408"/>
      <c r="CV278" s="408"/>
      <c r="CW278" s="408"/>
      <c r="CX278" s="408"/>
      <c r="CY278" s="408"/>
      <c r="CZ278" s="408"/>
      <c r="DA278" s="408"/>
      <c r="DB278" s="408"/>
      <c r="DC278" s="408"/>
      <c r="DD278" s="408"/>
      <c r="DE278" s="408"/>
      <c r="DF278" s="408"/>
      <c r="DG278" s="408"/>
      <c r="DH278" s="408"/>
      <c r="DI278" s="408"/>
      <c r="DJ278" s="408"/>
      <c r="DK278" s="408">
        <v>0</v>
      </c>
      <c r="DL278" s="408"/>
      <c r="DM278" s="408"/>
      <c r="DN278" s="408"/>
      <c r="DO278" s="408"/>
      <c r="DP278" s="408"/>
      <c r="DQ278" s="408"/>
      <c r="DR278" s="408"/>
      <c r="DS278" s="408"/>
      <c r="DT278" s="408"/>
      <c r="DU278" s="408"/>
      <c r="DV278" s="408"/>
      <c r="DW278" s="408"/>
      <c r="DX278" s="408"/>
      <c r="DY278" s="408"/>
      <c r="DZ278" s="234"/>
      <c r="EA278" s="408"/>
      <c r="EB278" s="408"/>
      <c r="EC278" s="408"/>
      <c r="ED278" s="408"/>
      <c r="EE278" s="408"/>
      <c r="EF278" s="408"/>
      <c r="EG278" s="408"/>
      <c r="EH278" s="408"/>
      <c r="EI278" s="408"/>
      <c r="EJ278" s="408"/>
      <c r="EK278" s="408"/>
      <c r="EL278" s="408"/>
      <c r="EM278" s="408"/>
      <c r="EN278" s="408"/>
      <c r="EO278" s="408"/>
      <c r="EP278" s="408"/>
      <c r="EQ278" s="408"/>
      <c r="ER278" s="408"/>
      <c r="ES278" s="408"/>
      <c r="ET278" s="408"/>
      <c r="EU278" s="408"/>
      <c r="EV278" s="408">
        <v>242</v>
      </c>
      <c r="EW278" s="408"/>
      <c r="EX278" s="408"/>
      <c r="EY278" s="408"/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277</v>
      </c>
      <c r="B279" s="408" t="s">
        <v>2234</v>
      </c>
      <c r="C279" s="408" t="s">
        <v>2231</v>
      </c>
      <c r="D279" s="408" t="s">
        <v>2241</v>
      </c>
      <c r="E279" s="408" t="s">
        <v>974</v>
      </c>
      <c r="F279" s="408" t="s">
        <v>2248</v>
      </c>
      <c r="G279" s="408" t="s">
        <v>2249</v>
      </c>
      <c r="H279" s="408" t="s">
        <v>1322</v>
      </c>
      <c r="I279" s="408" t="s">
        <v>1322</v>
      </c>
      <c r="J279" s="408" t="s">
        <v>2232</v>
      </c>
      <c r="K279" s="828">
        <v>44531</v>
      </c>
      <c r="L279" s="408">
        <v>0</v>
      </c>
      <c r="M279" s="408">
        <v>0</v>
      </c>
      <c r="N279" s="408">
        <v>0</v>
      </c>
      <c r="O279" s="408">
        <v>0</v>
      </c>
      <c r="P279" s="408">
        <v>0</v>
      </c>
      <c r="Q279" s="408">
        <v>0</v>
      </c>
      <c r="R279" s="408"/>
      <c r="S279" s="408"/>
      <c r="T279" s="408"/>
      <c r="U279" s="408"/>
      <c r="V279" s="408"/>
      <c r="W279" s="408"/>
      <c r="X279" s="408"/>
      <c r="Y279" s="408"/>
      <c r="Z279" s="408"/>
      <c r="AA279" s="408">
        <v>0</v>
      </c>
      <c r="AB279" s="408"/>
      <c r="AC279" s="408"/>
      <c r="AD279" s="408"/>
      <c r="AE279" s="408"/>
      <c r="AF279" s="408"/>
      <c r="AG279" s="408"/>
      <c r="AH279" s="408"/>
      <c r="AI279" s="408"/>
      <c r="AJ279" s="408"/>
      <c r="AK279" s="408"/>
      <c r="AL279" s="408"/>
      <c r="AM279" s="408"/>
      <c r="AN279" s="408"/>
      <c r="AO279" s="408"/>
      <c r="AP279" s="408"/>
      <c r="AQ279" s="408"/>
      <c r="AR279" s="408"/>
      <c r="AS279" s="408"/>
      <c r="AT279" s="408"/>
      <c r="AU279" s="408"/>
      <c r="AV279" s="408"/>
      <c r="AW279" s="408"/>
      <c r="AX279" s="408"/>
      <c r="AY279" s="408"/>
      <c r="AZ279" s="408">
        <v>0</v>
      </c>
      <c r="BA279" s="408"/>
      <c r="BB279" s="408"/>
      <c r="BC279" s="408"/>
      <c r="BD279" s="408"/>
      <c r="BE279" s="408"/>
      <c r="BF279" s="408"/>
      <c r="BG279" s="408"/>
      <c r="BH279" s="408"/>
      <c r="BI279" s="408">
        <v>4.1900000000000004</v>
      </c>
      <c r="BJ279" s="408">
        <v>19.329999999999998</v>
      </c>
      <c r="BK279" s="408">
        <v>28.09</v>
      </c>
      <c r="BL279" s="408">
        <v>4</v>
      </c>
      <c r="BM279" s="408"/>
      <c r="BN279" s="408"/>
      <c r="BO279" s="408"/>
      <c r="BP279" s="408"/>
      <c r="BQ279" s="408"/>
      <c r="BR279" s="408"/>
      <c r="BS279" s="408"/>
      <c r="BT279" s="408"/>
      <c r="BU279" s="408"/>
      <c r="BV279" s="408"/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/>
      <c r="CJ279" s="408">
        <v>-0.03</v>
      </c>
      <c r="CK279" s="408"/>
      <c r="CL279" s="408"/>
      <c r="CM279" s="408"/>
      <c r="CN279" s="408"/>
      <c r="CO279" s="408">
        <v>0</v>
      </c>
      <c r="CP279" s="408">
        <v>0</v>
      </c>
      <c r="CQ279" s="408"/>
      <c r="CR279" s="408"/>
      <c r="CS279" s="408"/>
      <c r="CT279" s="408"/>
      <c r="CU279" s="408"/>
      <c r="CV279" s="408"/>
      <c r="CW279" s="408"/>
      <c r="CX279" s="408"/>
      <c r="CY279" s="408"/>
      <c r="CZ279" s="408"/>
      <c r="DA279" s="408"/>
      <c r="DB279" s="408"/>
      <c r="DC279" s="408"/>
      <c r="DD279" s="408"/>
      <c r="DE279" s="408"/>
      <c r="DF279" s="408"/>
      <c r="DG279" s="408"/>
      <c r="DH279" s="408"/>
      <c r="DI279" s="408"/>
      <c r="DJ279" s="408"/>
      <c r="DK279" s="408">
        <v>0</v>
      </c>
      <c r="DL279" s="408"/>
      <c r="DM279" s="408"/>
      <c r="DN279" s="408"/>
      <c r="DO279" s="408"/>
      <c r="DP279" s="408"/>
      <c r="DQ279" s="408"/>
      <c r="DR279" s="408"/>
      <c r="DS279" s="408"/>
      <c r="DT279" s="408"/>
      <c r="DU279" s="408"/>
      <c r="DV279" s="408"/>
      <c r="DW279" s="408"/>
      <c r="DX279" s="408"/>
      <c r="DY279" s="408"/>
      <c r="DZ279" s="234"/>
      <c r="EA279" s="408"/>
      <c r="EB279" s="408"/>
      <c r="EC279" s="408"/>
      <c r="ED279" s="408"/>
      <c r="EE279" s="408"/>
      <c r="EF279" s="408"/>
      <c r="EG279" s="408"/>
      <c r="EH279" s="408"/>
      <c r="EI279" s="408"/>
      <c r="EJ279" s="408"/>
      <c r="EK279" s="408"/>
      <c r="EL279" s="408"/>
      <c r="EM279" s="408"/>
      <c r="EN279" s="408"/>
      <c r="EO279" s="408"/>
      <c r="EP279" s="408"/>
      <c r="EQ279" s="408"/>
      <c r="ER279" s="408"/>
      <c r="ES279" s="408"/>
      <c r="ET279" s="408"/>
      <c r="EU279" s="408"/>
      <c r="EV279" s="408">
        <v>242</v>
      </c>
      <c r="EW279" s="408"/>
      <c r="EX279" s="408"/>
      <c r="EY279" s="408"/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278</v>
      </c>
      <c r="B280" s="408" t="s">
        <v>1036</v>
      </c>
      <c r="C280" s="408" t="s">
        <v>2231</v>
      </c>
      <c r="D280" s="408" t="s">
        <v>2241</v>
      </c>
      <c r="E280" s="408" t="s">
        <v>974</v>
      </c>
      <c r="F280" s="408" t="s">
        <v>2248</v>
      </c>
      <c r="G280" s="408" t="s">
        <v>2249</v>
      </c>
      <c r="H280" s="408" t="s">
        <v>1322</v>
      </c>
      <c r="I280" s="408" t="s">
        <v>1322</v>
      </c>
      <c r="J280" s="408" t="s">
        <v>2232</v>
      </c>
      <c r="K280" s="828">
        <v>44531</v>
      </c>
      <c r="L280" s="408">
        <v>0</v>
      </c>
      <c r="M280" s="408">
        <v>0</v>
      </c>
      <c r="N280" s="408">
        <v>75.697000000000003</v>
      </c>
      <c r="O280" s="408">
        <v>75.697000000000003</v>
      </c>
      <c r="P280" s="408">
        <v>75.697000000000003</v>
      </c>
      <c r="Q280" s="408">
        <v>75.697000000000003</v>
      </c>
      <c r="R280" s="408"/>
      <c r="S280" s="408">
        <v>571.87</v>
      </c>
      <c r="T280" s="408">
        <v>216.76</v>
      </c>
      <c r="U280" s="408"/>
      <c r="V280" s="408">
        <v>59696.925109999996</v>
      </c>
      <c r="W280" s="408">
        <v>59696.925109999996</v>
      </c>
      <c r="X280" s="408">
        <v>38909.014970000004</v>
      </c>
      <c r="Y280" s="408">
        <v>0</v>
      </c>
      <c r="Z280" s="408">
        <v>4588.0418783826435</v>
      </c>
      <c r="AA280" s="408">
        <v>0</v>
      </c>
      <c r="AB280" s="408">
        <v>0</v>
      </c>
      <c r="AC280" s="408">
        <v>0</v>
      </c>
      <c r="AD280" s="408">
        <v>62.21640131166707</v>
      </c>
      <c r="AE280" s="408">
        <v>32275.96457615773</v>
      </c>
      <c r="AF280" s="408">
        <v>16168.992807846775</v>
      </c>
      <c r="AG280" s="408">
        <v>239.00606633523432</v>
      </c>
      <c r="AH280" s="408">
        <v>0</v>
      </c>
      <c r="AI280" s="408">
        <v>0</v>
      </c>
      <c r="AJ280" s="408">
        <v>0</v>
      </c>
      <c r="AK280" s="408">
        <v>0</v>
      </c>
      <c r="AL280" s="408">
        <v>709.55594705275587</v>
      </c>
      <c r="AM280" s="408"/>
      <c r="AN280" s="408">
        <v>145.22238999227488</v>
      </c>
      <c r="AO280" s="408">
        <v>672.31787451383764</v>
      </c>
      <c r="AP280" s="408">
        <v>2106.4283758876268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45.044985167555581</v>
      </c>
      <c r="BE280" s="408">
        <v>0</v>
      </c>
      <c r="BF280" s="408">
        <v>0</v>
      </c>
      <c r="BG280" s="408">
        <v>2684.0822015021272</v>
      </c>
      <c r="BH280" s="408">
        <v>0</v>
      </c>
      <c r="BI280" s="408">
        <v>0</v>
      </c>
      <c r="BJ280" s="408">
        <v>0</v>
      </c>
      <c r="BK280" s="408">
        <v>0</v>
      </c>
      <c r="BL280" s="408">
        <v>0</v>
      </c>
      <c r="BM280" s="408"/>
      <c r="BN280" s="408"/>
      <c r="BO280" s="408"/>
      <c r="BP280" s="408"/>
      <c r="BQ280" s="408"/>
      <c r="BR280" s="408">
        <v>4668.9909599999992</v>
      </c>
      <c r="BS280" s="408"/>
      <c r="BT280" s="408"/>
      <c r="BU280" s="408"/>
      <c r="BV280" s="408">
        <v>18898.119994516455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34241.381000000001</v>
      </c>
      <c r="CJ280" s="408">
        <v>-18292.367000000013</v>
      </c>
      <c r="CK280" s="408"/>
      <c r="CL280" s="408"/>
      <c r="CM280" s="408"/>
      <c r="CN280" s="408"/>
      <c r="CO280" s="408">
        <v>-23257.903249999999</v>
      </c>
      <c r="CP280" s="408">
        <v>2469.9931099999999</v>
      </c>
      <c r="CQ280" s="408"/>
      <c r="CR280" s="408">
        <v>2925.7122016628782</v>
      </c>
      <c r="CS280" s="408">
        <v>69.350613486522434</v>
      </c>
      <c r="CT280" s="408">
        <v>217.28129753928943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6.0832123356702823</v>
      </c>
      <c r="DA280" s="408">
        <v>0</v>
      </c>
      <c r="DB280" s="408">
        <v>0</v>
      </c>
      <c r="DC280" s="408">
        <v>2470.3105471395975</v>
      </c>
      <c r="DD280" s="408">
        <v>0</v>
      </c>
      <c r="DE280" s="408">
        <v>0</v>
      </c>
      <c r="DF280" s="408">
        <v>6.8820057796772076</v>
      </c>
      <c r="DG280" s="408">
        <v>410.0760418758282</v>
      </c>
      <c r="DH280" s="408">
        <v>0</v>
      </c>
      <c r="DI280" s="408">
        <v>-219.20377428289885</v>
      </c>
      <c r="DJ280" s="408"/>
      <c r="DK280" s="408">
        <v>0</v>
      </c>
      <c r="DL280" s="408">
        <v>0</v>
      </c>
      <c r="DM280" s="408">
        <v>0</v>
      </c>
      <c r="DN280" s="408">
        <v>0</v>
      </c>
      <c r="DO280" s="408">
        <v>-28.751639177116658</v>
      </c>
      <c r="DP280" s="408">
        <v>-6.3161030336892452</v>
      </c>
      <c r="DQ280" s="408">
        <v>0</v>
      </c>
      <c r="DR280" s="408">
        <v>0</v>
      </c>
      <c r="DS280" s="408"/>
      <c r="DT280" s="408"/>
      <c r="DU280" s="408"/>
      <c r="DV280" s="408">
        <v>32275.96457615773</v>
      </c>
      <c r="DW280" s="408">
        <v>0</v>
      </c>
      <c r="DX280" s="408">
        <v>0</v>
      </c>
      <c r="DY280" s="408">
        <v>-23257.903249999999</v>
      </c>
      <c r="DZ280" s="234">
        <v>2469.9931100000031</v>
      </c>
      <c r="EA280" s="408">
        <v>0</v>
      </c>
      <c r="EB280" s="408">
        <v>0</v>
      </c>
      <c r="EC280" s="408">
        <v>-23713.468041016175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242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279</v>
      </c>
      <c r="B281" s="408" t="s">
        <v>2233</v>
      </c>
      <c r="C281" s="408" t="s">
        <v>2231</v>
      </c>
      <c r="D281" s="408" t="s">
        <v>2241</v>
      </c>
      <c r="E281" s="408" t="s">
        <v>974</v>
      </c>
      <c r="F281" s="408" t="s">
        <v>2248</v>
      </c>
      <c r="G281" s="408" t="s">
        <v>2249</v>
      </c>
      <c r="H281" s="408" t="s">
        <v>1322</v>
      </c>
      <c r="I281" s="408" t="s">
        <v>1322</v>
      </c>
      <c r="J281" s="408" t="s">
        <v>2232</v>
      </c>
      <c r="K281" s="828">
        <v>44531</v>
      </c>
      <c r="L281" s="408">
        <v>0</v>
      </c>
      <c r="M281" s="408">
        <v>0</v>
      </c>
      <c r="N281" s="408">
        <v>-4.4850000000000003</v>
      </c>
      <c r="O281" s="408">
        <v>-4.4850000000000003</v>
      </c>
      <c r="P281" s="408">
        <v>-4.4850000000000003</v>
      </c>
      <c r="Q281" s="408">
        <v>-4.4850000000000003</v>
      </c>
      <c r="R281" s="408"/>
      <c r="S281" s="408">
        <v>571.87</v>
      </c>
      <c r="T281" s="408">
        <v>216.76</v>
      </c>
      <c r="U281" s="408"/>
      <c r="V281" s="408">
        <v>-3537.0055500000003</v>
      </c>
      <c r="W281" s="408">
        <v>-3537.0055500000003</v>
      </c>
      <c r="X281" s="408">
        <v>-2305.3348500000002</v>
      </c>
      <c r="Y281" s="408">
        <v>0</v>
      </c>
      <c r="Z281" s="408">
        <v>-271.83861744251629</v>
      </c>
      <c r="AA281" s="408">
        <v>0</v>
      </c>
      <c r="AB281" s="408">
        <v>0</v>
      </c>
      <c r="AC281" s="408">
        <v>0</v>
      </c>
      <c r="AD281" s="408">
        <v>-3.686282942293972</v>
      </c>
      <c r="AE281" s="408">
        <v>-1912.3307545089954</v>
      </c>
      <c r="AF281" s="408">
        <v>-958.00273119400754</v>
      </c>
      <c r="AG281" s="408">
        <v>-14.160960242988835</v>
      </c>
      <c r="AH281" s="408">
        <v>0</v>
      </c>
      <c r="AI281" s="408">
        <v>0</v>
      </c>
      <c r="AJ281" s="408">
        <v>0</v>
      </c>
      <c r="AK281" s="408">
        <v>0</v>
      </c>
      <c r="AL281" s="408">
        <v>-42.040746958685418</v>
      </c>
      <c r="AM281" s="408"/>
      <c r="AN281" s="408">
        <v>-8.6043359593557582</v>
      </c>
      <c r="AO281" s="408">
        <v>-39.834414404726239</v>
      </c>
      <c r="AP281" s="408">
        <v>-124.80456644062521</v>
      </c>
      <c r="AQ281" s="408">
        <v>0</v>
      </c>
      <c r="AR281" s="408">
        <v>0</v>
      </c>
      <c r="AS281" s="408">
        <v>0</v>
      </c>
      <c r="AT281" s="408">
        <v>0</v>
      </c>
      <c r="AU281" s="408">
        <v>0</v>
      </c>
      <c r="AV281" s="408">
        <v>0</v>
      </c>
      <c r="AW281" s="408">
        <v>0</v>
      </c>
      <c r="AX281" s="408">
        <v>0</v>
      </c>
      <c r="AY281" s="408">
        <v>0</v>
      </c>
      <c r="AZ281" s="408">
        <v>0</v>
      </c>
      <c r="BA281" s="408"/>
      <c r="BB281" s="408">
        <v>0</v>
      </c>
      <c r="BC281" s="408">
        <v>0</v>
      </c>
      <c r="BD281" s="408">
        <v>-2.6688872541380344</v>
      </c>
      <c r="BE281" s="408">
        <v>0</v>
      </c>
      <c r="BF281" s="408">
        <v>0</v>
      </c>
      <c r="BG281" s="408">
        <v>-159.03019503728075</v>
      </c>
      <c r="BH281" s="408">
        <v>0</v>
      </c>
      <c r="BI281" s="408">
        <v>0</v>
      </c>
      <c r="BJ281" s="408">
        <v>0</v>
      </c>
      <c r="BK281" s="408">
        <v>0</v>
      </c>
      <c r="BL281" s="408">
        <v>0</v>
      </c>
      <c r="BM281" s="408"/>
      <c r="BN281" s="408"/>
      <c r="BO281" s="408"/>
      <c r="BP281" s="408"/>
      <c r="BQ281" s="408"/>
      <c r="BR281" s="408">
        <v>-276.63479999999993</v>
      </c>
      <c r="BS281" s="408"/>
      <c r="BT281" s="408"/>
      <c r="BU281" s="408"/>
      <c r="BV281" s="408">
        <v>-1119.7018134854263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-2030.9617000000001</v>
      </c>
      <c r="CJ281" s="408">
        <v>1081.5982999999994</v>
      </c>
      <c r="CK281" s="408"/>
      <c r="CL281" s="408"/>
      <c r="CM281" s="408"/>
      <c r="CN281" s="408"/>
      <c r="CO281" s="408">
        <v>1378.0162500000001</v>
      </c>
      <c r="CP281" s="408">
        <v>-146.34555</v>
      </c>
      <c r="CQ281" s="408"/>
      <c r="CR281" s="408">
        <v>-173.34662172157505</v>
      </c>
      <c r="CS281" s="408">
        <v>-4.1089805604852643</v>
      </c>
      <c r="CT281" s="408">
        <v>-12.873781252410438</v>
      </c>
      <c r="CU281" s="408">
        <v>0</v>
      </c>
      <c r="CV281" s="408">
        <v>0</v>
      </c>
      <c r="CW281" s="408">
        <v>0</v>
      </c>
      <c r="CX281" s="408">
        <v>0</v>
      </c>
      <c r="CY281" s="408">
        <v>0</v>
      </c>
      <c r="CZ281" s="408">
        <v>-0.36042653375274103</v>
      </c>
      <c r="DA281" s="408">
        <v>0</v>
      </c>
      <c r="DB281" s="408">
        <v>0</v>
      </c>
      <c r="DC281" s="408">
        <v>-146.3643579523773</v>
      </c>
      <c r="DD281" s="408">
        <v>0</v>
      </c>
      <c r="DE281" s="408">
        <v>0</v>
      </c>
      <c r="DF281" s="408">
        <v>-0.40775454670399469</v>
      </c>
      <c r="DG281" s="408">
        <v>-24.296749512042624</v>
      </c>
      <c r="DH281" s="408">
        <v>0</v>
      </c>
      <c r="DI281" s="408">
        <v>12.987686799461017</v>
      </c>
      <c r="DJ281" s="408"/>
      <c r="DK281" s="408">
        <v>0</v>
      </c>
      <c r="DL281" s="408">
        <v>0</v>
      </c>
      <c r="DM281" s="408">
        <v>0</v>
      </c>
      <c r="DN281" s="408">
        <v>0</v>
      </c>
      <c r="DO281" s="408">
        <v>1.7035166744965906</v>
      </c>
      <c r="DP281" s="408">
        <v>0.37422516224019731</v>
      </c>
      <c r="DQ281" s="408">
        <v>0</v>
      </c>
      <c r="DR281" s="408">
        <v>0</v>
      </c>
      <c r="DS281" s="408"/>
      <c r="DT281" s="408"/>
      <c r="DU281" s="408"/>
      <c r="DV281" s="408">
        <v>-1912.3307545089954</v>
      </c>
      <c r="DW281" s="408">
        <v>0</v>
      </c>
      <c r="DX281" s="408">
        <v>0</v>
      </c>
      <c r="DY281" s="408">
        <v>1378.0162500000001</v>
      </c>
      <c r="DZ281" s="234">
        <v>-146.34554999999989</v>
      </c>
      <c r="EA281" s="408">
        <v>0</v>
      </c>
      <c r="EB281" s="408">
        <v>0</v>
      </c>
      <c r="EC281" s="408">
        <v>1405.0081795045717</v>
      </c>
      <c r="ED281" s="408">
        <v>0</v>
      </c>
      <c r="EE281" s="408">
        <v>0</v>
      </c>
      <c r="EF281" s="408">
        <v>0</v>
      </c>
      <c r="EG281" s="408">
        <v>0</v>
      </c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>
        <v>0</v>
      </c>
      <c r="EN281" s="408">
        <v>0</v>
      </c>
      <c r="EO281" s="408">
        <v>0</v>
      </c>
      <c r="EP281" s="408">
        <v>0</v>
      </c>
      <c r="EQ281" s="408">
        <v>0</v>
      </c>
      <c r="ER281" s="408">
        <v>0</v>
      </c>
      <c r="ES281" s="408">
        <v>0</v>
      </c>
      <c r="ET281" s="408">
        <v>0</v>
      </c>
      <c r="EU281" s="408">
        <v>0</v>
      </c>
      <c r="EV281" s="408">
        <v>242</v>
      </c>
      <c r="EW281" s="408">
        <v>0</v>
      </c>
      <c r="EX281" s="408">
        <v>0</v>
      </c>
      <c r="EY281" s="408">
        <v>0</v>
      </c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280</v>
      </c>
      <c r="B282" s="408" t="s">
        <v>2234</v>
      </c>
      <c r="C282" s="408" t="s">
        <v>2231</v>
      </c>
      <c r="D282" s="408" t="s">
        <v>2241</v>
      </c>
      <c r="E282" s="408" t="s">
        <v>974</v>
      </c>
      <c r="F282" s="408" t="s">
        <v>2248</v>
      </c>
      <c r="G282" s="408" t="s">
        <v>2249</v>
      </c>
      <c r="H282" s="408" t="s">
        <v>1322</v>
      </c>
      <c r="I282" s="408" t="s">
        <v>1322</v>
      </c>
      <c r="J282" s="408" t="s">
        <v>2232</v>
      </c>
      <c r="K282" s="828">
        <v>44531</v>
      </c>
      <c r="L282" s="408">
        <v>0</v>
      </c>
      <c r="M282" s="408">
        <v>0</v>
      </c>
      <c r="N282" s="408">
        <v>1.5860000000000001</v>
      </c>
      <c r="O282" s="408">
        <v>1.5860000000000001</v>
      </c>
      <c r="P282" s="408">
        <v>1.5860000000000001</v>
      </c>
      <c r="Q282" s="408">
        <v>1.5860000000000001</v>
      </c>
      <c r="R282" s="408"/>
      <c r="S282" s="408">
        <v>571.87</v>
      </c>
      <c r="T282" s="408">
        <v>216.76</v>
      </c>
      <c r="U282" s="408"/>
      <c r="V282" s="408">
        <v>1250.7671800000001</v>
      </c>
      <c r="W282" s="408">
        <v>1250.7671800000001</v>
      </c>
      <c r="X282" s="408">
        <v>815.21985999999993</v>
      </c>
      <c r="Y282" s="408">
        <v>0</v>
      </c>
      <c r="Z282" s="408">
        <v>96.128438631846336</v>
      </c>
      <c r="AA282" s="408">
        <v>0</v>
      </c>
      <c r="AB282" s="408">
        <v>0</v>
      </c>
      <c r="AC282" s="408">
        <v>0</v>
      </c>
      <c r="AD282" s="408">
        <v>1.3035551274198973</v>
      </c>
      <c r="AE282" s="408">
        <v>676.24449869593457</v>
      </c>
      <c r="AF282" s="408">
        <v>338.77198030628671</v>
      </c>
      <c r="AG282" s="408">
        <v>5.0076439120134433</v>
      </c>
      <c r="AH282" s="408">
        <v>0</v>
      </c>
      <c r="AI282" s="408">
        <v>0</v>
      </c>
      <c r="AJ282" s="408">
        <v>0</v>
      </c>
      <c r="AK282" s="408">
        <v>0</v>
      </c>
      <c r="AL282" s="408">
        <v>14.866582982491655</v>
      </c>
      <c r="AM282" s="408"/>
      <c r="AN282" s="408">
        <v>3.0426927160620361</v>
      </c>
      <c r="AO282" s="408">
        <v>14.086372630077104</v>
      </c>
      <c r="AP282" s="408">
        <v>44.133788712337029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0.94378042030388465</v>
      </c>
      <c r="BE282" s="408">
        <v>0</v>
      </c>
      <c r="BF282" s="408">
        <v>0</v>
      </c>
      <c r="BG282" s="408">
        <v>56.23676462187899</v>
      </c>
      <c r="BH282" s="408">
        <v>0</v>
      </c>
      <c r="BI282" s="408">
        <v>0</v>
      </c>
      <c r="BJ282" s="408">
        <v>0</v>
      </c>
      <c r="BK282" s="408">
        <v>0</v>
      </c>
      <c r="BL282" s="408">
        <v>0</v>
      </c>
      <c r="BM282" s="408"/>
      <c r="BN282" s="408"/>
      <c r="BO282" s="408"/>
      <c r="BP282" s="408"/>
      <c r="BQ282" s="408"/>
      <c r="BR282" s="408">
        <v>97.824479999999966</v>
      </c>
      <c r="BS282" s="408"/>
      <c r="BT282" s="408"/>
      <c r="BU282" s="408"/>
      <c r="BV282" s="408">
        <v>395.95252534846958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719.2047</v>
      </c>
      <c r="CJ282" s="408">
        <v>-381.50929999999994</v>
      </c>
      <c r="CK282" s="408"/>
      <c r="CL282" s="408"/>
      <c r="CM282" s="408"/>
      <c r="CN282" s="408"/>
      <c r="CO282" s="408">
        <v>-487.29850000000005</v>
      </c>
      <c r="CP282" s="408">
        <v>51.751179999999998</v>
      </c>
      <c r="CQ282" s="408"/>
      <c r="CR282" s="408">
        <v>61.299385072556788</v>
      </c>
      <c r="CS282" s="408">
        <v>1.453030806896237</v>
      </c>
      <c r="CT282" s="408">
        <v>4.5524675733161573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0.12745518005169387</v>
      </c>
      <c r="DA282" s="408">
        <v>0</v>
      </c>
      <c r="DB282" s="408">
        <v>0</v>
      </c>
      <c r="DC282" s="408">
        <v>51.75783092808706</v>
      </c>
      <c r="DD282" s="408">
        <v>0</v>
      </c>
      <c r="DE282" s="408">
        <v>0</v>
      </c>
      <c r="DF282" s="408">
        <v>0.14419146289242701</v>
      </c>
      <c r="DG282" s="408">
        <v>8.5918940303455003</v>
      </c>
      <c r="DH282" s="408">
        <v>0</v>
      </c>
      <c r="DI282" s="408">
        <v>-4.592747216041289</v>
      </c>
      <c r="DJ282" s="408"/>
      <c r="DK282" s="408">
        <v>0</v>
      </c>
      <c r="DL282" s="408">
        <v>0</v>
      </c>
      <c r="DM282" s="408">
        <v>0</v>
      </c>
      <c r="DN282" s="408">
        <v>0</v>
      </c>
      <c r="DO282" s="408">
        <v>-0.60240299793792396</v>
      </c>
      <c r="DP282" s="408">
        <v>-0.13233469505305528</v>
      </c>
      <c r="DQ282" s="408">
        <v>0</v>
      </c>
      <c r="DR282" s="408">
        <v>0</v>
      </c>
      <c r="DS282" s="408"/>
      <c r="DT282" s="408"/>
      <c r="DU282" s="408"/>
      <c r="DV282" s="408">
        <v>676.24449869593457</v>
      </c>
      <c r="DW282" s="408">
        <v>0</v>
      </c>
      <c r="DX282" s="408">
        <v>0</v>
      </c>
      <c r="DY282" s="408">
        <v>-487.2985000000001</v>
      </c>
      <c r="DZ282" s="234">
        <v>51.751179999999977</v>
      </c>
      <c r="EA282" s="408">
        <v>0</v>
      </c>
      <c r="EB282" s="408">
        <v>0</v>
      </c>
      <c r="EC282" s="408">
        <v>-496.8434721726311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0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242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281</v>
      </c>
      <c r="B283" s="408" t="s">
        <v>1036</v>
      </c>
      <c r="C283" s="408" t="s">
        <v>2231</v>
      </c>
      <c r="D283" s="408" t="s">
        <v>2241</v>
      </c>
      <c r="E283" s="408" t="s">
        <v>974</v>
      </c>
      <c r="F283" s="408" t="s">
        <v>2248</v>
      </c>
      <c r="G283" s="408" t="s">
        <v>2250</v>
      </c>
      <c r="H283" s="408" t="s">
        <v>1322</v>
      </c>
      <c r="I283" s="408" t="s">
        <v>1322</v>
      </c>
      <c r="J283" s="408" t="s">
        <v>2232</v>
      </c>
      <c r="K283" s="828">
        <v>44531</v>
      </c>
      <c r="L283" s="408">
        <v>0</v>
      </c>
      <c r="M283" s="408">
        <v>0</v>
      </c>
      <c r="N283" s="408">
        <v>97.798000000000002</v>
      </c>
      <c r="O283" s="408">
        <v>39.119199999999999</v>
      </c>
      <c r="P283" s="408">
        <v>97.798000000000002</v>
      </c>
      <c r="Q283" s="408">
        <v>39.119199999999999</v>
      </c>
      <c r="R283" s="408"/>
      <c r="S283" s="408">
        <v>571.87</v>
      </c>
      <c r="T283" s="408">
        <v>216.76</v>
      </c>
      <c r="U283" s="408"/>
      <c r="V283" s="408">
        <v>77126.436740000005</v>
      </c>
      <c r="W283" s="408">
        <v>77126.436740000005</v>
      </c>
      <c r="X283" s="408">
        <v>50269.149980000002</v>
      </c>
      <c r="Y283" s="408">
        <v>0</v>
      </c>
      <c r="Z283" s="408">
        <v>5927.5971256729554</v>
      </c>
      <c r="AA283" s="408">
        <v>0</v>
      </c>
      <c r="AB283" s="408">
        <v>0</v>
      </c>
      <c r="AC283" s="408">
        <v>0</v>
      </c>
      <c r="AD283" s="408">
        <v>80.381515984496289</v>
      </c>
      <c r="AE283" s="408">
        <v>41699.470040015767</v>
      </c>
      <c r="AF283" s="408">
        <v>20889.799577549955</v>
      </c>
      <c r="AG283" s="408">
        <v>308.78786841556791</v>
      </c>
      <c r="AH283" s="408">
        <v>0</v>
      </c>
      <c r="AI283" s="408">
        <v>0</v>
      </c>
      <c r="AJ283" s="408">
        <v>0</v>
      </c>
      <c r="AK283" s="408">
        <v>0</v>
      </c>
      <c r="AL283" s="408">
        <v>916.72262454080635</v>
      </c>
      <c r="AM283" s="408"/>
      <c r="AN283" s="408">
        <v>187.62248565285941</v>
      </c>
      <c r="AO283" s="408">
        <v>868.61227646675945</v>
      </c>
      <c r="AP283" s="408">
        <v>2721.4352260335036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58.196618880756184</v>
      </c>
      <c r="BE283" s="408">
        <v>0</v>
      </c>
      <c r="BF283" s="408">
        <v>0</v>
      </c>
      <c r="BG283" s="408">
        <v>3467.744707749383</v>
      </c>
      <c r="BH283" s="408">
        <v>0</v>
      </c>
      <c r="BI283" s="408">
        <v>0</v>
      </c>
      <c r="BJ283" s="408">
        <v>0</v>
      </c>
      <c r="BK283" s="408">
        <v>0</v>
      </c>
      <c r="BL283" s="408">
        <v>0</v>
      </c>
      <c r="BM283" s="408"/>
      <c r="BN283" s="408"/>
      <c r="BO283" s="408"/>
      <c r="BP283" s="408"/>
      <c r="BQ283" s="408"/>
      <c r="BR283" s="408"/>
      <c r="BS283" s="408">
        <v>32574.362243999996</v>
      </c>
      <c r="BT283" s="408"/>
      <c r="BU283" s="408"/>
      <c r="BV283" s="408">
        <v>24415.740904180093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17695.149600000001</v>
      </c>
      <c r="CJ283" s="408">
        <v>-9453.6051999999909</v>
      </c>
      <c r="CK283" s="408"/>
      <c r="CL283" s="408"/>
      <c r="CM283" s="408"/>
      <c r="CN283" s="408"/>
      <c r="CO283" s="408">
        <v>-30048.4355</v>
      </c>
      <c r="CP283" s="408">
        <v>3191.1487399999996</v>
      </c>
      <c r="CQ283" s="408"/>
      <c r="CR283" s="408">
        <v>3779.9226111764874</v>
      </c>
      <c r="CS283" s="408">
        <v>89.598680235080906</v>
      </c>
      <c r="CT283" s="408">
        <v>280.72019151019776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7.8593075023301111</v>
      </c>
      <c r="DA283" s="408">
        <v>0</v>
      </c>
      <c r="DB283" s="408">
        <v>0</v>
      </c>
      <c r="DC283" s="408">
        <v>3191.5588581999073</v>
      </c>
      <c r="DD283" s="408">
        <v>0</v>
      </c>
      <c r="DE283" s="408">
        <v>0</v>
      </c>
      <c r="DF283" s="408">
        <v>8.8913219974486637</v>
      </c>
      <c r="DG283" s="408">
        <v>529.8045727488834</v>
      </c>
      <c r="DH283" s="408">
        <v>0</v>
      </c>
      <c r="DI283" s="408">
        <v>-283.20396736091152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-37.146159137662721</v>
      </c>
      <c r="DP283" s="408">
        <v>-8.1601945187886145</v>
      </c>
      <c r="DQ283" s="408">
        <v>0</v>
      </c>
      <c r="DR283" s="408">
        <v>0</v>
      </c>
      <c r="DS283" s="408"/>
      <c r="DT283" s="408"/>
      <c r="DU283" s="408"/>
      <c r="DV283" s="408">
        <v>41699.470040015767</v>
      </c>
      <c r="DW283" s="408">
        <v>0</v>
      </c>
      <c r="DX283" s="408">
        <v>0</v>
      </c>
      <c r="DY283" s="408">
        <v>-30048.4355</v>
      </c>
      <c r="DZ283" s="234">
        <v>3191.1487400000005</v>
      </c>
      <c r="EA283" s="408">
        <v>0</v>
      </c>
      <c r="EB283" s="408">
        <v>0</v>
      </c>
      <c r="EC283" s="408">
        <v>-30637.010019885856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242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282</v>
      </c>
      <c r="B284" s="408" t="s">
        <v>2233</v>
      </c>
      <c r="C284" s="408" t="s">
        <v>2231</v>
      </c>
      <c r="D284" s="408" t="s">
        <v>2241</v>
      </c>
      <c r="E284" s="408" t="s">
        <v>974</v>
      </c>
      <c r="F284" s="408" t="s">
        <v>2248</v>
      </c>
      <c r="G284" s="408" t="s">
        <v>2250</v>
      </c>
      <c r="H284" s="408" t="s">
        <v>1322</v>
      </c>
      <c r="I284" s="408" t="s">
        <v>1322</v>
      </c>
      <c r="J284" s="408" t="s">
        <v>2232</v>
      </c>
      <c r="K284" s="828">
        <v>44531</v>
      </c>
      <c r="L284" s="408">
        <v>0</v>
      </c>
      <c r="M284" s="408">
        <v>0</v>
      </c>
      <c r="N284" s="408">
        <v>-2.8180000000000001</v>
      </c>
      <c r="O284" s="408">
        <v>-1.1272</v>
      </c>
      <c r="P284" s="408">
        <v>-2.8180000000000001</v>
      </c>
      <c r="Q284" s="408">
        <v>-1.1272</v>
      </c>
      <c r="R284" s="408"/>
      <c r="S284" s="408">
        <v>571.87</v>
      </c>
      <c r="T284" s="408">
        <v>216.76</v>
      </c>
      <c r="U284" s="408"/>
      <c r="V284" s="408">
        <v>-2222.35934</v>
      </c>
      <c r="W284" s="408">
        <v>-2222.35934</v>
      </c>
      <c r="X284" s="408">
        <v>-1448.48018</v>
      </c>
      <c r="Y284" s="408">
        <v>0</v>
      </c>
      <c r="Z284" s="408">
        <v>-170.80071883010277</v>
      </c>
      <c r="AA284" s="408">
        <v>0</v>
      </c>
      <c r="AB284" s="408">
        <v>0</v>
      </c>
      <c r="AC284" s="408">
        <v>0</v>
      </c>
      <c r="AD284" s="408">
        <v>-2.3161528052139158</v>
      </c>
      <c r="AE284" s="408">
        <v>-1201.5491786413263</v>
      </c>
      <c r="AF284" s="408">
        <v>-601.92902932100628</v>
      </c>
      <c r="AG284" s="408">
        <v>-8.8975665473227501</v>
      </c>
      <c r="AH284" s="408">
        <v>0</v>
      </c>
      <c r="AI284" s="408">
        <v>0</v>
      </c>
      <c r="AJ284" s="408">
        <v>0</v>
      </c>
      <c r="AK284" s="408">
        <v>0</v>
      </c>
      <c r="AL284" s="408">
        <v>-26.414899649849609</v>
      </c>
      <c r="AM284" s="408"/>
      <c r="AN284" s="408">
        <v>-5.4062472092451559</v>
      </c>
      <c r="AO284" s="408">
        <v>-25.028624256971803</v>
      </c>
      <c r="AP284" s="408">
        <v>-78.416782213975878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-1.6769061944617571</v>
      </c>
      <c r="BE284" s="408">
        <v>0</v>
      </c>
      <c r="BF284" s="408">
        <v>0</v>
      </c>
      <c r="BG284" s="408">
        <v>-99.921313180614746</v>
      </c>
      <c r="BH284" s="408">
        <v>0</v>
      </c>
      <c r="BI284" s="408">
        <v>0</v>
      </c>
      <c r="BJ284" s="408">
        <v>0</v>
      </c>
      <c r="BK284" s="408">
        <v>0</v>
      </c>
      <c r="BL284" s="408">
        <v>0</v>
      </c>
      <c r="BM284" s="408"/>
      <c r="BN284" s="408"/>
      <c r="BO284" s="408"/>
      <c r="BP284" s="408"/>
      <c r="BQ284" s="408"/>
      <c r="BR284" s="408"/>
      <c r="BS284" s="408">
        <v>-938.61380400000007</v>
      </c>
      <c r="BT284" s="408"/>
      <c r="BU284" s="408"/>
      <c r="BV284" s="408">
        <v>-703.52724869608278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-511.13289999999995</v>
      </c>
      <c r="CJ284" s="408">
        <v>271.11389999999994</v>
      </c>
      <c r="CK284" s="408"/>
      <c r="CL284" s="408"/>
      <c r="CM284" s="408"/>
      <c r="CN284" s="408"/>
      <c r="CO284" s="408">
        <v>865.83050000000003</v>
      </c>
      <c r="CP284" s="408">
        <v>-91.951339999999988</v>
      </c>
      <c r="CQ284" s="408"/>
      <c r="CR284" s="408">
        <v>-108.91656187545038</v>
      </c>
      <c r="CS284" s="408">
        <v>-2.5817407401220649</v>
      </c>
      <c r="CT284" s="408">
        <v>-8.0888106063082859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-0.22646197817507785</v>
      </c>
      <c r="DA284" s="408">
        <v>0</v>
      </c>
      <c r="DB284" s="408">
        <v>0</v>
      </c>
      <c r="DC284" s="408">
        <v>-91.963157348896061</v>
      </c>
      <c r="DD284" s="408">
        <v>0</v>
      </c>
      <c r="DE284" s="408">
        <v>0</v>
      </c>
      <c r="DF284" s="408">
        <v>-0.25619895487443856</v>
      </c>
      <c r="DG284" s="408">
        <v>-15.266051309907709</v>
      </c>
      <c r="DH284" s="408">
        <v>0</v>
      </c>
      <c r="DI284" s="408">
        <v>8.16037935359671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1.0703478235744441</v>
      </c>
      <c r="DP284" s="408">
        <v>0.23513188566173326</v>
      </c>
      <c r="DQ284" s="408">
        <v>0</v>
      </c>
      <c r="DR284" s="408">
        <v>0</v>
      </c>
      <c r="DS284" s="408"/>
      <c r="DT284" s="408"/>
      <c r="DU284" s="408"/>
      <c r="DV284" s="408">
        <v>-1201.5491786413263</v>
      </c>
      <c r="DW284" s="408">
        <v>0</v>
      </c>
      <c r="DX284" s="408">
        <v>0</v>
      </c>
      <c r="DY284" s="408">
        <v>865.83050000000014</v>
      </c>
      <c r="DZ284" s="234">
        <v>-91.951340000000073</v>
      </c>
      <c r="EA284" s="408">
        <v>0</v>
      </c>
      <c r="EB284" s="408">
        <v>0</v>
      </c>
      <c r="EC284" s="408">
        <v>882.78997766864711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242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283</v>
      </c>
      <c r="B285" s="408" t="s">
        <v>2234</v>
      </c>
      <c r="C285" s="408" t="s">
        <v>2231</v>
      </c>
      <c r="D285" s="408" t="s">
        <v>2241</v>
      </c>
      <c r="E285" s="408" t="s">
        <v>974</v>
      </c>
      <c r="F285" s="408" t="s">
        <v>2248</v>
      </c>
      <c r="G285" s="408" t="s">
        <v>2250</v>
      </c>
      <c r="H285" s="408" t="s">
        <v>1322</v>
      </c>
      <c r="I285" s="408" t="s">
        <v>1322</v>
      </c>
      <c r="J285" s="408" t="s">
        <v>2232</v>
      </c>
      <c r="K285" s="828">
        <v>44531</v>
      </c>
      <c r="L285" s="408">
        <v>0</v>
      </c>
      <c r="M285" s="408">
        <v>0</v>
      </c>
      <c r="N285" s="408">
        <v>0.10299999999999999</v>
      </c>
      <c r="O285" s="408">
        <v>4.1200000000000001E-2</v>
      </c>
      <c r="P285" s="408">
        <v>0.10299999999999999</v>
      </c>
      <c r="Q285" s="408">
        <v>4.1200000000000001E-2</v>
      </c>
      <c r="R285" s="408"/>
      <c r="S285" s="408">
        <v>571.87</v>
      </c>
      <c r="T285" s="408">
        <v>216.76</v>
      </c>
      <c r="U285" s="408"/>
      <c r="V285" s="408">
        <v>81.228889999999993</v>
      </c>
      <c r="W285" s="408">
        <v>81.228889999999993</v>
      </c>
      <c r="X285" s="408">
        <v>52.943029999999993</v>
      </c>
      <c r="Y285" s="408">
        <v>0</v>
      </c>
      <c r="Z285" s="408">
        <v>6.2428935555360479</v>
      </c>
      <c r="AA285" s="408">
        <v>0</v>
      </c>
      <c r="AB285" s="408">
        <v>0</v>
      </c>
      <c r="AC285" s="408">
        <v>0</v>
      </c>
      <c r="AD285" s="408">
        <v>8.4657111049337583E-2</v>
      </c>
      <c r="AE285" s="408">
        <v>43.91751788504493</v>
      </c>
      <c r="AF285" s="408">
        <v>22.000954584834506</v>
      </c>
      <c r="AG285" s="408">
        <v>0.32521268785459306</v>
      </c>
      <c r="AH285" s="408">
        <v>0</v>
      </c>
      <c r="AI285" s="408">
        <v>0</v>
      </c>
      <c r="AJ285" s="408">
        <v>0</v>
      </c>
      <c r="AK285" s="408">
        <v>0</v>
      </c>
      <c r="AL285" s="408">
        <v>0.96548426683268618</v>
      </c>
      <c r="AM285" s="408"/>
      <c r="AN285" s="408">
        <v>0.19760236428397837</v>
      </c>
      <c r="AO285" s="408">
        <v>0.91481486815759239</v>
      </c>
      <c r="AP285" s="408">
        <v>2.8661918268415594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6.1292171053783165E-2</v>
      </c>
      <c r="BE285" s="408">
        <v>0</v>
      </c>
      <c r="BF285" s="408">
        <v>0</v>
      </c>
      <c r="BG285" s="408">
        <v>3.6521984590501484</v>
      </c>
      <c r="BH285" s="408">
        <v>0</v>
      </c>
      <c r="BI285" s="408">
        <v>0</v>
      </c>
      <c r="BJ285" s="408">
        <v>0</v>
      </c>
      <c r="BK285" s="408">
        <v>0</v>
      </c>
      <c r="BL285" s="408">
        <v>0</v>
      </c>
      <c r="BM285" s="408"/>
      <c r="BN285" s="408"/>
      <c r="BO285" s="408"/>
      <c r="BP285" s="408"/>
      <c r="BQ285" s="408"/>
      <c r="BR285" s="408"/>
      <c r="BS285" s="408">
        <v>34.307033999999987</v>
      </c>
      <c r="BT285" s="408"/>
      <c r="BU285" s="408"/>
      <c r="BV285" s="408">
        <v>25.714445214938436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18.093200000000003</v>
      </c>
      <c r="CJ285" s="408">
        <v>-10.529600000000006</v>
      </c>
      <c r="CK285" s="408"/>
      <c r="CL285" s="408"/>
      <c r="CM285" s="408"/>
      <c r="CN285" s="408"/>
      <c r="CO285" s="408">
        <v>-31.646749999999997</v>
      </c>
      <c r="CP285" s="408">
        <v>3.3608899999999995</v>
      </c>
      <c r="CQ285" s="408"/>
      <c r="CR285" s="408">
        <v>3.980981502190005</v>
      </c>
      <c r="CS285" s="408">
        <v>9.4364547988847636E-2</v>
      </c>
      <c r="CT285" s="408">
        <v>0.29565205551801066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8.2773540638868132E-3</v>
      </c>
      <c r="DA285" s="408">
        <v>0</v>
      </c>
      <c r="DB285" s="408">
        <v>0</v>
      </c>
      <c r="DC285" s="408">
        <v>3.3613219329085524</v>
      </c>
      <c r="DD285" s="408">
        <v>0</v>
      </c>
      <c r="DE285" s="408">
        <v>0</v>
      </c>
      <c r="DF285" s="408">
        <v>9.3642627225220681E-3</v>
      </c>
      <c r="DG285" s="408">
        <v>0.55798555178158082</v>
      </c>
      <c r="DH285" s="408">
        <v>0</v>
      </c>
      <c r="DI285" s="408">
        <v>-0.2982679465651028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-3.9122010584871525E-2</v>
      </c>
      <c r="DP285" s="408">
        <v>-8.5942456434203729E-3</v>
      </c>
      <c r="DQ285" s="408">
        <v>0</v>
      </c>
      <c r="DR285" s="408">
        <v>0</v>
      </c>
      <c r="DS285" s="408"/>
      <c r="DT285" s="408"/>
      <c r="DU285" s="408"/>
      <c r="DV285" s="408">
        <v>43.91751788504493</v>
      </c>
      <c r="DW285" s="408">
        <v>0</v>
      </c>
      <c r="DX285" s="408">
        <v>0</v>
      </c>
      <c r="DY285" s="408">
        <v>-31.646749999999997</v>
      </c>
      <c r="DZ285" s="234">
        <v>3.3608900000000013</v>
      </c>
      <c r="EA285" s="408">
        <v>0</v>
      </c>
      <c r="EB285" s="408">
        <v>0</v>
      </c>
      <c r="EC285" s="408">
        <v>-32.266631547150695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0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242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284</v>
      </c>
      <c r="B286" s="408" t="s">
        <v>1036</v>
      </c>
      <c r="C286" s="408" t="s">
        <v>2239</v>
      </c>
      <c r="D286" s="408" t="s">
        <v>597</v>
      </c>
      <c r="E286" s="408" t="s">
        <v>974</v>
      </c>
      <c r="F286" s="408" t="s">
        <v>2248</v>
      </c>
      <c r="G286" s="408" t="s">
        <v>1322</v>
      </c>
      <c r="H286" s="408" t="s">
        <v>1322</v>
      </c>
      <c r="I286" s="408" t="s">
        <v>973</v>
      </c>
      <c r="J286" s="408" t="s">
        <v>2232</v>
      </c>
      <c r="K286" s="828">
        <v>44531</v>
      </c>
      <c r="L286" s="408">
        <v>0</v>
      </c>
      <c r="M286" s="408">
        <v>0</v>
      </c>
      <c r="N286" s="408">
        <v>1.823</v>
      </c>
      <c r="O286" s="408">
        <v>1.7500800000000001</v>
      </c>
      <c r="P286" s="408">
        <v>1.823</v>
      </c>
      <c r="Q286" s="408">
        <v>1.7500800000000001</v>
      </c>
      <c r="R286" s="408"/>
      <c r="S286" s="408">
        <v>2592.54</v>
      </c>
      <c r="T286" s="408">
        <v>216.76</v>
      </c>
      <c r="U286" s="408"/>
      <c r="V286" s="408">
        <v>5121.3539000000001</v>
      </c>
      <c r="W286" s="408">
        <v>5121.3539000000001</v>
      </c>
      <c r="X286" s="408">
        <v>2153.3275999999996</v>
      </c>
      <c r="Y286" s="408">
        <v>0</v>
      </c>
      <c r="Z286" s="408">
        <v>96.129044738016788</v>
      </c>
      <c r="AA286" s="408">
        <v>0</v>
      </c>
      <c r="AB286" s="408">
        <v>0</v>
      </c>
      <c r="AC286" s="408">
        <v>0</v>
      </c>
      <c r="AD286" s="408">
        <v>9.2182459824826122</v>
      </c>
      <c r="AE286" s="408">
        <v>4176.2952125464117</v>
      </c>
      <c r="AF286" s="408">
        <v>389.39553600148844</v>
      </c>
      <c r="AG286" s="408">
        <v>5.7559488345526519</v>
      </c>
      <c r="AH286" s="408">
        <v>0</v>
      </c>
      <c r="AI286" s="408">
        <v>0</v>
      </c>
      <c r="AJ286" s="408">
        <v>0</v>
      </c>
      <c r="AK286" s="408">
        <v>0</v>
      </c>
      <c r="AL286" s="408">
        <v>17.088134159572689</v>
      </c>
      <c r="AM286" s="408"/>
      <c r="AN286" s="408">
        <v>2.5033840642221432</v>
      </c>
      <c r="AO286" s="408">
        <v>82.244410818937837</v>
      </c>
      <c r="AP286" s="408">
        <v>312.09896492451924</v>
      </c>
      <c r="AQ286" s="408">
        <v>0</v>
      </c>
      <c r="AR286" s="408">
        <v>0</v>
      </c>
      <c r="AS286" s="408">
        <v>0</v>
      </c>
      <c r="AT286" s="408">
        <v>0</v>
      </c>
      <c r="AU286" s="408">
        <v>0</v>
      </c>
      <c r="AV286" s="408">
        <v>0</v>
      </c>
      <c r="AW286" s="408">
        <v>0</v>
      </c>
      <c r="AX286" s="408">
        <v>0</v>
      </c>
      <c r="AY286" s="408">
        <v>0</v>
      </c>
      <c r="AZ286" s="408">
        <v>0</v>
      </c>
      <c r="BA286" s="408"/>
      <c r="BB286" s="408">
        <v>0</v>
      </c>
      <c r="BC286" s="408">
        <v>0</v>
      </c>
      <c r="BD286" s="408">
        <v>0.83365552728338477</v>
      </c>
      <c r="BE286" s="408">
        <v>0</v>
      </c>
      <c r="BF286" s="408">
        <v>0</v>
      </c>
      <c r="BG286" s="408">
        <v>29.780813895721263</v>
      </c>
      <c r="BH286" s="408">
        <v>0</v>
      </c>
      <c r="BI286" s="408">
        <v>0</v>
      </c>
      <c r="BJ286" s="408">
        <v>0</v>
      </c>
      <c r="BK286" s="408">
        <v>0</v>
      </c>
      <c r="BL286" s="408">
        <v>0</v>
      </c>
      <c r="BM286" s="408"/>
      <c r="BN286" s="408"/>
      <c r="BO286" s="408"/>
      <c r="BP286" s="408"/>
      <c r="BQ286" s="408"/>
      <c r="BR286" s="408">
        <v>86.133103999999847</v>
      </c>
      <c r="BS286" s="408"/>
      <c r="BT286" s="408"/>
      <c r="BU286" s="408"/>
      <c r="BV286" s="408">
        <v>420.0100054244931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2067.1</v>
      </c>
      <c r="CJ286" s="408">
        <v>-2849.4297440000005</v>
      </c>
      <c r="CK286" s="408"/>
      <c r="CL286" s="408"/>
      <c r="CM286" s="408"/>
      <c r="CN286" s="408"/>
      <c r="CO286" s="408">
        <v>-3027.5107899999998</v>
      </c>
      <c r="CP286" s="408">
        <v>59.484489999999987</v>
      </c>
      <c r="CQ286" s="408"/>
      <c r="CR286" s="408">
        <v>100.35379410341909</v>
      </c>
      <c r="CS286" s="408">
        <v>8.4836363308878191</v>
      </c>
      <c r="CT286" s="408">
        <v>32.193483925552471</v>
      </c>
      <c r="CU286" s="408">
        <v>0</v>
      </c>
      <c r="CV286" s="408">
        <v>0</v>
      </c>
      <c r="CW286" s="408">
        <v>0</v>
      </c>
      <c r="CX286" s="408">
        <v>0</v>
      </c>
      <c r="CY286" s="408">
        <v>0</v>
      </c>
      <c r="CZ286" s="408">
        <v>0.90131454876297923</v>
      </c>
      <c r="DA286" s="408">
        <v>0</v>
      </c>
      <c r="DB286" s="408">
        <v>0</v>
      </c>
      <c r="DC286" s="408">
        <v>59.492134793129026</v>
      </c>
      <c r="DD286" s="408">
        <v>0</v>
      </c>
      <c r="DE286" s="408">
        <v>0</v>
      </c>
      <c r="DF286" s="408">
        <v>0.12736650119171256</v>
      </c>
      <c r="DG286" s="408">
        <v>4.5499345285936066</v>
      </c>
      <c r="DH286" s="408">
        <v>0</v>
      </c>
      <c r="DI286" s="408">
        <v>-4.5927761740942543</v>
      </c>
      <c r="DJ286" s="408"/>
      <c r="DK286" s="408">
        <v>0</v>
      </c>
      <c r="DL286" s="408">
        <v>0</v>
      </c>
      <c r="DM286" s="408">
        <v>0</v>
      </c>
      <c r="DN286" s="408">
        <v>0</v>
      </c>
      <c r="DO286" s="408">
        <v>-0.69242160481767812</v>
      </c>
      <c r="DP286" s="408">
        <v>-0.10887874578681656</v>
      </c>
      <c r="DQ286" s="408">
        <v>0</v>
      </c>
      <c r="DR286" s="408">
        <v>0</v>
      </c>
      <c r="DS286" s="408"/>
      <c r="DT286" s="408"/>
      <c r="DU286" s="408"/>
      <c r="DV286" s="408">
        <v>4176.2952125464117</v>
      </c>
      <c r="DW286" s="408">
        <v>0</v>
      </c>
      <c r="DX286" s="408">
        <v>0</v>
      </c>
      <c r="DY286" s="408">
        <v>-3027.5107900000003</v>
      </c>
      <c r="DZ286" s="234">
        <v>59.484489999999994</v>
      </c>
      <c r="EA286" s="408">
        <v>0</v>
      </c>
      <c r="EB286" s="408">
        <v>0</v>
      </c>
      <c r="EC286" s="408">
        <v>-3068.3650931295488</v>
      </c>
      <c r="ED286" s="408">
        <v>0</v>
      </c>
      <c r="EE286" s="408">
        <v>0</v>
      </c>
      <c r="EF286" s="408">
        <v>0</v>
      </c>
      <c r="EG286" s="408">
        <v>0</v>
      </c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>
        <v>0</v>
      </c>
      <c r="EN286" s="408">
        <v>0</v>
      </c>
      <c r="EO286" s="408">
        <v>0</v>
      </c>
      <c r="EP286" s="408">
        <v>0</v>
      </c>
      <c r="EQ286" s="408">
        <v>0</v>
      </c>
      <c r="ER286" s="408">
        <v>0</v>
      </c>
      <c r="ES286" s="408">
        <v>0</v>
      </c>
      <c r="ET286" s="408">
        <v>0</v>
      </c>
      <c r="EU286" s="408">
        <v>0</v>
      </c>
      <c r="EV286" s="408">
        <v>242</v>
      </c>
      <c r="EW286" s="408">
        <v>0</v>
      </c>
      <c r="EX286" s="408">
        <v>0</v>
      </c>
      <c r="EY286" s="408">
        <v>0</v>
      </c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285</v>
      </c>
      <c r="B287" s="408" t="s">
        <v>1036</v>
      </c>
      <c r="C287" s="408" t="s">
        <v>2239</v>
      </c>
      <c r="D287" s="408" t="s">
        <v>597</v>
      </c>
      <c r="E287" s="408" t="s">
        <v>974</v>
      </c>
      <c r="F287" s="408" t="s">
        <v>2248</v>
      </c>
      <c r="G287" s="408" t="s">
        <v>1322</v>
      </c>
      <c r="H287" s="408" t="s">
        <v>1322</v>
      </c>
      <c r="I287" s="408" t="s">
        <v>2240</v>
      </c>
      <c r="J287" s="408" t="s">
        <v>2232</v>
      </c>
      <c r="K287" s="828">
        <v>44531</v>
      </c>
      <c r="L287" s="408">
        <v>0</v>
      </c>
      <c r="M287" s="408">
        <v>0</v>
      </c>
      <c r="N287" s="408">
        <v>259.827</v>
      </c>
      <c r="O287" s="408">
        <v>249.43392</v>
      </c>
      <c r="P287" s="408">
        <v>259.827</v>
      </c>
      <c r="Q287" s="408">
        <v>249.43392</v>
      </c>
      <c r="R287" s="408"/>
      <c r="S287" s="408">
        <v>80.27</v>
      </c>
      <c r="T287" s="408">
        <v>216.76</v>
      </c>
      <c r="U287" s="408"/>
      <c r="V287" s="408">
        <v>77176.413809999998</v>
      </c>
      <c r="W287" s="408">
        <v>77176.413809999998</v>
      </c>
      <c r="X287" s="408">
        <v>85553.236290000001</v>
      </c>
      <c r="Y287" s="408">
        <v>0</v>
      </c>
      <c r="Z287" s="408">
        <v>13700.999071390394</v>
      </c>
      <c r="AA287" s="408">
        <v>0</v>
      </c>
      <c r="AB287" s="408">
        <v>0</v>
      </c>
      <c r="AC287" s="408">
        <v>0</v>
      </c>
      <c r="AD287" s="408">
        <v>0</v>
      </c>
      <c r="AE287" s="408">
        <v>0</v>
      </c>
      <c r="AF287" s="408">
        <v>55499.43715450287</v>
      </c>
      <c r="AG287" s="408">
        <v>820.37900045820732</v>
      </c>
      <c r="AH287" s="408">
        <v>0</v>
      </c>
      <c r="AI287" s="408">
        <v>0</v>
      </c>
      <c r="AJ287" s="408">
        <v>0</v>
      </c>
      <c r="AK287" s="408">
        <v>0</v>
      </c>
      <c r="AL287" s="408">
        <v>2435.5231126052076</v>
      </c>
      <c r="AM287" s="408"/>
      <c r="AN287" s="408">
        <v>356.80020365038223</v>
      </c>
      <c r="AO287" s="408">
        <v>0</v>
      </c>
      <c r="AP287" s="408">
        <v>0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118.81854892345585</v>
      </c>
      <c r="BE287" s="408">
        <v>0</v>
      </c>
      <c r="BF287" s="408">
        <v>0</v>
      </c>
      <c r="BG287" s="408">
        <v>4244.5746199032192</v>
      </c>
      <c r="BH287" s="408">
        <v>0</v>
      </c>
      <c r="BI287" s="408">
        <v>0</v>
      </c>
      <c r="BJ287" s="408">
        <v>0</v>
      </c>
      <c r="BK287" s="408">
        <v>0</v>
      </c>
      <c r="BL287" s="408">
        <v>0</v>
      </c>
      <c r="BM287" s="408"/>
      <c r="BN287" s="408"/>
      <c r="BO287" s="408"/>
      <c r="BP287" s="408"/>
      <c r="BQ287" s="408"/>
      <c r="BR287" s="408">
        <v>3422.1294515999989</v>
      </c>
      <c r="BS287" s="408"/>
      <c r="BT287" s="408"/>
      <c r="BU287" s="408"/>
      <c r="BV287" s="408">
        <v>59862.830323329545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82129.816099999996</v>
      </c>
      <c r="CJ287" s="408">
        <v>8040.4288424000115</v>
      </c>
      <c r="CK287" s="408"/>
      <c r="CL287" s="408"/>
      <c r="CM287" s="408"/>
      <c r="CN287" s="408"/>
      <c r="CO287" s="408">
        <v>-101.33253000000015</v>
      </c>
      <c r="CP287" s="408">
        <v>8478.1550099999986</v>
      </c>
      <c r="CQ287" s="408"/>
      <c r="CR287" s="408">
        <v>8377.0846299382538</v>
      </c>
      <c r="CS287" s="408">
        <v>0</v>
      </c>
      <c r="CT287" s="408">
        <v>0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0</v>
      </c>
      <c r="DA287" s="408">
        <v>0</v>
      </c>
      <c r="DB287" s="408">
        <v>0</v>
      </c>
      <c r="DC287" s="408">
        <v>8479.2446006002938</v>
      </c>
      <c r="DD287" s="408">
        <v>0</v>
      </c>
      <c r="DE287" s="408">
        <v>0</v>
      </c>
      <c r="DF287" s="408">
        <v>18.153184808085072</v>
      </c>
      <c r="DG287" s="408">
        <v>648.48921489900749</v>
      </c>
      <c r="DH287" s="408">
        <v>0</v>
      </c>
      <c r="DI287" s="408">
        <v>-654.59531266395243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-98.688880041120683</v>
      </c>
      <c r="DP287" s="408">
        <v>-15.518177664043435</v>
      </c>
      <c r="DQ287" s="408">
        <v>0</v>
      </c>
      <c r="DR287" s="408">
        <v>0</v>
      </c>
      <c r="DS287" s="408"/>
      <c r="DT287" s="408"/>
      <c r="DU287" s="408"/>
      <c r="DV287" s="408">
        <v>0</v>
      </c>
      <c r="DW287" s="408">
        <v>0</v>
      </c>
      <c r="DX287" s="408">
        <v>0</v>
      </c>
      <c r="DY287" s="408">
        <v>-101.33252999999968</v>
      </c>
      <c r="DZ287" s="234">
        <v>8478.1550099999949</v>
      </c>
      <c r="EA287" s="408">
        <v>0</v>
      </c>
      <c r="EB287" s="408">
        <v>0</v>
      </c>
      <c r="EC287" s="408">
        <v>0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242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286</v>
      </c>
      <c r="B288" s="408" t="s">
        <v>1036</v>
      </c>
      <c r="C288" s="408" t="s">
        <v>2239</v>
      </c>
      <c r="D288" s="408" t="s">
        <v>597</v>
      </c>
      <c r="E288" s="408" t="s">
        <v>974</v>
      </c>
      <c r="F288" s="408" t="s">
        <v>2248</v>
      </c>
      <c r="G288" s="408" t="s">
        <v>1322</v>
      </c>
      <c r="H288" s="408" t="s">
        <v>1322</v>
      </c>
      <c r="I288" s="408" t="s">
        <v>1322</v>
      </c>
      <c r="J288" s="408" t="s">
        <v>2232</v>
      </c>
      <c r="K288" s="828">
        <v>44531</v>
      </c>
      <c r="L288" s="408">
        <v>2376</v>
      </c>
      <c r="M288" s="408">
        <v>2280.96</v>
      </c>
      <c r="N288" s="408">
        <v>0</v>
      </c>
      <c r="O288" s="408">
        <v>0</v>
      </c>
      <c r="P288" s="408">
        <v>0</v>
      </c>
      <c r="Q288" s="408">
        <v>0</v>
      </c>
      <c r="R288" s="408">
        <v>32.17</v>
      </c>
      <c r="S288" s="408"/>
      <c r="T288" s="408"/>
      <c r="U288" s="408">
        <v>76435.92</v>
      </c>
      <c r="V288" s="408"/>
      <c r="W288" s="408">
        <v>76435.92</v>
      </c>
      <c r="X288" s="408">
        <v>30721.68</v>
      </c>
      <c r="Y288" s="408">
        <v>0</v>
      </c>
      <c r="Z288" s="408">
        <v>0</v>
      </c>
      <c r="AA288" s="408">
        <v>0</v>
      </c>
      <c r="AB288" s="408">
        <v>0</v>
      </c>
      <c r="AC288" s="408">
        <v>0</v>
      </c>
      <c r="AD288" s="408">
        <v>237.40095091191037</v>
      </c>
      <c r="AE288" s="408">
        <v>63977.923378099367</v>
      </c>
      <c r="AF288" s="408"/>
      <c r="AG288" s="408"/>
      <c r="AH288" s="408"/>
      <c r="AI288" s="408">
        <v>0</v>
      </c>
      <c r="AJ288" s="408">
        <v>0</v>
      </c>
      <c r="AK288" s="408">
        <v>0</v>
      </c>
      <c r="AL288" s="408">
        <v>0</v>
      </c>
      <c r="AM288" s="408"/>
      <c r="AN288" s="408">
        <v>0</v>
      </c>
      <c r="AO288" s="408">
        <v>4192.2645488390226</v>
      </c>
      <c r="AP288" s="408">
        <v>8037.6876330989362</v>
      </c>
      <c r="AQ288" s="408">
        <v>0</v>
      </c>
      <c r="AR288" s="408">
        <v>0</v>
      </c>
      <c r="AS288" s="408"/>
      <c r="AT288" s="408"/>
      <c r="AU288" s="408">
        <v>0</v>
      </c>
      <c r="AV288" s="408">
        <v>0</v>
      </c>
      <c r="AW288" s="408">
        <v>0</v>
      </c>
      <c r="AX288" s="408"/>
      <c r="AY288" s="408"/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/>
      <c r="BG288" s="408">
        <v>0</v>
      </c>
      <c r="BH288" s="408">
        <v>0</v>
      </c>
      <c r="BI288" s="408">
        <v>865.92</v>
      </c>
      <c r="BJ288" s="408">
        <v>3973.72</v>
      </c>
      <c r="BK288" s="408">
        <v>64.959999999999994</v>
      </c>
      <c r="BL288" s="408">
        <v>12</v>
      </c>
      <c r="BM288" s="408"/>
      <c r="BN288" s="408"/>
      <c r="BO288" s="408"/>
      <c r="BP288" s="408"/>
      <c r="BQ288" s="408"/>
      <c r="BR288" s="408">
        <v>1228.8671999999995</v>
      </c>
      <c r="BS288" s="408"/>
      <c r="BT288" s="408"/>
      <c r="BU288" s="408"/>
      <c r="BV288" s="408">
        <v>0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29492.8128</v>
      </c>
      <c r="CJ288" s="408">
        <v>-43885.700399999987</v>
      </c>
      <c r="CK288" s="408"/>
      <c r="CL288" s="408"/>
      <c r="CM288" s="408"/>
      <c r="CN288" s="408"/>
      <c r="CO288" s="408">
        <v>-45714.240000000005</v>
      </c>
      <c r="CP288" s="408">
        <v>0</v>
      </c>
      <c r="CQ288" s="408"/>
      <c r="CR288" s="408">
        <v>1284.7501002439312</v>
      </c>
      <c r="CS288" s="408">
        <v>432.43847795959209</v>
      </c>
      <c r="CT288" s="408">
        <v>829.0997302005635</v>
      </c>
      <c r="CU288" s="408">
        <v>0</v>
      </c>
      <c r="CV288" s="408">
        <v>0</v>
      </c>
      <c r="CW288" s="408"/>
      <c r="CX288" s="408"/>
      <c r="CY288" s="408"/>
      <c r="CZ288" s="408">
        <v>23.21189208377487</v>
      </c>
      <c r="DA288" s="408">
        <v>0</v>
      </c>
      <c r="DB288" s="408">
        <v>0</v>
      </c>
      <c r="DC288" s="408"/>
      <c r="DD288" s="408"/>
      <c r="DE288" s="408">
        <v>0</v>
      </c>
      <c r="DF288" s="408">
        <v>0</v>
      </c>
      <c r="DG288" s="408">
        <v>0</v>
      </c>
      <c r="DH288" s="408">
        <v>0</v>
      </c>
      <c r="DI288" s="408">
        <v>0</v>
      </c>
      <c r="DJ288" s="408"/>
      <c r="DK288" s="408">
        <v>0</v>
      </c>
      <c r="DL288" s="408">
        <v>0</v>
      </c>
      <c r="DM288" s="408"/>
      <c r="DN288" s="408">
        <v>0</v>
      </c>
      <c r="DO288" s="408">
        <v>0</v>
      </c>
      <c r="DP288" s="408">
        <v>0</v>
      </c>
      <c r="DQ288" s="408">
        <v>0</v>
      </c>
      <c r="DR288" s="408">
        <v>0</v>
      </c>
      <c r="DS288" s="408"/>
      <c r="DT288" s="408"/>
      <c r="DU288" s="408">
        <v>63977.923378099367</v>
      </c>
      <c r="DV288" s="408"/>
      <c r="DW288" s="408">
        <v>0</v>
      </c>
      <c r="DX288" s="408">
        <v>0</v>
      </c>
      <c r="DY288" s="408">
        <v>-45714.239999999998</v>
      </c>
      <c r="DZ288" s="234"/>
      <c r="EA288" s="408">
        <v>0</v>
      </c>
      <c r="EB288" s="408"/>
      <c r="EC288" s="408">
        <v>-47005.208404456193</v>
      </c>
      <c r="ED288" s="408"/>
      <c r="EE288" s="408">
        <v>0</v>
      </c>
      <c r="EF288" s="408">
        <v>0</v>
      </c>
      <c r="EG288" s="408"/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/>
      <c r="EN288" s="408"/>
      <c r="EO288" s="408">
        <v>0</v>
      </c>
      <c r="EP288" s="408">
        <v>0</v>
      </c>
      <c r="EQ288" s="408"/>
      <c r="ER288" s="408">
        <v>0</v>
      </c>
      <c r="ES288" s="408"/>
      <c r="ET288" s="408">
        <v>0</v>
      </c>
      <c r="EU288" s="408"/>
      <c r="EV288" s="408">
        <v>242</v>
      </c>
      <c r="EW288" s="408"/>
      <c r="EX288" s="408"/>
      <c r="EY288" s="408"/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287</v>
      </c>
      <c r="B289" s="408" t="s">
        <v>1036</v>
      </c>
      <c r="C289" s="408" t="s">
        <v>2239</v>
      </c>
      <c r="D289" s="408" t="s">
        <v>597</v>
      </c>
      <c r="E289" s="408" t="s">
        <v>974</v>
      </c>
      <c r="F289" s="408" t="s">
        <v>2248</v>
      </c>
      <c r="G289" s="408" t="s">
        <v>2250</v>
      </c>
      <c r="H289" s="408" t="s">
        <v>1322</v>
      </c>
      <c r="I289" s="408" t="s">
        <v>2240</v>
      </c>
      <c r="J289" s="408" t="s">
        <v>2232</v>
      </c>
      <c r="K289" s="828">
        <v>44531</v>
      </c>
      <c r="L289" s="408">
        <v>0</v>
      </c>
      <c r="M289" s="408">
        <v>0</v>
      </c>
      <c r="N289" s="408">
        <v>339.60599999999999</v>
      </c>
      <c r="O289" s="408">
        <v>101.8818</v>
      </c>
      <c r="P289" s="408">
        <v>339.60599999999999</v>
      </c>
      <c r="Q289" s="408">
        <v>101.8818</v>
      </c>
      <c r="R289" s="408"/>
      <c r="S289" s="408">
        <v>80.27</v>
      </c>
      <c r="T289" s="408">
        <v>216.76</v>
      </c>
      <c r="U289" s="408"/>
      <c r="V289" s="408">
        <v>100873.17018</v>
      </c>
      <c r="W289" s="408">
        <v>100873.17018</v>
      </c>
      <c r="X289" s="408">
        <v>111822.06761999999</v>
      </c>
      <c r="Y289" s="408">
        <v>0</v>
      </c>
      <c r="Z289" s="408">
        <v>17907.844414316474</v>
      </c>
      <c r="AA289" s="408">
        <v>0</v>
      </c>
      <c r="AB289" s="408">
        <v>0</v>
      </c>
      <c r="AC289" s="408">
        <v>0</v>
      </c>
      <c r="AD289" s="408">
        <v>0</v>
      </c>
      <c r="AE289" s="408">
        <v>0</v>
      </c>
      <c r="AF289" s="408">
        <v>72540.351288711725</v>
      </c>
      <c r="AG289" s="408">
        <v>1072.2735929276403</v>
      </c>
      <c r="AH289" s="408">
        <v>0</v>
      </c>
      <c r="AI289" s="408">
        <v>0</v>
      </c>
      <c r="AJ289" s="408">
        <v>0</v>
      </c>
      <c r="AK289" s="408">
        <v>0</v>
      </c>
      <c r="AL289" s="408">
        <v>3183.3422322522451</v>
      </c>
      <c r="AM289" s="408"/>
      <c r="AN289" s="408">
        <v>466.35449726507142</v>
      </c>
      <c r="AO289" s="408">
        <v>0</v>
      </c>
      <c r="AP289" s="408">
        <v>0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155.3013817874938</v>
      </c>
      <c r="BE289" s="408">
        <v>0</v>
      </c>
      <c r="BF289" s="408">
        <v>0</v>
      </c>
      <c r="BG289" s="408">
        <v>5547.8568754088401</v>
      </c>
      <c r="BH289" s="408">
        <v>0</v>
      </c>
      <c r="BI289" s="408">
        <v>0</v>
      </c>
      <c r="BJ289" s="408">
        <v>0</v>
      </c>
      <c r="BK289" s="408">
        <v>0</v>
      </c>
      <c r="BL289" s="408">
        <v>0</v>
      </c>
      <c r="BM289" s="408"/>
      <c r="BN289" s="408"/>
      <c r="BO289" s="408"/>
      <c r="BP289" s="408"/>
      <c r="BQ289" s="408"/>
      <c r="BR289" s="408"/>
      <c r="BS289" s="408">
        <v>78275.447333999997</v>
      </c>
      <c r="BT289" s="408"/>
      <c r="BU289" s="408"/>
      <c r="BV289" s="408">
        <v>78243.509545908048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33546.027599999994</v>
      </c>
      <c r="CJ289" s="408">
        <v>3284.0465459999978</v>
      </c>
      <c r="CK289" s="408"/>
      <c r="CL289" s="408"/>
      <c r="CM289" s="408"/>
      <c r="CN289" s="408"/>
      <c r="CO289" s="408">
        <v>-132.44634000000019</v>
      </c>
      <c r="CP289" s="408">
        <v>11081.343779999997</v>
      </c>
      <c r="CQ289" s="408"/>
      <c r="CR289" s="408">
        <v>10949.240082188611</v>
      </c>
      <c r="CS289" s="408">
        <v>0</v>
      </c>
      <c r="CT289" s="408">
        <v>0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0</v>
      </c>
      <c r="DA289" s="408">
        <v>0</v>
      </c>
      <c r="DB289" s="408">
        <v>0</v>
      </c>
      <c r="DC289" s="408">
        <v>11082.767925702341</v>
      </c>
      <c r="DD289" s="408">
        <v>0</v>
      </c>
      <c r="DE289" s="408">
        <v>0</v>
      </c>
      <c r="DF289" s="408">
        <v>23.727058696496272</v>
      </c>
      <c r="DG289" s="408">
        <v>847.60563111221018</v>
      </c>
      <c r="DH289" s="408">
        <v>0</v>
      </c>
      <c r="DI289" s="408">
        <v>-855.58658550710607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-128.99096627850349</v>
      </c>
      <c r="DP289" s="408">
        <v>-20.282981536850059</v>
      </c>
      <c r="DQ289" s="408">
        <v>0</v>
      </c>
      <c r="DR289" s="408">
        <v>0</v>
      </c>
      <c r="DS289" s="408"/>
      <c r="DT289" s="408"/>
      <c r="DU289" s="408"/>
      <c r="DV289" s="408">
        <v>0</v>
      </c>
      <c r="DW289" s="408">
        <v>0</v>
      </c>
      <c r="DX289" s="408">
        <v>0</v>
      </c>
      <c r="DY289" s="408">
        <v>-132.4463399999986</v>
      </c>
      <c r="DZ289" s="234">
        <v>11081.343779999996</v>
      </c>
      <c r="EA289" s="408">
        <v>0</v>
      </c>
      <c r="EB289" s="408">
        <v>0</v>
      </c>
      <c r="EC289" s="408">
        <v>0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242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288</v>
      </c>
      <c r="B290" s="408" t="s">
        <v>1036</v>
      </c>
      <c r="C290" s="408" t="s">
        <v>2231</v>
      </c>
      <c r="D290" s="408" t="s">
        <v>2241</v>
      </c>
      <c r="E290" s="408" t="s">
        <v>974</v>
      </c>
      <c r="F290" s="408" t="s">
        <v>2251</v>
      </c>
      <c r="G290" s="408" t="s">
        <v>2249</v>
      </c>
      <c r="H290" s="408" t="s">
        <v>1322</v>
      </c>
      <c r="I290" s="408" t="s">
        <v>1322</v>
      </c>
      <c r="J290" s="408" t="s">
        <v>2232</v>
      </c>
      <c r="K290" s="828">
        <v>44531</v>
      </c>
      <c r="L290" s="408">
        <v>0</v>
      </c>
      <c r="M290" s="408">
        <v>0</v>
      </c>
      <c r="N290" s="408">
        <v>0</v>
      </c>
      <c r="O290" s="408">
        <v>0</v>
      </c>
      <c r="P290" s="408">
        <v>0</v>
      </c>
      <c r="Q290" s="408">
        <v>0</v>
      </c>
      <c r="R290" s="408"/>
      <c r="S290" s="408"/>
      <c r="T290" s="408"/>
      <c r="U290" s="408"/>
      <c r="V290" s="408"/>
      <c r="W290" s="408"/>
      <c r="X290" s="408"/>
      <c r="Y290" s="408"/>
      <c r="Z290" s="408"/>
      <c r="AA290" s="408">
        <v>0</v>
      </c>
      <c r="AB290" s="408"/>
      <c r="AC290" s="408"/>
      <c r="AD290" s="408"/>
      <c r="AE290" s="408"/>
      <c r="AF290" s="408"/>
      <c r="AG290" s="408"/>
      <c r="AH290" s="408"/>
      <c r="AI290" s="408"/>
      <c r="AJ290" s="408"/>
      <c r="AK290" s="408"/>
      <c r="AL290" s="408"/>
      <c r="AM290" s="408"/>
      <c r="AN290" s="408"/>
      <c r="AO290" s="408"/>
      <c r="AP290" s="408"/>
      <c r="AQ290" s="408"/>
      <c r="AR290" s="408"/>
      <c r="AS290" s="408"/>
      <c r="AT290" s="408"/>
      <c r="AU290" s="408"/>
      <c r="AV290" s="408"/>
      <c r="AW290" s="408"/>
      <c r="AX290" s="408"/>
      <c r="AY290" s="408"/>
      <c r="AZ290" s="408">
        <v>0</v>
      </c>
      <c r="BA290" s="408"/>
      <c r="BB290" s="408"/>
      <c r="BC290" s="408"/>
      <c r="BD290" s="408"/>
      <c r="BE290" s="408"/>
      <c r="BF290" s="408"/>
      <c r="BG290" s="408"/>
      <c r="BH290" s="408"/>
      <c r="BI290" s="408">
        <v>13.27</v>
      </c>
      <c r="BJ290" s="408">
        <v>61.14</v>
      </c>
      <c r="BK290" s="408">
        <v>59.15</v>
      </c>
      <c r="BL290" s="408">
        <v>9</v>
      </c>
      <c r="BM290" s="408"/>
      <c r="BN290" s="408"/>
      <c r="BO290" s="408"/>
      <c r="BP290" s="408"/>
      <c r="BQ290" s="408"/>
      <c r="BR290" s="408"/>
      <c r="BS290" s="408"/>
      <c r="BT290" s="408"/>
      <c r="BU290" s="408"/>
      <c r="BV290" s="408"/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/>
      <c r="CJ290" s="408">
        <v>-0.03</v>
      </c>
      <c r="CK290" s="408"/>
      <c r="CL290" s="408"/>
      <c r="CM290" s="408"/>
      <c r="CN290" s="408"/>
      <c r="CO290" s="408">
        <v>0</v>
      </c>
      <c r="CP290" s="408">
        <v>0</v>
      </c>
      <c r="CQ290" s="408"/>
      <c r="CR290" s="408"/>
      <c r="CS290" s="408"/>
      <c r="CT290" s="408"/>
      <c r="CU290" s="408"/>
      <c r="CV290" s="408"/>
      <c r="CW290" s="408"/>
      <c r="CX290" s="408"/>
      <c r="CY290" s="408"/>
      <c r="CZ290" s="408"/>
      <c r="DA290" s="408"/>
      <c r="DB290" s="408"/>
      <c r="DC290" s="408"/>
      <c r="DD290" s="408"/>
      <c r="DE290" s="408"/>
      <c r="DF290" s="408"/>
      <c r="DG290" s="408"/>
      <c r="DH290" s="408"/>
      <c r="DI290" s="408"/>
      <c r="DJ290" s="408"/>
      <c r="DK290" s="408">
        <v>0</v>
      </c>
      <c r="DL290" s="408"/>
      <c r="DM290" s="408"/>
      <c r="DN290" s="408"/>
      <c r="DO290" s="408"/>
      <c r="DP290" s="408"/>
      <c r="DQ290" s="408"/>
      <c r="DR290" s="408"/>
      <c r="DS290" s="408"/>
      <c r="DT290" s="408"/>
      <c r="DU290" s="408"/>
      <c r="DV290" s="408"/>
      <c r="DW290" s="408"/>
      <c r="DX290" s="408"/>
      <c r="DY290" s="408"/>
      <c r="DZ290" s="234"/>
      <c r="EA290" s="408"/>
      <c r="EB290" s="408"/>
      <c r="EC290" s="408"/>
      <c r="ED290" s="408"/>
      <c r="EE290" s="408"/>
      <c r="EF290" s="408"/>
      <c r="EG290" s="408"/>
      <c r="EH290" s="408"/>
      <c r="EI290" s="408"/>
      <c r="EJ290" s="408"/>
      <c r="EK290" s="408"/>
      <c r="EL290" s="408"/>
      <c r="EM290" s="408"/>
      <c r="EN290" s="408"/>
      <c r="EO290" s="408"/>
      <c r="EP290" s="408"/>
      <c r="EQ290" s="408"/>
      <c r="ER290" s="408"/>
      <c r="ES290" s="408"/>
      <c r="ET290" s="408"/>
      <c r="EU290" s="408"/>
      <c r="EV290" s="408">
        <v>242</v>
      </c>
      <c r="EW290" s="408"/>
      <c r="EX290" s="408"/>
      <c r="EY290" s="408"/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289</v>
      </c>
      <c r="B291" s="408" t="s">
        <v>1036</v>
      </c>
      <c r="C291" s="408" t="s">
        <v>2231</v>
      </c>
      <c r="D291" s="408" t="s">
        <v>2241</v>
      </c>
      <c r="E291" s="408" t="s">
        <v>974</v>
      </c>
      <c r="F291" s="408" t="s">
        <v>2251</v>
      </c>
      <c r="G291" s="408" t="s">
        <v>2249</v>
      </c>
      <c r="H291" s="408" t="s">
        <v>1322</v>
      </c>
      <c r="I291" s="408" t="s">
        <v>1322</v>
      </c>
      <c r="J291" s="408" t="s">
        <v>2232</v>
      </c>
      <c r="K291" s="828">
        <v>44531</v>
      </c>
      <c r="L291" s="408">
        <v>0</v>
      </c>
      <c r="M291" s="408">
        <v>0</v>
      </c>
      <c r="N291" s="408">
        <v>4.0990000000000002</v>
      </c>
      <c r="O291" s="408">
        <v>4.0990000000000002</v>
      </c>
      <c r="P291" s="408">
        <v>4.0990000000000002</v>
      </c>
      <c r="Q291" s="408">
        <v>4.0990000000000002</v>
      </c>
      <c r="R291" s="408"/>
      <c r="S291" s="408">
        <v>571.87</v>
      </c>
      <c r="T291" s="408">
        <v>216.76</v>
      </c>
      <c r="U291" s="408"/>
      <c r="V291" s="408">
        <v>3232.5943700000003</v>
      </c>
      <c r="W291" s="408">
        <v>3232.5943700000003</v>
      </c>
      <c r="X291" s="408">
        <v>2106.9269899999999</v>
      </c>
      <c r="Y291" s="408">
        <v>0</v>
      </c>
      <c r="Z291" s="408">
        <v>248.4429192635171</v>
      </c>
      <c r="AA291" s="408">
        <v>0</v>
      </c>
      <c r="AB291" s="408">
        <v>0</v>
      </c>
      <c r="AC291" s="408">
        <v>0</v>
      </c>
      <c r="AD291" s="408">
        <v>3.3690242542838331</v>
      </c>
      <c r="AE291" s="408">
        <v>1747.7466583572736</v>
      </c>
      <c r="AF291" s="408">
        <v>875.55255187608407</v>
      </c>
      <c r="AG291" s="408">
        <v>12.942202014718225</v>
      </c>
      <c r="AH291" s="408">
        <v>0</v>
      </c>
      <c r="AI291" s="408">
        <v>0</v>
      </c>
      <c r="AJ291" s="408">
        <v>0</v>
      </c>
      <c r="AK291" s="408">
        <v>0</v>
      </c>
      <c r="AL291" s="408">
        <v>38.422524366477489</v>
      </c>
      <c r="AM291" s="408"/>
      <c r="AN291" s="408">
        <v>7.8638067106798779</v>
      </c>
      <c r="AO291" s="408">
        <v>36.406079073572542</v>
      </c>
      <c r="AP291" s="408">
        <v>114.06330386624809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2.439190380091818</v>
      </c>
      <c r="BE291" s="408">
        <v>0</v>
      </c>
      <c r="BF291" s="408">
        <v>0</v>
      </c>
      <c r="BG291" s="408">
        <v>145.34331537520933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/>
      <c r="BR291" s="408">
        <v>252.8263199999999</v>
      </c>
      <c r="BS291" s="408"/>
      <c r="BT291" s="408"/>
      <c r="BU291" s="408"/>
      <c r="BV291" s="408">
        <v>1023.3350576313853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1854.5529999999999</v>
      </c>
      <c r="CJ291" s="408">
        <v>-990.1830000000009</v>
      </c>
      <c r="CK291" s="408"/>
      <c r="CL291" s="408"/>
      <c r="CM291" s="408"/>
      <c r="CN291" s="408"/>
      <c r="CO291" s="408">
        <v>-1259.4177500000001</v>
      </c>
      <c r="CP291" s="408">
        <v>133.75036999999998</v>
      </c>
      <c r="CQ291" s="408"/>
      <c r="CR291" s="408">
        <v>158.42760366482321</v>
      </c>
      <c r="CS291" s="408">
        <v>3.7553425456921019</v>
      </c>
      <c r="CT291" s="408">
        <v>11.765803646294415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0.32940654667836888</v>
      </c>
      <c r="DA291" s="408">
        <v>0</v>
      </c>
      <c r="DB291" s="408">
        <v>0</v>
      </c>
      <c r="DC291" s="408">
        <v>133.76755925235102</v>
      </c>
      <c r="DD291" s="408">
        <v>0</v>
      </c>
      <c r="DE291" s="408">
        <v>0</v>
      </c>
      <c r="DF291" s="408">
        <v>0.37266129028755257</v>
      </c>
      <c r="DG291" s="408">
        <v>22.205658026725217</v>
      </c>
      <c r="DH291" s="408">
        <v>0</v>
      </c>
      <c r="DI291" s="408">
        <v>-11.869905951168477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-1.5569040911396925</v>
      </c>
      <c r="DP291" s="408">
        <v>-0.34201760089689426</v>
      </c>
      <c r="DQ291" s="408">
        <v>0</v>
      </c>
      <c r="DR291" s="408">
        <v>0</v>
      </c>
      <c r="DS291" s="408"/>
      <c r="DT291" s="408"/>
      <c r="DU291" s="408"/>
      <c r="DV291" s="408">
        <v>1747.7466583572736</v>
      </c>
      <c r="DW291" s="408">
        <v>0</v>
      </c>
      <c r="DX291" s="408">
        <v>0</v>
      </c>
      <c r="DY291" s="408">
        <v>-1259.4177500000001</v>
      </c>
      <c r="DZ291" s="234">
        <v>133.75036999999998</v>
      </c>
      <c r="EA291" s="408">
        <v>0</v>
      </c>
      <c r="EB291" s="408">
        <v>0</v>
      </c>
      <c r="EC291" s="408">
        <v>-1284.0866282696186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242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290</v>
      </c>
      <c r="B292" s="408" t="s">
        <v>1036</v>
      </c>
      <c r="C292" s="408" t="s">
        <v>2231</v>
      </c>
      <c r="D292" s="408" t="s">
        <v>2241</v>
      </c>
      <c r="E292" s="408" t="s">
        <v>974</v>
      </c>
      <c r="F292" s="408" t="s">
        <v>2251</v>
      </c>
      <c r="G292" s="408" t="s">
        <v>2250</v>
      </c>
      <c r="H292" s="408" t="s">
        <v>1322</v>
      </c>
      <c r="I292" s="408" t="s">
        <v>1322</v>
      </c>
      <c r="J292" s="408" t="s">
        <v>2232</v>
      </c>
      <c r="K292" s="828">
        <v>44531</v>
      </c>
      <c r="L292" s="408">
        <v>0</v>
      </c>
      <c r="M292" s="408">
        <v>0</v>
      </c>
      <c r="N292" s="408">
        <v>2.3439999999999999</v>
      </c>
      <c r="O292" s="408">
        <v>0.93759999999999999</v>
      </c>
      <c r="P292" s="408">
        <v>2.3439999999999999</v>
      </c>
      <c r="Q292" s="408">
        <v>0.93759999999999999</v>
      </c>
      <c r="R292" s="408"/>
      <c r="S292" s="408">
        <v>571.87</v>
      </c>
      <c r="T292" s="408">
        <v>216.76</v>
      </c>
      <c r="U292" s="408"/>
      <c r="V292" s="408">
        <v>1848.5487199999998</v>
      </c>
      <c r="W292" s="408">
        <v>1848.5487199999998</v>
      </c>
      <c r="X292" s="408">
        <v>1204.83944</v>
      </c>
      <c r="Y292" s="408">
        <v>0</v>
      </c>
      <c r="Z292" s="408">
        <v>142.07128635122811</v>
      </c>
      <c r="AA292" s="408">
        <v>0</v>
      </c>
      <c r="AB292" s="408">
        <v>0</v>
      </c>
      <c r="AC292" s="408">
        <v>0</v>
      </c>
      <c r="AD292" s="408">
        <v>1.9265657116470611</v>
      </c>
      <c r="AE292" s="408">
        <v>999.44331963636228</v>
      </c>
      <c r="AF292" s="408">
        <v>500.68191793060276</v>
      </c>
      <c r="AG292" s="408">
        <v>7.4009567022443319</v>
      </c>
      <c r="AH292" s="408">
        <v>0</v>
      </c>
      <c r="AI292" s="408">
        <v>0</v>
      </c>
      <c r="AJ292" s="408">
        <v>0</v>
      </c>
      <c r="AK292" s="408">
        <v>0</v>
      </c>
      <c r="AL292" s="408">
        <v>21.971797295687537</v>
      </c>
      <c r="AM292" s="408"/>
      <c r="AN292" s="408">
        <v>4.4968926396276245</v>
      </c>
      <c r="AO292" s="408">
        <v>20.818699523897052</v>
      </c>
      <c r="AP292" s="408">
        <v>65.226734389481706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1.3948431936899781</v>
      </c>
      <c r="BE292" s="408">
        <v>0</v>
      </c>
      <c r="BF292" s="408">
        <v>0</v>
      </c>
      <c r="BG292" s="408">
        <v>83.114108621490757</v>
      </c>
      <c r="BH292" s="408">
        <v>0</v>
      </c>
      <c r="BI292" s="408">
        <v>0</v>
      </c>
      <c r="BJ292" s="408">
        <v>0</v>
      </c>
      <c r="BK292" s="408">
        <v>0</v>
      </c>
      <c r="BL292" s="408">
        <v>0</v>
      </c>
      <c r="BM292" s="408"/>
      <c r="BN292" s="408"/>
      <c r="BO292" s="408"/>
      <c r="BP292" s="408"/>
      <c r="BQ292" s="408"/>
      <c r="BR292" s="408"/>
      <c r="BS292" s="408">
        <v>780.73483199999987</v>
      </c>
      <c r="BT292" s="408"/>
      <c r="BU292" s="408"/>
      <c r="BV292" s="408">
        <v>585.19086974578352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425.1902</v>
      </c>
      <c r="CJ292" s="408">
        <v>-225.53419999999994</v>
      </c>
      <c r="CK292" s="408"/>
      <c r="CL292" s="408"/>
      <c r="CM292" s="408"/>
      <c r="CN292" s="408"/>
      <c r="CO292" s="408">
        <v>-720.19399999999996</v>
      </c>
      <c r="CP292" s="408">
        <v>76.484719999999982</v>
      </c>
      <c r="CQ292" s="408"/>
      <c r="CR292" s="408">
        <v>90.596316904207356</v>
      </c>
      <c r="CS292" s="408">
        <v>2.1474805872413505</v>
      </c>
      <c r="CT292" s="408">
        <v>6.7282370692642388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0.18837007694903574</v>
      </c>
      <c r="DA292" s="408">
        <v>0</v>
      </c>
      <c r="DB292" s="408">
        <v>0</v>
      </c>
      <c r="DC292" s="408">
        <v>76.494549618812073</v>
      </c>
      <c r="DD292" s="408">
        <v>0</v>
      </c>
      <c r="DE292" s="408">
        <v>0</v>
      </c>
      <c r="DF292" s="408">
        <v>0.21310516331642448</v>
      </c>
      <c r="DG292" s="408">
        <v>12.698234304621593</v>
      </c>
      <c r="DH292" s="408">
        <v>0</v>
      </c>
      <c r="DI292" s="408">
        <v>-6.7877676383359073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-0.89031060981493937</v>
      </c>
      <c r="DP292" s="408">
        <v>-0.19558166784638242</v>
      </c>
      <c r="DQ292" s="408">
        <v>0</v>
      </c>
      <c r="DR292" s="408">
        <v>0</v>
      </c>
      <c r="DS292" s="408"/>
      <c r="DT292" s="408"/>
      <c r="DU292" s="408"/>
      <c r="DV292" s="408">
        <v>999.44331963636228</v>
      </c>
      <c r="DW292" s="408">
        <v>0</v>
      </c>
      <c r="DX292" s="408">
        <v>0</v>
      </c>
      <c r="DY292" s="408">
        <v>-720.19399999999996</v>
      </c>
      <c r="DZ292" s="234">
        <v>76.484720000000038</v>
      </c>
      <c r="EA292" s="408">
        <v>0</v>
      </c>
      <c r="EB292" s="408">
        <v>0</v>
      </c>
      <c r="EC292" s="408">
        <v>-734.30081889826431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0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242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291</v>
      </c>
      <c r="B293" s="408" t="s">
        <v>1036</v>
      </c>
      <c r="C293" s="408" t="s">
        <v>2231</v>
      </c>
      <c r="D293" s="408" t="s">
        <v>1952</v>
      </c>
      <c r="E293" s="408" t="s">
        <v>969</v>
      </c>
      <c r="F293" s="408" t="s">
        <v>969</v>
      </c>
      <c r="G293" s="408" t="s">
        <v>1322</v>
      </c>
      <c r="H293" s="408" t="s">
        <v>1322</v>
      </c>
      <c r="I293" s="408" t="s">
        <v>1322</v>
      </c>
      <c r="J293" s="408" t="s">
        <v>2232</v>
      </c>
      <c r="K293" s="828">
        <v>44562</v>
      </c>
      <c r="L293" s="408">
        <v>0</v>
      </c>
      <c r="M293" s="408">
        <v>0</v>
      </c>
      <c r="N293" s="408">
        <v>1170.7660000000001</v>
      </c>
      <c r="O293" s="408">
        <v>1170.7660000000001</v>
      </c>
      <c r="P293" s="408">
        <v>1170.7660000000001</v>
      </c>
      <c r="Q293" s="408">
        <v>1170.7660000000001</v>
      </c>
      <c r="R293" s="408"/>
      <c r="S293" s="408">
        <v>571.87</v>
      </c>
      <c r="T293" s="408">
        <v>216.76</v>
      </c>
      <c r="U293" s="408"/>
      <c r="V293" s="408">
        <v>923301.19058000017</v>
      </c>
      <c r="W293" s="408">
        <v>923301.19058000017</v>
      </c>
      <c r="X293" s="408">
        <v>601785.43166</v>
      </c>
      <c r="Y293" s="408">
        <v>0</v>
      </c>
      <c r="Z293" s="408">
        <v>70960.849674181722</v>
      </c>
      <c r="AA293" s="408">
        <v>0</v>
      </c>
      <c r="AB293" s="408">
        <v>0</v>
      </c>
      <c r="AC293" s="408">
        <v>0</v>
      </c>
      <c r="AD293" s="408">
        <v>962.26861431833765</v>
      </c>
      <c r="AE293" s="408">
        <v>499195.5023708982</v>
      </c>
      <c r="AF293" s="408">
        <v>250077.37471328504</v>
      </c>
      <c r="AG293" s="408">
        <v>3696.5821136773839</v>
      </c>
      <c r="AH293" s="408">
        <v>0</v>
      </c>
      <c r="AI293" s="408">
        <v>0</v>
      </c>
      <c r="AJ293" s="408">
        <v>0</v>
      </c>
      <c r="AK293" s="408">
        <v>0</v>
      </c>
      <c r="AL293" s="408">
        <v>10974.331583909096</v>
      </c>
      <c r="AM293" s="408"/>
      <c r="AN293" s="408">
        <v>2246.078928381517</v>
      </c>
      <c r="AO293" s="408">
        <v>10398.389746926136</v>
      </c>
      <c r="AP293" s="408">
        <v>32579.028547028989</v>
      </c>
      <c r="AQ293" s="408">
        <v>0</v>
      </c>
      <c r="AR293" s="408">
        <v>0</v>
      </c>
      <c r="AS293" s="408">
        <v>0</v>
      </c>
      <c r="AT293" s="408">
        <v>0</v>
      </c>
      <c r="AU293" s="408">
        <v>0</v>
      </c>
      <c r="AV293" s="408">
        <v>0</v>
      </c>
      <c r="AW293" s="408">
        <v>0</v>
      </c>
      <c r="AX293" s="408">
        <v>0</v>
      </c>
      <c r="AY293" s="408">
        <v>0</v>
      </c>
      <c r="AZ293" s="408">
        <v>0</v>
      </c>
      <c r="BA293" s="408"/>
      <c r="BB293" s="408">
        <v>0</v>
      </c>
      <c r="BC293" s="408">
        <v>0</v>
      </c>
      <c r="BD293" s="408">
        <v>696.68728093158745</v>
      </c>
      <c r="BE293" s="408">
        <v>0</v>
      </c>
      <c r="BF293" s="408">
        <v>0</v>
      </c>
      <c r="BG293" s="408">
        <v>41513.298845711717</v>
      </c>
      <c r="BH293" s="408">
        <v>0</v>
      </c>
      <c r="BI293" s="408">
        <v>2774.67</v>
      </c>
      <c r="BJ293" s="408">
        <v>12839.09</v>
      </c>
      <c r="BK293" s="408">
        <v>257982.82</v>
      </c>
      <c r="BL293" s="408">
        <v>4515</v>
      </c>
      <c r="BM293" s="408"/>
      <c r="BN293" s="408"/>
      <c r="BO293" s="408"/>
      <c r="BP293" s="408"/>
      <c r="BQ293" s="408"/>
      <c r="BR293" s="408"/>
      <c r="BS293" s="408"/>
      <c r="BT293" s="408"/>
      <c r="BU293" s="408"/>
      <c r="BV293" s="408">
        <v>292287.36083992838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601787.48769999994</v>
      </c>
      <c r="CJ293" s="408">
        <v>-321513.73288000026</v>
      </c>
      <c r="CK293" s="408"/>
      <c r="CL293" s="408"/>
      <c r="CM293" s="408"/>
      <c r="CN293" s="408"/>
      <c r="CO293" s="408">
        <v>-359717.85350000003</v>
      </c>
      <c r="CP293" s="408">
        <v>38202.094579999997</v>
      </c>
      <c r="CQ293" s="408">
        <v>31</v>
      </c>
      <c r="CR293" s="408">
        <v>45250.463974689133</v>
      </c>
      <c r="CS293" s="408">
        <v>1072.6097513661298</v>
      </c>
      <c r="CT293" s="408">
        <v>3360.5764507825152</v>
      </c>
      <c r="CU293" s="408">
        <v>0</v>
      </c>
      <c r="CV293" s="408">
        <v>0</v>
      </c>
      <c r="CW293" s="408">
        <v>0</v>
      </c>
      <c r="CX293" s="408">
        <v>0</v>
      </c>
      <c r="CY293" s="408">
        <v>0</v>
      </c>
      <c r="CZ293" s="408">
        <v>94.085870951072934</v>
      </c>
      <c r="DA293" s="408">
        <v>0</v>
      </c>
      <c r="DB293" s="408">
        <v>0</v>
      </c>
      <c r="DC293" s="408">
        <v>38207.004214598186</v>
      </c>
      <c r="DD293" s="408">
        <v>0</v>
      </c>
      <c r="DE293" s="408">
        <v>0</v>
      </c>
      <c r="DF293" s="408">
        <v>106.44039233588614</v>
      </c>
      <c r="DG293" s="408">
        <v>6342.4321603603239</v>
      </c>
      <c r="DH293" s="408">
        <v>0</v>
      </c>
      <c r="DI293" s="408">
        <v>-3390.3103954197868</v>
      </c>
      <c r="DJ293" s="408"/>
      <c r="DK293" s="408">
        <v>0</v>
      </c>
      <c r="DL293" s="408">
        <v>0</v>
      </c>
      <c r="DM293" s="408">
        <v>0</v>
      </c>
      <c r="DN293" s="408">
        <v>0</v>
      </c>
      <c r="DO293" s="408">
        <v>-444.68660043114323</v>
      </c>
      <c r="DP293" s="408">
        <v>-97.687869854026303</v>
      </c>
      <c r="DQ293" s="408">
        <v>0</v>
      </c>
      <c r="DR293" s="408">
        <v>0</v>
      </c>
      <c r="DS293" s="408"/>
      <c r="DT293" s="408"/>
      <c r="DU293" s="408"/>
      <c r="DV293" s="408">
        <v>499195.5023708982</v>
      </c>
      <c r="DW293" s="408">
        <v>0</v>
      </c>
      <c r="DX293" s="408">
        <v>0</v>
      </c>
      <c r="DY293" s="408">
        <v>-359717.85350000008</v>
      </c>
      <c r="DZ293" s="234">
        <v>38202.094579999975</v>
      </c>
      <c r="EA293" s="408">
        <v>0</v>
      </c>
      <c r="EB293" s="408">
        <v>0</v>
      </c>
      <c r="EC293" s="408">
        <v>-366763.83640710125</v>
      </c>
      <c r="ED293" s="408">
        <v>0</v>
      </c>
      <c r="EE293" s="408">
        <v>0</v>
      </c>
      <c r="EF293" s="408">
        <v>0</v>
      </c>
      <c r="EG293" s="408">
        <v>0</v>
      </c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>
        <v>0</v>
      </c>
      <c r="EN293" s="408">
        <v>0</v>
      </c>
      <c r="EO293" s="408">
        <v>0</v>
      </c>
      <c r="EP293" s="408">
        <v>0</v>
      </c>
      <c r="EQ293" s="408">
        <v>0</v>
      </c>
      <c r="ER293" s="408">
        <v>0</v>
      </c>
      <c r="ES293" s="408">
        <v>0</v>
      </c>
      <c r="ET293" s="408">
        <v>0</v>
      </c>
      <c r="EU293" s="408">
        <v>0</v>
      </c>
      <c r="EV293" s="408">
        <v>242</v>
      </c>
      <c r="EW293" s="408">
        <v>0</v>
      </c>
      <c r="EX293" s="408">
        <v>0</v>
      </c>
      <c r="EY293" s="408">
        <v>0</v>
      </c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292</v>
      </c>
      <c r="B294" s="408" t="s">
        <v>2233</v>
      </c>
      <c r="C294" s="408" t="s">
        <v>2231</v>
      </c>
      <c r="D294" s="408" t="s">
        <v>1952</v>
      </c>
      <c r="E294" s="408" t="s">
        <v>969</v>
      </c>
      <c r="F294" s="408" t="s">
        <v>969</v>
      </c>
      <c r="G294" s="408" t="s">
        <v>1322</v>
      </c>
      <c r="H294" s="408" t="s">
        <v>1322</v>
      </c>
      <c r="I294" s="408" t="s">
        <v>1322</v>
      </c>
      <c r="J294" s="408" t="s">
        <v>2232</v>
      </c>
      <c r="K294" s="828">
        <v>44562</v>
      </c>
      <c r="L294" s="408">
        <v>0</v>
      </c>
      <c r="M294" s="408">
        <v>0</v>
      </c>
      <c r="N294" s="408">
        <v>-1.2749999999999999</v>
      </c>
      <c r="O294" s="408">
        <v>-1.2749999999999999</v>
      </c>
      <c r="P294" s="408">
        <v>-1.2749999999999999</v>
      </c>
      <c r="Q294" s="408">
        <v>-1.2749999999999999</v>
      </c>
      <c r="R294" s="408"/>
      <c r="S294" s="408">
        <v>571.87</v>
      </c>
      <c r="T294" s="408">
        <v>216.76</v>
      </c>
      <c r="U294" s="408"/>
      <c r="V294" s="408">
        <v>-1005.50325</v>
      </c>
      <c r="W294" s="408">
        <v>-1005.50325</v>
      </c>
      <c r="X294" s="408">
        <v>-655.36275000000001</v>
      </c>
      <c r="Y294" s="408">
        <v>0</v>
      </c>
      <c r="Z294" s="408">
        <v>-77.278536731150098</v>
      </c>
      <c r="AA294" s="408">
        <v>0</v>
      </c>
      <c r="AB294" s="408">
        <v>0</v>
      </c>
      <c r="AC294" s="408">
        <v>0</v>
      </c>
      <c r="AD294" s="408">
        <v>-1.0479399668728682</v>
      </c>
      <c r="AE294" s="408">
        <v>-543.6391777032261</v>
      </c>
      <c r="AF294" s="408">
        <v>-272.34191355013587</v>
      </c>
      <c r="AG294" s="408">
        <v>-4.0256910389767588</v>
      </c>
      <c r="AH294" s="408">
        <v>0</v>
      </c>
      <c r="AI294" s="408">
        <v>0</v>
      </c>
      <c r="AJ294" s="408">
        <v>0</v>
      </c>
      <c r="AK294" s="408">
        <v>0</v>
      </c>
      <c r="AL294" s="408">
        <v>-11.951382914676454</v>
      </c>
      <c r="AM294" s="408"/>
      <c r="AN294" s="408">
        <v>-2.4460486840977906</v>
      </c>
      <c r="AO294" s="408">
        <v>-11.32416463010612</v>
      </c>
      <c r="AP294" s="408">
        <v>-35.479559021582411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-0.75871376789877221</v>
      </c>
      <c r="BE294" s="408">
        <v>0</v>
      </c>
      <c r="BF294" s="408">
        <v>0</v>
      </c>
      <c r="BG294" s="408">
        <v>-45.209252769795526</v>
      </c>
      <c r="BH294" s="408">
        <v>0</v>
      </c>
      <c r="BI294" s="408">
        <v>-3.66</v>
      </c>
      <c r="BJ294" s="408">
        <v>-16.739999999999998</v>
      </c>
      <c r="BK294" s="408">
        <v>-386.84</v>
      </c>
      <c r="BL294" s="408">
        <v>0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>
        <v>-318.30988008783015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-657.93280000000004</v>
      </c>
      <c r="CJ294" s="408">
        <v>347.54044999999996</v>
      </c>
      <c r="CK294" s="408"/>
      <c r="CL294" s="408"/>
      <c r="CM294" s="408"/>
      <c r="CN294" s="408"/>
      <c r="CO294" s="408">
        <v>391.74374999999998</v>
      </c>
      <c r="CP294" s="408">
        <v>-41.603249999999989</v>
      </c>
      <c r="CQ294" s="408">
        <v>31</v>
      </c>
      <c r="CR294" s="408">
        <v>-49.279139954293726</v>
      </c>
      <c r="CS294" s="408">
        <v>-1.168104841609523</v>
      </c>
      <c r="CT294" s="408">
        <v>-3.6597705901501314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-0.10246239253840472</v>
      </c>
      <c r="DA294" s="408">
        <v>0</v>
      </c>
      <c r="DB294" s="408">
        <v>0</v>
      </c>
      <c r="DC294" s="408">
        <v>-41.608596742314603</v>
      </c>
      <c r="DD294" s="408">
        <v>0</v>
      </c>
      <c r="DE294" s="408">
        <v>0</v>
      </c>
      <c r="DF294" s="408">
        <v>-0.11591684438073424</v>
      </c>
      <c r="DG294" s="408">
        <v>-6.9071027040923809</v>
      </c>
      <c r="DH294" s="408">
        <v>0</v>
      </c>
      <c r="DI294" s="408">
        <v>3.6921517657330583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0.48427731549234032</v>
      </c>
      <c r="DP294" s="408">
        <v>0.10638507956661147</v>
      </c>
      <c r="DQ294" s="408">
        <v>0</v>
      </c>
      <c r="DR294" s="408">
        <v>0</v>
      </c>
      <c r="DS294" s="408"/>
      <c r="DT294" s="408"/>
      <c r="DU294" s="408"/>
      <c r="DV294" s="408">
        <v>-543.6391777032261</v>
      </c>
      <c r="DW294" s="408">
        <v>0</v>
      </c>
      <c r="DX294" s="408">
        <v>0</v>
      </c>
      <c r="DY294" s="408">
        <v>391.74374999999998</v>
      </c>
      <c r="DZ294" s="234">
        <v>-41.603250000000003</v>
      </c>
      <c r="EA294" s="408">
        <v>0</v>
      </c>
      <c r="EB294" s="408">
        <v>0</v>
      </c>
      <c r="EC294" s="408">
        <v>399.41704099628288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0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242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293</v>
      </c>
      <c r="B295" s="408" t="s">
        <v>2234</v>
      </c>
      <c r="C295" s="408" t="s">
        <v>2231</v>
      </c>
      <c r="D295" s="408" t="s">
        <v>1952</v>
      </c>
      <c r="E295" s="408" t="s">
        <v>969</v>
      </c>
      <c r="F295" s="408" t="s">
        <v>969</v>
      </c>
      <c r="G295" s="408" t="s">
        <v>1322</v>
      </c>
      <c r="H295" s="408" t="s">
        <v>1322</v>
      </c>
      <c r="I295" s="408" t="s">
        <v>1322</v>
      </c>
      <c r="J295" s="408" t="s">
        <v>2232</v>
      </c>
      <c r="K295" s="828">
        <v>44562</v>
      </c>
      <c r="L295" s="408">
        <v>0</v>
      </c>
      <c r="M295" s="408">
        <v>0</v>
      </c>
      <c r="N295" s="408">
        <v>22.908000000000001</v>
      </c>
      <c r="O295" s="408">
        <v>22.908000000000001</v>
      </c>
      <c r="P295" s="408">
        <v>22.908000000000001</v>
      </c>
      <c r="Q295" s="408">
        <v>22.908000000000001</v>
      </c>
      <c r="R295" s="408"/>
      <c r="S295" s="408">
        <v>571.87</v>
      </c>
      <c r="T295" s="408">
        <v>216.76</v>
      </c>
      <c r="U295" s="408"/>
      <c r="V295" s="408">
        <v>18065.936040000001</v>
      </c>
      <c r="W295" s="408">
        <v>18065.936040000001</v>
      </c>
      <c r="X295" s="408">
        <v>11774.941080000001</v>
      </c>
      <c r="Y295" s="408">
        <v>0</v>
      </c>
      <c r="Z295" s="408">
        <v>1388.4680152448525</v>
      </c>
      <c r="AA295" s="408">
        <v>0</v>
      </c>
      <c r="AB295" s="408">
        <v>0</v>
      </c>
      <c r="AC295" s="408">
        <v>0</v>
      </c>
      <c r="AD295" s="408">
        <v>18.828399028332289</v>
      </c>
      <c r="AE295" s="408">
        <v>9767.5970845690226</v>
      </c>
      <c r="AF295" s="408">
        <v>4893.1831808678535</v>
      </c>
      <c r="AG295" s="408">
        <v>72.329827702650675</v>
      </c>
      <c r="AH295" s="408">
        <v>0</v>
      </c>
      <c r="AI295" s="408">
        <v>0</v>
      </c>
      <c r="AJ295" s="408">
        <v>0</v>
      </c>
      <c r="AK295" s="408">
        <v>0</v>
      </c>
      <c r="AL295" s="408">
        <v>214.73119985051628</v>
      </c>
      <c r="AM295" s="408"/>
      <c r="AN295" s="408">
        <v>43.948300592401722</v>
      </c>
      <c r="AO295" s="408">
        <v>203.46193203644785</v>
      </c>
      <c r="AP295" s="408">
        <v>637.46332397365484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13.631854898058883</v>
      </c>
      <c r="BE295" s="408">
        <v>0</v>
      </c>
      <c r="BF295" s="408">
        <v>0</v>
      </c>
      <c r="BG295" s="408">
        <v>812.2773038827263</v>
      </c>
      <c r="BH295" s="408">
        <v>0</v>
      </c>
      <c r="BI295" s="408">
        <v>53.85</v>
      </c>
      <c r="BJ295" s="408">
        <v>251.29</v>
      </c>
      <c r="BK295" s="408">
        <v>12461.29</v>
      </c>
      <c r="BL295" s="408">
        <v>162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5719.0923396486387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11775.969099999998</v>
      </c>
      <c r="CJ295" s="408">
        <v>-6289.9969400000009</v>
      </c>
      <c r="CK295" s="408"/>
      <c r="CL295" s="408"/>
      <c r="CM295" s="408"/>
      <c r="CN295" s="408"/>
      <c r="CO295" s="408">
        <v>-7038.4830000000002</v>
      </c>
      <c r="CP295" s="408">
        <v>747.48803999999996</v>
      </c>
      <c r="CQ295" s="408">
        <v>31</v>
      </c>
      <c r="CR295" s="408">
        <v>885.40120633173319</v>
      </c>
      <c r="CS295" s="408">
        <v>20.987408401247819</v>
      </c>
      <c r="CT295" s="408">
        <v>65.755313473850379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1.8409478339370757</v>
      </c>
      <c r="DA295" s="408">
        <v>0</v>
      </c>
      <c r="DB295" s="408">
        <v>0</v>
      </c>
      <c r="DC295" s="408">
        <v>747.58410523368093</v>
      </c>
      <c r="DD295" s="408">
        <v>0</v>
      </c>
      <c r="DE295" s="408">
        <v>0</v>
      </c>
      <c r="DF295" s="408">
        <v>2.0826847616265578</v>
      </c>
      <c r="DG295" s="408">
        <v>124.10032058458683</v>
      </c>
      <c r="DH295" s="408">
        <v>0</v>
      </c>
      <c r="DI295" s="408">
        <v>-66.337107960324147</v>
      </c>
      <c r="DJ295" s="408"/>
      <c r="DK295" s="408">
        <v>0</v>
      </c>
      <c r="DL295" s="408">
        <v>0</v>
      </c>
      <c r="DM295" s="408">
        <v>0</v>
      </c>
      <c r="DN295" s="408">
        <v>0</v>
      </c>
      <c r="DO295" s="408">
        <v>-8.7010390143518066</v>
      </c>
      <c r="DP295" s="408">
        <v>-1.911426982519167</v>
      </c>
      <c r="DQ295" s="408">
        <v>0</v>
      </c>
      <c r="DR295" s="408">
        <v>0</v>
      </c>
      <c r="DS295" s="408"/>
      <c r="DT295" s="408"/>
      <c r="DU295" s="408"/>
      <c r="DV295" s="408">
        <v>9767.5970845690226</v>
      </c>
      <c r="DW295" s="408">
        <v>0</v>
      </c>
      <c r="DX295" s="408">
        <v>0</v>
      </c>
      <c r="DY295" s="408">
        <v>-7038.4830000000002</v>
      </c>
      <c r="DZ295" s="234">
        <v>747.48804000000018</v>
      </c>
      <c r="EA295" s="408">
        <v>0</v>
      </c>
      <c r="EB295" s="408">
        <v>0</v>
      </c>
      <c r="EC295" s="408">
        <v>-7176.3494707002737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242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294</v>
      </c>
      <c r="B296" s="408" t="s">
        <v>1036</v>
      </c>
      <c r="C296" s="408" t="s">
        <v>2231</v>
      </c>
      <c r="D296" s="408" t="s">
        <v>1952</v>
      </c>
      <c r="E296" s="408" t="s">
        <v>969</v>
      </c>
      <c r="F296" s="408" t="s">
        <v>2235</v>
      </c>
      <c r="G296" s="408" t="s">
        <v>1322</v>
      </c>
      <c r="H296" s="408" t="s">
        <v>1322</v>
      </c>
      <c r="I296" s="408" t="s">
        <v>1322</v>
      </c>
      <c r="J296" s="408" t="s">
        <v>2232</v>
      </c>
      <c r="K296" s="828">
        <v>44562</v>
      </c>
      <c r="L296" s="408">
        <v>0</v>
      </c>
      <c r="M296" s="408">
        <v>0</v>
      </c>
      <c r="N296" s="408">
        <v>3.54</v>
      </c>
      <c r="O296" s="408">
        <v>3.54</v>
      </c>
      <c r="P296" s="408">
        <v>3.54</v>
      </c>
      <c r="Q296" s="408">
        <v>3.54</v>
      </c>
      <c r="R296" s="408"/>
      <c r="S296" s="408">
        <v>501.89</v>
      </c>
      <c r="T296" s="408">
        <v>216.76</v>
      </c>
      <c r="U296" s="408"/>
      <c r="V296" s="408">
        <v>2544.0209999999997</v>
      </c>
      <c r="W296" s="408">
        <v>2544.0209999999997</v>
      </c>
      <c r="X296" s="408">
        <v>1583.442</v>
      </c>
      <c r="Y296" s="408">
        <v>0</v>
      </c>
      <c r="Z296" s="408">
        <v>0</v>
      </c>
      <c r="AA296" s="408">
        <v>0</v>
      </c>
      <c r="AB296" s="408">
        <v>0</v>
      </c>
      <c r="AC296" s="408">
        <v>0</v>
      </c>
      <c r="AD296" s="408">
        <v>2.9095744962587871</v>
      </c>
      <c r="AE296" s="408">
        <v>1509.3981875054278</v>
      </c>
      <c r="AF296" s="408">
        <v>756.14931291567143</v>
      </c>
      <c r="AG296" s="408">
        <v>11.177212767041356</v>
      </c>
      <c r="AH296" s="408">
        <v>0</v>
      </c>
      <c r="AI296" s="408">
        <v>0</v>
      </c>
      <c r="AJ296" s="408">
        <v>0</v>
      </c>
      <c r="AK296" s="408">
        <v>0</v>
      </c>
      <c r="AL296" s="408">
        <v>0</v>
      </c>
      <c r="AM296" s="408"/>
      <c r="AN296" s="408">
        <v>6.7913822287891596</v>
      </c>
      <c r="AO296" s="408">
        <v>31.441210031824053</v>
      </c>
      <c r="AP296" s="408">
        <v>98.507952106981762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2.1065464614601206</v>
      </c>
      <c r="BE296" s="408">
        <v>0</v>
      </c>
      <c r="BF296" s="408">
        <v>0</v>
      </c>
      <c r="BG296" s="408">
        <v>125.5221606314323</v>
      </c>
      <c r="BH296" s="408">
        <v>0</v>
      </c>
      <c r="BI296" s="408">
        <v>2.29</v>
      </c>
      <c r="BJ296" s="408">
        <v>8.33</v>
      </c>
      <c r="BK296" s="408">
        <v>182</v>
      </c>
      <c r="BL296" s="408">
        <v>2</v>
      </c>
      <c r="BM296" s="408"/>
      <c r="BN296" s="408"/>
      <c r="BO296" s="408"/>
      <c r="BP296" s="408"/>
      <c r="BQ296" s="408"/>
      <c r="BR296" s="408"/>
      <c r="BS296" s="408"/>
      <c r="BT296" s="408">
        <v>1029.2195999999999</v>
      </c>
      <c r="BU296" s="408"/>
      <c r="BV296" s="408">
        <v>883.77802000856377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554.22240000000011</v>
      </c>
      <c r="CJ296" s="408">
        <v>-336.22379999999998</v>
      </c>
      <c r="CK296" s="408"/>
      <c r="CL296" s="408"/>
      <c r="CM296" s="408"/>
      <c r="CN296" s="408"/>
      <c r="CO296" s="408">
        <v>-1076.0892000000001</v>
      </c>
      <c r="CP296" s="408">
        <v>115.51019999999998</v>
      </c>
      <c r="CQ296" s="408">
        <v>31</v>
      </c>
      <c r="CR296" s="408">
        <v>148.41781520450013</v>
      </c>
      <c r="CS296" s="408">
        <v>3.2432087367040872</v>
      </c>
      <c r="CT296" s="408">
        <v>10.161245403240358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0.28448381928309985</v>
      </c>
      <c r="DA296" s="408">
        <v>0</v>
      </c>
      <c r="DB296" s="408">
        <v>0</v>
      </c>
      <c r="DC296" s="408">
        <v>115.52504507277933</v>
      </c>
      <c r="DD296" s="408">
        <v>0</v>
      </c>
      <c r="DE296" s="408">
        <v>0</v>
      </c>
      <c r="DF296" s="408">
        <v>0.32183970910415649</v>
      </c>
      <c r="DG296" s="408">
        <v>19.177367507832955</v>
      </c>
      <c r="DH296" s="408">
        <v>0</v>
      </c>
      <c r="DI296" s="408">
        <v>0</v>
      </c>
      <c r="DJ296" s="408"/>
      <c r="DK296" s="408">
        <v>0</v>
      </c>
      <c r="DL296" s="408">
        <v>0</v>
      </c>
      <c r="DM296" s="408">
        <v>0</v>
      </c>
      <c r="DN296" s="408">
        <v>0</v>
      </c>
      <c r="DO296" s="408">
        <v>0</v>
      </c>
      <c r="DP296" s="408">
        <v>-0.29537504444376772</v>
      </c>
      <c r="DQ296" s="408">
        <v>0</v>
      </c>
      <c r="DR296" s="408">
        <v>0</v>
      </c>
      <c r="DS296" s="408"/>
      <c r="DT296" s="408"/>
      <c r="DU296" s="408"/>
      <c r="DV296" s="408">
        <v>1509.3981875054278</v>
      </c>
      <c r="DW296" s="408">
        <v>0</v>
      </c>
      <c r="DX296" s="408">
        <v>0</v>
      </c>
      <c r="DY296" s="408">
        <v>-1076.0891999999999</v>
      </c>
      <c r="DZ296" s="234">
        <v>115.51020000000005</v>
      </c>
      <c r="EA296" s="408">
        <v>0</v>
      </c>
      <c r="EB296" s="408">
        <v>0</v>
      </c>
      <c r="EC296" s="408">
        <v>-1108.9696667661501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242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295</v>
      </c>
      <c r="B297" s="408" t="s">
        <v>1036</v>
      </c>
      <c r="C297" s="408" t="s">
        <v>2231</v>
      </c>
      <c r="D297" s="408" t="s">
        <v>1952</v>
      </c>
      <c r="E297" s="408" t="s">
        <v>969</v>
      </c>
      <c r="F297" s="408" t="s">
        <v>2236</v>
      </c>
      <c r="G297" s="408" t="s">
        <v>1322</v>
      </c>
      <c r="H297" s="408" t="s">
        <v>1322</v>
      </c>
      <c r="I297" s="408" t="s">
        <v>1322</v>
      </c>
      <c r="J297" s="408" t="s">
        <v>2232</v>
      </c>
      <c r="K297" s="828">
        <v>44562</v>
      </c>
      <c r="L297" s="408">
        <v>0</v>
      </c>
      <c r="M297" s="408">
        <v>0</v>
      </c>
      <c r="N297" s="408">
        <v>7.6020000000000003</v>
      </c>
      <c r="O297" s="408">
        <v>7.6020000000000003</v>
      </c>
      <c r="P297" s="408">
        <v>7.6020000000000003</v>
      </c>
      <c r="Q297" s="408">
        <v>7.6020000000000003</v>
      </c>
      <c r="R297" s="408"/>
      <c r="S297" s="408">
        <v>501.89</v>
      </c>
      <c r="T297" s="408">
        <v>216.76</v>
      </c>
      <c r="U297" s="408"/>
      <c r="V297" s="408">
        <v>5463.1773000000003</v>
      </c>
      <c r="W297" s="408">
        <v>5463.1773000000003</v>
      </c>
      <c r="X297" s="408">
        <v>3400.3746000000001</v>
      </c>
      <c r="Y297" s="408">
        <v>0</v>
      </c>
      <c r="Z297" s="408">
        <v>0</v>
      </c>
      <c r="AA297" s="408">
        <v>0</v>
      </c>
      <c r="AB297" s="408">
        <v>0</v>
      </c>
      <c r="AC297" s="408">
        <v>0</v>
      </c>
      <c r="AD297" s="408">
        <v>6.2481879436608194</v>
      </c>
      <c r="AE297" s="408">
        <v>3241.368650117588</v>
      </c>
      <c r="AF297" s="408">
        <v>1623.7986092612809</v>
      </c>
      <c r="AG297" s="408">
        <v>24.002590806510842</v>
      </c>
      <c r="AH297" s="408">
        <v>0</v>
      </c>
      <c r="AI297" s="408">
        <v>0</v>
      </c>
      <c r="AJ297" s="408">
        <v>0</v>
      </c>
      <c r="AK297" s="408">
        <v>0</v>
      </c>
      <c r="AL297" s="408">
        <v>0</v>
      </c>
      <c r="AM297" s="408"/>
      <c r="AN297" s="408">
        <v>14.584205565891299</v>
      </c>
      <c r="AO297" s="408">
        <v>67.518666288679782</v>
      </c>
      <c r="AP297" s="408">
        <v>211.54165308397609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4.5237192655423266</v>
      </c>
      <c r="BE297" s="408">
        <v>0</v>
      </c>
      <c r="BF297" s="408">
        <v>0</v>
      </c>
      <c r="BG297" s="408">
        <v>269.5535212203809</v>
      </c>
      <c r="BH297" s="408">
        <v>0</v>
      </c>
      <c r="BI297" s="408">
        <v>7.42</v>
      </c>
      <c r="BJ297" s="408">
        <v>34.020000000000003</v>
      </c>
      <c r="BK297" s="408">
        <v>691.58</v>
      </c>
      <c r="BL297" s="408">
        <v>19</v>
      </c>
      <c r="BM297" s="408"/>
      <c r="BN297" s="408"/>
      <c r="BO297" s="408"/>
      <c r="BP297" s="408"/>
      <c r="BQ297" s="408"/>
      <c r="BR297" s="408"/>
      <c r="BS297" s="408"/>
      <c r="BT297" s="408">
        <v>1360.0738200000001</v>
      </c>
      <c r="BU297" s="408"/>
      <c r="BV297" s="408">
        <v>1897.875849747204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2039.7639999999999</v>
      </c>
      <c r="CJ297" s="408">
        <v>-1238.1723800000007</v>
      </c>
      <c r="CK297" s="408"/>
      <c r="CL297" s="408"/>
      <c r="CM297" s="408"/>
      <c r="CN297" s="408"/>
      <c r="CO297" s="408">
        <v>-2310.8559600000003</v>
      </c>
      <c r="CP297" s="408">
        <v>248.05325999999997</v>
      </c>
      <c r="CQ297" s="408">
        <v>31</v>
      </c>
      <c r="CR297" s="408">
        <v>318.72096926118957</v>
      </c>
      <c r="CS297" s="408">
        <v>6.9646533379730187</v>
      </c>
      <c r="CT297" s="408">
        <v>21.820843942212775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0.61091694751133474</v>
      </c>
      <c r="DA297" s="408">
        <v>0</v>
      </c>
      <c r="DB297" s="408">
        <v>0</v>
      </c>
      <c r="DC297" s="408">
        <v>248.08513916476522</v>
      </c>
      <c r="DD297" s="408">
        <v>0</v>
      </c>
      <c r="DE297" s="408">
        <v>0</v>
      </c>
      <c r="DF297" s="408">
        <v>0.69113713802536658</v>
      </c>
      <c r="DG297" s="408">
        <v>41.182584122753155</v>
      </c>
      <c r="DH297" s="408">
        <v>0</v>
      </c>
      <c r="DI297" s="408">
        <v>0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0</v>
      </c>
      <c r="DP297" s="408">
        <v>-0.63430539205127801</v>
      </c>
      <c r="DQ297" s="408">
        <v>0</v>
      </c>
      <c r="DR297" s="408">
        <v>0</v>
      </c>
      <c r="DS297" s="408"/>
      <c r="DT297" s="408"/>
      <c r="DU297" s="408"/>
      <c r="DV297" s="408">
        <v>3241.368650117588</v>
      </c>
      <c r="DW297" s="408">
        <v>0</v>
      </c>
      <c r="DX297" s="408">
        <v>0</v>
      </c>
      <c r="DY297" s="408">
        <v>-2310.8559599999999</v>
      </c>
      <c r="DZ297" s="234">
        <v>248.05325999999991</v>
      </c>
      <c r="EA297" s="408">
        <v>0</v>
      </c>
      <c r="EB297" s="408">
        <v>0</v>
      </c>
      <c r="EC297" s="408">
        <v>-2381.46536914019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242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296</v>
      </c>
      <c r="B298" s="408" t="s">
        <v>1036</v>
      </c>
      <c r="C298" s="408" t="s">
        <v>2231</v>
      </c>
      <c r="D298" s="408" t="s">
        <v>1952</v>
      </c>
      <c r="E298" s="408" t="s">
        <v>969</v>
      </c>
      <c r="F298" s="408" t="s">
        <v>2237</v>
      </c>
      <c r="G298" s="408" t="s">
        <v>1322</v>
      </c>
      <c r="H298" s="408" t="s">
        <v>1322</v>
      </c>
      <c r="I298" s="408" t="s">
        <v>1322</v>
      </c>
      <c r="J298" s="408" t="s">
        <v>2232</v>
      </c>
      <c r="K298" s="828">
        <v>44562</v>
      </c>
      <c r="L298" s="408">
        <v>0</v>
      </c>
      <c r="M298" s="408">
        <v>0</v>
      </c>
      <c r="N298" s="408">
        <v>8.7110000000000003</v>
      </c>
      <c r="O298" s="408">
        <v>8.7110000000000003</v>
      </c>
      <c r="P298" s="408">
        <v>8.7110000000000003</v>
      </c>
      <c r="Q298" s="408">
        <v>8.7110000000000003</v>
      </c>
      <c r="R298" s="408"/>
      <c r="S298" s="408">
        <v>501.89</v>
      </c>
      <c r="T298" s="408">
        <v>216.76</v>
      </c>
      <c r="U298" s="408"/>
      <c r="V298" s="408">
        <v>6260.1601499999997</v>
      </c>
      <c r="W298" s="408">
        <v>6260.1601499999997</v>
      </c>
      <c r="X298" s="408">
        <v>3896.4303</v>
      </c>
      <c r="Y298" s="408">
        <v>0</v>
      </c>
      <c r="Z298" s="408">
        <v>0</v>
      </c>
      <c r="AA298" s="408">
        <v>0</v>
      </c>
      <c r="AB298" s="408">
        <v>0</v>
      </c>
      <c r="AC298" s="408">
        <v>0</v>
      </c>
      <c r="AD298" s="408">
        <v>7.1596902364153383</v>
      </c>
      <c r="AE298" s="408">
        <v>3714.2281388021984</v>
      </c>
      <c r="AF298" s="408">
        <v>1860.6826736746932</v>
      </c>
      <c r="AG298" s="408">
        <v>27.50415265923651</v>
      </c>
      <c r="AH298" s="408">
        <v>0</v>
      </c>
      <c r="AI298" s="408">
        <v>0</v>
      </c>
      <c r="AJ298" s="408">
        <v>0</v>
      </c>
      <c r="AK298" s="408">
        <v>0</v>
      </c>
      <c r="AL298" s="408">
        <v>0</v>
      </c>
      <c r="AM298" s="408"/>
      <c r="AN298" s="408">
        <v>16.711788303667337</v>
      </c>
      <c r="AO298" s="408">
        <v>77.368469092434836</v>
      </c>
      <c r="AP298" s="408">
        <v>242.40191265647405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5.1836514762087882</v>
      </c>
      <c r="BE298" s="408">
        <v>0</v>
      </c>
      <c r="BF298" s="408">
        <v>0</v>
      </c>
      <c r="BG298" s="408">
        <v>308.87670657073636</v>
      </c>
      <c r="BH298" s="408">
        <v>0</v>
      </c>
      <c r="BI298" s="408">
        <v>12.53</v>
      </c>
      <c r="BJ298" s="408">
        <v>60.48</v>
      </c>
      <c r="BK298" s="408">
        <v>1213.55</v>
      </c>
      <c r="BL298" s="408">
        <v>55</v>
      </c>
      <c r="BM298" s="408"/>
      <c r="BN298" s="408"/>
      <c r="BO298" s="408"/>
      <c r="BP298" s="408"/>
      <c r="BQ298" s="408"/>
      <c r="BR298" s="408"/>
      <c r="BS298" s="408"/>
      <c r="BT298" s="408">
        <v>389.64302999999995</v>
      </c>
      <c r="BU298" s="408"/>
      <c r="BV298" s="408">
        <v>2174.7430317216385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3506.3847000000005</v>
      </c>
      <c r="CJ298" s="408">
        <v>-2127.7458800000004</v>
      </c>
      <c r="CK298" s="408"/>
      <c r="CL298" s="408"/>
      <c r="CM298" s="408"/>
      <c r="CN298" s="408"/>
      <c r="CO298" s="408">
        <v>-2647.9697800000004</v>
      </c>
      <c r="CP298" s="408">
        <v>284.23992999999996</v>
      </c>
      <c r="CQ298" s="408">
        <v>31</v>
      </c>
      <c r="CR298" s="408">
        <v>365.21683283796756</v>
      </c>
      <c r="CS298" s="408">
        <v>7.9806755100082825</v>
      </c>
      <c r="CT298" s="408">
        <v>25.004126753566879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0.70003913835454323</v>
      </c>
      <c r="DA298" s="408">
        <v>0</v>
      </c>
      <c r="DB298" s="408">
        <v>0</v>
      </c>
      <c r="DC298" s="408">
        <v>284.27645978219812</v>
      </c>
      <c r="DD298" s="408">
        <v>0</v>
      </c>
      <c r="DE298" s="408">
        <v>0</v>
      </c>
      <c r="DF298" s="408">
        <v>0.7919620638435898</v>
      </c>
      <c r="DG298" s="408">
        <v>47.190409141450004</v>
      </c>
      <c r="DH298" s="408">
        <v>0</v>
      </c>
      <c r="DI298" s="408">
        <v>0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0</v>
      </c>
      <c r="DP298" s="408">
        <v>-0.72683955145470591</v>
      </c>
      <c r="DQ298" s="408">
        <v>0</v>
      </c>
      <c r="DR298" s="408">
        <v>0</v>
      </c>
      <c r="DS298" s="408"/>
      <c r="DT298" s="408"/>
      <c r="DU298" s="408"/>
      <c r="DV298" s="408">
        <v>3714.2281388021984</v>
      </c>
      <c r="DW298" s="408">
        <v>0</v>
      </c>
      <c r="DX298" s="408">
        <v>0</v>
      </c>
      <c r="DY298" s="408">
        <v>-2647.9697799999994</v>
      </c>
      <c r="DZ298" s="234">
        <v>284.23993000000019</v>
      </c>
      <c r="EA298" s="408">
        <v>0</v>
      </c>
      <c r="EB298" s="408">
        <v>0</v>
      </c>
      <c r="EC298" s="408">
        <v>-2728.8798777400943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242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297</v>
      </c>
      <c r="B299" s="408" t="s">
        <v>1036</v>
      </c>
      <c r="C299" s="408" t="s">
        <v>2231</v>
      </c>
      <c r="D299" s="408" t="s">
        <v>1952</v>
      </c>
      <c r="E299" s="408" t="s">
        <v>969</v>
      </c>
      <c r="F299" s="408" t="s">
        <v>2238</v>
      </c>
      <c r="G299" s="408" t="s">
        <v>1322</v>
      </c>
      <c r="H299" s="408" t="s">
        <v>1322</v>
      </c>
      <c r="I299" s="408" t="s">
        <v>1322</v>
      </c>
      <c r="J299" s="408" t="s">
        <v>2232</v>
      </c>
      <c r="K299" s="828">
        <v>44562</v>
      </c>
      <c r="L299" s="408">
        <v>0</v>
      </c>
      <c r="M299" s="408">
        <v>0</v>
      </c>
      <c r="N299" s="408">
        <v>4.9169999999999998</v>
      </c>
      <c r="O299" s="408">
        <v>4.9169999999999998</v>
      </c>
      <c r="P299" s="408">
        <v>4.9169999999999998</v>
      </c>
      <c r="Q299" s="408">
        <v>4.9169999999999998</v>
      </c>
      <c r="R299" s="408"/>
      <c r="S299" s="408">
        <v>501.89</v>
      </c>
      <c r="T299" s="408">
        <v>216.76</v>
      </c>
      <c r="U299" s="408"/>
      <c r="V299" s="408">
        <v>3533.60205</v>
      </c>
      <c r="W299" s="408">
        <v>3533.60205</v>
      </c>
      <c r="X299" s="408">
        <v>2199.3741</v>
      </c>
      <c r="Y299" s="408">
        <v>0</v>
      </c>
      <c r="Z299" s="408">
        <v>0</v>
      </c>
      <c r="AA299" s="408">
        <v>0</v>
      </c>
      <c r="AB299" s="408">
        <v>0</v>
      </c>
      <c r="AC299" s="408">
        <v>0</v>
      </c>
      <c r="AD299" s="408">
        <v>4.0413496604814849</v>
      </c>
      <c r="AE299" s="408">
        <v>2096.5284994249118</v>
      </c>
      <c r="AF299" s="408">
        <v>1050.2785795498182</v>
      </c>
      <c r="AG299" s="408">
        <v>15.524959089136255</v>
      </c>
      <c r="AH299" s="408">
        <v>0</v>
      </c>
      <c r="AI299" s="408">
        <v>0</v>
      </c>
      <c r="AJ299" s="408">
        <v>0</v>
      </c>
      <c r="AK299" s="408">
        <v>0</v>
      </c>
      <c r="AL299" s="408">
        <v>0</v>
      </c>
      <c r="AM299" s="408"/>
      <c r="AN299" s="408">
        <v>9.4331148076147731</v>
      </c>
      <c r="AO299" s="408">
        <v>43.671307832338663</v>
      </c>
      <c r="AP299" s="408">
        <v>136.82587585029077</v>
      </c>
      <c r="AQ299" s="408">
        <v>0</v>
      </c>
      <c r="AR299" s="408">
        <v>0</v>
      </c>
      <c r="AS299" s="408">
        <v>0</v>
      </c>
      <c r="AT299" s="408">
        <v>0</v>
      </c>
      <c r="AU299" s="408">
        <v>0</v>
      </c>
      <c r="AV299" s="408">
        <v>0</v>
      </c>
      <c r="AW299" s="408">
        <v>0</v>
      </c>
      <c r="AX299" s="408">
        <v>0</v>
      </c>
      <c r="AY299" s="408">
        <v>0</v>
      </c>
      <c r="AZ299" s="408">
        <v>0</v>
      </c>
      <c r="BA299" s="408"/>
      <c r="BB299" s="408">
        <v>0</v>
      </c>
      <c r="BC299" s="408">
        <v>0</v>
      </c>
      <c r="BD299" s="408">
        <v>2.9259573307907947</v>
      </c>
      <c r="BE299" s="408">
        <v>0</v>
      </c>
      <c r="BF299" s="408">
        <v>0</v>
      </c>
      <c r="BG299" s="408">
        <v>174.34815362281145</v>
      </c>
      <c r="BH299" s="408">
        <v>0</v>
      </c>
      <c r="BI299" s="408">
        <v>7.98</v>
      </c>
      <c r="BJ299" s="408">
        <v>38.74</v>
      </c>
      <c r="BK299" s="408">
        <v>783.92</v>
      </c>
      <c r="BL299" s="408">
        <v>42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>
        <v>1227.5526905034205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2200.7159999999999</v>
      </c>
      <c r="CJ299" s="408">
        <v>-1332.9160500000007</v>
      </c>
      <c r="CK299" s="408"/>
      <c r="CL299" s="408"/>
      <c r="CM299" s="408"/>
      <c r="CN299" s="408"/>
      <c r="CO299" s="408">
        <v>-1494.66966</v>
      </c>
      <c r="CP299" s="408">
        <v>160.44170999999997</v>
      </c>
      <c r="CQ299" s="408">
        <v>31</v>
      </c>
      <c r="CR299" s="408">
        <v>206.14982976286046</v>
      </c>
      <c r="CS299" s="408">
        <v>4.5047619656423663</v>
      </c>
      <c r="CT299" s="408">
        <v>14.113797640602485</v>
      </c>
      <c r="CU299" s="408">
        <v>0</v>
      </c>
      <c r="CV299" s="408">
        <v>0</v>
      </c>
      <c r="CW299" s="408">
        <v>0</v>
      </c>
      <c r="CX299" s="408">
        <v>0</v>
      </c>
      <c r="CY299" s="408">
        <v>0</v>
      </c>
      <c r="CZ299" s="408">
        <v>0.39514320322457674</v>
      </c>
      <c r="DA299" s="408">
        <v>0</v>
      </c>
      <c r="DB299" s="408">
        <v>0</v>
      </c>
      <c r="DC299" s="408">
        <v>160.46232955447908</v>
      </c>
      <c r="DD299" s="408">
        <v>0</v>
      </c>
      <c r="DE299" s="408">
        <v>0</v>
      </c>
      <c r="DF299" s="408">
        <v>0.44702990103534912</v>
      </c>
      <c r="DG299" s="408">
        <v>26.637038428252737</v>
      </c>
      <c r="DH299" s="408">
        <v>0</v>
      </c>
      <c r="DI299" s="408">
        <v>0</v>
      </c>
      <c r="DJ299" s="408"/>
      <c r="DK299" s="408">
        <v>0</v>
      </c>
      <c r="DL299" s="408">
        <v>0</v>
      </c>
      <c r="DM299" s="408">
        <v>0</v>
      </c>
      <c r="DN299" s="408">
        <v>0</v>
      </c>
      <c r="DO299" s="408">
        <v>0</v>
      </c>
      <c r="DP299" s="408">
        <v>-0.41027093037570772</v>
      </c>
      <c r="DQ299" s="408">
        <v>0</v>
      </c>
      <c r="DR299" s="408">
        <v>0</v>
      </c>
      <c r="DS299" s="408"/>
      <c r="DT299" s="408"/>
      <c r="DU299" s="408"/>
      <c r="DV299" s="408">
        <v>2096.5284994249118</v>
      </c>
      <c r="DW299" s="408">
        <v>0</v>
      </c>
      <c r="DX299" s="408">
        <v>0</v>
      </c>
      <c r="DY299" s="408">
        <v>-1494.66966</v>
      </c>
      <c r="DZ299" s="234">
        <v>160.44170999999983</v>
      </c>
      <c r="EA299" s="408">
        <v>0</v>
      </c>
      <c r="EB299" s="408">
        <v>0</v>
      </c>
      <c r="EC299" s="408">
        <v>-1540.3400710421356</v>
      </c>
      <c r="ED299" s="408">
        <v>0</v>
      </c>
      <c r="EE299" s="408">
        <v>0</v>
      </c>
      <c r="EF299" s="408">
        <v>0</v>
      </c>
      <c r="EG299" s="408">
        <v>0</v>
      </c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>
        <v>0</v>
      </c>
      <c r="EN299" s="408">
        <v>0</v>
      </c>
      <c r="EO299" s="408">
        <v>0</v>
      </c>
      <c r="EP299" s="408">
        <v>0</v>
      </c>
      <c r="EQ299" s="408">
        <v>0</v>
      </c>
      <c r="ER299" s="408">
        <v>0</v>
      </c>
      <c r="ES299" s="408">
        <v>0</v>
      </c>
      <c r="ET299" s="408">
        <v>0</v>
      </c>
      <c r="EU299" s="408">
        <v>0</v>
      </c>
      <c r="EV299" s="408">
        <v>242</v>
      </c>
      <c r="EW299" s="408">
        <v>0</v>
      </c>
      <c r="EX299" s="408">
        <v>0</v>
      </c>
      <c r="EY299" s="408">
        <v>0</v>
      </c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298</v>
      </c>
      <c r="B300" s="408" t="s">
        <v>1036</v>
      </c>
      <c r="C300" s="408" t="s">
        <v>2231</v>
      </c>
      <c r="D300" s="408" t="s">
        <v>1955</v>
      </c>
      <c r="E300" s="408" t="s">
        <v>970</v>
      </c>
      <c r="F300" s="408" t="s">
        <v>1322</v>
      </c>
      <c r="G300" s="408" t="s">
        <v>1322</v>
      </c>
      <c r="H300" s="408" t="s">
        <v>1322</v>
      </c>
      <c r="I300" s="408" t="s">
        <v>1322</v>
      </c>
      <c r="J300" s="408" t="s">
        <v>2232</v>
      </c>
      <c r="K300" s="828">
        <v>44562</v>
      </c>
      <c r="L300" s="408">
        <v>0</v>
      </c>
      <c r="M300" s="408">
        <v>0</v>
      </c>
      <c r="N300" s="408">
        <v>40.28</v>
      </c>
      <c r="O300" s="408">
        <v>40.28</v>
      </c>
      <c r="P300" s="408">
        <v>40.28</v>
      </c>
      <c r="Q300" s="408">
        <v>40.28</v>
      </c>
      <c r="R300" s="408"/>
      <c r="S300" s="408">
        <v>571.87</v>
      </c>
      <c r="T300" s="408">
        <v>216.76</v>
      </c>
      <c r="U300" s="408"/>
      <c r="V300" s="408">
        <v>31766.0164</v>
      </c>
      <c r="W300" s="408">
        <v>31766.0164</v>
      </c>
      <c r="X300" s="408">
        <v>20704.322800000002</v>
      </c>
      <c r="Y300" s="408">
        <v>0</v>
      </c>
      <c r="Z300" s="408">
        <v>2441.3956545339033</v>
      </c>
      <c r="AA300" s="408">
        <v>0</v>
      </c>
      <c r="AB300" s="408">
        <v>0</v>
      </c>
      <c r="AC300" s="408">
        <v>0</v>
      </c>
      <c r="AD300" s="408">
        <v>33.106683816187555</v>
      </c>
      <c r="AE300" s="408">
        <v>17174.734178734077</v>
      </c>
      <c r="AF300" s="408">
        <v>8603.8684531760591</v>
      </c>
      <c r="AG300" s="408">
        <v>127.18026278430106</v>
      </c>
      <c r="AH300" s="408">
        <v>0</v>
      </c>
      <c r="AI300" s="408">
        <v>0</v>
      </c>
      <c r="AJ300" s="408">
        <v>0</v>
      </c>
      <c r="AK300" s="408">
        <v>0</v>
      </c>
      <c r="AL300" s="408">
        <v>377.5699637671903</v>
      </c>
      <c r="AM300" s="408"/>
      <c r="AN300" s="408">
        <v>77.27595372192863</v>
      </c>
      <c r="AO300" s="408">
        <v>357.7547853338624</v>
      </c>
      <c r="AP300" s="408">
        <v>1120.8757940308546</v>
      </c>
      <c r="AQ300" s="408">
        <v>0</v>
      </c>
      <c r="AR300" s="408">
        <v>0</v>
      </c>
      <c r="AS300" s="408">
        <v>0</v>
      </c>
      <c r="AT300" s="408">
        <v>0</v>
      </c>
      <c r="AU300" s="408">
        <v>0</v>
      </c>
      <c r="AV300" s="408">
        <v>0</v>
      </c>
      <c r="AW300" s="408">
        <v>0</v>
      </c>
      <c r="AX300" s="408">
        <v>0</v>
      </c>
      <c r="AY300" s="408">
        <v>0</v>
      </c>
      <c r="AZ300" s="408">
        <v>0</v>
      </c>
      <c r="BA300" s="408"/>
      <c r="BB300" s="408">
        <v>0</v>
      </c>
      <c r="BC300" s="408">
        <v>0</v>
      </c>
      <c r="BD300" s="408">
        <v>23.969404369382389</v>
      </c>
      <c r="BE300" s="408">
        <v>0</v>
      </c>
      <c r="BF300" s="408">
        <v>0</v>
      </c>
      <c r="BG300" s="408">
        <v>1428.2578051508738</v>
      </c>
      <c r="BH300" s="408">
        <v>0</v>
      </c>
      <c r="BI300" s="408">
        <v>107.39</v>
      </c>
      <c r="BJ300" s="408">
        <v>493.66</v>
      </c>
      <c r="BK300" s="408">
        <v>5547.64</v>
      </c>
      <c r="BL300" s="408">
        <v>28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>
        <v>10056.095662696314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20704.322800000002</v>
      </c>
      <c r="CJ300" s="408">
        <v>-11061.723599999994</v>
      </c>
      <c r="CK300" s="408"/>
      <c r="CL300" s="408"/>
      <c r="CM300" s="408"/>
      <c r="CN300" s="408"/>
      <c r="CO300" s="408">
        <v>-12376.03</v>
      </c>
      <c r="CP300" s="408">
        <v>1314.3363999999999</v>
      </c>
      <c r="CQ300" s="408">
        <v>31</v>
      </c>
      <c r="CR300" s="408">
        <v>1556.8343194972185</v>
      </c>
      <c r="CS300" s="408">
        <v>36.902951388260021</v>
      </c>
      <c r="CT300" s="408">
        <v>115.62004656568411</v>
      </c>
      <c r="CU300" s="408">
        <v>0</v>
      </c>
      <c r="CV300" s="408">
        <v>0</v>
      </c>
      <c r="CW300" s="408">
        <v>0</v>
      </c>
      <c r="CX300" s="408">
        <v>0</v>
      </c>
      <c r="CY300" s="408">
        <v>0</v>
      </c>
      <c r="CZ300" s="408">
        <v>3.2370079776054439</v>
      </c>
      <c r="DA300" s="408">
        <v>0</v>
      </c>
      <c r="DB300" s="408">
        <v>0</v>
      </c>
      <c r="DC300" s="408">
        <v>1314.5053151219072</v>
      </c>
      <c r="DD300" s="408">
        <v>0</v>
      </c>
      <c r="DE300" s="408">
        <v>0</v>
      </c>
      <c r="DF300" s="408">
        <v>3.6620631307105711</v>
      </c>
      <c r="DG300" s="408">
        <v>218.21027209477734</v>
      </c>
      <c r="DH300" s="408">
        <v>0</v>
      </c>
      <c r="DI300" s="408">
        <v>-116.64303774410064</v>
      </c>
      <c r="DJ300" s="408"/>
      <c r="DK300" s="408">
        <v>0</v>
      </c>
      <c r="DL300" s="408">
        <v>0</v>
      </c>
      <c r="DM300" s="408">
        <v>0</v>
      </c>
      <c r="DN300" s="408">
        <v>0</v>
      </c>
      <c r="DO300" s="408">
        <v>-15.299364916103116</v>
      </c>
      <c r="DP300" s="408">
        <v>-3.3609341215239965</v>
      </c>
      <c r="DQ300" s="408">
        <v>0</v>
      </c>
      <c r="DR300" s="408">
        <v>0</v>
      </c>
      <c r="DS300" s="408"/>
      <c r="DT300" s="408"/>
      <c r="DU300" s="408"/>
      <c r="DV300" s="408">
        <v>17174.734178734077</v>
      </c>
      <c r="DW300" s="408">
        <v>0</v>
      </c>
      <c r="DX300" s="408">
        <v>0</v>
      </c>
      <c r="DY300" s="408">
        <v>-12376.03</v>
      </c>
      <c r="DZ300" s="234">
        <v>1314.3364000000001</v>
      </c>
      <c r="EA300" s="408">
        <v>0</v>
      </c>
      <c r="EB300" s="408">
        <v>0</v>
      </c>
      <c r="EC300" s="408">
        <v>-12618.445812808059</v>
      </c>
      <c r="ED300" s="408">
        <v>0</v>
      </c>
      <c r="EE300" s="408">
        <v>0</v>
      </c>
      <c r="EF300" s="408">
        <v>0</v>
      </c>
      <c r="EG300" s="408">
        <v>0</v>
      </c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>
        <v>0</v>
      </c>
      <c r="EN300" s="408">
        <v>0</v>
      </c>
      <c r="EO300" s="408">
        <v>0</v>
      </c>
      <c r="EP300" s="408">
        <v>0</v>
      </c>
      <c r="EQ300" s="408">
        <v>0</v>
      </c>
      <c r="ER300" s="408">
        <v>0</v>
      </c>
      <c r="ES300" s="408">
        <v>0</v>
      </c>
      <c r="ET300" s="408">
        <v>0</v>
      </c>
      <c r="EU300" s="408">
        <v>0</v>
      </c>
      <c r="EV300" s="408">
        <v>242</v>
      </c>
      <c r="EW300" s="408">
        <v>0</v>
      </c>
      <c r="EX300" s="408">
        <v>0</v>
      </c>
      <c r="EY300" s="408">
        <v>0</v>
      </c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299</v>
      </c>
      <c r="B301" s="408" t="s">
        <v>2234</v>
      </c>
      <c r="C301" s="408" t="s">
        <v>2231</v>
      </c>
      <c r="D301" s="408" t="s">
        <v>1955</v>
      </c>
      <c r="E301" s="408" t="s">
        <v>970</v>
      </c>
      <c r="F301" s="408" t="s">
        <v>1322</v>
      </c>
      <c r="G301" s="408" t="s">
        <v>1322</v>
      </c>
      <c r="H301" s="408" t="s">
        <v>1322</v>
      </c>
      <c r="I301" s="408" t="s">
        <v>1322</v>
      </c>
      <c r="J301" s="408" t="s">
        <v>2232</v>
      </c>
      <c r="K301" s="828">
        <v>44562</v>
      </c>
      <c r="L301" s="408">
        <v>0</v>
      </c>
      <c r="M301" s="408">
        <v>0</v>
      </c>
      <c r="N301" s="408">
        <v>2.7519999999999998</v>
      </c>
      <c r="O301" s="408">
        <v>2.7519999999999998</v>
      </c>
      <c r="P301" s="408">
        <v>2.7519999999999998</v>
      </c>
      <c r="Q301" s="408">
        <v>2.7519999999999998</v>
      </c>
      <c r="R301" s="408"/>
      <c r="S301" s="408">
        <v>571.87</v>
      </c>
      <c r="T301" s="408">
        <v>216.76</v>
      </c>
      <c r="U301" s="408"/>
      <c r="V301" s="408">
        <v>2170.3097600000001</v>
      </c>
      <c r="W301" s="408">
        <v>2170.3097600000001</v>
      </c>
      <c r="X301" s="408">
        <v>1414.5555199999999</v>
      </c>
      <c r="Y301" s="408">
        <v>0</v>
      </c>
      <c r="Z301" s="408">
        <v>166.80041810519614</v>
      </c>
      <c r="AA301" s="408">
        <v>0</v>
      </c>
      <c r="AB301" s="408">
        <v>0</v>
      </c>
      <c r="AC301" s="408">
        <v>0</v>
      </c>
      <c r="AD301" s="408">
        <v>2.2619065010463788</v>
      </c>
      <c r="AE301" s="408">
        <v>1173.4078565013947</v>
      </c>
      <c r="AF301" s="408">
        <v>587.83133026664621</v>
      </c>
      <c r="AG301" s="408">
        <v>8.6891778347168938</v>
      </c>
      <c r="AH301" s="408">
        <v>0</v>
      </c>
      <c r="AI301" s="408">
        <v>0</v>
      </c>
      <c r="AJ301" s="408">
        <v>0</v>
      </c>
      <c r="AK301" s="408">
        <v>0</v>
      </c>
      <c r="AL301" s="408">
        <v>25.796239828384003</v>
      </c>
      <c r="AM301" s="408"/>
      <c r="AN301" s="408">
        <v>5.2796282185389174</v>
      </c>
      <c r="AO301" s="408">
        <v>24.442432205531013</v>
      </c>
      <c r="AP301" s="408">
        <v>76.580193276388073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1.6376315994175852</v>
      </c>
      <c r="BE301" s="408">
        <v>0</v>
      </c>
      <c r="BF301" s="408">
        <v>0</v>
      </c>
      <c r="BG301" s="408">
        <v>97.581069507825319</v>
      </c>
      <c r="BH301" s="408">
        <v>0</v>
      </c>
      <c r="BI301" s="408">
        <v>6.79</v>
      </c>
      <c r="BJ301" s="408">
        <v>31.22</v>
      </c>
      <c r="BK301" s="408">
        <v>904.01</v>
      </c>
      <c r="BL301" s="408">
        <v>4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687.05003137388906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1413.5275000000001</v>
      </c>
      <c r="CJ301" s="408">
        <v>-756.8122599999997</v>
      </c>
      <c r="CK301" s="408"/>
      <c r="CL301" s="408"/>
      <c r="CM301" s="408"/>
      <c r="CN301" s="408"/>
      <c r="CO301" s="408">
        <v>-845.55199999999991</v>
      </c>
      <c r="CP301" s="408">
        <v>89.797759999999982</v>
      </c>
      <c r="CQ301" s="408">
        <v>31</v>
      </c>
      <c r="CR301" s="408">
        <v>106.36564168958182</v>
      </c>
      <c r="CS301" s="408">
        <v>2.5212741365563964</v>
      </c>
      <c r="CT301" s="408">
        <v>7.8993636581122786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0.2211580425613251</v>
      </c>
      <c r="DA301" s="408">
        <v>0</v>
      </c>
      <c r="DB301" s="408">
        <v>0</v>
      </c>
      <c r="DC301" s="408">
        <v>89.809300576352825</v>
      </c>
      <c r="DD301" s="408">
        <v>0</v>
      </c>
      <c r="DE301" s="408">
        <v>0</v>
      </c>
      <c r="DF301" s="408">
        <v>0.25019855351825937</v>
      </c>
      <c r="DG301" s="408">
        <v>14.908507169931156</v>
      </c>
      <c r="DH301" s="408">
        <v>0</v>
      </c>
      <c r="DI301" s="408">
        <v>-7.9692562033704917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-1.0452793507724891</v>
      </c>
      <c r="DP301" s="408">
        <v>-0.22962489330769831</v>
      </c>
      <c r="DQ301" s="408">
        <v>0</v>
      </c>
      <c r="DR301" s="408">
        <v>0</v>
      </c>
      <c r="DS301" s="408"/>
      <c r="DT301" s="408"/>
      <c r="DU301" s="408"/>
      <c r="DV301" s="408">
        <v>1173.4078565013947</v>
      </c>
      <c r="DW301" s="408">
        <v>0</v>
      </c>
      <c r="DX301" s="408">
        <v>0</v>
      </c>
      <c r="DY301" s="408">
        <v>-845.55199999999991</v>
      </c>
      <c r="DZ301" s="234">
        <v>89.797759999999926</v>
      </c>
      <c r="EA301" s="408">
        <v>0</v>
      </c>
      <c r="EB301" s="408">
        <v>0</v>
      </c>
      <c r="EC301" s="408">
        <v>-862.11427201707488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242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300</v>
      </c>
      <c r="B302" s="408" t="s">
        <v>1036</v>
      </c>
      <c r="C302" s="408" t="s">
        <v>2239</v>
      </c>
      <c r="D302" s="408" t="s">
        <v>597</v>
      </c>
      <c r="E302" s="408" t="s">
        <v>970</v>
      </c>
      <c r="F302" s="408" t="s">
        <v>1322</v>
      </c>
      <c r="G302" s="408" t="s">
        <v>1322</v>
      </c>
      <c r="H302" s="408" t="s">
        <v>1322</v>
      </c>
      <c r="I302" s="408" t="s">
        <v>973</v>
      </c>
      <c r="J302" s="408" t="s">
        <v>2232</v>
      </c>
      <c r="K302" s="828">
        <v>44562</v>
      </c>
      <c r="L302" s="408">
        <v>0</v>
      </c>
      <c r="M302" s="408">
        <v>0</v>
      </c>
      <c r="N302" s="408">
        <v>3.444</v>
      </c>
      <c r="O302" s="408">
        <v>3.444</v>
      </c>
      <c r="P302" s="408">
        <v>3.444</v>
      </c>
      <c r="Q302" s="408">
        <v>3.444</v>
      </c>
      <c r="R302" s="408"/>
      <c r="S302" s="408">
        <v>2592.54</v>
      </c>
      <c r="T302" s="408">
        <v>216.76</v>
      </c>
      <c r="U302" s="408"/>
      <c r="V302" s="408">
        <v>9675.2291999999998</v>
      </c>
      <c r="W302" s="408">
        <v>9675.2291999999998</v>
      </c>
      <c r="X302" s="408">
        <v>4068.0527999999995</v>
      </c>
      <c r="Y302" s="408">
        <v>0</v>
      </c>
      <c r="Z302" s="408">
        <v>181.60637963671411</v>
      </c>
      <c r="AA302" s="408">
        <v>0</v>
      </c>
      <c r="AB302" s="408">
        <v>0</v>
      </c>
      <c r="AC302" s="408">
        <v>0</v>
      </c>
      <c r="AD302" s="408">
        <v>17.415051653137752</v>
      </c>
      <c r="AE302" s="408">
        <v>7889.8303412012301</v>
      </c>
      <c r="AF302" s="408">
        <v>735.64356883660241</v>
      </c>
      <c r="AG302" s="408">
        <v>10.874101912341928</v>
      </c>
      <c r="AH302" s="408">
        <v>0</v>
      </c>
      <c r="AI302" s="408">
        <v>0</v>
      </c>
      <c r="AJ302" s="408">
        <v>0</v>
      </c>
      <c r="AK302" s="408">
        <v>0</v>
      </c>
      <c r="AL302" s="408">
        <v>32.282794320114284</v>
      </c>
      <c r="AM302" s="408"/>
      <c r="AN302" s="408">
        <v>4.7293772447509932</v>
      </c>
      <c r="AO302" s="408">
        <v>155.37561758662747</v>
      </c>
      <c r="AP302" s="408">
        <v>589.61537860671649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1.5749367174788684</v>
      </c>
      <c r="BE302" s="408">
        <v>0</v>
      </c>
      <c r="BF302" s="408">
        <v>0</v>
      </c>
      <c r="BG302" s="408">
        <v>56.261724112377415</v>
      </c>
      <c r="BH302" s="408">
        <v>0</v>
      </c>
      <c r="BI302" s="408">
        <v>0</v>
      </c>
      <c r="BJ302" s="408">
        <v>0</v>
      </c>
      <c r="BK302" s="408">
        <v>0</v>
      </c>
      <c r="BL302" s="408">
        <v>0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793.48022966645874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4063.3279999999995</v>
      </c>
      <c r="CJ302" s="408">
        <v>-5611.9312000000009</v>
      </c>
      <c r="CK302" s="408"/>
      <c r="CL302" s="408"/>
      <c r="CM302" s="408"/>
      <c r="CN302" s="408"/>
      <c r="CO302" s="408">
        <v>-5719.5541199999998</v>
      </c>
      <c r="CP302" s="408">
        <v>112.37771999999998</v>
      </c>
      <c r="CQ302" s="408">
        <v>31</v>
      </c>
      <c r="CR302" s="408">
        <v>189.58774925516991</v>
      </c>
      <c r="CS302" s="408">
        <v>16.027231773767255</v>
      </c>
      <c r="CT302" s="408">
        <v>60.819724980583032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1.7027577103344491</v>
      </c>
      <c r="DA302" s="408">
        <v>0</v>
      </c>
      <c r="DB302" s="408">
        <v>0</v>
      </c>
      <c r="DC302" s="408">
        <v>112.39216249453443</v>
      </c>
      <c r="DD302" s="408">
        <v>0</v>
      </c>
      <c r="DE302" s="408">
        <v>0</v>
      </c>
      <c r="DF302" s="408">
        <v>0.24061998360079984</v>
      </c>
      <c r="DG302" s="408">
        <v>8.595707359559178</v>
      </c>
      <c r="DH302" s="408">
        <v>0</v>
      </c>
      <c r="DI302" s="408">
        <v>-8.6766435236316966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-1.3081184898475477</v>
      </c>
      <c r="DP302" s="408">
        <v>-0.20569303373000292</v>
      </c>
      <c r="DQ302" s="408">
        <v>0</v>
      </c>
      <c r="DR302" s="408">
        <v>0</v>
      </c>
      <c r="DS302" s="408"/>
      <c r="DT302" s="408"/>
      <c r="DU302" s="408"/>
      <c r="DV302" s="408">
        <v>7889.8303412012301</v>
      </c>
      <c r="DW302" s="408">
        <v>0</v>
      </c>
      <c r="DX302" s="408">
        <v>0</v>
      </c>
      <c r="DY302" s="408">
        <v>-5719.5541199999998</v>
      </c>
      <c r="DZ302" s="234">
        <v>112.37771999999995</v>
      </c>
      <c r="EA302" s="408">
        <v>0</v>
      </c>
      <c r="EB302" s="408">
        <v>0</v>
      </c>
      <c r="EC302" s="408">
        <v>-5796.7358095107875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242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301</v>
      </c>
      <c r="B303" s="408" t="s">
        <v>1036</v>
      </c>
      <c r="C303" s="408" t="s">
        <v>2239</v>
      </c>
      <c r="D303" s="408" t="s">
        <v>597</v>
      </c>
      <c r="E303" s="408" t="s">
        <v>970</v>
      </c>
      <c r="F303" s="408" t="s">
        <v>1322</v>
      </c>
      <c r="G303" s="408" t="s">
        <v>1322</v>
      </c>
      <c r="H303" s="408" t="s">
        <v>1322</v>
      </c>
      <c r="I303" s="408" t="s">
        <v>2240</v>
      </c>
      <c r="J303" s="408" t="s">
        <v>2232</v>
      </c>
      <c r="K303" s="828">
        <v>44562</v>
      </c>
      <c r="L303" s="408">
        <v>0</v>
      </c>
      <c r="M303" s="408">
        <v>0</v>
      </c>
      <c r="N303" s="408">
        <v>120.05800000000001</v>
      </c>
      <c r="O303" s="408">
        <v>120.05800000000001</v>
      </c>
      <c r="P303" s="408">
        <v>120.05800000000001</v>
      </c>
      <c r="Q303" s="408">
        <v>120.05800000000001</v>
      </c>
      <c r="R303" s="408"/>
      <c r="S303" s="408">
        <v>80.27</v>
      </c>
      <c r="T303" s="408">
        <v>216.76</v>
      </c>
      <c r="U303" s="408"/>
      <c r="V303" s="408">
        <v>35660.827740000001</v>
      </c>
      <c r="W303" s="408">
        <v>35660.827740000001</v>
      </c>
      <c r="X303" s="408">
        <v>39531.497660000001</v>
      </c>
      <c r="Y303" s="408">
        <v>0</v>
      </c>
      <c r="Z303" s="408">
        <v>6330.8068311337465</v>
      </c>
      <c r="AA303" s="408">
        <v>0</v>
      </c>
      <c r="AB303" s="408">
        <v>0</v>
      </c>
      <c r="AC303" s="408">
        <v>0</v>
      </c>
      <c r="AD303" s="408">
        <v>0</v>
      </c>
      <c r="AE303" s="408">
        <v>0</v>
      </c>
      <c r="AF303" s="408">
        <v>25644.568985884092</v>
      </c>
      <c r="AG303" s="408">
        <v>379.07169784899747</v>
      </c>
      <c r="AH303" s="408">
        <v>0</v>
      </c>
      <c r="AI303" s="408">
        <v>0</v>
      </c>
      <c r="AJ303" s="408">
        <v>0</v>
      </c>
      <c r="AK303" s="408">
        <v>0</v>
      </c>
      <c r="AL303" s="408">
        <v>1125.3797097805693</v>
      </c>
      <c r="AM303" s="408"/>
      <c r="AN303" s="408">
        <v>164.86631046757108</v>
      </c>
      <c r="AO303" s="408">
        <v>0</v>
      </c>
      <c r="AP303" s="408">
        <v>0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54.90236713910511</v>
      </c>
      <c r="BE303" s="408">
        <v>0</v>
      </c>
      <c r="BF303" s="408">
        <v>0</v>
      </c>
      <c r="BG303" s="408">
        <v>1961.2863163425693</v>
      </c>
      <c r="BH303" s="408">
        <v>0</v>
      </c>
      <c r="BI303" s="408">
        <v>0</v>
      </c>
      <c r="BJ303" s="408">
        <v>0</v>
      </c>
      <c r="BK303" s="408">
        <v>0</v>
      </c>
      <c r="BL303" s="408">
        <v>0</v>
      </c>
      <c r="BM303" s="408"/>
      <c r="BN303" s="408"/>
      <c r="BO303" s="408"/>
      <c r="BP303" s="408"/>
      <c r="BQ303" s="408"/>
      <c r="BR303" s="408"/>
      <c r="BS303" s="408"/>
      <c r="BT303" s="408"/>
      <c r="BU303" s="408"/>
      <c r="BV303" s="408">
        <v>27660.757669365765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39532.156199999998</v>
      </c>
      <c r="CJ303" s="408">
        <v>3871.2984599999982</v>
      </c>
      <c r="CK303" s="408"/>
      <c r="CL303" s="408"/>
      <c r="CM303" s="408"/>
      <c r="CN303" s="408"/>
      <c r="CO303" s="408">
        <v>-46.822620000000072</v>
      </c>
      <c r="CP303" s="408">
        <v>3917.4925399999997</v>
      </c>
      <c r="CQ303" s="408">
        <v>31</v>
      </c>
      <c r="CR303" s="408">
        <v>3870.7910513577444</v>
      </c>
      <c r="CS303" s="408">
        <v>0</v>
      </c>
      <c r="CT303" s="408">
        <v>0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0</v>
      </c>
      <c r="DA303" s="408">
        <v>0</v>
      </c>
      <c r="DB303" s="408">
        <v>0</v>
      </c>
      <c r="DC303" s="408">
        <v>3917.9960060304365</v>
      </c>
      <c r="DD303" s="408">
        <v>0</v>
      </c>
      <c r="DE303" s="408">
        <v>0</v>
      </c>
      <c r="DF303" s="408">
        <v>8.3880238069526172</v>
      </c>
      <c r="DG303" s="408">
        <v>299.6467578902309</v>
      </c>
      <c r="DH303" s="408">
        <v>0</v>
      </c>
      <c r="DI303" s="408">
        <v>-302.46819632989991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-45.601071328140733</v>
      </c>
      <c r="DP303" s="408">
        <v>-7.1704687118341326</v>
      </c>
      <c r="DQ303" s="408">
        <v>0</v>
      </c>
      <c r="DR303" s="408">
        <v>0</v>
      </c>
      <c r="DS303" s="408"/>
      <c r="DT303" s="408"/>
      <c r="DU303" s="408"/>
      <c r="DV303" s="408">
        <v>0</v>
      </c>
      <c r="DW303" s="408">
        <v>0</v>
      </c>
      <c r="DX303" s="408">
        <v>0</v>
      </c>
      <c r="DY303" s="408">
        <v>-46.822620000000825</v>
      </c>
      <c r="DZ303" s="234">
        <v>3917.4925400000029</v>
      </c>
      <c r="EA303" s="408">
        <v>0</v>
      </c>
      <c r="EB303" s="408">
        <v>0</v>
      </c>
      <c r="EC303" s="408">
        <v>0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242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302</v>
      </c>
      <c r="B304" s="408" t="s">
        <v>1036</v>
      </c>
      <c r="C304" s="408" t="s">
        <v>2239</v>
      </c>
      <c r="D304" s="408" t="s">
        <v>597</v>
      </c>
      <c r="E304" s="408" t="s">
        <v>970</v>
      </c>
      <c r="F304" s="408" t="s">
        <v>1322</v>
      </c>
      <c r="G304" s="408" t="s">
        <v>1322</v>
      </c>
      <c r="H304" s="408" t="s">
        <v>1322</v>
      </c>
      <c r="I304" s="408" t="s">
        <v>1322</v>
      </c>
      <c r="J304" s="408" t="s">
        <v>2232</v>
      </c>
      <c r="K304" s="828">
        <v>44562</v>
      </c>
      <c r="L304" s="408">
        <v>932</v>
      </c>
      <c r="M304" s="408">
        <v>932</v>
      </c>
      <c r="N304" s="408">
        <v>0</v>
      </c>
      <c r="O304" s="408">
        <v>0</v>
      </c>
      <c r="P304" s="408">
        <v>0</v>
      </c>
      <c r="Q304" s="408">
        <v>0</v>
      </c>
      <c r="R304" s="408">
        <v>32.17</v>
      </c>
      <c r="S304" s="408"/>
      <c r="T304" s="408"/>
      <c r="U304" s="408">
        <v>29982.440000000002</v>
      </c>
      <c r="V304" s="408"/>
      <c r="W304" s="408">
        <v>29982.440000000002</v>
      </c>
      <c r="X304" s="408">
        <v>12050.76</v>
      </c>
      <c r="Y304" s="408">
        <v>0</v>
      </c>
      <c r="Z304" s="408">
        <v>0</v>
      </c>
      <c r="AA304" s="408">
        <v>0</v>
      </c>
      <c r="AB304" s="408">
        <v>0</v>
      </c>
      <c r="AC304" s="408">
        <v>0</v>
      </c>
      <c r="AD304" s="408">
        <v>93.121921822348682</v>
      </c>
      <c r="AE304" s="408">
        <v>25095.717419355475</v>
      </c>
      <c r="AF304" s="408"/>
      <c r="AG304" s="408"/>
      <c r="AH304" s="408"/>
      <c r="AI304" s="408">
        <v>0</v>
      </c>
      <c r="AJ304" s="408">
        <v>0</v>
      </c>
      <c r="AK304" s="408">
        <v>0</v>
      </c>
      <c r="AL304" s="408">
        <v>0</v>
      </c>
      <c r="AM304" s="408"/>
      <c r="AN304" s="408">
        <v>0</v>
      </c>
      <c r="AO304" s="408">
        <v>1644.4404711775965</v>
      </c>
      <c r="AP304" s="408">
        <v>3152.8303341953738</v>
      </c>
      <c r="AQ304" s="408">
        <v>0</v>
      </c>
      <c r="AR304" s="408">
        <v>0</v>
      </c>
      <c r="AS304" s="408"/>
      <c r="AT304" s="408"/>
      <c r="AU304" s="408">
        <v>0</v>
      </c>
      <c r="AV304" s="408">
        <v>0</v>
      </c>
      <c r="AW304" s="408">
        <v>0</v>
      </c>
      <c r="AX304" s="408"/>
      <c r="AY304" s="408"/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/>
      <c r="BG304" s="408">
        <v>0</v>
      </c>
      <c r="BH304" s="408">
        <v>0</v>
      </c>
      <c r="BI304" s="408">
        <v>266.3</v>
      </c>
      <c r="BJ304" s="408">
        <v>1223.0999999999999</v>
      </c>
      <c r="BK304" s="408">
        <v>14789.93</v>
      </c>
      <c r="BL304" s="408">
        <v>6</v>
      </c>
      <c r="BM304" s="408"/>
      <c r="BN304" s="408"/>
      <c r="BO304" s="408"/>
      <c r="BP304" s="408"/>
      <c r="BQ304" s="408"/>
      <c r="BR304" s="408"/>
      <c r="BS304" s="408"/>
      <c r="BT304" s="408"/>
      <c r="BU304" s="408"/>
      <c r="BV304" s="408">
        <v>0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12050.76</v>
      </c>
      <c r="CJ304" s="408">
        <v>-17931.71</v>
      </c>
      <c r="CK304" s="408"/>
      <c r="CL304" s="408"/>
      <c r="CM304" s="408"/>
      <c r="CN304" s="408"/>
      <c r="CO304" s="408">
        <v>-17931.68</v>
      </c>
      <c r="CP304" s="408">
        <v>0</v>
      </c>
      <c r="CQ304" s="408">
        <v>31</v>
      </c>
      <c r="CR304" s="408">
        <v>503.95079689703016</v>
      </c>
      <c r="CS304" s="408">
        <v>169.62654101781982</v>
      </c>
      <c r="CT304" s="408">
        <v>325.21925443894179</v>
      </c>
      <c r="CU304" s="408">
        <v>0</v>
      </c>
      <c r="CV304" s="408">
        <v>0</v>
      </c>
      <c r="CW304" s="408"/>
      <c r="CX304" s="408"/>
      <c r="CY304" s="408"/>
      <c r="CZ304" s="408">
        <v>9.1050014402685804</v>
      </c>
      <c r="DA304" s="408">
        <v>0</v>
      </c>
      <c r="DB304" s="408">
        <v>0</v>
      </c>
      <c r="DC304" s="408"/>
      <c r="DD304" s="408"/>
      <c r="DE304" s="408">
        <v>0</v>
      </c>
      <c r="DF304" s="408">
        <v>0</v>
      </c>
      <c r="DG304" s="408">
        <v>0</v>
      </c>
      <c r="DH304" s="408">
        <v>0</v>
      </c>
      <c r="DI304" s="408">
        <v>0</v>
      </c>
      <c r="DJ304" s="408"/>
      <c r="DK304" s="408">
        <v>0</v>
      </c>
      <c r="DL304" s="408">
        <v>0</v>
      </c>
      <c r="DM304" s="408"/>
      <c r="DN304" s="408">
        <v>0</v>
      </c>
      <c r="DO304" s="408">
        <v>0</v>
      </c>
      <c r="DP304" s="408">
        <v>0</v>
      </c>
      <c r="DQ304" s="408">
        <v>0</v>
      </c>
      <c r="DR304" s="408">
        <v>0</v>
      </c>
      <c r="DS304" s="408"/>
      <c r="DT304" s="408"/>
      <c r="DU304" s="408">
        <v>25095.717419355475</v>
      </c>
      <c r="DV304" s="408"/>
      <c r="DW304" s="408">
        <v>0</v>
      </c>
      <c r="DX304" s="408">
        <v>0</v>
      </c>
      <c r="DY304" s="408">
        <v>-17931.68</v>
      </c>
      <c r="DZ304" s="234"/>
      <c r="EA304" s="408">
        <v>0</v>
      </c>
      <c r="EB304" s="408"/>
      <c r="EC304" s="408">
        <v>-18438.069963364127</v>
      </c>
      <c r="ED304" s="408"/>
      <c r="EE304" s="408">
        <v>0</v>
      </c>
      <c r="EF304" s="408">
        <v>0</v>
      </c>
      <c r="EG304" s="408"/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/>
      <c r="EN304" s="408"/>
      <c r="EO304" s="408">
        <v>0</v>
      </c>
      <c r="EP304" s="408">
        <v>0</v>
      </c>
      <c r="EQ304" s="408"/>
      <c r="ER304" s="408">
        <v>0</v>
      </c>
      <c r="ES304" s="408"/>
      <c r="ET304" s="408">
        <v>0</v>
      </c>
      <c r="EU304" s="408"/>
      <c r="EV304" s="408">
        <v>242</v>
      </c>
      <c r="EW304" s="408"/>
      <c r="EX304" s="408"/>
      <c r="EY304" s="408"/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303</v>
      </c>
      <c r="B305" s="408" t="s">
        <v>1036</v>
      </c>
      <c r="C305" s="408" t="s">
        <v>2231</v>
      </c>
      <c r="D305" s="408" t="s">
        <v>1955</v>
      </c>
      <c r="E305" s="408" t="s">
        <v>998</v>
      </c>
      <c r="F305" s="408" t="s">
        <v>1322</v>
      </c>
      <c r="G305" s="408" t="s">
        <v>1322</v>
      </c>
      <c r="H305" s="408" t="s">
        <v>1322</v>
      </c>
      <c r="I305" s="408" t="s">
        <v>1322</v>
      </c>
      <c r="J305" s="408" t="s">
        <v>2232</v>
      </c>
      <c r="K305" s="828">
        <v>44562</v>
      </c>
      <c r="L305" s="408">
        <v>0</v>
      </c>
      <c r="M305" s="408">
        <v>0</v>
      </c>
      <c r="N305" s="408">
        <v>357.93099999999998</v>
      </c>
      <c r="O305" s="408">
        <v>357.93099999999998</v>
      </c>
      <c r="P305" s="408">
        <v>357.93099999999998</v>
      </c>
      <c r="Q305" s="408">
        <v>357.93099999999998</v>
      </c>
      <c r="R305" s="408"/>
      <c r="S305" s="408">
        <v>571.87</v>
      </c>
      <c r="T305" s="408">
        <v>216.76</v>
      </c>
      <c r="U305" s="408"/>
      <c r="V305" s="408">
        <v>282275.12452999997</v>
      </c>
      <c r="W305" s="408">
        <v>282275.12452999997</v>
      </c>
      <c r="X305" s="408">
        <v>183980.11330999999</v>
      </c>
      <c r="Y305" s="408">
        <v>0</v>
      </c>
      <c r="Z305" s="408">
        <v>21694.41876919003</v>
      </c>
      <c r="AA305" s="408">
        <v>0</v>
      </c>
      <c r="AB305" s="408">
        <v>0</v>
      </c>
      <c r="AC305" s="408">
        <v>0</v>
      </c>
      <c r="AD305" s="408">
        <v>294.18839237864518</v>
      </c>
      <c r="AE305" s="408">
        <v>152615.93295254387</v>
      </c>
      <c r="AF305" s="408">
        <v>76454.598791304859</v>
      </c>
      <c r="AG305" s="408">
        <v>1130.1330347231296</v>
      </c>
      <c r="AH305" s="408">
        <v>0</v>
      </c>
      <c r="AI305" s="408">
        <v>0</v>
      </c>
      <c r="AJ305" s="408">
        <v>0</v>
      </c>
      <c r="AK305" s="408">
        <v>0</v>
      </c>
      <c r="AL305" s="408">
        <v>3355.1140690455359</v>
      </c>
      <c r="AM305" s="408"/>
      <c r="AN305" s="408">
        <v>686.67972670416179</v>
      </c>
      <c r="AO305" s="408">
        <v>3179.0349570341282</v>
      </c>
      <c r="AP305" s="408">
        <v>9960.1835609051086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212.9938648296278</v>
      </c>
      <c r="BE305" s="408">
        <v>0</v>
      </c>
      <c r="BF305" s="408">
        <v>0</v>
      </c>
      <c r="BG305" s="408">
        <v>12691.602394624066</v>
      </c>
      <c r="BH305" s="408">
        <v>0</v>
      </c>
      <c r="BI305" s="408">
        <v>874.33</v>
      </c>
      <c r="BJ305" s="408">
        <v>4030.47</v>
      </c>
      <c r="BK305" s="408">
        <v>79896.740000000005</v>
      </c>
      <c r="BL305" s="408">
        <v>714</v>
      </c>
      <c r="BM305" s="408"/>
      <c r="BN305" s="408"/>
      <c r="BO305" s="408"/>
      <c r="BP305" s="408"/>
      <c r="BQ305" s="408"/>
      <c r="BR305" s="408"/>
      <c r="BS305" s="408"/>
      <c r="BT305" s="408"/>
      <c r="BU305" s="408"/>
      <c r="BV305" s="408">
        <v>89359.195050758542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183979.5993</v>
      </c>
      <c r="CJ305" s="408">
        <v>-98295.555229999998</v>
      </c>
      <c r="CK305" s="408"/>
      <c r="CL305" s="408"/>
      <c r="CM305" s="408"/>
      <c r="CN305" s="408"/>
      <c r="CO305" s="408">
        <v>-109974.29974999999</v>
      </c>
      <c r="CP305" s="408">
        <v>11679.288529999998</v>
      </c>
      <c r="CQ305" s="408">
        <v>31</v>
      </c>
      <c r="CR305" s="408">
        <v>13834.142621945313</v>
      </c>
      <c r="CS305" s="408">
        <v>327.92230122520641</v>
      </c>
      <c r="CT305" s="408">
        <v>1027.408115374923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28.764287547971549</v>
      </c>
      <c r="DA305" s="408">
        <v>0</v>
      </c>
      <c r="DB305" s="408">
        <v>0</v>
      </c>
      <c r="DC305" s="408">
        <v>11680.789522018356</v>
      </c>
      <c r="DD305" s="408">
        <v>0</v>
      </c>
      <c r="DE305" s="408">
        <v>0</v>
      </c>
      <c r="DF305" s="408">
        <v>32.541358451796555</v>
      </c>
      <c r="DG305" s="408">
        <v>1939.0322964537172</v>
      </c>
      <c r="DH305" s="408">
        <v>0</v>
      </c>
      <c r="DI305" s="408">
        <v>-1036.4984891455679</v>
      </c>
      <c r="DJ305" s="408"/>
      <c r="DK305" s="408">
        <v>0</v>
      </c>
      <c r="DL305" s="408">
        <v>0</v>
      </c>
      <c r="DM305" s="408">
        <v>0</v>
      </c>
      <c r="DN305" s="408">
        <v>0</v>
      </c>
      <c r="DO305" s="408">
        <v>-135.95126573450125</v>
      </c>
      <c r="DP305" s="408">
        <v>-29.865504246554337</v>
      </c>
      <c r="DQ305" s="408">
        <v>0</v>
      </c>
      <c r="DR305" s="408">
        <v>0</v>
      </c>
      <c r="DS305" s="408"/>
      <c r="DT305" s="408"/>
      <c r="DU305" s="408"/>
      <c r="DV305" s="408">
        <v>152615.93295254387</v>
      </c>
      <c r="DW305" s="408">
        <v>0</v>
      </c>
      <c r="DX305" s="408">
        <v>0</v>
      </c>
      <c r="DY305" s="408">
        <v>-109974.29974999999</v>
      </c>
      <c r="DZ305" s="234">
        <v>11679.288530000005</v>
      </c>
      <c r="EA305" s="408">
        <v>0</v>
      </c>
      <c r="EB305" s="408">
        <v>0</v>
      </c>
      <c r="EC305" s="408">
        <v>-112128.42423595337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0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242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304</v>
      </c>
      <c r="B306" s="408" t="s">
        <v>2234</v>
      </c>
      <c r="C306" s="408" t="s">
        <v>2231</v>
      </c>
      <c r="D306" s="408" t="s">
        <v>1955</v>
      </c>
      <c r="E306" s="408" t="s">
        <v>998</v>
      </c>
      <c r="F306" s="408" t="s">
        <v>1322</v>
      </c>
      <c r="G306" s="408" t="s">
        <v>1322</v>
      </c>
      <c r="H306" s="408" t="s">
        <v>1322</v>
      </c>
      <c r="I306" s="408" t="s">
        <v>1322</v>
      </c>
      <c r="J306" s="408" t="s">
        <v>2232</v>
      </c>
      <c r="K306" s="828">
        <v>44562</v>
      </c>
      <c r="L306" s="408">
        <v>0</v>
      </c>
      <c r="M306" s="408">
        <v>0</v>
      </c>
      <c r="N306" s="408">
        <v>10.766999999999999</v>
      </c>
      <c r="O306" s="408">
        <v>10.766999999999999</v>
      </c>
      <c r="P306" s="408">
        <v>10.766999999999999</v>
      </c>
      <c r="Q306" s="408">
        <v>10.766999999999999</v>
      </c>
      <c r="R306" s="408"/>
      <c r="S306" s="408">
        <v>571.87</v>
      </c>
      <c r="T306" s="408">
        <v>216.76</v>
      </c>
      <c r="U306" s="408"/>
      <c r="V306" s="408">
        <v>8491.1792099999984</v>
      </c>
      <c r="W306" s="408">
        <v>8491.1792099999984</v>
      </c>
      <c r="X306" s="408">
        <v>5534.3456699999997</v>
      </c>
      <c r="Y306" s="408">
        <v>0</v>
      </c>
      <c r="Z306" s="408">
        <v>652.59451371317118</v>
      </c>
      <c r="AA306" s="408">
        <v>0</v>
      </c>
      <c r="AB306" s="408">
        <v>0</v>
      </c>
      <c r="AC306" s="408">
        <v>0</v>
      </c>
      <c r="AD306" s="408">
        <v>8.849544802604056</v>
      </c>
      <c r="AE306" s="408">
        <v>4590.8729618279494</v>
      </c>
      <c r="AF306" s="408">
        <v>2299.8473593680887</v>
      </c>
      <c r="AG306" s="408">
        <v>33.995776797382561</v>
      </c>
      <c r="AH306" s="408">
        <v>0</v>
      </c>
      <c r="AI306" s="408">
        <v>0</v>
      </c>
      <c r="AJ306" s="408">
        <v>0</v>
      </c>
      <c r="AK306" s="408">
        <v>0</v>
      </c>
      <c r="AL306" s="408">
        <v>100.9259136018207</v>
      </c>
      <c r="AM306" s="408"/>
      <c r="AN306" s="408">
        <v>20.656161711122284</v>
      </c>
      <c r="AO306" s="408">
        <v>95.629239664590273</v>
      </c>
      <c r="AP306" s="408">
        <v>299.61444077284534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6.4071146187969257</v>
      </c>
      <c r="BE306" s="408">
        <v>0</v>
      </c>
      <c r="BF306" s="408">
        <v>0</v>
      </c>
      <c r="BG306" s="408">
        <v>381.77884280187328</v>
      </c>
      <c r="BH306" s="408">
        <v>0</v>
      </c>
      <c r="BI306" s="408">
        <v>25.57</v>
      </c>
      <c r="BJ306" s="408">
        <v>118.09</v>
      </c>
      <c r="BK306" s="408">
        <v>4374.93</v>
      </c>
      <c r="BL306" s="408">
        <v>18</v>
      </c>
      <c r="BM306" s="408"/>
      <c r="BN306" s="408"/>
      <c r="BO306" s="408"/>
      <c r="BP306" s="408"/>
      <c r="BQ306" s="408"/>
      <c r="BR306" s="408"/>
      <c r="BS306" s="408"/>
      <c r="BT306" s="408"/>
      <c r="BU306" s="408"/>
      <c r="BV306" s="408">
        <v>2688.0333167887593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5535.8876999999993</v>
      </c>
      <c r="CJ306" s="408">
        <v>-2955.3215099999998</v>
      </c>
      <c r="CK306" s="408"/>
      <c r="CL306" s="408"/>
      <c r="CM306" s="408"/>
      <c r="CN306" s="408"/>
      <c r="CO306" s="408">
        <v>-3308.16075</v>
      </c>
      <c r="CP306" s="408">
        <v>351.32720999999992</v>
      </c>
      <c r="CQ306" s="408">
        <v>31</v>
      </c>
      <c r="CR306" s="408">
        <v>416.14784304931709</v>
      </c>
      <c r="CS306" s="408">
        <v>9.8643018271448852</v>
      </c>
      <c r="CT306" s="408">
        <v>30.905686230703111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0.8652647689890216</v>
      </c>
      <c r="DA306" s="408">
        <v>0</v>
      </c>
      <c r="DB306" s="408">
        <v>0</v>
      </c>
      <c r="DC306" s="408">
        <v>351.37236166627554</v>
      </c>
      <c r="DD306" s="408">
        <v>0</v>
      </c>
      <c r="DE306" s="408">
        <v>0</v>
      </c>
      <c r="DF306" s="408">
        <v>0.97888365760577756</v>
      </c>
      <c r="DG306" s="408">
        <v>58.328450835264846</v>
      </c>
      <c r="DH306" s="408">
        <v>0</v>
      </c>
      <c r="DI306" s="408">
        <v>-31.179135734625902</v>
      </c>
      <c r="DJ306" s="408"/>
      <c r="DK306" s="408">
        <v>0</v>
      </c>
      <c r="DL306" s="408">
        <v>0</v>
      </c>
      <c r="DM306" s="408">
        <v>0</v>
      </c>
      <c r="DN306" s="408">
        <v>0</v>
      </c>
      <c r="DO306" s="408">
        <v>-4.0895794948282571</v>
      </c>
      <c r="DP306" s="408">
        <v>-0.89839070721074776</v>
      </c>
      <c r="DQ306" s="408">
        <v>0</v>
      </c>
      <c r="DR306" s="408">
        <v>0</v>
      </c>
      <c r="DS306" s="408"/>
      <c r="DT306" s="408"/>
      <c r="DU306" s="408"/>
      <c r="DV306" s="408">
        <v>4590.8729618279494</v>
      </c>
      <c r="DW306" s="408">
        <v>0</v>
      </c>
      <c r="DX306" s="408">
        <v>0</v>
      </c>
      <c r="DY306" s="408">
        <v>-3308.1607499999996</v>
      </c>
      <c r="DZ306" s="234">
        <v>351.32720999999992</v>
      </c>
      <c r="EA306" s="408">
        <v>0</v>
      </c>
      <c r="EB306" s="408">
        <v>0</v>
      </c>
      <c r="EC306" s="408">
        <v>-3372.9594356133161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0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242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305</v>
      </c>
      <c r="B307" s="408" t="s">
        <v>1036</v>
      </c>
      <c r="C307" s="408" t="s">
        <v>2239</v>
      </c>
      <c r="D307" s="408" t="s">
        <v>597</v>
      </c>
      <c r="E307" s="408" t="s">
        <v>998</v>
      </c>
      <c r="F307" s="408" t="s">
        <v>1322</v>
      </c>
      <c r="G307" s="408" t="s">
        <v>1322</v>
      </c>
      <c r="H307" s="408" t="s">
        <v>1322</v>
      </c>
      <c r="I307" s="408" t="s">
        <v>973</v>
      </c>
      <c r="J307" s="408" t="s">
        <v>2232</v>
      </c>
      <c r="K307" s="828">
        <v>44562</v>
      </c>
      <c r="L307" s="408">
        <v>0</v>
      </c>
      <c r="M307" s="408">
        <v>0</v>
      </c>
      <c r="N307" s="408">
        <v>9.1349999999999998</v>
      </c>
      <c r="O307" s="408">
        <v>9.1349999999999998</v>
      </c>
      <c r="P307" s="408">
        <v>9.1349999999999998</v>
      </c>
      <c r="Q307" s="408">
        <v>9.1349999999999998</v>
      </c>
      <c r="R307" s="408"/>
      <c r="S307" s="408">
        <v>2592.54</v>
      </c>
      <c r="T307" s="408">
        <v>216.76</v>
      </c>
      <c r="U307" s="408"/>
      <c r="V307" s="408">
        <v>25662.955499999996</v>
      </c>
      <c r="W307" s="408">
        <v>25662.955499999996</v>
      </c>
      <c r="X307" s="408">
        <v>10790.261999999999</v>
      </c>
      <c r="Y307" s="408">
        <v>0</v>
      </c>
      <c r="Z307" s="408">
        <v>481.69984842665025</v>
      </c>
      <c r="AA307" s="408">
        <v>0</v>
      </c>
      <c r="AB307" s="408">
        <v>0</v>
      </c>
      <c r="AC307" s="408">
        <v>0</v>
      </c>
      <c r="AD307" s="408">
        <v>46.192362616554398</v>
      </c>
      <c r="AE307" s="408">
        <v>20927.293892820333</v>
      </c>
      <c r="AF307" s="408">
        <v>1951.2497100239148</v>
      </c>
      <c r="AG307" s="408">
        <v>28.84289226749231</v>
      </c>
      <c r="AH307" s="408">
        <v>0</v>
      </c>
      <c r="AI307" s="408">
        <v>0</v>
      </c>
      <c r="AJ307" s="408">
        <v>0</v>
      </c>
      <c r="AK307" s="408">
        <v>0</v>
      </c>
      <c r="AL307" s="408">
        <v>85.628143471034846</v>
      </c>
      <c r="AM307" s="408"/>
      <c r="AN307" s="408">
        <v>12.544384765040745</v>
      </c>
      <c r="AO307" s="408">
        <v>412.1243515255058</v>
      </c>
      <c r="AP307" s="408">
        <v>1563.9188395970834</v>
      </c>
      <c r="AQ307" s="408">
        <v>0</v>
      </c>
      <c r="AR307" s="408">
        <v>0</v>
      </c>
      <c r="AS307" s="408">
        <v>0</v>
      </c>
      <c r="AT307" s="408">
        <v>0</v>
      </c>
      <c r="AU307" s="408">
        <v>0</v>
      </c>
      <c r="AV307" s="408">
        <v>0</v>
      </c>
      <c r="AW307" s="408">
        <v>0</v>
      </c>
      <c r="AX307" s="408">
        <v>0</v>
      </c>
      <c r="AY307" s="408">
        <v>0</v>
      </c>
      <c r="AZ307" s="408">
        <v>0</v>
      </c>
      <c r="BA307" s="408"/>
      <c r="BB307" s="408">
        <v>0</v>
      </c>
      <c r="BC307" s="408">
        <v>0</v>
      </c>
      <c r="BD307" s="408">
        <v>4.1774236103860227</v>
      </c>
      <c r="BE307" s="408">
        <v>0</v>
      </c>
      <c r="BF307" s="408">
        <v>0</v>
      </c>
      <c r="BG307" s="408">
        <v>149.23079261514741</v>
      </c>
      <c r="BH307" s="408">
        <v>0</v>
      </c>
      <c r="BI307" s="408">
        <v>0</v>
      </c>
      <c r="BJ307" s="408">
        <v>0</v>
      </c>
      <c r="BK307" s="408">
        <v>0</v>
      </c>
      <c r="BL307" s="408">
        <v>0</v>
      </c>
      <c r="BM307" s="408"/>
      <c r="BN307" s="408"/>
      <c r="BO307" s="408"/>
      <c r="BP307" s="408"/>
      <c r="BQ307" s="408"/>
      <c r="BR307" s="408"/>
      <c r="BS307" s="408"/>
      <c r="BT307" s="408"/>
      <c r="BU307" s="408"/>
      <c r="BV307" s="408">
        <v>2104.6579262494483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10796.168</v>
      </c>
      <c r="CJ307" s="408">
        <v>-14866.817499999992</v>
      </c>
      <c r="CK307" s="408"/>
      <c r="CL307" s="408"/>
      <c r="CM307" s="408"/>
      <c r="CN307" s="408"/>
      <c r="CO307" s="408">
        <v>-15170.768550000001</v>
      </c>
      <c r="CP307" s="408">
        <v>298.07504999999998</v>
      </c>
      <c r="CQ307" s="408">
        <v>31</v>
      </c>
      <c r="CR307" s="408">
        <v>502.86994467072509</v>
      </c>
      <c r="CS307" s="408">
        <v>42.511255009687488</v>
      </c>
      <c r="CT307" s="408">
        <v>161.32061199118039</v>
      </c>
      <c r="CU307" s="408">
        <v>0</v>
      </c>
      <c r="CV307" s="408">
        <v>0</v>
      </c>
      <c r="CW307" s="408">
        <v>0</v>
      </c>
      <c r="CX307" s="408">
        <v>0</v>
      </c>
      <c r="CY307" s="408">
        <v>0</v>
      </c>
      <c r="CZ307" s="408">
        <v>4.5164609999724732</v>
      </c>
      <c r="DA307" s="408">
        <v>0</v>
      </c>
      <c r="DB307" s="408">
        <v>0</v>
      </c>
      <c r="DC307" s="408">
        <v>298.11335783611275</v>
      </c>
      <c r="DD307" s="408">
        <v>0</v>
      </c>
      <c r="DE307" s="408">
        <v>0</v>
      </c>
      <c r="DF307" s="408">
        <v>0.6382298345509021</v>
      </c>
      <c r="DG307" s="408">
        <v>22.799589642733196</v>
      </c>
      <c r="DH307" s="408">
        <v>0</v>
      </c>
      <c r="DI307" s="408">
        <v>-23.014267882803608</v>
      </c>
      <c r="DJ307" s="408"/>
      <c r="DK307" s="408">
        <v>0</v>
      </c>
      <c r="DL307" s="408">
        <v>0</v>
      </c>
      <c r="DM307" s="408">
        <v>0</v>
      </c>
      <c r="DN307" s="408">
        <v>0</v>
      </c>
      <c r="DO307" s="408">
        <v>-3.4697045309980723</v>
      </c>
      <c r="DP307" s="408">
        <v>-0.54558822971067933</v>
      </c>
      <c r="DQ307" s="408">
        <v>0</v>
      </c>
      <c r="DR307" s="408">
        <v>0</v>
      </c>
      <c r="DS307" s="408"/>
      <c r="DT307" s="408"/>
      <c r="DU307" s="408"/>
      <c r="DV307" s="408">
        <v>20927.293892820333</v>
      </c>
      <c r="DW307" s="408">
        <v>0</v>
      </c>
      <c r="DX307" s="408">
        <v>0</v>
      </c>
      <c r="DY307" s="408">
        <v>-15170.768549999999</v>
      </c>
      <c r="DZ307" s="234">
        <v>298.07504999999969</v>
      </c>
      <c r="EA307" s="408">
        <v>0</v>
      </c>
      <c r="EB307" s="408">
        <v>0</v>
      </c>
      <c r="EC307" s="408">
        <v>-15375.48827522678</v>
      </c>
      <c r="ED307" s="408">
        <v>0</v>
      </c>
      <c r="EE307" s="408">
        <v>0</v>
      </c>
      <c r="EF307" s="408">
        <v>0</v>
      </c>
      <c r="EG307" s="408">
        <v>0</v>
      </c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>
        <v>0</v>
      </c>
      <c r="EN307" s="408">
        <v>0</v>
      </c>
      <c r="EO307" s="408">
        <v>0</v>
      </c>
      <c r="EP307" s="408">
        <v>0</v>
      </c>
      <c r="EQ307" s="408">
        <v>0</v>
      </c>
      <c r="ER307" s="408">
        <v>0</v>
      </c>
      <c r="ES307" s="408">
        <v>0</v>
      </c>
      <c r="ET307" s="408">
        <v>0</v>
      </c>
      <c r="EU307" s="408">
        <v>0</v>
      </c>
      <c r="EV307" s="408">
        <v>242</v>
      </c>
      <c r="EW307" s="408">
        <v>0</v>
      </c>
      <c r="EX307" s="408">
        <v>0</v>
      </c>
      <c r="EY307" s="408">
        <v>0</v>
      </c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306</v>
      </c>
      <c r="B308" s="408" t="s">
        <v>1036</v>
      </c>
      <c r="C308" s="408" t="s">
        <v>2239</v>
      </c>
      <c r="D308" s="408" t="s">
        <v>597</v>
      </c>
      <c r="E308" s="408" t="s">
        <v>998</v>
      </c>
      <c r="F308" s="408" t="s">
        <v>1322</v>
      </c>
      <c r="G308" s="408" t="s">
        <v>1322</v>
      </c>
      <c r="H308" s="408" t="s">
        <v>1322</v>
      </c>
      <c r="I308" s="408" t="s">
        <v>2240</v>
      </c>
      <c r="J308" s="408" t="s">
        <v>2232</v>
      </c>
      <c r="K308" s="828">
        <v>44562</v>
      </c>
      <c r="L308" s="408">
        <v>0</v>
      </c>
      <c r="M308" s="408">
        <v>0</v>
      </c>
      <c r="N308" s="408">
        <v>116.414</v>
      </c>
      <c r="O308" s="408">
        <v>116.414</v>
      </c>
      <c r="P308" s="408">
        <v>116.414</v>
      </c>
      <c r="Q308" s="408">
        <v>116.414</v>
      </c>
      <c r="R308" s="408"/>
      <c r="S308" s="408">
        <v>80.27</v>
      </c>
      <c r="T308" s="408">
        <v>216.76</v>
      </c>
      <c r="U308" s="408"/>
      <c r="V308" s="408">
        <v>34578.450420000001</v>
      </c>
      <c r="W308" s="408">
        <v>34578.450420000001</v>
      </c>
      <c r="X308" s="408">
        <v>38331.637779999997</v>
      </c>
      <c r="Y308" s="408">
        <v>0</v>
      </c>
      <c r="Z308" s="408">
        <v>6138.6542041313696</v>
      </c>
      <c r="AA308" s="408">
        <v>0</v>
      </c>
      <c r="AB308" s="408">
        <v>0</v>
      </c>
      <c r="AC308" s="408">
        <v>0</v>
      </c>
      <c r="AD308" s="408">
        <v>0</v>
      </c>
      <c r="AE308" s="408">
        <v>0</v>
      </c>
      <c r="AF308" s="408">
        <v>24866.20511688276</v>
      </c>
      <c r="AG308" s="408">
        <v>367.56611498936508</v>
      </c>
      <c r="AH308" s="408">
        <v>0</v>
      </c>
      <c r="AI308" s="408">
        <v>0</v>
      </c>
      <c r="AJ308" s="408">
        <v>0</v>
      </c>
      <c r="AK308" s="408">
        <v>0</v>
      </c>
      <c r="AL308" s="408">
        <v>1091.2221887287412</v>
      </c>
      <c r="AM308" s="408"/>
      <c r="AN308" s="408">
        <v>159.8622887835198</v>
      </c>
      <c r="AO308" s="408">
        <v>0</v>
      </c>
      <c r="AP308" s="408">
        <v>0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53.23597068193525</v>
      </c>
      <c r="BE308" s="408">
        <v>0</v>
      </c>
      <c r="BF308" s="408">
        <v>0</v>
      </c>
      <c r="BG308" s="408">
        <v>1901.7573608647808</v>
      </c>
      <c r="BH308" s="408">
        <v>0</v>
      </c>
      <c r="BI308" s="408">
        <v>0</v>
      </c>
      <c r="BJ308" s="408">
        <v>0</v>
      </c>
      <c r="BK308" s="408">
        <v>0</v>
      </c>
      <c r="BL308" s="408">
        <v>0</v>
      </c>
      <c r="BM308" s="408"/>
      <c r="BN308" s="408"/>
      <c r="BO308" s="408"/>
      <c r="BP308" s="408"/>
      <c r="BQ308" s="408"/>
      <c r="BR308" s="408"/>
      <c r="BS308" s="408"/>
      <c r="BT308" s="408"/>
      <c r="BU308" s="408"/>
      <c r="BV308" s="408">
        <v>26821.198448429477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38330.320699999997</v>
      </c>
      <c r="CJ308" s="408">
        <v>3751.8402799999967</v>
      </c>
      <c r="CK308" s="408"/>
      <c r="CL308" s="408"/>
      <c r="CM308" s="408"/>
      <c r="CN308" s="408"/>
      <c r="CO308" s="408">
        <v>-45.401460000000064</v>
      </c>
      <c r="CP308" s="408">
        <v>3798.5888199999995</v>
      </c>
      <c r="CQ308" s="408">
        <v>31</v>
      </c>
      <c r="CR308" s="408">
        <v>3753.3048147791997</v>
      </c>
      <c r="CS308" s="408">
        <v>0</v>
      </c>
      <c r="CT308" s="408">
        <v>0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0</v>
      </c>
      <c r="DA308" s="408">
        <v>0</v>
      </c>
      <c r="DB308" s="408">
        <v>0</v>
      </c>
      <c r="DC308" s="408">
        <v>3799.0770048312261</v>
      </c>
      <c r="DD308" s="408">
        <v>0</v>
      </c>
      <c r="DE308" s="408">
        <v>0</v>
      </c>
      <c r="DF308" s="408">
        <v>8.1334305374284241</v>
      </c>
      <c r="DG308" s="408">
        <v>290.55188053302027</v>
      </c>
      <c r="DH308" s="408">
        <v>0</v>
      </c>
      <c r="DI308" s="408">
        <v>-293.28768268294425</v>
      </c>
      <c r="DJ308" s="408"/>
      <c r="DK308" s="408">
        <v>0</v>
      </c>
      <c r="DL308" s="408">
        <v>0</v>
      </c>
      <c r="DM308" s="408">
        <v>0</v>
      </c>
      <c r="DN308" s="408">
        <v>0</v>
      </c>
      <c r="DO308" s="408">
        <v>-44.216987769196521</v>
      </c>
      <c r="DP308" s="408">
        <v>-6.9528306703381588</v>
      </c>
      <c r="DQ308" s="408">
        <v>0</v>
      </c>
      <c r="DR308" s="408">
        <v>0</v>
      </c>
      <c r="DS308" s="408"/>
      <c r="DT308" s="408"/>
      <c r="DU308" s="408"/>
      <c r="DV308" s="408">
        <v>0</v>
      </c>
      <c r="DW308" s="408">
        <v>0</v>
      </c>
      <c r="DX308" s="408">
        <v>0</v>
      </c>
      <c r="DY308" s="408">
        <v>-45.401460000000952</v>
      </c>
      <c r="DZ308" s="234">
        <v>3798.5888200000009</v>
      </c>
      <c r="EA308" s="408">
        <v>0</v>
      </c>
      <c r="EB308" s="408">
        <v>0</v>
      </c>
      <c r="EC308" s="408">
        <v>0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242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307</v>
      </c>
      <c r="B309" s="408" t="s">
        <v>1036</v>
      </c>
      <c r="C309" s="408" t="s">
        <v>2239</v>
      </c>
      <c r="D309" s="408" t="s">
        <v>597</v>
      </c>
      <c r="E309" s="408" t="s">
        <v>998</v>
      </c>
      <c r="F309" s="408" t="s">
        <v>1322</v>
      </c>
      <c r="G309" s="408" t="s">
        <v>1322</v>
      </c>
      <c r="H309" s="408" t="s">
        <v>1322</v>
      </c>
      <c r="I309" s="408" t="s">
        <v>1322</v>
      </c>
      <c r="J309" s="408" t="s">
        <v>2232</v>
      </c>
      <c r="K309" s="828">
        <v>44562</v>
      </c>
      <c r="L309" s="408">
        <v>1044</v>
      </c>
      <c r="M309" s="408">
        <v>1044</v>
      </c>
      <c r="N309" s="408">
        <v>0</v>
      </c>
      <c r="O309" s="408">
        <v>0</v>
      </c>
      <c r="P309" s="408">
        <v>0</v>
      </c>
      <c r="Q309" s="408">
        <v>0</v>
      </c>
      <c r="R309" s="408">
        <v>32.17</v>
      </c>
      <c r="S309" s="408"/>
      <c r="T309" s="408"/>
      <c r="U309" s="408">
        <v>33585.480000000003</v>
      </c>
      <c r="V309" s="408"/>
      <c r="W309" s="408">
        <v>33585.480000000003</v>
      </c>
      <c r="X309" s="408">
        <v>13498.92</v>
      </c>
      <c r="Y309" s="408">
        <v>0</v>
      </c>
      <c r="Z309" s="408">
        <v>0</v>
      </c>
      <c r="AA309" s="408">
        <v>0</v>
      </c>
      <c r="AB309" s="408">
        <v>0</v>
      </c>
      <c r="AC309" s="408">
        <v>0</v>
      </c>
      <c r="AD309" s="408">
        <v>104.31253903705152</v>
      </c>
      <c r="AE309" s="408">
        <v>28111.511787346692</v>
      </c>
      <c r="AF309" s="408"/>
      <c r="AG309" s="408"/>
      <c r="AH309" s="408"/>
      <c r="AI309" s="408">
        <v>0</v>
      </c>
      <c r="AJ309" s="408">
        <v>0</v>
      </c>
      <c r="AK309" s="408">
        <v>0</v>
      </c>
      <c r="AL309" s="408">
        <v>0</v>
      </c>
      <c r="AM309" s="408"/>
      <c r="AN309" s="408">
        <v>0</v>
      </c>
      <c r="AO309" s="408">
        <v>1842.0556350959341</v>
      </c>
      <c r="AP309" s="408">
        <v>3531.7112327252898</v>
      </c>
      <c r="AQ309" s="408">
        <v>0</v>
      </c>
      <c r="AR309" s="408">
        <v>0</v>
      </c>
      <c r="AS309" s="408"/>
      <c r="AT309" s="408"/>
      <c r="AU309" s="408">
        <v>0</v>
      </c>
      <c r="AV309" s="408">
        <v>0</v>
      </c>
      <c r="AW309" s="408">
        <v>0</v>
      </c>
      <c r="AX309" s="408"/>
      <c r="AY309" s="408"/>
      <c r="AZ309" s="408">
        <v>0</v>
      </c>
      <c r="BA309" s="408"/>
      <c r="BB309" s="408">
        <v>0</v>
      </c>
      <c r="BC309" s="408">
        <v>0</v>
      </c>
      <c r="BD309" s="408">
        <v>0</v>
      </c>
      <c r="BE309" s="408">
        <v>0</v>
      </c>
      <c r="BF309" s="408"/>
      <c r="BG309" s="408">
        <v>0</v>
      </c>
      <c r="BH309" s="408">
        <v>0</v>
      </c>
      <c r="BI309" s="408">
        <v>307.89</v>
      </c>
      <c r="BJ309" s="408">
        <v>1414.01</v>
      </c>
      <c r="BK309" s="408">
        <v>28056.74</v>
      </c>
      <c r="BL309" s="408">
        <v>8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>
        <v>0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13498.92</v>
      </c>
      <c r="CJ309" s="408">
        <v>-20086.590000000011</v>
      </c>
      <c r="CK309" s="408"/>
      <c r="CL309" s="408"/>
      <c r="CM309" s="408"/>
      <c r="CN309" s="408"/>
      <c r="CO309" s="408">
        <v>-20086.560000000001</v>
      </c>
      <c r="CP309" s="408">
        <v>0</v>
      </c>
      <c r="CQ309" s="408">
        <v>31</v>
      </c>
      <c r="CR309" s="408">
        <v>564.51140768293953</v>
      </c>
      <c r="CS309" s="408">
        <v>190.01084637618465</v>
      </c>
      <c r="CT309" s="408">
        <v>364.30139660327814</v>
      </c>
      <c r="CU309" s="408">
        <v>0</v>
      </c>
      <c r="CV309" s="408">
        <v>0</v>
      </c>
      <c r="CW309" s="408"/>
      <c r="CX309" s="408"/>
      <c r="CY309" s="408"/>
      <c r="CZ309" s="408">
        <v>10.199164703476839</v>
      </c>
      <c r="DA309" s="408">
        <v>0</v>
      </c>
      <c r="DB309" s="408">
        <v>0</v>
      </c>
      <c r="DC309" s="408"/>
      <c r="DD309" s="408"/>
      <c r="DE309" s="408">
        <v>0</v>
      </c>
      <c r="DF309" s="408">
        <v>0</v>
      </c>
      <c r="DG309" s="408">
        <v>0</v>
      </c>
      <c r="DH309" s="408">
        <v>0</v>
      </c>
      <c r="DI309" s="408">
        <v>0</v>
      </c>
      <c r="DJ309" s="408"/>
      <c r="DK309" s="408">
        <v>0</v>
      </c>
      <c r="DL309" s="408">
        <v>0</v>
      </c>
      <c r="DM309" s="408"/>
      <c r="DN309" s="408">
        <v>0</v>
      </c>
      <c r="DO309" s="408">
        <v>0</v>
      </c>
      <c r="DP309" s="408">
        <v>0</v>
      </c>
      <c r="DQ309" s="408">
        <v>0</v>
      </c>
      <c r="DR309" s="408">
        <v>0</v>
      </c>
      <c r="DS309" s="408"/>
      <c r="DT309" s="408"/>
      <c r="DU309" s="408">
        <v>28111.511787346692</v>
      </c>
      <c r="DV309" s="408"/>
      <c r="DW309" s="408">
        <v>0</v>
      </c>
      <c r="DX309" s="408">
        <v>0</v>
      </c>
      <c r="DY309" s="408">
        <v>-20086.560000000005</v>
      </c>
      <c r="DZ309" s="234"/>
      <c r="EA309" s="408">
        <v>0</v>
      </c>
      <c r="EB309" s="408"/>
      <c r="EC309" s="408">
        <v>-20653.803692867114</v>
      </c>
      <c r="ED309" s="408"/>
      <c r="EE309" s="408">
        <v>0</v>
      </c>
      <c r="EF309" s="408">
        <v>0</v>
      </c>
      <c r="EG309" s="408"/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/>
      <c r="EN309" s="408"/>
      <c r="EO309" s="408">
        <v>0</v>
      </c>
      <c r="EP309" s="408">
        <v>0</v>
      </c>
      <c r="EQ309" s="408"/>
      <c r="ER309" s="408">
        <v>0</v>
      </c>
      <c r="ES309" s="408"/>
      <c r="ET309" s="408">
        <v>0</v>
      </c>
      <c r="EU309" s="408"/>
      <c r="EV309" s="408">
        <v>242</v>
      </c>
      <c r="EW309" s="408"/>
      <c r="EX309" s="408"/>
      <c r="EY309" s="408"/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308</v>
      </c>
      <c r="B310" s="408" t="s">
        <v>1036</v>
      </c>
      <c r="C310" s="408" t="s">
        <v>2231</v>
      </c>
      <c r="D310" s="408" t="s">
        <v>2241</v>
      </c>
      <c r="E310" s="408" t="s">
        <v>974</v>
      </c>
      <c r="F310" s="408" t="s">
        <v>1322</v>
      </c>
      <c r="G310" s="408" t="s">
        <v>1322</v>
      </c>
      <c r="H310" s="408" t="s">
        <v>1322</v>
      </c>
      <c r="I310" s="408" t="s">
        <v>1322</v>
      </c>
      <c r="J310" s="408" t="s">
        <v>2232</v>
      </c>
      <c r="K310" s="828">
        <v>44562</v>
      </c>
      <c r="L310" s="408">
        <v>0</v>
      </c>
      <c r="M310" s="408">
        <v>0</v>
      </c>
      <c r="N310" s="408">
        <v>4950.54</v>
      </c>
      <c r="O310" s="408">
        <v>4950.54</v>
      </c>
      <c r="P310" s="408">
        <v>4950.54</v>
      </c>
      <c r="Q310" s="408">
        <v>4950.54</v>
      </c>
      <c r="R310" s="408"/>
      <c r="S310" s="408">
        <v>571.87</v>
      </c>
      <c r="T310" s="408">
        <v>216.76</v>
      </c>
      <c r="U310" s="408"/>
      <c r="V310" s="408">
        <v>3904144.3602</v>
      </c>
      <c r="W310" s="408">
        <v>3904144.3602</v>
      </c>
      <c r="X310" s="408">
        <v>2544627.0653999997</v>
      </c>
      <c r="Y310" s="408">
        <v>0</v>
      </c>
      <c r="Z310" s="408">
        <v>300055.28410119831</v>
      </c>
      <c r="AA310" s="408">
        <v>0</v>
      </c>
      <c r="AB310" s="408">
        <v>0</v>
      </c>
      <c r="AC310" s="408">
        <v>0</v>
      </c>
      <c r="AD310" s="408">
        <v>4068.9166459629878</v>
      </c>
      <c r="AE310" s="408">
        <v>2110829.4076760225</v>
      </c>
      <c r="AF310" s="408">
        <v>1057442.7738874429</v>
      </c>
      <c r="AG310" s="408">
        <v>15630.858443996867</v>
      </c>
      <c r="AH310" s="408">
        <v>0</v>
      </c>
      <c r="AI310" s="408">
        <v>0</v>
      </c>
      <c r="AJ310" s="408">
        <v>0</v>
      </c>
      <c r="AK310" s="408">
        <v>0</v>
      </c>
      <c r="AL310" s="408">
        <v>46404.548372095982</v>
      </c>
      <c r="AM310" s="408"/>
      <c r="AN310" s="408">
        <v>9497.4602765282161</v>
      </c>
      <c r="AO310" s="408">
        <v>43969.19997484357</v>
      </c>
      <c r="AP310" s="408">
        <v>137759.19695584674</v>
      </c>
      <c r="AQ310" s="408">
        <v>0</v>
      </c>
      <c r="AR310" s="408">
        <v>0</v>
      </c>
      <c r="AS310" s="408">
        <v>0</v>
      </c>
      <c r="AT310" s="408">
        <v>0</v>
      </c>
      <c r="AU310" s="408">
        <v>0</v>
      </c>
      <c r="AV310" s="408">
        <v>0</v>
      </c>
      <c r="AW310" s="408">
        <v>0</v>
      </c>
      <c r="AX310" s="408">
        <v>0</v>
      </c>
      <c r="AY310" s="408">
        <v>0</v>
      </c>
      <c r="AZ310" s="408">
        <v>0</v>
      </c>
      <c r="BA310" s="408"/>
      <c r="BB310" s="408">
        <v>0</v>
      </c>
      <c r="BC310" s="408">
        <v>0</v>
      </c>
      <c r="BD310" s="408">
        <v>2945.9159659086963</v>
      </c>
      <c r="BE310" s="408">
        <v>0</v>
      </c>
      <c r="BF310" s="408">
        <v>0</v>
      </c>
      <c r="BG310" s="408">
        <v>175537.42290743807</v>
      </c>
      <c r="BH310" s="408">
        <v>0</v>
      </c>
      <c r="BI310" s="408">
        <v>10761.63</v>
      </c>
      <c r="BJ310" s="408">
        <v>49656.15</v>
      </c>
      <c r="BK310" s="408">
        <v>145051.26</v>
      </c>
      <c r="BL310" s="408">
        <v>10480</v>
      </c>
      <c r="BM310" s="408"/>
      <c r="BN310" s="408"/>
      <c r="BO310" s="408"/>
      <c r="BP310" s="408"/>
      <c r="BQ310" s="408"/>
      <c r="BR310" s="408">
        <v>305349.30719999992</v>
      </c>
      <c r="BS310" s="408"/>
      <c r="BT310" s="408"/>
      <c r="BU310" s="408"/>
      <c r="BV310" s="408">
        <v>1235926.1127607897</v>
      </c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>
        <v>2239277.7582</v>
      </c>
      <c r="CJ310" s="408">
        <v>-1196397.0317999991</v>
      </c>
      <c r="CK310" s="408"/>
      <c r="CL310" s="408"/>
      <c r="CM310" s="408"/>
      <c r="CN310" s="408"/>
      <c r="CO310" s="408">
        <v>-1521053.415</v>
      </c>
      <c r="CP310" s="408">
        <v>161536.12019999998</v>
      </c>
      <c r="CQ310" s="408">
        <v>31</v>
      </c>
      <c r="CR310" s="408">
        <v>191339.88510535681</v>
      </c>
      <c r="CS310" s="408">
        <v>4535.4899941816548</v>
      </c>
      <c r="CT310" s="408">
        <v>14210.071135185746</v>
      </c>
      <c r="CU310" s="408">
        <v>0</v>
      </c>
      <c r="CV310" s="408">
        <v>0</v>
      </c>
      <c r="CW310" s="408">
        <v>0</v>
      </c>
      <c r="CX310" s="408">
        <v>0</v>
      </c>
      <c r="CY310" s="408">
        <v>0</v>
      </c>
      <c r="CZ310" s="408">
        <v>397.83856686829313</v>
      </c>
      <c r="DA310" s="408">
        <v>0</v>
      </c>
      <c r="DB310" s="408">
        <v>0</v>
      </c>
      <c r="DC310" s="408">
        <v>161556.8804052535</v>
      </c>
      <c r="DD310" s="408">
        <v>0</v>
      </c>
      <c r="DE310" s="408">
        <v>0</v>
      </c>
      <c r="DF310" s="408">
        <v>450.07919590635311</v>
      </c>
      <c r="DG310" s="408">
        <v>26818.735859386274</v>
      </c>
      <c r="DH310" s="408">
        <v>0</v>
      </c>
      <c r="DI310" s="408">
        <v>-14335.800001829164</v>
      </c>
      <c r="DJ310" s="408"/>
      <c r="DK310" s="408">
        <v>0</v>
      </c>
      <c r="DL310" s="408">
        <v>0</v>
      </c>
      <c r="DM310" s="408">
        <v>0</v>
      </c>
      <c r="DN310" s="408">
        <v>0</v>
      </c>
      <c r="DO310" s="408">
        <v>-1880.3405658332922</v>
      </c>
      <c r="DP310" s="408">
        <v>-413.06948376289438</v>
      </c>
      <c r="DQ310" s="408">
        <v>0</v>
      </c>
      <c r="DR310" s="408">
        <v>0</v>
      </c>
      <c r="DS310" s="408"/>
      <c r="DT310" s="408"/>
      <c r="DU310" s="408"/>
      <c r="DV310" s="408">
        <v>2110829.4076760225</v>
      </c>
      <c r="DW310" s="408">
        <v>0</v>
      </c>
      <c r="DX310" s="408">
        <v>0</v>
      </c>
      <c r="DY310" s="408">
        <v>-1521053.4149999998</v>
      </c>
      <c r="DZ310" s="234">
        <v>161536.1202</v>
      </c>
      <c r="EA310" s="408">
        <v>0</v>
      </c>
      <c r="EB310" s="408">
        <v>0</v>
      </c>
      <c r="EC310" s="408">
        <v>-1550847.0887323436</v>
      </c>
      <c r="ED310" s="408">
        <v>0</v>
      </c>
      <c r="EE310" s="408">
        <v>0</v>
      </c>
      <c r="EF310" s="408">
        <v>0</v>
      </c>
      <c r="EG310" s="408">
        <v>0</v>
      </c>
      <c r="EH310" s="408">
        <v>0</v>
      </c>
      <c r="EI310" s="408">
        <v>0</v>
      </c>
      <c r="EJ310" s="408">
        <v>0</v>
      </c>
      <c r="EK310" s="408">
        <v>0</v>
      </c>
      <c r="EL310" s="408">
        <v>0</v>
      </c>
      <c r="EM310" s="408">
        <v>0</v>
      </c>
      <c r="EN310" s="408">
        <v>0</v>
      </c>
      <c r="EO310" s="408">
        <v>0</v>
      </c>
      <c r="EP310" s="408">
        <v>0</v>
      </c>
      <c r="EQ310" s="408">
        <v>0</v>
      </c>
      <c r="ER310" s="408">
        <v>0</v>
      </c>
      <c r="ES310" s="408">
        <v>0</v>
      </c>
      <c r="ET310" s="408">
        <v>0</v>
      </c>
      <c r="EU310" s="408">
        <v>0</v>
      </c>
      <c r="EV310" s="408">
        <v>242</v>
      </c>
      <c r="EW310" s="408">
        <v>0</v>
      </c>
      <c r="EX310" s="408">
        <v>0</v>
      </c>
      <c r="EY310" s="408">
        <v>0</v>
      </c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309</v>
      </c>
      <c r="B311" s="408" t="s">
        <v>2233</v>
      </c>
      <c r="C311" s="408" t="s">
        <v>2231</v>
      </c>
      <c r="D311" s="408" t="s">
        <v>2241</v>
      </c>
      <c r="E311" s="408" t="s">
        <v>974</v>
      </c>
      <c r="F311" s="408" t="s">
        <v>1322</v>
      </c>
      <c r="G311" s="408" t="s">
        <v>1322</v>
      </c>
      <c r="H311" s="408" t="s">
        <v>1322</v>
      </c>
      <c r="I311" s="408" t="s">
        <v>1322</v>
      </c>
      <c r="J311" s="408" t="s">
        <v>2232</v>
      </c>
      <c r="K311" s="828">
        <v>44562</v>
      </c>
      <c r="L311" s="408">
        <v>0</v>
      </c>
      <c r="M311" s="408">
        <v>0</v>
      </c>
      <c r="N311" s="408">
        <v>-2.1840000000000002</v>
      </c>
      <c r="O311" s="408">
        <v>-2.1840000000000002</v>
      </c>
      <c r="P311" s="408">
        <v>-2.1840000000000002</v>
      </c>
      <c r="Q311" s="408">
        <v>-2.1840000000000002</v>
      </c>
      <c r="R311" s="408"/>
      <c r="S311" s="408">
        <v>571.87</v>
      </c>
      <c r="T311" s="408">
        <v>216.76</v>
      </c>
      <c r="U311" s="408"/>
      <c r="V311" s="408">
        <v>-1722.3679200000001</v>
      </c>
      <c r="W311" s="408">
        <v>-1722.3679200000001</v>
      </c>
      <c r="X311" s="408">
        <v>-1122.5978400000001</v>
      </c>
      <c r="Y311" s="408">
        <v>0</v>
      </c>
      <c r="Z311" s="408">
        <v>-132.37358762418185</v>
      </c>
      <c r="AA311" s="408">
        <v>0</v>
      </c>
      <c r="AB311" s="408">
        <v>0</v>
      </c>
      <c r="AC311" s="408">
        <v>0</v>
      </c>
      <c r="AD311" s="408">
        <v>-1.7950595197257604</v>
      </c>
      <c r="AE311" s="408">
        <v>-931.22193263046734</v>
      </c>
      <c r="AF311" s="408">
        <v>-466.50567779882107</v>
      </c>
      <c r="AG311" s="408">
        <v>-6.8957719444119547</v>
      </c>
      <c r="AH311" s="408">
        <v>0</v>
      </c>
      <c r="AI311" s="408">
        <v>0</v>
      </c>
      <c r="AJ311" s="408">
        <v>0</v>
      </c>
      <c r="AK311" s="408">
        <v>0</v>
      </c>
      <c r="AL311" s="408">
        <v>-20.472015910316376</v>
      </c>
      <c r="AM311" s="408"/>
      <c r="AN311" s="408">
        <v>-4.1899375106428041</v>
      </c>
      <c r="AO311" s="408">
        <v>-19.397627884040602</v>
      </c>
      <c r="AP311" s="408">
        <v>-60.774397571087057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-1.2996320541889559</v>
      </c>
      <c r="BE311" s="408">
        <v>0</v>
      </c>
      <c r="BF311" s="408">
        <v>0</v>
      </c>
      <c r="BG311" s="408">
        <v>-77.440790626849761</v>
      </c>
      <c r="BH311" s="408">
        <v>0</v>
      </c>
      <c r="BI311" s="408">
        <v>-6.05</v>
      </c>
      <c r="BJ311" s="408">
        <v>-27.7</v>
      </c>
      <c r="BK311" s="408">
        <v>-104.86</v>
      </c>
      <c r="BL311" s="408">
        <v>0</v>
      </c>
      <c r="BM311" s="408"/>
      <c r="BN311" s="408"/>
      <c r="BO311" s="408"/>
      <c r="BP311" s="408"/>
      <c r="BQ311" s="408"/>
      <c r="BR311" s="408">
        <v>-134.70911999999996</v>
      </c>
      <c r="BS311" s="408"/>
      <c r="BT311" s="408"/>
      <c r="BU311" s="408"/>
      <c r="BV311" s="408">
        <v>-545.24610047985982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-986.07940000000008</v>
      </c>
      <c r="CJ311" s="408">
        <v>529.58660000000009</v>
      </c>
      <c r="CK311" s="408"/>
      <c r="CL311" s="408"/>
      <c r="CM311" s="408"/>
      <c r="CN311" s="408"/>
      <c r="CO311" s="408">
        <v>671.03400000000011</v>
      </c>
      <c r="CP311" s="408">
        <v>-71.263919999999999</v>
      </c>
      <c r="CQ311" s="408">
        <v>31</v>
      </c>
      <c r="CR311" s="408">
        <v>-84.412267968766628</v>
      </c>
      <c r="CS311" s="408">
        <v>-2.0008948816276053</v>
      </c>
      <c r="CT311" s="408">
        <v>-6.2689717403042167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-0.17551205121872604</v>
      </c>
      <c r="DA311" s="408">
        <v>0</v>
      </c>
      <c r="DB311" s="408">
        <v>0</v>
      </c>
      <c r="DC311" s="408">
        <v>-71.273078655070606</v>
      </c>
      <c r="DD311" s="408">
        <v>0</v>
      </c>
      <c r="DE311" s="408">
        <v>0</v>
      </c>
      <c r="DF311" s="408">
        <v>-0.19855873578629302</v>
      </c>
      <c r="DG311" s="408">
        <v>-11.831460631951188</v>
      </c>
      <c r="DH311" s="408">
        <v>0</v>
      </c>
      <c r="DI311" s="408">
        <v>6.3244387893027607</v>
      </c>
      <c r="DJ311" s="408"/>
      <c r="DK311" s="408">
        <v>0</v>
      </c>
      <c r="DL311" s="408">
        <v>0</v>
      </c>
      <c r="DM311" s="408">
        <v>0</v>
      </c>
      <c r="DN311" s="408">
        <v>0</v>
      </c>
      <c r="DO311" s="408">
        <v>0.82953855453746783</v>
      </c>
      <c r="DP311" s="408">
        <v>0.18223138335174838</v>
      </c>
      <c r="DQ311" s="408">
        <v>0</v>
      </c>
      <c r="DR311" s="408">
        <v>0</v>
      </c>
      <c r="DS311" s="408"/>
      <c r="DT311" s="408"/>
      <c r="DU311" s="408"/>
      <c r="DV311" s="408">
        <v>-931.22193263046734</v>
      </c>
      <c r="DW311" s="408">
        <v>0</v>
      </c>
      <c r="DX311" s="408">
        <v>0</v>
      </c>
      <c r="DY311" s="408">
        <v>671.03400000000011</v>
      </c>
      <c r="DZ311" s="234">
        <v>-71.263920000000041</v>
      </c>
      <c r="EA311" s="408">
        <v>0</v>
      </c>
      <c r="EB311" s="408">
        <v>0</v>
      </c>
      <c r="EC311" s="408">
        <v>684.17789610657405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0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242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310</v>
      </c>
      <c r="B312" s="408" t="s">
        <v>2234</v>
      </c>
      <c r="C312" s="408" t="s">
        <v>2231</v>
      </c>
      <c r="D312" s="408" t="s">
        <v>2241</v>
      </c>
      <c r="E312" s="408" t="s">
        <v>974</v>
      </c>
      <c r="F312" s="408" t="s">
        <v>1322</v>
      </c>
      <c r="G312" s="408" t="s">
        <v>1322</v>
      </c>
      <c r="H312" s="408" t="s">
        <v>1322</v>
      </c>
      <c r="I312" s="408" t="s">
        <v>1322</v>
      </c>
      <c r="J312" s="408" t="s">
        <v>2232</v>
      </c>
      <c r="K312" s="828">
        <v>44562</v>
      </c>
      <c r="L312" s="408">
        <v>0</v>
      </c>
      <c r="M312" s="408">
        <v>0</v>
      </c>
      <c r="N312" s="408">
        <v>74.7</v>
      </c>
      <c r="O312" s="408">
        <v>74.7</v>
      </c>
      <c r="P312" s="408">
        <v>74.7</v>
      </c>
      <c r="Q312" s="408">
        <v>74.7</v>
      </c>
      <c r="R312" s="408"/>
      <c r="S312" s="408">
        <v>571.87</v>
      </c>
      <c r="T312" s="408">
        <v>216.76</v>
      </c>
      <c r="U312" s="408"/>
      <c r="V312" s="408">
        <v>58910.661</v>
      </c>
      <c r="W312" s="408">
        <v>58910.661</v>
      </c>
      <c r="X312" s="408">
        <v>38396.547000000006</v>
      </c>
      <c r="Y312" s="408">
        <v>0</v>
      </c>
      <c r="Z312" s="408">
        <v>4527.613093189736</v>
      </c>
      <c r="AA312" s="408">
        <v>0</v>
      </c>
      <c r="AB312" s="408">
        <v>0</v>
      </c>
      <c r="AC312" s="408">
        <v>0</v>
      </c>
      <c r="AD312" s="408">
        <v>61.396953353257459</v>
      </c>
      <c r="AE312" s="408">
        <v>31850.86005837725</v>
      </c>
      <c r="AF312" s="408">
        <v>15956.03211152561</v>
      </c>
      <c r="AG312" s="408">
        <v>235.8581338129913</v>
      </c>
      <c r="AH312" s="408">
        <v>0</v>
      </c>
      <c r="AI312" s="408">
        <v>0</v>
      </c>
      <c r="AJ312" s="408">
        <v>0</v>
      </c>
      <c r="AK312" s="408">
        <v>0</v>
      </c>
      <c r="AL312" s="408">
        <v>700.2104342951618</v>
      </c>
      <c r="AM312" s="408"/>
      <c r="AN312" s="408">
        <v>143.30967584478822</v>
      </c>
      <c r="AO312" s="408">
        <v>663.46282185798214</v>
      </c>
      <c r="AP312" s="408">
        <v>2078.6847520880051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44.451700754539836</v>
      </c>
      <c r="BE312" s="408">
        <v>0</v>
      </c>
      <c r="BF312" s="408">
        <v>0</v>
      </c>
      <c r="BG312" s="408">
        <v>2648.7303387480206</v>
      </c>
      <c r="BH312" s="408">
        <v>0</v>
      </c>
      <c r="BI312" s="408">
        <v>197.55</v>
      </c>
      <c r="BJ312" s="408">
        <v>912.45</v>
      </c>
      <c r="BK312" s="408">
        <v>2022.92</v>
      </c>
      <c r="BL312" s="408">
        <v>197</v>
      </c>
      <c r="BM312" s="408"/>
      <c r="BN312" s="408"/>
      <c r="BO312" s="408"/>
      <c r="BP312" s="408"/>
      <c r="BQ312" s="408"/>
      <c r="BR312" s="408">
        <v>4607.4959999999983</v>
      </c>
      <c r="BS312" s="408"/>
      <c r="BT312" s="408"/>
      <c r="BU312" s="408"/>
      <c r="BV312" s="408">
        <v>18649.214151028173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33789.051000000007</v>
      </c>
      <c r="CJ312" s="408">
        <v>-18052.779000000002</v>
      </c>
      <c r="CK312" s="408"/>
      <c r="CL312" s="408"/>
      <c r="CM312" s="408"/>
      <c r="CN312" s="408"/>
      <c r="CO312" s="408">
        <v>-22951.575000000001</v>
      </c>
      <c r="CP312" s="408">
        <v>2437.4609999999998</v>
      </c>
      <c r="CQ312" s="408">
        <v>31</v>
      </c>
      <c r="CR312" s="408">
        <v>2887.1778467339245</v>
      </c>
      <c r="CS312" s="408">
        <v>68.437201308416775</v>
      </c>
      <c r="CT312" s="408">
        <v>214.41950045820749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6.0030907628382977</v>
      </c>
      <c r="DA312" s="408">
        <v>0</v>
      </c>
      <c r="DB312" s="408">
        <v>0</v>
      </c>
      <c r="DC312" s="408">
        <v>2437.7742561967843</v>
      </c>
      <c r="DD312" s="408">
        <v>0</v>
      </c>
      <c r="DE312" s="408">
        <v>0</v>
      </c>
      <c r="DF312" s="408">
        <v>6.7913633531300803</v>
      </c>
      <c r="DG312" s="408">
        <v>404.67495842800054</v>
      </c>
      <c r="DH312" s="408">
        <v>0</v>
      </c>
      <c r="DI312" s="408">
        <v>-216.31665639236053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-28.372953307668922</v>
      </c>
      <c r="DP312" s="408">
        <v>-6.2329140734320561</v>
      </c>
      <c r="DQ312" s="408">
        <v>0</v>
      </c>
      <c r="DR312" s="408">
        <v>0</v>
      </c>
      <c r="DS312" s="408"/>
      <c r="DT312" s="408"/>
      <c r="DU312" s="408"/>
      <c r="DV312" s="408">
        <v>31850.86005837725</v>
      </c>
      <c r="DW312" s="408">
        <v>0</v>
      </c>
      <c r="DX312" s="408">
        <v>0</v>
      </c>
      <c r="DY312" s="408">
        <v>-22951.574999999997</v>
      </c>
      <c r="DZ312" s="234">
        <v>2437.4610000000011</v>
      </c>
      <c r="EA312" s="408">
        <v>0</v>
      </c>
      <c r="EB312" s="408">
        <v>0</v>
      </c>
      <c r="EC312" s="408">
        <v>-23401.139578370457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242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311</v>
      </c>
      <c r="B313" s="408" t="s">
        <v>1036</v>
      </c>
      <c r="C313" s="408" t="s">
        <v>2239</v>
      </c>
      <c r="D313" s="408" t="s">
        <v>597</v>
      </c>
      <c r="E313" s="408" t="s">
        <v>974</v>
      </c>
      <c r="F313" s="408" t="s">
        <v>1322</v>
      </c>
      <c r="G313" s="408" t="s">
        <v>1322</v>
      </c>
      <c r="H313" s="408" t="s">
        <v>1322</v>
      </c>
      <c r="I313" s="408" t="s">
        <v>973</v>
      </c>
      <c r="J313" s="408" t="s">
        <v>2232</v>
      </c>
      <c r="K313" s="828">
        <v>44562</v>
      </c>
      <c r="L313" s="408">
        <v>0</v>
      </c>
      <c r="M313" s="408">
        <v>0</v>
      </c>
      <c r="N313" s="408">
        <v>5.9119999999999999</v>
      </c>
      <c r="O313" s="408">
        <v>5.6755199999999997</v>
      </c>
      <c r="P313" s="408">
        <v>5.9119999999999999</v>
      </c>
      <c r="Q313" s="408">
        <v>5.6755199999999997</v>
      </c>
      <c r="R313" s="408"/>
      <c r="S313" s="408">
        <v>2592.54</v>
      </c>
      <c r="T313" s="408">
        <v>216.76</v>
      </c>
      <c r="U313" s="408"/>
      <c r="V313" s="408">
        <v>16608.581600000001</v>
      </c>
      <c r="W313" s="408">
        <v>16608.581600000001</v>
      </c>
      <c r="X313" s="408">
        <v>6983.2543999999998</v>
      </c>
      <c r="Y313" s="408">
        <v>0</v>
      </c>
      <c r="Z313" s="408">
        <v>311.74707212899358</v>
      </c>
      <c r="AA313" s="408">
        <v>0</v>
      </c>
      <c r="AB313" s="408">
        <v>0</v>
      </c>
      <c r="AC313" s="408">
        <v>0</v>
      </c>
      <c r="AD313" s="408">
        <v>29.894827344178392</v>
      </c>
      <c r="AE313" s="408">
        <v>13543.750574094562</v>
      </c>
      <c r="AF313" s="408">
        <v>1262.8120728693361</v>
      </c>
      <c r="AG313" s="408">
        <v>18.666576801906352</v>
      </c>
      <c r="AH313" s="408">
        <v>0</v>
      </c>
      <c r="AI313" s="408">
        <v>0</v>
      </c>
      <c r="AJ313" s="408">
        <v>0</v>
      </c>
      <c r="AK313" s="408">
        <v>0</v>
      </c>
      <c r="AL313" s="408">
        <v>55.416922189464472</v>
      </c>
      <c r="AM313" s="408"/>
      <c r="AN313" s="408">
        <v>8.1184896257165722</v>
      </c>
      <c r="AO313" s="408">
        <v>266.71912054940236</v>
      </c>
      <c r="AP313" s="408">
        <v>1012.1388264584518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2.7035499052656999</v>
      </c>
      <c r="BE313" s="408">
        <v>0</v>
      </c>
      <c r="BF313" s="408">
        <v>0</v>
      </c>
      <c r="BG313" s="408">
        <v>96.579359161549149</v>
      </c>
      <c r="BH313" s="408">
        <v>0</v>
      </c>
      <c r="BI313" s="408">
        <v>0</v>
      </c>
      <c r="BJ313" s="408">
        <v>0</v>
      </c>
      <c r="BK313" s="408">
        <v>0</v>
      </c>
      <c r="BL313" s="408">
        <v>0</v>
      </c>
      <c r="BM313" s="408"/>
      <c r="BN313" s="408"/>
      <c r="BO313" s="408"/>
      <c r="BP313" s="408"/>
      <c r="BQ313" s="408"/>
      <c r="BR313" s="408">
        <v>279.33017600000028</v>
      </c>
      <c r="BS313" s="408"/>
      <c r="BT313" s="408"/>
      <c r="BU313" s="408"/>
      <c r="BV313" s="408">
        <v>1362.0949819361508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6709.2159999999985</v>
      </c>
      <c r="CJ313" s="408">
        <v>-9235.0523360000007</v>
      </c>
      <c r="CK313" s="408"/>
      <c r="CL313" s="408"/>
      <c r="CM313" s="408"/>
      <c r="CN313" s="408"/>
      <c r="CO313" s="408">
        <v>-9818.2357599999996</v>
      </c>
      <c r="CP313" s="408">
        <v>192.90855999999997</v>
      </c>
      <c r="CQ313" s="408">
        <v>31</v>
      </c>
      <c r="CR313" s="408">
        <v>325.44795981317156</v>
      </c>
      <c r="CS313" s="408">
        <v>27.512483811414597</v>
      </c>
      <c r="CT313" s="408">
        <v>104.40366262636667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2.9229685201792286</v>
      </c>
      <c r="DA313" s="408">
        <v>0</v>
      </c>
      <c r="DB313" s="408">
        <v>0</v>
      </c>
      <c r="DC313" s="408">
        <v>192.93335211024601</v>
      </c>
      <c r="DD313" s="408">
        <v>0</v>
      </c>
      <c r="DE313" s="408">
        <v>0</v>
      </c>
      <c r="DF313" s="408">
        <v>0.41305033189544949</v>
      </c>
      <c r="DG313" s="408">
        <v>14.755465130578941</v>
      </c>
      <c r="DH313" s="408">
        <v>0</v>
      </c>
      <c r="DI313" s="408">
        <v>-14.894400845444466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-2.2455274425025209</v>
      </c>
      <c r="DP313" s="408">
        <v>-0.35309442956207349</v>
      </c>
      <c r="DQ313" s="408">
        <v>0</v>
      </c>
      <c r="DR313" s="408">
        <v>0</v>
      </c>
      <c r="DS313" s="408"/>
      <c r="DT313" s="408"/>
      <c r="DU313" s="408"/>
      <c r="DV313" s="408">
        <v>13543.750574094562</v>
      </c>
      <c r="DW313" s="408">
        <v>0</v>
      </c>
      <c r="DX313" s="408">
        <v>0</v>
      </c>
      <c r="DY313" s="408">
        <v>-9818.2357599999996</v>
      </c>
      <c r="DZ313" s="234">
        <v>192.90856000000008</v>
      </c>
      <c r="EA313" s="408">
        <v>0</v>
      </c>
      <c r="EB313" s="408">
        <v>0</v>
      </c>
      <c r="EC313" s="408">
        <v>-9950.726511564395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242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312</v>
      </c>
      <c r="B314" s="408" t="s">
        <v>1036</v>
      </c>
      <c r="C314" s="408" t="s">
        <v>2239</v>
      </c>
      <c r="D314" s="408" t="s">
        <v>597</v>
      </c>
      <c r="E314" s="408" t="s">
        <v>974</v>
      </c>
      <c r="F314" s="408" t="s">
        <v>1322</v>
      </c>
      <c r="G314" s="408" t="s">
        <v>1322</v>
      </c>
      <c r="H314" s="408" t="s">
        <v>1322</v>
      </c>
      <c r="I314" s="408" t="s">
        <v>2240</v>
      </c>
      <c r="J314" s="408" t="s">
        <v>2232</v>
      </c>
      <c r="K314" s="828">
        <v>44562</v>
      </c>
      <c r="L314" s="408">
        <v>0</v>
      </c>
      <c r="M314" s="408">
        <v>0</v>
      </c>
      <c r="N314" s="408">
        <v>50.784999999999997</v>
      </c>
      <c r="O314" s="408">
        <v>48.753599999999999</v>
      </c>
      <c r="P314" s="408">
        <v>50.784999999999997</v>
      </c>
      <c r="Q314" s="408">
        <v>48.753599999999999</v>
      </c>
      <c r="R314" s="408"/>
      <c r="S314" s="408">
        <v>80.27</v>
      </c>
      <c r="T314" s="408">
        <v>216.76</v>
      </c>
      <c r="U314" s="408"/>
      <c r="V314" s="408">
        <v>15084.668549999999</v>
      </c>
      <c r="W314" s="408">
        <v>15084.668549999999</v>
      </c>
      <c r="X314" s="408">
        <v>16721.976949999997</v>
      </c>
      <c r="Y314" s="408">
        <v>0</v>
      </c>
      <c r="Z314" s="408">
        <v>2677.9558623259368</v>
      </c>
      <c r="AA314" s="408">
        <v>0</v>
      </c>
      <c r="AB314" s="408">
        <v>0</v>
      </c>
      <c r="AC314" s="408">
        <v>0</v>
      </c>
      <c r="AD314" s="408">
        <v>0</v>
      </c>
      <c r="AE314" s="408">
        <v>0</v>
      </c>
      <c r="AF314" s="408">
        <v>10847.752219328353</v>
      </c>
      <c r="AG314" s="408">
        <v>160.3487995407331</v>
      </c>
      <c r="AH314" s="408">
        <v>0</v>
      </c>
      <c r="AI314" s="408">
        <v>0</v>
      </c>
      <c r="AJ314" s="408">
        <v>0</v>
      </c>
      <c r="AK314" s="408">
        <v>0</v>
      </c>
      <c r="AL314" s="408">
        <v>476.03998535046571</v>
      </c>
      <c r="AM314" s="408"/>
      <c r="AN314" s="408">
        <v>69.739089249326128</v>
      </c>
      <c r="AO314" s="408">
        <v>0</v>
      </c>
      <c r="AP314" s="408">
        <v>0</v>
      </c>
      <c r="AQ314" s="408">
        <v>0</v>
      </c>
      <c r="AR314" s="408">
        <v>0</v>
      </c>
      <c r="AS314" s="408">
        <v>0</v>
      </c>
      <c r="AT314" s="408">
        <v>0</v>
      </c>
      <c r="AU314" s="408">
        <v>0</v>
      </c>
      <c r="AV314" s="408">
        <v>0</v>
      </c>
      <c r="AW314" s="408">
        <v>0</v>
      </c>
      <c r="AX314" s="408">
        <v>0</v>
      </c>
      <c r="AY314" s="408">
        <v>0</v>
      </c>
      <c r="AZ314" s="408">
        <v>0</v>
      </c>
      <c r="BA314" s="408"/>
      <c r="BB314" s="408">
        <v>0</v>
      </c>
      <c r="BC314" s="408">
        <v>0</v>
      </c>
      <c r="BD314" s="408">
        <v>23.223914401034939</v>
      </c>
      <c r="BE314" s="408">
        <v>0</v>
      </c>
      <c r="BF314" s="408">
        <v>0</v>
      </c>
      <c r="BG314" s="408">
        <v>829.63172446198814</v>
      </c>
      <c r="BH314" s="408">
        <v>0</v>
      </c>
      <c r="BI314" s="408">
        <v>0</v>
      </c>
      <c r="BJ314" s="408">
        <v>0</v>
      </c>
      <c r="BK314" s="408">
        <v>0</v>
      </c>
      <c r="BL314" s="408">
        <v>0</v>
      </c>
      <c r="BM314" s="408"/>
      <c r="BN314" s="408"/>
      <c r="BO314" s="408"/>
      <c r="BP314" s="408"/>
      <c r="BQ314" s="408"/>
      <c r="BR314" s="408">
        <v>668.87907799999925</v>
      </c>
      <c r="BS314" s="408"/>
      <c r="BT314" s="408"/>
      <c r="BU314" s="408"/>
      <c r="BV314" s="408">
        <v>11700.607858191375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16051.912499999999</v>
      </c>
      <c r="CJ314" s="408">
        <v>1570.6006919999982</v>
      </c>
      <c r="CK314" s="408"/>
      <c r="CL314" s="408"/>
      <c r="CM314" s="408"/>
      <c r="CN314" s="408"/>
      <c r="CO314" s="408">
        <v>-19.806150000000027</v>
      </c>
      <c r="CP314" s="408">
        <v>1657.1145499999996</v>
      </c>
      <c r="CQ314" s="408">
        <v>31</v>
      </c>
      <c r="CR314" s="408">
        <v>1637.3596390344919</v>
      </c>
      <c r="CS314" s="408">
        <v>0</v>
      </c>
      <c r="CT314" s="408">
        <v>0</v>
      </c>
      <c r="CU314" s="408">
        <v>0</v>
      </c>
      <c r="CV314" s="408">
        <v>0</v>
      </c>
      <c r="CW314" s="408">
        <v>0</v>
      </c>
      <c r="CX314" s="408">
        <v>0</v>
      </c>
      <c r="CY314" s="408">
        <v>0</v>
      </c>
      <c r="CZ314" s="408">
        <v>0</v>
      </c>
      <c r="DA314" s="408">
        <v>0</v>
      </c>
      <c r="DB314" s="408">
        <v>0</v>
      </c>
      <c r="DC314" s="408">
        <v>1657.327518085056</v>
      </c>
      <c r="DD314" s="408">
        <v>0</v>
      </c>
      <c r="DE314" s="408">
        <v>0</v>
      </c>
      <c r="DF314" s="408">
        <v>3.5481666280971602</v>
      </c>
      <c r="DG314" s="408">
        <v>126.75174165366218</v>
      </c>
      <c r="DH314" s="408">
        <v>0</v>
      </c>
      <c r="DI314" s="408">
        <v>-127.94522106493514</v>
      </c>
      <c r="DJ314" s="408"/>
      <c r="DK314" s="408">
        <v>0</v>
      </c>
      <c r="DL314" s="408">
        <v>0</v>
      </c>
      <c r="DM314" s="408">
        <v>0</v>
      </c>
      <c r="DN314" s="408">
        <v>0</v>
      </c>
      <c r="DO314" s="408">
        <v>-19.289430170414562</v>
      </c>
      <c r="DP314" s="408">
        <v>-3.0331360969739336</v>
      </c>
      <c r="DQ314" s="408">
        <v>0</v>
      </c>
      <c r="DR314" s="408">
        <v>0</v>
      </c>
      <c r="DS314" s="408"/>
      <c r="DT314" s="408"/>
      <c r="DU314" s="408"/>
      <c r="DV314" s="408">
        <v>0</v>
      </c>
      <c r="DW314" s="408">
        <v>0</v>
      </c>
      <c r="DX314" s="408">
        <v>0</v>
      </c>
      <c r="DY314" s="408">
        <v>-19.806150000000343</v>
      </c>
      <c r="DZ314" s="234">
        <v>1657.1145500000002</v>
      </c>
      <c r="EA314" s="408">
        <v>0</v>
      </c>
      <c r="EB314" s="408">
        <v>0</v>
      </c>
      <c r="EC314" s="408">
        <v>0</v>
      </c>
      <c r="ED314" s="408">
        <v>0</v>
      </c>
      <c r="EE314" s="408">
        <v>0</v>
      </c>
      <c r="EF314" s="408">
        <v>0</v>
      </c>
      <c r="EG314" s="408">
        <v>0</v>
      </c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>
        <v>0</v>
      </c>
      <c r="EN314" s="408">
        <v>0</v>
      </c>
      <c r="EO314" s="408">
        <v>0</v>
      </c>
      <c r="EP314" s="408">
        <v>0</v>
      </c>
      <c r="EQ314" s="408">
        <v>0</v>
      </c>
      <c r="ER314" s="408">
        <v>0</v>
      </c>
      <c r="ES314" s="408">
        <v>0</v>
      </c>
      <c r="ET314" s="408">
        <v>0</v>
      </c>
      <c r="EU314" s="408">
        <v>0</v>
      </c>
      <c r="EV314" s="408">
        <v>242</v>
      </c>
      <c r="EW314" s="408">
        <v>0</v>
      </c>
      <c r="EX314" s="408">
        <v>0</v>
      </c>
      <c r="EY314" s="408">
        <v>0</v>
      </c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313</v>
      </c>
      <c r="B315" s="408" t="s">
        <v>1036</v>
      </c>
      <c r="C315" s="408" t="s">
        <v>2239</v>
      </c>
      <c r="D315" s="408" t="s">
        <v>597</v>
      </c>
      <c r="E315" s="408" t="s">
        <v>974</v>
      </c>
      <c r="F315" s="408" t="s">
        <v>1322</v>
      </c>
      <c r="G315" s="408" t="s">
        <v>1322</v>
      </c>
      <c r="H315" s="408" t="s">
        <v>1322</v>
      </c>
      <c r="I315" s="408" t="s">
        <v>1322</v>
      </c>
      <c r="J315" s="408" t="s">
        <v>2232</v>
      </c>
      <c r="K315" s="828">
        <v>44562</v>
      </c>
      <c r="L315" s="408">
        <v>149</v>
      </c>
      <c r="M315" s="408">
        <v>143.04</v>
      </c>
      <c r="N315" s="408">
        <v>0</v>
      </c>
      <c r="O315" s="408">
        <v>0</v>
      </c>
      <c r="P315" s="408">
        <v>0</v>
      </c>
      <c r="Q315" s="408">
        <v>0</v>
      </c>
      <c r="R315" s="408">
        <v>32.17</v>
      </c>
      <c r="S315" s="408"/>
      <c r="T315" s="408"/>
      <c r="U315" s="408">
        <v>4793.33</v>
      </c>
      <c r="V315" s="408"/>
      <c r="W315" s="408">
        <v>4793.33</v>
      </c>
      <c r="X315" s="408">
        <v>1926.57</v>
      </c>
      <c r="Y315" s="408">
        <v>0</v>
      </c>
      <c r="Z315" s="408">
        <v>0</v>
      </c>
      <c r="AA315" s="408">
        <v>0</v>
      </c>
      <c r="AB315" s="408">
        <v>0</v>
      </c>
      <c r="AC315" s="408">
        <v>0</v>
      </c>
      <c r="AD315" s="408">
        <v>14.887517544560035</v>
      </c>
      <c r="AE315" s="408">
        <v>4012.0835788454569</v>
      </c>
      <c r="AF315" s="408"/>
      <c r="AG315" s="408"/>
      <c r="AH315" s="408"/>
      <c r="AI315" s="408">
        <v>0</v>
      </c>
      <c r="AJ315" s="408">
        <v>0</v>
      </c>
      <c r="AK315" s="408">
        <v>0</v>
      </c>
      <c r="AL315" s="408">
        <v>0</v>
      </c>
      <c r="AM315" s="408"/>
      <c r="AN315" s="408">
        <v>0</v>
      </c>
      <c r="AO315" s="408">
        <v>262.89874485564576</v>
      </c>
      <c r="AP315" s="408">
        <v>504.04690965140634</v>
      </c>
      <c r="AQ315" s="408">
        <v>0</v>
      </c>
      <c r="AR315" s="408">
        <v>0</v>
      </c>
      <c r="AS315" s="408"/>
      <c r="AT315" s="408"/>
      <c r="AU315" s="408">
        <v>0</v>
      </c>
      <c r="AV315" s="408">
        <v>0</v>
      </c>
      <c r="AW315" s="408">
        <v>0</v>
      </c>
      <c r="AX315" s="408"/>
      <c r="AY315" s="408"/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/>
      <c r="BG315" s="408">
        <v>0</v>
      </c>
      <c r="BH315" s="408">
        <v>0</v>
      </c>
      <c r="BI315" s="408">
        <v>118.85</v>
      </c>
      <c r="BJ315" s="408">
        <v>545.75</v>
      </c>
      <c r="BK315" s="408">
        <v>7.73</v>
      </c>
      <c r="BL315" s="408">
        <v>1</v>
      </c>
      <c r="BM315" s="408"/>
      <c r="BN315" s="408"/>
      <c r="BO315" s="408"/>
      <c r="BP315" s="408"/>
      <c r="BQ315" s="408"/>
      <c r="BR315" s="408">
        <v>77.062800000000095</v>
      </c>
      <c r="BS315" s="408"/>
      <c r="BT315" s="408"/>
      <c r="BU315" s="408"/>
      <c r="BV315" s="408">
        <v>0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1849.5071999999998</v>
      </c>
      <c r="CJ315" s="408">
        <v>-2752.1196000000009</v>
      </c>
      <c r="CK315" s="408"/>
      <c r="CL315" s="408"/>
      <c r="CM315" s="408"/>
      <c r="CN315" s="408"/>
      <c r="CO315" s="408">
        <v>-2866.76</v>
      </c>
      <c r="CP315" s="408">
        <v>0</v>
      </c>
      <c r="CQ315" s="408">
        <v>31</v>
      </c>
      <c r="CR315" s="408">
        <v>80.567241134825622</v>
      </c>
      <c r="CS315" s="408">
        <v>27.118406235681505</v>
      </c>
      <c r="CT315" s="408">
        <v>51.993206986483131</v>
      </c>
      <c r="CU315" s="408">
        <v>0</v>
      </c>
      <c r="CV315" s="408">
        <v>0</v>
      </c>
      <c r="CW315" s="408"/>
      <c r="CX315" s="408"/>
      <c r="CY315" s="408"/>
      <c r="CZ315" s="408">
        <v>1.455627912660967</v>
      </c>
      <c r="DA315" s="408">
        <v>0</v>
      </c>
      <c r="DB315" s="408">
        <v>0</v>
      </c>
      <c r="DC315" s="408"/>
      <c r="DD315" s="408"/>
      <c r="DE315" s="408">
        <v>0</v>
      </c>
      <c r="DF315" s="408">
        <v>0</v>
      </c>
      <c r="DG315" s="408">
        <v>0</v>
      </c>
      <c r="DH315" s="408">
        <v>0</v>
      </c>
      <c r="DI315" s="408">
        <v>0</v>
      </c>
      <c r="DJ315" s="408"/>
      <c r="DK315" s="408">
        <v>0</v>
      </c>
      <c r="DL315" s="408">
        <v>0</v>
      </c>
      <c r="DM315" s="408"/>
      <c r="DN315" s="408">
        <v>0</v>
      </c>
      <c r="DO315" s="408">
        <v>0</v>
      </c>
      <c r="DP315" s="408">
        <v>0</v>
      </c>
      <c r="DQ315" s="408">
        <v>0</v>
      </c>
      <c r="DR315" s="408">
        <v>0</v>
      </c>
      <c r="DS315" s="408"/>
      <c r="DT315" s="408"/>
      <c r="DU315" s="408">
        <v>4012.0835788454569</v>
      </c>
      <c r="DV315" s="408"/>
      <c r="DW315" s="408">
        <v>0</v>
      </c>
      <c r="DX315" s="408">
        <v>0</v>
      </c>
      <c r="DY315" s="408">
        <v>-2866.76</v>
      </c>
      <c r="DZ315" s="234"/>
      <c r="EA315" s="408">
        <v>0</v>
      </c>
      <c r="EB315" s="408"/>
      <c r="EC315" s="408">
        <v>-2947.7171937137928</v>
      </c>
      <c r="ED315" s="408"/>
      <c r="EE315" s="408">
        <v>0</v>
      </c>
      <c r="EF315" s="408">
        <v>0</v>
      </c>
      <c r="EG315" s="408"/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/>
      <c r="EN315" s="408"/>
      <c r="EO315" s="408">
        <v>0</v>
      </c>
      <c r="EP315" s="408">
        <v>0</v>
      </c>
      <c r="EQ315" s="408"/>
      <c r="ER315" s="408">
        <v>0</v>
      </c>
      <c r="ES315" s="408"/>
      <c r="ET315" s="408">
        <v>0</v>
      </c>
      <c r="EU315" s="408"/>
      <c r="EV315" s="408">
        <v>242</v>
      </c>
      <c r="EW315" s="408"/>
      <c r="EX315" s="408"/>
      <c r="EY315" s="408"/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314</v>
      </c>
      <c r="B316" s="408" t="s">
        <v>1036</v>
      </c>
      <c r="C316" s="408" t="s">
        <v>2231</v>
      </c>
      <c r="D316" s="408" t="s">
        <v>1955</v>
      </c>
      <c r="E316" s="408" t="s">
        <v>2242</v>
      </c>
      <c r="F316" s="408" t="s">
        <v>1322</v>
      </c>
      <c r="G316" s="408" t="s">
        <v>1322</v>
      </c>
      <c r="H316" s="408" t="s">
        <v>1322</v>
      </c>
      <c r="I316" s="408" t="s">
        <v>1322</v>
      </c>
      <c r="J316" s="408" t="s">
        <v>2232</v>
      </c>
      <c r="K316" s="828">
        <v>44562</v>
      </c>
      <c r="L316" s="408">
        <v>0</v>
      </c>
      <c r="M316" s="408">
        <v>0</v>
      </c>
      <c r="N316" s="408">
        <v>49.322000000000003</v>
      </c>
      <c r="O316" s="408">
        <v>49.322000000000003</v>
      </c>
      <c r="P316" s="408">
        <v>49.322000000000003</v>
      </c>
      <c r="Q316" s="408">
        <v>49.322000000000003</v>
      </c>
      <c r="R316" s="408"/>
      <c r="S316" s="408">
        <v>571.87</v>
      </c>
      <c r="T316" s="408">
        <v>216.76</v>
      </c>
      <c r="U316" s="408"/>
      <c r="V316" s="408">
        <v>38896.808860000005</v>
      </c>
      <c r="W316" s="408">
        <v>38896.808860000005</v>
      </c>
      <c r="X316" s="408">
        <v>25352.001220000002</v>
      </c>
      <c r="Y316" s="408">
        <v>0</v>
      </c>
      <c r="Z316" s="408">
        <v>2989.4368538461067</v>
      </c>
      <c r="AA316" s="408">
        <v>0</v>
      </c>
      <c r="AB316" s="408">
        <v>0</v>
      </c>
      <c r="AC316" s="408">
        <v>0</v>
      </c>
      <c r="AD316" s="408">
        <v>40.53842748714009</v>
      </c>
      <c r="AE316" s="408">
        <v>21030.095311904723</v>
      </c>
      <c r="AF316" s="408">
        <v>10535.253223623375</v>
      </c>
      <c r="AG316" s="408">
        <v>155.72951641130331</v>
      </c>
      <c r="AH316" s="408">
        <v>0</v>
      </c>
      <c r="AI316" s="408">
        <v>0</v>
      </c>
      <c r="AJ316" s="408">
        <v>0</v>
      </c>
      <c r="AK316" s="408">
        <v>0</v>
      </c>
      <c r="AL316" s="408">
        <v>462.32635930797818</v>
      </c>
      <c r="AM316" s="408"/>
      <c r="AN316" s="408">
        <v>94.622755448683321</v>
      </c>
      <c r="AO316" s="408">
        <v>438.06309638125026</v>
      </c>
      <c r="AP316" s="408">
        <v>1372.4884784803826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29.350023890433921</v>
      </c>
      <c r="BE316" s="408">
        <v>0</v>
      </c>
      <c r="BF316" s="408">
        <v>0</v>
      </c>
      <c r="BG316" s="408">
        <v>1748.8711883230237</v>
      </c>
      <c r="BH316" s="408">
        <v>0</v>
      </c>
      <c r="BI316" s="408">
        <v>117.31</v>
      </c>
      <c r="BJ316" s="408">
        <v>540.78</v>
      </c>
      <c r="BK316" s="408">
        <v>10216.19</v>
      </c>
      <c r="BL316" s="408">
        <v>107</v>
      </c>
      <c r="BM316" s="408"/>
      <c r="BN316" s="408"/>
      <c r="BO316" s="408"/>
      <c r="BP316" s="408"/>
      <c r="BQ316" s="408"/>
      <c r="BR316" s="408"/>
      <c r="BS316" s="408"/>
      <c r="BT316" s="408"/>
      <c r="BU316" s="408"/>
      <c r="BV316" s="408">
        <v>12313.474435836833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25350.9732</v>
      </c>
      <c r="CJ316" s="408">
        <v>-13545.865659999996</v>
      </c>
      <c r="CK316" s="408"/>
      <c r="CL316" s="408"/>
      <c r="CM316" s="408"/>
      <c r="CN316" s="408"/>
      <c r="CO316" s="408">
        <v>-15154.184500000001</v>
      </c>
      <c r="CP316" s="408">
        <v>1609.3768599999999</v>
      </c>
      <c r="CQ316" s="408">
        <v>31</v>
      </c>
      <c r="CR316" s="408">
        <v>1906.3103849613181</v>
      </c>
      <c r="CS316" s="408">
        <v>45.186876076756789</v>
      </c>
      <c r="CT316" s="408">
        <v>141.57427846853716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3.9636471566895608</v>
      </c>
      <c r="DA316" s="408">
        <v>0</v>
      </c>
      <c r="DB316" s="408">
        <v>0</v>
      </c>
      <c r="DC316" s="408">
        <v>1609.5836929603465</v>
      </c>
      <c r="DD316" s="408">
        <v>0</v>
      </c>
      <c r="DE316" s="408">
        <v>0</v>
      </c>
      <c r="DF316" s="408">
        <v>4.4841181165071156</v>
      </c>
      <c r="DG316" s="408">
        <v>267.19381927156428</v>
      </c>
      <c r="DH316" s="408">
        <v>0</v>
      </c>
      <c r="DI316" s="408">
        <v>-142.8269093250874</v>
      </c>
      <c r="DJ316" s="408"/>
      <c r="DK316" s="408">
        <v>0</v>
      </c>
      <c r="DL316" s="408">
        <v>0</v>
      </c>
      <c r="DM316" s="408">
        <v>0</v>
      </c>
      <c r="DN316" s="408">
        <v>0</v>
      </c>
      <c r="DO316" s="408">
        <v>-18.733745689971158</v>
      </c>
      <c r="DP316" s="408">
        <v>-4.1153920740269854</v>
      </c>
      <c r="DQ316" s="408">
        <v>0</v>
      </c>
      <c r="DR316" s="408">
        <v>0</v>
      </c>
      <c r="DS316" s="408"/>
      <c r="DT316" s="408"/>
      <c r="DU316" s="408"/>
      <c r="DV316" s="408">
        <v>21030.095311904723</v>
      </c>
      <c r="DW316" s="408">
        <v>0</v>
      </c>
      <c r="DX316" s="408">
        <v>0</v>
      </c>
      <c r="DY316" s="408">
        <v>-15154.184499999999</v>
      </c>
      <c r="DZ316" s="234">
        <v>1609.3768600000003</v>
      </c>
      <c r="EA316" s="408">
        <v>0</v>
      </c>
      <c r="EB316" s="408">
        <v>0</v>
      </c>
      <c r="EC316" s="408">
        <v>-15451.017487073465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0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242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315</v>
      </c>
      <c r="B317" s="408" t="s">
        <v>2234</v>
      </c>
      <c r="C317" s="408" t="s">
        <v>2231</v>
      </c>
      <c r="D317" s="408" t="s">
        <v>1955</v>
      </c>
      <c r="E317" s="408" t="s">
        <v>2242</v>
      </c>
      <c r="F317" s="408" t="s">
        <v>1322</v>
      </c>
      <c r="G317" s="408" t="s">
        <v>1322</v>
      </c>
      <c r="H317" s="408" t="s">
        <v>1322</v>
      </c>
      <c r="I317" s="408" t="s">
        <v>1322</v>
      </c>
      <c r="J317" s="408" t="s">
        <v>2232</v>
      </c>
      <c r="K317" s="828">
        <v>44562</v>
      </c>
      <c r="L317" s="408">
        <v>0</v>
      </c>
      <c r="M317" s="408">
        <v>0</v>
      </c>
      <c r="N317" s="408">
        <v>0.1</v>
      </c>
      <c r="O317" s="408">
        <v>0.1</v>
      </c>
      <c r="P317" s="408">
        <v>0.1</v>
      </c>
      <c r="Q317" s="408">
        <v>0.1</v>
      </c>
      <c r="R317" s="408"/>
      <c r="S317" s="408">
        <v>571.87</v>
      </c>
      <c r="T317" s="408">
        <v>216.76</v>
      </c>
      <c r="U317" s="408"/>
      <c r="V317" s="408">
        <v>78.863</v>
      </c>
      <c r="W317" s="408">
        <v>78.863</v>
      </c>
      <c r="X317" s="408">
        <v>51.401000000000003</v>
      </c>
      <c r="Y317" s="408">
        <v>0</v>
      </c>
      <c r="Z317" s="408">
        <v>6.0610617044039303</v>
      </c>
      <c r="AA317" s="408">
        <v>0</v>
      </c>
      <c r="AB317" s="408">
        <v>0</v>
      </c>
      <c r="AC317" s="408">
        <v>0</v>
      </c>
      <c r="AD317" s="408">
        <v>8.2191369950813206E-2</v>
      </c>
      <c r="AE317" s="408">
        <v>42.638366878684401</v>
      </c>
      <c r="AF317" s="408">
        <v>21.360150082363603</v>
      </c>
      <c r="AG317" s="408">
        <v>0.31574047364523605</v>
      </c>
      <c r="AH317" s="408">
        <v>0</v>
      </c>
      <c r="AI317" s="408">
        <v>0</v>
      </c>
      <c r="AJ317" s="408">
        <v>0</v>
      </c>
      <c r="AK317" s="408">
        <v>0</v>
      </c>
      <c r="AL317" s="408">
        <v>0.93736336585697699</v>
      </c>
      <c r="AM317" s="408"/>
      <c r="AN317" s="408">
        <v>0.19184695561551302</v>
      </c>
      <c r="AO317" s="408">
        <v>0.88816977491028393</v>
      </c>
      <c r="AP317" s="408">
        <v>2.7827105114966599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5.9506962188139001E-2</v>
      </c>
      <c r="BE317" s="408">
        <v>0</v>
      </c>
      <c r="BF317" s="408">
        <v>0</v>
      </c>
      <c r="BG317" s="408">
        <v>3.5458237466506297</v>
      </c>
      <c r="BH317" s="408">
        <v>0</v>
      </c>
      <c r="BI317" s="408">
        <v>0.23</v>
      </c>
      <c r="BJ317" s="408">
        <v>1.1000000000000001</v>
      </c>
      <c r="BK317" s="408">
        <v>93.61</v>
      </c>
      <c r="BL317" s="408">
        <v>1</v>
      </c>
      <c r="BM317" s="408"/>
      <c r="BN317" s="408"/>
      <c r="BO317" s="408"/>
      <c r="BP317" s="408"/>
      <c r="BQ317" s="408"/>
      <c r="BR317" s="408"/>
      <c r="BS317" s="408"/>
      <c r="BT317" s="408"/>
      <c r="BU317" s="408"/>
      <c r="BV317" s="408">
        <v>24.965480791202371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51.401000000000003</v>
      </c>
      <c r="CJ317" s="408">
        <v>-27.492000000000012</v>
      </c>
      <c r="CK317" s="408"/>
      <c r="CL317" s="408"/>
      <c r="CM317" s="408"/>
      <c r="CN317" s="408"/>
      <c r="CO317" s="408">
        <v>-30.725000000000001</v>
      </c>
      <c r="CP317" s="408">
        <v>3.2629999999999999</v>
      </c>
      <c r="CQ317" s="408">
        <v>31</v>
      </c>
      <c r="CR317" s="408">
        <v>3.8650305846504907</v>
      </c>
      <c r="CS317" s="408">
        <v>9.1616066008590069E-2</v>
      </c>
      <c r="CT317" s="408">
        <v>0.28704083060001029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8.0362660814434911E-3</v>
      </c>
      <c r="DA317" s="408">
        <v>0</v>
      </c>
      <c r="DB317" s="408">
        <v>0</v>
      </c>
      <c r="DC317" s="408">
        <v>3.2634193523383992</v>
      </c>
      <c r="DD317" s="408">
        <v>0</v>
      </c>
      <c r="DE317" s="408">
        <v>0</v>
      </c>
      <c r="DF317" s="408">
        <v>9.0915172063320976E-3</v>
      </c>
      <c r="DG317" s="408">
        <v>0.5417335454190102</v>
      </c>
      <c r="DH317" s="408">
        <v>0</v>
      </c>
      <c r="DI317" s="408">
        <v>-0.28958053064572997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-3.7982534548418934E-2</v>
      </c>
      <c r="DP317" s="408">
        <v>-8.3439278091460012E-3</v>
      </c>
      <c r="DQ317" s="408">
        <v>0</v>
      </c>
      <c r="DR317" s="408">
        <v>0</v>
      </c>
      <c r="DS317" s="408"/>
      <c r="DT317" s="408"/>
      <c r="DU317" s="408"/>
      <c r="DV317" s="408">
        <v>42.638366878684401</v>
      </c>
      <c r="DW317" s="408">
        <v>0</v>
      </c>
      <c r="DX317" s="408">
        <v>0</v>
      </c>
      <c r="DY317" s="408">
        <v>-30.725000000000001</v>
      </c>
      <c r="DZ317" s="234">
        <v>3.2629999999999981</v>
      </c>
      <c r="EA317" s="408">
        <v>0</v>
      </c>
      <c r="EB317" s="408">
        <v>0</v>
      </c>
      <c r="EC317" s="408">
        <v>-31.326826744806503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242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316</v>
      </c>
      <c r="B318" s="408" t="s">
        <v>2234</v>
      </c>
      <c r="C318" s="408" t="s">
        <v>2239</v>
      </c>
      <c r="D318" s="408" t="s">
        <v>597</v>
      </c>
      <c r="E318" s="408" t="s">
        <v>2242</v>
      </c>
      <c r="F318" s="408" t="s">
        <v>1322</v>
      </c>
      <c r="G318" s="408" t="s">
        <v>1322</v>
      </c>
      <c r="H318" s="408" t="s">
        <v>1322</v>
      </c>
      <c r="I318" s="408" t="s">
        <v>1322</v>
      </c>
      <c r="J318" s="408" t="s">
        <v>2232</v>
      </c>
      <c r="K318" s="828">
        <v>44562</v>
      </c>
      <c r="L318" s="408">
        <v>70</v>
      </c>
      <c r="M318" s="408">
        <v>70</v>
      </c>
      <c r="N318" s="408">
        <v>0</v>
      </c>
      <c r="O318" s="408">
        <v>0</v>
      </c>
      <c r="P318" s="408">
        <v>0</v>
      </c>
      <c r="Q318" s="408">
        <v>0</v>
      </c>
      <c r="R318" s="408">
        <v>32.17</v>
      </c>
      <c r="S318" s="408"/>
      <c r="T318" s="408"/>
      <c r="U318" s="408">
        <v>2251.9</v>
      </c>
      <c r="V318" s="408"/>
      <c r="W318" s="408">
        <v>2251.9</v>
      </c>
      <c r="X318" s="408">
        <v>905.1</v>
      </c>
      <c r="Y318" s="408">
        <v>0</v>
      </c>
      <c r="Z318" s="408">
        <v>0</v>
      </c>
      <c r="AA318" s="408">
        <v>0</v>
      </c>
      <c r="AB318" s="408">
        <v>0</v>
      </c>
      <c r="AC318" s="408">
        <v>0</v>
      </c>
      <c r="AD318" s="408">
        <v>6.9941357591892785</v>
      </c>
      <c r="AE318" s="408">
        <v>1884.8714799945101</v>
      </c>
      <c r="AF318" s="408"/>
      <c r="AG318" s="408"/>
      <c r="AH318" s="408"/>
      <c r="AI318" s="408">
        <v>0</v>
      </c>
      <c r="AJ318" s="408">
        <v>0</v>
      </c>
      <c r="AK318" s="408">
        <v>0</v>
      </c>
      <c r="AL318" s="408">
        <v>0</v>
      </c>
      <c r="AM318" s="408"/>
      <c r="AN318" s="408">
        <v>0</v>
      </c>
      <c r="AO318" s="408">
        <v>123.50947744896111</v>
      </c>
      <c r="AP318" s="408">
        <v>236.8005615811976</v>
      </c>
      <c r="AQ318" s="408">
        <v>0</v>
      </c>
      <c r="AR318" s="408">
        <v>0</v>
      </c>
      <c r="AS318" s="408"/>
      <c r="AT318" s="408"/>
      <c r="AU318" s="408">
        <v>0</v>
      </c>
      <c r="AV318" s="408">
        <v>0</v>
      </c>
      <c r="AW318" s="408">
        <v>0</v>
      </c>
      <c r="AX318" s="408"/>
      <c r="AY318" s="408"/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/>
      <c r="BG318" s="408">
        <v>0</v>
      </c>
      <c r="BH318" s="408">
        <v>0</v>
      </c>
      <c r="BI318" s="408">
        <v>6.16</v>
      </c>
      <c r="BJ318" s="408">
        <v>28.31</v>
      </c>
      <c r="BK318" s="408">
        <v>858.86</v>
      </c>
      <c r="BL318" s="408">
        <v>1</v>
      </c>
      <c r="BM318" s="408"/>
      <c r="BN318" s="408"/>
      <c r="BO318" s="408"/>
      <c r="BP318" s="408"/>
      <c r="BQ318" s="408"/>
      <c r="BR318" s="408"/>
      <c r="BS318" s="408"/>
      <c r="BT318" s="408"/>
      <c r="BU318" s="408"/>
      <c r="BV318" s="408">
        <v>0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905.1</v>
      </c>
      <c r="CJ318" s="408">
        <v>-1346.8300000000008</v>
      </c>
      <c r="CK318" s="408"/>
      <c r="CL318" s="408"/>
      <c r="CM318" s="408"/>
      <c r="CN318" s="408"/>
      <c r="CO318" s="408">
        <v>-1346.8000000000002</v>
      </c>
      <c r="CP318" s="408">
        <v>0</v>
      </c>
      <c r="CQ318" s="408">
        <v>31</v>
      </c>
      <c r="CR318" s="408">
        <v>37.850381741193246</v>
      </c>
      <c r="CS318" s="408">
        <v>12.740190848977889</v>
      </c>
      <c r="CT318" s="408">
        <v>24.426338852710217</v>
      </c>
      <c r="CU318" s="408">
        <v>0</v>
      </c>
      <c r="CV318" s="408">
        <v>0</v>
      </c>
      <c r="CW318" s="408"/>
      <c r="CX318" s="408"/>
      <c r="CY318" s="408"/>
      <c r="CZ318" s="408">
        <v>0.68385203950515105</v>
      </c>
      <c r="DA318" s="408">
        <v>0</v>
      </c>
      <c r="DB318" s="408">
        <v>0</v>
      </c>
      <c r="DC318" s="408"/>
      <c r="DD318" s="408"/>
      <c r="DE318" s="408">
        <v>0</v>
      </c>
      <c r="DF318" s="408">
        <v>0</v>
      </c>
      <c r="DG318" s="408">
        <v>0</v>
      </c>
      <c r="DH318" s="408">
        <v>0</v>
      </c>
      <c r="DI318" s="408">
        <v>0</v>
      </c>
      <c r="DJ318" s="408"/>
      <c r="DK318" s="408">
        <v>0</v>
      </c>
      <c r="DL318" s="408">
        <v>0</v>
      </c>
      <c r="DM318" s="408"/>
      <c r="DN318" s="408">
        <v>0</v>
      </c>
      <c r="DO318" s="408">
        <v>0</v>
      </c>
      <c r="DP318" s="408">
        <v>0</v>
      </c>
      <c r="DQ318" s="408">
        <v>0</v>
      </c>
      <c r="DR318" s="408">
        <v>0</v>
      </c>
      <c r="DS318" s="408"/>
      <c r="DT318" s="408"/>
      <c r="DU318" s="408">
        <v>1884.8714799945101</v>
      </c>
      <c r="DV318" s="408"/>
      <c r="DW318" s="408">
        <v>0</v>
      </c>
      <c r="DX318" s="408">
        <v>0</v>
      </c>
      <c r="DY318" s="408">
        <v>-1346.8000000000002</v>
      </c>
      <c r="DZ318" s="234"/>
      <c r="EA318" s="408">
        <v>0</v>
      </c>
      <c r="EB318" s="408"/>
      <c r="EC318" s="408">
        <v>-1384.8335809393659</v>
      </c>
      <c r="ED318" s="408"/>
      <c r="EE318" s="408">
        <v>0</v>
      </c>
      <c r="EF318" s="408">
        <v>0</v>
      </c>
      <c r="EG318" s="408"/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/>
      <c r="EN318" s="408"/>
      <c r="EO318" s="408">
        <v>0</v>
      </c>
      <c r="EP318" s="408">
        <v>0</v>
      </c>
      <c r="EQ318" s="408"/>
      <c r="ER318" s="408">
        <v>0</v>
      </c>
      <c r="ES318" s="408"/>
      <c r="ET318" s="408">
        <v>0</v>
      </c>
      <c r="EU318" s="408"/>
      <c r="EV318" s="408">
        <v>242</v>
      </c>
      <c r="EW318" s="408"/>
      <c r="EX318" s="408"/>
      <c r="EY318" s="408"/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317</v>
      </c>
      <c r="B319" s="408" t="s">
        <v>1036</v>
      </c>
      <c r="C319" s="408" t="s">
        <v>2231</v>
      </c>
      <c r="D319" s="408" t="s">
        <v>2243</v>
      </c>
      <c r="E319" s="408" t="s">
        <v>2244</v>
      </c>
      <c r="F319" s="408" t="s">
        <v>2245</v>
      </c>
      <c r="G319" s="408" t="s">
        <v>1322</v>
      </c>
      <c r="H319" s="408" t="s">
        <v>1322</v>
      </c>
      <c r="I319" s="408" t="s">
        <v>1322</v>
      </c>
      <c r="J319" s="408" t="s">
        <v>2232</v>
      </c>
      <c r="K319" s="828">
        <v>44562</v>
      </c>
      <c r="L319" s="408">
        <v>0</v>
      </c>
      <c r="M319" s="408">
        <v>0</v>
      </c>
      <c r="N319" s="408">
        <v>74.731999999999999</v>
      </c>
      <c r="O319" s="408">
        <v>74.731999999999999</v>
      </c>
      <c r="P319" s="408">
        <v>74.731999999999999</v>
      </c>
      <c r="Q319" s="408">
        <v>74.731999999999999</v>
      </c>
      <c r="R319" s="408"/>
      <c r="S319" s="408">
        <v>314.52999999999997</v>
      </c>
      <c r="T319" s="408">
        <v>119.22</v>
      </c>
      <c r="U319" s="408"/>
      <c r="V319" s="408">
        <v>32415.004999999997</v>
      </c>
      <c r="W319" s="408">
        <v>32415.004999999997</v>
      </c>
      <c r="X319" s="408">
        <v>21127.483719999997</v>
      </c>
      <c r="Y319" s="408">
        <v>0</v>
      </c>
      <c r="Z319" s="408">
        <v>2491.2539481143285</v>
      </c>
      <c r="AA319" s="408">
        <v>0</v>
      </c>
      <c r="AB319" s="408">
        <v>0</v>
      </c>
      <c r="AC319" s="408">
        <v>0</v>
      </c>
      <c r="AD319" s="408">
        <v>33.782790025402974</v>
      </c>
      <c r="AE319" s="408">
        <v>17525.477384678117</v>
      </c>
      <c r="AF319" s="408">
        <v>8779.5770477535953</v>
      </c>
      <c r="AG319" s="408">
        <v>129.77754392050693</v>
      </c>
      <c r="AH319" s="408">
        <v>0</v>
      </c>
      <c r="AI319" s="408">
        <v>0</v>
      </c>
      <c r="AJ319" s="408">
        <v>0</v>
      </c>
      <c r="AK319" s="408">
        <v>0</v>
      </c>
      <c r="AL319" s="408">
        <v>385.28071481472955</v>
      </c>
      <c r="AM319" s="408"/>
      <c r="AN319" s="408">
        <v>78.854086778821738</v>
      </c>
      <c r="AO319" s="408">
        <v>365.06086990227425</v>
      </c>
      <c r="AP319" s="408">
        <v>1143.7663706984238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24.458908640342059</v>
      </c>
      <c r="BE319" s="408">
        <v>0</v>
      </c>
      <c r="BF319" s="408">
        <v>0</v>
      </c>
      <c r="BG319" s="408">
        <v>1457.4257512908246</v>
      </c>
      <c r="BH319" s="408">
        <v>0</v>
      </c>
      <c r="BI319" s="408">
        <v>115.46</v>
      </c>
      <c r="BJ319" s="408">
        <v>530.41999999999996</v>
      </c>
      <c r="BK319" s="408">
        <v>8096.24</v>
      </c>
      <c r="BL319" s="408">
        <v>10</v>
      </c>
      <c r="BM319" s="408"/>
      <c r="BN319" s="408"/>
      <c r="BO319" s="408"/>
      <c r="BP319" s="408"/>
      <c r="BQ319" s="408"/>
      <c r="BR319" s="408"/>
      <c r="BS319" s="408"/>
      <c r="BT319" s="408"/>
      <c r="BU319" s="408"/>
      <c r="BV319" s="408">
        <v>10261.461707684761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21126.918299999998</v>
      </c>
      <c r="CJ319" s="408">
        <v>-11288.116699999995</v>
      </c>
      <c r="CK319" s="408"/>
      <c r="CL319" s="408"/>
      <c r="CM319" s="408"/>
      <c r="CN319" s="408"/>
      <c r="CO319" s="408">
        <v>-12628.960679999998</v>
      </c>
      <c r="CP319" s="408">
        <v>1341.4393999999991</v>
      </c>
      <c r="CQ319" s="408">
        <v>31</v>
      </c>
      <c r="CR319" s="408">
        <v>1588.6280610865415</v>
      </c>
      <c r="CS319" s="408">
        <v>37.656585147247085</v>
      </c>
      <c r="CT319" s="408">
        <v>117.98124443820325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3.3031143023913785</v>
      </c>
      <c r="DA319" s="408">
        <v>0</v>
      </c>
      <c r="DB319" s="408">
        <v>0</v>
      </c>
      <c r="DC319" s="408">
        <v>1341.3502027142295</v>
      </c>
      <c r="DD319" s="408">
        <v>0</v>
      </c>
      <c r="DE319" s="408">
        <v>0</v>
      </c>
      <c r="DF319" s="408">
        <v>3.7368499512498126</v>
      </c>
      <c r="DG319" s="408">
        <v>222.66657223939001</v>
      </c>
      <c r="DH319" s="408">
        <v>0</v>
      </c>
      <c r="DI319" s="408">
        <v>-119.0251271891907</v>
      </c>
      <c r="DJ319" s="408"/>
      <c r="DK319" s="408">
        <v>0</v>
      </c>
      <c r="DL319" s="408">
        <v>0</v>
      </c>
      <c r="DM319" s="408">
        <v>0</v>
      </c>
      <c r="DN319" s="408">
        <v>0</v>
      </c>
      <c r="DO319" s="408">
        <v>-15.611809245298105</v>
      </c>
      <c r="DP319" s="408">
        <v>-3.429571271681823</v>
      </c>
      <c r="DQ319" s="408">
        <v>0</v>
      </c>
      <c r="DR319" s="408">
        <v>0</v>
      </c>
      <c r="DS319" s="408"/>
      <c r="DT319" s="408"/>
      <c r="DU319" s="408"/>
      <c r="DV319" s="408">
        <v>17525.477384678117</v>
      </c>
      <c r="DW319" s="408">
        <v>0</v>
      </c>
      <c r="DX319" s="408">
        <v>0</v>
      </c>
      <c r="DY319" s="408">
        <v>-12628.96068</v>
      </c>
      <c r="DZ319" s="234">
        <v>1341.4393999999993</v>
      </c>
      <c r="EA319" s="408">
        <v>0</v>
      </c>
      <c r="EB319" s="408">
        <v>0</v>
      </c>
      <c r="EC319" s="408">
        <v>-12876.140289610808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0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242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318</v>
      </c>
      <c r="B320" s="408" t="s">
        <v>1036</v>
      </c>
      <c r="C320" s="408" t="s">
        <v>2231</v>
      </c>
      <c r="D320" s="408" t="s">
        <v>1955</v>
      </c>
      <c r="E320" s="408" t="s">
        <v>1001</v>
      </c>
      <c r="F320" s="408" t="s">
        <v>2246</v>
      </c>
      <c r="G320" s="408" t="s">
        <v>1322</v>
      </c>
      <c r="H320" s="408" t="s">
        <v>1322</v>
      </c>
      <c r="I320" s="408" t="s">
        <v>1322</v>
      </c>
      <c r="J320" s="408" t="s">
        <v>2232</v>
      </c>
      <c r="K320" s="828">
        <v>44562</v>
      </c>
      <c r="L320" s="408">
        <v>0</v>
      </c>
      <c r="M320" s="408">
        <v>0</v>
      </c>
      <c r="N320" s="408">
        <v>167.392</v>
      </c>
      <c r="O320" s="408">
        <v>157.34848</v>
      </c>
      <c r="P320" s="408">
        <v>167.392</v>
      </c>
      <c r="Q320" s="408">
        <v>157.34848</v>
      </c>
      <c r="R320" s="408"/>
      <c r="S320" s="408">
        <v>571.87</v>
      </c>
      <c r="T320" s="408">
        <v>216.76</v>
      </c>
      <c r="U320" s="408"/>
      <c r="V320" s="408">
        <v>132010.35295999999</v>
      </c>
      <c r="W320" s="408">
        <v>132010.35295999999</v>
      </c>
      <c r="X320" s="408">
        <v>86041.161919999999</v>
      </c>
      <c r="Y320" s="408">
        <v>0</v>
      </c>
      <c r="Z320" s="408">
        <v>10145.732408235826</v>
      </c>
      <c r="AA320" s="408">
        <v>0</v>
      </c>
      <c r="AB320" s="408">
        <v>0</v>
      </c>
      <c r="AC320" s="408">
        <v>0</v>
      </c>
      <c r="AD320" s="408">
        <v>137.58177798806523</v>
      </c>
      <c r="AE320" s="408">
        <v>71373.215085567383</v>
      </c>
      <c r="AF320" s="408">
        <v>35755.18242587008</v>
      </c>
      <c r="AG320" s="408">
        <v>528.52429364423347</v>
      </c>
      <c r="AH320" s="408">
        <v>0</v>
      </c>
      <c r="AI320" s="408">
        <v>0</v>
      </c>
      <c r="AJ320" s="408">
        <v>0</v>
      </c>
      <c r="AK320" s="408">
        <v>0</v>
      </c>
      <c r="AL320" s="408">
        <v>1569.0712853753107</v>
      </c>
      <c r="AM320" s="408"/>
      <c r="AN320" s="408">
        <v>321.13645594391949</v>
      </c>
      <c r="AO320" s="408">
        <v>1486.7251496178224</v>
      </c>
      <c r="AP320" s="408">
        <v>4658.0347794044892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99.609894145969633</v>
      </c>
      <c r="BE320" s="408">
        <v>0</v>
      </c>
      <c r="BF320" s="408">
        <v>0</v>
      </c>
      <c r="BG320" s="408">
        <v>5935.4252859934222</v>
      </c>
      <c r="BH320" s="408">
        <v>0</v>
      </c>
      <c r="BI320" s="408">
        <v>383.1</v>
      </c>
      <c r="BJ320" s="408">
        <v>1761.44</v>
      </c>
      <c r="BK320" s="408">
        <v>37089.480000000003</v>
      </c>
      <c r="BL320" s="408">
        <v>93</v>
      </c>
      <c r="BM320" s="408"/>
      <c r="BN320" s="408"/>
      <c r="BO320" s="408"/>
      <c r="BP320" s="408"/>
      <c r="BQ320" s="408">
        <v>5162.4697152000008</v>
      </c>
      <c r="BR320" s="408"/>
      <c r="BS320" s="408"/>
      <c r="BT320" s="408"/>
      <c r="BU320" s="408"/>
      <c r="BV320" s="408">
        <v>41790.217606009472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80879.473499999993</v>
      </c>
      <c r="CJ320" s="408">
        <v>-43210.288282399983</v>
      </c>
      <c r="CK320" s="408"/>
      <c r="CL320" s="408"/>
      <c r="CM320" s="408"/>
      <c r="CN320" s="408"/>
      <c r="CO320" s="408">
        <v>-51431.191999999995</v>
      </c>
      <c r="CP320" s="408">
        <v>5462.0009599999994</v>
      </c>
      <c r="CQ320" s="408">
        <v>31</v>
      </c>
      <c r="CR320" s="408">
        <v>6469.7519962581573</v>
      </c>
      <c r="CS320" s="408">
        <v>153.35796521309908</v>
      </c>
      <c r="CT320" s="408">
        <v>480.48338715796854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13.452066519049907</v>
      </c>
      <c r="DA320" s="408">
        <v>0</v>
      </c>
      <c r="DB320" s="408">
        <v>0</v>
      </c>
      <c r="DC320" s="408">
        <v>5462.7029222662895</v>
      </c>
      <c r="DD320" s="408">
        <v>0</v>
      </c>
      <c r="DE320" s="408">
        <v>0</v>
      </c>
      <c r="DF320" s="408">
        <v>15.218472482023429</v>
      </c>
      <c r="DG320" s="408">
        <v>906.81861634778943</v>
      </c>
      <c r="DH320" s="408">
        <v>0</v>
      </c>
      <c r="DI320" s="408">
        <v>-484.73464185850025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-63.579724231289219</v>
      </c>
      <c r="DP320" s="408">
        <v>-13.967067638285641</v>
      </c>
      <c r="DQ320" s="408">
        <v>0</v>
      </c>
      <c r="DR320" s="408">
        <v>0</v>
      </c>
      <c r="DS320" s="408"/>
      <c r="DT320" s="408"/>
      <c r="DU320" s="408"/>
      <c r="DV320" s="408">
        <v>71373.215085567383</v>
      </c>
      <c r="DW320" s="408">
        <v>0</v>
      </c>
      <c r="DX320" s="408">
        <v>0</v>
      </c>
      <c r="DY320" s="408">
        <v>-51431.192000000003</v>
      </c>
      <c r="DZ320" s="234">
        <v>5462.0009600000049</v>
      </c>
      <c r="EA320" s="408">
        <v>0</v>
      </c>
      <c r="EB320" s="408">
        <v>0</v>
      </c>
      <c r="EC320" s="408">
        <v>-52438.60182466649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242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319</v>
      </c>
      <c r="B321" s="408" t="s">
        <v>1036</v>
      </c>
      <c r="C321" s="408" t="s">
        <v>2239</v>
      </c>
      <c r="D321" s="408" t="s">
        <v>597</v>
      </c>
      <c r="E321" s="408" t="s">
        <v>1001</v>
      </c>
      <c r="F321" s="408" t="s">
        <v>2246</v>
      </c>
      <c r="G321" s="408" t="s">
        <v>1322</v>
      </c>
      <c r="H321" s="408" t="s">
        <v>1322</v>
      </c>
      <c r="I321" s="408" t="s">
        <v>973</v>
      </c>
      <c r="J321" s="408" t="s">
        <v>2232</v>
      </c>
      <c r="K321" s="828">
        <v>44562</v>
      </c>
      <c r="L321" s="408">
        <v>0</v>
      </c>
      <c r="M321" s="408">
        <v>0</v>
      </c>
      <c r="N321" s="408">
        <v>7.7309999999999999</v>
      </c>
      <c r="O321" s="408">
        <v>7.2671400000000004</v>
      </c>
      <c r="P321" s="408">
        <v>7.7309999999999999</v>
      </c>
      <c r="Q321" s="408">
        <v>7.2671400000000004</v>
      </c>
      <c r="R321" s="408"/>
      <c r="S321" s="408">
        <v>2592.54</v>
      </c>
      <c r="T321" s="408">
        <v>216.76</v>
      </c>
      <c r="U321" s="408"/>
      <c r="V321" s="408">
        <v>21718.6983</v>
      </c>
      <c r="W321" s="408">
        <v>21718.6983</v>
      </c>
      <c r="X321" s="408">
        <v>9131.8571999999986</v>
      </c>
      <c r="Y321" s="408">
        <v>0</v>
      </c>
      <c r="Z321" s="408">
        <v>407.66519191969707</v>
      </c>
      <c r="AA321" s="408">
        <v>0</v>
      </c>
      <c r="AB321" s="408">
        <v>0</v>
      </c>
      <c r="AC321" s="408">
        <v>0</v>
      </c>
      <c r="AD321" s="408">
        <v>39.092846785832741</v>
      </c>
      <c r="AE321" s="408">
        <v>17710.882220623316</v>
      </c>
      <c r="AF321" s="408">
        <v>1651.3532028675299</v>
      </c>
      <c r="AG321" s="408">
        <v>24.409896017513194</v>
      </c>
      <c r="AH321" s="408">
        <v>0</v>
      </c>
      <c r="AI321" s="408">
        <v>0</v>
      </c>
      <c r="AJ321" s="408">
        <v>0</v>
      </c>
      <c r="AK321" s="408">
        <v>0</v>
      </c>
      <c r="AL321" s="408">
        <v>72.467561814402885</v>
      </c>
      <c r="AM321" s="408"/>
      <c r="AN321" s="408">
        <v>10.61638080115271</v>
      </c>
      <c r="AO321" s="408">
        <v>348.78307188217684</v>
      </c>
      <c r="AP321" s="408">
        <v>1323.5529883880736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3.5353762377552651</v>
      </c>
      <c r="BE321" s="408">
        <v>0</v>
      </c>
      <c r="BF321" s="408">
        <v>0</v>
      </c>
      <c r="BG321" s="408">
        <v>126.29482842996219</v>
      </c>
      <c r="BH321" s="408">
        <v>0</v>
      </c>
      <c r="BI321" s="408">
        <v>0</v>
      </c>
      <c r="BJ321" s="408">
        <v>0</v>
      </c>
      <c r="BK321" s="408">
        <v>0</v>
      </c>
      <c r="BL321" s="408">
        <v>0</v>
      </c>
      <c r="BM321" s="408"/>
      <c r="BN321" s="408"/>
      <c r="BO321" s="408"/>
      <c r="BP321" s="408"/>
      <c r="BQ321" s="408">
        <v>547.91143199999931</v>
      </c>
      <c r="BR321" s="408"/>
      <c r="BS321" s="408"/>
      <c r="BT321" s="408"/>
      <c r="BU321" s="408"/>
      <c r="BV321" s="408">
        <v>1781.1834075352476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8587.3239999999987</v>
      </c>
      <c r="CJ321" s="408">
        <v>-11828.282401999999</v>
      </c>
      <c r="CK321" s="408"/>
      <c r="CL321" s="408"/>
      <c r="CM321" s="408"/>
      <c r="CN321" s="408"/>
      <c r="CO321" s="408">
        <v>-12839.10363</v>
      </c>
      <c r="CP321" s="408">
        <v>252.26252999999997</v>
      </c>
      <c r="CQ321" s="408">
        <v>31</v>
      </c>
      <c r="CR321" s="408">
        <v>425.58155908586468</v>
      </c>
      <c r="CS321" s="408">
        <v>35.977505471252755</v>
      </c>
      <c r="CT321" s="408">
        <v>136.52650807923555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3.8223054177106874</v>
      </c>
      <c r="DA321" s="408">
        <v>0</v>
      </c>
      <c r="DB321" s="408">
        <v>0</v>
      </c>
      <c r="DC321" s="408">
        <v>252.29495012928169</v>
      </c>
      <c r="DD321" s="408">
        <v>0</v>
      </c>
      <c r="DE321" s="408">
        <v>0</v>
      </c>
      <c r="DF321" s="408">
        <v>0.54013736736869378</v>
      </c>
      <c r="DG321" s="408">
        <v>19.295416259219508</v>
      </c>
      <c r="DH321" s="408">
        <v>0</v>
      </c>
      <c r="DI321" s="408">
        <v>-19.477099617072213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-2.9364297459382698</v>
      </c>
      <c r="DP321" s="408">
        <v>-0.46173427519357091</v>
      </c>
      <c r="DQ321" s="408">
        <v>0</v>
      </c>
      <c r="DR321" s="408">
        <v>0</v>
      </c>
      <c r="DS321" s="408"/>
      <c r="DT321" s="408"/>
      <c r="DU321" s="408"/>
      <c r="DV321" s="408">
        <v>17710.882220623316</v>
      </c>
      <c r="DW321" s="408">
        <v>0</v>
      </c>
      <c r="DX321" s="408">
        <v>0</v>
      </c>
      <c r="DY321" s="408">
        <v>-12839.10363</v>
      </c>
      <c r="DZ321" s="234">
        <v>252.26252999999997</v>
      </c>
      <c r="EA321" s="408">
        <v>0</v>
      </c>
      <c r="EB321" s="408">
        <v>0</v>
      </c>
      <c r="EC321" s="408">
        <v>-13012.359042778133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242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320</v>
      </c>
      <c r="B322" s="408" t="s">
        <v>1036</v>
      </c>
      <c r="C322" s="408" t="s">
        <v>2239</v>
      </c>
      <c r="D322" s="408" t="s">
        <v>597</v>
      </c>
      <c r="E322" s="408" t="s">
        <v>1001</v>
      </c>
      <c r="F322" s="408" t="s">
        <v>2246</v>
      </c>
      <c r="G322" s="408" t="s">
        <v>1322</v>
      </c>
      <c r="H322" s="408" t="s">
        <v>1322</v>
      </c>
      <c r="I322" s="408" t="s">
        <v>2240</v>
      </c>
      <c r="J322" s="408" t="s">
        <v>2232</v>
      </c>
      <c r="K322" s="828">
        <v>44562</v>
      </c>
      <c r="L322" s="408">
        <v>0</v>
      </c>
      <c r="M322" s="408">
        <v>0</v>
      </c>
      <c r="N322" s="408">
        <v>112.72499999999999</v>
      </c>
      <c r="O322" s="408">
        <v>105.9615</v>
      </c>
      <c r="P322" s="408">
        <v>112.72499999999999</v>
      </c>
      <c r="Q322" s="408">
        <v>105.9615</v>
      </c>
      <c r="R322" s="408"/>
      <c r="S322" s="408">
        <v>80.27</v>
      </c>
      <c r="T322" s="408">
        <v>216.76</v>
      </c>
      <c r="U322" s="408"/>
      <c r="V322" s="408">
        <v>33482.706749999998</v>
      </c>
      <c r="W322" s="408">
        <v>33482.706749999998</v>
      </c>
      <c r="X322" s="408">
        <v>37116.960749999998</v>
      </c>
      <c r="Y322" s="408">
        <v>0</v>
      </c>
      <c r="Z322" s="408">
        <v>5944.128671471718</v>
      </c>
      <c r="AA322" s="408">
        <v>0</v>
      </c>
      <c r="AB322" s="408">
        <v>0</v>
      </c>
      <c r="AC322" s="408">
        <v>0</v>
      </c>
      <c r="AD322" s="408">
        <v>0</v>
      </c>
      <c r="AE322" s="408">
        <v>0</v>
      </c>
      <c r="AF322" s="408">
        <v>24078.229180344366</v>
      </c>
      <c r="AG322" s="408">
        <v>355.9184489165923</v>
      </c>
      <c r="AH322" s="408">
        <v>0</v>
      </c>
      <c r="AI322" s="408">
        <v>0</v>
      </c>
      <c r="AJ322" s="408">
        <v>0</v>
      </c>
      <c r="AK322" s="408">
        <v>0</v>
      </c>
      <c r="AL322" s="408">
        <v>1056.6428541622772</v>
      </c>
      <c r="AM322" s="408"/>
      <c r="AN322" s="408">
        <v>154.79647210062595</v>
      </c>
      <c r="AO322" s="408">
        <v>0</v>
      </c>
      <c r="AP322" s="408">
        <v>0</v>
      </c>
      <c r="AQ322" s="408">
        <v>0</v>
      </c>
      <c r="AR322" s="408">
        <v>0</v>
      </c>
      <c r="AS322" s="408">
        <v>0</v>
      </c>
      <c r="AT322" s="408">
        <v>0</v>
      </c>
      <c r="AU322" s="408">
        <v>0</v>
      </c>
      <c r="AV322" s="408">
        <v>0</v>
      </c>
      <c r="AW322" s="408">
        <v>0</v>
      </c>
      <c r="AX322" s="408">
        <v>0</v>
      </c>
      <c r="AY322" s="408">
        <v>0</v>
      </c>
      <c r="AZ322" s="408">
        <v>0</v>
      </c>
      <c r="BA322" s="408"/>
      <c r="BB322" s="408">
        <v>0</v>
      </c>
      <c r="BC322" s="408">
        <v>0</v>
      </c>
      <c r="BD322" s="408">
        <v>51.548995783334917</v>
      </c>
      <c r="BE322" s="408">
        <v>0</v>
      </c>
      <c r="BF322" s="408">
        <v>0</v>
      </c>
      <c r="BG322" s="408">
        <v>1841.4932783297747</v>
      </c>
      <c r="BH322" s="408">
        <v>0</v>
      </c>
      <c r="BI322" s="408">
        <v>0</v>
      </c>
      <c r="BJ322" s="408">
        <v>0</v>
      </c>
      <c r="BK322" s="408">
        <v>0</v>
      </c>
      <c r="BL322" s="408">
        <v>0</v>
      </c>
      <c r="BM322" s="408"/>
      <c r="BN322" s="408"/>
      <c r="BO322" s="408"/>
      <c r="BP322" s="408"/>
      <c r="BQ322" s="408">
        <v>2227.0176449999976</v>
      </c>
      <c r="BR322" s="408"/>
      <c r="BS322" s="408"/>
      <c r="BT322" s="408"/>
      <c r="BU322" s="408"/>
      <c r="BV322" s="408">
        <v>25971.271454457474</v>
      </c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>
        <v>34889.449199999995</v>
      </c>
      <c r="CJ322" s="408">
        <v>3415.6748549999975</v>
      </c>
      <c r="CK322" s="408"/>
      <c r="CL322" s="408"/>
      <c r="CM322" s="408"/>
      <c r="CN322" s="408"/>
      <c r="CO322" s="408">
        <v>-43.962750000000064</v>
      </c>
      <c r="CP322" s="408">
        <v>3678.2167499999991</v>
      </c>
      <c r="CQ322" s="408">
        <v>31</v>
      </c>
      <c r="CR322" s="408">
        <v>3634.3677327983241</v>
      </c>
      <c r="CS322" s="408">
        <v>0</v>
      </c>
      <c r="CT322" s="408">
        <v>0</v>
      </c>
      <c r="CU322" s="408">
        <v>0</v>
      </c>
      <c r="CV322" s="408">
        <v>0</v>
      </c>
      <c r="CW322" s="408">
        <v>0</v>
      </c>
      <c r="CX322" s="408">
        <v>0</v>
      </c>
      <c r="CY322" s="408">
        <v>0</v>
      </c>
      <c r="CZ322" s="408">
        <v>0</v>
      </c>
      <c r="DA322" s="408">
        <v>0</v>
      </c>
      <c r="DB322" s="408">
        <v>0</v>
      </c>
      <c r="DC322" s="408">
        <v>3678.6894649234637</v>
      </c>
      <c r="DD322" s="408">
        <v>0</v>
      </c>
      <c r="DE322" s="408">
        <v>0</v>
      </c>
      <c r="DF322" s="408">
        <v>7.8756932785714682</v>
      </c>
      <c r="DG322" s="408">
        <v>281.34468992633788</v>
      </c>
      <c r="DH322" s="408">
        <v>0</v>
      </c>
      <c r="DI322" s="408">
        <v>-283.99379825824144</v>
      </c>
      <c r="DJ322" s="408"/>
      <c r="DK322" s="408">
        <v>0</v>
      </c>
      <c r="DL322" s="408">
        <v>0</v>
      </c>
      <c r="DM322" s="408">
        <v>0</v>
      </c>
      <c r="DN322" s="408">
        <v>0</v>
      </c>
      <c r="DO322" s="408">
        <v>-42.815812069705203</v>
      </c>
      <c r="DP322" s="408">
        <v>-6.7325050020948538</v>
      </c>
      <c r="DQ322" s="408">
        <v>0</v>
      </c>
      <c r="DR322" s="408">
        <v>0</v>
      </c>
      <c r="DS322" s="408"/>
      <c r="DT322" s="408"/>
      <c r="DU322" s="408"/>
      <c r="DV322" s="408">
        <v>0</v>
      </c>
      <c r="DW322" s="408">
        <v>0</v>
      </c>
      <c r="DX322" s="408">
        <v>0</v>
      </c>
      <c r="DY322" s="408">
        <v>-43.962750000000597</v>
      </c>
      <c r="DZ322" s="234">
        <v>3678.2167499999996</v>
      </c>
      <c r="EA322" s="408">
        <v>0</v>
      </c>
      <c r="EB322" s="408">
        <v>0</v>
      </c>
      <c r="EC322" s="408">
        <v>0</v>
      </c>
      <c r="ED322" s="408">
        <v>0</v>
      </c>
      <c r="EE322" s="408">
        <v>0</v>
      </c>
      <c r="EF322" s="408">
        <v>0</v>
      </c>
      <c r="EG322" s="408">
        <v>0</v>
      </c>
      <c r="EH322" s="408">
        <v>0</v>
      </c>
      <c r="EI322" s="408">
        <v>0</v>
      </c>
      <c r="EJ322" s="408">
        <v>0</v>
      </c>
      <c r="EK322" s="408">
        <v>0</v>
      </c>
      <c r="EL322" s="408">
        <v>0</v>
      </c>
      <c r="EM322" s="408">
        <v>0</v>
      </c>
      <c r="EN322" s="408">
        <v>0</v>
      </c>
      <c r="EO322" s="408">
        <v>0</v>
      </c>
      <c r="EP322" s="408">
        <v>0</v>
      </c>
      <c r="EQ322" s="408">
        <v>0</v>
      </c>
      <c r="ER322" s="408">
        <v>0</v>
      </c>
      <c r="ES322" s="408">
        <v>0</v>
      </c>
      <c r="ET322" s="408">
        <v>0</v>
      </c>
      <c r="EU322" s="408">
        <v>0</v>
      </c>
      <c r="EV322" s="408">
        <v>242</v>
      </c>
      <c r="EW322" s="408">
        <v>0</v>
      </c>
      <c r="EX322" s="408">
        <v>0</v>
      </c>
      <c r="EY322" s="408">
        <v>0</v>
      </c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321</v>
      </c>
      <c r="B323" s="408" t="s">
        <v>1036</v>
      </c>
      <c r="C323" s="408" t="s">
        <v>2239</v>
      </c>
      <c r="D323" s="408" t="s">
        <v>597</v>
      </c>
      <c r="E323" s="408" t="s">
        <v>1001</v>
      </c>
      <c r="F323" s="408" t="s">
        <v>2246</v>
      </c>
      <c r="G323" s="408" t="s">
        <v>1322</v>
      </c>
      <c r="H323" s="408" t="s">
        <v>1322</v>
      </c>
      <c r="I323" s="408" t="s">
        <v>1322</v>
      </c>
      <c r="J323" s="408" t="s">
        <v>2232</v>
      </c>
      <c r="K323" s="828">
        <v>44562</v>
      </c>
      <c r="L323" s="408">
        <v>399</v>
      </c>
      <c r="M323" s="408">
        <v>375.06</v>
      </c>
      <c r="N323" s="408">
        <v>0</v>
      </c>
      <c r="O323" s="408">
        <v>0</v>
      </c>
      <c r="P323" s="408">
        <v>0</v>
      </c>
      <c r="Q323" s="408">
        <v>0</v>
      </c>
      <c r="R323" s="408">
        <v>32.17</v>
      </c>
      <c r="S323" s="408"/>
      <c r="T323" s="408"/>
      <c r="U323" s="408">
        <v>12835.83</v>
      </c>
      <c r="V323" s="408"/>
      <c r="W323" s="408">
        <v>12835.83</v>
      </c>
      <c r="X323" s="408">
        <v>5159.07</v>
      </c>
      <c r="Y323" s="408">
        <v>0</v>
      </c>
      <c r="Z323" s="408">
        <v>0</v>
      </c>
      <c r="AA323" s="408">
        <v>0</v>
      </c>
      <c r="AB323" s="408">
        <v>0</v>
      </c>
      <c r="AC323" s="408">
        <v>0</v>
      </c>
      <c r="AD323" s="408">
        <v>39.866573827378886</v>
      </c>
      <c r="AE323" s="408">
        <v>10743.767435968706</v>
      </c>
      <c r="AF323" s="408"/>
      <c r="AG323" s="408"/>
      <c r="AH323" s="408"/>
      <c r="AI323" s="408">
        <v>0</v>
      </c>
      <c r="AJ323" s="408">
        <v>0</v>
      </c>
      <c r="AK323" s="408">
        <v>0</v>
      </c>
      <c r="AL323" s="408">
        <v>0</v>
      </c>
      <c r="AM323" s="408"/>
      <c r="AN323" s="408">
        <v>0</v>
      </c>
      <c r="AO323" s="408">
        <v>704.00402145907833</v>
      </c>
      <c r="AP323" s="408">
        <v>1349.7632010128264</v>
      </c>
      <c r="AQ323" s="408">
        <v>0</v>
      </c>
      <c r="AR323" s="408">
        <v>0</v>
      </c>
      <c r="AS323" s="408"/>
      <c r="AT323" s="408"/>
      <c r="AU323" s="408">
        <v>0</v>
      </c>
      <c r="AV323" s="408">
        <v>0</v>
      </c>
      <c r="AW323" s="408">
        <v>0</v>
      </c>
      <c r="AX323" s="408"/>
      <c r="AY323" s="408"/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0</v>
      </c>
      <c r="BF323" s="408"/>
      <c r="BG323" s="408">
        <v>0</v>
      </c>
      <c r="BH323" s="408">
        <v>0</v>
      </c>
      <c r="BI323" s="408">
        <v>238.11</v>
      </c>
      <c r="BJ323" s="408">
        <v>1093.3900000000001</v>
      </c>
      <c r="BK323" s="408">
        <v>23205.53</v>
      </c>
      <c r="BL323" s="408">
        <v>2</v>
      </c>
      <c r="BM323" s="408"/>
      <c r="BN323" s="408"/>
      <c r="BO323" s="408"/>
      <c r="BP323" s="408"/>
      <c r="BQ323" s="408">
        <v>309.54419999999999</v>
      </c>
      <c r="BR323" s="408"/>
      <c r="BS323" s="408"/>
      <c r="BT323" s="408"/>
      <c r="BU323" s="408"/>
      <c r="BV323" s="408">
        <v>0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4849.5258000000003</v>
      </c>
      <c r="CJ323" s="408">
        <v>-7216.184400000001</v>
      </c>
      <c r="CK323" s="408"/>
      <c r="CL323" s="408"/>
      <c r="CM323" s="408"/>
      <c r="CN323" s="408"/>
      <c r="CO323" s="408">
        <v>-7676.7600000000011</v>
      </c>
      <c r="CP323" s="408">
        <v>0</v>
      </c>
      <c r="CQ323" s="408">
        <v>31</v>
      </c>
      <c r="CR323" s="408">
        <v>215.74717592480101</v>
      </c>
      <c r="CS323" s="408">
        <v>72.619087839173972</v>
      </c>
      <c r="CT323" s="408">
        <v>139.23013146044809</v>
      </c>
      <c r="CU323" s="408">
        <v>0</v>
      </c>
      <c r="CV323" s="408">
        <v>0</v>
      </c>
      <c r="CW323" s="408"/>
      <c r="CX323" s="408"/>
      <c r="CY323" s="408"/>
      <c r="CZ323" s="408">
        <v>3.8979566251793685</v>
      </c>
      <c r="DA323" s="408">
        <v>0</v>
      </c>
      <c r="DB323" s="408">
        <v>0</v>
      </c>
      <c r="DC323" s="408"/>
      <c r="DD323" s="408"/>
      <c r="DE323" s="408">
        <v>0</v>
      </c>
      <c r="DF323" s="408">
        <v>0</v>
      </c>
      <c r="DG323" s="408">
        <v>0</v>
      </c>
      <c r="DH323" s="408">
        <v>0</v>
      </c>
      <c r="DI323" s="408">
        <v>0</v>
      </c>
      <c r="DJ323" s="408"/>
      <c r="DK323" s="408">
        <v>0</v>
      </c>
      <c r="DL323" s="408">
        <v>0</v>
      </c>
      <c r="DM323" s="408"/>
      <c r="DN323" s="408">
        <v>0</v>
      </c>
      <c r="DO323" s="408">
        <v>0</v>
      </c>
      <c r="DP323" s="408">
        <v>0</v>
      </c>
      <c r="DQ323" s="408">
        <v>0</v>
      </c>
      <c r="DR323" s="408">
        <v>0</v>
      </c>
      <c r="DS323" s="408"/>
      <c r="DT323" s="408"/>
      <c r="DU323" s="408">
        <v>10743.767435968706</v>
      </c>
      <c r="DV323" s="408"/>
      <c r="DW323" s="408">
        <v>0</v>
      </c>
      <c r="DX323" s="408">
        <v>0</v>
      </c>
      <c r="DY323" s="408">
        <v>-7676.76</v>
      </c>
      <c r="DZ323" s="234"/>
      <c r="EA323" s="408">
        <v>0</v>
      </c>
      <c r="EB323" s="408"/>
      <c r="EC323" s="408">
        <v>-7893.551411354385</v>
      </c>
      <c r="ED323" s="408"/>
      <c r="EE323" s="408">
        <v>0</v>
      </c>
      <c r="EF323" s="408">
        <v>0</v>
      </c>
      <c r="EG323" s="408"/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/>
      <c r="EN323" s="408"/>
      <c r="EO323" s="408">
        <v>0</v>
      </c>
      <c r="EP323" s="408">
        <v>0</v>
      </c>
      <c r="EQ323" s="408"/>
      <c r="ER323" s="408">
        <v>0</v>
      </c>
      <c r="ES323" s="408"/>
      <c r="ET323" s="408">
        <v>0</v>
      </c>
      <c r="EU323" s="408"/>
      <c r="EV323" s="408">
        <v>242</v>
      </c>
      <c r="EW323" s="408"/>
      <c r="EX323" s="408"/>
      <c r="EY323" s="408"/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322</v>
      </c>
      <c r="B324" s="408" t="s">
        <v>1036</v>
      </c>
      <c r="C324" s="408" t="s">
        <v>2231</v>
      </c>
      <c r="D324" s="408" t="s">
        <v>1955</v>
      </c>
      <c r="E324" s="408" t="s">
        <v>2247</v>
      </c>
      <c r="F324" s="408" t="s">
        <v>1322</v>
      </c>
      <c r="G324" s="408" t="s">
        <v>1322</v>
      </c>
      <c r="H324" s="408" t="s">
        <v>1322</v>
      </c>
      <c r="I324" s="408" t="s">
        <v>1322</v>
      </c>
      <c r="J324" s="408" t="s">
        <v>2232</v>
      </c>
      <c r="K324" s="828">
        <v>44562</v>
      </c>
      <c r="L324" s="408">
        <v>0</v>
      </c>
      <c r="M324" s="408">
        <v>0</v>
      </c>
      <c r="N324" s="408">
        <v>0.35</v>
      </c>
      <c r="O324" s="408">
        <v>0.35</v>
      </c>
      <c r="P324" s="408">
        <v>0.35</v>
      </c>
      <c r="Q324" s="408">
        <v>0.35</v>
      </c>
      <c r="R324" s="408"/>
      <c r="S324" s="408">
        <v>571.87</v>
      </c>
      <c r="T324" s="408">
        <v>216.76</v>
      </c>
      <c r="U324" s="408"/>
      <c r="V324" s="408">
        <v>276.02049999999997</v>
      </c>
      <c r="W324" s="408">
        <v>276.02049999999997</v>
      </c>
      <c r="X324" s="408">
        <v>179.90349999999998</v>
      </c>
      <c r="Y324" s="408">
        <v>0</v>
      </c>
      <c r="Z324" s="408">
        <v>21.213715965413755</v>
      </c>
      <c r="AA324" s="408">
        <v>0</v>
      </c>
      <c r="AB324" s="408">
        <v>0</v>
      </c>
      <c r="AC324" s="408">
        <v>0</v>
      </c>
      <c r="AD324" s="408">
        <v>0.28766979482784616</v>
      </c>
      <c r="AE324" s="408">
        <v>149.23428407539538</v>
      </c>
      <c r="AF324" s="408">
        <v>74.760525288272589</v>
      </c>
      <c r="AG324" s="408">
        <v>1.1050916577583259</v>
      </c>
      <c r="AH324" s="408">
        <v>0</v>
      </c>
      <c r="AI324" s="408">
        <v>0</v>
      </c>
      <c r="AJ324" s="408">
        <v>0</v>
      </c>
      <c r="AK324" s="408">
        <v>0</v>
      </c>
      <c r="AL324" s="408">
        <v>3.280771780499419</v>
      </c>
      <c r="AM324" s="408"/>
      <c r="AN324" s="408">
        <v>0.67146434465429539</v>
      </c>
      <c r="AO324" s="408">
        <v>3.1085942121859937</v>
      </c>
      <c r="AP324" s="408">
        <v>9.7394867902383098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0.2082743676584865</v>
      </c>
      <c r="BE324" s="408">
        <v>0</v>
      </c>
      <c r="BF324" s="408">
        <v>0</v>
      </c>
      <c r="BG324" s="408">
        <v>12.410383113277204</v>
      </c>
      <c r="BH324" s="408">
        <v>0</v>
      </c>
      <c r="BI324" s="408">
        <v>0.82</v>
      </c>
      <c r="BJ324" s="408">
        <v>3.83</v>
      </c>
      <c r="BK324" s="408">
        <v>78.05</v>
      </c>
      <c r="BL324" s="408">
        <v>3</v>
      </c>
      <c r="BM324" s="408"/>
      <c r="BN324" s="408"/>
      <c r="BO324" s="408"/>
      <c r="BP324" s="408"/>
      <c r="BQ324" s="408"/>
      <c r="BR324" s="408"/>
      <c r="BS324" s="408"/>
      <c r="BT324" s="408"/>
      <c r="BU324" s="408"/>
      <c r="BV324" s="408">
        <v>87.379182769208285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179.90349999999998</v>
      </c>
      <c r="CJ324" s="408">
        <v>-96.146999999999963</v>
      </c>
      <c r="CK324" s="408"/>
      <c r="CL324" s="408"/>
      <c r="CM324" s="408"/>
      <c r="CN324" s="408"/>
      <c r="CO324" s="408">
        <v>-107.53749999999999</v>
      </c>
      <c r="CP324" s="408">
        <v>11.420499999999997</v>
      </c>
      <c r="CQ324" s="408">
        <v>31</v>
      </c>
      <c r="CR324" s="408">
        <v>13.527607046276671</v>
      </c>
      <c r="CS324" s="408">
        <v>0.32065623103006491</v>
      </c>
      <c r="CT324" s="408">
        <v>1.0046429071000347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2.8126931285052281E-2</v>
      </c>
      <c r="DA324" s="408">
        <v>0</v>
      </c>
      <c r="DB324" s="408">
        <v>0</v>
      </c>
      <c r="DC324" s="408">
        <v>11.421967733184403</v>
      </c>
      <c r="DD324" s="408">
        <v>0</v>
      </c>
      <c r="DE324" s="408">
        <v>0</v>
      </c>
      <c r="DF324" s="408">
        <v>3.1820310222162335E-2</v>
      </c>
      <c r="DG324" s="408">
        <v>1.8960674089665339</v>
      </c>
      <c r="DH324" s="408">
        <v>0</v>
      </c>
      <c r="DI324" s="408">
        <v>-1.0135318572600589</v>
      </c>
      <c r="DJ324" s="408"/>
      <c r="DK324" s="408">
        <v>0</v>
      </c>
      <c r="DL324" s="408">
        <v>0</v>
      </c>
      <c r="DM324" s="408">
        <v>0</v>
      </c>
      <c r="DN324" s="408">
        <v>0</v>
      </c>
      <c r="DO324" s="408">
        <v>-0.1329388709194661</v>
      </c>
      <c r="DP324" s="408">
        <v>-2.9203747332010921E-2</v>
      </c>
      <c r="DQ324" s="408">
        <v>0</v>
      </c>
      <c r="DR324" s="408">
        <v>0</v>
      </c>
      <c r="DS324" s="408"/>
      <c r="DT324" s="408"/>
      <c r="DU324" s="408"/>
      <c r="DV324" s="408">
        <v>149.23428407539538</v>
      </c>
      <c r="DW324" s="408">
        <v>0</v>
      </c>
      <c r="DX324" s="408">
        <v>0</v>
      </c>
      <c r="DY324" s="408">
        <v>-107.53749999999999</v>
      </c>
      <c r="DZ324" s="234">
        <v>11.420500000000004</v>
      </c>
      <c r="EA324" s="408">
        <v>0</v>
      </c>
      <c r="EB324" s="408">
        <v>0</v>
      </c>
      <c r="EC324" s="408">
        <v>-109.64389360682273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0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242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323</v>
      </c>
      <c r="B325" s="408" t="s">
        <v>1036</v>
      </c>
      <c r="C325" s="408" t="s">
        <v>2231</v>
      </c>
      <c r="D325" s="408" t="s">
        <v>2241</v>
      </c>
      <c r="E325" s="408" t="s">
        <v>974</v>
      </c>
      <c r="F325" s="408" t="s">
        <v>2248</v>
      </c>
      <c r="G325" s="408" t="s">
        <v>2249</v>
      </c>
      <c r="H325" s="408" t="s">
        <v>1322</v>
      </c>
      <c r="I325" s="408" t="s">
        <v>1322</v>
      </c>
      <c r="J325" s="408" t="s">
        <v>2232</v>
      </c>
      <c r="K325" s="828">
        <v>44562</v>
      </c>
      <c r="L325" s="408">
        <v>0</v>
      </c>
      <c r="M325" s="408">
        <v>0</v>
      </c>
      <c r="N325" s="408">
        <v>0</v>
      </c>
      <c r="O325" s="408">
        <v>0</v>
      </c>
      <c r="P325" s="408">
        <v>0</v>
      </c>
      <c r="Q325" s="408">
        <v>0</v>
      </c>
      <c r="R325" s="408"/>
      <c r="S325" s="408"/>
      <c r="T325" s="408"/>
      <c r="U325" s="408"/>
      <c r="V325" s="408"/>
      <c r="W325" s="408"/>
      <c r="X325" s="408"/>
      <c r="Y325" s="408"/>
      <c r="Z325" s="408"/>
      <c r="AA325" s="408">
        <v>0</v>
      </c>
      <c r="AB325" s="408"/>
      <c r="AC325" s="408"/>
      <c r="AD325" s="408"/>
      <c r="AE325" s="408"/>
      <c r="AF325" s="408"/>
      <c r="AG325" s="408"/>
      <c r="AH325" s="408"/>
      <c r="AI325" s="408"/>
      <c r="AJ325" s="408"/>
      <c r="AK325" s="408"/>
      <c r="AL325" s="408"/>
      <c r="AM325" s="408"/>
      <c r="AN325" s="408"/>
      <c r="AO325" s="408"/>
      <c r="AP325" s="408"/>
      <c r="AQ325" s="408"/>
      <c r="AR325" s="408"/>
      <c r="AS325" s="408"/>
      <c r="AT325" s="408"/>
      <c r="AU325" s="408"/>
      <c r="AV325" s="408"/>
      <c r="AW325" s="408"/>
      <c r="AX325" s="408"/>
      <c r="AY325" s="408"/>
      <c r="AZ325" s="408">
        <v>0</v>
      </c>
      <c r="BA325" s="408"/>
      <c r="BB325" s="408"/>
      <c r="BC325" s="408"/>
      <c r="BD325" s="408"/>
      <c r="BE325" s="408"/>
      <c r="BF325" s="408"/>
      <c r="BG325" s="408"/>
      <c r="BH325" s="408"/>
      <c r="BI325" s="408">
        <v>455.12</v>
      </c>
      <c r="BJ325" s="408">
        <v>2092.48</v>
      </c>
      <c r="BK325" s="408">
        <v>1044.31</v>
      </c>
      <c r="BL325" s="408">
        <v>125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/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/>
      <c r="CJ325" s="408">
        <v>-0.03</v>
      </c>
      <c r="CK325" s="408"/>
      <c r="CL325" s="408"/>
      <c r="CM325" s="408"/>
      <c r="CN325" s="408"/>
      <c r="CO325" s="408">
        <v>0</v>
      </c>
      <c r="CP325" s="408">
        <v>0</v>
      </c>
      <c r="CQ325" s="408">
        <v>31</v>
      </c>
      <c r="CR325" s="408"/>
      <c r="CS325" s="408"/>
      <c r="CT325" s="408"/>
      <c r="CU325" s="408"/>
      <c r="CV325" s="408"/>
      <c r="CW325" s="408"/>
      <c r="CX325" s="408"/>
      <c r="CY325" s="408"/>
      <c r="CZ325" s="408"/>
      <c r="DA325" s="408"/>
      <c r="DB325" s="408"/>
      <c r="DC325" s="408"/>
      <c r="DD325" s="408"/>
      <c r="DE325" s="408"/>
      <c r="DF325" s="408"/>
      <c r="DG325" s="408"/>
      <c r="DH325" s="408"/>
      <c r="DI325" s="408"/>
      <c r="DJ325" s="408"/>
      <c r="DK325" s="408">
        <v>0</v>
      </c>
      <c r="DL325" s="408"/>
      <c r="DM325" s="408"/>
      <c r="DN325" s="408"/>
      <c r="DO325" s="408"/>
      <c r="DP325" s="408"/>
      <c r="DQ325" s="408"/>
      <c r="DR325" s="408"/>
      <c r="DS325" s="408"/>
      <c r="DT325" s="408"/>
      <c r="DU325" s="408"/>
      <c r="DV325" s="408"/>
      <c r="DW325" s="408"/>
      <c r="DX325" s="408"/>
      <c r="DY325" s="408"/>
      <c r="DZ325" s="234"/>
      <c r="EA325" s="408"/>
      <c r="EB325" s="408"/>
      <c r="EC325" s="408"/>
      <c r="ED325" s="408"/>
      <c r="EE325" s="408"/>
      <c r="EF325" s="408"/>
      <c r="EG325" s="408"/>
      <c r="EH325" s="408"/>
      <c r="EI325" s="408"/>
      <c r="EJ325" s="408"/>
      <c r="EK325" s="408"/>
      <c r="EL325" s="408"/>
      <c r="EM325" s="408"/>
      <c r="EN325" s="408"/>
      <c r="EO325" s="408"/>
      <c r="EP325" s="408"/>
      <c r="EQ325" s="408"/>
      <c r="ER325" s="408"/>
      <c r="ES325" s="408"/>
      <c r="ET325" s="408"/>
      <c r="EU325" s="408"/>
      <c r="EV325" s="408">
        <v>242</v>
      </c>
      <c r="EW325" s="408"/>
      <c r="EX325" s="408"/>
      <c r="EY325" s="408"/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324</v>
      </c>
      <c r="B326" s="408" t="s">
        <v>2233</v>
      </c>
      <c r="C326" s="408" t="s">
        <v>2231</v>
      </c>
      <c r="D326" s="408" t="s">
        <v>2241</v>
      </c>
      <c r="E326" s="408" t="s">
        <v>974</v>
      </c>
      <c r="F326" s="408" t="s">
        <v>2248</v>
      </c>
      <c r="G326" s="408" t="s">
        <v>2249</v>
      </c>
      <c r="H326" s="408" t="s">
        <v>1322</v>
      </c>
      <c r="I326" s="408" t="s">
        <v>1322</v>
      </c>
      <c r="J326" s="408" t="s">
        <v>2232</v>
      </c>
      <c r="K326" s="828">
        <v>44562</v>
      </c>
      <c r="L326" s="408">
        <v>0</v>
      </c>
      <c r="M326" s="408">
        <v>0</v>
      </c>
      <c r="N326" s="408">
        <v>0</v>
      </c>
      <c r="O326" s="408">
        <v>0</v>
      </c>
      <c r="P326" s="408">
        <v>0</v>
      </c>
      <c r="Q326" s="408">
        <v>0</v>
      </c>
      <c r="R326" s="408"/>
      <c r="S326" s="408"/>
      <c r="T326" s="408"/>
      <c r="U326" s="408"/>
      <c r="V326" s="408"/>
      <c r="W326" s="408"/>
      <c r="X326" s="408"/>
      <c r="Y326" s="408"/>
      <c r="Z326" s="408"/>
      <c r="AA326" s="408">
        <v>0</v>
      </c>
      <c r="AB326" s="408"/>
      <c r="AC326" s="408"/>
      <c r="AD326" s="408"/>
      <c r="AE326" s="408"/>
      <c r="AF326" s="408"/>
      <c r="AG326" s="408"/>
      <c r="AH326" s="408"/>
      <c r="AI326" s="408"/>
      <c r="AJ326" s="408"/>
      <c r="AK326" s="408"/>
      <c r="AL326" s="408"/>
      <c r="AM326" s="408"/>
      <c r="AN326" s="408"/>
      <c r="AO326" s="408"/>
      <c r="AP326" s="408"/>
      <c r="AQ326" s="408"/>
      <c r="AR326" s="408"/>
      <c r="AS326" s="408"/>
      <c r="AT326" s="408"/>
      <c r="AU326" s="408"/>
      <c r="AV326" s="408"/>
      <c r="AW326" s="408"/>
      <c r="AX326" s="408"/>
      <c r="AY326" s="408"/>
      <c r="AZ326" s="408">
        <v>0</v>
      </c>
      <c r="BA326" s="408"/>
      <c r="BB326" s="408"/>
      <c r="BC326" s="408"/>
      <c r="BD326" s="408"/>
      <c r="BE326" s="408"/>
      <c r="BF326" s="408"/>
      <c r="BG326" s="408"/>
      <c r="BH326" s="408"/>
      <c r="BI326" s="408">
        <v>-9.65</v>
      </c>
      <c r="BJ326" s="408">
        <v>-44.26</v>
      </c>
      <c r="BK326" s="408">
        <v>0</v>
      </c>
      <c r="BL326" s="408">
        <v>0</v>
      </c>
      <c r="BM326" s="408"/>
      <c r="BN326" s="408"/>
      <c r="BO326" s="408"/>
      <c r="BP326" s="408"/>
      <c r="BQ326" s="408"/>
      <c r="BR326" s="408"/>
      <c r="BS326" s="408"/>
      <c r="BT326" s="408"/>
      <c r="BU326" s="408"/>
      <c r="BV326" s="408"/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/>
      <c r="CJ326" s="408">
        <v>-0.03</v>
      </c>
      <c r="CK326" s="408"/>
      <c r="CL326" s="408"/>
      <c r="CM326" s="408"/>
      <c r="CN326" s="408"/>
      <c r="CO326" s="408">
        <v>0</v>
      </c>
      <c r="CP326" s="408">
        <v>0</v>
      </c>
      <c r="CQ326" s="408">
        <v>31</v>
      </c>
      <c r="CR326" s="408"/>
      <c r="CS326" s="408"/>
      <c r="CT326" s="408"/>
      <c r="CU326" s="408"/>
      <c r="CV326" s="408"/>
      <c r="CW326" s="408"/>
      <c r="CX326" s="408"/>
      <c r="CY326" s="408"/>
      <c r="CZ326" s="408"/>
      <c r="DA326" s="408"/>
      <c r="DB326" s="408"/>
      <c r="DC326" s="408"/>
      <c r="DD326" s="408"/>
      <c r="DE326" s="408"/>
      <c r="DF326" s="408"/>
      <c r="DG326" s="408"/>
      <c r="DH326" s="408"/>
      <c r="DI326" s="408"/>
      <c r="DJ326" s="408"/>
      <c r="DK326" s="408">
        <v>0</v>
      </c>
      <c r="DL326" s="408"/>
      <c r="DM326" s="408"/>
      <c r="DN326" s="408"/>
      <c r="DO326" s="408"/>
      <c r="DP326" s="408"/>
      <c r="DQ326" s="408"/>
      <c r="DR326" s="408"/>
      <c r="DS326" s="408"/>
      <c r="DT326" s="408"/>
      <c r="DU326" s="408"/>
      <c r="DV326" s="408"/>
      <c r="DW326" s="408"/>
      <c r="DX326" s="408"/>
      <c r="DY326" s="408"/>
      <c r="DZ326" s="234"/>
      <c r="EA326" s="408"/>
      <c r="EB326" s="408"/>
      <c r="EC326" s="408"/>
      <c r="ED326" s="408"/>
      <c r="EE326" s="408"/>
      <c r="EF326" s="408"/>
      <c r="EG326" s="408"/>
      <c r="EH326" s="408"/>
      <c r="EI326" s="408"/>
      <c r="EJ326" s="408"/>
      <c r="EK326" s="408"/>
      <c r="EL326" s="408"/>
      <c r="EM326" s="408"/>
      <c r="EN326" s="408"/>
      <c r="EO326" s="408"/>
      <c r="EP326" s="408"/>
      <c r="EQ326" s="408"/>
      <c r="ER326" s="408"/>
      <c r="ES326" s="408"/>
      <c r="ET326" s="408"/>
      <c r="EU326" s="408"/>
      <c r="EV326" s="408">
        <v>242</v>
      </c>
      <c r="EW326" s="408"/>
      <c r="EX326" s="408"/>
      <c r="EY326" s="408"/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325</v>
      </c>
      <c r="B327" s="408" t="s">
        <v>2234</v>
      </c>
      <c r="C327" s="408" t="s">
        <v>2231</v>
      </c>
      <c r="D327" s="408" t="s">
        <v>2241</v>
      </c>
      <c r="E327" s="408" t="s">
        <v>974</v>
      </c>
      <c r="F327" s="408" t="s">
        <v>2248</v>
      </c>
      <c r="G327" s="408" t="s">
        <v>2249</v>
      </c>
      <c r="H327" s="408" t="s">
        <v>1322</v>
      </c>
      <c r="I327" s="408" t="s">
        <v>1322</v>
      </c>
      <c r="J327" s="408" t="s">
        <v>2232</v>
      </c>
      <c r="K327" s="828">
        <v>44562</v>
      </c>
      <c r="L327" s="408">
        <v>0</v>
      </c>
      <c r="M327" s="408">
        <v>0</v>
      </c>
      <c r="N327" s="408">
        <v>0</v>
      </c>
      <c r="O327" s="408">
        <v>0</v>
      </c>
      <c r="P327" s="408">
        <v>0</v>
      </c>
      <c r="Q327" s="408">
        <v>0</v>
      </c>
      <c r="R327" s="408"/>
      <c r="S327" s="408"/>
      <c r="T327" s="408"/>
      <c r="U327" s="408"/>
      <c r="V327" s="408"/>
      <c r="W327" s="408"/>
      <c r="X327" s="408"/>
      <c r="Y327" s="408"/>
      <c r="Z327" s="408"/>
      <c r="AA327" s="408">
        <v>0</v>
      </c>
      <c r="AB327" s="408"/>
      <c r="AC327" s="408"/>
      <c r="AD327" s="408"/>
      <c r="AE327" s="408"/>
      <c r="AF327" s="408"/>
      <c r="AG327" s="408"/>
      <c r="AH327" s="408"/>
      <c r="AI327" s="408"/>
      <c r="AJ327" s="408"/>
      <c r="AK327" s="408"/>
      <c r="AL327" s="408"/>
      <c r="AM327" s="408"/>
      <c r="AN327" s="408"/>
      <c r="AO327" s="408"/>
      <c r="AP327" s="408"/>
      <c r="AQ327" s="408"/>
      <c r="AR327" s="408"/>
      <c r="AS327" s="408"/>
      <c r="AT327" s="408"/>
      <c r="AU327" s="408"/>
      <c r="AV327" s="408"/>
      <c r="AW327" s="408"/>
      <c r="AX327" s="408"/>
      <c r="AY327" s="408"/>
      <c r="AZ327" s="408">
        <v>0</v>
      </c>
      <c r="BA327" s="408"/>
      <c r="BB327" s="408"/>
      <c r="BC327" s="408"/>
      <c r="BD327" s="408"/>
      <c r="BE327" s="408"/>
      <c r="BF327" s="408"/>
      <c r="BG327" s="408"/>
      <c r="BH327" s="408"/>
      <c r="BI327" s="408">
        <v>14.37</v>
      </c>
      <c r="BJ327" s="408">
        <v>66.14</v>
      </c>
      <c r="BK327" s="408">
        <v>37.770000000000003</v>
      </c>
      <c r="BL327" s="408">
        <v>5</v>
      </c>
      <c r="BM327" s="408"/>
      <c r="BN327" s="408"/>
      <c r="BO327" s="408"/>
      <c r="BP327" s="408"/>
      <c r="BQ327" s="408"/>
      <c r="BR327" s="408"/>
      <c r="BS327" s="408"/>
      <c r="BT327" s="408"/>
      <c r="BU327" s="408"/>
      <c r="BV327" s="408"/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/>
      <c r="CJ327" s="408">
        <v>-0.03</v>
      </c>
      <c r="CK327" s="408"/>
      <c r="CL327" s="408"/>
      <c r="CM327" s="408"/>
      <c r="CN327" s="408"/>
      <c r="CO327" s="408">
        <v>0</v>
      </c>
      <c r="CP327" s="408">
        <v>0</v>
      </c>
      <c r="CQ327" s="408">
        <v>31</v>
      </c>
      <c r="CR327" s="408"/>
      <c r="CS327" s="408"/>
      <c r="CT327" s="408"/>
      <c r="CU327" s="408"/>
      <c r="CV327" s="408"/>
      <c r="CW327" s="408"/>
      <c r="CX327" s="408"/>
      <c r="CY327" s="408"/>
      <c r="CZ327" s="408"/>
      <c r="DA327" s="408"/>
      <c r="DB327" s="408"/>
      <c r="DC327" s="408"/>
      <c r="DD327" s="408"/>
      <c r="DE327" s="408"/>
      <c r="DF327" s="408"/>
      <c r="DG327" s="408"/>
      <c r="DH327" s="408"/>
      <c r="DI327" s="408"/>
      <c r="DJ327" s="408"/>
      <c r="DK327" s="408">
        <v>0</v>
      </c>
      <c r="DL327" s="408"/>
      <c r="DM327" s="408"/>
      <c r="DN327" s="408"/>
      <c r="DO327" s="408"/>
      <c r="DP327" s="408"/>
      <c r="DQ327" s="408"/>
      <c r="DR327" s="408"/>
      <c r="DS327" s="408"/>
      <c r="DT327" s="408"/>
      <c r="DU327" s="408"/>
      <c r="DV327" s="408"/>
      <c r="DW327" s="408"/>
      <c r="DX327" s="408"/>
      <c r="DY327" s="408"/>
      <c r="DZ327" s="234"/>
      <c r="EA327" s="408"/>
      <c r="EB327" s="408"/>
      <c r="EC327" s="408"/>
      <c r="ED327" s="408"/>
      <c r="EE327" s="408"/>
      <c r="EF327" s="408"/>
      <c r="EG327" s="408"/>
      <c r="EH327" s="408"/>
      <c r="EI327" s="408"/>
      <c r="EJ327" s="408"/>
      <c r="EK327" s="408"/>
      <c r="EL327" s="408"/>
      <c r="EM327" s="408"/>
      <c r="EN327" s="408"/>
      <c r="EO327" s="408"/>
      <c r="EP327" s="408"/>
      <c r="EQ327" s="408"/>
      <c r="ER327" s="408"/>
      <c r="ES327" s="408"/>
      <c r="ET327" s="408"/>
      <c r="EU327" s="408"/>
      <c r="EV327" s="408">
        <v>242</v>
      </c>
      <c r="EW327" s="408"/>
      <c r="EX327" s="408"/>
      <c r="EY327" s="408"/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326</v>
      </c>
      <c r="B328" s="408" t="s">
        <v>1036</v>
      </c>
      <c r="C328" s="408" t="s">
        <v>2231</v>
      </c>
      <c r="D328" s="408" t="s">
        <v>2241</v>
      </c>
      <c r="E328" s="408" t="s">
        <v>974</v>
      </c>
      <c r="F328" s="408" t="s">
        <v>2248</v>
      </c>
      <c r="G328" s="408" t="s">
        <v>2249</v>
      </c>
      <c r="H328" s="408" t="s">
        <v>1322</v>
      </c>
      <c r="I328" s="408" t="s">
        <v>1322</v>
      </c>
      <c r="J328" s="408" t="s">
        <v>2232</v>
      </c>
      <c r="K328" s="828">
        <v>44562</v>
      </c>
      <c r="L328" s="408">
        <v>0</v>
      </c>
      <c r="M328" s="408">
        <v>0</v>
      </c>
      <c r="N328" s="408">
        <v>130.48699999999999</v>
      </c>
      <c r="O328" s="408">
        <v>130.48699999999999</v>
      </c>
      <c r="P328" s="408">
        <v>130.48699999999999</v>
      </c>
      <c r="Q328" s="408">
        <v>130.48699999999999</v>
      </c>
      <c r="R328" s="408"/>
      <c r="S328" s="408">
        <v>571.87</v>
      </c>
      <c r="T328" s="408">
        <v>216.76</v>
      </c>
      <c r="U328" s="408"/>
      <c r="V328" s="408">
        <v>102905.96281</v>
      </c>
      <c r="W328" s="408">
        <v>102905.96281</v>
      </c>
      <c r="X328" s="408">
        <v>67071.622869999992</v>
      </c>
      <c r="Y328" s="408">
        <v>0</v>
      </c>
      <c r="Z328" s="408">
        <v>7908.8975862255556</v>
      </c>
      <c r="AA328" s="408">
        <v>0</v>
      </c>
      <c r="AB328" s="408">
        <v>0</v>
      </c>
      <c r="AC328" s="408">
        <v>0</v>
      </c>
      <c r="AD328" s="408">
        <v>107.24905290771761</v>
      </c>
      <c r="AE328" s="408">
        <v>55637.525788988911</v>
      </c>
      <c r="AF328" s="408">
        <v>27872.219037973791</v>
      </c>
      <c r="AG328" s="408">
        <v>412.00027184545911</v>
      </c>
      <c r="AH328" s="408">
        <v>0</v>
      </c>
      <c r="AI328" s="408">
        <v>0</v>
      </c>
      <c r="AJ328" s="408">
        <v>0</v>
      </c>
      <c r="AK328" s="408">
        <v>0</v>
      </c>
      <c r="AL328" s="408">
        <v>1223.1373352057935</v>
      </c>
      <c r="AM328" s="408"/>
      <c r="AN328" s="408">
        <v>250.33533697401444</v>
      </c>
      <c r="AO328" s="408">
        <v>1158.9460941871821</v>
      </c>
      <c r="AP328" s="408">
        <v>3631.0754651366465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77.648849750436938</v>
      </c>
      <c r="BE328" s="408">
        <v>0</v>
      </c>
      <c r="BF328" s="408">
        <v>0</v>
      </c>
      <c r="BG328" s="408">
        <v>4626.8390322920068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/>
      <c r="BR328" s="408">
        <v>8048.438159999997</v>
      </c>
      <c r="BS328" s="408"/>
      <c r="BT328" s="408"/>
      <c r="BU328" s="408"/>
      <c r="BV328" s="408">
        <v>32576.706920016233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59024.541700000002</v>
      </c>
      <c r="CJ328" s="408">
        <v>-31533.466299999985</v>
      </c>
      <c r="CK328" s="408"/>
      <c r="CL328" s="408"/>
      <c r="CM328" s="408"/>
      <c r="CN328" s="408"/>
      <c r="CO328" s="408">
        <v>-40092.130749999997</v>
      </c>
      <c r="CP328" s="408">
        <v>4257.7908099999995</v>
      </c>
      <c r="CQ328" s="408">
        <v>31</v>
      </c>
      <c r="CR328" s="408">
        <v>5043.3624589928804</v>
      </c>
      <c r="CS328" s="408">
        <v>119.54705605262893</v>
      </c>
      <c r="CT328" s="408">
        <v>374.55096862503524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10.486282521693184</v>
      </c>
      <c r="DA328" s="408">
        <v>0</v>
      </c>
      <c r="DB328" s="408">
        <v>0</v>
      </c>
      <c r="DC328" s="408">
        <v>4258.3380102858064</v>
      </c>
      <c r="DD328" s="408">
        <v>0</v>
      </c>
      <c r="DE328" s="408">
        <v>0</v>
      </c>
      <c r="DF328" s="408">
        <v>11.863248057026567</v>
      </c>
      <c r="DG328" s="408">
        <v>706.89185141090366</v>
      </c>
      <c r="DH328" s="408">
        <v>0</v>
      </c>
      <c r="DI328" s="408">
        <v>-377.86494702369419</v>
      </c>
      <c r="DJ328" s="408"/>
      <c r="DK328" s="408">
        <v>0</v>
      </c>
      <c r="DL328" s="408">
        <v>0</v>
      </c>
      <c r="DM328" s="408">
        <v>0</v>
      </c>
      <c r="DN328" s="408">
        <v>0</v>
      </c>
      <c r="DO328" s="408">
        <v>-49.562269856195371</v>
      </c>
      <c r="DP328" s="408">
        <v>-10.887741080320325</v>
      </c>
      <c r="DQ328" s="408">
        <v>0</v>
      </c>
      <c r="DR328" s="408">
        <v>0</v>
      </c>
      <c r="DS328" s="408"/>
      <c r="DT328" s="408"/>
      <c r="DU328" s="408"/>
      <c r="DV328" s="408">
        <v>55637.525788988911</v>
      </c>
      <c r="DW328" s="408">
        <v>0</v>
      </c>
      <c r="DX328" s="408">
        <v>0</v>
      </c>
      <c r="DY328" s="408">
        <v>-40092.130749999989</v>
      </c>
      <c r="DZ328" s="234">
        <v>4257.7908099999986</v>
      </c>
      <c r="EA328" s="408">
        <v>0</v>
      </c>
      <c r="EB328" s="408">
        <v>0</v>
      </c>
      <c r="EC328" s="408">
        <v>-40877.436414495656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242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327</v>
      </c>
      <c r="B329" s="408" t="s">
        <v>2233</v>
      </c>
      <c r="C329" s="408" t="s">
        <v>2231</v>
      </c>
      <c r="D329" s="408" t="s">
        <v>2241</v>
      </c>
      <c r="E329" s="408" t="s">
        <v>974</v>
      </c>
      <c r="F329" s="408" t="s">
        <v>2248</v>
      </c>
      <c r="G329" s="408" t="s">
        <v>2249</v>
      </c>
      <c r="H329" s="408" t="s">
        <v>1322</v>
      </c>
      <c r="I329" s="408" t="s">
        <v>1322</v>
      </c>
      <c r="J329" s="408" t="s">
        <v>2232</v>
      </c>
      <c r="K329" s="828">
        <v>44562</v>
      </c>
      <c r="L329" s="408">
        <v>0</v>
      </c>
      <c r="M329" s="408">
        <v>0</v>
      </c>
      <c r="N329" s="408">
        <v>-9.2999999999999999E-2</v>
      </c>
      <c r="O329" s="408">
        <v>-9.2999999999999999E-2</v>
      </c>
      <c r="P329" s="408">
        <v>-9.2999999999999999E-2</v>
      </c>
      <c r="Q329" s="408">
        <v>-9.2999999999999999E-2</v>
      </c>
      <c r="R329" s="408"/>
      <c r="S329" s="408">
        <v>571.87</v>
      </c>
      <c r="T329" s="408">
        <v>216.76</v>
      </c>
      <c r="U329" s="408"/>
      <c r="V329" s="408">
        <v>-73.342590000000001</v>
      </c>
      <c r="W329" s="408">
        <v>-73.342590000000001</v>
      </c>
      <c r="X329" s="408">
        <v>-47.802930000000003</v>
      </c>
      <c r="Y329" s="408">
        <v>0</v>
      </c>
      <c r="Z329" s="408">
        <v>-5.6367873850956549</v>
      </c>
      <c r="AA329" s="408">
        <v>0</v>
      </c>
      <c r="AB329" s="408">
        <v>0</v>
      </c>
      <c r="AC329" s="408">
        <v>0</v>
      </c>
      <c r="AD329" s="408">
        <v>-7.6437974054256272E-2</v>
      </c>
      <c r="AE329" s="408">
        <v>-39.653681197176489</v>
      </c>
      <c r="AF329" s="408">
        <v>-19.864939576598147</v>
      </c>
      <c r="AG329" s="408">
        <v>-0.29363864049006949</v>
      </c>
      <c r="AH329" s="408">
        <v>0</v>
      </c>
      <c r="AI329" s="408">
        <v>0</v>
      </c>
      <c r="AJ329" s="408">
        <v>0</v>
      </c>
      <c r="AK329" s="408">
        <v>0</v>
      </c>
      <c r="AL329" s="408">
        <v>-0.87174793024698849</v>
      </c>
      <c r="AM329" s="408"/>
      <c r="AN329" s="408">
        <v>-0.17841766872242709</v>
      </c>
      <c r="AO329" s="408">
        <v>-0.82599789066656404</v>
      </c>
      <c r="AP329" s="408">
        <v>-2.5879207756918938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-5.5341474834969269E-2</v>
      </c>
      <c r="BE329" s="408">
        <v>0</v>
      </c>
      <c r="BF329" s="408">
        <v>0</v>
      </c>
      <c r="BG329" s="408">
        <v>-3.2976160843850857</v>
      </c>
      <c r="BH329" s="408">
        <v>0</v>
      </c>
      <c r="BI329" s="408">
        <v>0</v>
      </c>
      <c r="BJ329" s="408">
        <v>0</v>
      </c>
      <c r="BK329" s="408">
        <v>0</v>
      </c>
      <c r="BL329" s="408">
        <v>0</v>
      </c>
      <c r="BM329" s="408"/>
      <c r="BN329" s="408"/>
      <c r="BO329" s="408"/>
      <c r="BP329" s="408"/>
      <c r="BQ329" s="408"/>
      <c r="BR329" s="408">
        <v>-5.7362399999999978</v>
      </c>
      <c r="BS329" s="408"/>
      <c r="BT329" s="408"/>
      <c r="BU329" s="408"/>
      <c r="BV329" s="408">
        <v>-23.217897135818202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-40.709699999999998</v>
      </c>
      <c r="CJ329" s="408">
        <v>23.802300000000002</v>
      </c>
      <c r="CK329" s="408"/>
      <c r="CL329" s="408"/>
      <c r="CM329" s="408"/>
      <c r="CN329" s="408"/>
      <c r="CO329" s="408">
        <v>28.574249999999999</v>
      </c>
      <c r="CP329" s="408">
        <v>-3.0345899999999997</v>
      </c>
      <c r="CQ329" s="408">
        <v>31</v>
      </c>
      <c r="CR329" s="408">
        <v>-3.5944784437249595</v>
      </c>
      <c r="CS329" s="408">
        <v>-8.5202941387988784E-2</v>
      </c>
      <c r="CT329" s="408">
        <v>-0.26694797245800927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-7.4737274557424571E-3</v>
      </c>
      <c r="DA329" s="408">
        <v>0</v>
      </c>
      <c r="DB329" s="408">
        <v>0</v>
      </c>
      <c r="DC329" s="408">
        <v>-3.0349799976747143</v>
      </c>
      <c r="DD329" s="408">
        <v>0</v>
      </c>
      <c r="DE329" s="408">
        <v>0</v>
      </c>
      <c r="DF329" s="408">
        <v>-8.4551110018888584E-3</v>
      </c>
      <c r="DG329" s="408">
        <v>-0.50381219723967918</v>
      </c>
      <c r="DH329" s="408">
        <v>0</v>
      </c>
      <c r="DI329" s="408">
        <v>0.26930989350052936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3.5323757130029554E-2</v>
      </c>
      <c r="DP329" s="408">
        <v>7.7598528625057728E-3</v>
      </c>
      <c r="DQ329" s="408">
        <v>0</v>
      </c>
      <c r="DR329" s="408">
        <v>0</v>
      </c>
      <c r="DS329" s="408"/>
      <c r="DT329" s="408"/>
      <c r="DU329" s="408"/>
      <c r="DV329" s="408">
        <v>-39.653681197176489</v>
      </c>
      <c r="DW329" s="408">
        <v>0</v>
      </c>
      <c r="DX329" s="408">
        <v>0</v>
      </c>
      <c r="DY329" s="408">
        <v>28.574249999999996</v>
      </c>
      <c r="DZ329" s="234">
        <v>-3.0345899999999979</v>
      </c>
      <c r="EA329" s="408">
        <v>0</v>
      </c>
      <c r="EB329" s="408">
        <v>0</v>
      </c>
      <c r="EC329" s="408">
        <v>29.133948872670043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242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328</v>
      </c>
      <c r="B330" s="408" t="s">
        <v>2234</v>
      </c>
      <c r="C330" s="408" t="s">
        <v>2231</v>
      </c>
      <c r="D330" s="408" t="s">
        <v>2241</v>
      </c>
      <c r="E330" s="408" t="s">
        <v>974</v>
      </c>
      <c r="F330" s="408" t="s">
        <v>2248</v>
      </c>
      <c r="G330" s="408" t="s">
        <v>2249</v>
      </c>
      <c r="H330" s="408" t="s">
        <v>1322</v>
      </c>
      <c r="I330" s="408" t="s">
        <v>1322</v>
      </c>
      <c r="J330" s="408" t="s">
        <v>2232</v>
      </c>
      <c r="K330" s="828">
        <v>44562</v>
      </c>
      <c r="L330" s="408">
        <v>0</v>
      </c>
      <c r="M330" s="408">
        <v>0</v>
      </c>
      <c r="N330" s="408">
        <v>5.4820000000000002</v>
      </c>
      <c r="O330" s="408">
        <v>5.4820000000000002</v>
      </c>
      <c r="P330" s="408">
        <v>5.4820000000000002</v>
      </c>
      <c r="Q330" s="408">
        <v>5.4820000000000002</v>
      </c>
      <c r="R330" s="408"/>
      <c r="S330" s="408">
        <v>571.87</v>
      </c>
      <c r="T330" s="408">
        <v>216.76</v>
      </c>
      <c r="U330" s="408"/>
      <c r="V330" s="408">
        <v>4323.2696599999999</v>
      </c>
      <c r="W330" s="408">
        <v>4323.2696599999999</v>
      </c>
      <c r="X330" s="408">
        <v>2817.8028199999999</v>
      </c>
      <c r="Y330" s="408">
        <v>0</v>
      </c>
      <c r="Z330" s="408">
        <v>332.26740263542348</v>
      </c>
      <c r="AA330" s="408">
        <v>0</v>
      </c>
      <c r="AB330" s="408">
        <v>0</v>
      </c>
      <c r="AC330" s="408">
        <v>0</v>
      </c>
      <c r="AD330" s="408">
        <v>4.50573090070358</v>
      </c>
      <c r="AE330" s="408">
        <v>2337.4352722894787</v>
      </c>
      <c r="AF330" s="408">
        <v>1170.9634275151725</v>
      </c>
      <c r="AG330" s="408">
        <v>17.308892765231839</v>
      </c>
      <c r="AH330" s="408">
        <v>0</v>
      </c>
      <c r="AI330" s="408">
        <v>0</v>
      </c>
      <c r="AJ330" s="408">
        <v>0</v>
      </c>
      <c r="AK330" s="408">
        <v>0</v>
      </c>
      <c r="AL330" s="408">
        <v>51.386259716279476</v>
      </c>
      <c r="AM330" s="408"/>
      <c r="AN330" s="408">
        <v>10.517050106842422</v>
      </c>
      <c r="AO330" s="408">
        <v>48.689467060581769</v>
      </c>
      <c r="AP330" s="408">
        <v>152.5481902402469</v>
      </c>
      <c r="AQ330" s="408">
        <v>0</v>
      </c>
      <c r="AR330" s="408">
        <v>0</v>
      </c>
      <c r="AS330" s="408">
        <v>0</v>
      </c>
      <c r="AT330" s="408">
        <v>0</v>
      </c>
      <c r="AU330" s="408">
        <v>0</v>
      </c>
      <c r="AV330" s="408">
        <v>0</v>
      </c>
      <c r="AW330" s="408">
        <v>0</v>
      </c>
      <c r="AX330" s="408">
        <v>0</v>
      </c>
      <c r="AY330" s="408">
        <v>0</v>
      </c>
      <c r="AZ330" s="408">
        <v>0</v>
      </c>
      <c r="BA330" s="408"/>
      <c r="BB330" s="408">
        <v>0</v>
      </c>
      <c r="BC330" s="408">
        <v>0</v>
      </c>
      <c r="BD330" s="408">
        <v>3.2621716671537802</v>
      </c>
      <c r="BE330" s="408">
        <v>0</v>
      </c>
      <c r="BF330" s="408">
        <v>0</v>
      </c>
      <c r="BG330" s="408">
        <v>194.38205779138752</v>
      </c>
      <c r="BH330" s="408">
        <v>0</v>
      </c>
      <c r="BI330" s="408">
        <v>0</v>
      </c>
      <c r="BJ330" s="408">
        <v>0</v>
      </c>
      <c r="BK330" s="408">
        <v>0</v>
      </c>
      <c r="BL330" s="408">
        <v>0</v>
      </c>
      <c r="BM330" s="408"/>
      <c r="BN330" s="408"/>
      <c r="BO330" s="408"/>
      <c r="BP330" s="408"/>
      <c r="BQ330" s="408"/>
      <c r="BR330" s="408">
        <v>338.12975999999992</v>
      </c>
      <c r="BS330" s="408"/>
      <c r="BT330" s="408"/>
      <c r="BU330" s="408"/>
      <c r="BV330" s="408">
        <v>1368.6076569737138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2478.7683999999999</v>
      </c>
      <c r="CJ330" s="408">
        <v>-1325.7696000000005</v>
      </c>
      <c r="CK330" s="408"/>
      <c r="CL330" s="408"/>
      <c r="CM330" s="408"/>
      <c r="CN330" s="408"/>
      <c r="CO330" s="408">
        <v>-1684.3445000000002</v>
      </c>
      <c r="CP330" s="408">
        <v>178.87765999999999</v>
      </c>
      <c r="CQ330" s="408">
        <v>31</v>
      </c>
      <c r="CR330" s="408">
        <v>211.88097665053988</v>
      </c>
      <c r="CS330" s="408">
        <v>5.0223927385909022</v>
      </c>
      <c r="CT330" s="408">
        <v>15.735578333492555</v>
      </c>
      <c r="CU330" s="408">
        <v>0</v>
      </c>
      <c r="CV330" s="408">
        <v>0</v>
      </c>
      <c r="CW330" s="408">
        <v>0</v>
      </c>
      <c r="CX330" s="408">
        <v>0</v>
      </c>
      <c r="CY330" s="408">
        <v>0</v>
      </c>
      <c r="CZ330" s="408">
        <v>0.44054810658473276</v>
      </c>
      <c r="DA330" s="408">
        <v>0</v>
      </c>
      <c r="DB330" s="408">
        <v>0</v>
      </c>
      <c r="DC330" s="408">
        <v>178.90064889519113</v>
      </c>
      <c r="DD330" s="408">
        <v>0</v>
      </c>
      <c r="DE330" s="408">
        <v>0</v>
      </c>
      <c r="DF330" s="408">
        <v>0.49839697325112597</v>
      </c>
      <c r="DG330" s="408">
        <v>29.697832959870141</v>
      </c>
      <c r="DH330" s="408">
        <v>0</v>
      </c>
      <c r="DI330" s="408">
        <v>-15.874804689998939</v>
      </c>
      <c r="DJ330" s="408"/>
      <c r="DK330" s="408">
        <v>0</v>
      </c>
      <c r="DL330" s="408">
        <v>0</v>
      </c>
      <c r="DM330" s="408">
        <v>0</v>
      </c>
      <c r="DN330" s="408">
        <v>0</v>
      </c>
      <c r="DO330" s="408">
        <v>-2.0822025439443266</v>
      </c>
      <c r="DP330" s="408">
        <v>-0.45741412249738289</v>
      </c>
      <c r="DQ330" s="408">
        <v>0</v>
      </c>
      <c r="DR330" s="408">
        <v>0</v>
      </c>
      <c r="DS330" s="408"/>
      <c r="DT330" s="408"/>
      <c r="DU330" s="408"/>
      <c r="DV330" s="408">
        <v>2337.4352722894787</v>
      </c>
      <c r="DW330" s="408">
        <v>0</v>
      </c>
      <c r="DX330" s="408">
        <v>0</v>
      </c>
      <c r="DY330" s="408">
        <v>-1684.3444999999999</v>
      </c>
      <c r="DZ330" s="234">
        <v>178.87766000000011</v>
      </c>
      <c r="EA330" s="408">
        <v>0</v>
      </c>
      <c r="EB330" s="408">
        <v>0</v>
      </c>
      <c r="EC330" s="408">
        <v>-1717.3366421502922</v>
      </c>
      <c r="ED330" s="408">
        <v>0</v>
      </c>
      <c r="EE330" s="408">
        <v>0</v>
      </c>
      <c r="EF330" s="408">
        <v>0</v>
      </c>
      <c r="EG330" s="408">
        <v>0</v>
      </c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>
        <v>0</v>
      </c>
      <c r="EN330" s="408">
        <v>0</v>
      </c>
      <c r="EO330" s="408">
        <v>0</v>
      </c>
      <c r="EP330" s="408">
        <v>0</v>
      </c>
      <c r="EQ330" s="408">
        <v>0</v>
      </c>
      <c r="ER330" s="408">
        <v>0</v>
      </c>
      <c r="ES330" s="408">
        <v>0</v>
      </c>
      <c r="ET330" s="408">
        <v>0</v>
      </c>
      <c r="EU330" s="408">
        <v>0</v>
      </c>
      <c r="EV330" s="408">
        <v>242</v>
      </c>
      <c r="EW330" s="408">
        <v>0</v>
      </c>
      <c r="EX330" s="408">
        <v>0</v>
      </c>
      <c r="EY330" s="408">
        <v>0</v>
      </c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329</v>
      </c>
      <c r="B331" s="408" t="s">
        <v>1036</v>
      </c>
      <c r="C331" s="408" t="s">
        <v>2231</v>
      </c>
      <c r="D331" s="408" t="s">
        <v>2241</v>
      </c>
      <c r="E331" s="408" t="s">
        <v>974</v>
      </c>
      <c r="F331" s="408" t="s">
        <v>2248</v>
      </c>
      <c r="G331" s="408" t="s">
        <v>2250</v>
      </c>
      <c r="H331" s="408" t="s">
        <v>1322</v>
      </c>
      <c r="I331" s="408" t="s">
        <v>1322</v>
      </c>
      <c r="J331" s="408" t="s">
        <v>2232</v>
      </c>
      <c r="K331" s="828">
        <v>44562</v>
      </c>
      <c r="L331" s="408">
        <v>0</v>
      </c>
      <c r="M331" s="408">
        <v>0</v>
      </c>
      <c r="N331" s="408">
        <v>144.81700000000001</v>
      </c>
      <c r="O331" s="408">
        <v>57.9268</v>
      </c>
      <c r="P331" s="408">
        <v>144.81700000000001</v>
      </c>
      <c r="Q331" s="408">
        <v>57.9268</v>
      </c>
      <c r="R331" s="408"/>
      <c r="S331" s="408">
        <v>571.87</v>
      </c>
      <c r="T331" s="408">
        <v>216.76</v>
      </c>
      <c r="U331" s="408"/>
      <c r="V331" s="408">
        <v>114207.03071000001</v>
      </c>
      <c r="W331" s="408">
        <v>114207.03071000001</v>
      </c>
      <c r="X331" s="408">
        <v>74437.386170000012</v>
      </c>
      <c r="Y331" s="408">
        <v>0</v>
      </c>
      <c r="Z331" s="408">
        <v>8777.4477284666391</v>
      </c>
      <c r="AA331" s="408">
        <v>0</v>
      </c>
      <c r="AB331" s="408">
        <v>0</v>
      </c>
      <c r="AC331" s="408">
        <v>0</v>
      </c>
      <c r="AD331" s="408">
        <v>119.02707622166915</v>
      </c>
      <c r="AE331" s="408">
        <v>61747.603762704392</v>
      </c>
      <c r="AF331" s="408">
        <v>30933.128544776497</v>
      </c>
      <c r="AG331" s="408">
        <v>457.24588171882147</v>
      </c>
      <c r="AH331" s="408">
        <v>0</v>
      </c>
      <c r="AI331" s="408">
        <v>0</v>
      </c>
      <c r="AJ331" s="408">
        <v>0</v>
      </c>
      <c r="AK331" s="408">
        <v>0</v>
      </c>
      <c r="AL331" s="408">
        <v>1357.4615055330983</v>
      </c>
      <c r="AM331" s="408"/>
      <c r="AN331" s="408">
        <v>277.82700571371748</v>
      </c>
      <c r="AO331" s="408">
        <v>1286.220822931826</v>
      </c>
      <c r="AP331" s="408">
        <v>4029.8378814341181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86.176197431997267</v>
      </c>
      <c r="BE331" s="408">
        <v>0</v>
      </c>
      <c r="BF331" s="408">
        <v>0</v>
      </c>
      <c r="BG331" s="408">
        <v>5134.955575187043</v>
      </c>
      <c r="BH331" s="408">
        <v>0</v>
      </c>
      <c r="BI331" s="408">
        <v>0</v>
      </c>
      <c r="BJ331" s="408">
        <v>0</v>
      </c>
      <c r="BK331" s="408">
        <v>0</v>
      </c>
      <c r="BL331" s="408">
        <v>0</v>
      </c>
      <c r="BM331" s="408"/>
      <c r="BN331" s="408"/>
      <c r="BO331" s="408"/>
      <c r="BP331" s="408"/>
      <c r="BQ331" s="408"/>
      <c r="BR331" s="408"/>
      <c r="BS331" s="408">
        <v>48235.356726000005</v>
      </c>
      <c r="BT331" s="408"/>
      <c r="BU331" s="408"/>
      <c r="BV331" s="408">
        <v>36154.260317395536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26203.476900000001</v>
      </c>
      <c r="CJ331" s="408">
        <v>-13997.7523</v>
      </c>
      <c r="CK331" s="408"/>
      <c r="CL331" s="408"/>
      <c r="CM331" s="408"/>
      <c r="CN331" s="408"/>
      <c r="CO331" s="408">
        <v>-44495.023250000006</v>
      </c>
      <c r="CP331" s="408">
        <v>4725.37871</v>
      </c>
      <c r="CQ331" s="408">
        <v>31</v>
      </c>
      <c r="CR331" s="408">
        <v>5597.2213417732928</v>
      </c>
      <c r="CS331" s="408">
        <v>132.6756383116599</v>
      </c>
      <c r="CT331" s="408">
        <v>415.68391965001638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11.637879451164054</v>
      </c>
      <c r="DA331" s="408">
        <v>0</v>
      </c>
      <c r="DB331" s="408">
        <v>0</v>
      </c>
      <c r="DC331" s="408">
        <v>4725.986003475904</v>
      </c>
      <c r="DD331" s="408">
        <v>0</v>
      </c>
      <c r="DE331" s="408">
        <v>0</v>
      </c>
      <c r="DF331" s="408">
        <v>13.166062472693952</v>
      </c>
      <c r="DG331" s="408">
        <v>784.52226846944814</v>
      </c>
      <c r="DH331" s="408">
        <v>0</v>
      </c>
      <c r="DI331" s="408">
        <v>-419.36183706522752</v>
      </c>
      <c r="DJ331" s="408"/>
      <c r="DK331" s="408">
        <v>0</v>
      </c>
      <c r="DL331" s="408">
        <v>0</v>
      </c>
      <c r="DM331" s="408">
        <v>0</v>
      </c>
      <c r="DN331" s="408">
        <v>0</v>
      </c>
      <c r="DO331" s="408">
        <v>-55.005167056983737</v>
      </c>
      <c r="DP331" s="408">
        <v>-12.08342593537094</v>
      </c>
      <c r="DQ331" s="408">
        <v>0</v>
      </c>
      <c r="DR331" s="408">
        <v>0</v>
      </c>
      <c r="DS331" s="408"/>
      <c r="DT331" s="408"/>
      <c r="DU331" s="408"/>
      <c r="DV331" s="408">
        <v>61747.603762704392</v>
      </c>
      <c r="DW331" s="408">
        <v>0</v>
      </c>
      <c r="DX331" s="408">
        <v>0</v>
      </c>
      <c r="DY331" s="408">
        <v>-44495.023250000006</v>
      </c>
      <c r="DZ331" s="234">
        <v>4725.3787100000009</v>
      </c>
      <c r="EA331" s="408">
        <v>0</v>
      </c>
      <c r="EB331" s="408">
        <v>0</v>
      </c>
      <c r="EC331" s="408">
        <v>-45366.570687026433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0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242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330</v>
      </c>
      <c r="B332" s="408" t="s">
        <v>2233</v>
      </c>
      <c r="C332" s="408" t="s">
        <v>2231</v>
      </c>
      <c r="D332" s="408" t="s">
        <v>2241</v>
      </c>
      <c r="E332" s="408" t="s">
        <v>974</v>
      </c>
      <c r="F332" s="408" t="s">
        <v>2248</v>
      </c>
      <c r="G332" s="408" t="s">
        <v>2250</v>
      </c>
      <c r="H332" s="408" t="s">
        <v>1322</v>
      </c>
      <c r="I332" s="408" t="s">
        <v>1322</v>
      </c>
      <c r="J332" s="408" t="s">
        <v>2232</v>
      </c>
      <c r="K332" s="828">
        <v>44562</v>
      </c>
      <c r="L332" s="408">
        <v>0</v>
      </c>
      <c r="M332" s="408">
        <v>0</v>
      </c>
      <c r="N332" s="408">
        <v>-9.1720000000000006</v>
      </c>
      <c r="O332" s="408">
        <v>-3.6688000000000001</v>
      </c>
      <c r="P332" s="408">
        <v>-9.1720000000000006</v>
      </c>
      <c r="Q332" s="408">
        <v>-3.6688000000000001</v>
      </c>
      <c r="R332" s="408"/>
      <c r="S332" s="408">
        <v>571.87</v>
      </c>
      <c r="T332" s="408">
        <v>216.76</v>
      </c>
      <c r="U332" s="408"/>
      <c r="V332" s="408">
        <v>-7233.3143600000003</v>
      </c>
      <c r="W332" s="408">
        <v>-7233.3143600000003</v>
      </c>
      <c r="X332" s="408">
        <v>-4714.4997199999998</v>
      </c>
      <c r="Y332" s="408">
        <v>0</v>
      </c>
      <c r="Z332" s="408">
        <v>-555.92057952792845</v>
      </c>
      <c r="AA332" s="408">
        <v>0</v>
      </c>
      <c r="AB332" s="408">
        <v>0</v>
      </c>
      <c r="AC332" s="408">
        <v>0</v>
      </c>
      <c r="AD332" s="408">
        <v>-7.5385924518885874</v>
      </c>
      <c r="AE332" s="408">
        <v>-3910.7910101129332</v>
      </c>
      <c r="AF332" s="408">
        <v>-1959.1529655543895</v>
      </c>
      <c r="AG332" s="408">
        <v>-28.959716242741049</v>
      </c>
      <c r="AH332" s="408">
        <v>0</v>
      </c>
      <c r="AI332" s="408">
        <v>0</v>
      </c>
      <c r="AJ332" s="408">
        <v>0</v>
      </c>
      <c r="AK332" s="408">
        <v>0</v>
      </c>
      <c r="AL332" s="408">
        <v>-85.974967916401923</v>
      </c>
      <c r="AM332" s="408"/>
      <c r="AN332" s="408">
        <v>-17.596202769054852</v>
      </c>
      <c r="AO332" s="408">
        <v>-81.462931754771247</v>
      </c>
      <c r="AP332" s="408">
        <v>-255.23020811447367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-5.4579785718961098</v>
      </c>
      <c r="BE332" s="408">
        <v>0</v>
      </c>
      <c r="BF332" s="408">
        <v>0</v>
      </c>
      <c r="BG332" s="408">
        <v>-325.22295404279578</v>
      </c>
      <c r="BH332" s="408">
        <v>0</v>
      </c>
      <c r="BI332" s="408">
        <v>0</v>
      </c>
      <c r="BJ332" s="408">
        <v>0</v>
      </c>
      <c r="BK332" s="408">
        <v>0</v>
      </c>
      <c r="BL332" s="408">
        <v>0</v>
      </c>
      <c r="BM332" s="408"/>
      <c r="BN332" s="408"/>
      <c r="BO332" s="408"/>
      <c r="BP332" s="408"/>
      <c r="BQ332" s="408"/>
      <c r="BR332" s="408"/>
      <c r="BS332" s="408">
        <v>-3054.9914159999998</v>
      </c>
      <c r="BT332" s="408"/>
      <c r="BU332" s="408"/>
      <c r="BV332" s="408">
        <v>-2289.8338981690813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-1660.0511000000001</v>
      </c>
      <c r="CJ332" s="408">
        <v>886.06609999999955</v>
      </c>
      <c r="CK332" s="408"/>
      <c r="CL332" s="408"/>
      <c r="CM332" s="408"/>
      <c r="CN332" s="408"/>
      <c r="CO332" s="408">
        <v>2818.0970000000002</v>
      </c>
      <c r="CP332" s="408">
        <v>-299.28235999999998</v>
      </c>
      <c r="CQ332" s="408">
        <v>31</v>
      </c>
      <c r="CR332" s="408">
        <v>-354.50060522414378</v>
      </c>
      <c r="CS332" s="408">
        <v>-8.4030255743078754</v>
      </c>
      <c r="CT332" s="408">
        <v>-26.327384982632907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-0.73708632498999815</v>
      </c>
      <c r="DA332" s="408">
        <v>0</v>
      </c>
      <c r="DB332" s="408">
        <v>0</v>
      </c>
      <c r="DC332" s="408">
        <v>-299.320822996478</v>
      </c>
      <c r="DD332" s="408">
        <v>0</v>
      </c>
      <c r="DE332" s="408">
        <v>0</v>
      </c>
      <c r="DF332" s="408">
        <v>-0.83387395816478005</v>
      </c>
      <c r="DG332" s="408">
        <v>-49.687800785831598</v>
      </c>
      <c r="DH332" s="408">
        <v>0</v>
      </c>
      <c r="DI332" s="408">
        <v>26.560326270826295</v>
      </c>
      <c r="DJ332" s="408"/>
      <c r="DK332" s="408">
        <v>0</v>
      </c>
      <c r="DL332" s="408">
        <v>0</v>
      </c>
      <c r="DM332" s="408">
        <v>0</v>
      </c>
      <c r="DN332" s="408">
        <v>0</v>
      </c>
      <c r="DO332" s="408">
        <v>3.4837580687809719</v>
      </c>
      <c r="DP332" s="408">
        <v>0.76530505865487086</v>
      </c>
      <c r="DQ332" s="408">
        <v>0</v>
      </c>
      <c r="DR332" s="408">
        <v>0</v>
      </c>
      <c r="DS332" s="408"/>
      <c r="DT332" s="408"/>
      <c r="DU332" s="408"/>
      <c r="DV332" s="408">
        <v>-3910.7910101129332</v>
      </c>
      <c r="DW332" s="408">
        <v>0</v>
      </c>
      <c r="DX332" s="408">
        <v>0</v>
      </c>
      <c r="DY332" s="408">
        <v>2818.0969999999998</v>
      </c>
      <c r="DZ332" s="234">
        <v>-299.28235999999993</v>
      </c>
      <c r="EA332" s="408">
        <v>0</v>
      </c>
      <c r="EB332" s="408">
        <v>0</v>
      </c>
      <c r="EC332" s="408">
        <v>2873.2965490336519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0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242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331</v>
      </c>
      <c r="B333" s="408" t="s">
        <v>2234</v>
      </c>
      <c r="C333" s="408" t="s">
        <v>2231</v>
      </c>
      <c r="D333" s="408" t="s">
        <v>2241</v>
      </c>
      <c r="E333" s="408" t="s">
        <v>974</v>
      </c>
      <c r="F333" s="408" t="s">
        <v>2248</v>
      </c>
      <c r="G333" s="408" t="s">
        <v>2250</v>
      </c>
      <c r="H333" s="408" t="s">
        <v>1322</v>
      </c>
      <c r="I333" s="408" t="s">
        <v>1322</v>
      </c>
      <c r="J333" s="408" t="s">
        <v>2232</v>
      </c>
      <c r="K333" s="828">
        <v>44562</v>
      </c>
      <c r="L333" s="408">
        <v>0</v>
      </c>
      <c r="M333" s="408">
        <v>0</v>
      </c>
      <c r="N333" s="408">
        <v>2.9420000000000002</v>
      </c>
      <c r="O333" s="408">
        <v>1.1768000000000001</v>
      </c>
      <c r="P333" s="408">
        <v>2.9420000000000002</v>
      </c>
      <c r="Q333" s="408">
        <v>1.1768000000000001</v>
      </c>
      <c r="R333" s="408"/>
      <c r="S333" s="408">
        <v>571.87</v>
      </c>
      <c r="T333" s="408">
        <v>216.76</v>
      </c>
      <c r="U333" s="408"/>
      <c r="V333" s="408">
        <v>2320.1494600000001</v>
      </c>
      <c r="W333" s="408">
        <v>2320.1494600000001</v>
      </c>
      <c r="X333" s="408">
        <v>1512.2174199999999</v>
      </c>
      <c r="Y333" s="408">
        <v>0</v>
      </c>
      <c r="Z333" s="408">
        <v>178.31643534356363</v>
      </c>
      <c r="AA333" s="408">
        <v>0</v>
      </c>
      <c r="AB333" s="408">
        <v>0</v>
      </c>
      <c r="AC333" s="408">
        <v>0</v>
      </c>
      <c r="AD333" s="408">
        <v>2.4180701039529242</v>
      </c>
      <c r="AE333" s="408">
        <v>1254.4207535708952</v>
      </c>
      <c r="AF333" s="408">
        <v>628.41561542313718</v>
      </c>
      <c r="AG333" s="408">
        <v>9.2890847346428433</v>
      </c>
      <c r="AH333" s="408">
        <v>0</v>
      </c>
      <c r="AI333" s="408">
        <v>0</v>
      </c>
      <c r="AJ333" s="408">
        <v>0</v>
      </c>
      <c r="AK333" s="408">
        <v>0</v>
      </c>
      <c r="AL333" s="408">
        <v>27.577230223512263</v>
      </c>
      <c r="AM333" s="408"/>
      <c r="AN333" s="408">
        <v>5.6441374342083925</v>
      </c>
      <c r="AO333" s="408">
        <v>26.129954777860554</v>
      </c>
      <c r="AP333" s="408">
        <v>81.867343248231734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1.7506948275750496</v>
      </c>
      <c r="BE333" s="408">
        <v>0</v>
      </c>
      <c r="BF333" s="408">
        <v>0</v>
      </c>
      <c r="BG333" s="408">
        <v>104.31813462646153</v>
      </c>
      <c r="BH333" s="408">
        <v>0</v>
      </c>
      <c r="BI333" s="408">
        <v>0</v>
      </c>
      <c r="BJ333" s="408">
        <v>0</v>
      </c>
      <c r="BK333" s="408">
        <v>0</v>
      </c>
      <c r="BL333" s="408">
        <v>0</v>
      </c>
      <c r="BM333" s="408"/>
      <c r="BN333" s="408"/>
      <c r="BO333" s="408"/>
      <c r="BP333" s="408"/>
      <c r="BQ333" s="408"/>
      <c r="BR333" s="408"/>
      <c r="BS333" s="408">
        <v>979.91547600000001</v>
      </c>
      <c r="BT333" s="408"/>
      <c r="BU333" s="408"/>
      <c r="BV333" s="408">
        <v>734.48444487717381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533.74940000000004</v>
      </c>
      <c r="CJ333" s="408">
        <v>-282.97979999999995</v>
      </c>
      <c r="CK333" s="408"/>
      <c r="CL333" s="408"/>
      <c r="CM333" s="408"/>
      <c r="CN333" s="408"/>
      <c r="CO333" s="408">
        <v>-903.92950000000008</v>
      </c>
      <c r="CP333" s="408">
        <v>95.99745999999999</v>
      </c>
      <c r="CQ333" s="408">
        <v>31</v>
      </c>
      <c r="CR333" s="408">
        <v>113.70919980041731</v>
      </c>
      <c r="CS333" s="408">
        <v>2.6953446619727188</v>
      </c>
      <c r="CT333" s="408">
        <v>8.4447412362522982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0.23642694811606813</v>
      </c>
      <c r="DA333" s="408">
        <v>0</v>
      </c>
      <c r="DB333" s="408">
        <v>0</v>
      </c>
      <c r="DC333" s="408">
        <v>96.009797345795732</v>
      </c>
      <c r="DD333" s="408">
        <v>0</v>
      </c>
      <c r="DE333" s="408">
        <v>0</v>
      </c>
      <c r="DF333" s="408">
        <v>0.26747243621029027</v>
      </c>
      <c r="DG333" s="408">
        <v>15.937800906227281</v>
      </c>
      <c r="DH333" s="408">
        <v>0</v>
      </c>
      <c r="DI333" s="408">
        <v>-8.5194592115973933</v>
      </c>
      <c r="DJ333" s="408"/>
      <c r="DK333" s="408">
        <v>0</v>
      </c>
      <c r="DL333" s="408">
        <v>0</v>
      </c>
      <c r="DM333" s="408">
        <v>0</v>
      </c>
      <c r="DN333" s="408">
        <v>0</v>
      </c>
      <c r="DO333" s="408">
        <v>-1.117446166414485</v>
      </c>
      <c r="DP333" s="408">
        <v>-0.24547835614507463</v>
      </c>
      <c r="DQ333" s="408">
        <v>0</v>
      </c>
      <c r="DR333" s="408">
        <v>0</v>
      </c>
      <c r="DS333" s="408"/>
      <c r="DT333" s="408"/>
      <c r="DU333" s="408"/>
      <c r="DV333" s="408">
        <v>1254.4207535708952</v>
      </c>
      <c r="DW333" s="408">
        <v>0</v>
      </c>
      <c r="DX333" s="408">
        <v>0</v>
      </c>
      <c r="DY333" s="408">
        <v>-903.92949999999996</v>
      </c>
      <c r="DZ333" s="234">
        <v>95.997459999999933</v>
      </c>
      <c r="EA333" s="408">
        <v>0</v>
      </c>
      <c r="EB333" s="408">
        <v>0</v>
      </c>
      <c r="EC333" s="408">
        <v>-921.63524283220727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0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242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332</v>
      </c>
      <c r="B334" s="408" t="s">
        <v>1036</v>
      </c>
      <c r="C334" s="408" t="s">
        <v>2239</v>
      </c>
      <c r="D334" s="408" t="s">
        <v>597</v>
      </c>
      <c r="E334" s="408" t="s">
        <v>974</v>
      </c>
      <c r="F334" s="408" t="s">
        <v>2248</v>
      </c>
      <c r="G334" s="408" t="s">
        <v>1322</v>
      </c>
      <c r="H334" s="408" t="s">
        <v>1322</v>
      </c>
      <c r="I334" s="408" t="s">
        <v>973</v>
      </c>
      <c r="J334" s="408" t="s">
        <v>2232</v>
      </c>
      <c r="K334" s="828">
        <v>44562</v>
      </c>
      <c r="L334" s="408">
        <v>0</v>
      </c>
      <c r="M334" s="408">
        <v>0</v>
      </c>
      <c r="N334" s="408">
        <v>2.363</v>
      </c>
      <c r="O334" s="408">
        <v>2.2684799999999998</v>
      </c>
      <c r="P334" s="408">
        <v>2.363</v>
      </c>
      <c r="Q334" s="408">
        <v>2.2684799999999998</v>
      </c>
      <c r="R334" s="408"/>
      <c r="S334" s="408">
        <v>2592.54</v>
      </c>
      <c r="T334" s="408">
        <v>216.76</v>
      </c>
      <c r="U334" s="408"/>
      <c r="V334" s="408">
        <v>6638.3759</v>
      </c>
      <c r="W334" s="408">
        <v>6638.3759</v>
      </c>
      <c r="X334" s="408">
        <v>2791.1755999999996</v>
      </c>
      <c r="Y334" s="408">
        <v>0</v>
      </c>
      <c r="Z334" s="408">
        <v>124.60391262530646</v>
      </c>
      <c r="AA334" s="408">
        <v>0</v>
      </c>
      <c r="AB334" s="408">
        <v>0</v>
      </c>
      <c r="AC334" s="408">
        <v>0</v>
      </c>
      <c r="AD334" s="408">
        <v>11.948828994298637</v>
      </c>
      <c r="AE334" s="408">
        <v>5413.3766249298797</v>
      </c>
      <c r="AF334" s="408">
        <v>504.74034644625186</v>
      </c>
      <c r="AG334" s="408">
        <v>7.4609473922369265</v>
      </c>
      <c r="AH334" s="408">
        <v>0</v>
      </c>
      <c r="AI334" s="408">
        <v>0</v>
      </c>
      <c r="AJ334" s="408">
        <v>0</v>
      </c>
      <c r="AK334" s="408">
        <v>0</v>
      </c>
      <c r="AL334" s="408">
        <v>22.149896335200363</v>
      </c>
      <c r="AM334" s="408"/>
      <c r="AN334" s="408">
        <v>3.2449240503329264</v>
      </c>
      <c r="AO334" s="408">
        <v>106.60644145098743</v>
      </c>
      <c r="AP334" s="408">
        <v>404.54736923567685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1.0805968244490611</v>
      </c>
      <c r="BE334" s="408">
        <v>0</v>
      </c>
      <c r="BF334" s="408">
        <v>0</v>
      </c>
      <c r="BG334" s="408">
        <v>38.602338582330965</v>
      </c>
      <c r="BH334" s="408">
        <v>0</v>
      </c>
      <c r="BI334" s="408">
        <v>0</v>
      </c>
      <c r="BJ334" s="408">
        <v>0</v>
      </c>
      <c r="BK334" s="408">
        <v>0</v>
      </c>
      <c r="BL334" s="408">
        <v>0</v>
      </c>
      <c r="BM334" s="408"/>
      <c r="BN334" s="408"/>
      <c r="BO334" s="408"/>
      <c r="BP334" s="408"/>
      <c r="BQ334" s="408"/>
      <c r="BR334" s="408">
        <v>111.64702400000019</v>
      </c>
      <c r="BS334" s="408"/>
      <c r="BT334" s="408"/>
      <c r="BU334" s="408"/>
      <c r="BV334" s="408">
        <v>544.42328185303188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2681.3239999999996</v>
      </c>
      <c r="CJ334" s="408">
        <v>-3691.5468640000008</v>
      </c>
      <c r="CK334" s="408"/>
      <c r="CL334" s="408"/>
      <c r="CM334" s="408"/>
      <c r="CN334" s="408"/>
      <c r="CO334" s="408">
        <v>-3924.3049900000001</v>
      </c>
      <c r="CP334" s="408">
        <v>77.104689999999991</v>
      </c>
      <c r="CQ334" s="408">
        <v>31</v>
      </c>
      <c r="CR334" s="408">
        <v>130.08009625144223</v>
      </c>
      <c r="CS334" s="408">
        <v>10.996616922593489</v>
      </c>
      <c r="CT334" s="408">
        <v>41.72967773783904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1.1682974650175098</v>
      </c>
      <c r="DA334" s="408">
        <v>0</v>
      </c>
      <c r="DB334" s="408">
        <v>0</v>
      </c>
      <c r="DC334" s="408">
        <v>77.114599295756364</v>
      </c>
      <c r="DD334" s="408">
        <v>0</v>
      </c>
      <c r="DE334" s="408">
        <v>0</v>
      </c>
      <c r="DF334" s="408">
        <v>0.16509437318486908</v>
      </c>
      <c r="DG334" s="408">
        <v>5.8976935222527089</v>
      </c>
      <c r="DH334" s="408">
        <v>0</v>
      </c>
      <c r="DI334" s="408">
        <v>-5.9532255070678701</v>
      </c>
      <c r="DJ334" s="408"/>
      <c r="DK334" s="408">
        <v>0</v>
      </c>
      <c r="DL334" s="408">
        <v>0</v>
      </c>
      <c r="DM334" s="408">
        <v>0</v>
      </c>
      <c r="DN334" s="408">
        <v>0</v>
      </c>
      <c r="DO334" s="408">
        <v>-0.89752729137913789</v>
      </c>
      <c r="DP334" s="408">
        <v>-0.1411302667549359</v>
      </c>
      <c r="DQ334" s="408">
        <v>0</v>
      </c>
      <c r="DR334" s="408">
        <v>0</v>
      </c>
      <c r="DS334" s="408"/>
      <c r="DT334" s="408"/>
      <c r="DU334" s="408"/>
      <c r="DV334" s="408">
        <v>5413.3766249298797</v>
      </c>
      <c r="DW334" s="408">
        <v>0</v>
      </c>
      <c r="DX334" s="408">
        <v>0</v>
      </c>
      <c r="DY334" s="408">
        <v>-3924.3049900000001</v>
      </c>
      <c r="DZ334" s="234">
        <v>77.104689999999891</v>
      </c>
      <c r="EA334" s="408">
        <v>0</v>
      </c>
      <c r="EB334" s="408">
        <v>0</v>
      </c>
      <c r="EC334" s="408">
        <v>-3977.2609517636438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242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333</v>
      </c>
      <c r="B335" s="408" t="s">
        <v>1036</v>
      </c>
      <c r="C335" s="408" t="s">
        <v>2239</v>
      </c>
      <c r="D335" s="408" t="s">
        <v>597</v>
      </c>
      <c r="E335" s="408" t="s">
        <v>974</v>
      </c>
      <c r="F335" s="408" t="s">
        <v>2248</v>
      </c>
      <c r="G335" s="408" t="s">
        <v>1322</v>
      </c>
      <c r="H335" s="408" t="s">
        <v>1322</v>
      </c>
      <c r="I335" s="408" t="s">
        <v>2240</v>
      </c>
      <c r="J335" s="408" t="s">
        <v>2232</v>
      </c>
      <c r="K335" s="828">
        <v>44562</v>
      </c>
      <c r="L335" s="408">
        <v>0</v>
      </c>
      <c r="M335" s="408">
        <v>0</v>
      </c>
      <c r="N335" s="408">
        <v>189.11099999999999</v>
      </c>
      <c r="O335" s="408">
        <v>181.54656</v>
      </c>
      <c r="P335" s="408">
        <v>189.11099999999999</v>
      </c>
      <c r="Q335" s="408">
        <v>181.54656</v>
      </c>
      <c r="R335" s="408"/>
      <c r="S335" s="408">
        <v>80.27</v>
      </c>
      <c r="T335" s="408">
        <v>216.76</v>
      </c>
      <c r="U335" s="408"/>
      <c r="V335" s="408">
        <v>56171.640329999995</v>
      </c>
      <c r="W335" s="408">
        <v>56171.640329999995</v>
      </c>
      <c r="X335" s="408">
        <v>62268.578969999995</v>
      </c>
      <c r="Y335" s="408">
        <v>0</v>
      </c>
      <c r="Z335" s="408">
        <v>9972.0569278393268</v>
      </c>
      <c r="AA335" s="408">
        <v>0</v>
      </c>
      <c r="AB335" s="408">
        <v>0</v>
      </c>
      <c r="AC335" s="408">
        <v>0</v>
      </c>
      <c r="AD335" s="408">
        <v>0</v>
      </c>
      <c r="AE335" s="408">
        <v>0</v>
      </c>
      <c r="AF335" s="408">
        <v>40394.393422258625</v>
      </c>
      <c r="AG335" s="408">
        <v>597.09996711524218</v>
      </c>
      <c r="AH335" s="408">
        <v>0</v>
      </c>
      <c r="AI335" s="408">
        <v>0</v>
      </c>
      <c r="AJ335" s="408">
        <v>0</v>
      </c>
      <c r="AK335" s="408">
        <v>0</v>
      </c>
      <c r="AL335" s="408">
        <v>1772.6572348057875</v>
      </c>
      <c r="AM335" s="408"/>
      <c r="AN335" s="408">
        <v>259.69142280258569</v>
      </c>
      <c r="AO335" s="408">
        <v>0</v>
      </c>
      <c r="AP335" s="408">
        <v>0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86.480214163515186</v>
      </c>
      <c r="BE335" s="408">
        <v>0</v>
      </c>
      <c r="BF335" s="408">
        <v>0</v>
      </c>
      <c r="BG335" s="408">
        <v>3089.3469537211977</v>
      </c>
      <c r="BH335" s="408">
        <v>0</v>
      </c>
      <c r="BI335" s="408">
        <v>0</v>
      </c>
      <c r="BJ335" s="408">
        <v>0</v>
      </c>
      <c r="BK335" s="408">
        <v>0</v>
      </c>
      <c r="BL335" s="408">
        <v>0</v>
      </c>
      <c r="BM335" s="408"/>
      <c r="BN335" s="408"/>
      <c r="BO335" s="408"/>
      <c r="BP335" s="408"/>
      <c r="BQ335" s="408"/>
      <c r="BR335" s="408">
        <v>2490.7431587999968</v>
      </c>
      <c r="BS335" s="408"/>
      <c r="BT335" s="408"/>
      <c r="BU335" s="408"/>
      <c r="BV335" s="408">
        <v>43570.220590143341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59778.968500000003</v>
      </c>
      <c r="CJ335" s="408">
        <v>5854.1637832000051</v>
      </c>
      <c r="CK335" s="408"/>
      <c r="CL335" s="408"/>
      <c r="CM335" s="408"/>
      <c r="CN335" s="408"/>
      <c r="CO335" s="408">
        <v>-73.753290000000106</v>
      </c>
      <c r="CP335" s="408">
        <v>6170.691929999999</v>
      </c>
      <c r="CQ335" s="408">
        <v>31</v>
      </c>
      <c r="CR335" s="408">
        <v>6097.1294417141107</v>
      </c>
      <c r="CS335" s="408">
        <v>0</v>
      </c>
      <c r="CT335" s="408">
        <v>0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0</v>
      </c>
      <c r="DA335" s="408">
        <v>0</v>
      </c>
      <c r="DB335" s="408">
        <v>0</v>
      </c>
      <c r="DC335" s="408">
        <v>6171.4849714006705</v>
      </c>
      <c r="DD335" s="408">
        <v>0</v>
      </c>
      <c r="DE335" s="408">
        <v>0</v>
      </c>
      <c r="DF335" s="408">
        <v>13.212510371292339</v>
      </c>
      <c r="DG335" s="408">
        <v>471.99268712938328</v>
      </c>
      <c r="DH335" s="408">
        <v>0</v>
      </c>
      <c r="DI335" s="408">
        <v>-476.43691445920922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-71.829150909860573</v>
      </c>
      <c r="DP335" s="408">
        <v>-11.294661818151781</v>
      </c>
      <c r="DQ335" s="408">
        <v>0</v>
      </c>
      <c r="DR335" s="408">
        <v>0</v>
      </c>
      <c r="DS335" s="408"/>
      <c r="DT335" s="408"/>
      <c r="DU335" s="408"/>
      <c r="DV335" s="408">
        <v>0</v>
      </c>
      <c r="DW335" s="408">
        <v>0</v>
      </c>
      <c r="DX335" s="408">
        <v>0</v>
      </c>
      <c r="DY335" s="408">
        <v>-73.753289999998742</v>
      </c>
      <c r="DZ335" s="234">
        <v>6170.6919300000009</v>
      </c>
      <c r="EA335" s="408">
        <v>0</v>
      </c>
      <c r="EB335" s="408">
        <v>0</v>
      </c>
      <c r="EC335" s="408">
        <v>0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242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334</v>
      </c>
      <c r="B336" s="408" t="s">
        <v>1036</v>
      </c>
      <c r="C336" s="408" t="s">
        <v>2239</v>
      </c>
      <c r="D336" s="408" t="s">
        <v>597</v>
      </c>
      <c r="E336" s="408" t="s">
        <v>974</v>
      </c>
      <c r="F336" s="408" t="s">
        <v>2248</v>
      </c>
      <c r="G336" s="408" t="s">
        <v>1322</v>
      </c>
      <c r="H336" s="408" t="s">
        <v>1322</v>
      </c>
      <c r="I336" s="408" t="s">
        <v>1322</v>
      </c>
      <c r="J336" s="408" t="s">
        <v>2232</v>
      </c>
      <c r="K336" s="828">
        <v>44562</v>
      </c>
      <c r="L336" s="408">
        <v>2767</v>
      </c>
      <c r="M336" s="408">
        <v>2656.32</v>
      </c>
      <c r="N336" s="408">
        <v>0</v>
      </c>
      <c r="O336" s="408">
        <v>0</v>
      </c>
      <c r="P336" s="408">
        <v>0</v>
      </c>
      <c r="Q336" s="408">
        <v>0</v>
      </c>
      <c r="R336" s="408">
        <v>32.17</v>
      </c>
      <c r="S336" s="408"/>
      <c r="T336" s="408"/>
      <c r="U336" s="408">
        <v>89014.39</v>
      </c>
      <c r="V336" s="408"/>
      <c r="W336" s="408">
        <v>89014.39</v>
      </c>
      <c r="X336" s="408">
        <v>35777.31</v>
      </c>
      <c r="Y336" s="408">
        <v>0</v>
      </c>
      <c r="Z336" s="408">
        <v>0</v>
      </c>
      <c r="AA336" s="408">
        <v>0</v>
      </c>
      <c r="AB336" s="408">
        <v>0</v>
      </c>
      <c r="AC336" s="408">
        <v>0</v>
      </c>
      <c r="AD336" s="408">
        <v>276.46819493823904</v>
      </c>
      <c r="AE336" s="408">
        <v>74506.276930640131</v>
      </c>
      <c r="AF336" s="408"/>
      <c r="AG336" s="408"/>
      <c r="AH336" s="408"/>
      <c r="AI336" s="408">
        <v>0</v>
      </c>
      <c r="AJ336" s="408">
        <v>0</v>
      </c>
      <c r="AK336" s="408">
        <v>0</v>
      </c>
      <c r="AL336" s="408">
        <v>0</v>
      </c>
      <c r="AM336" s="408"/>
      <c r="AN336" s="408">
        <v>0</v>
      </c>
      <c r="AO336" s="408">
        <v>4882.1532014467912</v>
      </c>
      <c r="AP336" s="408">
        <v>9360.3879127881974</v>
      </c>
      <c r="AQ336" s="408">
        <v>0</v>
      </c>
      <c r="AR336" s="408">
        <v>0</v>
      </c>
      <c r="AS336" s="408"/>
      <c r="AT336" s="408"/>
      <c r="AU336" s="408">
        <v>0</v>
      </c>
      <c r="AV336" s="408">
        <v>0</v>
      </c>
      <c r="AW336" s="408">
        <v>0</v>
      </c>
      <c r="AX336" s="408"/>
      <c r="AY336" s="408"/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/>
      <c r="BG336" s="408">
        <v>0</v>
      </c>
      <c r="BH336" s="408">
        <v>0</v>
      </c>
      <c r="BI336" s="408">
        <v>592.28</v>
      </c>
      <c r="BJ336" s="408">
        <v>2719.82</v>
      </c>
      <c r="BK336" s="408">
        <v>82.2</v>
      </c>
      <c r="BL336" s="408">
        <v>13</v>
      </c>
      <c r="BM336" s="408"/>
      <c r="BN336" s="408"/>
      <c r="BO336" s="408"/>
      <c r="BP336" s="408"/>
      <c r="BQ336" s="408"/>
      <c r="BR336" s="408">
        <v>1431.092399999998</v>
      </c>
      <c r="BS336" s="408"/>
      <c r="BT336" s="408"/>
      <c r="BU336" s="408"/>
      <c r="BV336" s="408">
        <v>0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34346.217600000004</v>
      </c>
      <c r="CJ336" s="408">
        <v>-51107.626799999984</v>
      </c>
      <c r="CK336" s="408"/>
      <c r="CL336" s="408"/>
      <c r="CM336" s="408"/>
      <c r="CN336" s="408"/>
      <c r="CO336" s="408">
        <v>-53237.080000000009</v>
      </c>
      <c r="CP336" s="408">
        <v>0</v>
      </c>
      <c r="CQ336" s="408">
        <v>31</v>
      </c>
      <c r="CR336" s="408">
        <v>1496.1715182554544</v>
      </c>
      <c r="CS336" s="408">
        <v>503.60154398745453</v>
      </c>
      <c r="CT336" s="408">
        <v>965.53828007784432</v>
      </c>
      <c r="CU336" s="408">
        <v>0</v>
      </c>
      <c r="CV336" s="408">
        <v>0</v>
      </c>
      <c r="CW336" s="408"/>
      <c r="CX336" s="408"/>
      <c r="CY336" s="408"/>
      <c r="CZ336" s="408">
        <v>27.031694190153644</v>
      </c>
      <c r="DA336" s="408">
        <v>0</v>
      </c>
      <c r="DB336" s="408">
        <v>0</v>
      </c>
      <c r="DC336" s="408"/>
      <c r="DD336" s="408"/>
      <c r="DE336" s="408">
        <v>0</v>
      </c>
      <c r="DF336" s="408">
        <v>0</v>
      </c>
      <c r="DG336" s="408">
        <v>0</v>
      </c>
      <c r="DH336" s="408">
        <v>0</v>
      </c>
      <c r="DI336" s="408">
        <v>0</v>
      </c>
      <c r="DJ336" s="408"/>
      <c r="DK336" s="408">
        <v>0</v>
      </c>
      <c r="DL336" s="408">
        <v>0</v>
      </c>
      <c r="DM336" s="408"/>
      <c r="DN336" s="408">
        <v>0</v>
      </c>
      <c r="DO336" s="408">
        <v>0</v>
      </c>
      <c r="DP336" s="408">
        <v>0</v>
      </c>
      <c r="DQ336" s="408">
        <v>0</v>
      </c>
      <c r="DR336" s="408">
        <v>0</v>
      </c>
      <c r="DS336" s="408"/>
      <c r="DT336" s="408"/>
      <c r="DU336" s="408">
        <v>74506.276930640131</v>
      </c>
      <c r="DV336" s="408"/>
      <c r="DW336" s="408">
        <v>0</v>
      </c>
      <c r="DX336" s="408">
        <v>0</v>
      </c>
      <c r="DY336" s="408">
        <v>-53237.08</v>
      </c>
      <c r="DZ336" s="234"/>
      <c r="EA336" s="408">
        <v>0</v>
      </c>
      <c r="EB336" s="408"/>
      <c r="EC336" s="408">
        <v>-54740.493120846077</v>
      </c>
      <c r="ED336" s="408"/>
      <c r="EE336" s="408">
        <v>0</v>
      </c>
      <c r="EF336" s="408">
        <v>0</v>
      </c>
      <c r="EG336" s="408"/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/>
      <c r="EN336" s="408"/>
      <c r="EO336" s="408">
        <v>0</v>
      </c>
      <c r="EP336" s="408">
        <v>0</v>
      </c>
      <c r="EQ336" s="408"/>
      <c r="ER336" s="408">
        <v>0</v>
      </c>
      <c r="ES336" s="408"/>
      <c r="ET336" s="408">
        <v>0</v>
      </c>
      <c r="EU336" s="408"/>
      <c r="EV336" s="408">
        <v>242</v>
      </c>
      <c r="EW336" s="408"/>
      <c r="EX336" s="408"/>
      <c r="EY336" s="408"/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335</v>
      </c>
      <c r="B337" s="408" t="s">
        <v>1036</v>
      </c>
      <c r="C337" s="408" t="s">
        <v>2239</v>
      </c>
      <c r="D337" s="408" t="s">
        <v>597</v>
      </c>
      <c r="E337" s="408" t="s">
        <v>974</v>
      </c>
      <c r="F337" s="408" t="s">
        <v>2248</v>
      </c>
      <c r="G337" s="408" t="s">
        <v>2250</v>
      </c>
      <c r="H337" s="408" t="s">
        <v>1322</v>
      </c>
      <c r="I337" s="408" t="s">
        <v>2240</v>
      </c>
      <c r="J337" s="408" t="s">
        <v>2232</v>
      </c>
      <c r="K337" s="828">
        <v>44562</v>
      </c>
      <c r="L337" s="408">
        <v>0</v>
      </c>
      <c r="M337" s="408">
        <v>0</v>
      </c>
      <c r="N337" s="408">
        <v>250.30099999999999</v>
      </c>
      <c r="O337" s="408">
        <v>75.090299999999999</v>
      </c>
      <c r="P337" s="408">
        <v>250.30099999999999</v>
      </c>
      <c r="Q337" s="408">
        <v>75.090299999999999</v>
      </c>
      <c r="R337" s="408"/>
      <c r="S337" s="408">
        <v>80.27</v>
      </c>
      <c r="T337" s="408">
        <v>216.76</v>
      </c>
      <c r="U337" s="408"/>
      <c r="V337" s="408">
        <v>74346.906029999984</v>
      </c>
      <c r="W337" s="408">
        <v>74346.906029999984</v>
      </c>
      <c r="X337" s="408">
        <v>82416.61026999999</v>
      </c>
      <c r="Y337" s="408">
        <v>0</v>
      </c>
      <c r="Z337" s="408">
        <v>13198.681309363872</v>
      </c>
      <c r="AA337" s="408">
        <v>0</v>
      </c>
      <c r="AB337" s="408">
        <v>0</v>
      </c>
      <c r="AC337" s="408">
        <v>0</v>
      </c>
      <c r="AD337" s="408">
        <v>0</v>
      </c>
      <c r="AE337" s="408">
        <v>0</v>
      </c>
      <c r="AF337" s="408">
        <v>53464.669257656911</v>
      </c>
      <c r="AG337" s="408">
        <v>790.30156293876212</v>
      </c>
      <c r="AH337" s="408">
        <v>0</v>
      </c>
      <c r="AI337" s="408">
        <v>0</v>
      </c>
      <c r="AJ337" s="408">
        <v>0</v>
      </c>
      <c r="AK337" s="408">
        <v>0</v>
      </c>
      <c r="AL337" s="408">
        <v>2346.2298783736719</v>
      </c>
      <c r="AM337" s="408"/>
      <c r="AN337" s="408">
        <v>343.71888900650941</v>
      </c>
      <c r="AO337" s="408">
        <v>0</v>
      </c>
      <c r="AP337" s="408">
        <v>0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114.46232152197395</v>
      </c>
      <c r="BE337" s="408">
        <v>0</v>
      </c>
      <c r="BF337" s="408">
        <v>0</v>
      </c>
      <c r="BG337" s="408">
        <v>4088.9563899686932</v>
      </c>
      <c r="BH337" s="408">
        <v>0</v>
      </c>
      <c r="BI337" s="408">
        <v>0</v>
      </c>
      <c r="BJ337" s="408">
        <v>0</v>
      </c>
      <c r="BK337" s="408">
        <v>0</v>
      </c>
      <c r="BL337" s="408">
        <v>0</v>
      </c>
      <c r="BM337" s="408"/>
      <c r="BN337" s="408"/>
      <c r="BO337" s="408"/>
      <c r="BP337" s="408"/>
      <c r="BQ337" s="408"/>
      <c r="BR337" s="408"/>
      <c r="BS337" s="408">
        <v>57691.627188999984</v>
      </c>
      <c r="BT337" s="408"/>
      <c r="BU337" s="408"/>
      <c r="BV337" s="408">
        <v>57668.087969147578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24724.884300000002</v>
      </c>
      <c r="CJ337" s="408">
        <v>2420.7824910000054</v>
      </c>
      <c r="CK337" s="408"/>
      <c r="CL337" s="408"/>
      <c r="CM337" s="408"/>
      <c r="CN337" s="408"/>
      <c r="CO337" s="408">
        <v>-97.617390000000142</v>
      </c>
      <c r="CP337" s="408">
        <v>8167.3216299999985</v>
      </c>
      <c r="CQ337" s="408">
        <v>31</v>
      </c>
      <c r="CR337" s="408">
        <v>8069.9567787727137</v>
      </c>
      <c r="CS337" s="408">
        <v>0</v>
      </c>
      <c r="CT337" s="408">
        <v>0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0</v>
      </c>
      <c r="DA337" s="408">
        <v>0</v>
      </c>
      <c r="DB337" s="408">
        <v>0</v>
      </c>
      <c r="DC337" s="408">
        <v>8168.3712730965417</v>
      </c>
      <c r="DD337" s="408">
        <v>0</v>
      </c>
      <c r="DE337" s="408">
        <v>0</v>
      </c>
      <c r="DF337" s="408">
        <v>17.48763719955393</v>
      </c>
      <c r="DG337" s="408">
        <v>624.71374791086555</v>
      </c>
      <c r="DH337" s="408">
        <v>0</v>
      </c>
      <c r="DI337" s="408">
        <v>-630.5959786900512</v>
      </c>
      <c r="DJ337" s="408"/>
      <c r="DK337" s="408">
        <v>0</v>
      </c>
      <c r="DL337" s="408">
        <v>0</v>
      </c>
      <c r="DM337" s="408">
        <v>0</v>
      </c>
      <c r="DN337" s="408">
        <v>0</v>
      </c>
      <c r="DO337" s="408">
        <v>-95.070663800038346</v>
      </c>
      <c r="DP337" s="408">
        <v>-14.9492369441503</v>
      </c>
      <c r="DQ337" s="408">
        <v>0</v>
      </c>
      <c r="DR337" s="408">
        <v>0</v>
      </c>
      <c r="DS337" s="408"/>
      <c r="DT337" s="408"/>
      <c r="DU337" s="408"/>
      <c r="DV337" s="408">
        <v>0</v>
      </c>
      <c r="DW337" s="408">
        <v>0</v>
      </c>
      <c r="DX337" s="408">
        <v>0</v>
      </c>
      <c r="DY337" s="408">
        <v>-97.617389999999432</v>
      </c>
      <c r="DZ337" s="234">
        <v>8167.3216299999985</v>
      </c>
      <c r="EA337" s="408">
        <v>0</v>
      </c>
      <c r="EB337" s="408">
        <v>0</v>
      </c>
      <c r="EC337" s="408">
        <v>0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242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336</v>
      </c>
      <c r="B338" s="408" t="s">
        <v>1036</v>
      </c>
      <c r="C338" s="408" t="s">
        <v>2231</v>
      </c>
      <c r="D338" s="408" t="s">
        <v>2241</v>
      </c>
      <c r="E338" s="408" t="s">
        <v>974</v>
      </c>
      <c r="F338" s="408" t="s">
        <v>2251</v>
      </c>
      <c r="G338" s="408" t="s">
        <v>2249</v>
      </c>
      <c r="H338" s="408" t="s">
        <v>1322</v>
      </c>
      <c r="I338" s="408" t="s">
        <v>1322</v>
      </c>
      <c r="J338" s="408" t="s">
        <v>2232</v>
      </c>
      <c r="K338" s="828">
        <v>44562</v>
      </c>
      <c r="L338" s="408">
        <v>0</v>
      </c>
      <c r="M338" s="408">
        <v>0</v>
      </c>
      <c r="N338" s="408">
        <v>0</v>
      </c>
      <c r="O338" s="408">
        <v>0</v>
      </c>
      <c r="P338" s="408">
        <v>0</v>
      </c>
      <c r="Q338" s="408">
        <v>0</v>
      </c>
      <c r="R338" s="408"/>
      <c r="S338" s="408"/>
      <c r="T338" s="408"/>
      <c r="U338" s="408"/>
      <c r="V338" s="408"/>
      <c r="W338" s="408"/>
      <c r="X338" s="408"/>
      <c r="Y338" s="408"/>
      <c r="Z338" s="408"/>
      <c r="AA338" s="408">
        <v>0</v>
      </c>
      <c r="AB338" s="408"/>
      <c r="AC338" s="408"/>
      <c r="AD338" s="408"/>
      <c r="AE338" s="408"/>
      <c r="AF338" s="408"/>
      <c r="AG338" s="408"/>
      <c r="AH338" s="408"/>
      <c r="AI338" s="408"/>
      <c r="AJ338" s="408"/>
      <c r="AK338" s="408"/>
      <c r="AL338" s="408"/>
      <c r="AM338" s="408"/>
      <c r="AN338" s="408"/>
      <c r="AO338" s="408"/>
      <c r="AP338" s="408"/>
      <c r="AQ338" s="408"/>
      <c r="AR338" s="408"/>
      <c r="AS338" s="408"/>
      <c r="AT338" s="408"/>
      <c r="AU338" s="408"/>
      <c r="AV338" s="408"/>
      <c r="AW338" s="408"/>
      <c r="AX338" s="408"/>
      <c r="AY338" s="408"/>
      <c r="AZ338" s="408">
        <v>0</v>
      </c>
      <c r="BA338" s="408"/>
      <c r="BB338" s="408"/>
      <c r="BC338" s="408"/>
      <c r="BD338" s="408"/>
      <c r="BE338" s="408"/>
      <c r="BF338" s="408"/>
      <c r="BG338" s="408"/>
      <c r="BH338" s="408"/>
      <c r="BI338" s="408">
        <v>3.61</v>
      </c>
      <c r="BJ338" s="408">
        <v>16.79</v>
      </c>
      <c r="BK338" s="408">
        <v>66.569999999999993</v>
      </c>
      <c r="BL338" s="408">
        <v>9</v>
      </c>
      <c r="BM338" s="408"/>
      <c r="BN338" s="408"/>
      <c r="BO338" s="408"/>
      <c r="BP338" s="408"/>
      <c r="BQ338" s="408"/>
      <c r="BR338" s="408"/>
      <c r="BS338" s="408"/>
      <c r="BT338" s="408"/>
      <c r="BU338" s="408"/>
      <c r="BV338" s="408"/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/>
      <c r="CJ338" s="408">
        <v>-0.03</v>
      </c>
      <c r="CK338" s="408"/>
      <c r="CL338" s="408"/>
      <c r="CM338" s="408"/>
      <c r="CN338" s="408"/>
      <c r="CO338" s="408">
        <v>0</v>
      </c>
      <c r="CP338" s="408">
        <v>0</v>
      </c>
      <c r="CQ338" s="408">
        <v>31</v>
      </c>
      <c r="CR338" s="408"/>
      <c r="CS338" s="408"/>
      <c r="CT338" s="408"/>
      <c r="CU338" s="408"/>
      <c r="CV338" s="408"/>
      <c r="CW338" s="408"/>
      <c r="CX338" s="408"/>
      <c r="CY338" s="408"/>
      <c r="CZ338" s="408"/>
      <c r="DA338" s="408"/>
      <c r="DB338" s="408"/>
      <c r="DC338" s="408"/>
      <c r="DD338" s="408"/>
      <c r="DE338" s="408"/>
      <c r="DF338" s="408"/>
      <c r="DG338" s="408"/>
      <c r="DH338" s="408"/>
      <c r="DI338" s="408"/>
      <c r="DJ338" s="408"/>
      <c r="DK338" s="408">
        <v>0</v>
      </c>
      <c r="DL338" s="408"/>
      <c r="DM338" s="408"/>
      <c r="DN338" s="408"/>
      <c r="DO338" s="408"/>
      <c r="DP338" s="408"/>
      <c r="DQ338" s="408"/>
      <c r="DR338" s="408"/>
      <c r="DS338" s="408"/>
      <c r="DT338" s="408"/>
      <c r="DU338" s="408"/>
      <c r="DV338" s="408"/>
      <c r="DW338" s="408"/>
      <c r="DX338" s="408"/>
      <c r="DY338" s="408"/>
      <c r="DZ338" s="234"/>
      <c r="EA338" s="408"/>
      <c r="EB338" s="408"/>
      <c r="EC338" s="408"/>
      <c r="ED338" s="408"/>
      <c r="EE338" s="408"/>
      <c r="EF338" s="408"/>
      <c r="EG338" s="408"/>
      <c r="EH338" s="408"/>
      <c r="EI338" s="408"/>
      <c r="EJ338" s="408"/>
      <c r="EK338" s="408"/>
      <c r="EL338" s="408"/>
      <c r="EM338" s="408"/>
      <c r="EN338" s="408"/>
      <c r="EO338" s="408"/>
      <c r="EP338" s="408"/>
      <c r="EQ338" s="408"/>
      <c r="ER338" s="408"/>
      <c r="ES338" s="408"/>
      <c r="ET338" s="408"/>
      <c r="EU338" s="408"/>
      <c r="EV338" s="408">
        <v>242</v>
      </c>
      <c r="EW338" s="408"/>
      <c r="EX338" s="408"/>
      <c r="EY338" s="408"/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337</v>
      </c>
      <c r="B339" s="408" t="s">
        <v>1036</v>
      </c>
      <c r="C339" s="408" t="s">
        <v>2231</v>
      </c>
      <c r="D339" s="408" t="s">
        <v>2241</v>
      </c>
      <c r="E339" s="408" t="s">
        <v>974</v>
      </c>
      <c r="F339" s="408" t="s">
        <v>2251</v>
      </c>
      <c r="G339" s="408" t="s">
        <v>2249</v>
      </c>
      <c r="H339" s="408" t="s">
        <v>1322</v>
      </c>
      <c r="I339" s="408" t="s">
        <v>1322</v>
      </c>
      <c r="J339" s="408" t="s">
        <v>2232</v>
      </c>
      <c r="K339" s="828">
        <v>44562</v>
      </c>
      <c r="L339" s="408">
        <v>0</v>
      </c>
      <c r="M339" s="408">
        <v>0</v>
      </c>
      <c r="N339" s="408">
        <v>0.78400000000000003</v>
      </c>
      <c r="O339" s="408">
        <v>0.78400000000000003</v>
      </c>
      <c r="P339" s="408">
        <v>0.78400000000000003</v>
      </c>
      <c r="Q339" s="408">
        <v>0.78400000000000003</v>
      </c>
      <c r="R339" s="408"/>
      <c r="S339" s="408">
        <v>571.87</v>
      </c>
      <c r="T339" s="408">
        <v>216.76</v>
      </c>
      <c r="U339" s="408"/>
      <c r="V339" s="408">
        <v>618.28592000000003</v>
      </c>
      <c r="W339" s="408">
        <v>618.28592000000003</v>
      </c>
      <c r="X339" s="408">
        <v>402.98383999999999</v>
      </c>
      <c r="Y339" s="408">
        <v>0</v>
      </c>
      <c r="Z339" s="408">
        <v>47.518723762526811</v>
      </c>
      <c r="AA339" s="408">
        <v>0</v>
      </c>
      <c r="AB339" s="408">
        <v>0</v>
      </c>
      <c r="AC339" s="408">
        <v>0</v>
      </c>
      <c r="AD339" s="408">
        <v>0.64438034041437553</v>
      </c>
      <c r="AE339" s="408">
        <v>334.2847963288857</v>
      </c>
      <c r="AF339" s="408">
        <v>167.46357664573063</v>
      </c>
      <c r="AG339" s="408">
        <v>2.4754053133786504</v>
      </c>
      <c r="AH339" s="408">
        <v>0</v>
      </c>
      <c r="AI339" s="408">
        <v>0</v>
      </c>
      <c r="AJ339" s="408">
        <v>0</v>
      </c>
      <c r="AK339" s="408">
        <v>0</v>
      </c>
      <c r="AL339" s="408">
        <v>7.3489287883186991</v>
      </c>
      <c r="AM339" s="408"/>
      <c r="AN339" s="408">
        <v>1.5040801320256219</v>
      </c>
      <c r="AO339" s="408">
        <v>6.9632510352966266</v>
      </c>
      <c r="AP339" s="408">
        <v>21.816450410133815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0.46653458355500976</v>
      </c>
      <c r="BE339" s="408">
        <v>0</v>
      </c>
      <c r="BF339" s="408">
        <v>0</v>
      </c>
      <c r="BG339" s="408">
        <v>27.799258173740938</v>
      </c>
      <c r="BH339" s="408">
        <v>0</v>
      </c>
      <c r="BI339" s="408">
        <v>0</v>
      </c>
      <c r="BJ339" s="408">
        <v>0</v>
      </c>
      <c r="BK339" s="408">
        <v>0</v>
      </c>
      <c r="BL339" s="408">
        <v>0</v>
      </c>
      <c r="BM339" s="408"/>
      <c r="BN339" s="408"/>
      <c r="BO339" s="408"/>
      <c r="BP339" s="408"/>
      <c r="BQ339" s="408"/>
      <c r="BR339" s="408">
        <v>48.357119999999981</v>
      </c>
      <c r="BS339" s="408"/>
      <c r="BT339" s="408"/>
      <c r="BU339" s="408"/>
      <c r="BV339" s="408">
        <v>195.72936940302657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352.81740000000002</v>
      </c>
      <c r="CJ339" s="408">
        <v>-191.30859999999996</v>
      </c>
      <c r="CK339" s="408"/>
      <c r="CL339" s="408"/>
      <c r="CM339" s="408"/>
      <c r="CN339" s="408"/>
      <c r="CO339" s="408">
        <v>-240.88400000000001</v>
      </c>
      <c r="CP339" s="408">
        <v>25.581919999999997</v>
      </c>
      <c r="CQ339" s="408">
        <v>31</v>
      </c>
      <c r="CR339" s="408">
        <v>30.301839783659887</v>
      </c>
      <c r="CS339" s="408">
        <v>0.71826995750734568</v>
      </c>
      <c r="CT339" s="408">
        <v>2.250400111904078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6.3004326078517026E-2</v>
      </c>
      <c r="DA339" s="408">
        <v>0</v>
      </c>
      <c r="DB339" s="408">
        <v>0</v>
      </c>
      <c r="DC339" s="408">
        <v>25.585207722333053</v>
      </c>
      <c r="DD339" s="408">
        <v>0</v>
      </c>
      <c r="DE339" s="408">
        <v>0</v>
      </c>
      <c r="DF339" s="408">
        <v>7.1277494897643678E-2</v>
      </c>
      <c r="DG339" s="408">
        <v>4.2471909960850383</v>
      </c>
      <c r="DH339" s="408">
        <v>0</v>
      </c>
      <c r="DI339" s="408">
        <v>-2.2703113602625251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-0.29778307085960432</v>
      </c>
      <c r="DP339" s="408">
        <v>-6.5416394023704472E-2</v>
      </c>
      <c r="DQ339" s="408">
        <v>0</v>
      </c>
      <c r="DR339" s="408">
        <v>0</v>
      </c>
      <c r="DS339" s="408"/>
      <c r="DT339" s="408"/>
      <c r="DU339" s="408"/>
      <c r="DV339" s="408">
        <v>334.2847963288857</v>
      </c>
      <c r="DW339" s="408">
        <v>0</v>
      </c>
      <c r="DX339" s="408">
        <v>0</v>
      </c>
      <c r="DY339" s="408">
        <v>-240.88400000000001</v>
      </c>
      <c r="DZ339" s="234">
        <v>25.581919999999997</v>
      </c>
      <c r="EA339" s="408">
        <v>0</v>
      </c>
      <c r="EB339" s="408">
        <v>0</v>
      </c>
      <c r="EC339" s="408">
        <v>-245.60232167928297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0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242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338</v>
      </c>
      <c r="B340" s="408" t="s">
        <v>1036</v>
      </c>
      <c r="C340" s="408" t="s">
        <v>2231</v>
      </c>
      <c r="D340" s="408" t="s">
        <v>2241</v>
      </c>
      <c r="E340" s="408" t="s">
        <v>974</v>
      </c>
      <c r="F340" s="408" t="s">
        <v>2251</v>
      </c>
      <c r="G340" s="408" t="s">
        <v>2250</v>
      </c>
      <c r="H340" s="408" t="s">
        <v>1322</v>
      </c>
      <c r="I340" s="408" t="s">
        <v>1322</v>
      </c>
      <c r="J340" s="408" t="s">
        <v>2232</v>
      </c>
      <c r="K340" s="828">
        <v>44562</v>
      </c>
      <c r="L340" s="408">
        <v>0</v>
      </c>
      <c r="M340" s="408">
        <v>0</v>
      </c>
      <c r="N340" s="408">
        <v>2.266</v>
      </c>
      <c r="O340" s="408">
        <v>0.90639999999999998</v>
      </c>
      <c r="P340" s="408">
        <v>2.266</v>
      </c>
      <c r="Q340" s="408">
        <v>0.90639999999999998</v>
      </c>
      <c r="R340" s="408"/>
      <c r="S340" s="408">
        <v>571.87</v>
      </c>
      <c r="T340" s="408">
        <v>216.76</v>
      </c>
      <c r="U340" s="408"/>
      <c r="V340" s="408">
        <v>1787.03558</v>
      </c>
      <c r="W340" s="408">
        <v>1787.03558</v>
      </c>
      <c r="X340" s="408">
        <v>1164.74666</v>
      </c>
      <c r="Y340" s="408">
        <v>0</v>
      </c>
      <c r="Z340" s="408">
        <v>137.34365822179305</v>
      </c>
      <c r="AA340" s="408">
        <v>0</v>
      </c>
      <c r="AB340" s="408">
        <v>0</v>
      </c>
      <c r="AC340" s="408">
        <v>0</v>
      </c>
      <c r="AD340" s="408">
        <v>1.8624564430854271</v>
      </c>
      <c r="AE340" s="408">
        <v>966.18539347098852</v>
      </c>
      <c r="AF340" s="408">
        <v>484.0210008663592</v>
      </c>
      <c r="AG340" s="408">
        <v>7.1546791328010482</v>
      </c>
      <c r="AH340" s="408">
        <v>0</v>
      </c>
      <c r="AI340" s="408">
        <v>0</v>
      </c>
      <c r="AJ340" s="408">
        <v>0</v>
      </c>
      <c r="AK340" s="408">
        <v>0</v>
      </c>
      <c r="AL340" s="408">
        <v>21.240653870319097</v>
      </c>
      <c r="AM340" s="408"/>
      <c r="AN340" s="408">
        <v>4.3472520142475242</v>
      </c>
      <c r="AO340" s="408">
        <v>20.125927099467035</v>
      </c>
      <c r="AP340" s="408">
        <v>63.056220190514317</v>
      </c>
      <c r="AQ340" s="408">
        <v>0</v>
      </c>
      <c r="AR340" s="408">
        <v>0</v>
      </c>
      <c r="AS340" s="408">
        <v>0</v>
      </c>
      <c r="AT340" s="408">
        <v>0</v>
      </c>
      <c r="AU340" s="408">
        <v>0</v>
      </c>
      <c r="AV340" s="408">
        <v>0</v>
      </c>
      <c r="AW340" s="408">
        <v>0</v>
      </c>
      <c r="AX340" s="408">
        <v>0</v>
      </c>
      <c r="AY340" s="408">
        <v>0</v>
      </c>
      <c r="AZ340" s="408">
        <v>0</v>
      </c>
      <c r="BA340" s="408"/>
      <c r="BB340" s="408">
        <v>0</v>
      </c>
      <c r="BC340" s="408">
        <v>0</v>
      </c>
      <c r="BD340" s="408">
        <v>1.3484277631832298</v>
      </c>
      <c r="BE340" s="408">
        <v>0</v>
      </c>
      <c r="BF340" s="408">
        <v>0</v>
      </c>
      <c r="BG340" s="408">
        <v>80.348366099103274</v>
      </c>
      <c r="BH340" s="408">
        <v>0</v>
      </c>
      <c r="BI340" s="408">
        <v>0</v>
      </c>
      <c r="BJ340" s="408">
        <v>0</v>
      </c>
      <c r="BK340" s="408">
        <v>0</v>
      </c>
      <c r="BL340" s="408">
        <v>0</v>
      </c>
      <c r="BM340" s="408"/>
      <c r="BN340" s="408"/>
      <c r="BO340" s="408"/>
      <c r="BP340" s="408"/>
      <c r="BQ340" s="408"/>
      <c r="BR340" s="408"/>
      <c r="BS340" s="408">
        <v>754.75474799999995</v>
      </c>
      <c r="BT340" s="408"/>
      <c r="BU340" s="408"/>
      <c r="BV340" s="408">
        <v>565.71779472864569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411.62030000000004</v>
      </c>
      <c r="CJ340" s="408">
        <v>-217.45129999999995</v>
      </c>
      <c r="CK340" s="408"/>
      <c r="CL340" s="408"/>
      <c r="CM340" s="408"/>
      <c r="CN340" s="408"/>
      <c r="CO340" s="408">
        <v>-696.22850000000005</v>
      </c>
      <c r="CP340" s="408">
        <v>73.939579999999992</v>
      </c>
      <c r="CQ340" s="408">
        <v>31</v>
      </c>
      <c r="CR340" s="408">
        <v>87.581593048180025</v>
      </c>
      <c r="CS340" s="408">
        <v>2.0760200557546504</v>
      </c>
      <c r="CT340" s="408">
        <v>6.5043452213962283</v>
      </c>
      <c r="CU340" s="408">
        <v>0</v>
      </c>
      <c r="CV340" s="408">
        <v>0</v>
      </c>
      <c r="CW340" s="408">
        <v>0</v>
      </c>
      <c r="CX340" s="408">
        <v>0</v>
      </c>
      <c r="CY340" s="408">
        <v>0</v>
      </c>
      <c r="CZ340" s="408">
        <v>0.18210178940550947</v>
      </c>
      <c r="DA340" s="408">
        <v>0</v>
      </c>
      <c r="DB340" s="408">
        <v>0</v>
      </c>
      <c r="DC340" s="408">
        <v>73.949082523988125</v>
      </c>
      <c r="DD340" s="408">
        <v>0</v>
      </c>
      <c r="DE340" s="408">
        <v>0</v>
      </c>
      <c r="DF340" s="408">
        <v>0.20601377989548531</v>
      </c>
      <c r="DG340" s="408">
        <v>12.275682139194771</v>
      </c>
      <c r="DH340" s="408">
        <v>0</v>
      </c>
      <c r="DI340" s="408">
        <v>-6.5618948244322439</v>
      </c>
      <c r="DJ340" s="408"/>
      <c r="DK340" s="408">
        <v>0</v>
      </c>
      <c r="DL340" s="408">
        <v>0</v>
      </c>
      <c r="DM340" s="408">
        <v>0</v>
      </c>
      <c r="DN340" s="408">
        <v>0</v>
      </c>
      <c r="DO340" s="408">
        <v>-0.86068423286717177</v>
      </c>
      <c r="DP340" s="408">
        <v>-0.18907340415524754</v>
      </c>
      <c r="DQ340" s="408">
        <v>0</v>
      </c>
      <c r="DR340" s="408">
        <v>0</v>
      </c>
      <c r="DS340" s="408"/>
      <c r="DT340" s="408"/>
      <c r="DU340" s="408"/>
      <c r="DV340" s="408">
        <v>966.18539347098852</v>
      </c>
      <c r="DW340" s="408">
        <v>0</v>
      </c>
      <c r="DX340" s="408">
        <v>0</v>
      </c>
      <c r="DY340" s="408">
        <v>-696.22850000000005</v>
      </c>
      <c r="DZ340" s="234">
        <v>73.939580000000035</v>
      </c>
      <c r="EA340" s="408">
        <v>0</v>
      </c>
      <c r="EB340" s="408">
        <v>0</v>
      </c>
      <c r="EC340" s="408">
        <v>-709.86589403731523</v>
      </c>
      <c r="ED340" s="408">
        <v>0</v>
      </c>
      <c r="EE340" s="408">
        <v>0</v>
      </c>
      <c r="EF340" s="408">
        <v>0</v>
      </c>
      <c r="EG340" s="408">
        <v>0</v>
      </c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>
        <v>0</v>
      </c>
      <c r="EN340" s="408">
        <v>0</v>
      </c>
      <c r="EO340" s="408">
        <v>0</v>
      </c>
      <c r="EP340" s="408">
        <v>0</v>
      </c>
      <c r="EQ340" s="408">
        <v>0</v>
      </c>
      <c r="ER340" s="408">
        <v>0</v>
      </c>
      <c r="ES340" s="408">
        <v>0</v>
      </c>
      <c r="ET340" s="408">
        <v>0</v>
      </c>
      <c r="EU340" s="408">
        <v>0</v>
      </c>
      <c r="EV340" s="408">
        <v>242</v>
      </c>
      <c r="EW340" s="408">
        <v>0</v>
      </c>
      <c r="EX340" s="408">
        <v>0</v>
      </c>
      <c r="EY340" s="408">
        <v>0</v>
      </c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339</v>
      </c>
      <c r="B341" s="408" t="s">
        <v>1036</v>
      </c>
      <c r="C341" s="408" t="s">
        <v>2231</v>
      </c>
      <c r="D341" s="408" t="s">
        <v>1952</v>
      </c>
      <c r="E341" s="408" t="s">
        <v>969</v>
      </c>
      <c r="F341" s="408" t="s">
        <v>969</v>
      </c>
      <c r="G341" s="408" t="s">
        <v>1322</v>
      </c>
      <c r="H341" s="408" t="s">
        <v>1322</v>
      </c>
      <c r="I341" s="408" t="s">
        <v>1322</v>
      </c>
      <c r="J341" s="408" t="s">
        <v>2232</v>
      </c>
      <c r="K341" s="828">
        <v>44593</v>
      </c>
      <c r="L341" s="408">
        <v>0</v>
      </c>
      <c r="M341" s="408">
        <v>0</v>
      </c>
      <c r="N341" s="408">
        <v>1134.336</v>
      </c>
      <c r="O341" s="408">
        <v>1134.336</v>
      </c>
      <c r="P341" s="408">
        <v>1134.336</v>
      </c>
      <c r="Q341" s="408">
        <v>1134.336</v>
      </c>
      <c r="R341" s="408"/>
      <c r="S341" s="408">
        <v>571.87</v>
      </c>
      <c r="T341" s="408">
        <v>216.76</v>
      </c>
      <c r="U341" s="408"/>
      <c r="V341" s="408">
        <v>894571.39968000003</v>
      </c>
      <c r="W341" s="408">
        <v>894571.39968000003</v>
      </c>
      <c r="X341" s="408">
        <v>583060.04735999997</v>
      </c>
      <c r="Y341" s="408">
        <v>0</v>
      </c>
      <c r="Z341" s="408">
        <v>68752.804895267371</v>
      </c>
      <c r="AA341" s="408">
        <v>0</v>
      </c>
      <c r="AB341" s="408">
        <v>0</v>
      </c>
      <c r="AC341" s="408">
        <v>0</v>
      </c>
      <c r="AD341" s="408">
        <v>932.32629824525645</v>
      </c>
      <c r="AE341" s="408">
        <v>483662.34531699348</v>
      </c>
      <c r="AF341" s="408">
        <v>242295.87203827998</v>
      </c>
      <c r="AG341" s="408">
        <v>3581.5578591284243</v>
      </c>
      <c r="AH341" s="408">
        <v>0</v>
      </c>
      <c r="AI341" s="408">
        <v>0</v>
      </c>
      <c r="AJ341" s="408">
        <v>0</v>
      </c>
      <c r="AK341" s="408">
        <v>0</v>
      </c>
      <c r="AL341" s="408">
        <v>10632.850109727398</v>
      </c>
      <c r="AM341" s="408"/>
      <c r="AN341" s="408">
        <v>2176.1890824507855</v>
      </c>
      <c r="AO341" s="408">
        <v>10074.829497926319</v>
      </c>
      <c r="AP341" s="408">
        <v>31565.287107690754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675.00889460644839</v>
      </c>
      <c r="BE341" s="408">
        <v>0</v>
      </c>
      <c r="BF341" s="408">
        <v>0</v>
      </c>
      <c r="BG341" s="408">
        <v>40221.555254806888</v>
      </c>
      <c r="BH341" s="408">
        <v>0</v>
      </c>
      <c r="BI341" s="408">
        <v>1942.57</v>
      </c>
      <c r="BJ341" s="408">
        <v>9065.9699999999993</v>
      </c>
      <c r="BK341" s="408">
        <v>248461.98</v>
      </c>
      <c r="BL341" s="408">
        <v>4536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>
        <v>283192.43618769333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583062.10339999991</v>
      </c>
      <c r="CJ341" s="408">
        <v>-311509.32628000015</v>
      </c>
      <c r="CK341" s="408"/>
      <c r="CL341" s="408"/>
      <c r="CM341" s="408"/>
      <c r="CN341" s="408"/>
      <c r="CO341" s="408">
        <v>-348524.73599999998</v>
      </c>
      <c r="CP341" s="408">
        <v>37013.383679999992</v>
      </c>
      <c r="CQ341" s="408">
        <v>29</v>
      </c>
      <c r="CR341" s="408">
        <v>43842.433332700981</v>
      </c>
      <c r="CS341" s="408">
        <v>1039.2340185191988</v>
      </c>
      <c r="CT341" s="408">
        <v>3256.007476194929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91.158259217602904</v>
      </c>
      <c r="DA341" s="408">
        <v>0</v>
      </c>
      <c r="DB341" s="408">
        <v>0</v>
      </c>
      <c r="DC341" s="408">
        <v>37018.140544541326</v>
      </c>
      <c r="DD341" s="408">
        <v>0</v>
      </c>
      <c r="DE341" s="408">
        <v>0</v>
      </c>
      <c r="DF341" s="408">
        <v>103.12835261761927</v>
      </c>
      <c r="DG341" s="408">
        <v>6145.0786297641826</v>
      </c>
      <c r="DH341" s="408">
        <v>0</v>
      </c>
      <c r="DI341" s="408">
        <v>-3284.8162081055561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-430.84956309515292</v>
      </c>
      <c r="DP341" s="408">
        <v>-94.648176953154234</v>
      </c>
      <c r="DQ341" s="408">
        <v>0</v>
      </c>
      <c r="DR341" s="408">
        <v>0</v>
      </c>
      <c r="DS341" s="408"/>
      <c r="DT341" s="408"/>
      <c r="DU341" s="408"/>
      <c r="DV341" s="408">
        <v>483662.34531699348</v>
      </c>
      <c r="DW341" s="408">
        <v>0</v>
      </c>
      <c r="DX341" s="408">
        <v>0</v>
      </c>
      <c r="DY341" s="408">
        <v>-348524.73599999998</v>
      </c>
      <c r="DZ341" s="234">
        <v>37013.383680000028</v>
      </c>
      <c r="EA341" s="408">
        <v>0</v>
      </c>
      <c r="EB341" s="408">
        <v>0</v>
      </c>
      <c r="EC341" s="408">
        <v>-355351.4734239683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242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340</v>
      </c>
      <c r="B342" s="408" t="s">
        <v>2233</v>
      </c>
      <c r="C342" s="408" t="s">
        <v>2231</v>
      </c>
      <c r="D342" s="408" t="s">
        <v>1952</v>
      </c>
      <c r="E342" s="408" t="s">
        <v>969</v>
      </c>
      <c r="F342" s="408" t="s">
        <v>969</v>
      </c>
      <c r="G342" s="408" t="s">
        <v>1322</v>
      </c>
      <c r="H342" s="408" t="s">
        <v>1322</v>
      </c>
      <c r="I342" s="408" t="s">
        <v>1322</v>
      </c>
      <c r="J342" s="408" t="s">
        <v>2232</v>
      </c>
      <c r="K342" s="828">
        <v>44593</v>
      </c>
      <c r="L342" s="408">
        <v>0</v>
      </c>
      <c r="M342" s="408">
        <v>0</v>
      </c>
      <c r="N342" s="408">
        <v>-1.5629999999999999</v>
      </c>
      <c r="O342" s="408">
        <v>-1.5629999999999999</v>
      </c>
      <c r="P342" s="408">
        <v>-1.5629999999999999</v>
      </c>
      <c r="Q342" s="408">
        <v>-1.5629999999999999</v>
      </c>
      <c r="R342" s="408"/>
      <c r="S342" s="408">
        <v>571.87</v>
      </c>
      <c r="T342" s="408">
        <v>216.76</v>
      </c>
      <c r="U342" s="408"/>
      <c r="V342" s="408">
        <v>-1232.62869</v>
      </c>
      <c r="W342" s="408">
        <v>-1232.62869</v>
      </c>
      <c r="X342" s="408">
        <v>-803.39762999999994</v>
      </c>
      <c r="Y342" s="408">
        <v>0</v>
      </c>
      <c r="Z342" s="408">
        <v>-94.734394439833423</v>
      </c>
      <c r="AA342" s="408">
        <v>0</v>
      </c>
      <c r="AB342" s="408">
        <v>0</v>
      </c>
      <c r="AC342" s="408">
        <v>0</v>
      </c>
      <c r="AD342" s="408">
        <v>-1.2846511123312103</v>
      </c>
      <c r="AE342" s="408">
        <v>-666.43767431383719</v>
      </c>
      <c r="AF342" s="408">
        <v>-333.85914578734304</v>
      </c>
      <c r="AG342" s="408">
        <v>-4.935023603075039</v>
      </c>
      <c r="AH342" s="408">
        <v>0</v>
      </c>
      <c r="AI342" s="408">
        <v>0</v>
      </c>
      <c r="AJ342" s="408">
        <v>0</v>
      </c>
      <c r="AK342" s="408">
        <v>0</v>
      </c>
      <c r="AL342" s="408">
        <v>-14.650989408344548</v>
      </c>
      <c r="AM342" s="408"/>
      <c r="AN342" s="408">
        <v>-2.9985679162704679</v>
      </c>
      <c r="AO342" s="408">
        <v>-13.882093581847737</v>
      </c>
      <c r="AP342" s="408">
        <v>-43.493765294692793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-0.9300938190006125</v>
      </c>
      <c r="BE342" s="408">
        <v>0</v>
      </c>
      <c r="BF342" s="408">
        <v>0</v>
      </c>
      <c r="BG342" s="408">
        <v>-55.421225160149341</v>
      </c>
      <c r="BH342" s="408">
        <v>0</v>
      </c>
      <c r="BI342" s="408">
        <v>-4.43</v>
      </c>
      <c r="BJ342" s="408">
        <v>-20.440000000000001</v>
      </c>
      <c r="BK342" s="408">
        <v>-389.52</v>
      </c>
      <c r="BL342" s="408">
        <v>0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>
        <v>-390.21046476649298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-801.85560000000009</v>
      </c>
      <c r="CJ342" s="408">
        <v>430.74308999999994</v>
      </c>
      <c r="CK342" s="408"/>
      <c r="CL342" s="408"/>
      <c r="CM342" s="408"/>
      <c r="CN342" s="408"/>
      <c r="CO342" s="408">
        <v>480.23174999999998</v>
      </c>
      <c r="CP342" s="408">
        <v>-51.000689999999992</v>
      </c>
      <c r="CQ342" s="408">
        <v>29</v>
      </c>
      <c r="CR342" s="408">
        <v>-60.410428038086934</v>
      </c>
      <c r="CS342" s="408">
        <v>-1.4319591117142618</v>
      </c>
      <c r="CT342" s="408">
        <v>-4.4864481822781599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-0.12560683885296187</v>
      </c>
      <c r="DA342" s="408">
        <v>0</v>
      </c>
      <c r="DB342" s="408">
        <v>0</v>
      </c>
      <c r="DC342" s="408">
        <v>-51.007244477049198</v>
      </c>
      <c r="DD342" s="408">
        <v>0</v>
      </c>
      <c r="DE342" s="408">
        <v>0</v>
      </c>
      <c r="DF342" s="408">
        <v>-0.14210041393497086</v>
      </c>
      <c r="DG342" s="408">
        <v>-8.4672953148991255</v>
      </c>
      <c r="DH342" s="408">
        <v>0</v>
      </c>
      <c r="DI342" s="408">
        <v>4.5261436939927648</v>
      </c>
      <c r="DJ342" s="408"/>
      <c r="DK342" s="408">
        <v>0</v>
      </c>
      <c r="DL342" s="408">
        <v>0</v>
      </c>
      <c r="DM342" s="408">
        <v>0</v>
      </c>
      <c r="DN342" s="408">
        <v>0</v>
      </c>
      <c r="DO342" s="408">
        <v>0.59366701499178731</v>
      </c>
      <c r="DP342" s="408">
        <v>0.1304155916569516</v>
      </c>
      <c r="DQ342" s="408">
        <v>0</v>
      </c>
      <c r="DR342" s="408">
        <v>0</v>
      </c>
      <c r="DS342" s="408"/>
      <c r="DT342" s="408"/>
      <c r="DU342" s="408"/>
      <c r="DV342" s="408">
        <v>-666.43767431383719</v>
      </c>
      <c r="DW342" s="408">
        <v>0</v>
      </c>
      <c r="DX342" s="408">
        <v>0</v>
      </c>
      <c r="DY342" s="408">
        <v>480.23174999999998</v>
      </c>
      <c r="DZ342" s="234">
        <v>-51.00069000000002</v>
      </c>
      <c r="EA342" s="408">
        <v>0</v>
      </c>
      <c r="EB342" s="408">
        <v>0</v>
      </c>
      <c r="EC342" s="408">
        <v>489.63830202132567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0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242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341</v>
      </c>
      <c r="B343" s="408" t="s">
        <v>2234</v>
      </c>
      <c r="C343" s="408" t="s">
        <v>2231</v>
      </c>
      <c r="D343" s="408" t="s">
        <v>1952</v>
      </c>
      <c r="E343" s="408" t="s">
        <v>969</v>
      </c>
      <c r="F343" s="408" t="s">
        <v>969</v>
      </c>
      <c r="G343" s="408" t="s">
        <v>1322</v>
      </c>
      <c r="H343" s="408" t="s">
        <v>1322</v>
      </c>
      <c r="I343" s="408" t="s">
        <v>1322</v>
      </c>
      <c r="J343" s="408" t="s">
        <v>2232</v>
      </c>
      <c r="K343" s="828">
        <v>44593</v>
      </c>
      <c r="L343" s="408">
        <v>0</v>
      </c>
      <c r="M343" s="408">
        <v>0</v>
      </c>
      <c r="N343" s="408">
        <v>22.532</v>
      </c>
      <c r="O343" s="408">
        <v>22.532</v>
      </c>
      <c r="P343" s="408">
        <v>22.532</v>
      </c>
      <c r="Q343" s="408">
        <v>22.532</v>
      </c>
      <c r="R343" s="408"/>
      <c r="S343" s="408">
        <v>571.87</v>
      </c>
      <c r="T343" s="408">
        <v>216.76</v>
      </c>
      <c r="U343" s="408"/>
      <c r="V343" s="408">
        <v>17769.41116</v>
      </c>
      <c r="W343" s="408">
        <v>17769.41116</v>
      </c>
      <c r="X343" s="408">
        <v>11581.67332</v>
      </c>
      <c r="Y343" s="408">
        <v>0</v>
      </c>
      <c r="Z343" s="408">
        <v>1365.6784232362936</v>
      </c>
      <c r="AA343" s="408">
        <v>0</v>
      </c>
      <c r="AB343" s="408">
        <v>0</v>
      </c>
      <c r="AC343" s="408">
        <v>0</v>
      </c>
      <c r="AD343" s="408">
        <v>18.519359477317231</v>
      </c>
      <c r="AE343" s="408">
        <v>9607.2768251051693</v>
      </c>
      <c r="AF343" s="408">
        <v>4812.8690165581665</v>
      </c>
      <c r="AG343" s="408">
        <v>71.142643521744574</v>
      </c>
      <c r="AH343" s="408">
        <v>0</v>
      </c>
      <c r="AI343" s="408">
        <v>0</v>
      </c>
      <c r="AJ343" s="408">
        <v>0</v>
      </c>
      <c r="AK343" s="408">
        <v>0</v>
      </c>
      <c r="AL343" s="408">
        <v>211.20671359489404</v>
      </c>
      <c r="AM343" s="408"/>
      <c r="AN343" s="408">
        <v>43.226956039287387</v>
      </c>
      <c r="AO343" s="408">
        <v>200.12241368278518</v>
      </c>
      <c r="AP343" s="408">
        <v>627.00033245042744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13.40810872023148</v>
      </c>
      <c r="BE343" s="408">
        <v>0</v>
      </c>
      <c r="BF343" s="408">
        <v>0</v>
      </c>
      <c r="BG343" s="408">
        <v>798.94500659531991</v>
      </c>
      <c r="BH343" s="408">
        <v>0</v>
      </c>
      <c r="BI343" s="408">
        <v>39.06</v>
      </c>
      <c r="BJ343" s="408">
        <v>183.52</v>
      </c>
      <c r="BK343" s="408">
        <v>10664.25</v>
      </c>
      <c r="BL343" s="408">
        <v>173</v>
      </c>
      <c r="BM343" s="408"/>
      <c r="BN343" s="408"/>
      <c r="BO343" s="408"/>
      <c r="BP343" s="408"/>
      <c r="BQ343" s="408"/>
      <c r="BR343" s="408"/>
      <c r="BS343" s="408"/>
      <c r="BT343" s="408"/>
      <c r="BU343" s="408"/>
      <c r="BV343" s="408">
        <v>5625.2221318737174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11580.6453</v>
      </c>
      <c r="CJ343" s="408">
        <v>-6188.7958599999984</v>
      </c>
      <c r="CK343" s="408"/>
      <c r="CL343" s="408"/>
      <c r="CM343" s="408"/>
      <c r="CN343" s="408"/>
      <c r="CO343" s="408">
        <v>-6922.9570000000003</v>
      </c>
      <c r="CP343" s="408">
        <v>735.21915999999987</v>
      </c>
      <c r="CQ343" s="408">
        <v>29</v>
      </c>
      <c r="CR343" s="408">
        <v>870.86869133344771</v>
      </c>
      <c r="CS343" s="408">
        <v>20.642931993055498</v>
      </c>
      <c r="CT343" s="408">
        <v>64.676039950794234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1.8107314734708488</v>
      </c>
      <c r="DA343" s="408">
        <v>0</v>
      </c>
      <c r="DB343" s="408">
        <v>0</v>
      </c>
      <c r="DC343" s="408">
        <v>735.31364846888846</v>
      </c>
      <c r="DD343" s="408">
        <v>0</v>
      </c>
      <c r="DE343" s="408">
        <v>0</v>
      </c>
      <c r="DF343" s="408">
        <v>2.0485006569307487</v>
      </c>
      <c r="DG343" s="408">
        <v>122.06340245381136</v>
      </c>
      <c r="DH343" s="408">
        <v>0</v>
      </c>
      <c r="DI343" s="408">
        <v>-65.248285165096149</v>
      </c>
      <c r="DJ343" s="408"/>
      <c r="DK343" s="408">
        <v>0</v>
      </c>
      <c r="DL343" s="408">
        <v>0</v>
      </c>
      <c r="DM343" s="408">
        <v>0</v>
      </c>
      <c r="DN343" s="408">
        <v>0</v>
      </c>
      <c r="DO343" s="408">
        <v>-8.5582246844497547</v>
      </c>
      <c r="DP343" s="408">
        <v>-1.8800538139567706</v>
      </c>
      <c r="DQ343" s="408">
        <v>0</v>
      </c>
      <c r="DR343" s="408">
        <v>0</v>
      </c>
      <c r="DS343" s="408"/>
      <c r="DT343" s="408"/>
      <c r="DU343" s="408"/>
      <c r="DV343" s="408">
        <v>9607.2768251051693</v>
      </c>
      <c r="DW343" s="408">
        <v>0</v>
      </c>
      <c r="DX343" s="408">
        <v>0</v>
      </c>
      <c r="DY343" s="408">
        <v>-6922.9570000000003</v>
      </c>
      <c r="DZ343" s="234">
        <v>735.21915999999965</v>
      </c>
      <c r="EA343" s="408">
        <v>0</v>
      </c>
      <c r="EB343" s="408">
        <v>0</v>
      </c>
      <c r="EC343" s="408">
        <v>-7058.5606021398016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242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342</v>
      </c>
      <c r="B344" s="408" t="s">
        <v>1036</v>
      </c>
      <c r="C344" s="408" t="s">
        <v>2231</v>
      </c>
      <c r="D344" s="408" t="s">
        <v>1952</v>
      </c>
      <c r="E344" s="408" t="s">
        <v>969</v>
      </c>
      <c r="F344" s="408" t="s">
        <v>2235</v>
      </c>
      <c r="G344" s="408" t="s">
        <v>1322</v>
      </c>
      <c r="H344" s="408" t="s">
        <v>1322</v>
      </c>
      <c r="I344" s="408" t="s">
        <v>1322</v>
      </c>
      <c r="J344" s="408" t="s">
        <v>2232</v>
      </c>
      <c r="K344" s="828">
        <v>44593</v>
      </c>
      <c r="L344" s="408">
        <v>0</v>
      </c>
      <c r="M344" s="408">
        <v>0</v>
      </c>
      <c r="N344" s="408">
        <v>3.6</v>
      </c>
      <c r="O344" s="408">
        <v>3.6</v>
      </c>
      <c r="P344" s="408">
        <v>3.6</v>
      </c>
      <c r="Q344" s="408">
        <v>3.6</v>
      </c>
      <c r="R344" s="408"/>
      <c r="S344" s="408">
        <v>501.89</v>
      </c>
      <c r="T344" s="408">
        <v>216.76</v>
      </c>
      <c r="U344" s="408"/>
      <c r="V344" s="408">
        <v>2587.1400000000003</v>
      </c>
      <c r="W344" s="408">
        <v>2587.1400000000003</v>
      </c>
      <c r="X344" s="408">
        <v>1610.28</v>
      </c>
      <c r="Y344" s="408">
        <v>0</v>
      </c>
      <c r="Z344" s="408">
        <v>0</v>
      </c>
      <c r="AA344" s="408">
        <v>0</v>
      </c>
      <c r="AB344" s="408">
        <v>0</v>
      </c>
      <c r="AC344" s="408">
        <v>0</v>
      </c>
      <c r="AD344" s="408">
        <v>2.958889318229275</v>
      </c>
      <c r="AE344" s="408">
        <v>1534.9812076326384</v>
      </c>
      <c r="AF344" s="408">
        <v>768.96540296508965</v>
      </c>
      <c r="AG344" s="408">
        <v>11.366657051228497</v>
      </c>
      <c r="AH344" s="408">
        <v>0</v>
      </c>
      <c r="AI344" s="408">
        <v>0</v>
      </c>
      <c r="AJ344" s="408">
        <v>0</v>
      </c>
      <c r="AK344" s="408">
        <v>0</v>
      </c>
      <c r="AL344" s="408">
        <v>0</v>
      </c>
      <c r="AM344" s="408"/>
      <c r="AN344" s="408">
        <v>6.9064904021584681</v>
      </c>
      <c r="AO344" s="408">
        <v>31.974111896770221</v>
      </c>
      <c r="AP344" s="408">
        <v>100.17757841387976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2.142250638773004</v>
      </c>
      <c r="BE344" s="408">
        <v>0</v>
      </c>
      <c r="BF344" s="408">
        <v>0</v>
      </c>
      <c r="BG344" s="408">
        <v>127.64965487942267</v>
      </c>
      <c r="BH344" s="408">
        <v>0</v>
      </c>
      <c r="BI344" s="408">
        <v>1.2</v>
      </c>
      <c r="BJ344" s="408">
        <v>6</v>
      </c>
      <c r="BK344" s="408">
        <v>182.08</v>
      </c>
      <c r="BL344" s="408">
        <v>4</v>
      </c>
      <c r="BM344" s="408"/>
      <c r="BN344" s="408"/>
      <c r="BO344" s="408"/>
      <c r="BP344" s="408"/>
      <c r="BQ344" s="408"/>
      <c r="BR344" s="408"/>
      <c r="BS344" s="408"/>
      <c r="BT344" s="408">
        <v>1046.664</v>
      </c>
      <c r="BU344" s="408"/>
      <c r="BV344" s="408">
        <v>898.75730848328533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563.61599999999999</v>
      </c>
      <c r="CJ344" s="408">
        <v>-341.92200000000003</v>
      </c>
      <c r="CK344" s="408"/>
      <c r="CL344" s="408"/>
      <c r="CM344" s="408"/>
      <c r="CN344" s="408"/>
      <c r="CO344" s="408">
        <v>-1094.3280000000002</v>
      </c>
      <c r="CP344" s="408">
        <v>117.46799999999999</v>
      </c>
      <c r="CQ344" s="408">
        <v>29</v>
      </c>
      <c r="CR344" s="408">
        <v>150.933371394407</v>
      </c>
      <c r="CS344" s="408">
        <v>3.2981783763092416</v>
      </c>
      <c r="CT344" s="408">
        <v>10.333469901600367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0.28930557893196607</v>
      </c>
      <c r="DA344" s="408">
        <v>0</v>
      </c>
      <c r="DB344" s="408">
        <v>0</v>
      </c>
      <c r="DC344" s="408">
        <v>117.48309668418233</v>
      </c>
      <c r="DD344" s="408">
        <v>0</v>
      </c>
      <c r="DE344" s="408">
        <v>0</v>
      </c>
      <c r="DF344" s="408">
        <v>0.32729461942795579</v>
      </c>
      <c r="DG344" s="408">
        <v>19.502407635084367</v>
      </c>
      <c r="DH344" s="408">
        <v>0</v>
      </c>
      <c r="DI344" s="408">
        <v>0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0</v>
      </c>
      <c r="DP344" s="408">
        <v>-0.30038140112925582</v>
      </c>
      <c r="DQ344" s="408">
        <v>0</v>
      </c>
      <c r="DR344" s="408">
        <v>0</v>
      </c>
      <c r="DS344" s="408"/>
      <c r="DT344" s="408"/>
      <c r="DU344" s="408"/>
      <c r="DV344" s="408">
        <v>1534.9812076326384</v>
      </c>
      <c r="DW344" s="408">
        <v>0</v>
      </c>
      <c r="DX344" s="408">
        <v>0</v>
      </c>
      <c r="DY344" s="408">
        <v>-1094.328</v>
      </c>
      <c r="DZ344" s="234">
        <v>117.46799999999996</v>
      </c>
      <c r="EA344" s="408">
        <v>0</v>
      </c>
      <c r="EB344" s="408">
        <v>0</v>
      </c>
      <c r="EC344" s="408">
        <v>-1127.7657628130341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242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343</v>
      </c>
      <c r="B345" s="408" t="s">
        <v>2233</v>
      </c>
      <c r="C345" s="408" t="s">
        <v>2231</v>
      </c>
      <c r="D345" s="408" t="s">
        <v>1952</v>
      </c>
      <c r="E345" s="408" t="s">
        <v>969</v>
      </c>
      <c r="F345" s="408" t="s">
        <v>2235</v>
      </c>
      <c r="G345" s="408" t="s">
        <v>1322</v>
      </c>
      <c r="H345" s="408" t="s">
        <v>1322</v>
      </c>
      <c r="I345" s="408" t="s">
        <v>1322</v>
      </c>
      <c r="J345" s="408" t="s">
        <v>2232</v>
      </c>
      <c r="K345" s="828">
        <v>44593</v>
      </c>
      <c r="L345" s="408">
        <v>0</v>
      </c>
      <c r="M345" s="408">
        <v>0</v>
      </c>
      <c r="N345" s="408">
        <v>0</v>
      </c>
      <c r="O345" s="408">
        <v>0</v>
      </c>
      <c r="P345" s="408">
        <v>0</v>
      </c>
      <c r="Q345" s="408">
        <v>0</v>
      </c>
      <c r="R345" s="408"/>
      <c r="S345" s="408"/>
      <c r="T345" s="408"/>
      <c r="U345" s="408"/>
      <c r="V345" s="408"/>
      <c r="W345" s="408"/>
      <c r="X345" s="408"/>
      <c r="Y345" s="408"/>
      <c r="Z345" s="408"/>
      <c r="AA345" s="408">
        <v>0</v>
      </c>
      <c r="AB345" s="408"/>
      <c r="AC345" s="408"/>
      <c r="AD345" s="408"/>
      <c r="AE345" s="408"/>
      <c r="AF345" s="408"/>
      <c r="AG345" s="408"/>
      <c r="AH345" s="408"/>
      <c r="AI345" s="408"/>
      <c r="AJ345" s="408"/>
      <c r="AK345" s="408"/>
      <c r="AL345" s="408"/>
      <c r="AM345" s="408"/>
      <c r="AN345" s="408"/>
      <c r="AO345" s="408"/>
      <c r="AP345" s="408"/>
      <c r="AQ345" s="408"/>
      <c r="AR345" s="408"/>
      <c r="AS345" s="408"/>
      <c r="AT345" s="408"/>
      <c r="AU345" s="408"/>
      <c r="AV345" s="408"/>
      <c r="AW345" s="408"/>
      <c r="AX345" s="408"/>
      <c r="AY345" s="408"/>
      <c r="AZ345" s="408">
        <v>0</v>
      </c>
      <c r="BA345" s="408"/>
      <c r="BB345" s="408"/>
      <c r="BC345" s="408"/>
      <c r="BD345" s="408"/>
      <c r="BE345" s="408"/>
      <c r="BF345" s="408"/>
      <c r="BG345" s="408"/>
      <c r="BH345" s="408"/>
      <c r="BI345" s="408">
        <v>-0.01</v>
      </c>
      <c r="BJ345" s="408">
        <v>0.01</v>
      </c>
      <c r="BK345" s="408">
        <v>-1.39</v>
      </c>
      <c r="BL345" s="408">
        <v>0</v>
      </c>
      <c r="BM345" s="408"/>
      <c r="BN345" s="408"/>
      <c r="BO345" s="408"/>
      <c r="BP345" s="408"/>
      <c r="BQ345" s="408"/>
      <c r="BR345" s="408"/>
      <c r="BS345" s="408"/>
      <c r="BT345" s="408"/>
      <c r="BU345" s="408"/>
      <c r="BV345" s="408"/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/>
      <c r="CJ345" s="408">
        <v>-0.03</v>
      </c>
      <c r="CK345" s="408"/>
      <c r="CL345" s="408"/>
      <c r="CM345" s="408"/>
      <c r="CN345" s="408"/>
      <c r="CO345" s="408">
        <v>0</v>
      </c>
      <c r="CP345" s="408">
        <v>0</v>
      </c>
      <c r="CQ345" s="408">
        <v>29</v>
      </c>
      <c r="CR345" s="408"/>
      <c r="CS345" s="408"/>
      <c r="CT345" s="408"/>
      <c r="CU345" s="408"/>
      <c r="CV345" s="408"/>
      <c r="CW345" s="408"/>
      <c r="CX345" s="408"/>
      <c r="CY345" s="408"/>
      <c r="CZ345" s="408"/>
      <c r="DA345" s="408"/>
      <c r="DB345" s="408"/>
      <c r="DC345" s="408"/>
      <c r="DD345" s="408"/>
      <c r="DE345" s="408"/>
      <c r="DF345" s="408"/>
      <c r="DG345" s="408"/>
      <c r="DH345" s="408"/>
      <c r="DI345" s="408"/>
      <c r="DJ345" s="408"/>
      <c r="DK345" s="408">
        <v>0</v>
      </c>
      <c r="DL345" s="408"/>
      <c r="DM345" s="408"/>
      <c r="DN345" s="408"/>
      <c r="DO345" s="408"/>
      <c r="DP345" s="408"/>
      <c r="DQ345" s="408"/>
      <c r="DR345" s="408"/>
      <c r="DS345" s="408"/>
      <c r="DT345" s="408"/>
      <c r="DU345" s="408"/>
      <c r="DV345" s="408"/>
      <c r="DW345" s="408"/>
      <c r="DX345" s="408"/>
      <c r="DY345" s="408"/>
      <c r="DZ345" s="234"/>
      <c r="EA345" s="408"/>
      <c r="EB345" s="408"/>
      <c r="EC345" s="408"/>
      <c r="ED345" s="408"/>
      <c r="EE345" s="408"/>
      <c r="EF345" s="408"/>
      <c r="EG345" s="408"/>
      <c r="EH345" s="408"/>
      <c r="EI345" s="408"/>
      <c r="EJ345" s="408"/>
      <c r="EK345" s="408"/>
      <c r="EL345" s="408"/>
      <c r="EM345" s="408"/>
      <c r="EN345" s="408"/>
      <c r="EO345" s="408"/>
      <c r="EP345" s="408"/>
      <c r="EQ345" s="408"/>
      <c r="ER345" s="408"/>
      <c r="ES345" s="408"/>
      <c r="ET345" s="408"/>
      <c r="EU345" s="408"/>
      <c r="EV345" s="408">
        <v>242</v>
      </c>
      <c r="EW345" s="408"/>
      <c r="EX345" s="408"/>
      <c r="EY345" s="408"/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344</v>
      </c>
      <c r="B346" s="408" t="s">
        <v>1036</v>
      </c>
      <c r="C346" s="408" t="s">
        <v>2231</v>
      </c>
      <c r="D346" s="408" t="s">
        <v>1952</v>
      </c>
      <c r="E346" s="408" t="s">
        <v>969</v>
      </c>
      <c r="F346" s="408" t="s">
        <v>2236</v>
      </c>
      <c r="G346" s="408" t="s">
        <v>1322</v>
      </c>
      <c r="H346" s="408" t="s">
        <v>1322</v>
      </c>
      <c r="I346" s="408" t="s">
        <v>1322</v>
      </c>
      <c r="J346" s="408" t="s">
        <v>2232</v>
      </c>
      <c r="K346" s="828">
        <v>44593</v>
      </c>
      <c r="L346" s="408">
        <v>0</v>
      </c>
      <c r="M346" s="408">
        <v>0</v>
      </c>
      <c r="N346" s="408">
        <v>7.6890000000000001</v>
      </c>
      <c r="O346" s="408">
        <v>7.6890000000000001</v>
      </c>
      <c r="P346" s="408">
        <v>7.6890000000000001</v>
      </c>
      <c r="Q346" s="408">
        <v>7.6890000000000001</v>
      </c>
      <c r="R346" s="408"/>
      <c r="S346" s="408">
        <v>501.89</v>
      </c>
      <c r="T346" s="408">
        <v>216.76</v>
      </c>
      <c r="U346" s="408"/>
      <c r="V346" s="408">
        <v>5525.69985</v>
      </c>
      <c r="W346" s="408">
        <v>5525.69985</v>
      </c>
      <c r="X346" s="408">
        <v>3439.2897000000003</v>
      </c>
      <c r="Y346" s="408">
        <v>0</v>
      </c>
      <c r="Z346" s="408">
        <v>0</v>
      </c>
      <c r="AA346" s="408">
        <v>0</v>
      </c>
      <c r="AB346" s="408">
        <v>0</v>
      </c>
      <c r="AC346" s="408">
        <v>0</v>
      </c>
      <c r="AD346" s="408">
        <v>6.3196944355180271</v>
      </c>
      <c r="AE346" s="408">
        <v>3278.4640293020434</v>
      </c>
      <c r="AF346" s="408">
        <v>1642.3819398329372</v>
      </c>
      <c r="AG346" s="408">
        <v>24.277285018582198</v>
      </c>
      <c r="AH346" s="408">
        <v>0</v>
      </c>
      <c r="AI346" s="408">
        <v>0</v>
      </c>
      <c r="AJ346" s="408">
        <v>0</v>
      </c>
      <c r="AK346" s="408">
        <v>0</v>
      </c>
      <c r="AL346" s="408">
        <v>0</v>
      </c>
      <c r="AM346" s="408"/>
      <c r="AN346" s="408">
        <v>14.751112417276794</v>
      </c>
      <c r="AO346" s="408">
        <v>68.291373992851732</v>
      </c>
      <c r="AP346" s="408">
        <v>213.96261122897818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4.575490322646008</v>
      </c>
      <c r="BE346" s="408">
        <v>0</v>
      </c>
      <c r="BF346" s="408">
        <v>0</v>
      </c>
      <c r="BG346" s="408">
        <v>272.6383878799669</v>
      </c>
      <c r="BH346" s="408">
        <v>0</v>
      </c>
      <c r="BI346" s="408">
        <v>5.44</v>
      </c>
      <c r="BJ346" s="408">
        <v>25.38</v>
      </c>
      <c r="BK346" s="408">
        <v>694.62</v>
      </c>
      <c r="BL346" s="408">
        <v>13</v>
      </c>
      <c r="BM346" s="408"/>
      <c r="BN346" s="408"/>
      <c r="BO346" s="408"/>
      <c r="BP346" s="408"/>
      <c r="BQ346" s="408"/>
      <c r="BR346" s="408"/>
      <c r="BS346" s="408"/>
      <c r="BT346" s="408">
        <v>1375.6389899999999</v>
      </c>
      <c r="BU346" s="408"/>
      <c r="BV346" s="408">
        <v>1919.5958180355501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2063.9191000000001</v>
      </c>
      <c r="CJ346" s="408">
        <v>-1251.5308100000007</v>
      </c>
      <c r="CK346" s="408"/>
      <c r="CL346" s="408"/>
      <c r="CM346" s="408"/>
      <c r="CN346" s="408"/>
      <c r="CO346" s="408">
        <v>-2337.30222</v>
      </c>
      <c r="CP346" s="408">
        <v>250.89206999999996</v>
      </c>
      <c r="CQ346" s="408">
        <v>29</v>
      </c>
      <c r="CR346" s="408">
        <v>322.36852573655415</v>
      </c>
      <c r="CS346" s="408">
        <v>7.0443593154004844</v>
      </c>
      <c r="CT346" s="408">
        <v>22.07056946483479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0.61790849900219058</v>
      </c>
      <c r="DA346" s="408">
        <v>0</v>
      </c>
      <c r="DB346" s="408">
        <v>0</v>
      </c>
      <c r="DC346" s="408">
        <v>250.92431400129954</v>
      </c>
      <c r="DD346" s="408">
        <v>0</v>
      </c>
      <c r="DE346" s="408">
        <v>0</v>
      </c>
      <c r="DF346" s="408">
        <v>0.69904675799487492</v>
      </c>
      <c r="DG346" s="408">
        <v>41.653892307267711</v>
      </c>
      <c r="DH346" s="408">
        <v>0</v>
      </c>
      <c r="DI346" s="408">
        <v>0</v>
      </c>
      <c r="DJ346" s="408"/>
      <c r="DK346" s="408">
        <v>0</v>
      </c>
      <c r="DL346" s="408">
        <v>0</v>
      </c>
      <c r="DM346" s="408">
        <v>0</v>
      </c>
      <c r="DN346" s="408">
        <v>0</v>
      </c>
      <c r="DO346" s="408">
        <v>0</v>
      </c>
      <c r="DP346" s="408">
        <v>-0.64156460924523451</v>
      </c>
      <c r="DQ346" s="408">
        <v>0</v>
      </c>
      <c r="DR346" s="408">
        <v>0</v>
      </c>
      <c r="DS346" s="408"/>
      <c r="DT346" s="408"/>
      <c r="DU346" s="408"/>
      <c r="DV346" s="408">
        <v>3278.4640293020434</v>
      </c>
      <c r="DW346" s="408">
        <v>0</v>
      </c>
      <c r="DX346" s="408">
        <v>0</v>
      </c>
      <c r="DY346" s="408">
        <v>-2337.3022199999996</v>
      </c>
      <c r="DZ346" s="234">
        <v>250.8920700000001</v>
      </c>
      <c r="EA346" s="408">
        <v>0</v>
      </c>
      <c r="EB346" s="408">
        <v>0</v>
      </c>
      <c r="EC346" s="408">
        <v>-2408.7197084081718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242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345</v>
      </c>
      <c r="B347" s="408" t="s">
        <v>2233</v>
      </c>
      <c r="C347" s="408" t="s">
        <v>2231</v>
      </c>
      <c r="D347" s="408" t="s">
        <v>1952</v>
      </c>
      <c r="E347" s="408" t="s">
        <v>969</v>
      </c>
      <c r="F347" s="408" t="s">
        <v>2236</v>
      </c>
      <c r="G347" s="408" t="s">
        <v>1322</v>
      </c>
      <c r="H347" s="408" t="s">
        <v>1322</v>
      </c>
      <c r="I347" s="408" t="s">
        <v>1322</v>
      </c>
      <c r="J347" s="408" t="s">
        <v>2232</v>
      </c>
      <c r="K347" s="828">
        <v>44593</v>
      </c>
      <c r="L347" s="408">
        <v>0</v>
      </c>
      <c r="M347" s="408">
        <v>0</v>
      </c>
      <c r="N347" s="408">
        <v>-7.0000000000000007E-2</v>
      </c>
      <c r="O347" s="408">
        <v>-7.0000000000000007E-2</v>
      </c>
      <c r="P347" s="408">
        <v>-7.0000000000000007E-2</v>
      </c>
      <c r="Q347" s="408">
        <v>-7.0000000000000007E-2</v>
      </c>
      <c r="R347" s="408"/>
      <c r="S347" s="408">
        <v>501.89</v>
      </c>
      <c r="T347" s="408">
        <v>216.76</v>
      </c>
      <c r="U347" s="408"/>
      <c r="V347" s="408">
        <v>-50.305500000000002</v>
      </c>
      <c r="W347" s="408">
        <v>-50.305500000000002</v>
      </c>
      <c r="X347" s="408">
        <v>-31.311</v>
      </c>
      <c r="Y347" s="408">
        <v>0</v>
      </c>
      <c r="Z347" s="408">
        <v>0</v>
      </c>
      <c r="AA347" s="408">
        <v>0</v>
      </c>
      <c r="AB347" s="408">
        <v>0</v>
      </c>
      <c r="AC347" s="408">
        <v>0</v>
      </c>
      <c r="AD347" s="408">
        <v>-5.7533958965569246E-2</v>
      </c>
      <c r="AE347" s="408">
        <v>-29.846856815079082</v>
      </c>
      <c r="AF347" s="408">
        <v>-14.952105057654521</v>
      </c>
      <c r="AG347" s="408">
        <v>-0.22101833155166523</v>
      </c>
      <c r="AH347" s="408">
        <v>0</v>
      </c>
      <c r="AI347" s="408">
        <v>0</v>
      </c>
      <c r="AJ347" s="408">
        <v>0</v>
      </c>
      <c r="AK347" s="408">
        <v>0</v>
      </c>
      <c r="AL347" s="408">
        <v>0</v>
      </c>
      <c r="AM347" s="408"/>
      <c r="AN347" s="408">
        <v>-0.13429286893085912</v>
      </c>
      <c r="AO347" s="408">
        <v>-0.62171884243719877</v>
      </c>
      <c r="AP347" s="408">
        <v>-1.9478973580476622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-4.1654873531697306E-2</v>
      </c>
      <c r="BE347" s="408">
        <v>0</v>
      </c>
      <c r="BF347" s="408">
        <v>0</v>
      </c>
      <c r="BG347" s="408">
        <v>-2.4820766226554412</v>
      </c>
      <c r="BH347" s="408">
        <v>0</v>
      </c>
      <c r="BI347" s="408">
        <v>-7.0000000000000007E-2</v>
      </c>
      <c r="BJ347" s="408">
        <v>-0.31</v>
      </c>
      <c r="BK347" s="408">
        <v>-8.2100000000000009</v>
      </c>
      <c r="BL347" s="408">
        <v>0</v>
      </c>
      <c r="BM347" s="408"/>
      <c r="BN347" s="408"/>
      <c r="BO347" s="408"/>
      <c r="BP347" s="408"/>
      <c r="BQ347" s="408"/>
      <c r="BR347" s="408"/>
      <c r="BS347" s="408"/>
      <c r="BT347" s="408">
        <v>-12.523700000000002</v>
      </c>
      <c r="BU347" s="408"/>
      <c r="BV347" s="408">
        <v>-17.47583655384166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-18.787300000000002</v>
      </c>
      <c r="CJ347" s="408">
        <v>11.365999999999996</v>
      </c>
      <c r="CK347" s="408"/>
      <c r="CL347" s="408"/>
      <c r="CM347" s="408"/>
      <c r="CN347" s="408"/>
      <c r="CO347" s="408">
        <v>21.278600000000004</v>
      </c>
      <c r="CP347" s="408">
        <v>-2.2841</v>
      </c>
      <c r="CQ347" s="408">
        <v>29</v>
      </c>
      <c r="CR347" s="408">
        <v>-2.934815554891248</v>
      </c>
      <c r="CS347" s="408">
        <v>-6.4131246206013071E-2</v>
      </c>
      <c r="CT347" s="408">
        <v>-0.20092858142000725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-5.6253862570104507E-3</v>
      </c>
      <c r="DA347" s="408">
        <v>0</v>
      </c>
      <c r="DB347" s="408">
        <v>0</v>
      </c>
      <c r="DC347" s="408">
        <v>-2.2843935466368812</v>
      </c>
      <c r="DD347" s="408">
        <v>0</v>
      </c>
      <c r="DE347" s="408">
        <v>0</v>
      </c>
      <c r="DF347" s="408">
        <v>-6.3640620444324683E-3</v>
      </c>
      <c r="DG347" s="408">
        <v>-0.37921348179330705</v>
      </c>
      <c r="DH347" s="408">
        <v>0</v>
      </c>
      <c r="DI347" s="408">
        <v>0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0</v>
      </c>
      <c r="DP347" s="408">
        <v>5.8407494664022008E-3</v>
      </c>
      <c r="DQ347" s="408">
        <v>0</v>
      </c>
      <c r="DR347" s="408">
        <v>0</v>
      </c>
      <c r="DS347" s="408"/>
      <c r="DT347" s="408"/>
      <c r="DU347" s="408"/>
      <c r="DV347" s="408">
        <v>-29.846856815079082</v>
      </c>
      <c r="DW347" s="408">
        <v>0</v>
      </c>
      <c r="DX347" s="408">
        <v>0</v>
      </c>
      <c r="DY347" s="408">
        <v>21.278599999999997</v>
      </c>
      <c r="DZ347" s="234">
        <v>-2.2840999999999987</v>
      </c>
      <c r="EA347" s="408">
        <v>0</v>
      </c>
      <c r="EB347" s="408">
        <v>0</v>
      </c>
      <c r="EC347" s="408">
        <v>21.928778721364552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242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346</v>
      </c>
      <c r="B348" s="408" t="s">
        <v>1036</v>
      </c>
      <c r="C348" s="408" t="s">
        <v>2231</v>
      </c>
      <c r="D348" s="408" t="s">
        <v>1952</v>
      </c>
      <c r="E348" s="408" t="s">
        <v>969</v>
      </c>
      <c r="F348" s="408" t="s">
        <v>2237</v>
      </c>
      <c r="G348" s="408" t="s">
        <v>1322</v>
      </c>
      <c r="H348" s="408" t="s">
        <v>1322</v>
      </c>
      <c r="I348" s="408" t="s">
        <v>1322</v>
      </c>
      <c r="J348" s="408" t="s">
        <v>2232</v>
      </c>
      <c r="K348" s="828">
        <v>44593</v>
      </c>
      <c r="L348" s="408">
        <v>0</v>
      </c>
      <c r="M348" s="408">
        <v>0</v>
      </c>
      <c r="N348" s="408">
        <v>9.4149999999999991</v>
      </c>
      <c r="O348" s="408">
        <v>9.4149999999999991</v>
      </c>
      <c r="P348" s="408">
        <v>9.4149999999999991</v>
      </c>
      <c r="Q348" s="408">
        <v>9.4149999999999991</v>
      </c>
      <c r="R348" s="408"/>
      <c r="S348" s="408">
        <v>501.89</v>
      </c>
      <c r="T348" s="408">
        <v>216.76</v>
      </c>
      <c r="U348" s="408"/>
      <c r="V348" s="408">
        <v>6766.0897499999992</v>
      </c>
      <c r="W348" s="408">
        <v>6766.0897499999992</v>
      </c>
      <c r="X348" s="408">
        <v>4211.3294999999998</v>
      </c>
      <c r="Y348" s="408">
        <v>0</v>
      </c>
      <c r="Z348" s="408">
        <v>0</v>
      </c>
      <c r="AA348" s="408">
        <v>0</v>
      </c>
      <c r="AB348" s="408">
        <v>0</v>
      </c>
      <c r="AC348" s="408">
        <v>0</v>
      </c>
      <c r="AD348" s="408">
        <v>7.7383174808690622</v>
      </c>
      <c r="AE348" s="408">
        <v>4014.4022416281359</v>
      </c>
      <c r="AF348" s="408">
        <v>2011.0581302545327</v>
      </c>
      <c r="AG348" s="408">
        <v>29.726965593698967</v>
      </c>
      <c r="AH348" s="408">
        <v>0</v>
      </c>
      <c r="AI348" s="408">
        <v>0</v>
      </c>
      <c r="AJ348" s="408">
        <v>0</v>
      </c>
      <c r="AK348" s="408">
        <v>0</v>
      </c>
      <c r="AL348" s="408">
        <v>0</v>
      </c>
      <c r="AM348" s="408"/>
      <c r="AN348" s="408">
        <v>18.062390871200545</v>
      </c>
      <c r="AO348" s="408">
        <v>83.621184307803219</v>
      </c>
      <c r="AP348" s="408">
        <v>261.99219465741049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5.6025804900132865</v>
      </c>
      <c r="BE348" s="408">
        <v>0</v>
      </c>
      <c r="BF348" s="408">
        <v>0</v>
      </c>
      <c r="BG348" s="408">
        <v>333.83930574715674</v>
      </c>
      <c r="BH348" s="408">
        <v>0</v>
      </c>
      <c r="BI348" s="408">
        <v>9.89</v>
      </c>
      <c r="BJ348" s="408">
        <v>46.58</v>
      </c>
      <c r="BK348" s="408">
        <v>1282</v>
      </c>
      <c r="BL348" s="408">
        <v>52</v>
      </c>
      <c r="BM348" s="408"/>
      <c r="BN348" s="408"/>
      <c r="BO348" s="408"/>
      <c r="BP348" s="408"/>
      <c r="BQ348" s="408"/>
      <c r="BR348" s="408"/>
      <c r="BS348" s="408"/>
      <c r="BT348" s="408">
        <v>421.13294999999982</v>
      </c>
      <c r="BU348" s="408"/>
      <c r="BV348" s="408">
        <v>2350.5000164917028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3792.2093999999997</v>
      </c>
      <c r="CJ348" s="408">
        <v>-2297.2543000000005</v>
      </c>
      <c r="CK348" s="408"/>
      <c r="CL348" s="408"/>
      <c r="CM348" s="408"/>
      <c r="CN348" s="408"/>
      <c r="CO348" s="408">
        <v>-2861.9717000000001</v>
      </c>
      <c r="CP348" s="408">
        <v>307.21144999999996</v>
      </c>
      <c r="CQ348" s="408">
        <v>29</v>
      </c>
      <c r="CR348" s="408">
        <v>394.73269213287313</v>
      </c>
      <c r="CS348" s="408">
        <v>8.6256526147087556</v>
      </c>
      <c r="CT348" s="408">
        <v>27.024894200990957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0.75661445156790563</v>
      </c>
      <c r="DA348" s="408">
        <v>0</v>
      </c>
      <c r="DB348" s="408">
        <v>0</v>
      </c>
      <c r="DC348" s="408">
        <v>307.25093202266021</v>
      </c>
      <c r="DD348" s="408">
        <v>0</v>
      </c>
      <c r="DE348" s="408">
        <v>0</v>
      </c>
      <c r="DF348" s="408">
        <v>0.85596634497616719</v>
      </c>
      <c r="DG348" s="408">
        <v>51.004213301199798</v>
      </c>
      <c r="DH348" s="408">
        <v>0</v>
      </c>
      <c r="DI348" s="408">
        <v>0</v>
      </c>
      <c r="DJ348" s="408"/>
      <c r="DK348" s="408">
        <v>0</v>
      </c>
      <c r="DL348" s="408">
        <v>0</v>
      </c>
      <c r="DM348" s="408">
        <v>0</v>
      </c>
      <c r="DN348" s="408">
        <v>0</v>
      </c>
      <c r="DO348" s="408">
        <v>0</v>
      </c>
      <c r="DP348" s="408">
        <v>-0.78558080323109181</v>
      </c>
      <c r="DQ348" s="408">
        <v>0</v>
      </c>
      <c r="DR348" s="408">
        <v>0</v>
      </c>
      <c r="DS348" s="408"/>
      <c r="DT348" s="408"/>
      <c r="DU348" s="408"/>
      <c r="DV348" s="408">
        <v>4014.4022416281359</v>
      </c>
      <c r="DW348" s="408">
        <v>0</v>
      </c>
      <c r="DX348" s="408">
        <v>0</v>
      </c>
      <c r="DY348" s="408">
        <v>-2861.9716999999991</v>
      </c>
      <c r="DZ348" s="234">
        <v>307.21145000000001</v>
      </c>
      <c r="EA348" s="408">
        <v>0</v>
      </c>
      <c r="EB348" s="408">
        <v>0</v>
      </c>
      <c r="EC348" s="408">
        <v>-2949.4207380235321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242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347</v>
      </c>
      <c r="B349" s="408" t="s">
        <v>2233</v>
      </c>
      <c r="C349" s="408" t="s">
        <v>2231</v>
      </c>
      <c r="D349" s="408" t="s">
        <v>1952</v>
      </c>
      <c r="E349" s="408" t="s">
        <v>969</v>
      </c>
      <c r="F349" s="408" t="s">
        <v>2237</v>
      </c>
      <c r="G349" s="408" t="s">
        <v>1322</v>
      </c>
      <c r="H349" s="408" t="s">
        <v>1322</v>
      </c>
      <c r="I349" s="408" t="s">
        <v>1322</v>
      </c>
      <c r="J349" s="408" t="s">
        <v>2232</v>
      </c>
      <c r="K349" s="828">
        <v>44593</v>
      </c>
      <c r="L349" s="408">
        <v>0</v>
      </c>
      <c r="M349" s="408">
        <v>0</v>
      </c>
      <c r="N349" s="408">
        <v>-0.16200000000000001</v>
      </c>
      <c r="O349" s="408">
        <v>-0.16200000000000001</v>
      </c>
      <c r="P349" s="408">
        <v>-0.16200000000000001</v>
      </c>
      <c r="Q349" s="408">
        <v>-0.16200000000000001</v>
      </c>
      <c r="R349" s="408"/>
      <c r="S349" s="408">
        <v>501.89</v>
      </c>
      <c r="T349" s="408">
        <v>216.76</v>
      </c>
      <c r="U349" s="408"/>
      <c r="V349" s="408">
        <v>-116.4213</v>
      </c>
      <c r="W349" s="408">
        <v>-116.4213</v>
      </c>
      <c r="X349" s="408">
        <v>-72.462599999999995</v>
      </c>
      <c r="Y349" s="408">
        <v>0</v>
      </c>
      <c r="Z349" s="408">
        <v>0</v>
      </c>
      <c r="AA349" s="408">
        <v>0</v>
      </c>
      <c r="AB349" s="408">
        <v>0</v>
      </c>
      <c r="AC349" s="408">
        <v>0</v>
      </c>
      <c r="AD349" s="408">
        <v>-0.13315001932031739</v>
      </c>
      <c r="AE349" s="408">
        <v>-69.074154343468734</v>
      </c>
      <c r="AF349" s="408">
        <v>-34.603443133429032</v>
      </c>
      <c r="AG349" s="408">
        <v>-0.51149956730528234</v>
      </c>
      <c r="AH349" s="408">
        <v>0</v>
      </c>
      <c r="AI349" s="408">
        <v>0</v>
      </c>
      <c r="AJ349" s="408">
        <v>0</v>
      </c>
      <c r="AK349" s="408">
        <v>0</v>
      </c>
      <c r="AL349" s="408">
        <v>0</v>
      </c>
      <c r="AM349" s="408"/>
      <c r="AN349" s="408">
        <v>-0.31079206809713106</v>
      </c>
      <c r="AO349" s="408">
        <v>-1.43883503535466</v>
      </c>
      <c r="AP349" s="408">
        <v>-4.5079910286245894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-9.6401278744785185E-2</v>
      </c>
      <c r="BE349" s="408">
        <v>0</v>
      </c>
      <c r="BF349" s="408">
        <v>0</v>
      </c>
      <c r="BG349" s="408">
        <v>-5.7442344695740202</v>
      </c>
      <c r="BH349" s="408">
        <v>0</v>
      </c>
      <c r="BI349" s="408">
        <v>-0.25</v>
      </c>
      <c r="BJ349" s="408">
        <v>-1.23</v>
      </c>
      <c r="BK349" s="408">
        <v>-27.64</v>
      </c>
      <c r="BL349" s="408">
        <v>0</v>
      </c>
      <c r="BM349" s="408"/>
      <c r="BN349" s="408"/>
      <c r="BO349" s="408"/>
      <c r="BP349" s="408"/>
      <c r="BQ349" s="408"/>
      <c r="BR349" s="408"/>
      <c r="BS349" s="408"/>
      <c r="BT349" s="408">
        <v>-7.2462599999999995</v>
      </c>
      <c r="BU349" s="408"/>
      <c r="BV349" s="408">
        <v>-40.444078881747835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-64.411200000000008</v>
      </c>
      <c r="CJ349" s="408">
        <v>40.337159999999969</v>
      </c>
      <c r="CK349" s="408"/>
      <c r="CL349" s="408"/>
      <c r="CM349" s="408"/>
      <c r="CN349" s="408"/>
      <c r="CO349" s="408">
        <v>49.244760000000007</v>
      </c>
      <c r="CP349" s="408">
        <v>-5.2860599999999991</v>
      </c>
      <c r="CQ349" s="408">
        <v>29</v>
      </c>
      <c r="CR349" s="408">
        <v>-6.7920017127483305</v>
      </c>
      <c r="CS349" s="408">
        <v>-0.14841802693391593</v>
      </c>
      <c r="CT349" s="408">
        <v>-0.46500614557201647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-1.3018751051938449E-2</v>
      </c>
      <c r="DA349" s="408">
        <v>0</v>
      </c>
      <c r="DB349" s="408">
        <v>0</v>
      </c>
      <c r="DC349" s="408">
        <v>-5.2867393507882099</v>
      </c>
      <c r="DD349" s="408">
        <v>0</v>
      </c>
      <c r="DE349" s="408">
        <v>0</v>
      </c>
      <c r="DF349" s="408">
        <v>-1.4728257874258008E-2</v>
      </c>
      <c r="DG349" s="408">
        <v>-0.87760834357879691</v>
      </c>
      <c r="DH349" s="408">
        <v>0</v>
      </c>
      <c r="DI349" s="408">
        <v>0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0</v>
      </c>
      <c r="DP349" s="408">
        <v>1.3517163050816516E-2</v>
      </c>
      <c r="DQ349" s="408">
        <v>0</v>
      </c>
      <c r="DR349" s="408">
        <v>0</v>
      </c>
      <c r="DS349" s="408"/>
      <c r="DT349" s="408"/>
      <c r="DU349" s="408"/>
      <c r="DV349" s="408">
        <v>-69.074154343468734</v>
      </c>
      <c r="DW349" s="408">
        <v>0</v>
      </c>
      <c r="DX349" s="408">
        <v>0</v>
      </c>
      <c r="DY349" s="408">
        <v>49.244759999999999</v>
      </c>
      <c r="DZ349" s="234">
        <v>-5.2860599999999991</v>
      </c>
      <c r="EA349" s="408">
        <v>0</v>
      </c>
      <c r="EB349" s="408">
        <v>0</v>
      </c>
      <c r="EC349" s="408">
        <v>50.749459326586532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242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348</v>
      </c>
      <c r="B350" s="408" t="s">
        <v>1036</v>
      </c>
      <c r="C350" s="408" t="s">
        <v>2231</v>
      </c>
      <c r="D350" s="408" t="s">
        <v>1952</v>
      </c>
      <c r="E350" s="408" t="s">
        <v>969</v>
      </c>
      <c r="F350" s="408" t="s">
        <v>2238</v>
      </c>
      <c r="G350" s="408" t="s">
        <v>1322</v>
      </c>
      <c r="H350" s="408" t="s">
        <v>1322</v>
      </c>
      <c r="I350" s="408" t="s">
        <v>1322</v>
      </c>
      <c r="J350" s="408" t="s">
        <v>2232</v>
      </c>
      <c r="K350" s="828">
        <v>44593</v>
      </c>
      <c r="L350" s="408">
        <v>0</v>
      </c>
      <c r="M350" s="408">
        <v>0</v>
      </c>
      <c r="N350" s="408">
        <v>6.7270000000000003</v>
      </c>
      <c r="O350" s="408">
        <v>6.7270000000000003</v>
      </c>
      <c r="P350" s="408">
        <v>6.7270000000000003</v>
      </c>
      <c r="Q350" s="408">
        <v>6.7270000000000003</v>
      </c>
      <c r="R350" s="408"/>
      <c r="S350" s="408">
        <v>501.89</v>
      </c>
      <c r="T350" s="408">
        <v>216.76</v>
      </c>
      <c r="U350" s="408"/>
      <c r="V350" s="408">
        <v>4834.3585499999999</v>
      </c>
      <c r="W350" s="408">
        <v>4834.3585499999999</v>
      </c>
      <c r="X350" s="408">
        <v>3008.9871000000003</v>
      </c>
      <c r="Y350" s="408">
        <v>0</v>
      </c>
      <c r="Z350" s="408">
        <v>0</v>
      </c>
      <c r="AA350" s="408">
        <v>0</v>
      </c>
      <c r="AB350" s="408">
        <v>0</v>
      </c>
      <c r="AC350" s="408">
        <v>0</v>
      </c>
      <c r="AD350" s="408">
        <v>5.5290134565912039</v>
      </c>
      <c r="AE350" s="408">
        <v>2868.2829399290995</v>
      </c>
      <c r="AF350" s="408">
        <v>1436.8972960405995</v>
      </c>
      <c r="AG350" s="408">
        <v>21.239861662115029</v>
      </c>
      <c r="AH350" s="408">
        <v>0</v>
      </c>
      <c r="AI350" s="408">
        <v>0</v>
      </c>
      <c r="AJ350" s="408">
        <v>0</v>
      </c>
      <c r="AK350" s="408">
        <v>0</v>
      </c>
      <c r="AL350" s="408">
        <v>0</v>
      </c>
      <c r="AM350" s="408"/>
      <c r="AN350" s="408">
        <v>12.90554470425556</v>
      </c>
      <c r="AO350" s="408">
        <v>59.747180758214803</v>
      </c>
      <c r="AP350" s="408">
        <v>187.19293610838031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4.0030333463961112</v>
      </c>
      <c r="BE350" s="408">
        <v>0</v>
      </c>
      <c r="BF350" s="408">
        <v>0</v>
      </c>
      <c r="BG350" s="408">
        <v>238.52756343718787</v>
      </c>
      <c r="BH350" s="408">
        <v>0</v>
      </c>
      <c r="BI350" s="408">
        <v>7.75</v>
      </c>
      <c r="BJ350" s="408">
        <v>36.76</v>
      </c>
      <c r="BK350" s="408">
        <v>1017.76</v>
      </c>
      <c r="BL350" s="408">
        <v>51</v>
      </c>
      <c r="BM350" s="408"/>
      <c r="BN350" s="408"/>
      <c r="BO350" s="408"/>
      <c r="BP350" s="408"/>
      <c r="BQ350" s="408"/>
      <c r="BR350" s="408"/>
      <c r="BS350" s="408"/>
      <c r="BT350" s="408"/>
      <c r="BU350" s="408"/>
      <c r="BV350" s="408">
        <v>1679.4278928241833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3010.3290000000002</v>
      </c>
      <c r="CJ350" s="408">
        <v>-1824.0595500000004</v>
      </c>
      <c r="CK350" s="408"/>
      <c r="CL350" s="408"/>
      <c r="CM350" s="408"/>
      <c r="CN350" s="408"/>
      <c r="CO350" s="408">
        <v>-2044.8734600000003</v>
      </c>
      <c r="CP350" s="408">
        <v>219.50200999999998</v>
      </c>
      <c r="CQ350" s="408">
        <v>29</v>
      </c>
      <c r="CR350" s="408">
        <v>282.03577482504897</v>
      </c>
      <c r="CS350" s="408">
        <v>6.1630127603978551</v>
      </c>
      <c r="CT350" s="408">
        <v>19.309236674462682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0.54059961929870415</v>
      </c>
      <c r="DA350" s="408">
        <v>0</v>
      </c>
      <c r="DB350" s="408">
        <v>0</v>
      </c>
      <c r="DC350" s="408">
        <v>219.53021983180406</v>
      </c>
      <c r="DD350" s="408">
        <v>0</v>
      </c>
      <c r="DE350" s="408">
        <v>0</v>
      </c>
      <c r="DF350" s="408">
        <v>0.61158636246995979</v>
      </c>
      <c r="DG350" s="408">
        <v>36.44241560033683</v>
      </c>
      <c r="DH350" s="408">
        <v>0</v>
      </c>
      <c r="DI350" s="408">
        <v>0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0</v>
      </c>
      <c r="DP350" s="408">
        <v>-0.5612960237212512</v>
      </c>
      <c r="DQ350" s="408">
        <v>0</v>
      </c>
      <c r="DR350" s="408">
        <v>0</v>
      </c>
      <c r="DS350" s="408"/>
      <c r="DT350" s="408"/>
      <c r="DU350" s="408"/>
      <c r="DV350" s="408">
        <v>2868.2829399290995</v>
      </c>
      <c r="DW350" s="408">
        <v>0</v>
      </c>
      <c r="DX350" s="408">
        <v>0</v>
      </c>
      <c r="DY350" s="408">
        <v>-2044.87346</v>
      </c>
      <c r="DZ350" s="234">
        <v>219.50200999999993</v>
      </c>
      <c r="EA350" s="408">
        <v>0</v>
      </c>
      <c r="EB350" s="408">
        <v>0</v>
      </c>
      <c r="EC350" s="408">
        <v>-2107.3556351231332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242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349</v>
      </c>
      <c r="B351" s="408" t="s">
        <v>1036</v>
      </c>
      <c r="C351" s="408" t="s">
        <v>2231</v>
      </c>
      <c r="D351" s="408" t="s">
        <v>1955</v>
      </c>
      <c r="E351" s="408" t="s">
        <v>970</v>
      </c>
      <c r="F351" s="408" t="s">
        <v>1322</v>
      </c>
      <c r="G351" s="408" t="s">
        <v>1322</v>
      </c>
      <c r="H351" s="408" t="s">
        <v>1322</v>
      </c>
      <c r="I351" s="408" t="s">
        <v>1322</v>
      </c>
      <c r="J351" s="408" t="s">
        <v>2232</v>
      </c>
      <c r="K351" s="828">
        <v>44593</v>
      </c>
      <c r="L351" s="408">
        <v>0</v>
      </c>
      <c r="M351" s="408">
        <v>0</v>
      </c>
      <c r="N351" s="408">
        <v>34.375</v>
      </c>
      <c r="O351" s="408">
        <v>34.375</v>
      </c>
      <c r="P351" s="408">
        <v>34.375</v>
      </c>
      <c r="Q351" s="408">
        <v>34.375</v>
      </c>
      <c r="R351" s="408"/>
      <c r="S351" s="408">
        <v>571.87</v>
      </c>
      <c r="T351" s="408">
        <v>216.76</v>
      </c>
      <c r="U351" s="408"/>
      <c r="V351" s="408">
        <v>27109.15625</v>
      </c>
      <c r="W351" s="408">
        <v>27109.15625</v>
      </c>
      <c r="X351" s="408">
        <v>17669.09375</v>
      </c>
      <c r="Y351" s="408">
        <v>0</v>
      </c>
      <c r="Z351" s="408">
        <v>2083.4899608888509</v>
      </c>
      <c r="AA351" s="408">
        <v>0</v>
      </c>
      <c r="AB351" s="408">
        <v>0</v>
      </c>
      <c r="AC351" s="408">
        <v>0</v>
      </c>
      <c r="AD351" s="408">
        <v>28.253283420592037</v>
      </c>
      <c r="AE351" s="408">
        <v>14656.938614547762</v>
      </c>
      <c r="AF351" s="408">
        <v>7342.5515908124871</v>
      </c>
      <c r="AG351" s="408">
        <v>108.53578781554988</v>
      </c>
      <c r="AH351" s="408">
        <v>0</v>
      </c>
      <c r="AI351" s="408">
        <v>0</v>
      </c>
      <c r="AJ351" s="408">
        <v>0</v>
      </c>
      <c r="AK351" s="408">
        <v>0</v>
      </c>
      <c r="AL351" s="408">
        <v>322.21865701333581</v>
      </c>
      <c r="AM351" s="408"/>
      <c r="AN351" s="408">
        <v>65.947390992832595</v>
      </c>
      <c r="AO351" s="408">
        <v>305.3083601254101</v>
      </c>
      <c r="AP351" s="408">
        <v>956.55673832697687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20.45551825217278</v>
      </c>
      <c r="BE351" s="408">
        <v>0</v>
      </c>
      <c r="BF351" s="408">
        <v>0</v>
      </c>
      <c r="BG351" s="408">
        <v>1218.876912911154</v>
      </c>
      <c r="BH351" s="408">
        <v>0</v>
      </c>
      <c r="BI351" s="408">
        <v>68.09</v>
      </c>
      <c r="BJ351" s="408">
        <v>313.2</v>
      </c>
      <c r="BK351" s="408">
        <v>4736.32</v>
      </c>
      <c r="BL351" s="408">
        <v>27</v>
      </c>
      <c r="BM351" s="408"/>
      <c r="BN351" s="408"/>
      <c r="BO351" s="408"/>
      <c r="BP351" s="408"/>
      <c r="BQ351" s="408"/>
      <c r="BR351" s="408"/>
      <c r="BS351" s="408"/>
      <c r="BT351" s="408"/>
      <c r="BU351" s="408"/>
      <c r="BV351" s="408">
        <v>8581.8840219758131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17671.663800000002</v>
      </c>
      <c r="CJ351" s="408">
        <v>-9437.5224499999931</v>
      </c>
      <c r="CK351" s="408"/>
      <c r="CL351" s="408"/>
      <c r="CM351" s="408"/>
      <c r="CN351" s="408"/>
      <c r="CO351" s="408">
        <v>-10561.71875</v>
      </c>
      <c r="CP351" s="408">
        <v>1121.6562499999998</v>
      </c>
      <c r="CQ351" s="408">
        <v>29</v>
      </c>
      <c r="CR351" s="408">
        <v>1328.6042634736077</v>
      </c>
      <c r="CS351" s="408">
        <v>31.49302269045279</v>
      </c>
      <c r="CT351" s="408">
        <v>98.670285518753531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2.7624664654962032</v>
      </c>
      <c r="DA351" s="408">
        <v>0</v>
      </c>
      <c r="DB351" s="408">
        <v>0</v>
      </c>
      <c r="DC351" s="408">
        <v>1121.8004023663252</v>
      </c>
      <c r="DD351" s="408">
        <v>0</v>
      </c>
      <c r="DE351" s="408">
        <v>0</v>
      </c>
      <c r="DF351" s="408">
        <v>3.1252090396766619</v>
      </c>
      <c r="DG351" s="408">
        <v>186.22090623778467</v>
      </c>
      <c r="DH351" s="408">
        <v>0</v>
      </c>
      <c r="DI351" s="408">
        <v>-99.543307409469662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-13.056496251018984</v>
      </c>
      <c r="DP351" s="408">
        <v>-2.8682251843939355</v>
      </c>
      <c r="DQ351" s="408">
        <v>0</v>
      </c>
      <c r="DR351" s="408">
        <v>0</v>
      </c>
      <c r="DS351" s="408"/>
      <c r="DT351" s="408"/>
      <c r="DU351" s="408"/>
      <c r="DV351" s="408">
        <v>14656.938614547762</v>
      </c>
      <c r="DW351" s="408">
        <v>0</v>
      </c>
      <c r="DX351" s="408">
        <v>0</v>
      </c>
      <c r="DY351" s="408">
        <v>-10561.71875</v>
      </c>
      <c r="DZ351" s="234">
        <v>1121.65625</v>
      </c>
      <c r="EA351" s="408">
        <v>0</v>
      </c>
      <c r="EB351" s="408">
        <v>0</v>
      </c>
      <c r="EC351" s="408">
        <v>-10768.596693527234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0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242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350</v>
      </c>
      <c r="B352" s="408" t="s">
        <v>2234</v>
      </c>
      <c r="C352" s="408" t="s">
        <v>2231</v>
      </c>
      <c r="D352" s="408" t="s">
        <v>1955</v>
      </c>
      <c r="E352" s="408" t="s">
        <v>970</v>
      </c>
      <c r="F352" s="408" t="s">
        <v>1322</v>
      </c>
      <c r="G352" s="408" t="s">
        <v>1322</v>
      </c>
      <c r="H352" s="408" t="s">
        <v>1322</v>
      </c>
      <c r="I352" s="408" t="s">
        <v>1322</v>
      </c>
      <c r="J352" s="408" t="s">
        <v>2232</v>
      </c>
      <c r="K352" s="828">
        <v>44593</v>
      </c>
      <c r="L352" s="408">
        <v>0</v>
      </c>
      <c r="M352" s="408">
        <v>0</v>
      </c>
      <c r="N352" s="408">
        <v>2.4849999999999999</v>
      </c>
      <c r="O352" s="408">
        <v>2.4849999999999999</v>
      </c>
      <c r="P352" s="408">
        <v>2.4849999999999999</v>
      </c>
      <c r="Q352" s="408">
        <v>2.4849999999999999</v>
      </c>
      <c r="R352" s="408"/>
      <c r="S352" s="408">
        <v>571.87</v>
      </c>
      <c r="T352" s="408">
        <v>216.76</v>
      </c>
      <c r="U352" s="408"/>
      <c r="V352" s="408">
        <v>1959.7455499999999</v>
      </c>
      <c r="W352" s="408">
        <v>1959.7455499999999</v>
      </c>
      <c r="X352" s="408">
        <v>1277.3148499999998</v>
      </c>
      <c r="Y352" s="408">
        <v>0</v>
      </c>
      <c r="Z352" s="408">
        <v>150.61738335443766</v>
      </c>
      <c r="AA352" s="408">
        <v>0</v>
      </c>
      <c r="AB352" s="408">
        <v>0</v>
      </c>
      <c r="AC352" s="408">
        <v>0</v>
      </c>
      <c r="AD352" s="408">
        <v>2.0424555432777081</v>
      </c>
      <c r="AE352" s="408">
        <v>1059.5634169353073</v>
      </c>
      <c r="AF352" s="408">
        <v>530.79972954673542</v>
      </c>
      <c r="AG352" s="408">
        <v>7.8461507700841144</v>
      </c>
      <c r="AH352" s="408">
        <v>0</v>
      </c>
      <c r="AI352" s="408">
        <v>0</v>
      </c>
      <c r="AJ352" s="408">
        <v>0</v>
      </c>
      <c r="AK352" s="408">
        <v>0</v>
      </c>
      <c r="AL352" s="408">
        <v>23.293479641545876</v>
      </c>
      <c r="AM352" s="408"/>
      <c r="AN352" s="408">
        <v>4.7673968470454975</v>
      </c>
      <c r="AO352" s="408">
        <v>22.071018906520553</v>
      </c>
      <c r="AP352" s="408">
        <v>69.150356210691996</v>
      </c>
      <c r="AQ352" s="408">
        <v>0</v>
      </c>
      <c r="AR352" s="408">
        <v>0</v>
      </c>
      <c r="AS352" s="408">
        <v>0</v>
      </c>
      <c r="AT352" s="408">
        <v>0</v>
      </c>
      <c r="AU352" s="408">
        <v>0</v>
      </c>
      <c r="AV352" s="408">
        <v>0</v>
      </c>
      <c r="AW352" s="408">
        <v>0</v>
      </c>
      <c r="AX352" s="408">
        <v>0</v>
      </c>
      <c r="AY352" s="408">
        <v>0</v>
      </c>
      <c r="AZ352" s="408">
        <v>0</v>
      </c>
      <c r="BA352" s="408"/>
      <c r="BB352" s="408">
        <v>0</v>
      </c>
      <c r="BC352" s="408">
        <v>0</v>
      </c>
      <c r="BD352" s="408">
        <v>1.4787480103752542</v>
      </c>
      <c r="BE352" s="408">
        <v>0</v>
      </c>
      <c r="BF352" s="408">
        <v>0</v>
      </c>
      <c r="BG352" s="408">
        <v>88.11372010426814</v>
      </c>
      <c r="BH352" s="408">
        <v>0</v>
      </c>
      <c r="BI352" s="408">
        <v>4.5</v>
      </c>
      <c r="BJ352" s="408">
        <v>20.72</v>
      </c>
      <c r="BK352" s="408">
        <v>958.09</v>
      </c>
      <c r="BL352" s="408">
        <v>4</v>
      </c>
      <c r="BM352" s="408"/>
      <c r="BN352" s="408"/>
      <c r="BO352" s="408"/>
      <c r="BP352" s="408"/>
      <c r="BQ352" s="408"/>
      <c r="BR352" s="408"/>
      <c r="BS352" s="408"/>
      <c r="BT352" s="408"/>
      <c r="BU352" s="408"/>
      <c r="BV352" s="408">
        <v>620.39219766137887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1279.8849</v>
      </c>
      <c r="CJ352" s="408">
        <v>-679.89064999999982</v>
      </c>
      <c r="CK352" s="408"/>
      <c r="CL352" s="408"/>
      <c r="CM352" s="408"/>
      <c r="CN352" s="408"/>
      <c r="CO352" s="408">
        <v>-763.51625000000001</v>
      </c>
      <c r="CP352" s="408">
        <v>81.085549999999984</v>
      </c>
      <c r="CQ352" s="408">
        <v>29</v>
      </c>
      <c r="CR352" s="408">
        <v>96.046010028564524</v>
      </c>
      <c r="CS352" s="408">
        <v>2.2766592403134638</v>
      </c>
      <c r="CT352" s="408">
        <v>7.1329646404102505</v>
      </c>
      <c r="CU352" s="408">
        <v>0</v>
      </c>
      <c r="CV352" s="408">
        <v>0</v>
      </c>
      <c r="CW352" s="408">
        <v>0</v>
      </c>
      <c r="CX352" s="408">
        <v>0</v>
      </c>
      <c r="CY352" s="408">
        <v>0</v>
      </c>
      <c r="CZ352" s="408">
        <v>0.1997012121238706</v>
      </c>
      <c r="DA352" s="408">
        <v>0</v>
      </c>
      <c r="DB352" s="408">
        <v>0</v>
      </c>
      <c r="DC352" s="408">
        <v>81.095970905609306</v>
      </c>
      <c r="DD352" s="408">
        <v>0</v>
      </c>
      <c r="DE352" s="408">
        <v>0</v>
      </c>
      <c r="DF352" s="408">
        <v>0.22592420257735268</v>
      </c>
      <c r="DG352" s="408">
        <v>13.462078603662405</v>
      </c>
      <c r="DH352" s="408">
        <v>0</v>
      </c>
      <c r="DI352" s="408">
        <v>-7.1960761865464065</v>
      </c>
      <c r="DJ352" s="408"/>
      <c r="DK352" s="408">
        <v>0</v>
      </c>
      <c r="DL352" s="408">
        <v>0</v>
      </c>
      <c r="DM352" s="408">
        <v>0</v>
      </c>
      <c r="DN352" s="408">
        <v>0</v>
      </c>
      <c r="DO352" s="408">
        <v>-0.94386598352820883</v>
      </c>
      <c r="DP352" s="408">
        <v>-0.2073466060572775</v>
      </c>
      <c r="DQ352" s="408">
        <v>0</v>
      </c>
      <c r="DR352" s="408">
        <v>0</v>
      </c>
      <c r="DS352" s="408"/>
      <c r="DT352" s="408"/>
      <c r="DU352" s="408"/>
      <c r="DV352" s="408">
        <v>1059.5634169353073</v>
      </c>
      <c r="DW352" s="408">
        <v>0</v>
      </c>
      <c r="DX352" s="408">
        <v>0</v>
      </c>
      <c r="DY352" s="408">
        <v>-763.5162499999999</v>
      </c>
      <c r="DZ352" s="234">
        <v>81.085549999999898</v>
      </c>
      <c r="EA352" s="408">
        <v>0</v>
      </c>
      <c r="EB352" s="408">
        <v>0</v>
      </c>
      <c r="EC352" s="408">
        <v>-778.47164460844147</v>
      </c>
      <c r="ED352" s="408">
        <v>0</v>
      </c>
      <c r="EE352" s="408">
        <v>0</v>
      </c>
      <c r="EF352" s="408">
        <v>0</v>
      </c>
      <c r="EG352" s="408">
        <v>0</v>
      </c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>
        <v>0</v>
      </c>
      <c r="EN352" s="408">
        <v>0</v>
      </c>
      <c r="EO352" s="408">
        <v>0</v>
      </c>
      <c r="EP352" s="408">
        <v>0</v>
      </c>
      <c r="EQ352" s="408">
        <v>0</v>
      </c>
      <c r="ER352" s="408">
        <v>0</v>
      </c>
      <c r="ES352" s="408">
        <v>0</v>
      </c>
      <c r="ET352" s="408">
        <v>0</v>
      </c>
      <c r="EU352" s="408">
        <v>0</v>
      </c>
      <c r="EV352" s="408">
        <v>242</v>
      </c>
      <c r="EW352" s="408">
        <v>0</v>
      </c>
      <c r="EX352" s="408">
        <v>0</v>
      </c>
      <c r="EY352" s="408">
        <v>0</v>
      </c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351</v>
      </c>
      <c r="B353" s="408" t="s">
        <v>1036</v>
      </c>
      <c r="C353" s="408" t="s">
        <v>2239</v>
      </c>
      <c r="D353" s="408" t="s">
        <v>597</v>
      </c>
      <c r="E353" s="408" t="s">
        <v>970</v>
      </c>
      <c r="F353" s="408" t="s">
        <v>1322</v>
      </c>
      <c r="G353" s="408" t="s">
        <v>1322</v>
      </c>
      <c r="H353" s="408" t="s">
        <v>1322</v>
      </c>
      <c r="I353" s="408" t="s">
        <v>973</v>
      </c>
      <c r="J353" s="408" t="s">
        <v>2232</v>
      </c>
      <c r="K353" s="828">
        <v>44593</v>
      </c>
      <c r="L353" s="408">
        <v>0</v>
      </c>
      <c r="M353" s="408">
        <v>0</v>
      </c>
      <c r="N353" s="408">
        <v>1.855</v>
      </c>
      <c r="O353" s="408">
        <v>1.855</v>
      </c>
      <c r="P353" s="408">
        <v>1.855</v>
      </c>
      <c r="Q353" s="408">
        <v>1.855</v>
      </c>
      <c r="R353" s="408"/>
      <c r="S353" s="408">
        <v>2592.54</v>
      </c>
      <c r="T353" s="408">
        <v>216.76</v>
      </c>
      <c r="U353" s="408"/>
      <c r="V353" s="408">
        <v>5211.2514999999994</v>
      </c>
      <c r="W353" s="408">
        <v>5211.2514999999994</v>
      </c>
      <c r="X353" s="408">
        <v>2191.1259999999997</v>
      </c>
      <c r="Y353" s="408">
        <v>0</v>
      </c>
      <c r="Z353" s="408">
        <v>97.816444316522848</v>
      </c>
      <c r="AA353" s="408">
        <v>0</v>
      </c>
      <c r="AB353" s="408">
        <v>0</v>
      </c>
      <c r="AC353" s="408">
        <v>0</v>
      </c>
      <c r="AD353" s="408">
        <v>9.3800583091087475</v>
      </c>
      <c r="AE353" s="408">
        <v>4249.603740687654</v>
      </c>
      <c r="AF353" s="408">
        <v>396.23078402784478</v>
      </c>
      <c r="AG353" s="408">
        <v>5.8569857861191279</v>
      </c>
      <c r="AH353" s="408">
        <v>0</v>
      </c>
      <c r="AI353" s="408">
        <v>0</v>
      </c>
      <c r="AJ353" s="408">
        <v>0</v>
      </c>
      <c r="AK353" s="408">
        <v>0</v>
      </c>
      <c r="AL353" s="408">
        <v>17.388090436646923</v>
      </c>
      <c r="AM353" s="408"/>
      <c r="AN353" s="408">
        <v>2.5473271745101895</v>
      </c>
      <c r="AO353" s="408">
        <v>83.688086708244484</v>
      </c>
      <c r="AP353" s="408">
        <v>317.57738888369892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0.84828908563394345</v>
      </c>
      <c r="BE353" s="408">
        <v>0</v>
      </c>
      <c r="BF353" s="408">
        <v>0</v>
      </c>
      <c r="BG353" s="408">
        <v>30.303570914187024</v>
      </c>
      <c r="BH353" s="408">
        <v>0</v>
      </c>
      <c r="BI353" s="408">
        <v>0</v>
      </c>
      <c r="BJ353" s="408">
        <v>0</v>
      </c>
      <c r="BK353" s="408">
        <v>0</v>
      </c>
      <c r="BL353" s="408">
        <v>0</v>
      </c>
      <c r="BM353" s="408"/>
      <c r="BN353" s="408"/>
      <c r="BO353" s="408"/>
      <c r="BP353" s="408"/>
      <c r="BQ353" s="408"/>
      <c r="BR353" s="408"/>
      <c r="BS353" s="408"/>
      <c r="BT353" s="408"/>
      <c r="BU353" s="408"/>
      <c r="BV353" s="408">
        <v>427.38264402766578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2197.0320000000002</v>
      </c>
      <c r="CJ353" s="408">
        <v>-3014.2494999999999</v>
      </c>
      <c r="CK353" s="408"/>
      <c r="CL353" s="408"/>
      <c r="CM353" s="408"/>
      <c r="CN353" s="408"/>
      <c r="CO353" s="408">
        <v>-3080.6541499999998</v>
      </c>
      <c r="CP353" s="408">
        <v>60.528649999999992</v>
      </c>
      <c r="CQ353" s="408">
        <v>29</v>
      </c>
      <c r="CR353" s="408">
        <v>102.11535274922767</v>
      </c>
      <c r="CS353" s="408">
        <v>8.6325536992851966</v>
      </c>
      <c r="CT353" s="408">
        <v>32.758591707021367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0.91713575861509966</v>
      </c>
      <c r="DA353" s="408">
        <v>0</v>
      </c>
      <c r="DB353" s="408">
        <v>0</v>
      </c>
      <c r="DC353" s="408">
        <v>60.536428985877308</v>
      </c>
      <c r="DD353" s="408">
        <v>0</v>
      </c>
      <c r="DE353" s="408">
        <v>0</v>
      </c>
      <c r="DF353" s="408">
        <v>0.12960222693945511</v>
      </c>
      <c r="DG353" s="408">
        <v>4.6298017282178456</v>
      </c>
      <c r="DH353" s="408">
        <v>0</v>
      </c>
      <c r="DI353" s="408">
        <v>-4.6733953938260271</v>
      </c>
      <c r="DJ353" s="408"/>
      <c r="DK353" s="408">
        <v>0</v>
      </c>
      <c r="DL353" s="408">
        <v>0</v>
      </c>
      <c r="DM353" s="408">
        <v>0</v>
      </c>
      <c r="DN353" s="408">
        <v>0</v>
      </c>
      <c r="DO353" s="408">
        <v>-0.70457601587317242</v>
      </c>
      <c r="DP353" s="408">
        <v>-0.11078994702937184</v>
      </c>
      <c r="DQ353" s="408">
        <v>0</v>
      </c>
      <c r="DR353" s="408">
        <v>0</v>
      </c>
      <c r="DS353" s="408"/>
      <c r="DT353" s="408"/>
      <c r="DU353" s="408"/>
      <c r="DV353" s="408">
        <v>4249.603740687654</v>
      </c>
      <c r="DW353" s="408">
        <v>0</v>
      </c>
      <c r="DX353" s="408">
        <v>0</v>
      </c>
      <c r="DY353" s="408">
        <v>-3080.6541499999998</v>
      </c>
      <c r="DZ353" s="234">
        <v>60.528650000000027</v>
      </c>
      <c r="EA353" s="408">
        <v>0</v>
      </c>
      <c r="EB353" s="408">
        <v>0</v>
      </c>
      <c r="EC353" s="408">
        <v>-3122.2255884560132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242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352</v>
      </c>
      <c r="B354" s="408" t="s">
        <v>1036</v>
      </c>
      <c r="C354" s="408" t="s">
        <v>2239</v>
      </c>
      <c r="D354" s="408" t="s">
        <v>597</v>
      </c>
      <c r="E354" s="408" t="s">
        <v>970</v>
      </c>
      <c r="F354" s="408" t="s">
        <v>1322</v>
      </c>
      <c r="G354" s="408" t="s">
        <v>1322</v>
      </c>
      <c r="H354" s="408" t="s">
        <v>1322</v>
      </c>
      <c r="I354" s="408" t="s">
        <v>2240</v>
      </c>
      <c r="J354" s="408" t="s">
        <v>2232</v>
      </c>
      <c r="K354" s="828">
        <v>44593</v>
      </c>
      <c r="L354" s="408">
        <v>0</v>
      </c>
      <c r="M354" s="408">
        <v>0</v>
      </c>
      <c r="N354" s="408">
        <v>110.783</v>
      </c>
      <c r="O354" s="408">
        <v>110.783</v>
      </c>
      <c r="P354" s="408">
        <v>110.783</v>
      </c>
      <c r="Q354" s="408">
        <v>110.783</v>
      </c>
      <c r="R354" s="408"/>
      <c r="S354" s="408">
        <v>80.27</v>
      </c>
      <c r="T354" s="408">
        <v>216.76</v>
      </c>
      <c r="U354" s="408"/>
      <c r="V354" s="408">
        <v>32905.874490000002</v>
      </c>
      <c r="W354" s="408">
        <v>32905.874490000002</v>
      </c>
      <c r="X354" s="408">
        <v>36477.518410000004</v>
      </c>
      <c r="Y354" s="408">
        <v>0</v>
      </c>
      <c r="Z354" s="408">
        <v>5841.7246095511327</v>
      </c>
      <c r="AA354" s="408">
        <v>0</v>
      </c>
      <c r="AB354" s="408">
        <v>0</v>
      </c>
      <c r="AC354" s="408">
        <v>0</v>
      </c>
      <c r="AD354" s="408">
        <v>0</v>
      </c>
      <c r="AE354" s="408">
        <v>0</v>
      </c>
      <c r="AF354" s="408">
        <v>23663.415065744866</v>
      </c>
      <c r="AG354" s="408">
        <v>349.78676891840183</v>
      </c>
      <c r="AH354" s="408">
        <v>0</v>
      </c>
      <c r="AI354" s="408">
        <v>0</v>
      </c>
      <c r="AJ354" s="408">
        <v>0</v>
      </c>
      <c r="AK354" s="408">
        <v>0</v>
      </c>
      <c r="AL354" s="408">
        <v>1038.4392575973347</v>
      </c>
      <c r="AM354" s="408"/>
      <c r="AN354" s="408">
        <v>152.12967459502013</v>
      </c>
      <c r="AO354" s="408">
        <v>0</v>
      </c>
      <c r="AP354" s="408">
        <v>0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50.660921710935391</v>
      </c>
      <c r="BE354" s="408">
        <v>0</v>
      </c>
      <c r="BF354" s="408">
        <v>0</v>
      </c>
      <c r="BG354" s="408">
        <v>1809.7684617716341</v>
      </c>
      <c r="BH354" s="408">
        <v>0</v>
      </c>
      <c r="BI354" s="408">
        <v>0</v>
      </c>
      <c r="BJ354" s="408">
        <v>0</v>
      </c>
      <c r="BK354" s="408">
        <v>0</v>
      </c>
      <c r="BL354" s="408">
        <v>0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25523.844449227436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36476.530599999998</v>
      </c>
      <c r="CJ354" s="408">
        <v>3570.6261099999974</v>
      </c>
      <c r="CK354" s="408"/>
      <c r="CL354" s="408"/>
      <c r="CM354" s="408"/>
      <c r="CN354" s="408"/>
      <c r="CO354" s="408">
        <v>-43.205370000000066</v>
      </c>
      <c r="CP354" s="408">
        <v>3614.8492899999997</v>
      </c>
      <c r="CQ354" s="408">
        <v>29</v>
      </c>
      <c r="CR354" s="408">
        <v>3571.7556934362146</v>
      </c>
      <c r="CS354" s="408">
        <v>0</v>
      </c>
      <c r="CT354" s="408">
        <v>0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0</v>
      </c>
      <c r="DA354" s="408">
        <v>0</v>
      </c>
      <c r="DB354" s="408">
        <v>0</v>
      </c>
      <c r="DC354" s="408">
        <v>3615.3138611010509</v>
      </c>
      <c r="DD354" s="408">
        <v>0</v>
      </c>
      <c r="DE354" s="408">
        <v>0</v>
      </c>
      <c r="DF354" s="408">
        <v>7.7400126722553466</v>
      </c>
      <c r="DG354" s="408">
        <v>276.49774924914163</v>
      </c>
      <c r="DH354" s="408">
        <v>0</v>
      </c>
      <c r="DI354" s="408">
        <v>-279.1012193607703</v>
      </c>
      <c r="DJ354" s="408"/>
      <c r="DK354" s="408">
        <v>0</v>
      </c>
      <c r="DL354" s="408">
        <v>0</v>
      </c>
      <c r="DM354" s="408">
        <v>0</v>
      </c>
      <c r="DN354" s="408">
        <v>0</v>
      </c>
      <c r="DO354" s="408">
        <v>-42.078191248774942</v>
      </c>
      <c r="DP354" s="408">
        <v>-6.6165189766872743</v>
      </c>
      <c r="DQ354" s="408">
        <v>0</v>
      </c>
      <c r="DR354" s="408">
        <v>0</v>
      </c>
      <c r="DS354" s="408"/>
      <c r="DT354" s="408"/>
      <c r="DU354" s="408"/>
      <c r="DV354" s="408">
        <v>0</v>
      </c>
      <c r="DW354" s="408">
        <v>0</v>
      </c>
      <c r="DX354" s="408">
        <v>0</v>
      </c>
      <c r="DY354" s="408">
        <v>-43.205369999999675</v>
      </c>
      <c r="DZ354" s="234">
        <v>3614.8492900000019</v>
      </c>
      <c r="EA354" s="408">
        <v>0</v>
      </c>
      <c r="EB354" s="408">
        <v>0</v>
      </c>
      <c r="EC354" s="408">
        <v>0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0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242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353</v>
      </c>
      <c r="B355" s="408" t="s">
        <v>1036</v>
      </c>
      <c r="C355" s="408" t="s">
        <v>2239</v>
      </c>
      <c r="D355" s="408" t="s">
        <v>597</v>
      </c>
      <c r="E355" s="408" t="s">
        <v>970</v>
      </c>
      <c r="F355" s="408" t="s">
        <v>1322</v>
      </c>
      <c r="G355" s="408" t="s">
        <v>1322</v>
      </c>
      <c r="H355" s="408" t="s">
        <v>1322</v>
      </c>
      <c r="I355" s="408" t="s">
        <v>1322</v>
      </c>
      <c r="J355" s="408" t="s">
        <v>2232</v>
      </c>
      <c r="K355" s="828">
        <v>44593</v>
      </c>
      <c r="L355" s="408">
        <v>925</v>
      </c>
      <c r="M355" s="408">
        <v>925</v>
      </c>
      <c r="N355" s="408">
        <v>0</v>
      </c>
      <c r="O355" s="408">
        <v>0</v>
      </c>
      <c r="P355" s="408">
        <v>0</v>
      </c>
      <c r="Q355" s="408">
        <v>0</v>
      </c>
      <c r="R355" s="408">
        <v>32.17</v>
      </c>
      <c r="S355" s="408"/>
      <c r="T355" s="408"/>
      <c r="U355" s="408">
        <v>29757.25</v>
      </c>
      <c r="V355" s="408"/>
      <c r="W355" s="408">
        <v>29757.25</v>
      </c>
      <c r="X355" s="408">
        <v>11960.25</v>
      </c>
      <c r="Y355" s="408">
        <v>0</v>
      </c>
      <c r="Z355" s="408">
        <v>0</v>
      </c>
      <c r="AA355" s="408">
        <v>0</v>
      </c>
      <c r="AB355" s="408">
        <v>0</v>
      </c>
      <c r="AC355" s="408">
        <v>0</v>
      </c>
      <c r="AD355" s="408">
        <v>92.422508246429743</v>
      </c>
      <c r="AE355" s="408">
        <v>24907.230271356024</v>
      </c>
      <c r="AF355" s="408"/>
      <c r="AG355" s="408"/>
      <c r="AH355" s="408"/>
      <c r="AI355" s="408">
        <v>0</v>
      </c>
      <c r="AJ355" s="408">
        <v>0</v>
      </c>
      <c r="AK355" s="408">
        <v>0</v>
      </c>
      <c r="AL355" s="408">
        <v>0</v>
      </c>
      <c r="AM355" s="408"/>
      <c r="AN355" s="408">
        <v>0</v>
      </c>
      <c r="AO355" s="408">
        <v>1632.0895234327004</v>
      </c>
      <c r="AP355" s="408">
        <v>3129.1502780372539</v>
      </c>
      <c r="AQ355" s="408">
        <v>0</v>
      </c>
      <c r="AR355" s="408">
        <v>0</v>
      </c>
      <c r="AS355" s="408"/>
      <c r="AT355" s="408"/>
      <c r="AU355" s="408">
        <v>0</v>
      </c>
      <c r="AV355" s="408">
        <v>0</v>
      </c>
      <c r="AW355" s="408">
        <v>0</v>
      </c>
      <c r="AX355" s="408"/>
      <c r="AY355" s="408"/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/>
      <c r="BG355" s="408">
        <v>0</v>
      </c>
      <c r="BH355" s="408">
        <v>0</v>
      </c>
      <c r="BI355" s="408">
        <v>175.76</v>
      </c>
      <c r="BJ355" s="408">
        <v>811.32</v>
      </c>
      <c r="BK355" s="408">
        <v>13232.45</v>
      </c>
      <c r="BL355" s="408">
        <v>6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0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11960.25</v>
      </c>
      <c r="CJ355" s="408">
        <v>-17797.029999999995</v>
      </c>
      <c r="CK355" s="408"/>
      <c r="CL355" s="408"/>
      <c r="CM355" s="408"/>
      <c r="CN355" s="408"/>
      <c r="CO355" s="408">
        <v>-17797.000000000004</v>
      </c>
      <c r="CP355" s="408">
        <v>0</v>
      </c>
      <c r="CQ355" s="408">
        <v>29</v>
      </c>
      <c r="CR355" s="408">
        <v>500.16575872291105</v>
      </c>
      <c r="CS355" s="408">
        <v>168.35252193292195</v>
      </c>
      <c r="CT355" s="408">
        <v>322.77662055367091</v>
      </c>
      <c r="CU355" s="408">
        <v>0</v>
      </c>
      <c r="CV355" s="408">
        <v>0</v>
      </c>
      <c r="CW355" s="408"/>
      <c r="CX355" s="408"/>
      <c r="CY355" s="408"/>
      <c r="CZ355" s="408">
        <v>9.036616236318082</v>
      </c>
      <c r="DA355" s="408">
        <v>0</v>
      </c>
      <c r="DB355" s="408">
        <v>0</v>
      </c>
      <c r="DC355" s="408"/>
      <c r="DD355" s="408"/>
      <c r="DE355" s="408">
        <v>0</v>
      </c>
      <c r="DF355" s="408">
        <v>0</v>
      </c>
      <c r="DG355" s="408">
        <v>0</v>
      </c>
      <c r="DH355" s="408">
        <v>0</v>
      </c>
      <c r="DI355" s="408">
        <v>0</v>
      </c>
      <c r="DJ355" s="408"/>
      <c r="DK355" s="408">
        <v>0</v>
      </c>
      <c r="DL355" s="408">
        <v>0</v>
      </c>
      <c r="DM355" s="408"/>
      <c r="DN355" s="408">
        <v>0</v>
      </c>
      <c r="DO355" s="408">
        <v>0</v>
      </c>
      <c r="DP355" s="408">
        <v>0</v>
      </c>
      <c r="DQ355" s="408">
        <v>0</v>
      </c>
      <c r="DR355" s="408">
        <v>0</v>
      </c>
      <c r="DS355" s="408"/>
      <c r="DT355" s="408"/>
      <c r="DU355" s="408">
        <v>24907.230271356024</v>
      </c>
      <c r="DV355" s="408"/>
      <c r="DW355" s="408">
        <v>0</v>
      </c>
      <c r="DX355" s="408">
        <v>0</v>
      </c>
      <c r="DY355" s="408">
        <v>-17797</v>
      </c>
      <c r="DZ355" s="234"/>
      <c r="EA355" s="408">
        <v>0</v>
      </c>
      <c r="EB355" s="408"/>
      <c r="EC355" s="408">
        <v>-18299.586605270189</v>
      </c>
      <c r="ED355" s="408"/>
      <c r="EE355" s="408">
        <v>0</v>
      </c>
      <c r="EF355" s="408">
        <v>0</v>
      </c>
      <c r="EG355" s="408"/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/>
      <c r="EN355" s="408"/>
      <c r="EO355" s="408">
        <v>0</v>
      </c>
      <c r="EP355" s="408">
        <v>0</v>
      </c>
      <c r="EQ355" s="408"/>
      <c r="ER355" s="408">
        <v>0</v>
      </c>
      <c r="ES355" s="408"/>
      <c r="ET355" s="408">
        <v>0</v>
      </c>
      <c r="EU355" s="408"/>
      <c r="EV355" s="408">
        <v>242</v>
      </c>
      <c r="EW355" s="408"/>
      <c r="EX355" s="408"/>
      <c r="EY355" s="408"/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354</v>
      </c>
      <c r="B356" s="408" t="s">
        <v>1036</v>
      </c>
      <c r="C356" s="408" t="s">
        <v>2231</v>
      </c>
      <c r="D356" s="408" t="s">
        <v>1955</v>
      </c>
      <c r="E356" s="408" t="s">
        <v>998</v>
      </c>
      <c r="F356" s="408" t="s">
        <v>1322</v>
      </c>
      <c r="G356" s="408" t="s">
        <v>1322</v>
      </c>
      <c r="H356" s="408" t="s">
        <v>1322</v>
      </c>
      <c r="I356" s="408" t="s">
        <v>1322</v>
      </c>
      <c r="J356" s="408" t="s">
        <v>2232</v>
      </c>
      <c r="K356" s="828">
        <v>44593</v>
      </c>
      <c r="L356" s="408">
        <v>0</v>
      </c>
      <c r="M356" s="408">
        <v>0</v>
      </c>
      <c r="N356" s="408">
        <v>344.67099999999999</v>
      </c>
      <c r="O356" s="408">
        <v>344.67099999999999</v>
      </c>
      <c r="P356" s="408">
        <v>344.67099999999999</v>
      </c>
      <c r="Q356" s="408">
        <v>344.67099999999999</v>
      </c>
      <c r="R356" s="408"/>
      <c r="S356" s="408">
        <v>571.87</v>
      </c>
      <c r="T356" s="408">
        <v>216.76</v>
      </c>
      <c r="U356" s="408"/>
      <c r="V356" s="408">
        <v>271817.89072999998</v>
      </c>
      <c r="W356" s="408">
        <v>271817.89072999998</v>
      </c>
      <c r="X356" s="408">
        <v>177164.34070999999</v>
      </c>
      <c r="Y356" s="408">
        <v>0</v>
      </c>
      <c r="Z356" s="408">
        <v>20890.721987186069</v>
      </c>
      <c r="AA356" s="408">
        <v>0</v>
      </c>
      <c r="AB356" s="408">
        <v>0</v>
      </c>
      <c r="AC356" s="408">
        <v>0</v>
      </c>
      <c r="AD356" s="408">
        <v>283.28981672316735</v>
      </c>
      <c r="AE356" s="408">
        <v>146962.08550443032</v>
      </c>
      <c r="AF356" s="408">
        <v>73622.242890383437</v>
      </c>
      <c r="AG356" s="408">
        <v>1088.2658479177715</v>
      </c>
      <c r="AH356" s="408">
        <v>0</v>
      </c>
      <c r="AI356" s="408">
        <v>0</v>
      </c>
      <c r="AJ356" s="408">
        <v>0</v>
      </c>
      <c r="AK356" s="408">
        <v>0</v>
      </c>
      <c r="AL356" s="408">
        <v>3230.8196867329007</v>
      </c>
      <c r="AM356" s="408"/>
      <c r="AN356" s="408">
        <v>661.24082038954475</v>
      </c>
      <c r="AO356" s="408">
        <v>3061.2636448810244</v>
      </c>
      <c r="AP356" s="408">
        <v>9591.1961470806527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205.10324164348057</v>
      </c>
      <c r="BE356" s="408">
        <v>0</v>
      </c>
      <c r="BF356" s="408">
        <v>0</v>
      </c>
      <c r="BG356" s="408">
        <v>12221.426165818191</v>
      </c>
      <c r="BH356" s="408">
        <v>0</v>
      </c>
      <c r="BI356" s="408">
        <v>616.88</v>
      </c>
      <c r="BJ356" s="408">
        <v>2855.86</v>
      </c>
      <c r="BK356" s="408">
        <v>76521.17</v>
      </c>
      <c r="BL356" s="408">
        <v>708</v>
      </c>
      <c r="BM356" s="408"/>
      <c r="BN356" s="408"/>
      <c r="BO356" s="408"/>
      <c r="BP356" s="408"/>
      <c r="BQ356" s="408"/>
      <c r="BR356" s="408"/>
      <c r="BS356" s="408"/>
      <c r="BT356" s="408"/>
      <c r="BU356" s="408"/>
      <c r="BV356" s="408">
        <v>86048.772297845106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177163.82670000001</v>
      </c>
      <c r="CJ356" s="408">
        <v>-94654.094030000007</v>
      </c>
      <c r="CK356" s="408"/>
      <c r="CL356" s="408"/>
      <c r="CM356" s="408"/>
      <c r="CN356" s="408"/>
      <c r="CO356" s="408">
        <v>-105900.16475</v>
      </c>
      <c r="CP356" s="408">
        <v>11246.614729999998</v>
      </c>
      <c r="CQ356" s="408">
        <v>29</v>
      </c>
      <c r="CR356" s="408">
        <v>13321.639566420694</v>
      </c>
      <c r="CS356" s="408">
        <v>315.77401087246744</v>
      </c>
      <c r="CT356" s="408">
        <v>989.34650123735992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27.698678665572118</v>
      </c>
      <c r="DA356" s="408">
        <v>0</v>
      </c>
      <c r="DB356" s="408">
        <v>0</v>
      </c>
      <c r="DC356" s="408">
        <v>11248.06011589829</v>
      </c>
      <c r="DD356" s="408">
        <v>0</v>
      </c>
      <c r="DE356" s="408">
        <v>0</v>
      </c>
      <c r="DF356" s="408">
        <v>31.335823270236915</v>
      </c>
      <c r="DG356" s="408">
        <v>1867.1984283311576</v>
      </c>
      <c r="DH356" s="408">
        <v>0</v>
      </c>
      <c r="DI356" s="408">
        <v>-998.10011078194657</v>
      </c>
      <c r="DJ356" s="408"/>
      <c r="DK356" s="408">
        <v>0</v>
      </c>
      <c r="DL356" s="408">
        <v>0</v>
      </c>
      <c r="DM356" s="408">
        <v>0</v>
      </c>
      <c r="DN356" s="408">
        <v>0</v>
      </c>
      <c r="DO356" s="408">
        <v>-130.91478165338094</v>
      </c>
      <c r="DP356" s="408">
        <v>-28.759099419061499</v>
      </c>
      <c r="DQ356" s="408">
        <v>0</v>
      </c>
      <c r="DR356" s="408">
        <v>0</v>
      </c>
      <c r="DS356" s="408"/>
      <c r="DT356" s="408"/>
      <c r="DU356" s="408"/>
      <c r="DV356" s="408">
        <v>146962.08550443032</v>
      </c>
      <c r="DW356" s="408">
        <v>0</v>
      </c>
      <c r="DX356" s="408">
        <v>0</v>
      </c>
      <c r="DY356" s="408">
        <v>-105900.16475</v>
      </c>
      <c r="DZ356" s="234">
        <v>11246.614729999987</v>
      </c>
      <c r="EA356" s="408">
        <v>0</v>
      </c>
      <c r="EB356" s="408">
        <v>0</v>
      </c>
      <c r="EC356" s="408">
        <v>-107974.48700959202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0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242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355</v>
      </c>
      <c r="B357" s="408" t="s">
        <v>2233</v>
      </c>
      <c r="C357" s="408" t="s">
        <v>2231</v>
      </c>
      <c r="D357" s="408" t="s">
        <v>1955</v>
      </c>
      <c r="E357" s="408" t="s">
        <v>998</v>
      </c>
      <c r="F357" s="408" t="s">
        <v>1322</v>
      </c>
      <c r="G357" s="408" t="s">
        <v>1322</v>
      </c>
      <c r="H357" s="408" t="s">
        <v>1322</v>
      </c>
      <c r="I357" s="408" t="s">
        <v>1322</v>
      </c>
      <c r="J357" s="408" t="s">
        <v>2232</v>
      </c>
      <c r="K357" s="828">
        <v>44593</v>
      </c>
      <c r="L357" s="408">
        <v>0</v>
      </c>
      <c r="M357" s="408">
        <v>0</v>
      </c>
      <c r="N357" s="408">
        <v>-1.0349999999999999</v>
      </c>
      <c r="O357" s="408">
        <v>-1.0349999999999999</v>
      </c>
      <c r="P357" s="408">
        <v>-1.0349999999999999</v>
      </c>
      <c r="Q357" s="408">
        <v>-1.0349999999999999</v>
      </c>
      <c r="R357" s="408"/>
      <c r="S357" s="408">
        <v>571.87</v>
      </c>
      <c r="T357" s="408">
        <v>216.76</v>
      </c>
      <c r="U357" s="408"/>
      <c r="V357" s="408">
        <v>-816.23204999999996</v>
      </c>
      <c r="W357" s="408">
        <v>-816.23204999999996</v>
      </c>
      <c r="X357" s="408">
        <v>-532.00034999999991</v>
      </c>
      <c r="Y357" s="408">
        <v>0</v>
      </c>
      <c r="Z357" s="408">
        <v>-62.731988640580674</v>
      </c>
      <c r="AA357" s="408">
        <v>0</v>
      </c>
      <c r="AB357" s="408">
        <v>0</v>
      </c>
      <c r="AC357" s="408">
        <v>0</v>
      </c>
      <c r="AD357" s="408">
        <v>-0.85068067899091648</v>
      </c>
      <c r="AE357" s="408">
        <v>-441.30709719438352</v>
      </c>
      <c r="AF357" s="408">
        <v>-221.07755335246324</v>
      </c>
      <c r="AG357" s="408">
        <v>-3.2679139022281922</v>
      </c>
      <c r="AH357" s="408">
        <v>0</v>
      </c>
      <c r="AI357" s="408">
        <v>0</v>
      </c>
      <c r="AJ357" s="408">
        <v>0</v>
      </c>
      <c r="AK357" s="408">
        <v>0</v>
      </c>
      <c r="AL357" s="408">
        <v>-9.7017108366197107</v>
      </c>
      <c r="AM357" s="408"/>
      <c r="AN357" s="408">
        <v>-1.9856159906205593</v>
      </c>
      <c r="AO357" s="408">
        <v>-9.1925571703214377</v>
      </c>
      <c r="AP357" s="408">
        <v>-28.801053793990427</v>
      </c>
      <c r="AQ357" s="408">
        <v>0</v>
      </c>
      <c r="AR357" s="408">
        <v>0</v>
      </c>
      <c r="AS357" s="408">
        <v>0</v>
      </c>
      <c r="AT357" s="408">
        <v>0</v>
      </c>
      <c r="AU357" s="408">
        <v>0</v>
      </c>
      <c r="AV357" s="408">
        <v>0</v>
      </c>
      <c r="AW357" s="408">
        <v>0</v>
      </c>
      <c r="AX357" s="408">
        <v>0</v>
      </c>
      <c r="AY357" s="408">
        <v>0</v>
      </c>
      <c r="AZ357" s="408">
        <v>0</v>
      </c>
      <c r="BA357" s="408"/>
      <c r="BB357" s="408">
        <v>0</v>
      </c>
      <c r="BC357" s="408">
        <v>0</v>
      </c>
      <c r="BD357" s="408">
        <v>-0.61589705864723865</v>
      </c>
      <c r="BE357" s="408">
        <v>0</v>
      </c>
      <c r="BF357" s="408">
        <v>0</v>
      </c>
      <c r="BG357" s="408">
        <v>-36.699275777834018</v>
      </c>
      <c r="BH357" s="408">
        <v>0</v>
      </c>
      <c r="BI357" s="408">
        <v>-2.4700000000000002</v>
      </c>
      <c r="BJ357" s="408">
        <v>-11.35</v>
      </c>
      <c r="BK357" s="408">
        <v>-230.93</v>
      </c>
      <c r="BL357" s="408">
        <v>0</v>
      </c>
      <c r="BM357" s="408"/>
      <c r="BN357" s="408"/>
      <c r="BO357" s="408"/>
      <c r="BP357" s="408"/>
      <c r="BQ357" s="408"/>
      <c r="BR357" s="408"/>
      <c r="BS357" s="408"/>
      <c r="BT357" s="408"/>
      <c r="BU357" s="408"/>
      <c r="BV357" s="408">
        <v>-258.39272618894449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-534.57040000000006</v>
      </c>
      <c r="CJ357" s="408">
        <v>281.63164999999992</v>
      </c>
      <c r="CK357" s="408"/>
      <c r="CL357" s="408"/>
      <c r="CM357" s="408"/>
      <c r="CN357" s="408"/>
      <c r="CO357" s="408">
        <v>318.00374999999997</v>
      </c>
      <c r="CP357" s="408">
        <v>-33.772049999999993</v>
      </c>
      <c r="CQ357" s="408">
        <v>29</v>
      </c>
      <c r="CR357" s="408">
        <v>-40.00306655113252</v>
      </c>
      <c r="CS357" s="408">
        <v>-0.948226283188907</v>
      </c>
      <c r="CT357" s="408">
        <v>-2.9708725967101053</v>
      </c>
      <c r="CU357" s="408">
        <v>0</v>
      </c>
      <c r="CV357" s="408">
        <v>0</v>
      </c>
      <c r="CW357" s="408">
        <v>0</v>
      </c>
      <c r="CX357" s="408">
        <v>0</v>
      </c>
      <c r="CY357" s="408">
        <v>0</v>
      </c>
      <c r="CZ357" s="408">
        <v>-8.3175353942940289E-2</v>
      </c>
      <c r="DA357" s="408">
        <v>0</v>
      </c>
      <c r="DB357" s="408">
        <v>0</v>
      </c>
      <c r="DC357" s="408">
        <v>-33.776390296702431</v>
      </c>
      <c r="DD357" s="408">
        <v>0</v>
      </c>
      <c r="DE357" s="408">
        <v>0</v>
      </c>
      <c r="DF357" s="408">
        <v>-9.4097203085537151E-2</v>
      </c>
      <c r="DG357" s="408">
        <v>-5.6069421950867522</v>
      </c>
      <c r="DH357" s="408">
        <v>0</v>
      </c>
      <c r="DI357" s="408">
        <v>2.9971584921833099</v>
      </c>
      <c r="DJ357" s="408"/>
      <c r="DK357" s="408">
        <v>0</v>
      </c>
      <c r="DL357" s="408">
        <v>0</v>
      </c>
      <c r="DM357" s="408">
        <v>0</v>
      </c>
      <c r="DN357" s="408">
        <v>0</v>
      </c>
      <c r="DO357" s="408">
        <v>0.39311923257613657</v>
      </c>
      <c r="DP357" s="408">
        <v>8.6359652824660849E-2</v>
      </c>
      <c r="DQ357" s="408">
        <v>0</v>
      </c>
      <c r="DR357" s="408">
        <v>0</v>
      </c>
      <c r="DS357" s="408"/>
      <c r="DT357" s="408"/>
      <c r="DU357" s="408"/>
      <c r="DV357" s="408">
        <v>-441.30709719438352</v>
      </c>
      <c r="DW357" s="408">
        <v>0</v>
      </c>
      <c r="DX357" s="408">
        <v>0</v>
      </c>
      <c r="DY357" s="408">
        <v>318.00375000000003</v>
      </c>
      <c r="DZ357" s="234">
        <v>-33.772049999999979</v>
      </c>
      <c r="EA357" s="408">
        <v>0</v>
      </c>
      <c r="EB357" s="408">
        <v>0</v>
      </c>
      <c r="EC357" s="408">
        <v>324.23265680874727</v>
      </c>
      <c r="ED357" s="408">
        <v>0</v>
      </c>
      <c r="EE357" s="408">
        <v>0</v>
      </c>
      <c r="EF357" s="408">
        <v>0</v>
      </c>
      <c r="EG357" s="408">
        <v>0</v>
      </c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>
        <v>0</v>
      </c>
      <c r="EN357" s="408">
        <v>0</v>
      </c>
      <c r="EO357" s="408">
        <v>0</v>
      </c>
      <c r="EP357" s="408">
        <v>0</v>
      </c>
      <c r="EQ357" s="408">
        <v>0</v>
      </c>
      <c r="ER357" s="408">
        <v>0</v>
      </c>
      <c r="ES357" s="408">
        <v>0</v>
      </c>
      <c r="ET357" s="408">
        <v>0</v>
      </c>
      <c r="EU357" s="408">
        <v>0</v>
      </c>
      <c r="EV357" s="408">
        <v>242</v>
      </c>
      <c r="EW357" s="408">
        <v>0</v>
      </c>
      <c r="EX357" s="408">
        <v>0</v>
      </c>
      <c r="EY357" s="408">
        <v>0</v>
      </c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356</v>
      </c>
      <c r="B358" s="408" t="s">
        <v>2234</v>
      </c>
      <c r="C358" s="408" t="s">
        <v>2231</v>
      </c>
      <c r="D358" s="408" t="s">
        <v>1955</v>
      </c>
      <c r="E358" s="408" t="s">
        <v>998</v>
      </c>
      <c r="F358" s="408" t="s">
        <v>1322</v>
      </c>
      <c r="G358" s="408" t="s">
        <v>1322</v>
      </c>
      <c r="H358" s="408" t="s">
        <v>1322</v>
      </c>
      <c r="I358" s="408" t="s">
        <v>1322</v>
      </c>
      <c r="J358" s="408" t="s">
        <v>2232</v>
      </c>
      <c r="K358" s="828">
        <v>44593</v>
      </c>
      <c r="L358" s="408">
        <v>0</v>
      </c>
      <c r="M358" s="408">
        <v>0</v>
      </c>
      <c r="N358" s="408">
        <v>12.598000000000001</v>
      </c>
      <c r="O358" s="408">
        <v>12.598000000000001</v>
      </c>
      <c r="P358" s="408">
        <v>12.598000000000001</v>
      </c>
      <c r="Q358" s="408">
        <v>12.598000000000001</v>
      </c>
      <c r="R358" s="408"/>
      <c r="S358" s="408">
        <v>571.87</v>
      </c>
      <c r="T358" s="408">
        <v>216.76</v>
      </c>
      <c r="U358" s="408"/>
      <c r="V358" s="408">
        <v>9935.1607399999994</v>
      </c>
      <c r="W358" s="408">
        <v>9935.1607399999994</v>
      </c>
      <c r="X358" s="408">
        <v>6475.4979800000001</v>
      </c>
      <c r="Y358" s="408">
        <v>0</v>
      </c>
      <c r="Z358" s="408">
        <v>763.57255352080722</v>
      </c>
      <c r="AA358" s="408">
        <v>0</v>
      </c>
      <c r="AB358" s="408">
        <v>0</v>
      </c>
      <c r="AC358" s="408">
        <v>0</v>
      </c>
      <c r="AD358" s="408">
        <v>10.354468786403448</v>
      </c>
      <c r="AE358" s="408">
        <v>5371.5814593766609</v>
      </c>
      <c r="AF358" s="408">
        <v>2690.9517073761667</v>
      </c>
      <c r="AG358" s="408">
        <v>39.776984869826833</v>
      </c>
      <c r="AH358" s="408">
        <v>0</v>
      </c>
      <c r="AI358" s="408">
        <v>0</v>
      </c>
      <c r="AJ358" s="408">
        <v>0</v>
      </c>
      <c r="AK358" s="408">
        <v>0</v>
      </c>
      <c r="AL358" s="408">
        <v>118.08903683066195</v>
      </c>
      <c r="AM358" s="408"/>
      <c r="AN358" s="408">
        <v>24.168879468442327</v>
      </c>
      <c r="AO358" s="408">
        <v>111.89162824319757</v>
      </c>
      <c r="AP358" s="408">
        <v>350.56587023834925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7.496687096461752</v>
      </c>
      <c r="BE358" s="408">
        <v>0</v>
      </c>
      <c r="BF358" s="408">
        <v>0</v>
      </c>
      <c r="BG358" s="408">
        <v>446.70287560304638</v>
      </c>
      <c r="BH358" s="408">
        <v>0</v>
      </c>
      <c r="BI358" s="408">
        <v>21.72</v>
      </c>
      <c r="BJ358" s="408">
        <v>100.64</v>
      </c>
      <c r="BK358" s="408">
        <v>4182.8</v>
      </c>
      <c r="BL358" s="408">
        <v>19</v>
      </c>
      <c r="BM358" s="408"/>
      <c r="BN358" s="408"/>
      <c r="BO358" s="408"/>
      <c r="BP358" s="408"/>
      <c r="BQ358" s="408"/>
      <c r="BR358" s="408"/>
      <c r="BS358" s="408"/>
      <c r="BT358" s="408"/>
      <c r="BU358" s="408"/>
      <c r="BV358" s="408">
        <v>3145.1512700756748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6476.5259999999998</v>
      </c>
      <c r="CJ358" s="408">
        <v>-3458.6647400000002</v>
      </c>
      <c r="CK358" s="408"/>
      <c r="CL358" s="408"/>
      <c r="CM358" s="408"/>
      <c r="CN358" s="408"/>
      <c r="CO358" s="408">
        <v>-3870.7355000000002</v>
      </c>
      <c r="CP358" s="408">
        <v>411.07273999999995</v>
      </c>
      <c r="CQ358" s="408">
        <v>29</v>
      </c>
      <c r="CR358" s="408">
        <v>486.91655305427048</v>
      </c>
      <c r="CS358" s="408">
        <v>11.541791995762168</v>
      </c>
      <c r="CT358" s="408">
        <v>36.161403838989258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1.0124088009402517</v>
      </c>
      <c r="DA358" s="408">
        <v>0</v>
      </c>
      <c r="DB358" s="408">
        <v>0</v>
      </c>
      <c r="DC358" s="408">
        <v>411.12557000759125</v>
      </c>
      <c r="DD358" s="408">
        <v>0</v>
      </c>
      <c r="DE358" s="408">
        <v>0</v>
      </c>
      <c r="DF358" s="408">
        <v>1.1453493376537178</v>
      </c>
      <c r="DG358" s="408">
        <v>68.247592051886897</v>
      </c>
      <c r="DH358" s="408">
        <v>0</v>
      </c>
      <c r="DI358" s="408">
        <v>-36.481355250749175</v>
      </c>
      <c r="DJ358" s="408"/>
      <c r="DK358" s="408">
        <v>0</v>
      </c>
      <c r="DL358" s="408">
        <v>0</v>
      </c>
      <c r="DM358" s="408">
        <v>0</v>
      </c>
      <c r="DN358" s="408">
        <v>0</v>
      </c>
      <c r="DO358" s="408">
        <v>-4.7850397024098044</v>
      </c>
      <c r="DP358" s="408">
        <v>-1.0511680253962119</v>
      </c>
      <c r="DQ358" s="408">
        <v>0</v>
      </c>
      <c r="DR358" s="408">
        <v>0</v>
      </c>
      <c r="DS358" s="408"/>
      <c r="DT358" s="408"/>
      <c r="DU358" s="408"/>
      <c r="DV358" s="408">
        <v>5371.5814593766609</v>
      </c>
      <c r="DW358" s="408">
        <v>0</v>
      </c>
      <c r="DX358" s="408">
        <v>0</v>
      </c>
      <c r="DY358" s="408">
        <v>-3870.7355000000002</v>
      </c>
      <c r="DZ358" s="234">
        <v>411.07274000000007</v>
      </c>
      <c r="EA358" s="408">
        <v>0</v>
      </c>
      <c r="EB358" s="408">
        <v>0</v>
      </c>
      <c r="EC358" s="408">
        <v>-3946.5536333107229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0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242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357</v>
      </c>
      <c r="B359" s="408" t="s">
        <v>1036</v>
      </c>
      <c r="C359" s="408" t="s">
        <v>2239</v>
      </c>
      <c r="D359" s="408" t="s">
        <v>597</v>
      </c>
      <c r="E359" s="408" t="s">
        <v>998</v>
      </c>
      <c r="F359" s="408" t="s">
        <v>1322</v>
      </c>
      <c r="G359" s="408" t="s">
        <v>1322</v>
      </c>
      <c r="H359" s="408" t="s">
        <v>1322</v>
      </c>
      <c r="I359" s="408" t="s">
        <v>973</v>
      </c>
      <c r="J359" s="408" t="s">
        <v>2232</v>
      </c>
      <c r="K359" s="828">
        <v>44593</v>
      </c>
      <c r="L359" s="408">
        <v>0</v>
      </c>
      <c r="M359" s="408">
        <v>0</v>
      </c>
      <c r="N359" s="408">
        <v>4.66</v>
      </c>
      <c r="O359" s="408">
        <v>4.66</v>
      </c>
      <c r="P359" s="408">
        <v>4.66</v>
      </c>
      <c r="Q359" s="408">
        <v>4.66</v>
      </c>
      <c r="R359" s="408"/>
      <c r="S359" s="408">
        <v>2592.54</v>
      </c>
      <c r="T359" s="408">
        <v>216.76</v>
      </c>
      <c r="U359" s="408"/>
      <c r="V359" s="408">
        <v>13091.338</v>
      </c>
      <c r="W359" s="408">
        <v>13091.338</v>
      </c>
      <c r="X359" s="408">
        <v>5504.3919999999998</v>
      </c>
      <c r="Y359" s="408">
        <v>0</v>
      </c>
      <c r="Z359" s="408">
        <v>245.72756361994419</v>
      </c>
      <c r="AA359" s="408">
        <v>0</v>
      </c>
      <c r="AB359" s="408">
        <v>0</v>
      </c>
      <c r="AC359" s="408">
        <v>0</v>
      </c>
      <c r="AD359" s="408">
        <v>23.563920064930873</v>
      </c>
      <c r="AE359" s="408">
        <v>10675.554410568448</v>
      </c>
      <c r="AF359" s="408">
        <v>995.38299383814376</v>
      </c>
      <c r="AG359" s="408">
        <v>14.713506071867998</v>
      </c>
      <c r="AH359" s="408">
        <v>0</v>
      </c>
      <c r="AI359" s="408">
        <v>0</v>
      </c>
      <c r="AJ359" s="408">
        <v>0</v>
      </c>
      <c r="AK359" s="408">
        <v>0</v>
      </c>
      <c r="AL359" s="408">
        <v>43.681132848935128</v>
      </c>
      <c r="AM359" s="408"/>
      <c r="AN359" s="408">
        <v>6.3992154356967568</v>
      </c>
      <c r="AO359" s="408">
        <v>210.23530138027994</v>
      </c>
      <c r="AP359" s="408">
        <v>797.79548905554566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2.1310119348000951</v>
      </c>
      <c r="BE359" s="408">
        <v>0</v>
      </c>
      <c r="BF359" s="408">
        <v>0</v>
      </c>
      <c r="BG359" s="408">
        <v>76.126490814076305</v>
      </c>
      <c r="BH359" s="408">
        <v>0</v>
      </c>
      <c r="BI359" s="408">
        <v>0</v>
      </c>
      <c r="BJ359" s="408">
        <v>0</v>
      </c>
      <c r="BK359" s="408">
        <v>0</v>
      </c>
      <c r="BL359" s="408">
        <v>0</v>
      </c>
      <c r="BM359" s="408"/>
      <c r="BN359" s="408"/>
      <c r="BO359" s="408"/>
      <c r="BP359" s="408"/>
      <c r="BQ359" s="408"/>
      <c r="BR359" s="408"/>
      <c r="BS359" s="408"/>
      <c r="BT359" s="408"/>
      <c r="BU359" s="408"/>
      <c r="BV359" s="408">
        <v>1073.6404965870202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5504.3919999999998</v>
      </c>
      <c r="CJ359" s="408">
        <v>-7586.9760000000006</v>
      </c>
      <c r="CK359" s="408"/>
      <c r="CL359" s="408"/>
      <c r="CM359" s="408"/>
      <c r="CN359" s="408"/>
      <c r="CO359" s="408">
        <v>-7739.0018</v>
      </c>
      <c r="CP359" s="408">
        <v>152.05579999999998</v>
      </c>
      <c r="CQ359" s="408">
        <v>29</v>
      </c>
      <c r="CR359" s="408">
        <v>256.52697779590335</v>
      </c>
      <c r="CS359" s="408">
        <v>21.6860917728674</v>
      </c>
      <c r="CT359" s="408">
        <v>82.293820676398582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2.3039636847150184</v>
      </c>
      <c r="DA359" s="408">
        <v>0</v>
      </c>
      <c r="DB359" s="408">
        <v>0</v>
      </c>
      <c r="DC359" s="408">
        <v>152.07534181896938</v>
      </c>
      <c r="DD359" s="408">
        <v>0</v>
      </c>
      <c r="DE359" s="408">
        <v>0</v>
      </c>
      <c r="DF359" s="408">
        <v>0.32557756201501942</v>
      </c>
      <c r="DG359" s="408">
        <v>11.630660945280411</v>
      </c>
      <c r="DH359" s="408">
        <v>0</v>
      </c>
      <c r="DI359" s="408">
        <v>-11.740173873438948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-1.7699861099563208</v>
      </c>
      <c r="DP359" s="408">
        <v>-0.27831868094710099</v>
      </c>
      <c r="DQ359" s="408">
        <v>0</v>
      </c>
      <c r="DR359" s="408">
        <v>0</v>
      </c>
      <c r="DS359" s="408"/>
      <c r="DT359" s="408"/>
      <c r="DU359" s="408"/>
      <c r="DV359" s="408">
        <v>10675.554410568448</v>
      </c>
      <c r="DW359" s="408">
        <v>0</v>
      </c>
      <c r="DX359" s="408">
        <v>0</v>
      </c>
      <c r="DY359" s="408">
        <v>-7739.0018</v>
      </c>
      <c r="DZ359" s="234">
        <v>152.05580000000009</v>
      </c>
      <c r="EA359" s="408">
        <v>0</v>
      </c>
      <c r="EB359" s="408">
        <v>0</v>
      </c>
      <c r="EC359" s="408">
        <v>-7843.4346319164551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242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358</v>
      </c>
      <c r="B360" s="408" t="s">
        <v>1036</v>
      </c>
      <c r="C360" s="408" t="s">
        <v>2239</v>
      </c>
      <c r="D360" s="408" t="s">
        <v>597</v>
      </c>
      <c r="E360" s="408" t="s">
        <v>998</v>
      </c>
      <c r="F360" s="408" t="s">
        <v>1322</v>
      </c>
      <c r="G360" s="408" t="s">
        <v>1322</v>
      </c>
      <c r="H360" s="408" t="s">
        <v>1322</v>
      </c>
      <c r="I360" s="408" t="s">
        <v>2240</v>
      </c>
      <c r="J360" s="408" t="s">
        <v>2232</v>
      </c>
      <c r="K360" s="828">
        <v>44593</v>
      </c>
      <c r="L360" s="408">
        <v>0</v>
      </c>
      <c r="M360" s="408">
        <v>0</v>
      </c>
      <c r="N360" s="408">
        <v>51.225000000000001</v>
      </c>
      <c r="O360" s="408">
        <v>51.225000000000001</v>
      </c>
      <c r="P360" s="408">
        <v>51.225000000000001</v>
      </c>
      <c r="Q360" s="408">
        <v>51.225000000000001</v>
      </c>
      <c r="R360" s="408"/>
      <c r="S360" s="408">
        <v>80.27</v>
      </c>
      <c r="T360" s="408">
        <v>216.76</v>
      </c>
      <c r="U360" s="408"/>
      <c r="V360" s="408">
        <v>15215.36175</v>
      </c>
      <c r="W360" s="408">
        <v>15215.36175</v>
      </c>
      <c r="X360" s="408">
        <v>16866.855749999999</v>
      </c>
      <c r="Y360" s="408">
        <v>0</v>
      </c>
      <c r="Z360" s="408">
        <v>2701.1576065303952</v>
      </c>
      <c r="AA360" s="408">
        <v>0</v>
      </c>
      <c r="AB360" s="408">
        <v>0</v>
      </c>
      <c r="AC360" s="408">
        <v>0</v>
      </c>
      <c r="AD360" s="408">
        <v>0</v>
      </c>
      <c r="AE360" s="408">
        <v>0</v>
      </c>
      <c r="AF360" s="408">
        <v>10941.736879690754</v>
      </c>
      <c r="AG360" s="408">
        <v>161.73805762477215</v>
      </c>
      <c r="AH360" s="408">
        <v>0</v>
      </c>
      <c r="AI360" s="408">
        <v>0</v>
      </c>
      <c r="AJ360" s="408">
        <v>0</v>
      </c>
      <c r="AK360" s="408">
        <v>0</v>
      </c>
      <c r="AL360" s="408">
        <v>480.16438416023647</v>
      </c>
      <c r="AM360" s="408"/>
      <c r="AN360" s="408">
        <v>70.343307015786777</v>
      </c>
      <c r="AO360" s="408">
        <v>0</v>
      </c>
      <c r="AP360" s="408">
        <v>0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23.425125828355124</v>
      </c>
      <c r="BE360" s="408">
        <v>0</v>
      </c>
      <c r="BF360" s="408">
        <v>0</v>
      </c>
      <c r="BG360" s="408">
        <v>836.81963346589237</v>
      </c>
      <c r="BH360" s="408">
        <v>0</v>
      </c>
      <c r="BI360" s="408">
        <v>0</v>
      </c>
      <c r="BJ360" s="408">
        <v>0</v>
      </c>
      <c r="BK360" s="408">
        <v>0</v>
      </c>
      <c r="BL360" s="408">
        <v>0</v>
      </c>
      <c r="BM360" s="408"/>
      <c r="BN360" s="408"/>
      <c r="BO360" s="408"/>
      <c r="BP360" s="408"/>
      <c r="BQ360" s="408"/>
      <c r="BR360" s="408"/>
      <c r="BS360" s="408"/>
      <c r="BT360" s="408"/>
      <c r="BU360" s="408"/>
      <c r="BV360" s="408">
        <v>11801.981638985002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16868.502099999998</v>
      </c>
      <c r="CJ360" s="408">
        <v>1653.1103499999972</v>
      </c>
      <c r="CK360" s="408"/>
      <c r="CL360" s="408"/>
      <c r="CM360" s="408"/>
      <c r="CN360" s="408"/>
      <c r="CO360" s="408">
        <v>-19.977750000000029</v>
      </c>
      <c r="CP360" s="408">
        <v>1671.4717499999997</v>
      </c>
      <c r="CQ360" s="408">
        <v>29</v>
      </c>
      <c r="CR360" s="408">
        <v>1651.5456829682353</v>
      </c>
      <c r="CS360" s="408">
        <v>0</v>
      </c>
      <c r="CT360" s="408">
        <v>0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0</v>
      </c>
      <c r="DA360" s="408">
        <v>0</v>
      </c>
      <c r="DB360" s="408">
        <v>0</v>
      </c>
      <c r="DC360" s="408">
        <v>1671.6865632353456</v>
      </c>
      <c r="DD360" s="408">
        <v>0</v>
      </c>
      <c r="DE360" s="408">
        <v>0</v>
      </c>
      <c r="DF360" s="408">
        <v>3.5789078571286161</v>
      </c>
      <c r="DG360" s="408">
        <v>127.84991564849554</v>
      </c>
      <c r="DH360" s="408">
        <v>0</v>
      </c>
      <c r="DI360" s="408">
        <v>-129.05373533624697</v>
      </c>
      <c r="DJ360" s="408"/>
      <c r="DK360" s="408">
        <v>0</v>
      </c>
      <c r="DL360" s="408">
        <v>0</v>
      </c>
      <c r="DM360" s="408">
        <v>0</v>
      </c>
      <c r="DN360" s="408">
        <v>0</v>
      </c>
      <c r="DO360" s="408">
        <v>-19.456553322427624</v>
      </c>
      <c r="DP360" s="408">
        <v>-3.059415114059064</v>
      </c>
      <c r="DQ360" s="408">
        <v>0</v>
      </c>
      <c r="DR360" s="408">
        <v>0</v>
      </c>
      <c r="DS360" s="408"/>
      <c r="DT360" s="408"/>
      <c r="DU360" s="408"/>
      <c r="DV360" s="408">
        <v>0</v>
      </c>
      <c r="DW360" s="408">
        <v>0</v>
      </c>
      <c r="DX360" s="408">
        <v>0</v>
      </c>
      <c r="DY360" s="408">
        <v>-19.977750000000015</v>
      </c>
      <c r="DZ360" s="234">
        <v>1671.4717500000006</v>
      </c>
      <c r="EA360" s="408">
        <v>0</v>
      </c>
      <c r="EB360" s="408">
        <v>0</v>
      </c>
      <c r="EC360" s="408">
        <v>0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0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242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359</v>
      </c>
      <c r="B361" s="408" t="s">
        <v>1036</v>
      </c>
      <c r="C361" s="408" t="s">
        <v>2239</v>
      </c>
      <c r="D361" s="408" t="s">
        <v>597</v>
      </c>
      <c r="E361" s="408" t="s">
        <v>998</v>
      </c>
      <c r="F361" s="408" t="s">
        <v>1322</v>
      </c>
      <c r="G361" s="408" t="s">
        <v>1322</v>
      </c>
      <c r="H361" s="408" t="s">
        <v>1322</v>
      </c>
      <c r="I361" s="408" t="s">
        <v>1322</v>
      </c>
      <c r="J361" s="408" t="s">
        <v>2232</v>
      </c>
      <c r="K361" s="828">
        <v>44593</v>
      </c>
      <c r="L361" s="408">
        <v>890</v>
      </c>
      <c r="M361" s="408">
        <v>890</v>
      </c>
      <c r="N361" s="408">
        <v>0</v>
      </c>
      <c r="O361" s="408">
        <v>0</v>
      </c>
      <c r="P361" s="408">
        <v>0</v>
      </c>
      <c r="Q361" s="408">
        <v>0</v>
      </c>
      <c r="R361" s="408">
        <v>32.17</v>
      </c>
      <c r="S361" s="408"/>
      <c r="T361" s="408"/>
      <c r="U361" s="408">
        <v>28631.300000000003</v>
      </c>
      <c r="V361" s="408"/>
      <c r="W361" s="408">
        <v>28631.300000000003</v>
      </c>
      <c r="X361" s="408">
        <v>11507.699999999999</v>
      </c>
      <c r="Y361" s="408">
        <v>0</v>
      </c>
      <c r="Z361" s="408">
        <v>0</v>
      </c>
      <c r="AA361" s="408">
        <v>0</v>
      </c>
      <c r="AB361" s="408">
        <v>0</v>
      </c>
      <c r="AC361" s="408">
        <v>0</v>
      </c>
      <c r="AD361" s="408">
        <v>88.925440366835105</v>
      </c>
      <c r="AE361" s="408">
        <v>23964.79453135877</v>
      </c>
      <c r="AF361" s="408"/>
      <c r="AG361" s="408"/>
      <c r="AH361" s="408"/>
      <c r="AI361" s="408">
        <v>0</v>
      </c>
      <c r="AJ361" s="408">
        <v>0</v>
      </c>
      <c r="AK361" s="408">
        <v>0</v>
      </c>
      <c r="AL361" s="408">
        <v>0</v>
      </c>
      <c r="AM361" s="408"/>
      <c r="AN361" s="408">
        <v>0</v>
      </c>
      <c r="AO361" s="408">
        <v>1570.3347847082198</v>
      </c>
      <c r="AP361" s="408">
        <v>3010.7499972466553</v>
      </c>
      <c r="AQ361" s="408">
        <v>0</v>
      </c>
      <c r="AR361" s="408">
        <v>0</v>
      </c>
      <c r="AS361" s="408"/>
      <c r="AT361" s="408"/>
      <c r="AU361" s="408">
        <v>0</v>
      </c>
      <c r="AV361" s="408">
        <v>0</v>
      </c>
      <c r="AW361" s="408">
        <v>0</v>
      </c>
      <c r="AX361" s="408"/>
      <c r="AY361" s="408"/>
      <c r="AZ361" s="408">
        <v>0</v>
      </c>
      <c r="BA361" s="408"/>
      <c r="BB361" s="408">
        <v>0</v>
      </c>
      <c r="BC361" s="408">
        <v>0</v>
      </c>
      <c r="BD361" s="408">
        <v>0</v>
      </c>
      <c r="BE361" s="408">
        <v>0</v>
      </c>
      <c r="BF361" s="408"/>
      <c r="BG361" s="408">
        <v>0</v>
      </c>
      <c r="BH361" s="408">
        <v>0</v>
      </c>
      <c r="BI361" s="408">
        <v>110.78</v>
      </c>
      <c r="BJ361" s="408">
        <v>511.39</v>
      </c>
      <c r="BK361" s="408">
        <v>12985.54</v>
      </c>
      <c r="BL361" s="408">
        <v>8</v>
      </c>
      <c r="BM361" s="408"/>
      <c r="BN361" s="408"/>
      <c r="BO361" s="408"/>
      <c r="BP361" s="408"/>
      <c r="BQ361" s="408"/>
      <c r="BR361" s="408"/>
      <c r="BS361" s="408"/>
      <c r="BT361" s="408"/>
      <c r="BU361" s="408"/>
      <c r="BV361" s="408">
        <v>0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11507.699999999999</v>
      </c>
      <c r="CJ361" s="408">
        <v>-17123.629999999997</v>
      </c>
      <c r="CK361" s="408"/>
      <c r="CL361" s="408"/>
      <c r="CM361" s="408"/>
      <c r="CN361" s="408"/>
      <c r="CO361" s="408">
        <v>-17123.600000000002</v>
      </c>
      <c r="CP361" s="408">
        <v>0</v>
      </c>
      <c r="CQ361" s="408">
        <v>29</v>
      </c>
      <c r="CR361" s="408">
        <v>481.2405678523146</v>
      </c>
      <c r="CS361" s="408">
        <v>161.98242650843326</v>
      </c>
      <c r="CT361" s="408">
        <v>310.5634511273156</v>
      </c>
      <c r="CU361" s="408">
        <v>0</v>
      </c>
      <c r="CV361" s="408">
        <v>0</v>
      </c>
      <c r="CW361" s="408"/>
      <c r="CX361" s="408"/>
      <c r="CY361" s="408"/>
      <c r="CZ361" s="408">
        <v>8.6946902165655047</v>
      </c>
      <c r="DA361" s="408">
        <v>0</v>
      </c>
      <c r="DB361" s="408">
        <v>0</v>
      </c>
      <c r="DC361" s="408"/>
      <c r="DD361" s="408"/>
      <c r="DE361" s="408">
        <v>0</v>
      </c>
      <c r="DF361" s="408">
        <v>0</v>
      </c>
      <c r="DG361" s="408">
        <v>0</v>
      </c>
      <c r="DH361" s="408">
        <v>0</v>
      </c>
      <c r="DI361" s="408">
        <v>0</v>
      </c>
      <c r="DJ361" s="408"/>
      <c r="DK361" s="408">
        <v>0</v>
      </c>
      <c r="DL361" s="408">
        <v>0</v>
      </c>
      <c r="DM361" s="408"/>
      <c r="DN361" s="408">
        <v>0</v>
      </c>
      <c r="DO361" s="408">
        <v>0</v>
      </c>
      <c r="DP361" s="408">
        <v>0</v>
      </c>
      <c r="DQ361" s="408">
        <v>0</v>
      </c>
      <c r="DR361" s="408">
        <v>0</v>
      </c>
      <c r="DS361" s="408"/>
      <c r="DT361" s="408"/>
      <c r="DU361" s="408">
        <v>23964.79453135877</v>
      </c>
      <c r="DV361" s="408"/>
      <c r="DW361" s="408">
        <v>0</v>
      </c>
      <c r="DX361" s="408">
        <v>0</v>
      </c>
      <c r="DY361" s="408">
        <v>-17123.600000000006</v>
      </c>
      <c r="DZ361" s="234"/>
      <c r="EA361" s="408">
        <v>0</v>
      </c>
      <c r="EB361" s="408"/>
      <c r="EC361" s="408">
        <v>-17607.169814800509</v>
      </c>
      <c r="ED361" s="408"/>
      <c r="EE361" s="408">
        <v>0</v>
      </c>
      <c r="EF361" s="408">
        <v>0</v>
      </c>
      <c r="EG361" s="408"/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/>
      <c r="EN361" s="408"/>
      <c r="EO361" s="408">
        <v>0</v>
      </c>
      <c r="EP361" s="408">
        <v>0</v>
      </c>
      <c r="EQ361" s="408"/>
      <c r="ER361" s="408">
        <v>0</v>
      </c>
      <c r="ES361" s="408"/>
      <c r="ET361" s="408">
        <v>0</v>
      </c>
      <c r="EU361" s="408"/>
      <c r="EV361" s="408">
        <v>242</v>
      </c>
      <c r="EW361" s="408"/>
      <c r="EX361" s="408"/>
      <c r="EY361" s="408"/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360</v>
      </c>
      <c r="B362" s="408" t="s">
        <v>1036</v>
      </c>
      <c r="C362" s="408" t="s">
        <v>2231</v>
      </c>
      <c r="D362" s="408" t="s">
        <v>2241</v>
      </c>
      <c r="E362" s="408" t="s">
        <v>974</v>
      </c>
      <c r="F362" s="408" t="s">
        <v>1322</v>
      </c>
      <c r="G362" s="408" t="s">
        <v>1322</v>
      </c>
      <c r="H362" s="408" t="s">
        <v>1322</v>
      </c>
      <c r="I362" s="408" t="s">
        <v>1322</v>
      </c>
      <c r="J362" s="408" t="s">
        <v>2232</v>
      </c>
      <c r="K362" s="828">
        <v>44593</v>
      </c>
      <c r="L362" s="408">
        <v>0</v>
      </c>
      <c r="M362" s="408">
        <v>0</v>
      </c>
      <c r="N362" s="408">
        <v>5049.5609999999997</v>
      </c>
      <c r="O362" s="408">
        <v>5049.5609999999997</v>
      </c>
      <c r="P362" s="408">
        <v>5049.5609999999997</v>
      </c>
      <c r="Q362" s="408">
        <v>5049.5609999999997</v>
      </c>
      <c r="R362" s="408"/>
      <c r="S362" s="408">
        <v>571.87</v>
      </c>
      <c r="T362" s="408">
        <v>216.76</v>
      </c>
      <c r="U362" s="408"/>
      <c r="V362" s="408">
        <v>3982235.2914299993</v>
      </c>
      <c r="W362" s="408">
        <v>3982235.2914299993</v>
      </c>
      <c r="X362" s="408">
        <v>2595524.8496099999</v>
      </c>
      <c r="Y362" s="408">
        <v>0</v>
      </c>
      <c r="Z362" s="408">
        <v>306057.00801151613</v>
      </c>
      <c r="AA362" s="408">
        <v>0</v>
      </c>
      <c r="AB362" s="408">
        <v>0</v>
      </c>
      <c r="AC362" s="408">
        <v>0</v>
      </c>
      <c r="AD362" s="408">
        <v>4150.3033624019818</v>
      </c>
      <c r="AE362" s="408">
        <v>2153050.3449429646</v>
      </c>
      <c r="AF362" s="408">
        <v>1078593.8081005001</v>
      </c>
      <c r="AG362" s="408">
        <v>15943.507818405114</v>
      </c>
      <c r="AH362" s="408">
        <v>0</v>
      </c>
      <c r="AI362" s="408">
        <v>0</v>
      </c>
      <c r="AJ362" s="408">
        <v>0</v>
      </c>
      <c r="AK362" s="408">
        <v>0</v>
      </c>
      <c r="AL362" s="408">
        <v>47332.734950601218</v>
      </c>
      <c r="AM362" s="408"/>
      <c r="AN362" s="408">
        <v>9687.4290504482542</v>
      </c>
      <c r="AO362" s="408">
        <v>44848.674567657479</v>
      </c>
      <c r="AP362" s="408">
        <v>140514.66473143586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3004.8403549370132</v>
      </c>
      <c r="BE362" s="408">
        <v>0</v>
      </c>
      <c r="BF362" s="408">
        <v>0</v>
      </c>
      <c r="BG362" s="408">
        <v>179048.533039609</v>
      </c>
      <c r="BH362" s="408">
        <v>0</v>
      </c>
      <c r="BI362" s="408">
        <v>7968.97</v>
      </c>
      <c r="BJ362" s="408">
        <v>37010.83</v>
      </c>
      <c r="BK362" s="408">
        <v>145268.41</v>
      </c>
      <c r="BL362" s="408">
        <v>10456</v>
      </c>
      <c r="BM362" s="408"/>
      <c r="BN362" s="408"/>
      <c r="BO362" s="408"/>
      <c r="BP362" s="408"/>
      <c r="BQ362" s="408"/>
      <c r="BR362" s="408">
        <v>311456.92247999983</v>
      </c>
      <c r="BS362" s="408"/>
      <c r="BT362" s="408"/>
      <c r="BU362" s="408"/>
      <c r="BV362" s="408">
        <v>1260647.1814950462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2284067.4748</v>
      </c>
      <c r="CJ362" s="408">
        <v>-1220327.8891999992</v>
      </c>
      <c r="CK362" s="408"/>
      <c r="CL362" s="408"/>
      <c r="CM362" s="408"/>
      <c r="CN362" s="408"/>
      <c r="CO362" s="408">
        <v>-1551477.6172499999</v>
      </c>
      <c r="CP362" s="408">
        <v>164767.17542999997</v>
      </c>
      <c r="CQ362" s="408">
        <v>29</v>
      </c>
      <c r="CR362" s="408">
        <v>195167.07704058313</v>
      </c>
      <c r="CS362" s="408">
        <v>4626.2091389040215</v>
      </c>
      <c r="CT362" s="408">
        <v>14494.301836054161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405.79615790479966</v>
      </c>
      <c r="DA362" s="408">
        <v>0</v>
      </c>
      <c r="DB362" s="408">
        <v>0</v>
      </c>
      <c r="DC362" s="408">
        <v>164788.35088213254</v>
      </c>
      <c r="DD362" s="408">
        <v>0</v>
      </c>
      <c r="DE362" s="408">
        <v>0</v>
      </c>
      <c r="DF362" s="408">
        <v>459.08170715923552</v>
      </c>
      <c r="DG362" s="408">
        <v>27355.165833395615</v>
      </c>
      <c r="DH362" s="408">
        <v>0</v>
      </c>
      <c r="DI362" s="408">
        <v>-14622.545539079874</v>
      </c>
      <c r="DJ362" s="408"/>
      <c r="DK362" s="408">
        <v>0</v>
      </c>
      <c r="DL362" s="408">
        <v>0</v>
      </c>
      <c r="DM362" s="408">
        <v>0</v>
      </c>
      <c r="DN362" s="408">
        <v>0</v>
      </c>
      <c r="DO362" s="408">
        <v>-1917.9512513684822</v>
      </c>
      <c r="DP362" s="408">
        <v>-421.33172451879182</v>
      </c>
      <c r="DQ362" s="408">
        <v>0</v>
      </c>
      <c r="DR362" s="408">
        <v>0</v>
      </c>
      <c r="DS362" s="408"/>
      <c r="DT362" s="408"/>
      <c r="DU362" s="408"/>
      <c r="DV362" s="408">
        <v>2153050.3449429646</v>
      </c>
      <c r="DW362" s="408">
        <v>0</v>
      </c>
      <c r="DX362" s="408">
        <v>0</v>
      </c>
      <c r="DY362" s="408">
        <v>-1551477.6172499997</v>
      </c>
      <c r="DZ362" s="234">
        <v>164767.17543000006</v>
      </c>
      <c r="EA362" s="408">
        <v>0</v>
      </c>
      <c r="EB362" s="408">
        <v>0</v>
      </c>
      <c r="EC362" s="408">
        <v>-1581867.2258433185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0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242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361</v>
      </c>
      <c r="B363" s="408" t="s">
        <v>2233</v>
      </c>
      <c r="C363" s="408" t="s">
        <v>2231</v>
      </c>
      <c r="D363" s="408" t="s">
        <v>2241</v>
      </c>
      <c r="E363" s="408" t="s">
        <v>974</v>
      </c>
      <c r="F363" s="408" t="s">
        <v>1322</v>
      </c>
      <c r="G363" s="408" t="s">
        <v>1322</v>
      </c>
      <c r="H363" s="408" t="s">
        <v>1322</v>
      </c>
      <c r="I363" s="408" t="s">
        <v>1322</v>
      </c>
      <c r="J363" s="408" t="s">
        <v>2232</v>
      </c>
      <c r="K363" s="828">
        <v>44593</v>
      </c>
      <c r="L363" s="408">
        <v>0</v>
      </c>
      <c r="M363" s="408">
        <v>0</v>
      </c>
      <c r="N363" s="408">
        <v>-1.0860000000000001</v>
      </c>
      <c r="O363" s="408">
        <v>-1.0860000000000001</v>
      </c>
      <c r="P363" s="408">
        <v>-1.0860000000000001</v>
      </c>
      <c r="Q363" s="408">
        <v>-1.0860000000000001</v>
      </c>
      <c r="R363" s="408"/>
      <c r="S363" s="408">
        <v>571.87</v>
      </c>
      <c r="T363" s="408">
        <v>216.76</v>
      </c>
      <c r="U363" s="408"/>
      <c r="V363" s="408">
        <v>-856.45218</v>
      </c>
      <c r="W363" s="408">
        <v>-856.45218</v>
      </c>
      <c r="X363" s="408">
        <v>-558.21486000000004</v>
      </c>
      <c r="Y363" s="408">
        <v>0</v>
      </c>
      <c r="Z363" s="408">
        <v>-65.823130109826693</v>
      </c>
      <c r="AA363" s="408">
        <v>0</v>
      </c>
      <c r="AB363" s="408">
        <v>0</v>
      </c>
      <c r="AC363" s="408">
        <v>0</v>
      </c>
      <c r="AD363" s="408">
        <v>-0.89259827766583144</v>
      </c>
      <c r="AE363" s="408">
        <v>-463.0526643025126</v>
      </c>
      <c r="AF363" s="408">
        <v>-231.97122989446871</v>
      </c>
      <c r="AG363" s="408">
        <v>-3.4289415437872632</v>
      </c>
      <c r="AH363" s="408">
        <v>0</v>
      </c>
      <c r="AI363" s="408">
        <v>0</v>
      </c>
      <c r="AJ363" s="408">
        <v>0</v>
      </c>
      <c r="AK363" s="408">
        <v>0</v>
      </c>
      <c r="AL363" s="408">
        <v>-10.179766153206771</v>
      </c>
      <c r="AM363" s="408"/>
      <c r="AN363" s="408">
        <v>-2.0834579379844711</v>
      </c>
      <c r="AO363" s="408">
        <v>-9.6455237555256836</v>
      </c>
      <c r="AP363" s="408">
        <v>-30.22023615485373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-0.64624560936318964</v>
      </c>
      <c r="BE363" s="408">
        <v>0</v>
      </c>
      <c r="BF363" s="408">
        <v>0</v>
      </c>
      <c r="BG363" s="408">
        <v>-38.507645888625838</v>
      </c>
      <c r="BH363" s="408">
        <v>0</v>
      </c>
      <c r="BI363" s="408">
        <v>-2.42</v>
      </c>
      <c r="BJ363" s="408">
        <v>-11.24</v>
      </c>
      <c r="BK363" s="408">
        <v>-7.32</v>
      </c>
      <c r="BL363" s="408">
        <v>0</v>
      </c>
      <c r="BM363" s="408"/>
      <c r="BN363" s="408"/>
      <c r="BO363" s="408"/>
      <c r="BP363" s="408"/>
      <c r="BQ363" s="408"/>
      <c r="BR363" s="408">
        <v>-66.984479999999991</v>
      </c>
      <c r="BS363" s="408"/>
      <c r="BT363" s="408"/>
      <c r="BU363" s="408"/>
      <c r="BV363" s="408">
        <v>-271.12512139245774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-493.03970000000004</v>
      </c>
      <c r="CJ363" s="408">
        <v>260.61429999999996</v>
      </c>
      <c r="CK363" s="408"/>
      <c r="CL363" s="408"/>
      <c r="CM363" s="408"/>
      <c r="CN363" s="408"/>
      <c r="CO363" s="408">
        <v>333.67350000000005</v>
      </c>
      <c r="CP363" s="408">
        <v>-35.43618</v>
      </c>
      <c r="CQ363" s="408">
        <v>29</v>
      </c>
      <c r="CR363" s="408">
        <v>-41.974232149304214</v>
      </c>
      <c r="CS363" s="408">
        <v>-0.99495047685328863</v>
      </c>
      <c r="CT363" s="408">
        <v>-3.1172634203161067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-8.7273849644476376E-2</v>
      </c>
      <c r="DA363" s="408">
        <v>0</v>
      </c>
      <c r="DB363" s="408">
        <v>0</v>
      </c>
      <c r="DC363" s="408">
        <v>-35.440734166395032</v>
      </c>
      <c r="DD363" s="408">
        <v>0</v>
      </c>
      <c r="DE363" s="408">
        <v>0</v>
      </c>
      <c r="DF363" s="408">
        <v>-9.8733876860766623E-2</v>
      </c>
      <c r="DG363" s="408">
        <v>-5.8832263032504528</v>
      </c>
      <c r="DH363" s="408">
        <v>0</v>
      </c>
      <c r="DI363" s="408">
        <v>3.1448445628126365</v>
      </c>
      <c r="DJ363" s="408"/>
      <c r="DK363" s="408">
        <v>0</v>
      </c>
      <c r="DL363" s="408">
        <v>0</v>
      </c>
      <c r="DM363" s="408">
        <v>0</v>
      </c>
      <c r="DN363" s="408">
        <v>0</v>
      </c>
      <c r="DO363" s="408">
        <v>0.4124903251958294</v>
      </c>
      <c r="DP363" s="408">
        <v>9.0615056007325334E-2</v>
      </c>
      <c r="DQ363" s="408">
        <v>0</v>
      </c>
      <c r="DR363" s="408">
        <v>0</v>
      </c>
      <c r="DS363" s="408"/>
      <c r="DT363" s="408"/>
      <c r="DU363" s="408"/>
      <c r="DV363" s="408">
        <v>-463.0526643025126</v>
      </c>
      <c r="DW363" s="408">
        <v>0</v>
      </c>
      <c r="DX363" s="408">
        <v>0</v>
      </c>
      <c r="DY363" s="408">
        <v>333.67350000000005</v>
      </c>
      <c r="DZ363" s="234">
        <v>-35.436179999999979</v>
      </c>
      <c r="EA363" s="408">
        <v>0</v>
      </c>
      <c r="EB363" s="408">
        <v>0</v>
      </c>
      <c r="EC363" s="408">
        <v>340.2093384485986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0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242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362</v>
      </c>
      <c r="B364" s="408" t="s">
        <v>2234</v>
      </c>
      <c r="C364" s="408" t="s">
        <v>2231</v>
      </c>
      <c r="D364" s="408" t="s">
        <v>2241</v>
      </c>
      <c r="E364" s="408" t="s">
        <v>974</v>
      </c>
      <c r="F364" s="408" t="s">
        <v>1322</v>
      </c>
      <c r="G364" s="408" t="s">
        <v>1322</v>
      </c>
      <c r="H364" s="408" t="s">
        <v>1322</v>
      </c>
      <c r="I364" s="408" t="s">
        <v>1322</v>
      </c>
      <c r="J364" s="408" t="s">
        <v>2232</v>
      </c>
      <c r="K364" s="828">
        <v>44593</v>
      </c>
      <c r="L364" s="408">
        <v>0</v>
      </c>
      <c r="M364" s="408">
        <v>0</v>
      </c>
      <c r="N364" s="408">
        <v>88.099000000000004</v>
      </c>
      <c r="O364" s="408">
        <v>88.099000000000004</v>
      </c>
      <c r="P364" s="408">
        <v>88.099000000000004</v>
      </c>
      <c r="Q364" s="408">
        <v>88.099000000000004</v>
      </c>
      <c r="R364" s="408"/>
      <c r="S364" s="408">
        <v>571.87</v>
      </c>
      <c r="T364" s="408">
        <v>216.76</v>
      </c>
      <c r="U364" s="408"/>
      <c r="V364" s="408">
        <v>69477.514370000004</v>
      </c>
      <c r="W364" s="408">
        <v>69477.514370000004</v>
      </c>
      <c r="X364" s="408">
        <v>45283.766990000004</v>
      </c>
      <c r="Y364" s="408">
        <v>0</v>
      </c>
      <c r="Z364" s="408">
        <v>5339.7347509628189</v>
      </c>
      <c r="AA364" s="408">
        <v>0</v>
      </c>
      <c r="AB364" s="408">
        <v>0</v>
      </c>
      <c r="AC364" s="408">
        <v>0</v>
      </c>
      <c r="AD364" s="408">
        <v>72.409775012966918</v>
      </c>
      <c r="AE364" s="408">
        <v>37563.974836452173</v>
      </c>
      <c r="AF364" s="408">
        <v>18818.078621061508</v>
      </c>
      <c r="AG364" s="408">
        <v>278.16419987671651</v>
      </c>
      <c r="AH364" s="408">
        <v>0</v>
      </c>
      <c r="AI364" s="408">
        <v>0</v>
      </c>
      <c r="AJ364" s="408">
        <v>0</v>
      </c>
      <c r="AK364" s="408">
        <v>0</v>
      </c>
      <c r="AL364" s="408">
        <v>825.80775168633818</v>
      </c>
      <c r="AM364" s="408"/>
      <c r="AN364" s="408">
        <v>169.01524942771078</v>
      </c>
      <c r="AO364" s="408">
        <v>782.46868999821106</v>
      </c>
      <c r="AP364" s="408">
        <v>2451.5401335234424</v>
      </c>
      <c r="AQ364" s="408">
        <v>0</v>
      </c>
      <c r="AR364" s="408">
        <v>0</v>
      </c>
      <c r="AS364" s="408">
        <v>0</v>
      </c>
      <c r="AT364" s="408">
        <v>0</v>
      </c>
      <c r="AU364" s="408">
        <v>0</v>
      </c>
      <c r="AV364" s="408">
        <v>0</v>
      </c>
      <c r="AW364" s="408">
        <v>0</v>
      </c>
      <c r="AX364" s="408">
        <v>0</v>
      </c>
      <c r="AY364" s="408">
        <v>0</v>
      </c>
      <c r="AZ364" s="408">
        <v>0</v>
      </c>
      <c r="BA364" s="408"/>
      <c r="BB364" s="408">
        <v>0</v>
      </c>
      <c r="BC364" s="408">
        <v>0</v>
      </c>
      <c r="BD364" s="408">
        <v>52.425038618128582</v>
      </c>
      <c r="BE364" s="408">
        <v>0</v>
      </c>
      <c r="BF364" s="408">
        <v>0</v>
      </c>
      <c r="BG364" s="408">
        <v>3123.8352625617385</v>
      </c>
      <c r="BH364" s="408">
        <v>0</v>
      </c>
      <c r="BI364" s="408">
        <v>159.46</v>
      </c>
      <c r="BJ364" s="408">
        <v>738.96</v>
      </c>
      <c r="BK364" s="408">
        <v>1929.03</v>
      </c>
      <c r="BL364" s="408">
        <v>218</v>
      </c>
      <c r="BM364" s="408"/>
      <c r="BN364" s="408"/>
      <c r="BO364" s="408"/>
      <c r="BP364" s="408"/>
      <c r="BQ364" s="408"/>
      <c r="BR364" s="408">
        <v>5433.9463199999982</v>
      </c>
      <c r="BS364" s="408"/>
      <c r="BT364" s="408"/>
      <c r="BU364" s="408"/>
      <c r="BV364" s="408">
        <v>21994.338922241375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39850.273000000001</v>
      </c>
      <c r="CJ364" s="408">
        <v>-21290.463000000011</v>
      </c>
      <c r="CK364" s="408"/>
      <c r="CL364" s="408"/>
      <c r="CM364" s="408"/>
      <c r="CN364" s="408"/>
      <c r="CO364" s="408">
        <v>-27068.417750000001</v>
      </c>
      <c r="CP364" s="408">
        <v>2874.6703699999998</v>
      </c>
      <c r="CQ364" s="408">
        <v>29</v>
      </c>
      <c r="CR364" s="408">
        <v>3405.0532947712381</v>
      </c>
      <c r="CS364" s="408">
        <v>80.712837992907794</v>
      </c>
      <c r="CT364" s="408">
        <v>252.88010135030299</v>
      </c>
      <c r="CU364" s="408">
        <v>0</v>
      </c>
      <c r="CV364" s="408">
        <v>0</v>
      </c>
      <c r="CW364" s="408">
        <v>0</v>
      </c>
      <c r="CX364" s="408">
        <v>0</v>
      </c>
      <c r="CY364" s="408">
        <v>0</v>
      </c>
      <c r="CZ364" s="408">
        <v>7.0798700550909075</v>
      </c>
      <c r="DA364" s="408">
        <v>0</v>
      </c>
      <c r="DB364" s="408">
        <v>0</v>
      </c>
      <c r="DC364" s="408">
        <v>2875.039815216609</v>
      </c>
      <c r="DD364" s="408">
        <v>0</v>
      </c>
      <c r="DE364" s="408">
        <v>0</v>
      </c>
      <c r="DF364" s="408">
        <v>8.0095357436065129</v>
      </c>
      <c r="DG364" s="408">
        <v>477.26183617869356</v>
      </c>
      <c r="DH364" s="408">
        <v>0</v>
      </c>
      <c r="DI364" s="408">
        <v>-255.11755169358275</v>
      </c>
      <c r="DJ364" s="408"/>
      <c r="DK364" s="408">
        <v>0</v>
      </c>
      <c r="DL364" s="408">
        <v>0</v>
      </c>
      <c r="DM364" s="408">
        <v>0</v>
      </c>
      <c r="DN364" s="408">
        <v>0</v>
      </c>
      <c r="DO364" s="408">
        <v>-33.462233111811656</v>
      </c>
      <c r="DP364" s="408">
        <v>-7.350916960579525</v>
      </c>
      <c r="DQ364" s="408">
        <v>0</v>
      </c>
      <c r="DR364" s="408">
        <v>0</v>
      </c>
      <c r="DS364" s="408"/>
      <c r="DT364" s="408"/>
      <c r="DU364" s="408"/>
      <c r="DV364" s="408">
        <v>37563.974836452173</v>
      </c>
      <c r="DW364" s="408">
        <v>0</v>
      </c>
      <c r="DX364" s="408">
        <v>0</v>
      </c>
      <c r="DY364" s="408">
        <v>-27068.417750000001</v>
      </c>
      <c r="DZ364" s="234">
        <v>2874.6703699999998</v>
      </c>
      <c r="EA364" s="408">
        <v>0</v>
      </c>
      <c r="EB364" s="408">
        <v>0</v>
      </c>
      <c r="EC364" s="408">
        <v>-27598.621093907081</v>
      </c>
      <c r="ED364" s="408">
        <v>0</v>
      </c>
      <c r="EE364" s="408">
        <v>0</v>
      </c>
      <c r="EF364" s="408">
        <v>0</v>
      </c>
      <c r="EG364" s="408">
        <v>0</v>
      </c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>
        <v>0</v>
      </c>
      <c r="EN364" s="408">
        <v>0</v>
      </c>
      <c r="EO364" s="408">
        <v>0</v>
      </c>
      <c r="EP364" s="408">
        <v>0</v>
      </c>
      <c r="EQ364" s="408">
        <v>0</v>
      </c>
      <c r="ER364" s="408">
        <v>0</v>
      </c>
      <c r="ES364" s="408">
        <v>0</v>
      </c>
      <c r="ET364" s="408">
        <v>0</v>
      </c>
      <c r="EU364" s="408">
        <v>0</v>
      </c>
      <c r="EV364" s="408">
        <v>242</v>
      </c>
      <c r="EW364" s="408">
        <v>0</v>
      </c>
      <c r="EX364" s="408">
        <v>0</v>
      </c>
      <c r="EY364" s="408">
        <v>0</v>
      </c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363</v>
      </c>
      <c r="B365" s="408" t="s">
        <v>1036</v>
      </c>
      <c r="C365" s="408" t="s">
        <v>2239</v>
      </c>
      <c r="D365" s="408" t="s">
        <v>597</v>
      </c>
      <c r="E365" s="408" t="s">
        <v>974</v>
      </c>
      <c r="F365" s="408" t="s">
        <v>1322</v>
      </c>
      <c r="G365" s="408" t="s">
        <v>1322</v>
      </c>
      <c r="H365" s="408" t="s">
        <v>1322</v>
      </c>
      <c r="I365" s="408" t="s">
        <v>973</v>
      </c>
      <c r="J365" s="408" t="s">
        <v>2232</v>
      </c>
      <c r="K365" s="828">
        <v>44593</v>
      </c>
      <c r="L365" s="408">
        <v>0</v>
      </c>
      <c r="M365" s="408">
        <v>0</v>
      </c>
      <c r="N365" s="408">
        <v>0.11700000000000001</v>
      </c>
      <c r="O365" s="408">
        <v>0.11232</v>
      </c>
      <c r="P365" s="408">
        <v>0.11700000000000001</v>
      </c>
      <c r="Q365" s="408">
        <v>0.11232</v>
      </c>
      <c r="R365" s="408"/>
      <c r="S365" s="408">
        <v>2592.54</v>
      </c>
      <c r="T365" s="408">
        <v>216.76</v>
      </c>
      <c r="U365" s="408"/>
      <c r="V365" s="408">
        <v>328.68810000000002</v>
      </c>
      <c r="W365" s="408">
        <v>328.68810000000002</v>
      </c>
      <c r="X365" s="408">
        <v>138.2004</v>
      </c>
      <c r="Y365" s="408">
        <v>0</v>
      </c>
      <c r="Z365" s="408">
        <v>6.169554708912762</v>
      </c>
      <c r="AA365" s="408">
        <v>0</v>
      </c>
      <c r="AB365" s="408">
        <v>0</v>
      </c>
      <c r="AC365" s="408">
        <v>0</v>
      </c>
      <c r="AD365" s="408">
        <v>0.5916263192268052</v>
      </c>
      <c r="AE365" s="408">
        <v>268.0343060164181</v>
      </c>
      <c r="AF365" s="408">
        <v>24.991375596365415</v>
      </c>
      <c r="AG365" s="408">
        <v>0.36941635416492613</v>
      </c>
      <c r="AH365" s="408">
        <v>0</v>
      </c>
      <c r="AI365" s="408">
        <v>0</v>
      </c>
      <c r="AJ365" s="408">
        <v>0</v>
      </c>
      <c r="AK365" s="408">
        <v>0</v>
      </c>
      <c r="AL365" s="408">
        <v>1.096715138052663</v>
      </c>
      <c r="AM365" s="408"/>
      <c r="AN365" s="408">
        <v>0.16066699699066966</v>
      </c>
      <c r="AO365" s="408">
        <v>5.2784399702774145</v>
      </c>
      <c r="AP365" s="408">
        <v>20.030487600750824</v>
      </c>
      <c r="AQ365" s="408">
        <v>0</v>
      </c>
      <c r="AR365" s="408">
        <v>0</v>
      </c>
      <c r="AS365" s="408">
        <v>0</v>
      </c>
      <c r="AT365" s="408">
        <v>0</v>
      </c>
      <c r="AU365" s="408">
        <v>0</v>
      </c>
      <c r="AV365" s="408">
        <v>0</v>
      </c>
      <c r="AW365" s="408">
        <v>0</v>
      </c>
      <c r="AX365" s="408">
        <v>0</v>
      </c>
      <c r="AY365" s="408">
        <v>0</v>
      </c>
      <c r="AZ365" s="408">
        <v>0</v>
      </c>
      <c r="BA365" s="408"/>
      <c r="BB365" s="408">
        <v>0</v>
      </c>
      <c r="BC365" s="408">
        <v>0</v>
      </c>
      <c r="BD365" s="408">
        <v>5.3503947719229859E-2</v>
      </c>
      <c r="BE365" s="408">
        <v>0</v>
      </c>
      <c r="BF365" s="408">
        <v>0</v>
      </c>
      <c r="BG365" s="408">
        <v>1.9113303487654349</v>
      </c>
      <c r="BH365" s="408">
        <v>0</v>
      </c>
      <c r="BI365" s="408">
        <v>0</v>
      </c>
      <c r="BJ365" s="408">
        <v>0</v>
      </c>
      <c r="BK365" s="408">
        <v>0</v>
      </c>
      <c r="BL365" s="408">
        <v>0</v>
      </c>
      <c r="BM365" s="408"/>
      <c r="BN365" s="408"/>
      <c r="BO365" s="408"/>
      <c r="BP365" s="408"/>
      <c r="BQ365" s="408"/>
      <c r="BR365" s="408">
        <v>5.5280160000000045</v>
      </c>
      <c r="BS365" s="408"/>
      <c r="BT365" s="408"/>
      <c r="BU365" s="408"/>
      <c r="BV365" s="408">
        <v>26.95620989285008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129.93199999999999</v>
      </c>
      <c r="CJ365" s="408">
        <v>-185.63857600000003</v>
      </c>
      <c r="CK365" s="408"/>
      <c r="CL365" s="408"/>
      <c r="CM365" s="408"/>
      <c r="CN365" s="408"/>
      <c r="CO365" s="408">
        <v>-194.30541000000002</v>
      </c>
      <c r="CP365" s="408">
        <v>3.8177099999999995</v>
      </c>
      <c r="CQ365" s="408">
        <v>29</v>
      </c>
      <c r="CR365" s="408">
        <v>6.4406987987383602</v>
      </c>
      <c r="CS365" s="408">
        <v>0.54447912820289446</v>
      </c>
      <c r="CT365" s="408">
        <v>2.0661753259954168</v>
      </c>
      <c r="CU365" s="408">
        <v>0</v>
      </c>
      <c r="CV365" s="408">
        <v>0</v>
      </c>
      <c r="CW365" s="408">
        <v>0</v>
      </c>
      <c r="CX365" s="408">
        <v>0</v>
      </c>
      <c r="CY365" s="408">
        <v>0</v>
      </c>
      <c r="CZ365" s="408">
        <v>5.7846298521814887E-2</v>
      </c>
      <c r="DA365" s="408">
        <v>0</v>
      </c>
      <c r="DB365" s="408">
        <v>0</v>
      </c>
      <c r="DC365" s="408">
        <v>3.8182006422359258</v>
      </c>
      <c r="DD365" s="408">
        <v>0</v>
      </c>
      <c r="DE365" s="408">
        <v>0</v>
      </c>
      <c r="DF365" s="408">
        <v>8.1743722651839573E-3</v>
      </c>
      <c r="DG365" s="408">
        <v>0.29201444862613912</v>
      </c>
      <c r="DH365" s="408">
        <v>0</v>
      </c>
      <c r="DI365" s="408">
        <v>-0.29476402214428266</v>
      </c>
      <c r="DJ365" s="408"/>
      <c r="DK365" s="408">
        <v>0</v>
      </c>
      <c r="DL365" s="408">
        <v>0</v>
      </c>
      <c r="DM365" s="408">
        <v>0</v>
      </c>
      <c r="DN365" s="408">
        <v>0</v>
      </c>
      <c r="DO365" s="408">
        <v>-4.4439565421650062E-2</v>
      </c>
      <c r="DP365" s="408">
        <v>-6.9878295430924608E-3</v>
      </c>
      <c r="DQ365" s="408">
        <v>0</v>
      </c>
      <c r="DR365" s="408">
        <v>0</v>
      </c>
      <c r="DS365" s="408"/>
      <c r="DT365" s="408"/>
      <c r="DU365" s="408"/>
      <c r="DV365" s="408">
        <v>268.0343060164181</v>
      </c>
      <c r="DW365" s="408">
        <v>0</v>
      </c>
      <c r="DX365" s="408">
        <v>0</v>
      </c>
      <c r="DY365" s="408">
        <v>-194.30540999999999</v>
      </c>
      <c r="DZ365" s="234">
        <v>3.8177100000000017</v>
      </c>
      <c r="EA365" s="408">
        <v>0</v>
      </c>
      <c r="EB365" s="408">
        <v>0</v>
      </c>
      <c r="EC365" s="408">
        <v>-196.92743603738739</v>
      </c>
      <c r="ED365" s="408">
        <v>0</v>
      </c>
      <c r="EE365" s="408">
        <v>0</v>
      </c>
      <c r="EF365" s="408">
        <v>0</v>
      </c>
      <c r="EG365" s="408">
        <v>0</v>
      </c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>
        <v>0</v>
      </c>
      <c r="EN365" s="408">
        <v>0</v>
      </c>
      <c r="EO365" s="408">
        <v>0</v>
      </c>
      <c r="EP365" s="408">
        <v>0</v>
      </c>
      <c r="EQ365" s="408">
        <v>0</v>
      </c>
      <c r="ER365" s="408">
        <v>0</v>
      </c>
      <c r="ES365" s="408">
        <v>0</v>
      </c>
      <c r="ET365" s="408">
        <v>0</v>
      </c>
      <c r="EU365" s="408">
        <v>0</v>
      </c>
      <c r="EV365" s="408">
        <v>242</v>
      </c>
      <c r="EW365" s="408">
        <v>0</v>
      </c>
      <c r="EX365" s="408">
        <v>0</v>
      </c>
      <c r="EY365" s="408">
        <v>0</v>
      </c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364</v>
      </c>
      <c r="B366" s="408" t="s">
        <v>1036</v>
      </c>
      <c r="C366" s="408" t="s">
        <v>2239</v>
      </c>
      <c r="D366" s="408" t="s">
        <v>597</v>
      </c>
      <c r="E366" s="408" t="s">
        <v>974</v>
      </c>
      <c r="F366" s="408" t="s">
        <v>1322</v>
      </c>
      <c r="G366" s="408" t="s">
        <v>1322</v>
      </c>
      <c r="H366" s="408" t="s">
        <v>1322</v>
      </c>
      <c r="I366" s="408" t="s">
        <v>2240</v>
      </c>
      <c r="J366" s="408" t="s">
        <v>2232</v>
      </c>
      <c r="K366" s="828">
        <v>44593</v>
      </c>
      <c r="L366" s="408">
        <v>0</v>
      </c>
      <c r="M366" s="408">
        <v>0</v>
      </c>
      <c r="N366" s="408">
        <v>28.526</v>
      </c>
      <c r="O366" s="408">
        <v>27.38496</v>
      </c>
      <c r="P366" s="408">
        <v>28.526</v>
      </c>
      <c r="Q366" s="408">
        <v>27.38496</v>
      </c>
      <c r="R366" s="408"/>
      <c r="S366" s="408">
        <v>80.27</v>
      </c>
      <c r="T366" s="408">
        <v>216.76</v>
      </c>
      <c r="U366" s="408"/>
      <c r="V366" s="408">
        <v>8473.0777799999996</v>
      </c>
      <c r="W366" s="408">
        <v>8473.0777799999996</v>
      </c>
      <c r="X366" s="408">
        <v>9392.7560199999989</v>
      </c>
      <c r="Y366" s="408">
        <v>0</v>
      </c>
      <c r="Z366" s="408">
        <v>1504.2112617644909</v>
      </c>
      <c r="AA366" s="408">
        <v>0</v>
      </c>
      <c r="AB366" s="408">
        <v>0</v>
      </c>
      <c r="AC366" s="408">
        <v>0</v>
      </c>
      <c r="AD366" s="408">
        <v>0</v>
      </c>
      <c r="AE366" s="408">
        <v>0</v>
      </c>
      <c r="AF366" s="408">
        <v>6093.1964124950409</v>
      </c>
      <c r="AG366" s="408">
        <v>90.068127512040022</v>
      </c>
      <c r="AH366" s="408">
        <v>0</v>
      </c>
      <c r="AI366" s="408">
        <v>0</v>
      </c>
      <c r="AJ366" s="408">
        <v>0</v>
      </c>
      <c r="AK366" s="408">
        <v>0</v>
      </c>
      <c r="AL366" s="408">
        <v>267.39227374436126</v>
      </c>
      <c r="AM366" s="408"/>
      <c r="AN366" s="408">
        <v>39.172536377400363</v>
      </c>
      <c r="AO366" s="408">
        <v>0</v>
      </c>
      <c r="AP366" s="408">
        <v>0</v>
      </c>
      <c r="AQ366" s="408">
        <v>0</v>
      </c>
      <c r="AR366" s="408">
        <v>0</v>
      </c>
      <c r="AS366" s="408">
        <v>0</v>
      </c>
      <c r="AT366" s="408">
        <v>0</v>
      </c>
      <c r="AU366" s="408">
        <v>0</v>
      </c>
      <c r="AV366" s="408">
        <v>0</v>
      </c>
      <c r="AW366" s="408">
        <v>0</v>
      </c>
      <c r="AX366" s="408">
        <v>0</v>
      </c>
      <c r="AY366" s="408">
        <v>0</v>
      </c>
      <c r="AZ366" s="408">
        <v>0</v>
      </c>
      <c r="BA366" s="408"/>
      <c r="BB366" s="408">
        <v>0</v>
      </c>
      <c r="BC366" s="408">
        <v>0</v>
      </c>
      <c r="BD366" s="408">
        <v>13.044902672126076</v>
      </c>
      <c r="BE366" s="408">
        <v>0</v>
      </c>
      <c r="BF366" s="408">
        <v>0</v>
      </c>
      <c r="BG366" s="408">
        <v>466.00520964857094</v>
      </c>
      <c r="BH366" s="408">
        <v>0</v>
      </c>
      <c r="BI366" s="408">
        <v>0</v>
      </c>
      <c r="BJ366" s="408">
        <v>0</v>
      </c>
      <c r="BK366" s="408">
        <v>0</v>
      </c>
      <c r="BL366" s="408">
        <v>0</v>
      </c>
      <c r="BM366" s="408"/>
      <c r="BN366" s="408"/>
      <c r="BO366" s="408"/>
      <c r="BP366" s="408"/>
      <c r="BQ366" s="408"/>
      <c r="BR366" s="408">
        <v>375.71024080000007</v>
      </c>
      <c r="BS366" s="408"/>
      <c r="BT366" s="408"/>
      <c r="BU366" s="408"/>
      <c r="BV366" s="408">
        <v>6572.2465248157378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9015.4125999999997</v>
      </c>
      <c r="CJ366" s="408">
        <v>881.22793119999915</v>
      </c>
      <c r="CK366" s="408"/>
      <c r="CL366" s="408"/>
      <c r="CM366" s="408"/>
      <c r="CN366" s="408"/>
      <c r="CO366" s="408">
        <v>-11.125140000000016</v>
      </c>
      <c r="CP366" s="408">
        <v>930.80337999999983</v>
      </c>
      <c r="CQ366" s="408">
        <v>29</v>
      </c>
      <c r="CR366" s="408">
        <v>919.70702103176336</v>
      </c>
      <c r="CS366" s="408">
        <v>0</v>
      </c>
      <c r="CT366" s="408">
        <v>0</v>
      </c>
      <c r="CU366" s="408">
        <v>0</v>
      </c>
      <c r="CV366" s="408">
        <v>0</v>
      </c>
      <c r="CW366" s="408">
        <v>0</v>
      </c>
      <c r="CX366" s="408">
        <v>0</v>
      </c>
      <c r="CY366" s="408">
        <v>0</v>
      </c>
      <c r="CZ366" s="408">
        <v>0</v>
      </c>
      <c r="DA366" s="408">
        <v>0</v>
      </c>
      <c r="DB366" s="408">
        <v>0</v>
      </c>
      <c r="DC366" s="408">
        <v>930.92300444805187</v>
      </c>
      <c r="DD366" s="408">
        <v>0</v>
      </c>
      <c r="DE366" s="408">
        <v>0</v>
      </c>
      <c r="DF366" s="408">
        <v>1.9930097712533126</v>
      </c>
      <c r="DG366" s="408">
        <v>71.19661676503631</v>
      </c>
      <c r="DH366" s="408">
        <v>0</v>
      </c>
      <c r="DI366" s="408">
        <v>-71.866995689639452</v>
      </c>
      <c r="DJ366" s="408"/>
      <c r="DK366" s="408">
        <v>0</v>
      </c>
      <c r="DL366" s="408">
        <v>0</v>
      </c>
      <c r="DM366" s="408">
        <v>0</v>
      </c>
      <c r="DN366" s="408">
        <v>0</v>
      </c>
      <c r="DO366" s="408">
        <v>-10.834897805282026</v>
      </c>
      <c r="DP366" s="408">
        <v>-1.7037164576603061</v>
      </c>
      <c r="DQ366" s="408">
        <v>0</v>
      </c>
      <c r="DR366" s="408">
        <v>0</v>
      </c>
      <c r="DS366" s="408"/>
      <c r="DT366" s="408"/>
      <c r="DU366" s="408"/>
      <c r="DV366" s="408">
        <v>0</v>
      </c>
      <c r="DW366" s="408">
        <v>0</v>
      </c>
      <c r="DX366" s="408">
        <v>0</v>
      </c>
      <c r="DY366" s="408">
        <v>-11.125139999999647</v>
      </c>
      <c r="DZ366" s="234">
        <v>930.80337999999938</v>
      </c>
      <c r="EA366" s="408">
        <v>0</v>
      </c>
      <c r="EB366" s="408">
        <v>0</v>
      </c>
      <c r="EC366" s="408">
        <v>0</v>
      </c>
      <c r="ED366" s="408">
        <v>0</v>
      </c>
      <c r="EE366" s="408">
        <v>0</v>
      </c>
      <c r="EF366" s="408">
        <v>0</v>
      </c>
      <c r="EG366" s="408">
        <v>0</v>
      </c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>
        <v>0</v>
      </c>
      <c r="EN366" s="408">
        <v>0</v>
      </c>
      <c r="EO366" s="408">
        <v>0</v>
      </c>
      <c r="EP366" s="408">
        <v>0</v>
      </c>
      <c r="EQ366" s="408">
        <v>0</v>
      </c>
      <c r="ER366" s="408">
        <v>0</v>
      </c>
      <c r="ES366" s="408">
        <v>0</v>
      </c>
      <c r="ET366" s="408">
        <v>0</v>
      </c>
      <c r="EU366" s="408">
        <v>0</v>
      </c>
      <c r="EV366" s="408">
        <v>242</v>
      </c>
      <c r="EW366" s="408">
        <v>0</v>
      </c>
      <c r="EX366" s="408">
        <v>0</v>
      </c>
      <c r="EY366" s="408">
        <v>0</v>
      </c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365</v>
      </c>
      <c r="B367" s="408" t="s">
        <v>1036</v>
      </c>
      <c r="C367" s="408" t="s">
        <v>2239</v>
      </c>
      <c r="D367" s="408" t="s">
        <v>597</v>
      </c>
      <c r="E367" s="408" t="s">
        <v>974</v>
      </c>
      <c r="F367" s="408" t="s">
        <v>1322</v>
      </c>
      <c r="G367" s="408" t="s">
        <v>1322</v>
      </c>
      <c r="H367" s="408" t="s">
        <v>1322</v>
      </c>
      <c r="I367" s="408" t="s">
        <v>1322</v>
      </c>
      <c r="J367" s="408" t="s">
        <v>2232</v>
      </c>
      <c r="K367" s="828">
        <v>44593</v>
      </c>
      <c r="L367" s="408">
        <v>99</v>
      </c>
      <c r="M367" s="408">
        <v>95.04</v>
      </c>
      <c r="N367" s="408">
        <v>0</v>
      </c>
      <c r="O367" s="408">
        <v>0</v>
      </c>
      <c r="P367" s="408">
        <v>0</v>
      </c>
      <c r="Q367" s="408">
        <v>0</v>
      </c>
      <c r="R367" s="408">
        <v>32.17</v>
      </c>
      <c r="S367" s="408"/>
      <c r="T367" s="408"/>
      <c r="U367" s="408">
        <v>3184.8300000000004</v>
      </c>
      <c r="V367" s="408"/>
      <c r="W367" s="408">
        <v>3184.8300000000004</v>
      </c>
      <c r="X367" s="408">
        <v>1280.07</v>
      </c>
      <c r="Y367" s="408">
        <v>0</v>
      </c>
      <c r="Z367" s="408">
        <v>0</v>
      </c>
      <c r="AA367" s="408">
        <v>0</v>
      </c>
      <c r="AB367" s="408">
        <v>0</v>
      </c>
      <c r="AC367" s="408">
        <v>0</v>
      </c>
      <c r="AD367" s="408">
        <v>9.8917062879962643</v>
      </c>
      <c r="AE367" s="408">
        <v>2665.7468074208068</v>
      </c>
      <c r="AF367" s="408"/>
      <c r="AG367" s="408"/>
      <c r="AH367" s="408"/>
      <c r="AI367" s="408">
        <v>0</v>
      </c>
      <c r="AJ367" s="408">
        <v>0</v>
      </c>
      <c r="AK367" s="408">
        <v>0</v>
      </c>
      <c r="AL367" s="408">
        <v>0</v>
      </c>
      <c r="AM367" s="408"/>
      <c r="AN367" s="408">
        <v>0</v>
      </c>
      <c r="AO367" s="408">
        <v>174.67768953495928</v>
      </c>
      <c r="AP367" s="408">
        <v>334.90365137912232</v>
      </c>
      <c r="AQ367" s="408">
        <v>0</v>
      </c>
      <c r="AR367" s="408">
        <v>0</v>
      </c>
      <c r="AS367" s="408"/>
      <c r="AT367" s="408"/>
      <c r="AU367" s="408">
        <v>0</v>
      </c>
      <c r="AV367" s="408">
        <v>0</v>
      </c>
      <c r="AW367" s="408">
        <v>0</v>
      </c>
      <c r="AX367" s="408"/>
      <c r="AY367" s="408"/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0</v>
      </c>
      <c r="BF367" s="408"/>
      <c r="BG367" s="408">
        <v>0</v>
      </c>
      <c r="BH367" s="408">
        <v>0</v>
      </c>
      <c r="BI367" s="408">
        <v>38.11</v>
      </c>
      <c r="BJ367" s="408">
        <v>175.93</v>
      </c>
      <c r="BK367" s="408">
        <v>6.51</v>
      </c>
      <c r="BL367" s="408">
        <v>1</v>
      </c>
      <c r="BM367" s="408"/>
      <c r="BN367" s="408"/>
      <c r="BO367" s="408"/>
      <c r="BP367" s="408"/>
      <c r="BQ367" s="408"/>
      <c r="BR367" s="408">
        <v>51.202799999999918</v>
      </c>
      <c r="BS367" s="408"/>
      <c r="BT367" s="408"/>
      <c r="BU367" s="408"/>
      <c r="BV367" s="408">
        <v>0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1228.8672000000001</v>
      </c>
      <c r="CJ367" s="408">
        <v>-1828.5996000000009</v>
      </c>
      <c r="CK367" s="408"/>
      <c r="CL367" s="408"/>
      <c r="CM367" s="408"/>
      <c r="CN367" s="408"/>
      <c r="CO367" s="408">
        <v>-1904.7600000000002</v>
      </c>
      <c r="CP367" s="408">
        <v>0</v>
      </c>
      <c r="CQ367" s="408">
        <v>29</v>
      </c>
      <c r="CR367" s="408">
        <v>53.53125417683043</v>
      </c>
      <c r="CS367" s="408">
        <v>18.018269914982994</v>
      </c>
      <c r="CT367" s="408">
        <v>34.545822091690127</v>
      </c>
      <c r="CU367" s="408">
        <v>0</v>
      </c>
      <c r="CV367" s="408">
        <v>0</v>
      </c>
      <c r="CW367" s="408"/>
      <c r="CX367" s="408"/>
      <c r="CY367" s="408"/>
      <c r="CZ367" s="408">
        <v>0.96716217015728745</v>
      </c>
      <c r="DA367" s="408">
        <v>0</v>
      </c>
      <c r="DB367" s="408">
        <v>0</v>
      </c>
      <c r="DC367" s="408"/>
      <c r="DD367" s="408"/>
      <c r="DE367" s="408">
        <v>0</v>
      </c>
      <c r="DF367" s="408">
        <v>0</v>
      </c>
      <c r="DG367" s="408">
        <v>0</v>
      </c>
      <c r="DH367" s="408">
        <v>0</v>
      </c>
      <c r="DI367" s="408">
        <v>0</v>
      </c>
      <c r="DJ367" s="408"/>
      <c r="DK367" s="408">
        <v>0</v>
      </c>
      <c r="DL367" s="408">
        <v>0</v>
      </c>
      <c r="DM367" s="408"/>
      <c r="DN367" s="408">
        <v>0</v>
      </c>
      <c r="DO367" s="408">
        <v>0</v>
      </c>
      <c r="DP367" s="408">
        <v>0</v>
      </c>
      <c r="DQ367" s="408">
        <v>0</v>
      </c>
      <c r="DR367" s="408">
        <v>0</v>
      </c>
      <c r="DS367" s="408"/>
      <c r="DT367" s="408"/>
      <c r="DU367" s="408">
        <v>2665.7468074208068</v>
      </c>
      <c r="DV367" s="408"/>
      <c r="DW367" s="408">
        <v>0</v>
      </c>
      <c r="DX367" s="408">
        <v>0</v>
      </c>
      <c r="DY367" s="408">
        <v>-1904.7600000000004</v>
      </c>
      <c r="DZ367" s="234"/>
      <c r="EA367" s="408">
        <v>0</v>
      </c>
      <c r="EB367" s="408"/>
      <c r="EC367" s="408">
        <v>-1958.5503501856745</v>
      </c>
      <c r="ED367" s="408"/>
      <c r="EE367" s="408">
        <v>0</v>
      </c>
      <c r="EF367" s="408">
        <v>0</v>
      </c>
      <c r="EG367" s="408"/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/>
      <c r="EN367" s="408"/>
      <c r="EO367" s="408">
        <v>0</v>
      </c>
      <c r="EP367" s="408">
        <v>0</v>
      </c>
      <c r="EQ367" s="408"/>
      <c r="ER367" s="408">
        <v>0</v>
      </c>
      <c r="ES367" s="408"/>
      <c r="ET367" s="408">
        <v>0</v>
      </c>
      <c r="EU367" s="408"/>
      <c r="EV367" s="408">
        <v>242</v>
      </c>
      <c r="EW367" s="408"/>
      <c r="EX367" s="408"/>
      <c r="EY367" s="408"/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366</v>
      </c>
      <c r="B368" s="408" t="s">
        <v>1036</v>
      </c>
      <c r="C368" s="408" t="s">
        <v>2231</v>
      </c>
      <c r="D368" s="408" t="s">
        <v>1955</v>
      </c>
      <c r="E368" s="408" t="s">
        <v>2242</v>
      </c>
      <c r="F368" s="408" t="s">
        <v>1322</v>
      </c>
      <c r="G368" s="408" t="s">
        <v>1322</v>
      </c>
      <c r="H368" s="408" t="s">
        <v>1322</v>
      </c>
      <c r="I368" s="408" t="s">
        <v>1322</v>
      </c>
      <c r="J368" s="408" t="s">
        <v>2232</v>
      </c>
      <c r="K368" s="828">
        <v>44593</v>
      </c>
      <c r="L368" s="408">
        <v>0</v>
      </c>
      <c r="M368" s="408">
        <v>0</v>
      </c>
      <c r="N368" s="408">
        <v>38.625</v>
      </c>
      <c r="O368" s="408">
        <v>38.625</v>
      </c>
      <c r="P368" s="408">
        <v>38.625</v>
      </c>
      <c r="Q368" s="408">
        <v>38.625</v>
      </c>
      <c r="R368" s="408"/>
      <c r="S368" s="408">
        <v>571.87</v>
      </c>
      <c r="T368" s="408">
        <v>216.76</v>
      </c>
      <c r="U368" s="408"/>
      <c r="V368" s="408">
        <v>30460.833749999998</v>
      </c>
      <c r="W368" s="408">
        <v>30460.833749999998</v>
      </c>
      <c r="X368" s="408">
        <v>19853.63625</v>
      </c>
      <c r="Y368" s="408">
        <v>0</v>
      </c>
      <c r="Z368" s="408">
        <v>2341.0850833260179</v>
      </c>
      <c r="AA368" s="408">
        <v>0</v>
      </c>
      <c r="AB368" s="408">
        <v>0</v>
      </c>
      <c r="AC368" s="408">
        <v>0</v>
      </c>
      <c r="AD368" s="408">
        <v>31.746416643501597</v>
      </c>
      <c r="AE368" s="408">
        <v>16469.069206891851</v>
      </c>
      <c r="AF368" s="408">
        <v>8250.3579693129413</v>
      </c>
      <c r="AG368" s="408">
        <v>121.95475794547241</v>
      </c>
      <c r="AH368" s="408">
        <v>0</v>
      </c>
      <c r="AI368" s="408">
        <v>0</v>
      </c>
      <c r="AJ368" s="408">
        <v>0</v>
      </c>
      <c r="AK368" s="408">
        <v>0</v>
      </c>
      <c r="AL368" s="408">
        <v>362.05660006225736</v>
      </c>
      <c r="AM368" s="408"/>
      <c r="AN368" s="408">
        <v>74.100886606491898</v>
      </c>
      <c r="AO368" s="408">
        <v>343.05557555909718</v>
      </c>
      <c r="AP368" s="408">
        <v>1074.821935065585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22.98456414516869</v>
      </c>
      <c r="BE368" s="408">
        <v>0</v>
      </c>
      <c r="BF368" s="408">
        <v>0</v>
      </c>
      <c r="BG368" s="408">
        <v>1369.5744221438058</v>
      </c>
      <c r="BH368" s="408">
        <v>0</v>
      </c>
      <c r="BI368" s="408">
        <v>66.459999999999994</v>
      </c>
      <c r="BJ368" s="408">
        <v>308.55</v>
      </c>
      <c r="BK368" s="408">
        <v>7985.57</v>
      </c>
      <c r="BL368" s="408">
        <v>104</v>
      </c>
      <c r="BM368" s="408"/>
      <c r="BN368" s="408"/>
      <c r="BO368" s="408"/>
      <c r="BP368" s="408"/>
      <c r="BQ368" s="408"/>
      <c r="BR368" s="408"/>
      <c r="BS368" s="408"/>
      <c r="BT368" s="408"/>
      <c r="BU368" s="408"/>
      <c r="BV368" s="408">
        <v>9642.9169556019151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19856.206300000002</v>
      </c>
      <c r="CJ368" s="408">
        <v>-10604.657449999992</v>
      </c>
      <c r="CK368" s="408"/>
      <c r="CL368" s="408"/>
      <c r="CM368" s="408"/>
      <c r="CN368" s="408"/>
      <c r="CO368" s="408">
        <v>-11867.53125</v>
      </c>
      <c r="CP368" s="408">
        <v>1260.3337499999998</v>
      </c>
      <c r="CQ368" s="408">
        <v>29</v>
      </c>
      <c r="CR368" s="408">
        <v>1492.8680633212534</v>
      </c>
      <c r="CS368" s="408">
        <v>35.386705495817864</v>
      </c>
      <c r="CT368" s="408">
        <v>110.86952081925392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3.1040077739575551</v>
      </c>
      <c r="DA368" s="408">
        <v>0</v>
      </c>
      <c r="DB368" s="408">
        <v>0</v>
      </c>
      <c r="DC368" s="408">
        <v>1260.4957248407063</v>
      </c>
      <c r="DD368" s="408">
        <v>0</v>
      </c>
      <c r="DE368" s="408">
        <v>0</v>
      </c>
      <c r="DF368" s="408">
        <v>3.5115985209457712</v>
      </c>
      <c r="DG368" s="408">
        <v>209.24458191809254</v>
      </c>
      <c r="DH368" s="408">
        <v>0</v>
      </c>
      <c r="DI368" s="408">
        <v>-111.85047996191315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-14.670753969326825</v>
      </c>
      <c r="DP368" s="408">
        <v>-3.2228421162826493</v>
      </c>
      <c r="DQ368" s="408">
        <v>0</v>
      </c>
      <c r="DR368" s="408">
        <v>0</v>
      </c>
      <c r="DS368" s="408"/>
      <c r="DT368" s="408"/>
      <c r="DU368" s="408"/>
      <c r="DV368" s="408">
        <v>16469.069206891851</v>
      </c>
      <c r="DW368" s="408">
        <v>0</v>
      </c>
      <c r="DX368" s="408">
        <v>0</v>
      </c>
      <c r="DY368" s="408">
        <v>-11867.531249999998</v>
      </c>
      <c r="DZ368" s="234">
        <v>1260.3337499999998</v>
      </c>
      <c r="EA368" s="408">
        <v>0</v>
      </c>
      <c r="EB368" s="408">
        <v>0</v>
      </c>
      <c r="EC368" s="408">
        <v>-12099.986830181511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242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367</v>
      </c>
      <c r="B369" s="408" t="s">
        <v>2234</v>
      </c>
      <c r="C369" s="408" t="s">
        <v>2231</v>
      </c>
      <c r="D369" s="408" t="s">
        <v>1955</v>
      </c>
      <c r="E369" s="408" t="s">
        <v>2242</v>
      </c>
      <c r="F369" s="408" t="s">
        <v>1322</v>
      </c>
      <c r="G369" s="408" t="s">
        <v>1322</v>
      </c>
      <c r="H369" s="408" t="s">
        <v>1322</v>
      </c>
      <c r="I369" s="408" t="s">
        <v>1322</v>
      </c>
      <c r="J369" s="408" t="s">
        <v>2232</v>
      </c>
      <c r="K369" s="828">
        <v>44593</v>
      </c>
      <c r="L369" s="408">
        <v>0</v>
      </c>
      <c r="M369" s="408">
        <v>0</v>
      </c>
      <c r="N369" s="408">
        <v>0.1</v>
      </c>
      <c r="O369" s="408">
        <v>0.1</v>
      </c>
      <c r="P369" s="408">
        <v>0.1</v>
      </c>
      <c r="Q369" s="408">
        <v>0.1</v>
      </c>
      <c r="R369" s="408"/>
      <c r="S369" s="408">
        <v>571.87</v>
      </c>
      <c r="T369" s="408">
        <v>216.76</v>
      </c>
      <c r="U369" s="408"/>
      <c r="V369" s="408">
        <v>78.863</v>
      </c>
      <c r="W369" s="408">
        <v>78.863</v>
      </c>
      <c r="X369" s="408">
        <v>51.401000000000003</v>
      </c>
      <c r="Y369" s="408">
        <v>0</v>
      </c>
      <c r="Z369" s="408">
        <v>6.0610617044039303</v>
      </c>
      <c r="AA369" s="408">
        <v>0</v>
      </c>
      <c r="AB369" s="408">
        <v>0</v>
      </c>
      <c r="AC369" s="408">
        <v>0</v>
      </c>
      <c r="AD369" s="408">
        <v>8.2191369950813206E-2</v>
      </c>
      <c r="AE369" s="408">
        <v>42.638366878684401</v>
      </c>
      <c r="AF369" s="408">
        <v>21.360150082363603</v>
      </c>
      <c r="AG369" s="408">
        <v>0.31574047364523605</v>
      </c>
      <c r="AH369" s="408">
        <v>0</v>
      </c>
      <c r="AI369" s="408">
        <v>0</v>
      </c>
      <c r="AJ369" s="408">
        <v>0</v>
      </c>
      <c r="AK369" s="408">
        <v>0</v>
      </c>
      <c r="AL369" s="408">
        <v>0.93736336585697699</v>
      </c>
      <c r="AM369" s="408"/>
      <c r="AN369" s="408">
        <v>0.19184695561551302</v>
      </c>
      <c r="AO369" s="408">
        <v>0.88816977491028393</v>
      </c>
      <c r="AP369" s="408">
        <v>2.7827105114966599</v>
      </c>
      <c r="AQ369" s="408">
        <v>0</v>
      </c>
      <c r="AR369" s="408">
        <v>0</v>
      </c>
      <c r="AS369" s="408">
        <v>0</v>
      </c>
      <c r="AT369" s="408">
        <v>0</v>
      </c>
      <c r="AU369" s="408">
        <v>0</v>
      </c>
      <c r="AV369" s="408">
        <v>0</v>
      </c>
      <c r="AW369" s="408">
        <v>0</v>
      </c>
      <c r="AX369" s="408">
        <v>0</v>
      </c>
      <c r="AY369" s="408">
        <v>0</v>
      </c>
      <c r="AZ369" s="408">
        <v>0</v>
      </c>
      <c r="BA369" s="408"/>
      <c r="BB369" s="408">
        <v>0</v>
      </c>
      <c r="BC369" s="408">
        <v>0</v>
      </c>
      <c r="BD369" s="408">
        <v>5.9506962188139001E-2</v>
      </c>
      <c r="BE369" s="408">
        <v>0</v>
      </c>
      <c r="BF369" s="408">
        <v>0</v>
      </c>
      <c r="BG369" s="408">
        <v>3.5458237466506297</v>
      </c>
      <c r="BH369" s="408">
        <v>0</v>
      </c>
      <c r="BI369" s="408">
        <v>0.17</v>
      </c>
      <c r="BJ369" s="408">
        <v>0.8</v>
      </c>
      <c r="BK369" s="408">
        <v>66.37</v>
      </c>
      <c r="BL369" s="408">
        <v>1</v>
      </c>
      <c r="BM369" s="408"/>
      <c r="BN369" s="408"/>
      <c r="BO369" s="408"/>
      <c r="BP369" s="408"/>
      <c r="BQ369" s="408"/>
      <c r="BR369" s="408"/>
      <c r="BS369" s="408"/>
      <c r="BT369" s="408"/>
      <c r="BU369" s="408"/>
      <c r="BV369" s="408">
        <v>24.965480791202371</v>
      </c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>
        <v>51.401000000000003</v>
      </c>
      <c r="CJ369" s="408">
        <v>-27.492000000000012</v>
      </c>
      <c r="CK369" s="408"/>
      <c r="CL369" s="408"/>
      <c r="CM369" s="408"/>
      <c r="CN369" s="408"/>
      <c r="CO369" s="408">
        <v>-30.725000000000001</v>
      </c>
      <c r="CP369" s="408">
        <v>3.2629999999999999</v>
      </c>
      <c r="CQ369" s="408">
        <v>29</v>
      </c>
      <c r="CR369" s="408">
        <v>3.8650305846504907</v>
      </c>
      <c r="CS369" s="408">
        <v>9.1616066008590069E-2</v>
      </c>
      <c r="CT369" s="408">
        <v>0.28704083060001029</v>
      </c>
      <c r="CU369" s="408">
        <v>0</v>
      </c>
      <c r="CV369" s="408">
        <v>0</v>
      </c>
      <c r="CW369" s="408">
        <v>0</v>
      </c>
      <c r="CX369" s="408">
        <v>0</v>
      </c>
      <c r="CY369" s="408">
        <v>0</v>
      </c>
      <c r="CZ369" s="408">
        <v>8.0362660814434911E-3</v>
      </c>
      <c r="DA369" s="408">
        <v>0</v>
      </c>
      <c r="DB369" s="408">
        <v>0</v>
      </c>
      <c r="DC369" s="408">
        <v>3.2634193523383992</v>
      </c>
      <c r="DD369" s="408">
        <v>0</v>
      </c>
      <c r="DE369" s="408">
        <v>0</v>
      </c>
      <c r="DF369" s="408">
        <v>9.0915172063320976E-3</v>
      </c>
      <c r="DG369" s="408">
        <v>0.5417335454190102</v>
      </c>
      <c r="DH369" s="408">
        <v>0</v>
      </c>
      <c r="DI369" s="408">
        <v>-0.28958053064572997</v>
      </c>
      <c r="DJ369" s="408"/>
      <c r="DK369" s="408">
        <v>0</v>
      </c>
      <c r="DL369" s="408">
        <v>0</v>
      </c>
      <c r="DM369" s="408">
        <v>0</v>
      </c>
      <c r="DN369" s="408">
        <v>0</v>
      </c>
      <c r="DO369" s="408">
        <v>-3.7982534548418934E-2</v>
      </c>
      <c r="DP369" s="408">
        <v>-8.3439278091460012E-3</v>
      </c>
      <c r="DQ369" s="408">
        <v>0</v>
      </c>
      <c r="DR369" s="408">
        <v>0</v>
      </c>
      <c r="DS369" s="408"/>
      <c r="DT369" s="408"/>
      <c r="DU369" s="408"/>
      <c r="DV369" s="408">
        <v>42.638366878684401</v>
      </c>
      <c r="DW369" s="408">
        <v>0</v>
      </c>
      <c r="DX369" s="408">
        <v>0</v>
      </c>
      <c r="DY369" s="408">
        <v>-30.725000000000001</v>
      </c>
      <c r="DZ369" s="234">
        <v>3.2629999999999981</v>
      </c>
      <c r="EA369" s="408">
        <v>0</v>
      </c>
      <c r="EB369" s="408">
        <v>0</v>
      </c>
      <c r="EC369" s="408">
        <v>-31.326826744806503</v>
      </c>
      <c r="ED369" s="408">
        <v>0</v>
      </c>
      <c r="EE369" s="408">
        <v>0</v>
      </c>
      <c r="EF369" s="408">
        <v>0</v>
      </c>
      <c r="EG369" s="408">
        <v>0</v>
      </c>
      <c r="EH369" s="408">
        <v>0</v>
      </c>
      <c r="EI369" s="408">
        <v>0</v>
      </c>
      <c r="EJ369" s="408">
        <v>0</v>
      </c>
      <c r="EK369" s="408">
        <v>0</v>
      </c>
      <c r="EL369" s="408">
        <v>0</v>
      </c>
      <c r="EM369" s="408">
        <v>0</v>
      </c>
      <c r="EN369" s="408">
        <v>0</v>
      </c>
      <c r="EO369" s="408">
        <v>0</v>
      </c>
      <c r="EP369" s="408">
        <v>0</v>
      </c>
      <c r="EQ369" s="408">
        <v>0</v>
      </c>
      <c r="ER369" s="408">
        <v>0</v>
      </c>
      <c r="ES369" s="408">
        <v>0</v>
      </c>
      <c r="ET369" s="408">
        <v>0</v>
      </c>
      <c r="EU369" s="408">
        <v>0</v>
      </c>
      <c r="EV369" s="408">
        <v>242</v>
      </c>
      <c r="EW369" s="408">
        <v>0</v>
      </c>
      <c r="EX369" s="408">
        <v>0</v>
      </c>
      <c r="EY369" s="408">
        <v>0</v>
      </c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368</v>
      </c>
      <c r="B370" s="408" t="s">
        <v>2234</v>
      </c>
      <c r="C370" s="408" t="s">
        <v>2239</v>
      </c>
      <c r="D370" s="408" t="s">
        <v>597</v>
      </c>
      <c r="E370" s="408" t="s">
        <v>2242</v>
      </c>
      <c r="F370" s="408" t="s">
        <v>1322</v>
      </c>
      <c r="G370" s="408" t="s">
        <v>1322</v>
      </c>
      <c r="H370" s="408" t="s">
        <v>1322</v>
      </c>
      <c r="I370" s="408" t="s">
        <v>973</v>
      </c>
      <c r="J370" s="408" t="s">
        <v>2232</v>
      </c>
      <c r="K370" s="828">
        <v>44593</v>
      </c>
      <c r="L370" s="408">
        <v>0</v>
      </c>
      <c r="M370" s="408">
        <v>0</v>
      </c>
      <c r="N370" s="408">
        <v>2.3570000000000002</v>
      </c>
      <c r="O370" s="408">
        <v>2.3570000000000002</v>
      </c>
      <c r="P370" s="408">
        <v>2.3570000000000002</v>
      </c>
      <c r="Q370" s="408">
        <v>2.3570000000000002</v>
      </c>
      <c r="R370" s="408"/>
      <c r="S370" s="408">
        <v>2592.54</v>
      </c>
      <c r="T370" s="408">
        <v>216.76</v>
      </c>
      <c r="U370" s="408"/>
      <c r="V370" s="408">
        <v>6621.5201000000006</v>
      </c>
      <c r="W370" s="408">
        <v>6621.5201000000006</v>
      </c>
      <c r="X370" s="408">
        <v>2784.0884000000001</v>
      </c>
      <c r="Y370" s="408">
        <v>0</v>
      </c>
      <c r="Z370" s="408">
        <v>124.28752520433659</v>
      </c>
      <c r="AA370" s="408">
        <v>0</v>
      </c>
      <c r="AB370" s="408">
        <v>0</v>
      </c>
      <c r="AC370" s="408">
        <v>0</v>
      </c>
      <c r="AD370" s="408">
        <v>11.918489183056238</v>
      </c>
      <c r="AE370" s="408">
        <v>5399.6312759033972</v>
      </c>
      <c r="AF370" s="408">
        <v>503.45873744131012</v>
      </c>
      <c r="AG370" s="408">
        <v>7.4420029638182132</v>
      </c>
      <c r="AH370" s="408">
        <v>0</v>
      </c>
      <c r="AI370" s="408">
        <v>0</v>
      </c>
      <c r="AJ370" s="408">
        <v>0</v>
      </c>
      <c r="AK370" s="408">
        <v>0</v>
      </c>
      <c r="AL370" s="408">
        <v>22.093654533248948</v>
      </c>
      <c r="AM370" s="408"/>
      <c r="AN370" s="408">
        <v>3.2366847171539179</v>
      </c>
      <c r="AO370" s="408">
        <v>106.33575222174245</v>
      </c>
      <c r="AP370" s="408">
        <v>403.52016474333072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1.0778530322583315</v>
      </c>
      <c r="BE370" s="408">
        <v>0</v>
      </c>
      <c r="BF370" s="408">
        <v>0</v>
      </c>
      <c r="BG370" s="408">
        <v>38.504321641368634</v>
      </c>
      <c r="BH370" s="408">
        <v>0</v>
      </c>
      <c r="BI370" s="408">
        <v>0</v>
      </c>
      <c r="BJ370" s="408">
        <v>0</v>
      </c>
      <c r="BK370" s="408">
        <v>0</v>
      </c>
      <c r="BL370" s="408">
        <v>0</v>
      </c>
      <c r="BM370" s="408"/>
      <c r="BN370" s="408"/>
      <c r="BO370" s="408"/>
      <c r="BP370" s="408"/>
      <c r="BQ370" s="408"/>
      <c r="BR370" s="408"/>
      <c r="BS370" s="408"/>
      <c r="BT370" s="408"/>
      <c r="BU370" s="408"/>
      <c r="BV370" s="408">
        <v>543.0409121149371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2787.6319999999996</v>
      </c>
      <c r="CJ370" s="408">
        <v>-3833.9181000000017</v>
      </c>
      <c r="CK370" s="408"/>
      <c r="CL370" s="408"/>
      <c r="CM370" s="408"/>
      <c r="CN370" s="408"/>
      <c r="CO370" s="408">
        <v>-3914.3406100000002</v>
      </c>
      <c r="CP370" s="408">
        <v>76.908909999999992</v>
      </c>
      <c r="CQ370" s="408">
        <v>29</v>
      </c>
      <c r="CR370" s="408">
        <v>129.74980400535287</v>
      </c>
      <c r="CS370" s="408">
        <v>10.96869491601899</v>
      </c>
      <c r="CT370" s="408">
        <v>41.623720028813636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1.1653309881702363</v>
      </c>
      <c r="DA370" s="408">
        <v>0</v>
      </c>
      <c r="DB370" s="408">
        <v>0</v>
      </c>
      <c r="DC370" s="408">
        <v>76.918794134616121</v>
      </c>
      <c r="DD370" s="408">
        <v>0</v>
      </c>
      <c r="DE370" s="408">
        <v>0</v>
      </c>
      <c r="DF370" s="408">
        <v>0.16467517460716752</v>
      </c>
      <c r="DG370" s="408">
        <v>5.8827184223231654</v>
      </c>
      <c r="DH370" s="408">
        <v>0</v>
      </c>
      <c r="DI370" s="408">
        <v>-5.9381094033681592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-0.89524833930623515</v>
      </c>
      <c r="DP370" s="408">
        <v>-0.14077191652195653</v>
      </c>
      <c r="DQ370" s="408">
        <v>0</v>
      </c>
      <c r="DR370" s="408">
        <v>0</v>
      </c>
      <c r="DS370" s="408"/>
      <c r="DT370" s="408"/>
      <c r="DU370" s="408"/>
      <c r="DV370" s="408">
        <v>5399.6312759033972</v>
      </c>
      <c r="DW370" s="408">
        <v>0</v>
      </c>
      <c r="DX370" s="408">
        <v>0</v>
      </c>
      <c r="DY370" s="408">
        <v>-3914.3406100000002</v>
      </c>
      <c r="DZ370" s="234">
        <v>76.908909999999992</v>
      </c>
      <c r="EA370" s="408">
        <v>0</v>
      </c>
      <c r="EB370" s="408">
        <v>0</v>
      </c>
      <c r="EC370" s="408">
        <v>-3967.1621088899319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242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369</v>
      </c>
      <c r="B371" s="408" t="s">
        <v>2234</v>
      </c>
      <c r="C371" s="408" t="s">
        <v>2239</v>
      </c>
      <c r="D371" s="408" t="s">
        <v>597</v>
      </c>
      <c r="E371" s="408" t="s">
        <v>2242</v>
      </c>
      <c r="F371" s="408" t="s">
        <v>1322</v>
      </c>
      <c r="G371" s="408" t="s">
        <v>1322</v>
      </c>
      <c r="H371" s="408" t="s">
        <v>1322</v>
      </c>
      <c r="I371" s="408" t="s">
        <v>2240</v>
      </c>
      <c r="J371" s="408" t="s">
        <v>2232</v>
      </c>
      <c r="K371" s="828">
        <v>44593</v>
      </c>
      <c r="L371" s="408">
        <v>0</v>
      </c>
      <c r="M371" s="408">
        <v>0</v>
      </c>
      <c r="N371" s="408">
        <v>3.5009999999999999</v>
      </c>
      <c r="O371" s="408">
        <v>3.5009999999999999</v>
      </c>
      <c r="P371" s="408">
        <v>3.5009999999999999</v>
      </c>
      <c r="Q371" s="408">
        <v>3.5009999999999999</v>
      </c>
      <c r="R371" s="408"/>
      <c r="S371" s="408">
        <v>80.27</v>
      </c>
      <c r="T371" s="408">
        <v>216.76</v>
      </c>
      <c r="U371" s="408"/>
      <c r="V371" s="408">
        <v>1039.90203</v>
      </c>
      <c r="W371" s="408">
        <v>1039.90203</v>
      </c>
      <c r="X371" s="408">
        <v>1152.7742699999999</v>
      </c>
      <c r="Y371" s="408">
        <v>0</v>
      </c>
      <c r="Z371" s="408">
        <v>184.612060135928</v>
      </c>
      <c r="AA371" s="408">
        <v>0</v>
      </c>
      <c r="AB371" s="408">
        <v>0</v>
      </c>
      <c r="AC371" s="408">
        <v>0</v>
      </c>
      <c r="AD371" s="408">
        <v>0</v>
      </c>
      <c r="AE371" s="408">
        <v>0</v>
      </c>
      <c r="AF371" s="408">
        <v>747.81885438354959</v>
      </c>
      <c r="AG371" s="408">
        <v>11.054073982319712</v>
      </c>
      <c r="AH371" s="408">
        <v>0</v>
      </c>
      <c r="AI371" s="408">
        <v>0</v>
      </c>
      <c r="AJ371" s="408">
        <v>0</v>
      </c>
      <c r="AK371" s="408">
        <v>0</v>
      </c>
      <c r="AL371" s="408">
        <v>32.81709143865276</v>
      </c>
      <c r="AM371" s="408"/>
      <c r="AN371" s="408">
        <v>4.8076509099515761</v>
      </c>
      <c r="AO371" s="408">
        <v>0</v>
      </c>
      <c r="AP371" s="408">
        <v>0</v>
      </c>
      <c r="AQ371" s="408">
        <v>0</v>
      </c>
      <c r="AR371" s="408">
        <v>0</v>
      </c>
      <c r="AS371" s="408">
        <v>0</v>
      </c>
      <c r="AT371" s="408">
        <v>0</v>
      </c>
      <c r="AU371" s="408">
        <v>0</v>
      </c>
      <c r="AV371" s="408">
        <v>0</v>
      </c>
      <c r="AW371" s="408">
        <v>0</v>
      </c>
      <c r="AX371" s="408">
        <v>0</v>
      </c>
      <c r="AY371" s="408">
        <v>0</v>
      </c>
      <c r="AZ371" s="408">
        <v>0</v>
      </c>
      <c r="BA371" s="408"/>
      <c r="BB371" s="408">
        <v>0</v>
      </c>
      <c r="BC371" s="408">
        <v>0</v>
      </c>
      <c r="BD371" s="408">
        <v>1.6010027432908009</v>
      </c>
      <c r="BE371" s="408">
        <v>0</v>
      </c>
      <c r="BF371" s="408">
        <v>0</v>
      </c>
      <c r="BG371" s="408">
        <v>57.192885051519553</v>
      </c>
      <c r="BH371" s="408">
        <v>0</v>
      </c>
      <c r="BI371" s="408">
        <v>0</v>
      </c>
      <c r="BJ371" s="408">
        <v>0</v>
      </c>
      <c r="BK371" s="408">
        <v>0</v>
      </c>
      <c r="BL371" s="408">
        <v>0</v>
      </c>
      <c r="BM371" s="408"/>
      <c r="BN371" s="408"/>
      <c r="BO371" s="408"/>
      <c r="BP371" s="408"/>
      <c r="BQ371" s="408"/>
      <c r="BR371" s="408"/>
      <c r="BS371" s="408"/>
      <c r="BT371" s="408"/>
      <c r="BU371" s="408"/>
      <c r="BV371" s="408">
        <v>806.61274217835989</v>
      </c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>
        <v>1152.4449999999999</v>
      </c>
      <c r="CJ371" s="408">
        <v>112.51297</v>
      </c>
      <c r="CK371" s="408"/>
      <c r="CL371" s="408"/>
      <c r="CM371" s="408"/>
      <c r="CN371" s="408"/>
      <c r="CO371" s="408">
        <v>-1.3653900000000019</v>
      </c>
      <c r="CP371" s="408">
        <v>114.23762999999998</v>
      </c>
      <c r="CQ371" s="408">
        <v>29</v>
      </c>
      <c r="CR371" s="408">
        <v>112.87577230008446</v>
      </c>
      <c r="CS371" s="408">
        <v>0</v>
      </c>
      <c r="CT371" s="408">
        <v>0</v>
      </c>
      <c r="CU371" s="408">
        <v>0</v>
      </c>
      <c r="CV371" s="408">
        <v>0</v>
      </c>
      <c r="CW371" s="408">
        <v>0</v>
      </c>
      <c r="CX371" s="408">
        <v>0</v>
      </c>
      <c r="CY371" s="408">
        <v>0</v>
      </c>
      <c r="CZ371" s="408">
        <v>0</v>
      </c>
      <c r="DA371" s="408">
        <v>0</v>
      </c>
      <c r="DB371" s="408">
        <v>0</v>
      </c>
      <c r="DC371" s="408">
        <v>114.25231152536742</v>
      </c>
      <c r="DD371" s="408">
        <v>0</v>
      </c>
      <c r="DE371" s="408">
        <v>0</v>
      </c>
      <c r="DF371" s="408">
        <v>0.24460237008896635</v>
      </c>
      <c r="DG371" s="408">
        <v>8.7379708088898553</v>
      </c>
      <c r="DH371" s="408">
        <v>0</v>
      </c>
      <c r="DI371" s="408">
        <v>-8.8202465087788937</v>
      </c>
      <c r="DJ371" s="408"/>
      <c r="DK371" s="408">
        <v>0</v>
      </c>
      <c r="DL371" s="408">
        <v>0</v>
      </c>
      <c r="DM371" s="408">
        <v>0</v>
      </c>
      <c r="DN371" s="408">
        <v>0</v>
      </c>
      <c r="DO371" s="408">
        <v>-1.3297685345401433</v>
      </c>
      <c r="DP371" s="408">
        <v>-0.20909736094330533</v>
      </c>
      <c r="DQ371" s="408">
        <v>0</v>
      </c>
      <c r="DR371" s="408">
        <v>0</v>
      </c>
      <c r="DS371" s="408"/>
      <c r="DT371" s="408"/>
      <c r="DU371" s="408"/>
      <c r="DV371" s="408">
        <v>0</v>
      </c>
      <c r="DW371" s="408">
        <v>0</v>
      </c>
      <c r="DX371" s="408">
        <v>0</v>
      </c>
      <c r="DY371" s="408">
        <v>-1.3653899999999908</v>
      </c>
      <c r="DZ371" s="234">
        <v>114.23762999999997</v>
      </c>
      <c r="EA371" s="408">
        <v>0</v>
      </c>
      <c r="EB371" s="408">
        <v>0</v>
      </c>
      <c r="EC371" s="408">
        <v>0</v>
      </c>
      <c r="ED371" s="408">
        <v>0</v>
      </c>
      <c r="EE371" s="408">
        <v>0</v>
      </c>
      <c r="EF371" s="408">
        <v>0</v>
      </c>
      <c r="EG371" s="408">
        <v>0</v>
      </c>
      <c r="EH371" s="408">
        <v>0</v>
      </c>
      <c r="EI371" s="408">
        <v>0</v>
      </c>
      <c r="EJ371" s="408">
        <v>0</v>
      </c>
      <c r="EK371" s="408">
        <v>0</v>
      </c>
      <c r="EL371" s="408">
        <v>0</v>
      </c>
      <c r="EM371" s="408">
        <v>0</v>
      </c>
      <c r="EN371" s="408">
        <v>0</v>
      </c>
      <c r="EO371" s="408">
        <v>0</v>
      </c>
      <c r="EP371" s="408">
        <v>0</v>
      </c>
      <c r="EQ371" s="408">
        <v>0</v>
      </c>
      <c r="ER371" s="408">
        <v>0</v>
      </c>
      <c r="ES371" s="408">
        <v>0</v>
      </c>
      <c r="ET371" s="408">
        <v>0</v>
      </c>
      <c r="EU371" s="408">
        <v>0</v>
      </c>
      <c r="EV371" s="408">
        <v>242</v>
      </c>
      <c r="EW371" s="408">
        <v>0</v>
      </c>
      <c r="EX371" s="408">
        <v>0</v>
      </c>
      <c r="EY371" s="408">
        <v>0</v>
      </c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370</v>
      </c>
      <c r="B372" s="408" t="s">
        <v>2234</v>
      </c>
      <c r="C372" s="408" t="s">
        <v>2239</v>
      </c>
      <c r="D372" s="408" t="s">
        <v>597</v>
      </c>
      <c r="E372" s="408" t="s">
        <v>2242</v>
      </c>
      <c r="F372" s="408" t="s">
        <v>1322</v>
      </c>
      <c r="G372" s="408" t="s">
        <v>1322</v>
      </c>
      <c r="H372" s="408" t="s">
        <v>1322</v>
      </c>
      <c r="I372" s="408" t="s">
        <v>1322</v>
      </c>
      <c r="J372" s="408" t="s">
        <v>2232</v>
      </c>
      <c r="K372" s="828">
        <v>44593</v>
      </c>
      <c r="L372" s="408">
        <v>122</v>
      </c>
      <c r="M372" s="408">
        <v>122</v>
      </c>
      <c r="N372" s="408">
        <v>0</v>
      </c>
      <c r="O372" s="408">
        <v>0</v>
      </c>
      <c r="P372" s="408">
        <v>0</v>
      </c>
      <c r="Q372" s="408">
        <v>0</v>
      </c>
      <c r="R372" s="408">
        <v>32.17</v>
      </c>
      <c r="S372" s="408"/>
      <c r="T372" s="408"/>
      <c r="U372" s="408">
        <v>3924.7400000000002</v>
      </c>
      <c r="V372" s="408"/>
      <c r="W372" s="408">
        <v>3924.7400000000002</v>
      </c>
      <c r="X372" s="408">
        <v>1577.46</v>
      </c>
      <c r="Y372" s="408">
        <v>0</v>
      </c>
      <c r="Z372" s="408">
        <v>0</v>
      </c>
      <c r="AA372" s="408">
        <v>0</v>
      </c>
      <c r="AB372" s="408">
        <v>0</v>
      </c>
      <c r="AC372" s="408">
        <v>0</v>
      </c>
      <c r="AD372" s="408">
        <v>12.189779466015599</v>
      </c>
      <c r="AE372" s="408">
        <v>3285.0617222761462</v>
      </c>
      <c r="AF372" s="408"/>
      <c r="AG372" s="408"/>
      <c r="AH372" s="408"/>
      <c r="AI372" s="408">
        <v>0</v>
      </c>
      <c r="AJ372" s="408">
        <v>0</v>
      </c>
      <c r="AK372" s="408">
        <v>0</v>
      </c>
      <c r="AL372" s="408">
        <v>0</v>
      </c>
      <c r="AM372" s="408"/>
      <c r="AN372" s="408">
        <v>0</v>
      </c>
      <c r="AO372" s="408">
        <v>215.25937498247507</v>
      </c>
      <c r="AP372" s="408">
        <v>412.70955018437297</v>
      </c>
      <c r="AQ372" s="408">
        <v>0</v>
      </c>
      <c r="AR372" s="408">
        <v>0</v>
      </c>
      <c r="AS372" s="408"/>
      <c r="AT372" s="408"/>
      <c r="AU372" s="408">
        <v>0</v>
      </c>
      <c r="AV372" s="408">
        <v>0</v>
      </c>
      <c r="AW372" s="408">
        <v>0</v>
      </c>
      <c r="AX372" s="408"/>
      <c r="AY372" s="408"/>
      <c r="AZ372" s="408">
        <v>0</v>
      </c>
      <c r="BA372" s="408"/>
      <c r="BB372" s="408">
        <v>0</v>
      </c>
      <c r="BC372" s="408">
        <v>0</v>
      </c>
      <c r="BD372" s="408">
        <v>0</v>
      </c>
      <c r="BE372" s="408">
        <v>0</v>
      </c>
      <c r="BF372" s="408"/>
      <c r="BG372" s="408">
        <v>0</v>
      </c>
      <c r="BH372" s="408">
        <v>0</v>
      </c>
      <c r="BI372" s="408">
        <v>20.88</v>
      </c>
      <c r="BJ372" s="408">
        <v>96.38</v>
      </c>
      <c r="BK372" s="408">
        <v>2869.49</v>
      </c>
      <c r="BL372" s="408">
        <v>1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>
        <v>0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1577.46</v>
      </c>
      <c r="CJ372" s="408">
        <v>-2347.3100000000009</v>
      </c>
      <c r="CK372" s="408"/>
      <c r="CL372" s="408"/>
      <c r="CM372" s="408"/>
      <c r="CN372" s="408"/>
      <c r="CO372" s="408">
        <v>-2347.2800000000002</v>
      </c>
      <c r="CP372" s="408">
        <v>0</v>
      </c>
      <c r="CQ372" s="408">
        <v>29</v>
      </c>
      <c r="CR372" s="408">
        <v>65.967808177508232</v>
      </c>
      <c r="CS372" s="408">
        <v>22.204332622504324</v>
      </c>
      <c r="CT372" s="408">
        <v>42.571619143294924</v>
      </c>
      <c r="CU372" s="408">
        <v>0</v>
      </c>
      <c r="CV372" s="408">
        <v>0</v>
      </c>
      <c r="CW372" s="408"/>
      <c r="CX372" s="408"/>
      <c r="CY372" s="408"/>
      <c r="CZ372" s="408">
        <v>1.1918564117089794</v>
      </c>
      <c r="DA372" s="408">
        <v>0</v>
      </c>
      <c r="DB372" s="408">
        <v>0</v>
      </c>
      <c r="DC372" s="408"/>
      <c r="DD372" s="408"/>
      <c r="DE372" s="408">
        <v>0</v>
      </c>
      <c r="DF372" s="408">
        <v>0</v>
      </c>
      <c r="DG372" s="408">
        <v>0</v>
      </c>
      <c r="DH372" s="408">
        <v>0</v>
      </c>
      <c r="DI372" s="408">
        <v>0</v>
      </c>
      <c r="DJ372" s="408"/>
      <c r="DK372" s="408">
        <v>0</v>
      </c>
      <c r="DL372" s="408">
        <v>0</v>
      </c>
      <c r="DM372" s="408"/>
      <c r="DN372" s="408">
        <v>0</v>
      </c>
      <c r="DO372" s="408">
        <v>0</v>
      </c>
      <c r="DP372" s="408">
        <v>0</v>
      </c>
      <c r="DQ372" s="408">
        <v>0</v>
      </c>
      <c r="DR372" s="408">
        <v>0</v>
      </c>
      <c r="DS372" s="408"/>
      <c r="DT372" s="408"/>
      <c r="DU372" s="408">
        <v>3285.0617222761462</v>
      </c>
      <c r="DV372" s="408"/>
      <c r="DW372" s="408">
        <v>0</v>
      </c>
      <c r="DX372" s="408">
        <v>0</v>
      </c>
      <c r="DY372" s="408">
        <v>-2347.2800000000002</v>
      </c>
      <c r="DZ372" s="234"/>
      <c r="EA372" s="408">
        <v>0</v>
      </c>
      <c r="EB372" s="408"/>
      <c r="EC372" s="408">
        <v>-2413.5670982086094</v>
      </c>
      <c r="ED372" s="408"/>
      <c r="EE372" s="408">
        <v>0</v>
      </c>
      <c r="EF372" s="408">
        <v>0</v>
      </c>
      <c r="EG372" s="408"/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/>
      <c r="EN372" s="408"/>
      <c r="EO372" s="408">
        <v>0</v>
      </c>
      <c r="EP372" s="408">
        <v>0</v>
      </c>
      <c r="EQ372" s="408"/>
      <c r="ER372" s="408">
        <v>0</v>
      </c>
      <c r="ES372" s="408"/>
      <c r="ET372" s="408">
        <v>0</v>
      </c>
      <c r="EU372" s="408"/>
      <c r="EV372" s="408">
        <v>242</v>
      </c>
      <c r="EW372" s="408"/>
      <c r="EX372" s="408"/>
      <c r="EY372" s="408"/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371</v>
      </c>
      <c r="B373" s="408" t="s">
        <v>1036</v>
      </c>
      <c r="C373" s="408" t="s">
        <v>2231</v>
      </c>
      <c r="D373" s="408" t="s">
        <v>2243</v>
      </c>
      <c r="E373" s="408" t="s">
        <v>2244</v>
      </c>
      <c r="F373" s="408" t="s">
        <v>2245</v>
      </c>
      <c r="G373" s="408" t="s">
        <v>1322</v>
      </c>
      <c r="H373" s="408" t="s">
        <v>1322</v>
      </c>
      <c r="I373" s="408" t="s">
        <v>1322</v>
      </c>
      <c r="J373" s="408" t="s">
        <v>2232</v>
      </c>
      <c r="K373" s="828">
        <v>44593</v>
      </c>
      <c r="L373" s="408">
        <v>0</v>
      </c>
      <c r="M373" s="408">
        <v>0</v>
      </c>
      <c r="N373" s="408">
        <v>67.509</v>
      </c>
      <c r="O373" s="408">
        <v>67.509</v>
      </c>
      <c r="P373" s="408">
        <v>67.509</v>
      </c>
      <c r="Q373" s="408">
        <v>67.509</v>
      </c>
      <c r="R373" s="408"/>
      <c r="S373" s="408">
        <v>314.52999999999997</v>
      </c>
      <c r="T373" s="408">
        <v>119.22</v>
      </c>
      <c r="U373" s="408"/>
      <c r="V373" s="408">
        <v>29282.028749999998</v>
      </c>
      <c r="W373" s="408">
        <v>29282.028749999998</v>
      </c>
      <c r="X373" s="408">
        <v>19085.469389999998</v>
      </c>
      <c r="Y373" s="408">
        <v>0</v>
      </c>
      <c r="Z373" s="408">
        <v>2250.469180314326</v>
      </c>
      <c r="AA373" s="408">
        <v>0</v>
      </c>
      <c r="AB373" s="408">
        <v>0</v>
      </c>
      <c r="AC373" s="408">
        <v>0</v>
      </c>
      <c r="AD373" s="408">
        <v>30.517614567051993</v>
      </c>
      <c r="AE373" s="408">
        <v>15831.604302872065</v>
      </c>
      <c r="AF373" s="408">
        <v>7931.0130455065764</v>
      </c>
      <c r="AG373" s="408">
        <v>117.23427999423944</v>
      </c>
      <c r="AH373" s="408">
        <v>0</v>
      </c>
      <c r="AI373" s="408">
        <v>0</v>
      </c>
      <c r="AJ373" s="408">
        <v>0</v>
      </c>
      <c r="AK373" s="408">
        <v>0</v>
      </c>
      <c r="AL373" s="408">
        <v>348.04254906101238</v>
      </c>
      <c r="AM373" s="408"/>
      <c r="AN373" s="408">
        <v>71.232678696562076</v>
      </c>
      <c r="AO373" s="408">
        <v>329.77699333930087</v>
      </c>
      <c r="AP373" s="408">
        <v>1033.2190215634521</v>
      </c>
      <c r="AQ373" s="408">
        <v>0</v>
      </c>
      <c r="AR373" s="408">
        <v>0</v>
      </c>
      <c r="AS373" s="408">
        <v>0</v>
      </c>
      <c r="AT373" s="408">
        <v>0</v>
      </c>
      <c r="AU373" s="408">
        <v>0</v>
      </c>
      <c r="AV373" s="408">
        <v>0</v>
      </c>
      <c r="AW373" s="408">
        <v>0</v>
      </c>
      <c r="AX373" s="408">
        <v>0</v>
      </c>
      <c r="AY373" s="408">
        <v>0</v>
      </c>
      <c r="AZ373" s="408">
        <v>0</v>
      </c>
      <c r="BA373" s="408"/>
      <c r="BB373" s="408">
        <v>0</v>
      </c>
      <c r="BC373" s="408">
        <v>0</v>
      </c>
      <c r="BD373" s="408">
        <v>22.094905306974951</v>
      </c>
      <c r="BE373" s="408">
        <v>0</v>
      </c>
      <c r="BF373" s="408">
        <v>0</v>
      </c>
      <c r="BG373" s="408">
        <v>1316.5625842195079</v>
      </c>
      <c r="BH373" s="408">
        <v>0</v>
      </c>
      <c r="BI373" s="408">
        <v>75.59</v>
      </c>
      <c r="BJ373" s="408">
        <v>349.17</v>
      </c>
      <c r="BK373" s="408">
        <v>7274.05</v>
      </c>
      <c r="BL373" s="408">
        <v>10</v>
      </c>
      <c r="BM373" s="408"/>
      <c r="BN373" s="408"/>
      <c r="BO373" s="408"/>
      <c r="BP373" s="408"/>
      <c r="BQ373" s="408"/>
      <c r="BR373" s="408"/>
      <c r="BS373" s="408"/>
      <c r="BT373" s="408"/>
      <c r="BU373" s="408"/>
      <c r="BV373" s="408">
        <v>9269.6705350330594</v>
      </c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>
        <v>19085.752099999998</v>
      </c>
      <c r="CJ373" s="408">
        <v>-10196.306649999995</v>
      </c>
      <c r="CK373" s="408"/>
      <c r="CL373" s="408"/>
      <c r="CM373" s="408"/>
      <c r="CN373" s="408"/>
      <c r="CO373" s="408">
        <v>-11408.345909999998</v>
      </c>
      <c r="CP373" s="408">
        <v>1211.7865499999994</v>
      </c>
      <c r="CQ373" s="408">
        <v>29</v>
      </c>
      <c r="CR373" s="408">
        <v>1435.0839235654221</v>
      </c>
      <c r="CS373" s="408">
        <v>34.016999500956786</v>
      </c>
      <c r="CT373" s="408">
        <v>106.57811688137144</v>
      </c>
      <c r="CU373" s="408">
        <v>0</v>
      </c>
      <c r="CV373" s="408">
        <v>0</v>
      </c>
      <c r="CW373" s="408">
        <v>0</v>
      </c>
      <c r="CX373" s="408">
        <v>0</v>
      </c>
      <c r="CY373" s="408">
        <v>0</v>
      </c>
      <c r="CZ373" s="408">
        <v>2.9838615779069144</v>
      </c>
      <c r="DA373" s="408">
        <v>0</v>
      </c>
      <c r="DB373" s="408">
        <v>0</v>
      </c>
      <c r="DC373" s="408">
        <v>1211.7059738135586</v>
      </c>
      <c r="DD373" s="408">
        <v>0</v>
      </c>
      <c r="DE373" s="408">
        <v>0</v>
      </c>
      <c r="DF373" s="408">
        <v>3.3756757929524674</v>
      </c>
      <c r="DG373" s="408">
        <v>201.1453945473022</v>
      </c>
      <c r="DH373" s="408">
        <v>0</v>
      </c>
      <c r="DI373" s="408">
        <v>-107.5211062384933</v>
      </c>
      <c r="DJ373" s="408"/>
      <c r="DK373" s="408">
        <v>0</v>
      </c>
      <c r="DL373" s="408">
        <v>0</v>
      </c>
      <c r="DM373" s="408">
        <v>0</v>
      </c>
      <c r="DN373" s="408">
        <v>0</v>
      </c>
      <c r="DO373" s="408">
        <v>-14.102896086560349</v>
      </c>
      <c r="DP373" s="408">
        <v>-3.098096223571801</v>
      </c>
      <c r="DQ373" s="408">
        <v>0</v>
      </c>
      <c r="DR373" s="408">
        <v>0</v>
      </c>
      <c r="DS373" s="408"/>
      <c r="DT373" s="408"/>
      <c r="DU373" s="408"/>
      <c r="DV373" s="408">
        <v>15831.604302872065</v>
      </c>
      <c r="DW373" s="408">
        <v>0</v>
      </c>
      <c r="DX373" s="408">
        <v>0</v>
      </c>
      <c r="DY373" s="408">
        <v>-11408.345909999998</v>
      </c>
      <c r="DZ373" s="234">
        <v>1211.7865499999998</v>
      </c>
      <c r="EA373" s="408">
        <v>0</v>
      </c>
      <c r="EB373" s="408">
        <v>0</v>
      </c>
      <c r="EC373" s="408">
        <v>-11631.635106933258</v>
      </c>
      <c r="ED373" s="408">
        <v>0</v>
      </c>
      <c r="EE373" s="408">
        <v>0</v>
      </c>
      <c r="EF373" s="408">
        <v>0</v>
      </c>
      <c r="EG373" s="408">
        <v>0</v>
      </c>
      <c r="EH373" s="408">
        <v>0</v>
      </c>
      <c r="EI373" s="408">
        <v>0</v>
      </c>
      <c r="EJ373" s="408">
        <v>0</v>
      </c>
      <c r="EK373" s="408">
        <v>0</v>
      </c>
      <c r="EL373" s="408">
        <v>0</v>
      </c>
      <c r="EM373" s="408">
        <v>0</v>
      </c>
      <c r="EN373" s="408">
        <v>0</v>
      </c>
      <c r="EO373" s="408">
        <v>0</v>
      </c>
      <c r="EP373" s="408">
        <v>0</v>
      </c>
      <c r="EQ373" s="408">
        <v>0</v>
      </c>
      <c r="ER373" s="408">
        <v>0</v>
      </c>
      <c r="ES373" s="408">
        <v>0</v>
      </c>
      <c r="ET373" s="408">
        <v>0</v>
      </c>
      <c r="EU373" s="408">
        <v>0</v>
      </c>
      <c r="EV373" s="408">
        <v>242</v>
      </c>
      <c r="EW373" s="408">
        <v>0</v>
      </c>
      <c r="EX373" s="408">
        <v>0</v>
      </c>
      <c r="EY373" s="408">
        <v>0</v>
      </c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372</v>
      </c>
      <c r="B374" s="408" t="s">
        <v>1036</v>
      </c>
      <c r="C374" s="408" t="s">
        <v>2231</v>
      </c>
      <c r="D374" s="408" t="s">
        <v>1955</v>
      </c>
      <c r="E374" s="408" t="s">
        <v>1001</v>
      </c>
      <c r="F374" s="408" t="s">
        <v>2246</v>
      </c>
      <c r="G374" s="408" t="s">
        <v>1322</v>
      </c>
      <c r="H374" s="408" t="s">
        <v>1322</v>
      </c>
      <c r="I374" s="408" t="s">
        <v>1322</v>
      </c>
      <c r="J374" s="408" t="s">
        <v>2232</v>
      </c>
      <c r="K374" s="828">
        <v>44593</v>
      </c>
      <c r="L374" s="408">
        <v>0</v>
      </c>
      <c r="M374" s="408">
        <v>0</v>
      </c>
      <c r="N374" s="408">
        <v>166.267</v>
      </c>
      <c r="O374" s="408">
        <v>156.29097999999999</v>
      </c>
      <c r="P374" s="408">
        <v>166.267</v>
      </c>
      <c r="Q374" s="408">
        <v>156.29097999999999</v>
      </c>
      <c r="R374" s="408"/>
      <c r="S374" s="408">
        <v>571.87</v>
      </c>
      <c r="T374" s="408">
        <v>216.76</v>
      </c>
      <c r="U374" s="408"/>
      <c r="V374" s="408">
        <v>131123.14421</v>
      </c>
      <c r="W374" s="408">
        <v>131123.14421</v>
      </c>
      <c r="X374" s="408">
        <v>85462.900670000003</v>
      </c>
      <c r="Y374" s="408">
        <v>0</v>
      </c>
      <c r="Z374" s="408">
        <v>10077.545464061282</v>
      </c>
      <c r="AA374" s="408">
        <v>0</v>
      </c>
      <c r="AB374" s="408">
        <v>0</v>
      </c>
      <c r="AC374" s="408">
        <v>0</v>
      </c>
      <c r="AD374" s="408">
        <v>136.65712507611858</v>
      </c>
      <c r="AE374" s="408">
        <v>70893.533458182195</v>
      </c>
      <c r="AF374" s="408">
        <v>35514.880737443484</v>
      </c>
      <c r="AG374" s="408">
        <v>524.9722133157245</v>
      </c>
      <c r="AH374" s="408">
        <v>0</v>
      </c>
      <c r="AI374" s="408">
        <v>0</v>
      </c>
      <c r="AJ374" s="408">
        <v>0</v>
      </c>
      <c r="AK374" s="408">
        <v>0</v>
      </c>
      <c r="AL374" s="408">
        <v>1558.5259475094199</v>
      </c>
      <c r="AM374" s="408"/>
      <c r="AN374" s="408">
        <v>318.97817769324496</v>
      </c>
      <c r="AO374" s="408">
        <v>1476.7332396500817</v>
      </c>
      <c r="AP374" s="408">
        <v>4626.7292861501519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98.940440821353064</v>
      </c>
      <c r="BE374" s="408">
        <v>0</v>
      </c>
      <c r="BF374" s="408">
        <v>0</v>
      </c>
      <c r="BG374" s="408">
        <v>5895.5347688436023</v>
      </c>
      <c r="BH374" s="408">
        <v>0</v>
      </c>
      <c r="BI374" s="408">
        <v>276.83</v>
      </c>
      <c r="BJ374" s="408">
        <v>1278.78</v>
      </c>
      <c r="BK374" s="408">
        <v>36635.11</v>
      </c>
      <c r="BL374" s="408">
        <v>94</v>
      </c>
      <c r="BM374" s="408"/>
      <c r="BN374" s="408"/>
      <c r="BO374" s="408"/>
      <c r="BP374" s="408"/>
      <c r="BQ374" s="408">
        <v>5127.7740402000027</v>
      </c>
      <c r="BR374" s="408"/>
      <c r="BS374" s="408"/>
      <c r="BT374" s="408"/>
      <c r="BU374" s="408"/>
      <c r="BV374" s="408">
        <v>41509.355947108437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80334.622899999988</v>
      </c>
      <c r="CJ374" s="408">
        <v>-42921.162657399997</v>
      </c>
      <c r="CK374" s="408"/>
      <c r="CL374" s="408"/>
      <c r="CM374" s="408"/>
      <c r="CN374" s="408"/>
      <c r="CO374" s="408">
        <v>-51085.535749999995</v>
      </c>
      <c r="CP374" s="408">
        <v>5425.2922099999987</v>
      </c>
      <c r="CQ374" s="408">
        <v>29</v>
      </c>
      <c r="CR374" s="408">
        <v>6426.2704021808313</v>
      </c>
      <c r="CS374" s="408">
        <v>152.32728447050249</v>
      </c>
      <c r="CT374" s="408">
        <v>477.25417781371834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13.361658525633658</v>
      </c>
      <c r="DA374" s="408">
        <v>0</v>
      </c>
      <c r="DB374" s="408">
        <v>0</v>
      </c>
      <c r="DC374" s="408">
        <v>5425.9894545524876</v>
      </c>
      <c r="DD374" s="408">
        <v>0</v>
      </c>
      <c r="DE374" s="408">
        <v>0</v>
      </c>
      <c r="DF374" s="408">
        <v>15.116192913452196</v>
      </c>
      <c r="DG374" s="408">
        <v>900.72411396182542</v>
      </c>
      <c r="DH374" s="408">
        <v>0</v>
      </c>
      <c r="DI374" s="408">
        <v>-481.47686088873706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-63.152420717619862</v>
      </c>
      <c r="DP374" s="408">
        <v>-13.873198450432767</v>
      </c>
      <c r="DQ374" s="408">
        <v>0</v>
      </c>
      <c r="DR374" s="408">
        <v>0</v>
      </c>
      <c r="DS374" s="408"/>
      <c r="DT374" s="408"/>
      <c r="DU374" s="408"/>
      <c r="DV374" s="408">
        <v>70893.533458182195</v>
      </c>
      <c r="DW374" s="408">
        <v>0</v>
      </c>
      <c r="DX374" s="408">
        <v>0</v>
      </c>
      <c r="DY374" s="408">
        <v>-51085.535749999995</v>
      </c>
      <c r="DZ374" s="234">
        <v>5425.2922099999996</v>
      </c>
      <c r="EA374" s="408">
        <v>0</v>
      </c>
      <c r="EB374" s="408">
        <v>0</v>
      </c>
      <c r="EC374" s="408">
        <v>-52086.175023787429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242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373</v>
      </c>
      <c r="B375" s="408" t="s">
        <v>1036</v>
      </c>
      <c r="C375" s="408" t="s">
        <v>2239</v>
      </c>
      <c r="D375" s="408" t="s">
        <v>597</v>
      </c>
      <c r="E375" s="408" t="s">
        <v>1001</v>
      </c>
      <c r="F375" s="408" t="s">
        <v>2246</v>
      </c>
      <c r="G375" s="408" t="s">
        <v>1322</v>
      </c>
      <c r="H375" s="408" t="s">
        <v>1322</v>
      </c>
      <c r="I375" s="408" t="s">
        <v>973</v>
      </c>
      <c r="J375" s="408" t="s">
        <v>2232</v>
      </c>
      <c r="K375" s="828">
        <v>44593</v>
      </c>
      <c r="L375" s="408">
        <v>0</v>
      </c>
      <c r="M375" s="408">
        <v>0</v>
      </c>
      <c r="N375" s="408">
        <v>9.9610000000000003</v>
      </c>
      <c r="O375" s="408">
        <v>9.3633400000000009</v>
      </c>
      <c r="P375" s="408">
        <v>9.9610000000000003</v>
      </c>
      <c r="Q375" s="408">
        <v>9.3633400000000009</v>
      </c>
      <c r="R375" s="408"/>
      <c r="S375" s="408">
        <v>2592.54</v>
      </c>
      <c r="T375" s="408">
        <v>216.76</v>
      </c>
      <c r="U375" s="408"/>
      <c r="V375" s="408">
        <v>27983.437299999998</v>
      </c>
      <c r="W375" s="408">
        <v>27983.437299999998</v>
      </c>
      <c r="X375" s="408">
        <v>11765.933199999999</v>
      </c>
      <c r="Y375" s="408">
        <v>0</v>
      </c>
      <c r="Z375" s="408">
        <v>525.25585004683774</v>
      </c>
      <c r="AA375" s="408">
        <v>0</v>
      </c>
      <c r="AB375" s="408">
        <v>0</v>
      </c>
      <c r="AC375" s="408">
        <v>0</v>
      </c>
      <c r="AD375" s="408">
        <v>50.369143297591506</v>
      </c>
      <c r="AE375" s="408">
        <v>22819.570275466158</v>
      </c>
      <c r="AF375" s="408">
        <v>2127.6845497042382</v>
      </c>
      <c r="AG375" s="408">
        <v>31.450908579801961</v>
      </c>
      <c r="AH375" s="408">
        <v>0</v>
      </c>
      <c r="AI375" s="408">
        <v>0</v>
      </c>
      <c r="AJ375" s="408">
        <v>0</v>
      </c>
      <c r="AK375" s="408">
        <v>0</v>
      </c>
      <c r="AL375" s="408">
        <v>93.370764873013471</v>
      </c>
      <c r="AM375" s="408"/>
      <c r="AN375" s="408">
        <v>13.678666299350944</v>
      </c>
      <c r="AO375" s="408">
        <v>449.38923541823357</v>
      </c>
      <c r="AP375" s="408">
        <v>1705.3306580434098</v>
      </c>
      <c r="AQ375" s="408">
        <v>0</v>
      </c>
      <c r="AR375" s="408">
        <v>0</v>
      </c>
      <c r="AS375" s="408">
        <v>0</v>
      </c>
      <c r="AT375" s="408">
        <v>0</v>
      </c>
      <c r="AU375" s="408">
        <v>0</v>
      </c>
      <c r="AV375" s="408">
        <v>0</v>
      </c>
      <c r="AW375" s="408">
        <v>0</v>
      </c>
      <c r="AX375" s="408">
        <v>0</v>
      </c>
      <c r="AY375" s="408">
        <v>0</v>
      </c>
      <c r="AZ375" s="408">
        <v>0</v>
      </c>
      <c r="BA375" s="408"/>
      <c r="BB375" s="408">
        <v>0</v>
      </c>
      <c r="BC375" s="408">
        <v>0</v>
      </c>
      <c r="BD375" s="408">
        <v>4.5551523353098169</v>
      </c>
      <c r="BE375" s="408">
        <v>0</v>
      </c>
      <c r="BF375" s="408">
        <v>0</v>
      </c>
      <c r="BG375" s="408">
        <v>162.72445815429487</v>
      </c>
      <c r="BH375" s="408">
        <v>0</v>
      </c>
      <c r="BI375" s="408">
        <v>0</v>
      </c>
      <c r="BJ375" s="408">
        <v>0</v>
      </c>
      <c r="BK375" s="408">
        <v>0</v>
      </c>
      <c r="BL375" s="408">
        <v>0</v>
      </c>
      <c r="BM375" s="408"/>
      <c r="BN375" s="408"/>
      <c r="BO375" s="408"/>
      <c r="BP375" s="408"/>
      <c r="BQ375" s="408">
        <v>705.95599199999924</v>
      </c>
      <c r="BR375" s="408"/>
      <c r="BS375" s="408"/>
      <c r="BT375" s="408"/>
      <c r="BU375" s="408"/>
      <c r="BV375" s="408">
        <v>2294.9641601938429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11056.031999999999</v>
      </c>
      <c r="CJ375" s="408">
        <v>-15248.429061999999</v>
      </c>
      <c r="CK375" s="408"/>
      <c r="CL375" s="408"/>
      <c r="CM375" s="408"/>
      <c r="CN375" s="408"/>
      <c r="CO375" s="408">
        <v>-16542.53153</v>
      </c>
      <c r="CP375" s="408">
        <v>325.02742999999998</v>
      </c>
      <c r="CQ375" s="408">
        <v>29</v>
      </c>
      <c r="CR375" s="408">
        <v>548.34017721566488</v>
      </c>
      <c r="CS375" s="408">
        <v>46.355184581444689</v>
      </c>
      <c r="CT375" s="408">
        <v>175.90745660034486</v>
      </c>
      <c r="CU375" s="408">
        <v>0</v>
      </c>
      <c r="CV375" s="408">
        <v>0</v>
      </c>
      <c r="CW375" s="408">
        <v>0</v>
      </c>
      <c r="CX375" s="408">
        <v>0</v>
      </c>
      <c r="CY375" s="408">
        <v>0</v>
      </c>
      <c r="CZ375" s="408">
        <v>4.9248459792803274</v>
      </c>
      <c r="DA375" s="408">
        <v>0</v>
      </c>
      <c r="DB375" s="408">
        <v>0</v>
      </c>
      <c r="DC375" s="408">
        <v>325.06920168642819</v>
      </c>
      <c r="DD375" s="408">
        <v>0</v>
      </c>
      <c r="DE375" s="408">
        <v>0</v>
      </c>
      <c r="DF375" s="408">
        <v>0.69593950541450855</v>
      </c>
      <c r="DG375" s="408">
        <v>24.861161733033953</v>
      </c>
      <c r="DH375" s="408">
        <v>0</v>
      </c>
      <c r="DI375" s="408">
        <v>-25.095251492129876</v>
      </c>
      <c r="DJ375" s="408"/>
      <c r="DK375" s="408">
        <v>0</v>
      </c>
      <c r="DL375" s="408">
        <v>0</v>
      </c>
      <c r="DM375" s="408">
        <v>0</v>
      </c>
      <c r="DN375" s="408">
        <v>0</v>
      </c>
      <c r="DO375" s="408">
        <v>-3.7834402663680038</v>
      </c>
      <c r="DP375" s="408">
        <v>-0.59492111178413687</v>
      </c>
      <c r="DQ375" s="408">
        <v>0</v>
      </c>
      <c r="DR375" s="408">
        <v>0</v>
      </c>
      <c r="DS375" s="408"/>
      <c r="DT375" s="408"/>
      <c r="DU375" s="408"/>
      <c r="DV375" s="408">
        <v>22819.570275466158</v>
      </c>
      <c r="DW375" s="408">
        <v>0</v>
      </c>
      <c r="DX375" s="408">
        <v>0</v>
      </c>
      <c r="DY375" s="408">
        <v>-16542.53153</v>
      </c>
      <c r="DZ375" s="234">
        <v>325.02742999999964</v>
      </c>
      <c r="EA375" s="408">
        <v>0</v>
      </c>
      <c r="EB375" s="408">
        <v>0</v>
      </c>
      <c r="EC375" s="408">
        <v>-16765.762310841157</v>
      </c>
      <c r="ED375" s="408">
        <v>0</v>
      </c>
      <c r="EE375" s="408">
        <v>0</v>
      </c>
      <c r="EF375" s="408">
        <v>0</v>
      </c>
      <c r="EG375" s="408">
        <v>0</v>
      </c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>
        <v>0</v>
      </c>
      <c r="EN375" s="408">
        <v>0</v>
      </c>
      <c r="EO375" s="408">
        <v>0</v>
      </c>
      <c r="EP375" s="408">
        <v>0</v>
      </c>
      <c r="EQ375" s="408">
        <v>0</v>
      </c>
      <c r="ER375" s="408">
        <v>0</v>
      </c>
      <c r="ES375" s="408">
        <v>0</v>
      </c>
      <c r="ET375" s="408">
        <v>0</v>
      </c>
      <c r="EU375" s="408">
        <v>0</v>
      </c>
      <c r="EV375" s="408">
        <v>242</v>
      </c>
      <c r="EW375" s="408">
        <v>0</v>
      </c>
      <c r="EX375" s="408">
        <v>0</v>
      </c>
      <c r="EY375" s="408">
        <v>0</v>
      </c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374</v>
      </c>
      <c r="B376" s="408" t="s">
        <v>1036</v>
      </c>
      <c r="C376" s="408" t="s">
        <v>2239</v>
      </c>
      <c r="D376" s="408" t="s">
        <v>597</v>
      </c>
      <c r="E376" s="408" t="s">
        <v>1001</v>
      </c>
      <c r="F376" s="408" t="s">
        <v>2246</v>
      </c>
      <c r="G376" s="408" t="s">
        <v>1322</v>
      </c>
      <c r="H376" s="408" t="s">
        <v>1322</v>
      </c>
      <c r="I376" s="408" t="s">
        <v>2240</v>
      </c>
      <c r="J376" s="408" t="s">
        <v>2232</v>
      </c>
      <c r="K376" s="828">
        <v>44593</v>
      </c>
      <c r="L376" s="408">
        <v>0</v>
      </c>
      <c r="M376" s="408">
        <v>0</v>
      </c>
      <c r="N376" s="408">
        <v>104.042</v>
      </c>
      <c r="O376" s="408">
        <v>97.799480000000003</v>
      </c>
      <c r="P376" s="408">
        <v>104.042</v>
      </c>
      <c r="Q376" s="408">
        <v>97.799480000000003</v>
      </c>
      <c r="R376" s="408"/>
      <c r="S376" s="408">
        <v>80.27</v>
      </c>
      <c r="T376" s="408">
        <v>216.76</v>
      </c>
      <c r="U376" s="408"/>
      <c r="V376" s="408">
        <v>30903.595259999998</v>
      </c>
      <c r="W376" s="408">
        <v>30903.595259999998</v>
      </c>
      <c r="X376" s="408">
        <v>34257.909339999998</v>
      </c>
      <c r="Y376" s="408">
        <v>0</v>
      </c>
      <c r="Z376" s="408">
        <v>5486.2633420914663</v>
      </c>
      <c r="AA376" s="408">
        <v>0</v>
      </c>
      <c r="AB376" s="408">
        <v>0</v>
      </c>
      <c r="AC376" s="408">
        <v>0</v>
      </c>
      <c r="AD376" s="408">
        <v>0</v>
      </c>
      <c r="AE376" s="408">
        <v>0</v>
      </c>
      <c r="AF376" s="408">
        <v>22223.527348692736</v>
      </c>
      <c r="AG376" s="408">
        <v>328.50270358997648</v>
      </c>
      <c r="AH376" s="408">
        <v>0</v>
      </c>
      <c r="AI376" s="408">
        <v>0</v>
      </c>
      <c r="AJ376" s="408">
        <v>0</v>
      </c>
      <c r="AK376" s="408">
        <v>0</v>
      </c>
      <c r="AL376" s="408">
        <v>975.25159310491597</v>
      </c>
      <c r="AM376" s="408"/>
      <c r="AN376" s="408">
        <v>142.87278376840385</v>
      </c>
      <c r="AO376" s="408">
        <v>0</v>
      </c>
      <c r="AP376" s="408">
        <v>0</v>
      </c>
      <c r="AQ376" s="408">
        <v>0</v>
      </c>
      <c r="AR376" s="408">
        <v>0</v>
      </c>
      <c r="AS376" s="408">
        <v>0</v>
      </c>
      <c r="AT376" s="408">
        <v>0</v>
      </c>
      <c r="AU376" s="408">
        <v>0</v>
      </c>
      <c r="AV376" s="408">
        <v>0</v>
      </c>
      <c r="AW376" s="408">
        <v>0</v>
      </c>
      <c r="AX376" s="408">
        <v>0</v>
      </c>
      <c r="AY376" s="408">
        <v>0</v>
      </c>
      <c r="AZ376" s="408">
        <v>0</v>
      </c>
      <c r="BA376" s="408"/>
      <c r="BB376" s="408">
        <v>0</v>
      </c>
      <c r="BC376" s="408">
        <v>0</v>
      </c>
      <c r="BD376" s="408">
        <v>47.578271184650532</v>
      </c>
      <c r="BE376" s="408">
        <v>0</v>
      </c>
      <c r="BF376" s="408">
        <v>0</v>
      </c>
      <c r="BG376" s="408">
        <v>1699.6464286004564</v>
      </c>
      <c r="BH376" s="408">
        <v>0</v>
      </c>
      <c r="BI376" s="408">
        <v>0</v>
      </c>
      <c r="BJ376" s="408">
        <v>0</v>
      </c>
      <c r="BK376" s="408">
        <v>0</v>
      </c>
      <c r="BL376" s="408">
        <v>0</v>
      </c>
      <c r="BM376" s="408"/>
      <c r="BN376" s="408"/>
      <c r="BO376" s="408"/>
      <c r="BP376" s="408"/>
      <c r="BQ376" s="408">
        <v>2055.4745603999995</v>
      </c>
      <c r="BR376" s="408"/>
      <c r="BS376" s="408"/>
      <c r="BT376" s="408"/>
      <c r="BU376" s="408"/>
      <c r="BV376" s="408">
        <v>23970.752048477843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32202.605999999996</v>
      </c>
      <c r="CJ376" s="408">
        <v>3153.1964555999984</v>
      </c>
      <c r="CK376" s="408"/>
      <c r="CL376" s="408"/>
      <c r="CM376" s="408"/>
      <c r="CN376" s="408"/>
      <c r="CO376" s="408">
        <v>-40.576380000000057</v>
      </c>
      <c r="CP376" s="408">
        <v>3394.8904599999996</v>
      </c>
      <c r="CQ376" s="408">
        <v>29</v>
      </c>
      <c r="CR376" s="408">
        <v>3354.4190521694618</v>
      </c>
      <c r="CS376" s="408">
        <v>0</v>
      </c>
      <c r="CT376" s="408">
        <v>0</v>
      </c>
      <c r="CU376" s="408">
        <v>0</v>
      </c>
      <c r="CV376" s="408">
        <v>0</v>
      </c>
      <c r="CW376" s="408">
        <v>0</v>
      </c>
      <c r="CX376" s="408">
        <v>0</v>
      </c>
      <c r="CY376" s="408">
        <v>0</v>
      </c>
      <c r="CZ376" s="408">
        <v>0</v>
      </c>
      <c r="DA376" s="408">
        <v>0</v>
      </c>
      <c r="DB376" s="408">
        <v>0</v>
      </c>
      <c r="DC376" s="408">
        <v>3395.3267625599183</v>
      </c>
      <c r="DD376" s="408">
        <v>0</v>
      </c>
      <c r="DE376" s="408">
        <v>0</v>
      </c>
      <c r="DF376" s="408">
        <v>7.269043070207438</v>
      </c>
      <c r="DG376" s="408">
        <v>259.67322447829702</v>
      </c>
      <c r="DH376" s="408">
        <v>0</v>
      </c>
      <c r="DI376" s="408">
        <v>-262.11827685414937</v>
      </c>
      <c r="DJ376" s="408"/>
      <c r="DK376" s="408">
        <v>0</v>
      </c>
      <c r="DL376" s="408">
        <v>0</v>
      </c>
      <c r="DM376" s="408">
        <v>0</v>
      </c>
      <c r="DN376" s="408">
        <v>0</v>
      </c>
      <c r="DO376" s="408">
        <v>-39.517788594866033</v>
      </c>
      <c r="DP376" s="408">
        <v>-6.2139124899352396</v>
      </c>
      <c r="DQ376" s="408">
        <v>0</v>
      </c>
      <c r="DR376" s="408">
        <v>0</v>
      </c>
      <c r="DS376" s="408"/>
      <c r="DT376" s="408"/>
      <c r="DU376" s="408"/>
      <c r="DV376" s="408">
        <v>0</v>
      </c>
      <c r="DW376" s="408">
        <v>0</v>
      </c>
      <c r="DX376" s="408">
        <v>0</v>
      </c>
      <c r="DY376" s="408">
        <v>-40.576380000000427</v>
      </c>
      <c r="DZ376" s="234">
        <v>3394.8904599999987</v>
      </c>
      <c r="EA376" s="408">
        <v>0</v>
      </c>
      <c r="EB376" s="408">
        <v>0</v>
      </c>
      <c r="EC376" s="408">
        <v>0</v>
      </c>
      <c r="ED376" s="408">
        <v>0</v>
      </c>
      <c r="EE376" s="408">
        <v>0</v>
      </c>
      <c r="EF376" s="408">
        <v>0</v>
      </c>
      <c r="EG376" s="408">
        <v>0</v>
      </c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>
        <v>0</v>
      </c>
      <c r="EN376" s="408">
        <v>0</v>
      </c>
      <c r="EO376" s="408">
        <v>0</v>
      </c>
      <c r="EP376" s="408">
        <v>0</v>
      </c>
      <c r="EQ376" s="408">
        <v>0</v>
      </c>
      <c r="ER376" s="408">
        <v>0</v>
      </c>
      <c r="ES376" s="408">
        <v>0</v>
      </c>
      <c r="ET376" s="408">
        <v>0</v>
      </c>
      <c r="EU376" s="408">
        <v>0</v>
      </c>
      <c r="EV376" s="408">
        <v>242</v>
      </c>
      <c r="EW376" s="408">
        <v>0</v>
      </c>
      <c r="EX376" s="408">
        <v>0</v>
      </c>
      <c r="EY376" s="408">
        <v>0</v>
      </c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375</v>
      </c>
      <c r="B377" s="408" t="s">
        <v>1036</v>
      </c>
      <c r="C377" s="408" t="s">
        <v>2239</v>
      </c>
      <c r="D377" s="408" t="s">
        <v>597</v>
      </c>
      <c r="E377" s="408" t="s">
        <v>1001</v>
      </c>
      <c r="F377" s="408" t="s">
        <v>2246</v>
      </c>
      <c r="G377" s="408" t="s">
        <v>1322</v>
      </c>
      <c r="H377" s="408" t="s">
        <v>1322</v>
      </c>
      <c r="I377" s="408" t="s">
        <v>1322</v>
      </c>
      <c r="J377" s="408" t="s">
        <v>2232</v>
      </c>
      <c r="K377" s="828">
        <v>44593</v>
      </c>
      <c r="L377" s="408">
        <v>399</v>
      </c>
      <c r="M377" s="408">
        <v>375.06</v>
      </c>
      <c r="N377" s="408">
        <v>0</v>
      </c>
      <c r="O377" s="408">
        <v>0</v>
      </c>
      <c r="P377" s="408">
        <v>0</v>
      </c>
      <c r="Q377" s="408">
        <v>0</v>
      </c>
      <c r="R377" s="408">
        <v>32.17</v>
      </c>
      <c r="S377" s="408"/>
      <c r="T377" s="408"/>
      <c r="U377" s="408">
        <v>12835.83</v>
      </c>
      <c r="V377" s="408"/>
      <c r="W377" s="408">
        <v>12835.83</v>
      </c>
      <c r="X377" s="408">
        <v>5159.07</v>
      </c>
      <c r="Y377" s="408">
        <v>0</v>
      </c>
      <c r="Z377" s="408">
        <v>0</v>
      </c>
      <c r="AA377" s="408">
        <v>0</v>
      </c>
      <c r="AB377" s="408">
        <v>0</v>
      </c>
      <c r="AC377" s="408">
        <v>0</v>
      </c>
      <c r="AD377" s="408">
        <v>39.866573827378886</v>
      </c>
      <c r="AE377" s="408">
        <v>10743.767435968706</v>
      </c>
      <c r="AF377" s="408"/>
      <c r="AG377" s="408"/>
      <c r="AH377" s="408"/>
      <c r="AI377" s="408">
        <v>0</v>
      </c>
      <c r="AJ377" s="408">
        <v>0</v>
      </c>
      <c r="AK377" s="408">
        <v>0</v>
      </c>
      <c r="AL377" s="408">
        <v>0</v>
      </c>
      <c r="AM377" s="408"/>
      <c r="AN377" s="408">
        <v>0</v>
      </c>
      <c r="AO377" s="408">
        <v>704.00402145907833</v>
      </c>
      <c r="AP377" s="408">
        <v>1349.7632010128264</v>
      </c>
      <c r="AQ377" s="408">
        <v>0</v>
      </c>
      <c r="AR377" s="408">
        <v>0</v>
      </c>
      <c r="AS377" s="408"/>
      <c r="AT377" s="408"/>
      <c r="AU377" s="408">
        <v>0</v>
      </c>
      <c r="AV377" s="408">
        <v>0</v>
      </c>
      <c r="AW377" s="408">
        <v>0</v>
      </c>
      <c r="AX377" s="408"/>
      <c r="AY377" s="408"/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0</v>
      </c>
      <c r="BF377" s="408"/>
      <c r="BG377" s="408">
        <v>0</v>
      </c>
      <c r="BH377" s="408">
        <v>0</v>
      </c>
      <c r="BI377" s="408">
        <v>169.65</v>
      </c>
      <c r="BJ377" s="408">
        <v>783.03</v>
      </c>
      <c r="BK377" s="408">
        <v>22658.6</v>
      </c>
      <c r="BL377" s="408">
        <v>2</v>
      </c>
      <c r="BM377" s="408"/>
      <c r="BN377" s="408"/>
      <c r="BO377" s="408"/>
      <c r="BP377" s="408"/>
      <c r="BQ377" s="408">
        <v>309.54419999999999</v>
      </c>
      <c r="BR377" s="408"/>
      <c r="BS377" s="408"/>
      <c r="BT377" s="408"/>
      <c r="BU377" s="408"/>
      <c r="BV377" s="408">
        <v>0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4849.5258000000003</v>
      </c>
      <c r="CJ377" s="408">
        <v>-7216.184400000001</v>
      </c>
      <c r="CK377" s="408"/>
      <c r="CL377" s="408"/>
      <c r="CM377" s="408"/>
      <c r="CN377" s="408"/>
      <c r="CO377" s="408">
        <v>-7676.7600000000011</v>
      </c>
      <c r="CP377" s="408">
        <v>0</v>
      </c>
      <c r="CQ377" s="408">
        <v>29</v>
      </c>
      <c r="CR377" s="408">
        <v>215.74717592480101</v>
      </c>
      <c r="CS377" s="408">
        <v>72.619087839173972</v>
      </c>
      <c r="CT377" s="408">
        <v>139.23013146044809</v>
      </c>
      <c r="CU377" s="408">
        <v>0</v>
      </c>
      <c r="CV377" s="408">
        <v>0</v>
      </c>
      <c r="CW377" s="408"/>
      <c r="CX377" s="408"/>
      <c r="CY377" s="408"/>
      <c r="CZ377" s="408">
        <v>3.8979566251793685</v>
      </c>
      <c r="DA377" s="408">
        <v>0</v>
      </c>
      <c r="DB377" s="408">
        <v>0</v>
      </c>
      <c r="DC377" s="408"/>
      <c r="DD377" s="408"/>
      <c r="DE377" s="408">
        <v>0</v>
      </c>
      <c r="DF377" s="408">
        <v>0</v>
      </c>
      <c r="DG377" s="408">
        <v>0</v>
      </c>
      <c r="DH377" s="408">
        <v>0</v>
      </c>
      <c r="DI377" s="408">
        <v>0</v>
      </c>
      <c r="DJ377" s="408"/>
      <c r="DK377" s="408">
        <v>0</v>
      </c>
      <c r="DL377" s="408">
        <v>0</v>
      </c>
      <c r="DM377" s="408"/>
      <c r="DN377" s="408">
        <v>0</v>
      </c>
      <c r="DO377" s="408">
        <v>0</v>
      </c>
      <c r="DP377" s="408">
        <v>0</v>
      </c>
      <c r="DQ377" s="408">
        <v>0</v>
      </c>
      <c r="DR377" s="408">
        <v>0</v>
      </c>
      <c r="DS377" s="408"/>
      <c r="DT377" s="408"/>
      <c r="DU377" s="408">
        <v>10743.767435968706</v>
      </c>
      <c r="DV377" s="408"/>
      <c r="DW377" s="408">
        <v>0</v>
      </c>
      <c r="DX377" s="408">
        <v>0</v>
      </c>
      <c r="DY377" s="408">
        <v>-7676.76</v>
      </c>
      <c r="DZ377" s="234"/>
      <c r="EA377" s="408">
        <v>0</v>
      </c>
      <c r="EB377" s="408"/>
      <c r="EC377" s="408">
        <v>-7893.551411354385</v>
      </c>
      <c r="ED377" s="408"/>
      <c r="EE377" s="408">
        <v>0</v>
      </c>
      <c r="EF377" s="408">
        <v>0</v>
      </c>
      <c r="EG377" s="408"/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/>
      <c r="EN377" s="408"/>
      <c r="EO377" s="408">
        <v>0</v>
      </c>
      <c r="EP377" s="408">
        <v>0</v>
      </c>
      <c r="EQ377" s="408"/>
      <c r="ER377" s="408">
        <v>0</v>
      </c>
      <c r="ES377" s="408"/>
      <c r="ET377" s="408">
        <v>0</v>
      </c>
      <c r="EU377" s="408"/>
      <c r="EV377" s="408">
        <v>242</v>
      </c>
      <c r="EW377" s="408"/>
      <c r="EX377" s="408"/>
      <c r="EY377" s="408"/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376</v>
      </c>
      <c r="B378" s="408" t="s">
        <v>1036</v>
      </c>
      <c r="C378" s="408" t="s">
        <v>2231</v>
      </c>
      <c r="D378" s="408" t="s">
        <v>1955</v>
      </c>
      <c r="E378" s="408" t="s">
        <v>2247</v>
      </c>
      <c r="F378" s="408" t="s">
        <v>1322</v>
      </c>
      <c r="G378" s="408" t="s">
        <v>1322</v>
      </c>
      <c r="H378" s="408" t="s">
        <v>1322</v>
      </c>
      <c r="I378" s="408" t="s">
        <v>1322</v>
      </c>
      <c r="J378" s="408" t="s">
        <v>2232</v>
      </c>
      <c r="K378" s="828">
        <v>44593</v>
      </c>
      <c r="L378" s="408">
        <v>0</v>
      </c>
      <c r="M378" s="408">
        <v>0</v>
      </c>
      <c r="N378" s="408">
        <v>0.53300000000000003</v>
      </c>
      <c r="O378" s="408">
        <v>0.53300000000000003</v>
      </c>
      <c r="P378" s="408">
        <v>0.53300000000000003</v>
      </c>
      <c r="Q378" s="408">
        <v>0.53300000000000003</v>
      </c>
      <c r="R378" s="408"/>
      <c r="S378" s="408">
        <v>571.87</v>
      </c>
      <c r="T378" s="408">
        <v>216.76</v>
      </c>
      <c r="U378" s="408"/>
      <c r="V378" s="408">
        <v>420.33978999999999</v>
      </c>
      <c r="W378" s="408">
        <v>420.33978999999999</v>
      </c>
      <c r="X378" s="408">
        <v>273.96733</v>
      </c>
      <c r="Y378" s="408">
        <v>0</v>
      </c>
      <c r="Z378" s="408">
        <v>32.305458884472948</v>
      </c>
      <c r="AA378" s="408">
        <v>0</v>
      </c>
      <c r="AB378" s="408">
        <v>0</v>
      </c>
      <c r="AC378" s="408">
        <v>0</v>
      </c>
      <c r="AD378" s="408">
        <v>0.43808000183783435</v>
      </c>
      <c r="AE378" s="408">
        <v>227.26249546338786</v>
      </c>
      <c r="AF378" s="408">
        <v>113.849599938998</v>
      </c>
      <c r="AG378" s="408">
        <v>1.682896724529108</v>
      </c>
      <c r="AH378" s="408">
        <v>0</v>
      </c>
      <c r="AI378" s="408">
        <v>0</v>
      </c>
      <c r="AJ378" s="408">
        <v>0</v>
      </c>
      <c r="AK378" s="408">
        <v>0</v>
      </c>
      <c r="AL378" s="408">
        <v>4.9961467400176875</v>
      </c>
      <c r="AM378" s="408"/>
      <c r="AN378" s="408">
        <v>1.0225442734306842</v>
      </c>
      <c r="AO378" s="408">
        <v>4.7339449002718137</v>
      </c>
      <c r="AP378" s="408">
        <v>14.831847026277199</v>
      </c>
      <c r="AQ378" s="408">
        <v>0</v>
      </c>
      <c r="AR378" s="408">
        <v>0</v>
      </c>
      <c r="AS378" s="408">
        <v>0</v>
      </c>
      <c r="AT378" s="408">
        <v>0</v>
      </c>
      <c r="AU378" s="408">
        <v>0</v>
      </c>
      <c r="AV378" s="408">
        <v>0</v>
      </c>
      <c r="AW378" s="408">
        <v>0</v>
      </c>
      <c r="AX378" s="408">
        <v>0</v>
      </c>
      <c r="AY378" s="408">
        <v>0</v>
      </c>
      <c r="AZ378" s="408">
        <v>0</v>
      </c>
      <c r="BA378" s="408"/>
      <c r="BB378" s="408">
        <v>0</v>
      </c>
      <c r="BC378" s="408">
        <v>0</v>
      </c>
      <c r="BD378" s="408">
        <v>0.31717210846278088</v>
      </c>
      <c r="BE378" s="408">
        <v>0</v>
      </c>
      <c r="BF378" s="408">
        <v>0</v>
      </c>
      <c r="BG378" s="408">
        <v>18.899240569647858</v>
      </c>
      <c r="BH378" s="408">
        <v>0</v>
      </c>
      <c r="BI378" s="408">
        <v>0.91</v>
      </c>
      <c r="BJ378" s="408">
        <v>4.25</v>
      </c>
      <c r="BK378" s="408">
        <v>118.24</v>
      </c>
      <c r="BL378" s="408">
        <v>3</v>
      </c>
      <c r="BM378" s="408"/>
      <c r="BN378" s="408"/>
      <c r="BO378" s="408"/>
      <c r="BP378" s="408"/>
      <c r="BQ378" s="408"/>
      <c r="BR378" s="408"/>
      <c r="BS378" s="408"/>
      <c r="BT378" s="408"/>
      <c r="BU378" s="408"/>
      <c r="BV378" s="408">
        <v>133.06601261710864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272.42529999999999</v>
      </c>
      <c r="CJ378" s="408">
        <v>-147.94448999999997</v>
      </c>
      <c r="CK378" s="408"/>
      <c r="CL378" s="408"/>
      <c r="CM378" s="408"/>
      <c r="CN378" s="408"/>
      <c r="CO378" s="408">
        <v>-163.76425</v>
      </c>
      <c r="CP378" s="408">
        <v>17.39179</v>
      </c>
      <c r="CQ378" s="408">
        <v>29</v>
      </c>
      <c r="CR378" s="408">
        <v>20.600613016187054</v>
      </c>
      <c r="CS378" s="408">
        <v>0.48831363182578436</v>
      </c>
      <c r="CT378" s="408">
        <v>1.5299276270980542</v>
      </c>
      <c r="CU378" s="408">
        <v>0</v>
      </c>
      <c r="CV378" s="408">
        <v>0</v>
      </c>
      <c r="CW378" s="408">
        <v>0</v>
      </c>
      <c r="CX378" s="408">
        <v>0</v>
      </c>
      <c r="CY378" s="408">
        <v>0</v>
      </c>
      <c r="CZ378" s="408">
        <v>4.2833298214093873E-2</v>
      </c>
      <c r="DA378" s="408">
        <v>0</v>
      </c>
      <c r="DB378" s="408">
        <v>0</v>
      </c>
      <c r="DC378" s="408">
        <v>17.39402514796366</v>
      </c>
      <c r="DD378" s="408">
        <v>0</v>
      </c>
      <c r="DE378" s="408">
        <v>0</v>
      </c>
      <c r="DF378" s="408">
        <v>4.8457786709750095E-2</v>
      </c>
      <c r="DG378" s="408">
        <v>2.8874397970833243</v>
      </c>
      <c r="DH378" s="408">
        <v>0</v>
      </c>
      <c r="DI378" s="408">
        <v>-1.5434642283417439</v>
      </c>
      <c r="DJ378" s="408"/>
      <c r="DK378" s="408">
        <v>0</v>
      </c>
      <c r="DL378" s="408">
        <v>0</v>
      </c>
      <c r="DM378" s="408">
        <v>0</v>
      </c>
      <c r="DN378" s="408">
        <v>0</v>
      </c>
      <c r="DO378" s="408">
        <v>-0.20244690914307295</v>
      </c>
      <c r="DP378" s="408">
        <v>-4.4473135222747984E-2</v>
      </c>
      <c r="DQ378" s="408">
        <v>0</v>
      </c>
      <c r="DR378" s="408">
        <v>0</v>
      </c>
      <c r="DS378" s="408"/>
      <c r="DT378" s="408"/>
      <c r="DU378" s="408"/>
      <c r="DV378" s="408">
        <v>227.26249546338786</v>
      </c>
      <c r="DW378" s="408">
        <v>0</v>
      </c>
      <c r="DX378" s="408">
        <v>0</v>
      </c>
      <c r="DY378" s="408">
        <v>-163.76425</v>
      </c>
      <c r="DZ378" s="234">
        <v>17.39179</v>
      </c>
      <c r="EA378" s="408">
        <v>0</v>
      </c>
      <c r="EB378" s="408">
        <v>0</v>
      </c>
      <c r="EC378" s="408">
        <v>-166.97198654981867</v>
      </c>
      <c r="ED378" s="408">
        <v>0</v>
      </c>
      <c r="EE378" s="408">
        <v>0</v>
      </c>
      <c r="EF378" s="408">
        <v>0</v>
      </c>
      <c r="EG378" s="408">
        <v>0</v>
      </c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>
        <v>0</v>
      </c>
      <c r="EN378" s="408">
        <v>0</v>
      </c>
      <c r="EO378" s="408">
        <v>0</v>
      </c>
      <c r="EP378" s="408">
        <v>0</v>
      </c>
      <c r="EQ378" s="408">
        <v>0</v>
      </c>
      <c r="ER378" s="408">
        <v>0</v>
      </c>
      <c r="ES378" s="408">
        <v>0</v>
      </c>
      <c r="ET378" s="408">
        <v>0</v>
      </c>
      <c r="EU378" s="408">
        <v>0</v>
      </c>
      <c r="EV378" s="408">
        <v>242</v>
      </c>
      <c r="EW378" s="408">
        <v>0</v>
      </c>
      <c r="EX378" s="408">
        <v>0</v>
      </c>
      <c r="EY378" s="408">
        <v>0</v>
      </c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377</v>
      </c>
      <c r="B379" s="408" t="s">
        <v>1036</v>
      </c>
      <c r="C379" s="408" t="s">
        <v>2231</v>
      </c>
      <c r="D379" s="408" t="s">
        <v>2241</v>
      </c>
      <c r="E379" s="408" t="s">
        <v>974</v>
      </c>
      <c r="F379" s="408" t="s">
        <v>2248</v>
      </c>
      <c r="G379" s="408" t="s">
        <v>2249</v>
      </c>
      <c r="H379" s="408" t="s">
        <v>1322</v>
      </c>
      <c r="I379" s="408" t="s">
        <v>1322</v>
      </c>
      <c r="J379" s="408" t="s">
        <v>2232</v>
      </c>
      <c r="K379" s="828">
        <v>44593</v>
      </c>
      <c r="L379" s="408">
        <v>0</v>
      </c>
      <c r="M379" s="408">
        <v>0</v>
      </c>
      <c r="N379" s="408">
        <v>0</v>
      </c>
      <c r="O379" s="408">
        <v>0</v>
      </c>
      <c r="P379" s="408">
        <v>0</v>
      </c>
      <c r="Q379" s="408">
        <v>0</v>
      </c>
      <c r="R379" s="408"/>
      <c r="S379" s="408"/>
      <c r="T379" s="408"/>
      <c r="U379" s="408"/>
      <c r="V379" s="408"/>
      <c r="W379" s="408"/>
      <c r="X379" s="408"/>
      <c r="Y379" s="408"/>
      <c r="Z379" s="408"/>
      <c r="AA379" s="408">
        <v>0</v>
      </c>
      <c r="AB379" s="408"/>
      <c r="AC379" s="408"/>
      <c r="AD379" s="408"/>
      <c r="AE379" s="408"/>
      <c r="AF379" s="408"/>
      <c r="AG379" s="408"/>
      <c r="AH379" s="408"/>
      <c r="AI379" s="408"/>
      <c r="AJ379" s="408"/>
      <c r="AK379" s="408"/>
      <c r="AL379" s="408"/>
      <c r="AM379" s="408"/>
      <c r="AN379" s="408"/>
      <c r="AO379" s="408"/>
      <c r="AP379" s="408"/>
      <c r="AQ379" s="408"/>
      <c r="AR379" s="408"/>
      <c r="AS379" s="408"/>
      <c r="AT379" s="408"/>
      <c r="AU379" s="408"/>
      <c r="AV379" s="408"/>
      <c r="AW379" s="408"/>
      <c r="AX379" s="408"/>
      <c r="AY379" s="408"/>
      <c r="AZ379" s="408">
        <v>0</v>
      </c>
      <c r="BA379" s="408"/>
      <c r="BB379" s="408"/>
      <c r="BC379" s="408"/>
      <c r="BD379" s="408"/>
      <c r="BE379" s="408"/>
      <c r="BF379" s="408"/>
      <c r="BG379" s="408"/>
      <c r="BH379" s="408"/>
      <c r="BI379" s="408">
        <v>393.38</v>
      </c>
      <c r="BJ379" s="408">
        <v>1805.16</v>
      </c>
      <c r="BK379" s="408">
        <v>1026.52</v>
      </c>
      <c r="BL379" s="408">
        <v>124</v>
      </c>
      <c r="BM379" s="408"/>
      <c r="BN379" s="408"/>
      <c r="BO379" s="408"/>
      <c r="BP379" s="408"/>
      <c r="BQ379" s="408"/>
      <c r="BR379" s="408"/>
      <c r="BS379" s="408"/>
      <c r="BT379" s="408"/>
      <c r="BU379" s="408"/>
      <c r="BV379" s="408"/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/>
      <c r="CJ379" s="408">
        <v>-0.03</v>
      </c>
      <c r="CK379" s="408"/>
      <c r="CL379" s="408"/>
      <c r="CM379" s="408"/>
      <c r="CN379" s="408"/>
      <c r="CO379" s="408">
        <v>0</v>
      </c>
      <c r="CP379" s="408">
        <v>0</v>
      </c>
      <c r="CQ379" s="408">
        <v>29</v>
      </c>
      <c r="CR379" s="408"/>
      <c r="CS379" s="408"/>
      <c r="CT379" s="408"/>
      <c r="CU379" s="408"/>
      <c r="CV379" s="408"/>
      <c r="CW379" s="408"/>
      <c r="CX379" s="408"/>
      <c r="CY379" s="408"/>
      <c r="CZ379" s="408"/>
      <c r="DA379" s="408"/>
      <c r="DB379" s="408"/>
      <c r="DC379" s="408"/>
      <c r="DD379" s="408"/>
      <c r="DE379" s="408"/>
      <c r="DF379" s="408"/>
      <c r="DG379" s="408"/>
      <c r="DH379" s="408"/>
      <c r="DI379" s="408"/>
      <c r="DJ379" s="408"/>
      <c r="DK379" s="408">
        <v>0</v>
      </c>
      <c r="DL379" s="408"/>
      <c r="DM379" s="408"/>
      <c r="DN379" s="408"/>
      <c r="DO379" s="408"/>
      <c r="DP379" s="408"/>
      <c r="DQ379" s="408"/>
      <c r="DR379" s="408"/>
      <c r="DS379" s="408"/>
      <c r="DT379" s="408"/>
      <c r="DU379" s="408"/>
      <c r="DV379" s="408"/>
      <c r="DW379" s="408"/>
      <c r="DX379" s="408"/>
      <c r="DY379" s="408"/>
      <c r="DZ379" s="234"/>
      <c r="EA379" s="408"/>
      <c r="EB379" s="408"/>
      <c r="EC379" s="408"/>
      <c r="ED379" s="408"/>
      <c r="EE379" s="408"/>
      <c r="EF379" s="408"/>
      <c r="EG379" s="408"/>
      <c r="EH379" s="408"/>
      <c r="EI379" s="408"/>
      <c r="EJ379" s="408"/>
      <c r="EK379" s="408"/>
      <c r="EL379" s="408"/>
      <c r="EM379" s="408"/>
      <c r="EN379" s="408"/>
      <c r="EO379" s="408"/>
      <c r="EP379" s="408"/>
      <c r="EQ379" s="408"/>
      <c r="ER379" s="408"/>
      <c r="ES379" s="408"/>
      <c r="ET379" s="408"/>
      <c r="EU379" s="408"/>
      <c r="EV379" s="408">
        <v>242</v>
      </c>
      <c r="EW379" s="408"/>
      <c r="EX379" s="408"/>
      <c r="EY379" s="408"/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378</v>
      </c>
      <c r="B380" s="408" t="s">
        <v>2233</v>
      </c>
      <c r="C380" s="408" t="s">
        <v>2231</v>
      </c>
      <c r="D380" s="408" t="s">
        <v>2241</v>
      </c>
      <c r="E380" s="408" t="s">
        <v>974</v>
      </c>
      <c r="F380" s="408" t="s">
        <v>2248</v>
      </c>
      <c r="G380" s="408" t="s">
        <v>2249</v>
      </c>
      <c r="H380" s="408" t="s">
        <v>1322</v>
      </c>
      <c r="I380" s="408" t="s">
        <v>1322</v>
      </c>
      <c r="J380" s="408" t="s">
        <v>2232</v>
      </c>
      <c r="K380" s="828">
        <v>44593</v>
      </c>
      <c r="L380" s="408">
        <v>0</v>
      </c>
      <c r="M380" s="408">
        <v>0</v>
      </c>
      <c r="N380" s="408">
        <v>0</v>
      </c>
      <c r="O380" s="408">
        <v>0</v>
      </c>
      <c r="P380" s="408">
        <v>0</v>
      </c>
      <c r="Q380" s="408">
        <v>0</v>
      </c>
      <c r="R380" s="408"/>
      <c r="S380" s="408"/>
      <c r="T380" s="408"/>
      <c r="U380" s="408"/>
      <c r="V380" s="408"/>
      <c r="W380" s="408"/>
      <c r="X380" s="408"/>
      <c r="Y380" s="408"/>
      <c r="Z380" s="408"/>
      <c r="AA380" s="408">
        <v>0</v>
      </c>
      <c r="AB380" s="408"/>
      <c r="AC380" s="408"/>
      <c r="AD380" s="408"/>
      <c r="AE380" s="408"/>
      <c r="AF380" s="408"/>
      <c r="AG380" s="408"/>
      <c r="AH380" s="408"/>
      <c r="AI380" s="408"/>
      <c r="AJ380" s="408"/>
      <c r="AK380" s="408"/>
      <c r="AL380" s="408"/>
      <c r="AM380" s="408"/>
      <c r="AN380" s="408"/>
      <c r="AO380" s="408"/>
      <c r="AP380" s="408"/>
      <c r="AQ380" s="408"/>
      <c r="AR380" s="408"/>
      <c r="AS380" s="408"/>
      <c r="AT380" s="408"/>
      <c r="AU380" s="408"/>
      <c r="AV380" s="408"/>
      <c r="AW380" s="408"/>
      <c r="AX380" s="408"/>
      <c r="AY380" s="408"/>
      <c r="AZ380" s="408">
        <v>0</v>
      </c>
      <c r="BA380" s="408"/>
      <c r="BB380" s="408"/>
      <c r="BC380" s="408"/>
      <c r="BD380" s="408"/>
      <c r="BE380" s="408"/>
      <c r="BF380" s="408"/>
      <c r="BG380" s="408"/>
      <c r="BH380" s="408"/>
      <c r="BI380" s="408">
        <v>-5.17</v>
      </c>
      <c r="BJ380" s="408">
        <v>-23.7</v>
      </c>
      <c r="BK380" s="408">
        <v>-4.5599999999999996</v>
      </c>
      <c r="BL380" s="408">
        <v>0</v>
      </c>
      <c r="BM380" s="408"/>
      <c r="BN380" s="408"/>
      <c r="BO380" s="408"/>
      <c r="BP380" s="408"/>
      <c r="BQ380" s="408"/>
      <c r="BR380" s="408"/>
      <c r="BS380" s="408"/>
      <c r="BT380" s="408"/>
      <c r="BU380" s="408"/>
      <c r="BV380" s="408"/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/>
      <c r="CJ380" s="408">
        <v>-0.03</v>
      </c>
      <c r="CK380" s="408"/>
      <c r="CL380" s="408"/>
      <c r="CM380" s="408"/>
      <c r="CN380" s="408"/>
      <c r="CO380" s="408">
        <v>0</v>
      </c>
      <c r="CP380" s="408">
        <v>0</v>
      </c>
      <c r="CQ380" s="408">
        <v>29</v>
      </c>
      <c r="CR380" s="408"/>
      <c r="CS380" s="408"/>
      <c r="CT380" s="408"/>
      <c r="CU380" s="408"/>
      <c r="CV380" s="408"/>
      <c r="CW380" s="408"/>
      <c r="CX380" s="408"/>
      <c r="CY380" s="408"/>
      <c r="CZ380" s="408"/>
      <c r="DA380" s="408"/>
      <c r="DB380" s="408"/>
      <c r="DC380" s="408"/>
      <c r="DD380" s="408"/>
      <c r="DE380" s="408"/>
      <c r="DF380" s="408"/>
      <c r="DG380" s="408"/>
      <c r="DH380" s="408"/>
      <c r="DI380" s="408"/>
      <c r="DJ380" s="408"/>
      <c r="DK380" s="408">
        <v>0</v>
      </c>
      <c r="DL380" s="408"/>
      <c r="DM380" s="408"/>
      <c r="DN380" s="408"/>
      <c r="DO380" s="408"/>
      <c r="DP380" s="408"/>
      <c r="DQ380" s="408"/>
      <c r="DR380" s="408"/>
      <c r="DS380" s="408"/>
      <c r="DT380" s="408"/>
      <c r="DU380" s="408"/>
      <c r="DV380" s="408"/>
      <c r="DW380" s="408"/>
      <c r="DX380" s="408"/>
      <c r="DY380" s="408"/>
      <c r="DZ380" s="234"/>
      <c r="EA380" s="408"/>
      <c r="EB380" s="408"/>
      <c r="EC380" s="408"/>
      <c r="ED380" s="408"/>
      <c r="EE380" s="408"/>
      <c r="EF380" s="408"/>
      <c r="EG380" s="408"/>
      <c r="EH380" s="408"/>
      <c r="EI380" s="408"/>
      <c r="EJ380" s="408"/>
      <c r="EK380" s="408"/>
      <c r="EL380" s="408"/>
      <c r="EM380" s="408"/>
      <c r="EN380" s="408"/>
      <c r="EO380" s="408"/>
      <c r="EP380" s="408"/>
      <c r="EQ380" s="408"/>
      <c r="ER380" s="408"/>
      <c r="ES380" s="408"/>
      <c r="ET380" s="408"/>
      <c r="EU380" s="408"/>
      <c r="EV380" s="408">
        <v>242</v>
      </c>
      <c r="EW380" s="408"/>
      <c r="EX380" s="408"/>
      <c r="EY380" s="408"/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379</v>
      </c>
      <c r="B381" s="408" t="s">
        <v>2234</v>
      </c>
      <c r="C381" s="408" t="s">
        <v>2231</v>
      </c>
      <c r="D381" s="408" t="s">
        <v>2241</v>
      </c>
      <c r="E381" s="408" t="s">
        <v>974</v>
      </c>
      <c r="F381" s="408" t="s">
        <v>2248</v>
      </c>
      <c r="G381" s="408" t="s">
        <v>2249</v>
      </c>
      <c r="H381" s="408" t="s">
        <v>1322</v>
      </c>
      <c r="I381" s="408" t="s">
        <v>1322</v>
      </c>
      <c r="J381" s="408" t="s">
        <v>2232</v>
      </c>
      <c r="K381" s="828">
        <v>44593</v>
      </c>
      <c r="L381" s="408">
        <v>0</v>
      </c>
      <c r="M381" s="408">
        <v>0</v>
      </c>
      <c r="N381" s="408">
        <v>0</v>
      </c>
      <c r="O381" s="408">
        <v>0</v>
      </c>
      <c r="P381" s="408">
        <v>0</v>
      </c>
      <c r="Q381" s="408">
        <v>0</v>
      </c>
      <c r="R381" s="408"/>
      <c r="S381" s="408"/>
      <c r="T381" s="408"/>
      <c r="U381" s="408"/>
      <c r="V381" s="408"/>
      <c r="W381" s="408"/>
      <c r="X381" s="408"/>
      <c r="Y381" s="408"/>
      <c r="Z381" s="408"/>
      <c r="AA381" s="408">
        <v>0</v>
      </c>
      <c r="AB381" s="408"/>
      <c r="AC381" s="408"/>
      <c r="AD381" s="408"/>
      <c r="AE381" s="408"/>
      <c r="AF381" s="408"/>
      <c r="AG381" s="408"/>
      <c r="AH381" s="408"/>
      <c r="AI381" s="408"/>
      <c r="AJ381" s="408"/>
      <c r="AK381" s="408"/>
      <c r="AL381" s="408"/>
      <c r="AM381" s="408"/>
      <c r="AN381" s="408"/>
      <c r="AO381" s="408"/>
      <c r="AP381" s="408"/>
      <c r="AQ381" s="408"/>
      <c r="AR381" s="408"/>
      <c r="AS381" s="408"/>
      <c r="AT381" s="408"/>
      <c r="AU381" s="408"/>
      <c r="AV381" s="408"/>
      <c r="AW381" s="408"/>
      <c r="AX381" s="408"/>
      <c r="AY381" s="408"/>
      <c r="AZ381" s="408">
        <v>0</v>
      </c>
      <c r="BA381" s="408"/>
      <c r="BB381" s="408"/>
      <c r="BC381" s="408"/>
      <c r="BD381" s="408"/>
      <c r="BE381" s="408"/>
      <c r="BF381" s="408"/>
      <c r="BG381" s="408"/>
      <c r="BH381" s="408"/>
      <c r="BI381" s="408">
        <v>5.25</v>
      </c>
      <c r="BJ381" s="408">
        <v>24.44</v>
      </c>
      <c r="BK381" s="408">
        <v>53.83</v>
      </c>
      <c r="BL381" s="408">
        <v>7</v>
      </c>
      <c r="BM381" s="408"/>
      <c r="BN381" s="408"/>
      <c r="BO381" s="408"/>
      <c r="BP381" s="408"/>
      <c r="BQ381" s="408"/>
      <c r="BR381" s="408"/>
      <c r="BS381" s="408"/>
      <c r="BT381" s="408"/>
      <c r="BU381" s="408"/>
      <c r="BV381" s="408"/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/>
      <c r="CJ381" s="408">
        <v>-0.03</v>
      </c>
      <c r="CK381" s="408"/>
      <c r="CL381" s="408"/>
      <c r="CM381" s="408"/>
      <c r="CN381" s="408"/>
      <c r="CO381" s="408">
        <v>0</v>
      </c>
      <c r="CP381" s="408">
        <v>0</v>
      </c>
      <c r="CQ381" s="408">
        <v>29</v>
      </c>
      <c r="CR381" s="408"/>
      <c r="CS381" s="408"/>
      <c r="CT381" s="408"/>
      <c r="CU381" s="408"/>
      <c r="CV381" s="408"/>
      <c r="CW381" s="408"/>
      <c r="CX381" s="408"/>
      <c r="CY381" s="408"/>
      <c r="CZ381" s="408"/>
      <c r="DA381" s="408"/>
      <c r="DB381" s="408"/>
      <c r="DC381" s="408"/>
      <c r="DD381" s="408"/>
      <c r="DE381" s="408"/>
      <c r="DF381" s="408"/>
      <c r="DG381" s="408"/>
      <c r="DH381" s="408"/>
      <c r="DI381" s="408"/>
      <c r="DJ381" s="408"/>
      <c r="DK381" s="408">
        <v>0</v>
      </c>
      <c r="DL381" s="408"/>
      <c r="DM381" s="408"/>
      <c r="DN381" s="408"/>
      <c r="DO381" s="408"/>
      <c r="DP381" s="408"/>
      <c r="DQ381" s="408"/>
      <c r="DR381" s="408"/>
      <c r="DS381" s="408"/>
      <c r="DT381" s="408"/>
      <c r="DU381" s="408"/>
      <c r="DV381" s="408"/>
      <c r="DW381" s="408"/>
      <c r="DX381" s="408"/>
      <c r="DY381" s="408"/>
      <c r="DZ381" s="234"/>
      <c r="EA381" s="408"/>
      <c r="EB381" s="408"/>
      <c r="EC381" s="408"/>
      <c r="ED381" s="408"/>
      <c r="EE381" s="408"/>
      <c r="EF381" s="408"/>
      <c r="EG381" s="408"/>
      <c r="EH381" s="408"/>
      <c r="EI381" s="408"/>
      <c r="EJ381" s="408"/>
      <c r="EK381" s="408"/>
      <c r="EL381" s="408"/>
      <c r="EM381" s="408"/>
      <c r="EN381" s="408"/>
      <c r="EO381" s="408"/>
      <c r="EP381" s="408"/>
      <c r="EQ381" s="408"/>
      <c r="ER381" s="408"/>
      <c r="ES381" s="408"/>
      <c r="ET381" s="408"/>
      <c r="EU381" s="408"/>
      <c r="EV381" s="408">
        <v>242</v>
      </c>
      <c r="EW381" s="408"/>
      <c r="EX381" s="408"/>
      <c r="EY381" s="408"/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380</v>
      </c>
      <c r="B382" s="408" t="s">
        <v>1036</v>
      </c>
      <c r="C382" s="408" t="s">
        <v>2231</v>
      </c>
      <c r="D382" s="408" t="s">
        <v>2241</v>
      </c>
      <c r="E382" s="408" t="s">
        <v>974</v>
      </c>
      <c r="F382" s="408" t="s">
        <v>2248</v>
      </c>
      <c r="G382" s="408" t="s">
        <v>2249</v>
      </c>
      <c r="H382" s="408" t="s">
        <v>1322</v>
      </c>
      <c r="I382" s="408" t="s">
        <v>1322</v>
      </c>
      <c r="J382" s="408" t="s">
        <v>2232</v>
      </c>
      <c r="K382" s="828">
        <v>44593</v>
      </c>
      <c r="L382" s="408">
        <v>0</v>
      </c>
      <c r="M382" s="408">
        <v>0</v>
      </c>
      <c r="N382" s="408">
        <v>145.35400000000001</v>
      </c>
      <c r="O382" s="408">
        <v>145.35400000000001</v>
      </c>
      <c r="P382" s="408">
        <v>145.35400000000001</v>
      </c>
      <c r="Q382" s="408">
        <v>145.35400000000001</v>
      </c>
      <c r="R382" s="408"/>
      <c r="S382" s="408">
        <v>571.87</v>
      </c>
      <c r="T382" s="408">
        <v>216.76</v>
      </c>
      <c r="U382" s="408"/>
      <c r="V382" s="408">
        <v>114630.52502000002</v>
      </c>
      <c r="W382" s="408">
        <v>114630.52502000002</v>
      </c>
      <c r="X382" s="408">
        <v>74713.409540000008</v>
      </c>
      <c r="Y382" s="408">
        <v>0</v>
      </c>
      <c r="Z382" s="408">
        <v>8809.9956298192901</v>
      </c>
      <c r="AA382" s="408">
        <v>0</v>
      </c>
      <c r="AB382" s="408">
        <v>0</v>
      </c>
      <c r="AC382" s="408">
        <v>0</v>
      </c>
      <c r="AD382" s="408">
        <v>119.46844387830502</v>
      </c>
      <c r="AE382" s="408">
        <v>61976.571792842929</v>
      </c>
      <c r="AF382" s="408">
        <v>31047.832550718791</v>
      </c>
      <c r="AG382" s="408">
        <v>458.94140806229638</v>
      </c>
      <c r="AH382" s="408">
        <v>0</v>
      </c>
      <c r="AI382" s="408">
        <v>0</v>
      </c>
      <c r="AJ382" s="408">
        <v>0</v>
      </c>
      <c r="AK382" s="408">
        <v>0</v>
      </c>
      <c r="AL382" s="408">
        <v>1362.4951468077504</v>
      </c>
      <c r="AM382" s="408"/>
      <c r="AN382" s="408">
        <v>278.85722386537276</v>
      </c>
      <c r="AO382" s="408">
        <v>1290.9902946230943</v>
      </c>
      <c r="AP382" s="408">
        <v>4044.7810368808555</v>
      </c>
      <c r="AQ382" s="408">
        <v>0</v>
      </c>
      <c r="AR382" s="408">
        <v>0</v>
      </c>
      <c r="AS382" s="408">
        <v>0</v>
      </c>
      <c r="AT382" s="408">
        <v>0</v>
      </c>
      <c r="AU382" s="408">
        <v>0</v>
      </c>
      <c r="AV382" s="408">
        <v>0</v>
      </c>
      <c r="AW382" s="408">
        <v>0</v>
      </c>
      <c r="AX382" s="408">
        <v>0</v>
      </c>
      <c r="AY382" s="408">
        <v>0</v>
      </c>
      <c r="AZ382" s="408">
        <v>0</v>
      </c>
      <c r="BA382" s="408"/>
      <c r="BB382" s="408">
        <v>0</v>
      </c>
      <c r="BC382" s="408">
        <v>0</v>
      </c>
      <c r="BD382" s="408">
        <v>86.495749818947573</v>
      </c>
      <c r="BE382" s="408">
        <v>0</v>
      </c>
      <c r="BF382" s="408">
        <v>0</v>
      </c>
      <c r="BG382" s="408">
        <v>5153.9966487065567</v>
      </c>
      <c r="BH382" s="408">
        <v>0</v>
      </c>
      <c r="BI382" s="408">
        <v>0</v>
      </c>
      <c r="BJ382" s="408">
        <v>0</v>
      </c>
      <c r="BK382" s="408">
        <v>0</v>
      </c>
      <c r="BL382" s="408">
        <v>0</v>
      </c>
      <c r="BM382" s="408"/>
      <c r="BN382" s="408"/>
      <c r="BO382" s="408"/>
      <c r="BP382" s="408"/>
      <c r="BQ382" s="408"/>
      <c r="BR382" s="408">
        <v>8965.4347199999975</v>
      </c>
      <c r="BS382" s="408"/>
      <c r="BT382" s="408"/>
      <c r="BU382" s="408"/>
      <c r="BV382" s="408">
        <v>36288.324949244292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65746.165500000003</v>
      </c>
      <c r="CJ382" s="408">
        <v>-35129.540499999988</v>
      </c>
      <c r="CK382" s="408"/>
      <c r="CL382" s="408"/>
      <c r="CM382" s="408"/>
      <c r="CN382" s="408"/>
      <c r="CO382" s="408">
        <v>-44660.016500000005</v>
      </c>
      <c r="CP382" s="408">
        <v>4742.9010199999993</v>
      </c>
      <c r="CQ382" s="408">
        <v>29</v>
      </c>
      <c r="CR382" s="408">
        <v>5617.9765560128726</v>
      </c>
      <c r="CS382" s="408">
        <v>133.16761658612586</v>
      </c>
      <c r="CT382" s="408">
        <v>417.2253289103387</v>
      </c>
      <c r="CU382" s="408">
        <v>0</v>
      </c>
      <c r="CV382" s="408">
        <v>0</v>
      </c>
      <c r="CW382" s="408">
        <v>0</v>
      </c>
      <c r="CX382" s="408">
        <v>0</v>
      </c>
      <c r="CY382" s="408">
        <v>0</v>
      </c>
      <c r="CZ382" s="408">
        <v>11.681034200021386</v>
      </c>
      <c r="DA382" s="408">
        <v>0</v>
      </c>
      <c r="DB382" s="408">
        <v>0</v>
      </c>
      <c r="DC382" s="408">
        <v>4743.5105653979554</v>
      </c>
      <c r="DD382" s="408">
        <v>0</v>
      </c>
      <c r="DE382" s="408">
        <v>0</v>
      </c>
      <c r="DF382" s="408">
        <v>13.214883920091964</v>
      </c>
      <c r="DG382" s="408">
        <v>787.43137760834816</v>
      </c>
      <c r="DH382" s="408">
        <v>0</v>
      </c>
      <c r="DI382" s="408">
        <v>-420.91688451479604</v>
      </c>
      <c r="DJ382" s="408"/>
      <c r="DK382" s="408">
        <v>0</v>
      </c>
      <c r="DL382" s="408">
        <v>0</v>
      </c>
      <c r="DM382" s="408">
        <v>0</v>
      </c>
      <c r="DN382" s="408">
        <v>0</v>
      </c>
      <c r="DO382" s="408">
        <v>-55.209133267508832</v>
      </c>
      <c r="DP382" s="408">
        <v>-12.128232827706029</v>
      </c>
      <c r="DQ382" s="408">
        <v>0</v>
      </c>
      <c r="DR382" s="408">
        <v>0</v>
      </c>
      <c r="DS382" s="408"/>
      <c r="DT382" s="408"/>
      <c r="DU382" s="408"/>
      <c r="DV382" s="408">
        <v>61976.571792842929</v>
      </c>
      <c r="DW382" s="408">
        <v>0</v>
      </c>
      <c r="DX382" s="408">
        <v>0</v>
      </c>
      <c r="DY382" s="408">
        <v>-44660.016500000005</v>
      </c>
      <c r="DZ382" s="234">
        <v>4742.9010200000012</v>
      </c>
      <c r="EA382" s="408">
        <v>0</v>
      </c>
      <c r="EB382" s="408">
        <v>0</v>
      </c>
      <c r="EC382" s="408">
        <v>-45534.79574664605</v>
      </c>
      <c r="ED382" s="408">
        <v>0</v>
      </c>
      <c r="EE382" s="408">
        <v>0</v>
      </c>
      <c r="EF382" s="408">
        <v>0</v>
      </c>
      <c r="EG382" s="408">
        <v>0</v>
      </c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>
        <v>0</v>
      </c>
      <c r="EN382" s="408">
        <v>0</v>
      </c>
      <c r="EO382" s="408">
        <v>0</v>
      </c>
      <c r="EP382" s="408">
        <v>0</v>
      </c>
      <c r="EQ382" s="408">
        <v>0</v>
      </c>
      <c r="ER382" s="408">
        <v>0</v>
      </c>
      <c r="ES382" s="408">
        <v>0</v>
      </c>
      <c r="ET382" s="408">
        <v>0</v>
      </c>
      <c r="EU382" s="408">
        <v>0</v>
      </c>
      <c r="EV382" s="408">
        <v>242</v>
      </c>
      <c r="EW382" s="408">
        <v>0</v>
      </c>
      <c r="EX382" s="408">
        <v>0</v>
      </c>
      <c r="EY382" s="408">
        <v>0</v>
      </c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381</v>
      </c>
      <c r="B383" s="408" t="s">
        <v>2233</v>
      </c>
      <c r="C383" s="408" t="s">
        <v>2231</v>
      </c>
      <c r="D383" s="408" t="s">
        <v>2241</v>
      </c>
      <c r="E383" s="408" t="s">
        <v>974</v>
      </c>
      <c r="F383" s="408" t="s">
        <v>2248</v>
      </c>
      <c r="G383" s="408" t="s">
        <v>2249</v>
      </c>
      <c r="H383" s="408" t="s">
        <v>1322</v>
      </c>
      <c r="I383" s="408" t="s">
        <v>1322</v>
      </c>
      <c r="J383" s="408" t="s">
        <v>2232</v>
      </c>
      <c r="K383" s="828">
        <v>44593</v>
      </c>
      <c r="L383" s="408">
        <v>0</v>
      </c>
      <c r="M383" s="408">
        <v>0</v>
      </c>
      <c r="N383" s="408">
        <v>-2.387</v>
      </c>
      <c r="O383" s="408">
        <v>-2.387</v>
      </c>
      <c r="P383" s="408">
        <v>-2.387</v>
      </c>
      <c r="Q383" s="408">
        <v>-2.387</v>
      </c>
      <c r="R383" s="408"/>
      <c r="S383" s="408">
        <v>571.87</v>
      </c>
      <c r="T383" s="408">
        <v>216.76</v>
      </c>
      <c r="U383" s="408"/>
      <c r="V383" s="408">
        <v>-1882.4598099999998</v>
      </c>
      <c r="W383" s="408">
        <v>-1882.4598099999998</v>
      </c>
      <c r="X383" s="408">
        <v>-1226.9418700000001</v>
      </c>
      <c r="Y383" s="408">
        <v>0</v>
      </c>
      <c r="Z383" s="408">
        <v>-144.67754288412181</v>
      </c>
      <c r="AA383" s="408">
        <v>0</v>
      </c>
      <c r="AB383" s="408">
        <v>0</v>
      </c>
      <c r="AC383" s="408">
        <v>0</v>
      </c>
      <c r="AD383" s="408">
        <v>-1.9619080007259111</v>
      </c>
      <c r="AE383" s="408">
        <v>-1017.7778173941966</v>
      </c>
      <c r="AF383" s="408">
        <v>-509.86678246601912</v>
      </c>
      <c r="AG383" s="408">
        <v>-7.5367251059117839</v>
      </c>
      <c r="AH383" s="408">
        <v>0</v>
      </c>
      <c r="AI383" s="408">
        <v>0</v>
      </c>
      <c r="AJ383" s="408">
        <v>0</v>
      </c>
      <c r="AK383" s="408">
        <v>0</v>
      </c>
      <c r="AL383" s="408">
        <v>-22.37486354300604</v>
      </c>
      <c r="AM383" s="408"/>
      <c r="AN383" s="408">
        <v>-4.5793868305422949</v>
      </c>
      <c r="AO383" s="408">
        <v>-21.200612527108479</v>
      </c>
      <c r="AP383" s="408">
        <v>-66.423299909425268</v>
      </c>
      <c r="AQ383" s="408">
        <v>0</v>
      </c>
      <c r="AR383" s="408">
        <v>0</v>
      </c>
      <c r="AS383" s="408">
        <v>0</v>
      </c>
      <c r="AT383" s="408">
        <v>0</v>
      </c>
      <c r="AU383" s="408">
        <v>0</v>
      </c>
      <c r="AV383" s="408">
        <v>0</v>
      </c>
      <c r="AW383" s="408">
        <v>0</v>
      </c>
      <c r="AX383" s="408">
        <v>0</v>
      </c>
      <c r="AY383" s="408">
        <v>0</v>
      </c>
      <c r="AZ383" s="408">
        <v>0</v>
      </c>
      <c r="BA383" s="408"/>
      <c r="BB383" s="408">
        <v>0</v>
      </c>
      <c r="BC383" s="408">
        <v>0</v>
      </c>
      <c r="BD383" s="408">
        <v>-1.4204311874308779</v>
      </c>
      <c r="BE383" s="408">
        <v>0</v>
      </c>
      <c r="BF383" s="408">
        <v>0</v>
      </c>
      <c r="BG383" s="408">
        <v>-84.638812832550528</v>
      </c>
      <c r="BH383" s="408">
        <v>0</v>
      </c>
      <c r="BI383" s="408">
        <v>0</v>
      </c>
      <c r="BJ383" s="408">
        <v>0</v>
      </c>
      <c r="BK383" s="408">
        <v>0</v>
      </c>
      <c r="BL383" s="408">
        <v>0</v>
      </c>
      <c r="BM383" s="408"/>
      <c r="BN383" s="408"/>
      <c r="BO383" s="408"/>
      <c r="BP383" s="408"/>
      <c r="BQ383" s="408"/>
      <c r="BR383" s="408">
        <v>-147.23015999999996</v>
      </c>
      <c r="BS383" s="408"/>
      <c r="BT383" s="408"/>
      <c r="BU383" s="408"/>
      <c r="BV383" s="408">
        <v>-595.92602648600052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-1081.0687000000003</v>
      </c>
      <c r="CJ383" s="408">
        <v>575.47929999999974</v>
      </c>
      <c r="CK383" s="408"/>
      <c r="CL383" s="408"/>
      <c r="CM383" s="408"/>
      <c r="CN383" s="408"/>
      <c r="CO383" s="408">
        <v>733.40575000000001</v>
      </c>
      <c r="CP383" s="408">
        <v>-77.887809999999988</v>
      </c>
      <c r="CQ383" s="408">
        <v>29</v>
      </c>
      <c r="CR383" s="408">
        <v>-92.258280055607315</v>
      </c>
      <c r="CS383" s="408">
        <v>-2.186875495625042</v>
      </c>
      <c r="CT383" s="408">
        <v>-6.8516646264222487</v>
      </c>
      <c r="CU383" s="408">
        <v>0</v>
      </c>
      <c r="CV383" s="408">
        <v>0</v>
      </c>
      <c r="CW383" s="408">
        <v>0</v>
      </c>
      <c r="CX383" s="408">
        <v>0</v>
      </c>
      <c r="CY383" s="408">
        <v>0</v>
      </c>
      <c r="CZ383" s="408">
        <v>-0.19182567136405648</v>
      </c>
      <c r="DA383" s="408">
        <v>0</v>
      </c>
      <c r="DB383" s="408">
        <v>0</v>
      </c>
      <c r="DC383" s="408">
        <v>-77.897819940317618</v>
      </c>
      <c r="DD383" s="408">
        <v>0</v>
      </c>
      <c r="DE383" s="408">
        <v>0</v>
      </c>
      <c r="DF383" s="408">
        <v>-0.21701451571514729</v>
      </c>
      <c r="DG383" s="408">
        <v>-12.931179729151779</v>
      </c>
      <c r="DH383" s="408">
        <v>0</v>
      </c>
      <c r="DI383" s="408">
        <v>6.9122872665135731</v>
      </c>
      <c r="DJ383" s="408"/>
      <c r="DK383" s="408">
        <v>0</v>
      </c>
      <c r="DL383" s="408">
        <v>0</v>
      </c>
      <c r="DM383" s="408">
        <v>0</v>
      </c>
      <c r="DN383" s="408">
        <v>0</v>
      </c>
      <c r="DO383" s="408">
        <v>0.90664309967075951</v>
      </c>
      <c r="DP383" s="408">
        <v>0.19916955680431414</v>
      </c>
      <c r="DQ383" s="408">
        <v>0</v>
      </c>
      <c r="DR383" s="408">
        <v>0</v>
      </c>
      <c r="DS383" s="408"/>
      <c r="DT383" s="408"/>
      <c r="DU383" s="408"/>
      <c r="DV383" s="408">
        <v>-1017.7778173941966</v>
      </c>
      <c r="DW383" s="408">
        <v>0</v>
      </c>
      <c r="DX383" s="408">
        <v>0</v>
      </c>
      <c r="DY383" s="408">
        <v>733.4057499999999</v>
      </c>
      <c r="DZ383" s="234">
        <v>-77.887809999999945</v>
      </c>
      <c r="EA383" s="408">
        <v>0</v>
      </c>
      <c r="EB383" s="408">
        <v>0</v>
      </c>
      <c r="EC383" s="408">
        <v>747.77135439853123</v>
      </c>
      <c r="ED383" s="408">
        <v>0</v>
      </c>
      <c r="EE383" s="408">
        <v>0</v>
      </c>
      <c r="EF383" s="408">
        <v>0</v>
      </c>
      <c r="EG383" s="408">
        <v>0</v>
      </c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>
        <v>0</v>
      </c>
      <c r="EN383" s="408">
        <v>0</v>
      </c>
      <c r="EO383" s="408">
        <v>0</v>
      </c>
      <c r="EP383" s="408">
        <v>0</v>
      </c>
      <c r="EQ383" s="408">
        <v>0</v>
      </c>
      <c r="ER383" s="408">
        <v>0</v>
      </c>
      <c r="ES383" s="408">
        <v>0</v>
      </c>
      <c r="ET383" s="408">
        <v>0</v>
      </c>
      <c r="EU383" s="408">
        <v>0</v>
      </c>
      <c r="EV383" s="408">
        <v>242</v>
      </c>
      <c r="EW383" s="408">
        <v>0</v>
      </c>
      <c r="EX383" s="408">
        <v>0</v>
      </c>
      <c r="EY383" s="408">
        <v>0</v>
      </c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382</v>
      </c>
      <c r="B384" s="408" t="s">
        <v>2234</v>
      </c>
      <c r="C384" s="408" t="s">
        <v>2231</v>
      </c>
      <c r="D384" s="408" t="s">
        <v>2241</v>
      </c>
      <c r="E384" s="408" t="s">
        <v>974</v>
      </c>
      <c r="F384" s="408" t="s">
        <v>2248</v>
      </c>
      <c r="G384" s="408" t="s">
        <v>2249</v>
      </c>
      <c r="H384" s="408" t="s">
        <v>1322</v>
      </c>
      <c r="I384" s="408" t="s">
        <v>1322</v>
      </c>
      <c r="J384" s="408" t="s">
        <v>2232</v>
      </c>
      <c r="K384" s="828">
        <v>44593</v>
      </c>
      <c r="L384" s="408">
        <v>0</v>
      </c>
      <c r="M384" s="408">
        <v>0</v>
      </c>
      <c r="N384" s="408">
        <v>2.7360000000000002</v>
      </c>
      <c r="O384" s="408">
        <v>2.7360000000000002</v>
      </c>
      <c r="P384" s="408">
        <v>2.7360000000000002</v>
      </c>
      <c r="Q384" s="408">
        <v>2.7360000000000002</v>
      </c>
      <c r="R384" s="408"/>
      <c r="S384" s="408">
        <v>571.87</v>
      </c>
      <c r="T384" s="408">
        <v>216.76</v>
      </c>
      <c r="U384" s="408"/>
      <c r="V384" s="408">
        <v>2157.6916799999999</v>
      </c>
      <c r="W384" s="408">
        <v>2157.6916799999999</v>
      </c>
      <c r="X384" s="408">
        <v>1406.3313600000001</v>
      </c>
      <c r="Y384" s="408">
        <v>0</v>
      </c>
      <c r="Z384" s="408">
        <v>165.83064823249154</v>
      </c>
      <c r="AA384" s="408">
        <v>0</v>
      </c>
      <c r="AB384" s="408">
        <v>0</v>
      </c>
      <c r="AC384" s="408">
        <v>0</v>
      </c>
      <c r="AD384" s="408">
        <v>2.2487558818542492</v>
      </c>
      <c r="AE384" s="408">
        <v>1166.5857178008052</v>
      </c>
      <c r="AF384" s="408">
        <v>584.41370625346815</v>
      </c>
      <c r="AG384" s="408">
        <v>8.6386593589336584</v>
      </c>
      <c r="AH384" s="408">
        <v>0</v>
      </c>
      <c r="AI384" s="408">
        <v>0</v>
      </c>
      <c r="AJ384" s="408">
        <v>0</v>
      </c>
      <c r="AK384" s="408">
        <v>0</v>
      </c>
      <c r="AL384" s="408">
        <v>25.646261689846892</v>
      </c>
      <c r="AM384" s="408"/>
      <c r="AN384" s="408">
        <v>5.2489327056404358</v>
      </c>
      <c r="AO384" s="408">
        <v>24.300325041545371</v>
      </c>
      <c r="AP384" s="408">
        <v>76.134959594548619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1.6281104854674833</v>
      </c>
      <c r="BE384" s="408">
        <v>0</v>
      </c>
      <c r="BF384" s="408">
        <v>0</v>
      </c>
      <c r="BG384" s="408">
        <v>97.013737708361234</v>
      </c>
      <c r="BH384" s="408">
        <v>0</v>
      </c>
      <c r="BI384" s="408">
        <v>0</v>
      </c>
      <c r="BJ384" s="408">
        <v>0</v>
      </c>
      <c r="BK384" s="408">
        <v>0</v>
      </c>
      <c r="BL384" s="408">
        <v>0</v>
      </c>
      <c r="BM384" s="408"/>
      <c r="BN384" s="408"/>
      <c r="BO384" s="408"/>
      <c r="BP384" s="408"/>
      <c r="BQ384" s="408"/>
      <c r="BR384" s="408">
        <v>168.75647999999995</v>
      </c>
      <c r="BS384" s="408"/>
      <c r="BT384" s="408"/>
      <c r="BU384" s="408"/>
      <c r="BV384" s="408">
        <v>683.0555544472968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1239.3842</v>
      </c>
      <c r="CJ384" s="408">
        <v>-659.42980000000011</v>
      </c>
      <c r="CK384" s="408"/>
      <c r="CL384" s="408"/>
      <c r="CM384" s="408"/>
      <c r="CN384" s="408"/>
      <c r="CO384" s="408">
        <v>-840.63600000000008</v>
      </c>
      <c r="CP384" s="408">
        <v>89.275679999999994</v>
      </c>
      <c r="CQ384" s="408">
        <v>29</v>
      </c>
      <c r="CR384" s="408">
        <v>105.74723679603767</v>
      </c>
      <c r="CS384" s="408">
        <v>2.5066155659950233</v>
      </c>
      <c r="CT384" s="408">
        <v>7.8534371252162742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0.21987223998829419</v>
      </c>
      <c r="DA384" s="408">
        <v>0</v>
      </c>
      <c r="DB384" s="408">
        <v>0</v>
      </c>
      <c r="DC384" s="408">
        <v>89.287153479978656</v>
      </c>
      <c r="DD384" s="408">
        <v>0</v>
      </c>
      <c r="DE384" s="408">
        <v>0</v>
      </c>
      <c r="DF384" s="408">
        <v>0.24874391076524627</v>
      </c>
      <c r="DG384" s="408">
        <v>14.821829802664126</v>
      </c>
      <c r="DH384" s="408">
        <v>0</v>
      </c>
      <c r="DI384" s="408">
        <v>-7.9229233184671841</v>
      </c>
      <c r="DJ384" s="408"/>
      <c r="DK384" s="408">
        <v>0</v>
      </c>
      <c r="DL384" s="408">
        <v>0</v>
      </c>
      <c r="DM384" s="408">
        <v>0</v>
      </c>
      <c r="DN384" s="408">
        <v>0</v>
      </c>
      <c r="DO384" s="408">
        <v>-1.0392021452447437</v>
      </c>
      <c r="DP384" s="408">
        <v>-0.2282898648582341</v>
      </c>
      <c r="DQ384" s="408">
        <v>0</v>
      </c>
      <c r="DR384" s="408">
        <v>0</v>
      </c>
      <c r="DS384" s="408"/>
      <c r="DT384" s="408"/>
      <c r="DU384" s="408"/>
      <c r="DV384" s="408">
        <v>1166.5857178008052</v>
      </c>
      <c r="DW384" s="408">
        <v>0</v>
      </c>
      <c r="DX384" s="408">
        <v>0</v>
      </c>
      <c r="DY384" s="408">
        <v>-840.63599999999997</v>
      </c>
      <c r="DZ384" s="234">
        <v>89.275679999999966</v>
      </c>
      <c r="EA384" s="408">
        <v>0</v>
      </c>
      <c r="EB384" s="408">
        <v>0</v>
      </c>
      <c r="EC384" s="408">
        <v>-857.10197973790582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0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242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383</v>
      </c>
      <c r="B385" s="408" t="s">
        <v>1036</v>
      </c>
      <c r="C385" s="408" t="s">
        <v>2231</v>
      </c>
      <c r="D385" s="408" t="s">
        <v>2241</v>
      </c>
      <c r="E385" s="408" t="s">
        <v>974</v>
      </c>
      <c r="F385" s="408" t="s">
        <v>2248</v>
      </c>
      <c r="G385" s="408" t="s">
        <v>2250</v>
      </c>
      <c r="H385" s="408" t="s">
        <v>1322</v>
      </c>
      <c r="I385" s="408" t="s">
        <v>1322</v>
      </c>
      <c r="J385" s="408" t="s">
        <v>2232</v>
      </c>
      <c r="K385" s="828">
        <v>44593</v>
      </c>
      <c r="L385" s="408">
        <v>0</v>
      </c>
      <c r="M385" s="408">
        <v>0</v>
      </c>
      <c r="N385" s="408">
        <v>162.83000000000001</v>
      </c>
      <c r="O385" s="408">
        <v>65.132000000000005</v>
      </c>
      <c r="P385" s="408">
        <v>162.83000000000001</v>
      </c>
      <c r="Q385" s="408">
        <v>65.132000000000005</v>
      </c>
      <c r="R385" s="408"/>
      <c r="S385" s="408">
        <v>571.87</v>
      </c>
      <c r="T385" s="408">
        <v>216.76</v>
      </c>
      <c r="U385" s="408"/>
      <c r="V385" s="408">
        <v>128412.62290000002</v>
      </c>
      <c r="W385" s="408">
        <v>128412.62290000002</v>
      </c>
      <c r="X385" s="408">
        <v>83696.248300000007</v>
      </c>
      <c r="Y385" s="408">
        <v>0</v>
      </c>
      <c r="Z385" s="408">
        <v>9869.2267732809196</v>
      </c>
      <c r="AA385" s="408">
        <v>0</v>
      </c>
      <c r="AB385" s="408">
        <v>0</v>
      </c>
      <c r="AC385" s="408">
        <v>0</v>
      </c>
      <c r="AD385" s="408">
        <v>133.83220769090914</v>
      </c>
      <c r="AE385" s="408">
        <v>69428.052788561807</v>
      </c>
      <c r="AF385" s="408">
        <v>34780.732379112655</v>
      </c>
      <c r="AG385" s="408">
        <v>514.12021323653778</v>
      </c>
      <c r="AH385" s="408">
        <v>0</v>
      </c>
      <c r="AI385" s="408">
        <v>0</v>
      </c>
      <c r="AJ385" s="408">
        <v>0</v>
      </c>
      <c r="AK385" s="408">
        <v>0</v>
      </c>
      <c r="AL385" s="408">
        <v>1526.3087686249157</v>
      </c>
      <c r="AM385" s="408"/>
      <c r="AN385" s="408">
        <v>312.38439782873985</v>
      </c>
      <c r="AO385" s="408">
        <v>1446.2068444864153</v>
      </c>
      <c r="AP385" s="408">
        <v>4531.0875258700116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96.895186530946745</v>
      </c>
      <c r="BE385" s="408">
        <v>0</v>
      </c>
      <c r="BF385" s="408">
        <v>0</v>
      </c>
      <c r="BG385" s="408">
        <v>5773.6648066712205</v>
      </c>
      <c r="BH385" s="408">
        <v>0</v>
      </c>
      <c r="BI385" s="408">
        <v>0</v>
      </c>
      <c r="BJ385" s="408">
        <v>0</v>
      </c>
      <c r="BK385" s="408">
        <v>0</v>
      </c>
      <c r="BL385" s="408">
        <v>0</v>
      </c>
      <c r="BM385" s="408"/>
      <c r="BN385" s="408"/>
      <c r="BO385" s="408"/>
      <c r="BP385" s="408"/>
      <c r="BQ385" s="408"/>
      <c r="BR385" s="408"/>
      <c r="BS385" s="408">
        <v>54235.09074</v>
      </c>
      <c r="BT385" s="408"/>
      <c r="BU385" s="408"/>
      <c r="BV385" s="408">
        <v>40651.292372314827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29460.252899999999</v>
      </c>
      <c r="CJ385" s="408">
        <v>-15741.385100000014</v>
      </c>
      <c r="CK385" s="408"/>
      <c r="CL385" s="408"/>
      <c r="CM385" s="408"/>
      <c r="CN385" s="408"/>
      <c r="CO385" s="408">
        <v>-50029.517500000002</v>
      </c>
      <c r="CP385" s="408">
        <v>5313.1428999999998</v>
      </c>
      <c r="CQ385" s="408">
        <v>29</v>
      </c>
      <c r="CR385" s="408">
        <v>6293.4293009863832</v>
      </c>
      <c r="CS385" s="408">
        <v>149.17844028178729</v>
      </c>
      <c r="CT385" s="408">
        <v>467.38858446599625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13.08545206041444</v>
      </c>
      <c r="DA385" s="408">
        <v>0</v>
      </c>
      <c r="DB385" s="408">
        <v>0</v>
      </c>
      <c r="DC385" s="408">
        <v>5313.8257314126167</v>
      </c>
      <c r="DD385" s="408">
        <v>0</v>
      </c>
      <c r="DE385" s="408">
        <v>0</v>
      </c>
      <c r="DF385" s="408">
        <v>14.803717467070555</v>
      </c>
      <c r="DG385" s="408">
        <v>882.10473200577508</v>
      </c>
      <c r="DH385" s="408">
        <v>0</v>
      </c>
      <c r="DI385" s="408">
        <v>-471.52397805044166</v>
      </c>
      <c r="DJ385" s="408"/>
      <c r="DK385" s="408">
        <v>0</v>
      </c>
      <c r="DL385" s="408">
        <v>0</v>
      </c>
      <c r="DM385" s="408">
        <v>0</v>
      </c>
      <c r="DN385" s="408">
        <v>0</v>
      </c>
      <c r="DO385" s="408">
        <v>-61.846961005190678</v>
      </c>
      <c r="DP385" s="408">
        <v>-13.586417651632416</v>
      </c>
      <c r="DQ385" s="408">
        <v>0</v>
      </c>
      <c r="DR385" s="408">
        <v>0</v>
      </c>
      <c r="DS385" s="408"/>
      <c r="DT385" s="408"/>
      <c r="DU385" s="408"/>
      <c r="DV385" s="408">
        <v>69428.052788561807</v>
      </c>
      <c r="DW385" s="408">
        <v>0</v>
      </c>
      <c r="DX385" s="408">
        <v>0</v>
      </c>
      <c r="DY385" s="408">
        <v>-50029.517500000002</v>
      </c>
      <c r="DZ385" s="234">
        <v>5313.1428999999989</v>
      </c>
      <c r="EA385" s="408">
        <v>0</v>
      </c>
      <c r="EB385" s="408">
        <v>0</v>
      </c>
      <c r="EC385" s="408">
        <v>-51009.471988568417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0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242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384</v>
      </c>
      <c r="B386" s="408" t="s">
        <v>2234</v>
      </c>
      <c r="C386" s="408" t="s">
        <v>2231</v>
      </c>
      <c r="D386" s="408" t="s">
        <v>2241</v>
      </c>
      <c r="E386" s="408" t="s">
        <v>974</v>
      </c>
      <c r="F386" s="408" t="s">
        <v>2248</v>
      </c>
      <c r="G386" s="408" t="s">
        <v>2250</v>
      </c>
      <c r="H386" s="408" t="s">
        <v>1322</v>
      </c>
      <c r="I386" s="408" t="s">
        <v>1322</v>
      </c>
      <c r="J386" s="408" t="s">
        <v>2232</v>
      </c>
      <c r="K386" s="828">
        <v>44593</v>
      </c>
      <c r="L386" s="408">
        <v>0</v>
      </c>
      <c r="M386" s="408">
        <v>0</v>
      </c>
      <c r="N386" s="408">
        <v>1.5960000000000001</v>
      </c>
      <c r="O386" s="408">
        <v>0.63839999999999997</v>
      </c>
      <c r="P386" s="408">
        <v>1.5960000000000001</v>
      </c>
      <c r="Q386" s="408">
        <v>0.63839999999999997</v>
      </c>
      <c r="R386" s="408"/>
      <c r="S386" s="408">
        <v>571.87</v>
      </c>
      <c r="T386" s="408">
        <v>216.76</v>
      </c>
      <c r="U386" s="408"/>
      <c r="V386" s="408">
        <v>1258.6534799999999</v>
      </c>
      <c r="W386" s="408">
        <v>1258.6534799999999</v>
      </c>
      <c r="X386" s="408">
        <v>820.35996</v>
      </c>
      <c r="Y386" s="408">
        <v>0</v>
      </c>
      <c r="Z386" s="408">
        <v>96.734544802286734</v>
      </c>
      <c r="AA386" s="408">
        <v>0</v>
      </c>
      <c r="AB386" s="408">
        <v>0</v>
      </c>
      <c r="AC386" s="408">
        <v>0</v>
      </c>
      <c r="AD386" s="408">
        <v>1.3117742644149788</v>
      </c>
      <c r="AE386" s="408">
        <v>680.508335383803</v>
      </c>
      <c r="AF386" s="408">
        <v>340.90799531452308</v>
      </c>
      <c r="AG386" s="408">
        <v>5.0392179593779671</v>
      </c>
      <c r="AH386" s="408">
        <v>0</v>
      </c>
      <c r="AI386" s="408">
        <v>0</v>
      </c>
      <c r="AJ386" s="408">
        <v>0</v>
      </c>
      <c r="AK386" s="408">
        <v>0</v>
      </c>
      <c r="AL386" s="408">
        <v>14.960319319077353</v>
      </c>
      <c r="AM386" s="408"/>
      <c r="AN386" s="408">
        <v>3.0618774116235876</v>
      </c>
      <c r="AO386" s="408">
        <v>14.175189607568132</v>
      </c>
      <c r="AP386" s="408">
        <v>44.412059763486695</v>
      </c>
      <c r="AQ386" s="408">
        <v>0</v>
      </c>
      <c r="AR386" s="408">
        <v>0</v>
      </c>
      <c r="AS386" s="408">
        <v>0</v>
      </c>
      <c r="AT386" s="408">
        <v>0</v>
      </c>
      <c r="AU386" s="408">
        <v>0</v>
      </c>
      <c r="AV386" s="408">
        <v>0</v>
      </c>
      <c r="AW386" s="408">
        <v>0</v>
      </c>
      <c r="AX386" s="408">
        <v>0</v>
      </c>
      <c r="AY386" s="408">
        <v>0</v>
      </c>
      <c r="AZ386" s="408">
        <v>0</v>
      </c>
      <c r="BA386" s="408"/>
      <c r="BB386" s="408">
        <v>0</v>
      </c>
      <c r="BC386" s="408">
        <v>0</v>
      </c>
      <c r="BD386" s="408">
        <v>0.94973111652269848</v>
      </c>
      <c r="BE386" s="408">
        <v>0</v>
      </c>
      <c r="BF386" s="408">
        <v>0</v>
      </c>
      <c r="BG386" s="408">
        <v>56.591346996544054</v>
      </c>
      <c r="BH386" s="408">
        <v>0</v>
      </c>
      <c r="BI386" s="408">
        <v>0</v>
      </c>
      <c r="BJ386" s="408">
        <v>0</v>
      </c>
      <c r="BK386" s="408">
        <v>0</v>
      </c>
      <c r="BL386" s="408">
        <v>0</v>
      </c>
      <c r="BM386" s="408"/>
      <c r="BN386" s="408"/>
      <c r="BO386" s="408"/>
      <c r="BP386" s="408"/>
      <c r="BQ386" s="408"/>
      <c r="BR386" s="408"/>
      <c r="BS386" s="408">
        <v>531.592488</v>
      </c>
      <c r="BT386" s="408"/>
      <c r="BU386" s="408"/>
      <c r="BV386" s="408">
        <v>398.44907342758984</v>
      </c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>
        <v>289.49120000000005</v>
      </c>
      <c r="CJ386" s="408">
        <v>-153.58839999999987</v>
      </c>
      <c r="CK386" s="408"/>
      <c r="CL386" s="408"/>
      <c r="CM386" s="408"/>
      <c r="CN386" s="408"/>
      <c r="CO386" s="408">
        <v>-490.37100000000004</v>
      </c>
      <c r="CP386" s="408">
        <v>52.077479999999994</v>
      </c>
      <c r="CQ386" s="408">
        <v>29</v>
      </c>
      <c r="CR386" s="408">
        <v>61.685888131021784</v>
      </c>
      <c r="CS386" s="408">
        <v>1.4621924134970961</v>
      </c>
      <c r="CT386" s="408">
        <v>4.5811716563761635</v>
      </c>
      <c r="CU386" s="408">
        <v>0</v>
      </c>
      <c r="CV386" s="408">
        <v>0</v>
      </c>
      <c r="CW386" s="408">
        <v>0</v>
      </c>
      <c r="CX386" s="408">
        <v>0</v>
      </c>
      <c r="CY386" s="408">
        <v>0</v>
      </c>
      <c r="CZ386" s="408">
        <v>0.12825880665983824</v>
      </c>
      <c r="DA386" s="408">
        <v>0</v>
      </c>
      <c r="DB386" s="408">
        <v>0</v>
      </c>
      <c r="DC386" s="408">
        <v>52.084172863320873</v>
      </c>
      <c r="DD386" s="408">
        <v>0</v>
      </c>
      <c r="DE386" s="408">
        <v>0</v>
      </c>
      <c r="DF386" s="408">
        <v>0.14510061461306045</v>
      </c>
      <c r="DG386" s="408">
        <v>8.6460673848874094</v>
      </c>
      <c r="DH386" s="408">
        <v>0</v>
      </c>
      <c r="DI386" s="408">
        <v>-4.6217052691058598</v>
      </c>
      <c r="DJ386" s="408"/>
      <c r="DK386" s="408">
        <v>0</v>
      </c>
      <c r="DL386" s="408">
        <v>0</v>
      </c>
      <c r="DM386" s="408">
        <v>0</v>
      </c>
      <c r="DN386" s="408">
        <v>0</v>
      </c>
      <c r="DO386" s="408">
        <v>-0.60620125139276659</v>
      </c>
      <c r="DP386" s="408">
        <v>-0.13316908783396997</v>
      </c>
      <c r="DQ386" s="408">
        <v>0</v>
      </c>
      <c r="DR386" s="408">
        <v>0</v>
      </c>
      <c r="DS386" s="408"/>
      <c r="DT386" s="408"/>
      <c r="DU386" s="408"/>
      <c r="DV386" s="408">
        <v>680.508335383803</v>
      </c>
      <c r="DW386" s="408">
        <v>0</v>
      </c>
      <c r="DX386" s="408">
        <v>0</v>
      </c>
      <c r="DY386" s="408">
        <v>-490.37099999999998</v>
      </c>
      <c r="DZ386" s="234">
        <v>52.07747999999998</v>
      </c>
      <c r="EA386" s="408">
        <v>0</v>
      </c>
      <c r="EB386" s="408">
        <v>0</v>
      </c>
      <c r="EC386" s="408">
        <v>-499.97615484711173</v>
      </c>
      <c r="ED386" s="408">
        <v>0</v>
      </c>
      <c r="EE386" s="408">
        <v>0</v>
      </c>
      <c r="EF386" s="408">
        <v>0</v>
      </c>
      <c r="EG386" s="408">
        <v>0</v>
      </c>
      <c r="EH386" s="408">
        <v>0</v>
      </c>
      <c r="EI386" s="408">
        <v>0</v>
      </c>
      <c r="EJ386" s="408">
        <v>0</v>
      </c>
      <c r="EK386" s="408">
        <v>0</v>
      </c>
      <c r="EL386" s="408">
        <v>0</v>
      </c>
      <c r="EM386" s="408">
        <v>0</v>
      </c>
      <c r="EN386" s="408">
        <v>0</v>
      </c>
      <c r="EO386" s="408">
        <v>0</v>
      </c>
      <c r="EP386" s="408">
        <v>0</v>
      </c>
      <c r="EQ386" s="408">
        <v>0</v>
      </c>
      <c r="ER386" s="408">
        <v>0</v>
      </c>
      <c r="ES386" s="408">
        <v>0</v>
      </c>
      <c r="ET386" s="408">
        <v>0</v>
      </c>
      <c r="EU386" s="408">
        <v>0</v>
      </c>
      <c r="EV386" s="408">
        <v>242</v>
      </c>
      <c r="EW386" s="408">
        <v>0</v>
      </c>
      <c r="EX386" s="408">
        <v>0</v>
      </c>
      <c r="EY386" s="408">
        <v>0</v>
      </c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385</v>
      </c>
      <c r="B387" s="408" t="s">
        <v>1036</v>
      </c>
      <c r="C387" s="408" t="s">
        <v>2239</v>
      </c>
      <c r="D387" s="408" t="s">
        <v>597</v>
      </c>
      <c r="E387" s="408" t="s">
        <v>974</v>
      </c>
      <c r="F387" s="408" t="s">
        <v>2248</v>
      </c>
      <c r="G387" s="408" t="s">
        <v>1322</v>
      </c>
      <c r="H387" s="408" t="s">
        <v>1322</v>
      </c>
      <c r="I387" s="408" t="s">
        <v>973</v>
      </c>
      <c r="J387" s="408" t="s">
        <v>2232</v>
      </c>
      <c r="K387" s="828">
        <v>44593</v>
      </c>
      <c r="L387" s="408">
        <v>0</v>
      </c>
      <c r="M387" s="408">
        <v>0</v>
      </c>
      <c r="N387" s="408">
        <v>1.3220000000000001</v>
      </c>
      <c r="O387" s="408">
        <v>1.26912</v>
      </c>
      <c r="P387" s="408">
        <v>1.3220000000000001</v>
      </c>
      <c r="Q387" s="408">
        <v>1.26912</v>
      </c>
      <c r="R387" s="408"/>
      <c r="S387" s="408">
        <v>2592.54</v>
      </c>
      <c r="T387" s="408">
        <v>216.76</v>
      </c>
      <c r="U387" s="408"/>
      <c r="V387" s="408">
        <v>3713.8946000000001</v>
      </c>
      <c r="W387" s="408">
        <v>3713.8946000000001</v>
      </c>
      <c r="X387" s="408">
        <v>1561.5464000000002</v>
      </c>
      <c r="Y387" s="408">
        <v>0</v>
      </c>
      <c r="Z387" s="408">
        <v>69.710695087031382</v>
      </c>
      <c r="AA387" s="408">
        <v>0</v>
      </c>
      <c r="AB387" s="408">
        <v>0</v>
      </c>
      <c r="AC387" s="408">
        <v>0</v>
      </c>
      <c r="AD387" s="408">
        <v>6.6848717437421916</v>
      </c>
      <c r="AE387" s="408">
        <v>3028.558568835083</v>
      </c>
      <c r="AF387" s="408">
        <v>282.38118408884679</v>
      </c>
      <c r="AG387" s="408">
        <v>4.1740890615900206</v>
      </c>
      <c r="AH387" s="408">
        <v>0</v>
      </c>
      <c r="AI387" s="408">
        <v>0</v>
      </c>
      <c r="AJ387" s="408">
        <v>0</v>
      </c>
      <c r="AK387" s="408">
        <v>0</v>
      </c>
      <c r="AL387" s="408">
        <v>12.391943696629236</v>
      </c>
      <c r="AM387" s="408"/>
      <c r="AN387" s="408">
        <v>1.815399743774917</v>
      </c>
      <c r="AO387" s="408">
        <v>59.641860176980707</v>
      </c>
      <c r="AP387" s="408">
        <v>226.32738981361189</v>
      </c>
      <c r="AQ387" s="408">
        <v>0</v>
      </c>
      <c r="AR387" s="408">
        <v>0</v>
      </c>
      <c r="AS387" s="408">
        <v>0</v>
      </c>
      <c r="AT387" s="408">
        <v>0</v>
      </c>
      <c r="AU387" s="408">
        <v>0</v>
      </c>
      <c r="AV387" s="408">
        <v>0</v>
      </c>
      <c r="AW387" s="408">
        <v>0</v>
      </c>
      <c r="AX387" s="408">
        <v>0</v>
      </c>
      <c r="AY387" s="408">
        <v>0</v>
      </c>
      <c r="AZ387" s="408">
        <v>0</v>
      </c>
      <c r="BA387" s="408"/>
      <c r="BB387" s="408">
        <v>0</v>
      </c>
      <c r="BC387" s="408">
        <v>0</v>
      </c>
      <c r="BD387" s="408">
        <v>0.60454887935745194</v>
      </c>
      <c r="BE387" s="408">
        <v>0</v>
      </c>
      <c r="BF387" s="408">
        <v>0</v>
      </c>
      <c r="BG387" s="408">
        <v>21.596399325366711</v>
      </c>
      <c r="BH387" s="408">
        <v>0</v>
      </c>
      <c r="BI387" s="408">
        <v>0</v>
      </c>
      <c r="BJ387" s="408">
        <v>0</v>
      </c>
      <c r="BK387" s="408">
        <v>0</v>
      </c>
      <c r="BL387" s="408">
        <v>0</v>
      </c>
      <c r="BM387" s="408"/>
      <c r="BN387" s="408"/>
      <c r="BO387" s="408"/>
      <c r="BP387" s="408"/>
      <c r="BQ387" s="408"/>
      <c r="BR387" s="408">
        <v>62.46185600000004</v>
      </c>
      <c r="BS387" s="408"/>
      <c r="BT387" s="408"/>
      <c r="BU387" s="408"/>
      <c r="BV387" s="408">
        <v>304.58213229357091</v>
      </c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>
        <v>1500.124</v>
      </c>
      <c r="CJ387" s="408">
        <v>-2065.2448160000004</v>
      </c>
      <c r="CK387" s="408"/>
      <c r="CL387" s="408"/>
      <c r="CM387" s="408"/>
      <c r="CN387" s="408"/>
      <c r="CO387" s="408">
        <v>-2195.48506</v>
      </c>
      <c r="CP387" s="408">
        <v>43.136859999999999</v>
      </c>
      <c r="CQ387" s="408">
        <v>29</v>
      </c>
      <c r="CR387" s="408">
        <v>72.774391554975182</v>
      </c>
      <c r="CS387" s="408">
        <v>6.1521487819164591</v>
      </c>
      <c r="CT387" s="408">
        <v>23.346015221931083</v>
      </c>
      <c r="CU387" s="408">
        <v>0</v>
      </c>
      <c r="CV387" s="408">
        <v>0</v>
      </c>
      <c r="CW387" s="408">
        <v>0</v>
      </c>
      <c r="CX387" s="408">
        <v>0</v>
      </c>
      <c r="CY387" s="408">
        <v>0</v>
      </c>
      <c r="CZ387" s="408">
        <v>0.65361373201572093</v>
      </c>
      <c r="DA387" s="408">
        <v>0</v>
      </c>
      <c r="DB387" s="408">
        <v>0</v>
      </c>
      <c r="DC387" s="408">
        <v>43.142403837913662</v>
      </c>
      <c r="DD387" s="408">
        <v>0</v>
      </c>
      <c r="DE387" s="408">
        <v>0</v>
      </c>
      <c r="DF387" s="408">
        <v>9.2363419953617076E-2</v>
      </c>
      <c r="DG387" s="408">
        <v>3.2995136844765476</v>
      </c>
      <c r="DH387" s="408">
        <v>0</v>
      </c>
      <c r="DI387" s="408">
        <v>-3.3305815151687312</v>
      </c>
      <c r="DJ387" s="408"/>
      <c r="DK387" s="408">
        <v>0</v>
      </c>
      <c r="DL387" s="408">
        <v>0</v>
      </c>
      <c r="DM387" s="408">
        <v>0</v>
      </c>
      <c r="DN387" s="408">
        <v>0</v>
      </c>
      <c r="DO387" s="408">
        <v>-0.50212910673009858</v>
      </c>
      <c r="DP387" s="408">
        <v>-7.8956501333061757E-2</v>
      </c>
      <c r="DQ387" s="408">
        <v>0</v>
      </c>
      <c r="DR387" s="408">
        <v>0</v>
      </c>
      <c r="DS387" s="408"/>
      <c r="DT387" s="408"/>
      <c r="DU387" s="408"/>
      <c r="DV387" s="408">
        <v>3028.558568835083</v>
      </c>
      <c r="DW387" s="408">
        <v>0</v>
      </c>
      <c r="DX387" s="408">
        <v>0</v>
      </c>
      <c r="DY387" s="408">
        <v>-2195.48506</v>
      </c>
      <c r="DZ387" s="234">
        <v>43.136860000000013</v>
      </c>
      <c r="EA387" s="408">
        <v>0</v>
      </c>
      <c r="EB387" s="408">
        <v>0</v>
      </c>
      <c r="EC387" s="408">
        <v>-2225.1117131745823</v>
      </c>
      <c r="ED387" s="408">
        <v>0</v>
      </c>
      <c r="EE387" s="408">
        <v>0</v>
      </c>
      <c r="EF387" s="408">
        <v>0</v>
      </c>
      <c r="EG387" s="408">
        <v>0</v>
      </c>
      <c r="EH387" s="408">
        <v>0</v>
      </c>
      <c r="EI387" s="408">
        <v>0</v>
      </c>
      <c r="EJ387" s="408">
        <v>0</v>
      </c>
      <c r="EK387" s="408">
        <v>0</v>
      </c>
      <c r="EL387" s="408">
        <v>0</v>
      </c>
      <c r="EM387" s="408">
        <v>0</v>
      </c>
      <c r="EN387" s="408">
        <v>0</v>
      </c>
      <c r="EO387" s="408">
        <v>0</v>
      </c>
      <c r="EP387" s="408">
        <v>0</v>
      </c>
      <c r="EQ387" s="408">
        <v>0</v>
      </c>
      <c r="ER387" s="408">
        <v>0</v>
      </c>
      <c r="ES387" s="408">
        <v>0</v>
      </c>
      <c r="ET387" s="408">
        <v>0</v>
      </c>
      <c r="EU387" s="408">
        <v>0</v>
      </c>
      <c r="EV387" s="408">
        <v>242</v>
      </c>
      <c r="EW387" s="408">
        <v>0</v>
      </c>
      <c r="EX387" s="408">
        <v>0</v>
      </c>
      <c r="EY387" s="408">
        <v>0</v>
      </c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386</v>
      </c>
      <c r="B388" s="408" t="s">
        <v>1036</v>
      </c>
      <c r="C388" s="408" t="s">
        <v>2239</v>
      </c>
      <c r="D388" s="408" t="s">
        <v>597</v>
      </c>
      <c r="E388" s="408" t="s">
        <v>974</v>
      </c>
      <c r="F388" s="408" t="s">
        <v>2248</v>
      </c>
      <c r="G388" s="408" t="s">
        <v>1322</v>
      </c>
      <c r="H388" s="408" t="s">
        <v>1322</v>
      </c>
      <c r="I388" s="408" t="s">
        <v>2240</v>
      </c>
      <c r="J388" s="408" t="s">
        <v>2232</v>
      </c>
      <c r="K388" s="828">
        <v>44593</v>
      </c>
      <c r="L388" s="408">
        <v>0</v>
      </c>
      <c r="M388" s="408">
        <v>0</v>
      </c>
      <c r="N388" s="408">
        <v>116.24</v>
      </c>
      <c r="O388" s="408">
        <v>111.5904</v>
      </c>
      <c r="P388" s="408">
        <v>116.24</v>
      </c>
      <c r="Q388" s="408">
        <v>111.5904</v>
      </c>
      <c r="R388" s="408"/>
      <c r="S388" s="408">
        <v>80.27</v>
      </c>
      <c r="T388" s="408">
        <v>216.76</v>
      </c>
      <c r="U388" s="408"/>
      <c r="V388" s="408">
        <v>34526.767199999995</v>
      </c>
      <c r="W388" s="408">
        <v>34526.767199999995</v>
      </c>
      <c r="X388" s="408">
        <v>38274.344799999992</v>
      </c>
      <c r="Y388" s="408">
        <v>0</v>
      </c>
      <c r="Z388" s="408">
        <v>6129.478968923243</v>
      </c>
      <c r="AA388" s="408">
        <v>0</v>
      </c>
      <c r="AB388" s="408">
        <v>0</v>
      </c>
      <c r="AC388" s="408">
        <v>0</v>
      </c>
      <c r="AD388" s="408">
        <v>0</v>
      </c>
      <c r="AE388" s="408">
        <v>0</v>
      </c>
      <c r="AF388" s="408">
        <v>24829.038455739446</v>
      </c>
      <c r="AG388" s="408">
        <v>367.01672656522231</v>
      </c>
      <c r="AH388" s="408">
        <v>0</v>
      </c>
      <c r="AI388" s="408">
        <v>0</v>
      </c>
      <c r="AJ388" s="408">
        <v>0</v>
      </c>
      <c r="AK388" s="408">
        <v>0</v>
      </c>
      <c r="AL388" s="408">
        <v>1089.59117647215</v>
      </c>
      <c r="AM388" s="408"/>
      <c r="AN388" s="408">
        <v>159.62334812132855</v>
      </c>
      <c r="AO388" s="408">
        <v>0</v>
      </c>
      <c r="AP388" s="408">
        <v>0</v>
      </c>
      <c r="AQ388" s="408">
        <v>0</v>
      </c>
      <c r="AR388" s="408">
        <v>0</v>
      </c>
      <c r="AS388" s="408">
        <v>0</v>
      </c>
      <c r="AT388" s="408">
        <v>0</v>
      </c>
      <c r="AU388" s="408">
        <v>0</v>
      </c>
      <c r="AV388" s="408">
        <v>0</v>
      </c>
      <c r="AW388" s="408">
        <v>0</v>
      </c>
      <c r="AX388" s="408">
        <v>0</v>
      </c>
      <c r="AY388" s="408">
        <v>0</v>
      </c>
      <c r="AZ388" s="408">
        <v>0</v>
      </c>
      <c r="BA388" s="408"/>
      <c r="BB388" s="408">
        <v>0</v>
      </c>
      <c r="BC388" s="408">
        <v>0</v>
      </c>
      <c r="BD388" s="408">
        <v>53.156400708404085</v>
      </c>
      <c r="BE388" s="408">
        <v>0</v>
      </c>
      <c r="BF388" s="408">
        <v>0</v>
      </c>
      <c r="BG388" s="408">
        <v>1898.9148695768731</v>
      </c>
      <c r="BH388" s="408">
        <v>0</v>
      </c>
      <c r="BI388" s="408">
        <v>0</v>
      </c>
      <c r="BJ388" s="408">
        <v>0</v>
      </c>
      <c r="BK388" s="408">
        <v>0</v>
      </c>
      <c r="BL388" s="408">
        <v>0</v>
      </c>
      <c r="BM388" s="408"/>
      <c r="BN388" s="408"/>
      <c r="BO388" s="408"/>
      <c r="BP388" s="408"/>
      <c r="BQ388" s="408"/>
      <c r="BR388" s="408">
        <v>1530.9737919999975</v>
      </c>
      <c r="BS388" s="408"/>
      <c r="BT388" s="408"/>
      <c r="BU388" s="408"/>
      <c r="BV388" s="408">
        <v>26781.109726024726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36743.239300000001</v>
      </c>
      <c r="CJ388" s="408">
        <v>3597.512788</v>
      </c>
      <c r="CK388" s="408"/>
      <c r="CL388" s="408"/>
      <c r="CM388" s="408"/>
      <c r="CN388" s="408"/>
      <c r="CO388" s="408">
        <v>-45.333600000000061</v>
      </c>
      <c r="CP388" s="408">
        <v>3792.9111999999991</v>
      </c>
      <c r="CQ388" s="408">
        <v>29</v>
      </c>
      <c r="CR388" s="408">
        <v>3747.6948792235708</v>
      </c>
      <c r="CS388" s="408">
        <v>0</v>
      </c>
      <c r="CT388" s="408">
        <v>0</v>
      </c>
      <c r="CU388" s="408">
        <v>0</v>
      </c>
      <c r="CV388" s="408">
        <v>0</v>
      </c>
      <c r="CW388" s="408">
        <v>0</v>
      </c>
      <c r="CX388" s="408">
        <v>0</v>
      </c>
      <c r="CY388" s="408">
        <v>0</v>
      </c>
      <c r="CZ388" s="408">
        <v>0</v>
      </c>
      <c r="DA388" s="408">
        <v>0</v>
      </c>
      <c r="DB388" s="408">
        <v>0</v>
      </c>
      <c r="DC388" s="408">
        <v>3793.3986551581584</v>
      </c>
      <c r="DD388" s="408">
        <v>0</v>
      </c>
      <c r="DE388" s="408">
        <v>0</v>
      </c>
      <c r="DF388" s="408">
        <v>8.1212737786750751</v>
      </c>
      <c r="DG388" s="408">
        <v>290.11760263506312</v>
      </c>
      <c r="DH388" s="408">
        <v>0</v>
      </c>
      <c r="DI388" s="408">
        <v>-292.84931567565309</v>
      </c>
      <c r="DJ388" s="408"/>
      <c r="DK388" s="408">
        <v>0</v>
      </c>
      <c r="DL388" s="408">
        <v>0</v>
      </c>
      <c r="DM388" s="408">
        <v>0</v>
      </c>
      <c r="DN388" s="408">
        <v>0</v>
      </c>
      <c r="DO388" s="408">
        <v>-44.150898159082089</v>
      </c>
      <c r="DP388" s="408">
        <v>-6.9424385135817772</v>
      </c>
      <c r="DQ388" s="408">
        <v>0</v>
      </c>
      <c r="DR388" s="408">
        <v>0</v>
      </c>
      <c r="DS388" s="408"/>
      <c r="DT388" s="408"/>
      <c r="DU388" s="408"/>
      <c r="DV388" s="408">
        <v>0</v>
      </c>
      <c r="DW388" s="408">
        <v>0</v>
      </c>
      <c r="DX388" s="408">
        <v>0</v>
      </c>
      <c r="DY388" s="408">
        <v>-45.333599999999933</v>
      </c>
      <c r="DZ388" s="234">
        <v>3792.9111999999986</v>
      </c>
      <c r="EA388" s="408">
        <v>0</v>
      </c>
      <c r="EB388" s="408">
        <v>0</v>
      </c>
      <c r="EC388" s="408">
        <v>0</v>
      </c>
      <c r="ED388" s="408">
        <v>0</v>
      </c>
      <c r="EE388" s="408">
        <v>0</v>
      </c>
      <c r="EF388" s="408">
        <v>0</v>
      </c>
      <c r="EG388" s="408">
        <v>0</v>
      </c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>
        <v>0</v>
      </c>
      <c r="EN388" s="408">
        <v>0</v>
      </c>
      <c r="EO388" s="408">
        <v>0</v>
      </c>
      <c r="EP388" s="408">
        <v>0</v>
      </c>
      <c r="EQ388" s="408">
        <v>0</v>
      </c>
      <c r="ER388" s="408">
        <v>0</v>
      </c>
      <c r="ES388" s="408">
        <v>0</v>
      </c>
      <c r="ET388" s="408">
        <v>0</v>
      </c>
      <c r="EU388" s="408">
        <v>0</v>
      </c>
      <c r="EV388" s="408">
        <v>242</v>
      </c>
      <c r="EW388" s="408">
        <v>0</v>
      </c>
      <c r="EX388" s="408">
        <v>0</v>
      </c>
      <c r="EY388" s="408">
        <v>0</v>
      </c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387</v>
      </c>
      <c r="B389" s="408" t="s">
        <v>1036</v>
      </c>
      <c r="C389" s="408" t="s">
        <v>2239</v>
      </c>
      <c r="D389" s="408" t="s">
        <v>597</v>
      </c>
      <c r="E389" s="408" t="s">
        <v>974</v>
      </c>
      <c r="F389" s="408" t="s">
        <v>2248</v>
      </c>
      <c r="G389" s="408" t="s">
        <v>1322</v>
      </c>
      <c r="H389" s="408" t="s">
        <v>1322</v>
      </c>
      <c r="I389" s="408" t="s">
        <v>1322</v>
      </c>
      <c r="J389" s="408" t="s">
        <v>2232</v>
      </c>
      <c r="K389" s="828">
        <v>44593</v>
      </c>
      <c r="L389" s="408">
        <v>2409</v>
      </c>
      <c r="M389" s="408">
        <v>2312.64</v>
      </c>
      <c r="N389" s="408">
        <v>0</v>
      </c>
      <c r="O389" s="408">
        <v>0</v>
      </c>
      <c r="P389" s="408">
        <v>0</v>
      </c>
      <c r="Q389" s="408">
        <v>0</v>
      </c>
      <c r="R389" s="408">
        <v>32.17</v>
      </c>
      <c r="S389" s="408"/>
      <c r="T389" s="408"/>
      <c r="U389" s="408">
        <v>77497.53</v>
      </c>
      <c r="V389" s="408"/>
      <c r="W389" s="408">
        <v>77497.53</v>
      </c>
      <c r="X389" s="408">
        <v>31148.37</v>
      </c>
      <c r="Y389" s="408">
        <v>0</v>
      </c>
      <c r="Z389" s="408">
        <v>0</v>
      </c>
      <c r="AA389" s="408">
        <v>0</v>
      </c>
      <c r="AB389" s="408">
        <v>0</v>
      </c>
      <c r="AC389" s="408">
        <v>0</v>
      </c>
      <c r="AD389" s="408">
        <v>240.69818634124246</v>
      </c>
      <c r="AE389" s="408">
        <v>64866.505647239639</v>
      </c>
      <c r="AF389" s="408"/>
      <c r="AG389" s="408"/>
      <c r="AH389" s="408"/>
      <c r="AI389" s="408">
        <v>0</v>
      </c>
      <c r="AJ389" s="408">
        <v>0</v>
      </c>
      <c r="AK389" s="408">
        <v>0</v>
      </c>
      <c r="AL389" s="408">
        <v>0</v>
      </c>
      <c r="AM389" s="408"/>
      <c r="AN389" s="408">
        <v>0</v>
      </c>
      <c r="AO389" s="408">
        <v>4250.4904453506761</v>
      </c>
      <c r="AP389" s="408">
        <v>8149.3221835586437</v>
      </c>
      <c r="AQ389" s="408">
        <v>0</v>
      </c>
      <c r="AR389" s="408">
        <v>0</v>
      </c>
      <c r="AS389" s="408"/>
      <c r="AT389" s="408"/>
      <c r="AU389" s="408">
        <v>0</v>
      </c>
      <c r="AV389" s="408">
        <v>0</v>
      </c>
      <c r="AW389" s="408">
        <v>0</v>
      </c>
      <c r="AX389" s="408"/>
      <c r="AY389" s="408"/>
      <c r="AZ389" s="408">
        <v>0</v>
      </c>
      <c r="BA389" s="408"/>
      <c r="BB389" s="408">
        <v>0</v>
      </c>
      <c r="BC389" s="408">
        <v>0</v>
      </c>
      <c r="BD389" s="408">
        <v>0</v>
      </c>
      <c r="BE389" s="408">
        <v>0</v>
      </c>
      <c r="BF389" s="408"/>
      <c r="BG389" s="408">
        <v>0</v>
      </c>
      <c r="BH389" s="408">
        <v>0</v>
      </c>
      <c r="BI389" s="408">
        <v>279.73</v>
      </c>
      <c r="BJ389" s="408">
        <v>1291.49</v>
      </c>
      <c r="BK389" s="408">
        <v>74.83</v>
      </c>
      <c r="BL389" s="408">
        <v>13</v>
      </c>
      <c r="BM389" s="408"/>
      <c r="BN389" s="408"/>
      <c r="BO389" s="408"/>
      <c r="BP389" s="408"/>
      <c r="BQ389" s="408"/>
      <c r="BR389" s="408">
        <v>1245.9348000000016</v>
      </c>
      <c r="BS389" s="408"/>
      <c r="BT389" s="408"/>
      <c r="BU389" s="408"/>
      <c r="BV389" s="408">
        <v>0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29902.435199999996</v>
      </c>
      <c r="CJ389" s="408">
        <v>-44495.223599999998</v>
      </c>
      <c r="CK389" s="408"/>
      <c r="CL389" s="408"/>
      <c r="CM389" s="408"/>
      <c r="CN389" s="408"/>
      <c r="CO389" s="408">
        <v>-46349.16</v>
      </c>
      <c r="CP389" s="408">
        <v>0</v>
      </c>
      <c r="CQ389" s="408">
        <v>29</v>
      </c>
      <c r="CR389" s="408">
        <v>1302.5938516362075</v>
      </c>
      <c r="CS389" s="408">
        <v>438.444567931253</v>
      </c>
      <c r="CT389" s="408">
        <v>840.61500423112648</v>
      </c>
      <c r="CU389" s="408">
        <v>0</v>
      </c>
      <c r="CV389" s="408">
        <v>0</v>
      </c>
      <c r="CW389" s="408"/>
      <c r="CX389" s="408"/>
      <c r="CY389" s="408"/>
      <c r="CZ389" s="408">
        <v>23.534279473827297</v>
      </c>
      <c r="DA389" s="408">
        <v>0</v>
      </c>
      <c r="DB389" s="408">
        <v>0</v>
      </c>
      <c r="DC389" s="408"/>
      <c r="DD389" s="408"/>
      <c r="DE389" s="408">
        <v>0</v>
      </c>
      <c r="DF389" s="408">
        <v>0</v>
      </c>
      <c r="DG389" s="408">
        <v>0</v>
      </c>
      <c r="DH389" s="408">
        <v>0</v>
      </c>
      <c r="DI389" s="408">
        <v>0</v>
      </c>
      <c r="DJ389" s="408"/>
      <c r="DK389" s="408">
        <v>0</v>
      </c>
      <c r="DL389" s="408">
        <v>0</v>
      </c>
      <c r="DM389" s="408"/>
      <c r="DN389" s="408">
        <v>0</v>
      </c>
      <c r="DO389" s="408">
        <v>0</v>
      </c>
      <c r="DP389" s="408">
        <v>0</v>
      </c>
      <c r="DQ389" s="408">
        <v>0</v>
      </c>
      <c r="DR389" s="408">
        <v>0</v>
      </c>
      <c r="DS389" s="408"/>
      <c r="DT389" s="408"/>
      <c r="DU389" s="408">
        <v>64866.505647239639</v>
      </c>
      <c r="DV389" s="408"/>
      <c r="DW389" s="408">
        <v>0</v>
      </c>
      <c r="DX389" s="408">
        <v>0</v>
      </c>
      <c r="DY389" s="408">
        <v>-46349.16</v>
      </c>
      <c r="DZ389" s="234"/>
      <c r="EA389" s="408">
        <v>0</v>
      </c>
      <c r="EB389" s="408"/>
      <c r="EC389" s="408">
        <v>-47658.05852118475</v>
      </c>
      <c r="ED389" s="408"/>
      <c r="EE389" s="408">
        <v>0</v>
      </c>
      <c r="EF389" s="408">
        <v>0</v>
      </c>
      <c r="EG389" s="408"/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/>
      <c r="EN389" s="408"/>
      <c r="EO389" s="408">
        <v>0</v>
      </c>
      <c r="EP389" s="408">
        <v>0</v>
      </c>
      <c r="EQ389" s="408"/>
      <c r="ER389" s="408">
        <v>0</v>
      </c>
      <c r="ES389" s="408"/>
      <c r="ET389" s="408">
        <v>0</v>
      </c>
      <c r="EU389" s="408"/>
      <c r="EV389" s="408">
        <v>242</v>
      </c>
      <c r="EW389" s="408"/>
      <c r="EX389" s="408"/>
      <c r="EY389" s="408"/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388</v>
      </c>
      <c r="B390" s="408" t="s">
        <v>1036</v>
      </c>
      <c r="C390" s="408" t="s">
        <v>2239</v>
      </c>
      <c r="D390" s="408" t="s">
        <v>597</v>
      </c>
      <c r="E390" s="408" t="s">
        <v>974</v>
      </c>
      <c r="F390" s="408" t="s">
        <v>2248</v>
      </c>
      <c r="G390" s="408" t="s">
        <v>2250</v>
      </c>
      <c r="H390" s="408" t="s">
        <v>1322</v>
      </c>
      <c r="I390" s="408" t="s">
        <v>2240</v>
      </c>
      <c r="J390" s="408" t="s">
        <v>2232</v>
      </c>
      <c r="K390" s="828">
        <v>44593</v>
      </c>
      <c r="L390" s="408">
        <v>0</v>
      </c>
      <c r="M390" s="408">
        <v>0</v>
      </c>
      <c r="N390" s="408">
        <v>140.73699999999999</v>
      </c>
      <c r="O390" s="408">
        <v>42.2211</v>
      </c>
      <c r="P390" s="408">
        <v>140.73699999999999</v>
      </c>
      <c r="Q390" s="408">
        <v>42.2211</v>
      </c>
      <c r="R390" s="408"/>
      <c r="S390" s="408">
        <v>80.27</v>
      </c>
      <c r="T390" s="408">
        <v>216.76</v>
      </c>
      <c r="U390" s="408"/>
      <c r="V390" s="408">
        <v>41803.111109999998</v>
      </c>
      <c r="W390" s="408">
        <v>41803.111109999998</v>
      </c>
      <c r="X390" s="408">
        <v>46340.471989999991</v>
      </c>
      <c r="Y390" s="408">
        <v>0</v>
      </c>
      <c r="Z390" s="408">
        <v>7421.2360775064553</v>
      </c>
      <c r="AA390" s="408">
        <v>0</v>
      </c>
      <c r="AB390" s="408">
        <v>0</v>
      </c>
      <c r="AC390" s="408">
        <v>0</v>
      </c>
      <c r="AD390" s="408">
        <v>0</v>
      </c>
      <c r="AE390" s="408">
        <v>0</v>
      </c>
      <c r="AF390" s="408">
        <v>30061.63442141606</v>
      </c>
      <c r="AG390" s="408">
        <v>444.36367039409578</v>
      </c>
      <c r="AH390" s="408">
        <v>0</v>
      </c>
      <c r="AI390" s="408">
        <v>0</v>
      </c>
      <c r="AJ390" s="408">
        <v>0</v>
      </c>
      <c r="AK390" s="408">
        <v>0</v>
      </c>
      <c r="AL390" s="408">
        <v>1319.2170802061335</v>
      </c>
      <c r="AM390" s="408"/>
      <c r="AN390" s="408">
        <v>193.26317226902455</v>
      </c>
      <c r="AO390" s="408">
        <v>0</v>
      </c>
      <c r="AP390" s="408">
        <v>0</v>
      </c>
      <c r="AQ390" s="408">
        <v>0</v>
      </c>
      <c r="AR390" s="408">
        <v>0</v>
      </c>
      <c r="AS390" s="408">
        <v>0</v>
      </c>
      <c r="AT390" s="408">
        <v>0</v>
      </c>
      <c r="AU390" s="408">
        <v>0</v>
      </c>
      <c r="AV390" s="408">
        <v>0</v>
      </c>
      <c r="AW390" s="408">
        <v>0</v>
      </c>
      <c r="AX390" s="408">
        <v>0</v>
      </c>
      <c r="AY390" s="408">
        <v>0</v>
      </c>
      <c r="AZ390" s="408">
        <v>0</v>
      </c>
      <c r="BA390" s="408"/>
      <c r="BB390" s="408">
        <v>0</v>
      </c>
      <c r="BC390" s="408">
        <v>0</v>
      </c>
      <c r="BD390" s="408">
        <v>64.358846924455136</v>
      </c>
      <c r="BE390" s="408">
        <v>0</v>
      </c>
      <c r="BF390" s="408">
        <v>0</v>
      </c>
      <c r="BG390" s="408">
        <v>2299.1017033692392</v>
      </c>
      <c r="BH390" s="408">
        <v>0</v>
      </c>
      <c r="BI390" s="408">
        <v>0</v>
      </c>
      <c r="BJ390" s="408">
        <v>0</v>
      </c>
      <c r="BK390" s="408">
        <v>0</v>
      </c>
      <c r="BL390" s="408">
        <v>0</v>
      </c>
      <c r="BM390" s="408"/>
      <c r="BN390" s="408"/>
      <c r="BO390" s="408"/>
      <c r="BP390" s="408"/>
      <c r="BQ390" s="408"/>
      <c r="BR390" s="408"/>
      <c r="BS390" s="408">
        <v>32438.330392999997</v>
      </c>
      <c r="BT390" s="408"/>
      <c r="BU390" s="408"/>
      <c r="BV390" s="408">
        <v>32425.094971709757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13901.779399999999</v>
      </c>
      <c r="CJ390" s="408">
        <v>1360.8160669999979</v>
      </c>
      <c r="CK390" s="408"/>
      <c r="CL390" s="408"/>
      <c r="CM390" s="408"/>
      <c r="CN390" s="408"/>
      <c r="CO390" s="408">
        <v>-54.88743000000008</v>
      </c>
      <c r="CP390" s="408">
        <v>4592.248309999999</v>
      </c>
      <c r="CQ390" s="408">
        <v>29</v>
      </c>
      <c r="CR390" s="408">
        <v>4537.5028752347571</v>
      </c>
      <c r="CS390" s="408">
        <v>0</v>
      </c>
      <c r="CT390" s="408">
        <v>0</v>
      </c>
      <c r="CU390" s="408">
        <v>0</v>
      </c>
      <c r="CV390" s="408">
        <v>0</v>
      </c>
      <c r="CW390" s="408">
        <v>0</v>
      </c>
      <c r="CX390" s="408">
        <v>0</v>
      </c>
      <c r="CY390" s="408">
        <v>0</v>
      </c>
      <c r="CZ390" s="408">
        <v>0</v>
      </c>
      <c r="DA390" s="408">
        <v>0</v>
      </c>
      <c r="DB390" s="408">
        <v>0</v>
      </c>
      <c r="DC390" s="408">
        <v>4592.8384939004936</v>
      </c>
      <c r="DD390" s="408">
        <v>0</v>
      </c>
      <c r="DE390" s="408">
        <v>0</v>
      </c>
      <c r="DF390" s="408">
        <v>9.832791705001668</v>
      </c>
      <c r="DG390" s="408">
        <v>351.25843979741012</v>
      </c>
      <c r="DH390" s="408">
        <v>0</v>
      </c>
      <c r="DI390" s="408">
        <v>-354.56584773093891</v>
      </c>
      <c r="DJ390" s="408"/>
      <c r="DK390" s="408">
        <v>0</v>
      </c>
      <c r="DL390" s="408">
        <v>0</v>
      </c>
      <c r="DM390" s="408">
        <v>0</v>
      </c>
      <c r="DN390" s="408">
        <v>0</v>
      </c>
      <c r="DO390" s="408">
        <v>-53.45547964740831</v>
      </c>
      <c r="DP390" s="408">
        <v>-8.4055227897966063</v>
      </c>
      <c r="DQ390" s="408">
        <v>0</v>
      </c>
      <c r="DR390" s="408">
        <v>0</v>
      </c>
      <c r="DS390" s="408"/>
      <c r="DT390" s="408"/>
      <c r="DU390" s="408"/>
      <c r="DV390" s="408">
        <v>0</v>
      </c>
      <c r="DW390" s="408">
        <v>0</v>
      </c>
      <c r="DX390" s="408">
        <v>0</v>
      </c>
      <c r="DY390" s="408">
        <v>-54.887430000000677</v>
      </c>
      <c r="DZ390" s="234">
        <v>4592.2483099999954</v>
      </c>
      <c r="EA390" s="408">
        <v>0</v>
      </c>
      <c r="EB390" s="408">
        <v>0</v>
      </c>
      <c r="EC390" s="408">
        <v>0</v>
      </c>
      <c r="ED390" s="408">
        <v>0</v>
      </c>
      <c r="EE390" s="408">
        <v>0</v>
      </c>
      <c r="EF390" s="408">
        <v>0</v>
      </c>
      <c r="EG390" s="408">
        <v>0</v>
      </c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>
        <v>0</v>
      </c>
      <c r="EN390" s="408">
        <v>0</v>
      </c>
      <c r="EO390" s="408">
        <v>0</v>
      </c>
      <c r="EP390" s="408">
        <v>0</v>
      </c>
      <c r="EQ390" s="408">
        <v>0</v>
      </c>
      <c r="ER390" s="408">
        <v>0</v>
      </c>
      <c r="ES390" s="408">
        <v>0</v>
      </c>
      <c r="ET390" s="408">
        <v>0</v>
      </c>
      <c r="EU390" s="408">
        <v>0</v>
      </c>
      <c r="EV390" s="408">
        <v>242</v>
      </c>
      <c r="EW390" s="408">
        <v>0</v>
      </c>
      <c r="EX390" s="408">
        <v>0</v>
      </c>
      <c r="EY390" s="408">
        <v>0</v>
      </c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389</v>
      </c>
      <c r="B391" s="408" t="s">
        <v>1036</v>
      </c>
      <c r="C391" s="408" t="s">
        <v>2231</v>
      </c>
      <c r="D391" s="408" t="s">
        <v>2241</v>
      </c>
      <c r="E391" s="408" t="s">
        <v>974</v>
      </c>
      <c r="F391" s="408" t="s">
        <v>2251</v>
      </c>
      <c r="G391" s="408" t="s">
        <v>2249</v>
      </c>
      <c r="H391" s="408" t="s">
        <v>1322</v>
      </c>
      <c r="I391" s="408" t="s">
        <v>1322</v>
      </c>
      <c r="J391" s="408" t="s">
        <v>2232</v>
      </c>
      <c r="K391" s="828">
        <v>44593</v>
      </c>
      <c r="L391" s="408">
        <v>0</v>
      </c>
      <c r="M391" s="408">
        <v>0</v>
      </c>
      <c r="N391" s="408">
        <v>0</v>
      </c>
      <c r="O391" s="408">
        <v>0</v>
      </c>
      <c r="P391" s="408">
        <v>0</v>
      </c>
      <c r="Q391" s="408">
        <v>0</v>
      </c>
      <c r="R391" s="408"/>
      <c r="S391" s="408"/>
      <c r="T391" s="408"/>
      <c r="U391" s="408"/>
      <c r="V391" s="408"/>
      <c r="W391" s="408"/>
      <c r="X391" s="408"/>
      <c r="Y391" s="408"/>
      <c r="Z391" s="408"/>
      <c r="AA391" s="408">
        <v>0</v>
      </c>
      <c r="AB391" s="408"/>
      <c r="AC391" s="408"/>
      <c r="AD391" s="408"/>
      <c r="AE391" s="408"/>
      <c r="AF391" s="408"/>
      <c r="AG391" s="408"/>
      <c r="AH391" s="408"/>
      <c r="AI391" s="408"/>
      <c r="AJ391" s="408"/>
      <c r="AK391" s="408"/>
      <c r="AL391" s="408"/>
      <c r="AM391" s="408"/>
      <c r="AN391" s="408"/>
      <c r="AO391" s="408"/>
      <c r="AP391" s="408"/>
      <c r="AQ391" s="408"/>
      <c r="AR391" s="408"/>
      <c r="AS391" s="408"/>
      <c r="AT391" s="408"/>
      <c r="AU391" s="408"/>
      <c r="AV391" s="408"/>
      <c r="AW391" s="408"/>
      <c r="AX391" s="408"/>
      <c r="AY391" s="408"/>
      <c r="AZ391" s="408">
        <v>0</v>
      </c>
      <c r="BA391" s="408"/>
      <c r="BB391" s="408"/>
      <c r="BC391" s="408"/>
      <c r="BD391" s="408"/>
      <c r="BE391" s="408"/>
      <c r="BF391" s="408"/>
      <c r="BG391" s="408"/>
      <c r="BH391" s="408"/>
      <c r="BI391" s="408">
        <v>3.91</v>
      </c>
      <c r="BJ391" s="408">
        <v>18.34</v>
      </c>
      <c r="BK391" s="408">
        <v>61.66</v>
      </c>
      <c r="BL391" s="408">
        <v>9</v>
      </c>
      <c r="BM391" s="408"/>
      <c r="BN391" s="408"/>
      <c r="BO391" s="408"/>
      <c r="BP391" s="408"/>
      <c r="BQ391" s="408"/>
      <c r="BR391" s="408"/>
      <c r="BS391" s="408"/>
      <c r="BT391" s="408"/>
      <c r="BU391" s="408"/>
      <c r="BV391" s="408"/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/>
      <c r="CJ391" s="408">
        <v>-0.03</v>
      </c>
      <c r="CK391" s="408"/>
      <c r="CL391" s="408"/>
      <c r="CM391" s="408"/>
      <c r="CN391" s="408"/>
      <c r="CO391" s="408">
        <v>0</v>
      </c>
      <c r="CP391" s="408">
        <v>0</v>
      </c>
      <c r="CQ391" s="408">
        <v>29</v>
      </c>
      <c r="CR391" s="408"/>
      <c r="CS391" s="408"/>
      <c r="CT391" s="408"/>
      <c r="CU391" s="408"/>
      <c r="CV391" s="408"/>
      <c r="CW391" s="408"/>
      <c r="CX391" s="408"/>
      <c r="CY391" s="408"/>
      <c r="CZ391" s="408"/>
      <c r="DA391" s="408"/>
      <c r="DB391" s="408"/>
      <c r="DC391" s="408"/>
      <c r="DD391" s="408"/>
      <c r="DE391" s="408"/>
      <c r="DF391" s="408"/>
      <c r="DG391" s="408"/>
      <c r="DH391" s="408"/>
      <c r="DI391" s="408"/>
      <c r="DJ391" s="408"/>
      <c r="DK391" s="408">
        <v>0</v>
      </c>
      <c r="DL391" s="408"/>
      <c r="DM391" s="408"/>
      <c r="DN391" s="408"/>
      <c r="DO391" s="408"/>
      <c r="DP391" s="408"/>
      <c r="DQ391" s="408"/>
      <c r="DR391" s="408"/>
      <c r="DS391" s="408"/>
      <c r="DT391" s="408"/>
      <c r="DU391" s="408"/>
      <c r="DV391" s="408"/>
      <c r="DW391" s="408"/>
      <c r="DX391" s="408"/>
      <c r="DY391" s="408"/>
      <c r="DZ391" s="234"/>
      <c r="EA391" s="408"/>
      <c r="EB391" s="408"/>
      <c r="EC391" s="408"/>
      <c r="ED391" s="408"/>
      <c r="EE391" s="408"/>
      <c r="EF391" s="408"/>
      <c r="EG391" s="408"/>
      <c r="EH391" s="408"/>
      <c r="EI391" s="408"/>
      <c r="EJ391" s="408"/>
      <c r="EK391" s="408"/>
      <c r="EL391" s="408"/>
      <c r="EM391" s="408"/>
      <c r="EN391" s="408"/>
      <c r="EO391" s="408"/>
      <c r="EP391" s="408"/>
      <c r="EQ391" s="408"/>
      <c r="ER391" s="408"/>
      <c r="ES391" s="408"/>
      <c r="ET391" s="408"/>
      <c r="EU391" s="408"/>
      <c r="EV391" s="408">
        <v>242</v>
      </c>
      <c r="EW391" s="408"/>
      <c r="EX391" s="408"/>
      <c r="EY391" s="408"/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390</v>
      </c>
      <c r="B392" s="408" t="s">
        <v>1036</v>
      </c>
      <c r="C392" s="408" t="s">
        <v>2231</v>
      </c>
      <c r="D392" s="408" t="s">
        <v>2241</v>
      </c>
      <c r="E392" s="408" t="s">
        <v>974</v>
      </c>
      <c r="F392" s="408" t="s">
        <v>2251</v>
      </c>
      <c r="G392" s="408" t="s">
        <v>2249</v>
      </c>
      <c r="H392" s="408" t="s">
        <v>1322</v>
      </c>
      <c r="I392" s="408" t="s">
        <v>1322</v>
      </c>
      <c r="J392" s="408" t="s">
        <v>2232</v>
      </c>
      <c r="K392" s="828">
        <v>44593</v>
      </c>
      <c r="L392" s="408">
        <v>0</v>
      </c>
      <c r="M392" s="408">
        <v>0</v>
      </c>
      <c r="N392" s="408">
        <v>1.2050000000000001</v>
      </c>
      <c r="O392" s="408">
        <v>1.2050000000000001</v>
      </c>
      <c r="P392" s="408">
        <v>1.2050000000000001</v>
      </c>
      <c r="Q392" s="408">
        <v>1.2050000000000001</v>
      </c>
      <c r="R392" s="408"/>
      <c r="S392" s="408">
        <v>571.87</v>
      </c>
      <c r="T392" s="408">
        <v>216.76</v>
      </c>
      <c r="U392" s="408"/>
      <c r="V392" s="408">
        <v>950.29915000000005</v>
      </c>
      <c r="W392" s="408">
        <v>950.29915000000005</v>
      </c>
      <c r="X392" s="408">
        <v>619.38205000000005</v>
      </c>
      <c r="Y392" s="408">
        <v>0</v>
      </c>
      <c r="Z392" s="408">
        <v>73.035793538067367</v>
      </c>
      <c r="AA392" s="408">
        <v>0</v>
      </c>
      <c r="AB392" s="408">
        <v>0</v>
      </c>
      <c r="AC392" s="408">
        <v>0</v>
      </c>
      <c r="AD392" s="408">
        <v>0.99040600790729905</v>
      </c>
      <c r="AE392" s="408">
        <v>513.79232088814706</v>
      </c>
      <c r="AF392" s="408">
        <v>257.38980849248139</v>
      </c>
      <c r="AG392" s="408">
        <v>3.8046727074250941</v>
      </c>
      <c r="AH392" s="408">
        <v>0</v>
      </c>
      <c r="AI392" s="408">
        <v>0</v>
      </c>
      <c r="AJ392" s="408">
        <v>0</v>
      </c>
      <c r="AK392" s="408">
        <v>0</v>
      </c>
      <c r="AL392" s="408">
        <v>11.295228558576573</v>
      </c>
      <c r="AM392" s="408"/>
      <c r="AN392" s="408">
        <v>2.3117558151669315</v>
      </c>
      <c r="AO392" s="408">
        <v>10.702445787668921</v>
      </c>
      <c r="AP392" s="408">
        <v>33.531661663534756</v>
      </c>
      <c r="AQ392" s="408">
        <v>0</v>
      </c>
      <c r="AR392" s="408">
        <v>0</v>
      </c>
      <c r="AS392" s="408">
        <v>0</v>
      </c>
      <c r="AT392" s="408">
        <v>0</v>
      </c>
      <c r="AU392" s="408">
        <v>0</v>
      </c>
      <c r="AV392" s="408">
        <v>0</v>
      </c>
      <c r="AW392" s="408">
        <v>0</v>
      </c>
      <c r="AX392" s="408">
        <v>0</v>
      </c>
      <c r="AY392" s="408">
        <v>0</v>
      </c>
      <c r="AZ392" s="408">
        <v>0</v>
      </c>
      <c r="BA392" s="408"/>
      <c r="BB392" s="408">
        <v>0</v>
      </c>
      <c r="BC392" s="408">
        <v>0</v>
      </c>
      <c r="BD392" s="408">
        <v>0.71705889436707504</v>
      </c>
      <c r="BE392" s="408">
        <v>0</v>
      </c>
      <c r="BF392" s="408">
        <v>0</v>
      </c>
      <c r="BG392" s="408">
        <v>42.727176147140092</v>
      </c>
      <c r="BH392" s="408">
        <v>0</v>
      </c>
      <c r="BI392" s="408">
        <v>0</v>
      </c>
      <c r="BJ392" s="408">
        <v>0</v>
      </c>
      <c r="BK392" s="408">
        <v>0</v>
      </c>
      <c r="BL392" s="408">
        <v>0</v>
      </c>
      <c r="BM392" s="408"/>
      <c r="BN392" s="408"/>
      <c r="BO392" s="408"/>
      <c r="BP392" s="408"/>
      <c r="BQ392" s="408"/>
      <c r="BR392" s="408">
        <v>74.324399999999983</v>
      </c>
      <c r="BS392" s="408"/>
      <c r="BT392" s="408"/>
      <c r="BU392" s="408"/>
      <c r="BV392" s="408">
        <v>300.83404353398856</v>
      </c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>
        <v>547.3193</v>
      </c>
      <c r="CJ392" s="408">
        <v>-288.98069999999996</v>
      </c>
      <c r="CK392" s="408"/>
      <c r="CL392" s="408"/>
      <c r="CM392" s="408"/>
      <c r="CN392" s="408"/>
      <c r="CO392" s="408">
        <v>-370.23625000000004</v>
      </c>
      <c r="CP392" s="408">
        <v>39.319149999999993</v>
      </c>
      <c r="CQ392" s="408">
        <v>29</v>
      </c>
      <c r="CR392" s="408">
        <v>46.5736185450383</v>
      </c>
      <c r="CS392" s="408">
        <v>1.1039735954035113</v>
      </c>
      <c r="CT392" s="408">
        <v>3.458842008730123</v>
      </c>
      <c r="CU392" s="408">
        <v>0</v>
      </c>
      <c r="CV392" s="408">
        <v>0</v>
      </c>
      <c r="CW392" s="408">
        <v>0</v>
      </c>
      <c r="CX392" s="408">
        <v>0</v>
      </c>
      <c r="CY392" s="408">
        <v>0</v>
      </c>
      <c r="CZ392" s="408">
        <v>9.6837006281394244E-2</v>
      </c>
      <c r="DA392" s="408">
        <v>0</v>
      </c>
      <c r="DB392" s="408">
        <v>0</v>
      </c>
      <c r="DC392" s="408">
        <v>39.32420319567774</v>
      </c>
      <c r="DD392" s="408">
        <v>0</v>
      </c>
      <c r="DE392" s="408">
        <v>0</v>
      </c>
      <c r="DF392" s="408">
        <v>0.10955278233630183</v>
      </c>
      <c r="DG392" s="408">
        <v>6.5278892222990734</v>
      </c>
      <c r="DH392" s="408">
        <v>0</v>
      </c>
      <c r="DI392" s="408">
        <v>-3.4894453942810628</v>
      </c>
      <c r="DJ392" s="408"/>
      <c r="DK392" s="408">
        <v>0</v>
      </c>
      <c r="DL392" s="408">
        <v>0</v>
      </c>
      <c r="DM392" s="408">
        <v>0</v>
      </c>
      <c r="DN392" s="408">
        <v>0</v>
      </c>
      <c r="DO392" s="408">
        <v>-0.45768954130844897</v>
      </c>
      <c r="DP392" s="408">
        <v>-0.10054433010020913</v>
      </c>
      <c r="DQ392" s="408">
        <v>0</v>
      </c>
      <c r="DR392" s="408">
        <v>0</v>
      </c>
      <c r="DS392" s="408"/>
      <c r="DT392" s="408"/>
      <c r="DU392" s="408"/>
      <c r="DV392" s="408">
        <v>513.79232088814706</v>
      </c>
      <c r="DW392" s="408">
        <v>0</v>
      </c>
      <c r="DX392" s="408">
        <v>0</v>
      </c>
      <c r="DY392" s="408">
        <v>-370.23625000000004</v>
      </c>
      <c r="DZ392" s="234">
        <v>39.319149999999979</v>
      </c>
      <c r="EA392" s="408">
        <v>0</v>
      </c>
      <c r="EB392" s="408">
        <v>0</v>
      </c>
      <c r="EC392" s="408">
        <v>-377.48826227491838</v>
      </c>
      <c r="ED392" s="408">
        <v>0</v>
      </c>
      <c r="EE392" s="408">
        <v>0</v>
      </c>
      <c r="EF392" s="408">
        <v>0</v>
      </c>
      <c r="EG392" s="408">
        <v>0</v>
      </c>
      <c r="EH392" s="408">
        <v>0</v>
      </c>
      <c r="EI392" s="408">
        <v>0</v>
      </c>
      <c r="EJ392" s="408">
        <v>0</v>
      </c>
      <c r="EK392" s="408">
        <v>0</v>
      </c>
      <c r="EL392" s="408">
        <v>0</v>
      </c>
      <c r="EM392" s="408">
        <v>0</v>
      </c>
      <c r="EN392" s="408">
        <v>0</v>
      </c>
      <c r="EO392" s="408">
        <v>0</v>
      </c>
      <c r="EP392" s="408">
        <v>0</v>
      </c>
      <c r="EQ392" s="408">
        <v>0</v>
      </c>
      <c r="ER392" s="408">
        <v>0</v>
      </c>
      <c r="ES392" s="408">
        <v>0</v>
      </c>
      <c r="ET392" s="408">
        <v>0</v>
      </c>
      <c r="EU392" s="408">
        <v>0</v>
      </c>
      <c r="EV392" s="408">
        <v>242</v>
      </c>
      <c r="EW392" s="408">
        <v>0</v>
      </c>
      <c r="EX392" s="408">
        <v>0</v>
      </c>
      <c r="EY392" s="408">
        <v>0</v>
      </c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391</v>
      </c>
      <c r="B393" s="408" t="s">
        <v>1036</v>
      </c>
      <c r="C393" s="408" t="s">
        <v>2231</v>
      </c>
      <c r="D393" s="408" t="s">
        <v>2241</v>
      </c>
      <c r="E393" s="408" t="s">
        <v>974</v>
      </c>
      <c r="F393" s="408" t="s">
        <v>2251</v>
      </c>
      <c r="G393" s="408" t="s">
        <v>2250</v>
      </c>
      <c r="H393" s="408" t="s">
        <v>1322</v>
      </c>
      <c r="I393" s="408" t="s">
        <v>1322</v>
      </c>
      <c r="J393" s="408" t="s">
        <v>2232</v>
      </c>
      <c r="K393" s="828">
        <v>44593</v>
      </c>
      <c r="L393" s="408">
        <v>0</v>
      </c>
      <c r="M393" s="408">
        <v>0</v>
      </c>
      <c r="N393" s="408">
        <v>3.3130000000000002</v>
      </c>
      <c r="O393" s="408">
        <v>1.3251999999999999</v>
      </c>
      <c r="P393" s="408">
        <v>3.3130000000000002</v>
      </c>
      <c r="Q393" s="408">
        <v>1.3251999999999999</v>
      </c>
      <c r="R393" s="408"/>
      <c r="S393" s="408">
        <v>571.87</v>
      </c>
      <c r="T393" s="408">
        <v>216.76</v>
      </c>
      <c r="U393" s="408"/>
      <c r="V393" s="408">
        <v>2612.7311900000004</v>
      </c>
      <c r="W393" s="408">
        <v>2612.7311900000004</v>
      </c>
      <c r="X393" s="408">
        <v>1702.9151300000001</v>
      </c>
      <c r="Y393" s="408">
        <v>0</v>
      </c>
      <c r="Z393" s="408">
        <v>200.80297426690223</v>
      </c>
      <c r="AA393" s="408">
        <v>0</v>
      </c>
      <c r="AB393" s="408">
        <v>0</v>
      </c>
      <c r="AC393" s="408">
        <v>0</v>
      </c>
      <c r="AD393" s="408">
        <v>2.7230000864704413</v>
      </c>
      <c r="AE393" s="408">
        <v>1412.6090946908143</v>
      </c>
      <c r="AF393" s="408">
        <v>707.66177222870613</v>
      </c>
      <c r="AG393" s="408">
        <v>10.460481891866669</v>
      </c>
      <c r="AH393" s="408">
        <v>0</v>
      </c>
      <c r="AI393" s="408">
        <v>0</v>
      </c>
      <c r="AJ393" s="408">
        <v>0</v>
      </c>
      <c r="AK393" s="408">
        <v>0</v>
      </c>
      <c r="AL393" s="408">
        <v>31.054848310841646</v>
      </c>
      <c r="AM393" s="408"/>
      <c r="AN393" s="408">
        <v>6.355889639541946</v>
      </c>
      <c r="AO393" s="408">
        <v>29.425064642777709</v>
      </c>
      <c r="AP393" s="408">
        <v>92.191199245884349</v>
      </c>
      <c r="AQ393" s="408">
        <v>0</v>
      </c>
      <c r="AR393" s="408">
        <v>0</v>
      </c>
      <c r="AS393" s="408">
        <v>0</v>
      </c>
      <c r="AT393" s="408">
        <v>0</v>
      </c>
      <c r="AU393" s="408">
        <v>0</v>
      </c>
      <c r="AV393" s="408">
        <v>0</v>
      </c>
      <c r="AW393" s="408">
        <v>0</v>
      </c>
      <c r="AX393" s="408">
        <v>0</v>
      </c>
      <c r="AY393" s="408">
        <v>0</v>
      </c>
      <c r="AZ393" s="408">
        <v>0</v>
      </c>
      <c r="BA393" s="408"/>
      <c r="BB393" s="408">
        <v>0</v>
      </c>
      <c r="BC393" s="408">
        <v>0</v>
      </c>
      <c r="BD393" s="408">
        <v>1.9714656572930451</v>
      </c>
      <c r="BE393" s="408">
        <v>0</v>
      </c>
      <c r="BF393" s="408">
        <v>0</v>
      </c>
      <c r="BG393" s="408">
        <v>117.47314072653536</v>
      </c>
      <c r="BH393" s="408">
        <v>0</v>
      </c>
      <c r="BI393" s="408">
        <v>0</v>
      </c>
      <c r="BJ393" s="408">
        <v>0</v>
      </c>
      <c r="BK393" s="408">
        <v>0</v>
      </c>
      <c r="BL393" s="408">
        <v>0</v>
      </c>
      <c r="BM393" s="408"/>
      <c r="BN393" s="408"/>
      <c r="BO393" s="408"/>
      <c r="BP393" s="408"/>
      <c r="BQ393" s="408"/>
      <c r="BR393" s="408"/>
      <c r="BS393" s="408">
        <v>1103.4874140000002</v>
      </c>
      <c r="BT393" s="408"/>
      <c r="BU393" s="408"/>
      <c r="BV393" s="408">
        <v>827.10637861253451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601.59890000000007</v>
      </c>
      <c r="CJ393" s="408">
        <v>-318.1198999999998</v>
      </c>
      <c r="CK393" s="408"/>
      <c r="CL393" s="408"/>
      <c r="CM393" s="408"/>
      <c r="CN393" s="408"/>
      <c r="CO393" s="408">
        <v>-1017.91925</v>
      </c>
      <c r="CP393" s="408">
        <v>108.10318999999998</v>
      </c>
      <c r="CQ393" s="408">
        <v>29</v>
      </c>
      <c r="CR393" s="408">
        <v>128.04846326947109</v>
      </c>
      <c r="CS393" s="408">
        <v>3.0352402668645873</v>
      </c>
      <c r="CT393" s="408">
        <v>9.5096627177783404</v>
      </c>
      <c r="CU393" s="408">
        <v>0</v>
      </c>
      <c r="CV393" s="408">
        <v>0</v>
      </c>
      <c r="CW393" s="408">
        <v>0</v>
      </c>
      <c r="CX393" s="408">
        <v>0</v>
      </c>
      <c r="CY393" s="408">
        <v>0</v>
      </c>
      <c r="CZ393" s="408">
        <v>0.26624149527822327</v>
      </c>
      <c r="DA393" s="408">
        <v>0</v>
      </c>
      <c r="DB393" s="408">
        <v>0</v>
      </c>
      <c r="DC393" s="408">
        <v>108.11708314297118</v>
      </c>
      <c r="DD393" s="408">
        <v>0</v>
      </c>
      <c r="DE393" s="408">
        <v>0</v>
      </c>
      <c r="DF393" s="408">
        <v>0.30120196504578267</v>
      </c>
      <c r="DG393" s="408">
        <v>17.947632359731827</v>
      </c>
      <c r="DH393" s="408">
        <v>0</v>
      </c>
      <c r="DI393" s="408">
        <v>-9.5938029802930487</v>
      </c>
      <c r="DJ393" s="408"/>
      <c r="DK393" s="408">
        <v>0</v>
      </c>
      <c r="DL393" s="408">
        <v>0</v>
      </c>
      <c r="DM393" s="408">
        <v>0</v>
      </c>
      <c r="DN393" s="408">
        <v>0</v>
      </c>
      <c r="DO393" s="408">
        <v>-1.2583613695891174</v>
      </c>
      <c r="DP393" s="408">
        <v>-0.27643432831700654</v>
      </c>
      <c r="DQ393" s="408">
        <v>0</v>
      </c>
      <c r="DR393" s="408">
        <v>0</v>
      </c>
      <c r="DS393" s="408"/>
      <c r="DT393" s="408"/>
      <c r="DU393" s="408"/>
      <c r="DV393" s="408">
        <v>1412.6090946908143</v>
      </c>
      <c r="DW393" s="408">
        <v>0</v>
      </c>
      <c r="DX393" s="408">
        <v>0</v>
      </c>
      <c r="DY393" s="408">
        <v>-1017.91925</v>
      </c>
      <c r="DZ393" s="234">
        <v>108.10318999999993</v>
      </c>
      <c r="EA393" s="408">
        <v>0</v>
      </c>
      <c r="EB393" s="408">
        <v>0</v>
      </c>
      <c r="EC393" s="408">
        <v>-1037.8577700554395</v>
      </c>
      <c r="ED393" s="408">
        <v>0</v>
      </c>
      <c r="EE393" s="408">
        <v>0</v>
      </c>
      <c r="EF393" s="408">
        <v>0</v>
      </c>
      <c r="EG393" s="408">
        <v>0</v>
      </c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>
        <v>0</v>
      </c>
      <c r="EN393" s="408">
        <v>0</v>
      </c>
      <c r="EO393" s="408">
        <v>0</v>
      </c>
      <c r="EP393" s="408">
        <v>0</v>
      </c>
      <c r="EQ393" s="408">
        <v>0</v>
      </c>
      <c r="ER393" s="408">
        <v>0</v>
      </c>
      <c r="ES393" s="408">
        <v>0</v>
      </c>
      <c r="ET393" s="408">
        <v>0</v>
      </c>
      <c r="EU393" s="408">
        <v>0</v>
      </c>
      <c r="EV393" s="408">
        <v>242</v>
      </c>
      <c r="EW393" s="408">
        <v>0</v>
      </c>
      <c r="EX393" s="408">
        <v>0</v>
      </c>
      <c r="EY393" s="408">
        <v>0</v>
      </c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392</v>
      </c>
      <c r="B394" s="408" t="s">
        <v>1036</v>
      </c>
      <c r="C394" s="408" t="s">
        <v>2231</v>
      </c>
      <c r="D394" s="408" t="s">
        <v>1952</v>
      </c>
      <c r="E394" s="408" t="s">
        <v>969</v>
      </c>
      <c r="F394" s="408" t="s">
        <v>969</v>
      </c>
      <c r="G394" s="408" t="s">
        <v>1322</v>
      </c>
      <c r="H394" s="408" t="s">
        <v>1322</v>
      </c>
      <c r="I394" s="408" t="s">
        <v>1322</v>
      </c>
      <c r="J394" s="408" t="s">
        <v>2232</v>
      </c>
      <c r="K394" s="828">
        <v>44621</v>
      </c>
      <c r="L394" s="408">
        <v>0</v>
      </c>
      <c r="M394" s="408">
        <v>0</v>
      </c>
      <c r="N394" s="408">
        <v>930.29</v>
      </c>
      <c r="O394" s="408">
        <v>930.29</v>
      </c>
      <c r="P394" s="408">
        <v>930.29</v>
      </c>
      <c r="Q394" s="408">
        <v>930.29</v>
      </c>
      <c r="R394" s="408"/>
      <c r="S394" s="408">
        <v>571.87</v>
      </c>
      <c r="T394" s="408">
        <v>216.76</v>
      </c>
      <c r="U394" s="408"/>
      <c r="V394" s="408">
        <v>733654.60269999993</v>
      </c>
      <c r="W394" s="408">
        <v>733654.60269999993</v>
      </c>
      <c r="X394" s="408">
        <v>478178.36289999995</v>
      </c>
      <c r="Y394" s="408">
        <v>0</v>
      </c>
      <c r="Z394" s="408">
        <v>56385.450929899322</v>
      </c>
      <c r="AA394" s="408">
        <v>0</v>
      </c>
      <c r="AB394" s="408">
        <v>0</v>
      </c>
      <c r="AC394" s="408">
        <v>0</v>
      </c>
      <c r="AD394" s="408">
        <v>764.61809551542012</v>
      </c>
      <c r="AE394" s="408">
        <v>396660.46323571308</v>
      </c>
      <c r="AF394" s="408">
        <v>198711.34020122033</v>
      </c>
      <c r="AG394" s="408">
        <v>2937.3020522742659</v>
      </c>
      <c r="AH394" s="408">
        <v>0</v>
      </c>
      <c r="AI394" s="408">
        <v>0</v>
      </c>
      <c r="AJ394" s="408">
        <v>0</v>
      </c>
      <c r="AK394" s="408">
        <v>0</v>
      </c>
      <c r="AL394" s="408">
        <v>8720.1976562308701</v>
      </c>
      <c r="AM394" s="408"/>
      <c r="AN394" s="408">
        <v>1784.7330433955558</v>
      </c>
      <c r="AO394" s="408">
        <v>8262.5545990128794</v>
      </c>
      <c r="AP394" s="408">
        <v>25887.277617402277</v>
      </c>
      <c r="AQ394" s="408">
        <v>0</v>
      </c>
      <c r="AR394" s="408">
        <v>0</v>
      </c>
      <c r="AS394" s="408">
        <v>0</v>
      </c>
      <c r="AT394" s="408">
        <v>0</v>
      </c>
      <c r="AU394" s="408">
        <v>0</v>
      </c>
      <c r="AV394" s="408">
        <v>0</v>
      </c>
      <c r="AW394" s="408">
        <v>0</v>
      </c>
      <c r="AX394" s="408">
        <v>0</v>
      </c>
      <c r="AY394" s="408">
        <v>0</v>
      </c>
      <c r="AZ394" s="408">
        <v>0</v>
      </c>
      <c r="BA394" s="408"/>
      <c r="BB394" s="408">
        <v>0</v>
      </c>
      <c r="BC394" s="408">
        <v>0</v>
      </c>
      <c r="BD394" s="408">
        <v>553.58731854003827</v>
      </c>
      <c r="BE394" s="408">
        <v>0</v>
      </c>
      <c r="BF394" s="408">
        <v>0</v>
      </c>
      <c r="BG394" s="408">
        <v>32986.443732716143</v>
      </c>
      <c r="BH394" s="408">
        <v>0</v>
      </c>
      <c r="BI394" s="408">
        <v>777.21</v>
      </c>
      <c r="BJ394" s="408">
        <v>3631.66</v>
      </c>
      <c r="BK394" s="408">
        <v>201359.96</v>
      </c>
      <c r="BL394" s="408">
        <v>4482</v>
      </c>
      <c r="BM394" s="408"/>
      <c r="BN394" s="408"/>
      <c r="BO394" s="408"/>
      <c r="BP394" s="408"/>
      <c r="BQ394" s="408"/>
      <c r="BR394" s="408"/>
      <c r="BS394" s="408"/>
      <c r="BT394" s="408"/>
      <c r="BU394" s="408"/>
      <c r="BV394" s="408">
        <v>232251.3712524765</v>
      </c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>
        <v>478178.36289999995</v>
      </c>
      <c r="CJ394" s="408">
        <v>-255476.26980000001</v>
      </c>
      <c r="CK394" s="408"/>
      <c r="CL394" s="408"/>
      <c r="CM394" s="408"/>
      <c r="CN394" s="408"/>
      <c r="CO394" s="408">
        <v>-285831.60249999998</v>
      </c>
      <c r="CP394" s="408">
        <v>30355.362699999994</v>
      </c>
      <c r="CQ394" s="408">
        <v>31</v>
      </c>
      <c r="CR394" s="408">
        <v>35955.993025945034</v>
      </c>
      <c r="CS394" s="408">
        <v>852.29510047131225</v>
      </c>
      <c r="CT394" s="408">
        <v>2670.3121429888342</v>
      </c>
      <c r="CU394" s="408">
        <v>0</v>
      </c>
      <c r="CV394" s="408">
        <v>0</v>
      </c>
      <c r="CW394" s="408">
        <v>0</v>
      </c>
      <c r="CX394" s="408">
        <v>0</v>
      </c>
      <c r="CY394" s="408">
        <v>0</v>
      </c>
      <c r="CZ394" s="408">
        <v>74.760579729060623</v>
      </c>
      <c r="DA394" s="408">
        <v>0</v>
      </c>
      <c r="DB394" s="408">
        <v>0</v>
      </c>
      <c r="DC394" s="408">
        <v>30359.263892868912</v>
      </c>
      <c r="DD394" s="408">
        <v>0</v>
      </c>
      <c r="DE394" s="408">
        <v>0</v>
      </c>
      <c r="DF394" s="408">
        <v>84.577475418786889</v>
      </c>
      <c r="DG394" s="408">
        <v>5039.6929996785111</v>
      </c>
      <c r="DH394" s="408">
        <v>0</v>
      </c>
      <c r="DI394" s="408">
        <v>-2693.9387185441665</v>
      </c>
      <c r="DJ394" s="408"/>
      <c r="DK394" s="408">
        <v>0</v>
      </c>
      <c r="DL394" s="408">
        <v>0</v>
      </c>
      <c r="DM394" s="408">
        <v>0</v>
      </c>
      <c r="DN394" s="408">
        <v>0</v>
      </c>
      <c r="DO394" s="408">
        <v>-353.34772065048674</v>
      </c>
      <c r="DP394" s="408">
        <v>-77.622726015704302</v>
      </c>
      <c r="DQ394" s="408">
        <v>0</v>
      </c>
      <c r="DR394" s="408">
        <v>0</v>
      </c>
      <c r="DS394" s="408"/>
      <c r="DT394" s="408"/>
      <c r="DU394" s="408"/>
      <c r="DV394" s="408">
        <v>396660.46323571308</v>
      </c>
      <c r="DW394" s="408">
        <v>0</v>
      </c>
      <c r="DX394" s="408">
        <v>0</v>
      </c>
      <c r="DY394" s="408">
        <v>-285831.60250000004</v>
      </c>
      <c r="DZ394" s="234">
        <v>30355.362699999998</v>
      </c>
      <c r="EA394" s="408">
        <v>0</v>
      </c>
      <c r="EB394" s="408">
        <v>0</v>
      </c>
      <c r="EC394" s="408">
        <v>-291430.33652426035</v>
      </c>
      <c r="ED394" s="408">
        <v>0</v>
      </c>
      <c r="EE394" s="408">
        <v>0</v>
      </c>
      <c r="EF394" s="408">
        <v>0</v>
      </c>
      <c r="EG394" s="408">
        <v>0</v>
      </c>
      <c r="EH394" s="408">
        <v>0</v>
      </c>
      <c r="EI394" s="408">
        <v>0</v>
      </c>
      <c r="EJ394" s="408">
        <v>0</v>
      </c>
      <c r="EK394" s="408">
        <v>0</v>
      </c>
      <c r="EL394" s="408">
        <v>0</v>
      </c>
      <c r="EM394" s="408">
        <v>0</v>
      </c>
      <c r="EN394" s="408">
        <v>0</v>
      </c>
      <c r="EO394" s="408">
        <v>0</v>
      </c>
      <c r="EP394" s="408">
        <v>0</v>
      </c>
      <c r="EQ394" s="408">
        <v>0</v>
      </c>
      <c r="ER394" s="408">
        <v>0</v>
      </c>
      <c r="ES394" s="408">
        <v>0</v>
      </c>
      <c r="ET394" s="408">
        <v>0</v>
      </c>
      <c r="EU394" s="408">
        <v>0</v>
      </c>
      <c r="EV394" s="408">
        <v>242</v>
      </c>
      <c r="EW394" s="408">
        <v>0</v>
      </c>
      <c r="EX394" s="408">
        <v>0</v>
      </c>
      <c r="EY394" s="408">
        <v>0</v>
      </c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393</v>
      </c>
      <c r="B395" s="408" t="s">
        <v>2233</v>
      </c>
      <c r="C395" s="408" t="s">
        <v>2231</v>
      </c>
      <c r="D395" s="408" t="s">
        <v>1952</v>
      </c>
      <c r="E395" s="408" t="s">
        <v>969</v>
      </c>
      <c r="F395" s="408" t="s">
        <v>969</v>
      </c>
      <c r="G395" s="408" t="s">
        <v>1322</v>
      </c>
      <c r="H395" s="408" t="s">
        <v>1322</v>
      </c>
      <c r="I395" s="408" t="s">
        <v>1322</v>
      </c>
      <c r="J395" s="408" t="s">
        <v>2232</v>
      </c>
      <c r="K395" s="828">
        <v>44621</v>
      </c>
      <c r="L395" s="408">
        <v>0</v>
      </c>
      <c r="M395" s="408">
        <v>0</v>
      </c>
      <c r="N395" s="408">
        <v>-0.32100000000000001</v>
      </c>
      <c r="O395" s="408">
        <v>-0.32100000000000001</v>
      </c>
      <c r="P395" s="408">
        <v>-0.32100000000000001</v>
      </c>
      <c r="Q395" s="408">
        <v>-0.32100000000000001</v>
      </c>
      <c r="R395" s="408"/>
      <c r="S395" s="408">
        <v>571.87</v>
      </c>
      <c r="T395" s="408">
        <v>216.76</v>
      </c>
      <c r="U395" s="408"/>
      <c r="V395" s="408">
        <v>-253.15022999999999</v>
      </c>
      <c r="W395" s="408">
        <v>-253.15022999999999</v>
      </c>
      <c r="X395" s="408">
        <v>-164.99721</v>
      </c>
      <c r="Y395" s="408">
        <v>0</v>
      </c>
      <c r="Z395" s="408">
        <v>-19.456008071136615</v>
      </c>
      <c r="AA395" s="408">
        <v>0</v>
      </c>
      <c r="AB395" s="408">
        <v>0</v>
      </c>
      <c r="AC395" s="408">
        <v>0</v>
      </c>
      <c r="AD395" s="408">
        <v>-0.26383429754211035</v>
      </c>
      <c r="AE395" s="408">
        <v>-136.86915768057693</v>
      </c>
      <c r="AF395" s="408">
        <v>-68.566081764387164</v>
      </c>
      <c r="AG395" s="408">
        <v>-1.0135269204012076</v>
      </c>
      <c r="AH395" s="408">
        <v>0</v>
      </c>
      <c r="AI395" s="408">
        <v>0</v>
      </c>
      <c r="AJ395" s="408">
        <v>0</v>
      </c>
      <c r="AK395" s="408">
        <v>0</v>
      </c>
      <c r="AL395" s="408">
        <v>-3.0089364044008962</v>
      </c>
      <c r="AM395" s="408"/>
      <c r="AN395" s="408">
        <v>-0.61582872752579676</v>
      </c>
      <c r="AO395" s="408">
        <v>-2.8510249774620116</v>
      </c>
      <c r="AP395" s="408">
        <v>-8.9325007419042795</v>
      </c>
      <c r="AQ395" s="408">
        <v>0</v>
      </c>
      <c r="AR395" s="408">
        <v>0</v>
      </c>
      <c r="AS395" s="408">
        <v>0</v>
      </c>
      <c r="AT395" s="408">
        <v>0</v>
      </c>
      <c r="AU395" s="408">
        <v>0</v>
      </c>
      <c r="AV395" s="408">
        <v>0</v>
      </c>
      <c r="AW395" s="408">
        <v>0</v>
      </c>
      <c r="AX395" s="408">
        <v>0</v>
      </c>
      <c r="AY395" s="408">
        <v>0</v>
      </c>
      <c r="AZ395" s="408">
        <v>0</v>
      </c>
      <c r="BA395" s="408"/>
      <c r="BB395" s="408">
        <v>0</v>
      </c>
      <c r="BC395" s="408">
        <v>0</v>
      </c>
      <c r="BD395" s="408">
        <v>-0.19101734862392619</v>
      </c>
      <c r="BE395" s="408">
        <v>0</v>
      </c>
      <c r="BF395" s="408">
        <v>0</v>
      </c>
      <c r="BG395" s="408">
        <v>-11.382094226748521</v>
      </c>
      <c r="BH395" s="408">
        <v>0</v>
      </c>
      <c r="BI395" s="408">
        <v>-0.55000000000000004</v>
      </c>
      <c r="BJ395" s="408">
        <v>-2.56</v>
      </c>
      <c r="BK395" s="408">
        <v>-79.08</v>
      </c>
      <c r="BL395" s="408">
        <v>0</v>
      </c>
      <c r="BM395" s="408"/>
      <c r="BN395" s="408"/>
      <c r="BO395" s="408"/>
      <c r="BP395" s="408"/>
      <c r="BQ395" s="408"/>
      <c r="BR395" s="408"/>
      <c r="BS395" s="408"/>
      <c r="BT395" s="408"/>
      <c r="BU395" s="408"/>
      <c r="BV395" s="408">
        <v>-80.139193339759615</v>
      </c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>
        <v>-164.48320000000001</v>
      </c>
      <c r="CJ395" s="408">
        <v>88.63703000000001</v>
      </c>
      <c r="CK395" s="408"/>
      <c r="CL395" s="408"/>
      <c r="CM395" s="408"/>
      <c r="CN395" s="408"/>
      <c r="CO395" s="408">
        <v>98.627250000000004</v>
      </c>
      <c r="CP395" s="408">
        <v>-10.474229999999999</v>
      </c>
      <c r="CQ395" s="408">
        <v>31</v>
      </c>
      <c r="CR395" s="408">
        <v>-12.406748176728073</v>
      </c>
      <c r="CS395" s="408">
        <v>-0.29408757188757395</v>
      </c>
      <c r="CT395" s="408">
        <v>-0.92140106622603213</v>
      </c>
      <c r="CU395" s="408">
        <v>0</v>
      </c>
      <c r="CV395" s="408">
        <v>0</v>
      </c>
      <c r="CW395" s="408">
        <v>0</v>
      </c>
      <c r="CX395" s="408">
        <v>0</v>
      </c>
      <c r="CY395" s="408">
        <v>0</v>
      </c>
      <c r="CZ395" s="408">
        <v>-2.5796414121433631E-2</v>
      </c>
      <c r="DA395" s="408">
        <v>0</v>
      </c>
      <c r="DB395" s="408">
        <v>0</v>
      </c>
      <c r="DC395" s="408">
        <v>-10.475576121006256</v>
      </c>
      <c r="DD395" s="408">
        <v>0</v>
      </c>
      <c r="DE395" s="408">
        <v>0</v>
      </c>
      <c r="DF395" s="408">
        <v>-2.9183770232326045E-2</v>
      </c>
      <c r="DG395" s="408">
        <v>-1.7389646807950232</v>
      </c>
      <c r="DH395" s="408">
        <v>0</v>
      </c>
      <c r="DI395" s="408">
        <v>0.92955350337279441</v>
      </c>
      <c r="DJ395" s="408"/>
      <c r="DK395" s="408">
        <v>0</v>
      </c>
      <c r="DL395" s="408">
        <v>0</v>
      </c>
      <c r="DM395" s="408">
        <v>0</v>
      </c>
      <c r="DN395" s="408">
        <v>0</v>
      </c>
      <c r="DO395" s="408">
        <v>0.12192393590042494</v>
      </c>
      <c r="DP395" s="408">
        <v>2.6784008267358717E-2</v>
      </c>
      <c r="DQ395" s="408">
        <v>0</v>
      </c>
      <c r="DR395" s="408">
        <v>0</v>
      </c>
      <c r="DS395" s="408"/>
      <c r="DT395" s="408"/>
      <c r="DU395" s="408"/>
      <c r="DV395" s="408">
        <v>-136.86915768057693</v>
      </c>
      <c r="DW395" s="408">
        <v>0</v>
      </c>
      <c r="DX395" s="408">
        <v>0</v>
      </c>
      <c r="DY395" s="408">
        <v>98.627249999999989</v>
      </c>
      <c r="DZ395" s="234">
        <v>-10.474229999999991</v>
      </c>
      <c r="EA395" s="408">
        <v>0</v>
      </c>
      <c r="EB395" s="408">
        <v>0</v>
      </c>
      <c r="EC395" s="408">
        <v>100.55911385082888</v>
      </c>
      <c r="ED395" s="408">
        <v>0</v>
      </c>
      <c r="EE395" s="408">
        <v>0</v>
      </c>
      <c r="EF395" s="408">
        <v>0</v>
      </c>
      <c r="EG395" s="408">
        <v>0</v>
      </c>
      <c r="EH395" s="408">
        <v>0</v>
      </c>
      <c r="EI395" s="408">
        <v>0</v>
      </c>
      <c r="EJ395" s="408">
        <v>0</v>
      </c>
      <c r="EK395" s="408">
        <v>0</v>
      </c>
      <c r="EL395" s="408">
        <v>0</v>
      </c>
      <c r="EM395" s="408">
        <v>0</v>
      </c>
      <c r="EN395" s="408">
        <v>0</v>
      </c>
      <c r="EO395" s="408">
        <v>0</v>
      </c>
      <c r="EP395" s="408">
        <v>0</v>
      </c>
      <c r="EQ395" s="408">
        <v>0</v>
      </c>
      <c r="ER395" s="408">
        <v>0</v>
      </c>
      <c r="ES395" s="408">
        <v>0</v>
      </c>
      <c r="ET395" s="408">
        <v>0</v>
      </c>
      <c r="EU395" s="408">
        <v>0</v>
      </c>
      <c r="EV395" s="408">
        <v>242</v>
      </c>
      <c r="EW395" s="408">
        <v>0</v>
      </c>
      <c r="EX395" s="408">
        <v>0</v>
      </c>
      <c r="EY395" s="408">
        <v>0</v>
      </c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394</v>
      </c>
      <c r="B396" s="408" t="s">
        <v>2234</v>
      </c>
      <c r="C396" s="408" t="s">
        <v>2231</v>
      </c>
      <c r="D396" s="408" t="s">
        <v>1952</v>
      </c>
      <c r="E396" s="408" t="s">
        <v>969</v>
      </c>
      <c r="F396" s="408" t="s">
        <v>969</v>
      </c>
      <c r="G396" s="408" t="s">
        <v>1322</v>
      </c>
      <c r="H396" s="408" t="s">
        <v>1322</v>
      </c>
      <c r="I396" s="408" t="s">
        <v>1322</v>
      </c>
      <c r="J396" s="408" t="s">
        <v>2232</v>
      </c>
      <c r="K396" s="828">
        <v>44621</v>
      </c>
      <c r="L396" s="408">
        <v>0</v>
      </c>
      <c r="M396" s="408">
        <v>0</v>
      </c>
      <c r="N396" s="408">
        <v>23.16</v>
      </c>
      <c r="O396" s="408">
        <v>23.16</v>
      </c>
      <c r="P396" s="408">
        <v>23.16</v>
      </c>
      <c r="Q396" s="408">
        <v>23.16</v>
      </c>
      <c r="R396" s="408"/>
      <c r="S396" s="408">
        <v>571.87</v>
      </c>
      <c r="T396" s="408">
        <v>216.76</v>
      </c>
      <c r="U396" s="408"/>
      <c r="V396" s="408">
        <v>18264.6708</v>
      </c>
      <c r="W396" s="408">
        <v>18264.6708</v>
      </c>
      <c r="X396" s="408">
        <v>11904.471600000001</v>
      </c>
      <c r="Y396" s="408">
        <v>0</v>
      </c>
      <c r="Z396" s="408">
        <v>1403.7418907399501</v>
      </c>
      <c r="AA396" s="408">
        <v>0</v>
      </c>
      <c r="AB396" s="408">
        <v>0</v>
      </c>
      <c r="AC396" s="408">
        <v>0</v>
      </c>
      <c r="AD396" s="408">
        <v>19.035521280608336</v>
      </c>
      <c r="AE396" s="408">
        <v>9875.0457691033062</v>
      </c>
      <c r="AF396" s="408">
        <v>4947.0107590754096</v>
      </c>
      <c r="AG396" s="408">
        <v>73.12549369623666</v>
      </c>
      <c r="AH396" s="408">
        <v>0</v>
      </c>
      <c r="AI396" s="408">
        <v>0</v>
      </c>
      <c r="AJ396" s="408">
        <v>0</v>
      </c>
      <c r="AK396" s="408">
        <v>0</v>
      </c>
      <c r="AL396" s="408">
        <v>217.09335553247587</v>
      </c>
      <c r="AM396" s="408"/>
      <c r="AN396" s="408">
        <v>44.431754920552812</v>
      </c>
      <c r="AO396" s="408">
        <v>205.70011986922177</v>
      </c>
      <c r="AP396" s="408">
        <v>644.47575446262647</v>
      </c>
      <c r="AQ396" s="408">
        <v>0</v>
      </c>
      <c r="AR396" s="408">
        <v>0</v>
      </c>
      <c r="AS396" s="408">
        <v>0</v>
      </c>
      <c r="AT396" s="408">
        <v>0</v>
      </c>
      <c r="AU396" s="408">
        <v>0</v>
      </c>
      <c r="AV396" s="408">
        <v>0</v>
      </c>
      <c r="AW396" s="408">
        <v>0</v>
      </c>
      <c r="AX396" s="408">
        <v>0</v>
      </c>
      <c r="AY396" s="408">
        <v>0</v>
      </c>
      <c r="AZ396" s="408">
        <v>0</v>
      </c>
      <c r="BA396" s="408"/>
      <c r="BB396" s="408">
        <v>0</v>
      </c>
      <c r="BC396" s="408">
        <v>0</v>
      </c>
      <c r="BD396" s="408">
        <v>13.781812442772992</v>
      </c>
      <c r="BE396" s="408">
        <v>0</v>
      </c>
      <c r="BF396" s="408">
        <v>0</v>
      </c>
      <c r="BG396" s="408">
        <v>821.21277972428584</v>
      </c>
      <c r="BH396" s="408">
        <v>0</v>
      </c>
      <c r="BI396" s="408">
        <v>18.940000000000001</v>
      </c>
      <c r="BJ396" s="408">
        <v>90.27</v>
      </c>
      <c r="BK396" s="408">
        <v>10076.129999999999</v>
      </c>
      <c r="BL396" s="408">
        <v>190</v>
      </c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>
        <v>5782.0053512424684</v>
      </c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>
        <v>11904.471600000001</v>
      </c>
      <c r="CJ396" s="408">
        <v>-6360.2291999999979</v>
      </c>
      <c r="CK396" s="408"/>
      <c r="CL396" s="408"/>
      <c r="CM396" s="408"/>
      <c r="CN396" s="408"/>
      <c r="CO396" s="408">
        <v>-7115.91</v>
      </c>
      <c r="CP396" s="408">
        <v>755.71079999999995</v>
      </c>
      <c r="CQ396" s="408">
        <v>31</v>
      </c>
      <c r="CR396" s="408">
        <v>895.14108340505481</v>
      </c>
      <c r="CS396" s="408">
        <v>21.21828088758943</v>
      </c>
      <c r="CT396" s="408">
        <v>66.478656366962355</v>
      </c>
      <c r="CU396" s="408">
        <v>0</v>
      </c>
      <c r="CV396" s="408">
        <v>0</v>
      </c>
      <c r="CW396" s="408">
        <v>0</v>
      </c>
      <c r="CX396" s="408">
        <v>0</v>
      </c>
      <c r="CY396" s="408">
        <v>0</v>
      </c>
      <c r="CZ396" s="408">
        <v>1.8611992244623146</v>
      </c>
      <c r="DA396" s="408">
        <v>0</v>
      </c>
      <c r="DB396" s="408">
        <v>0</v>
      </c>
      <c r="DC396" s="408">
        <v>755.80792200157339</v>
      </c>
      <c r="DD396" s="408">
        <v>0</v>
      </c>
      <c r="DE396" s="408">
        <v>0</v>
      </c>
      <c r="DF396" s="408">
        <v>2.1055953849865148</v>
      </c>
      <c r="DG396" s="408">
        <v>125.46548911904279</v>
      </c>
      <c r="DH396" s="408">
        <v>0</v>
      </c>
      <c r="DI396" s="408">
        <v>-67.066850897551149</v>
      </c>
      <c r="DJ396" s="408"/>
      <c r="DK396" s="408">
        <v>0</v>
      </c>
      <c r="DL396" s="408">
        <v>0</v>
      </c>
      <c r="DM396" s="408">
        <v>0</v>
      </c>
      <c r="DN396" s="408">
        <v>0</v>
      </c>
      <c r="DO396" s="408">
        <v>-8.7967550014138283</v>
      </c>
      <c r="DP396" s="408">
        <v>-1.9324536805982149</v>
      </c>
      <c r="DQ396" s="408">
        <v>0</v>
      </c>
      <c r="DR396" s="408">
        <v>0</v>
      </c>
      <c r="DS396" s="408"/>
      <c r="DT396" s="408"/>
      <c r="DU396" s="408"/>
      <c r="DV396" s="408">
        <v>9875.0457691033062</v>
      </c>
      <c r="DW396" s="408">
        <v>0</v>
      </c>
      <c r="DX396" s="408">
        <v>0</v>
      </c>
      <c r="DY396" s="408">
        <v>-7115.91</v>
      </c>
      <c r="DZ396" s="234">
        <v>755.71079999999984</v>
      </c>
      <c r="EA396" s="408">
        <v>0</v>
      </c>
      <c r="EB396" s="408">
        <v>0</v>
      </c>
      <c r="EC396" s="408">
        <v>-7255.2930740971842</v>
      </c>
      <c r="ED396" s="408">
        <v>0</v>
      </c>
      <c r="EE396" s="408">
        <v>0</v>
      </c>
      <c r="EF396" s="408">
        <v>0</v>
      </c>
      <c r="EG396" s="408">
        <v>0</v>
      </c>
      <c r="EH396" s="408">
        <v>0</v>
      </c>
      <c r="EI396" s="408">
        <v>0</v>
      </c>
      <c r="EJ396" s="408">
        <v>0</v>
      </c>
      <c r="EK396" s="408">
        <v>0</v>
      </c>
      <c r="EL396" s="408">
        <v>0</v>
      </c>
      <c r="EM396" s="408">
        <v>0</v>
      </c>
      <c r="EN396" s="408">
        <v>0</v>
      </c>
      <c r="EO396" s="408">
        <v>0</v>
      </c>
      <c r="EP396" s="408">
        <v>0</v>
      </c>
      <c r="EQ396" s="408">
        <v>0</v>
      </c>
      <c r="ER396" s="408">
        <v>0</v>
      </c>
      <c r="ES396" s="408">
        <v>0</v>
      </c>
      <c r="ET396" s="408">
        <v>0</v>
      </c>
      <c r="EU396" s="408">
        <v>0</v>
      </c>
      <c r="EV396" s="408">
        <v>242</v>
      </c>
      <c r="EW396" s="408">
        <v>0</v>
      </c>
      <c r="EX396" s="408">
        <v>0</v>
      </c>
      <c r="EY396" s="408">
        <v>0</v>
      </c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395</v>
      </c>
      <c r="B397" s="408" t="s">
        <v>2234</v>
      </c>
      <c r="C397" s="408" t="s">
        <v>2231</v>
      </c>
      <c r="D397" s="408" t="s">
        <v>1952</v>
      </c>
      <c r="E397" s="408" t="s">
        <v>969</v>
      </c>
      <c r="F397" s="408" t="s">
        <v>969</v>
      </c>
      <c r="G397" s="408" t="s">
        <v>1322</v>
      </c>
      <c r="H397" s="408" t="s">
        <v>1322</v>
      </c>
      <c r="I397" s="408" t="s">
        <v>1322</v>
      </c>
      <c r="J397" s="408" t="s">
        <v>2232</v>
      </c>
      <c r="K397" s="828">
        <v>44621</v>
      </c>
      <c r="L397" s="408">
        <v>0</v>
      </c>
      <c r="M397" s="408">
        <v>0</v>
      </c>
      <c r="N397" s="408">
        <v>-0.05</v>
      </c>
      <c r="O397" s="408">
        <v>-0.05</v>
      </c>
      <c r="P397" s="408">
        <v>-0.05</v>
      </c>
      <c r="Q397" s="408">
        <v>-0.05</v>
      </c>
      <c r="R397" s="408"/>
      <c r="S397" s="408">
        <v>571.87</v>
      </c>
      <c r="T397" s="408">
        <v>216.76</v>
      </c>
      <c r="U397" s="408"/>
      <c r="V397" s="408">
        <v>-39.4315</v>
      </c>
      <c r="W397" s="408">
        <v>-39.4315</v>
      </c>
      <c r="X397" s="408">
        <v>-25.700500000000002</v>
      </c>
      <c r="Y397" s="408">
        <v>0</v>
      </c>
      <c r="Z397" s="408">
        <v>-3.0305308522019652</v>
      </c>
      <c r="AA397" s="408">
        <v>0</v>
      </c>
      <c r="AB397" s="408">
        <v>0</v>
      </c>
      <c r="AC397" s="408">
        <v>0</v>
      </c>
      <c r="AD397" s="408">
        <v>-4.1095684975406603E-2</v>
      </c>
      <c r="AE397" s="408">
        <v>-21.319183439342201</v>
      </c>
      <c r="AF397" s="408">
        <v>-10.680075041181802</v>
      </c>
      <c r="AG397" s="408">
        <v>-0.15787023682261803</v>
      </c>
      <c r="AH397" s="408">
        <v>0</v>
      </c>
      <c r="AI397" s="408">
        <v>0</v>
      </c>
      <c r="AJ397" s="408">
        <v>0</v>
      </c>
      <c r="AK397" s="408">
        <v>0</v>
      </c>
      <c r="AL397" s="408">
        <v>-0.4686816829284885</v>
      </c>
      <c r="AM397" s="408"/>
      <c r="AN397" s="408">
        <v>-9.5923477807756508E-2</v>
      </c>
      <c r="AO397" s="408">
        <v>-0.44408488745514196</v>
      </c>
      <c r="AP397" s="408">
        <v>-1.39135525574833</v>
      </c>
      <c r="AQ397" s="408">
        <v>0</v>
      </c>
      <c r="AR397" s="408">
        <v>0</v>
      </c>
      <c r="AS397" s="408">
        <v>0</v>
      </c>
      <c r="AT397" s="408">
        <v>0</v>
      </c>
      <c r="AU397" s="408">
        <v>0</v>
      </c>
      <c r="AV397" s="408">
        <v>0</v>
      </c>
      <c r="AW397" s="408">
        <v>0</v>
      </c>
      <c r="AX397" s="408">
        <v>0</v>
      </c>
      <c r="AY397" s="408">
        <v>0</v>
      </c>
      <c r="AZ397" s="408">
        <v>0</v>
      </c>
      <c r="BA397" s="408"/>
      <c r="BB397" s="408">
        <v>0</v>
      </c>
      <c r="BC397" s="408">
        <v>0</v>
      </c>
      <c r="BD397" s="408">
        <v>-2.97534810940695E-2</v>
      </c>
      <c r="BE397" s="408">
        <v>0</v>
      </c>
      <c r="BF397" s="408">
        <v>0</v>
      </c>
      <c r="BG397" s="408">
        <v>-1.7729118733253149</v>
      </c>
      <c r="BH397" s="408">
        <v>0</v>
      </c>
      <c r="BI397" s="408">
        <v>-0.85</v>
      </c>
      <c r="BJ397" s="408">
        <v>-3.9</v>
      </c>
      <c r="BK397" s="408">
        <v>-69.790000000000006</v>
      </c>
      <c r="BL397" s="408">
        <v>2</v>
      </c>
      <c r="BM397" s="408"/>
      <c r="BN397" s="408"/>
      <c r="BO397" s="408"/>
      <c r="BP397" s="408"/>
      <c r="BQ397" s="408"/>
      <c r="BR397" s="408"/>
      <c r="BS397" s="408"/>
      <c r="BT397" s="408"/>
      <c r="BU397" s="408"/>
      <c r="BV397" s="408">
        <v>-12.482740395601185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-25.700500000000002</v>
      </c>
      <c r="CJ397" s="408">
        <v>13.701000000000004</v>
      </c>
      <c r="CK397" s="408"/>
      <c r="CL397" s="408"/>
      <c r="CM397" s="408"/>
      <c r="CN397" s="408"/>
      <c r="CO397" s="408">
        <v>15.362500000000001</v>
      </c>
      <c r="CP397" s="408">
        <v>-1.6315</v>
      </c>
      <c r="CQ397" s="408">
        <v>31</v>
      </c>
      <c r="CR397" s="408">
        <v>-1.9325152923252453</v>
      </c>
      <c r="CS397" s="408">
        <v>-4.5808033004295035E-2</v>
      </c>
      <c r="CT397" s="408">
        <v>-0.14352041530000514</v>
      </c>
      <c r="CU397" s="408">
        <v>0</v>
      </c>
      <c r="CV397" s="408">
        <v>0</v>
      </c>
      <c r="CW397" s="408">
        <v>0</v>
      </c>
      <c r="CX397" s="408">
        <v>0</v>
      </c>
      <c r="CY397" s="408">
        <v>0</v>
      </c>
      <c r="CZ397" s="408">
        <v>-4.0181330407217455E-3</v>
      </c>
      <c r="DA397" s="408">
        <v>0</v>
      </c>
      <c r="DB397" s="408">
        <v>0</v>
      </c>
      <c r="DC397" s="408">
        <v>-1.6317096761691996</v>
      </c>
      <c r="DD397" s="408">
        <v>0</v>
      </c>
      <c r="DE397" s="408">
        <v>0</v>
      </c>
      <c r="DF397" s="408">
        <v>-4.5457586031660488E-3</v>
      </c>
      <c r="DG397" s="408">
        <v>-0.2708667727095051</v>
      </c>
      <c r="DH397" s="408">
        <v>0</v>
      </c>
      <c r="DI397" s="408">
        <v>0.14479026532286499</v>
      </c>
      <c r="DJ397" s="408"/>
      <c r="DK397" s="408">
        <v>0</v>
      </c>
      <c r="DL397" s="408">
        <v>0</v>
      </c>
      <c r="DM397" s="408">
        <v>0</v>
      </c>
      <c r="DN397" s="408">
        <v>0</v>
      </c>
      <c r="DO397" s="408">
        <v>1.8991267274209467E-2</v>
      </c>
      <c r="DP397" s="408">
        <v>4.1719639045730006E-3</v>
      </c>
      <c r="DQ397" s="408">
        <v>0</v>
      </c>
      <c r="DR397" s="408">
        <v>0</v>
      </c>
      <c r="DS397" s="408"/>
      <c r="DT397" s="408"/>
      <c r="DU397" s="408"/>
      <c r="DV397" s="408">
        <v>-21.319183439342201</v>
      </c>
      <c r="DW397" s="408">
        <v>0</v>
      </c>
      <c r="DX397" s="408">
        <v>0</v>
      </c>
      <c r="DY397" s="408">
        <v>15.362500000000001</v>
      </c>
      <c r="DZ397" s="234">
        <v>-1.6314999999999991</v>
      </c>
      <c r="EA397" s="408">
        <v>0</v>
      </c>
      <c r="EB397" s="408">
        <v>0</v>
      </c>
      <c r="EC397" s="408">
        <v>15.663413372403252</v>
      </c>
      <c r="ED397" s="408">
        <v>0</v>
      </c>
      <c r="EE397" s="408">
        <v>0</v>
      </c>
      <c r="EF397" s="408">
        <v>0</v>
      </c>
      <c r="EG397" s="408">
        <v>0</v>
      </c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>
        <v>0</v>
      </c>
      <c r="EN397" s="408">
        <v>0</v>
      </c>
      <c r="EO397" s="408">
        <v>0</v>
      </c>
      <c r="EP397" s="408">
        <v>0</v>
      </c>
      <c r="EQ397" s="408">
        <v>0</v>
      </c>
      <c r="ER397" s="408">
        <v>0</v>
      </c>
      <c r="ES397" s="408">
        <v>0</v>
      </c>
      <c r="ET397" s="408">
        <v>0</v>
      </c>
      <c r="EU397" s="408">
        <v>0</v>
      </c>
      <c r="EV397" s="408">
        <v>242</v>
      </c>
      <c r="EW397" s="408">
        <v>0</v>
      </c>
      <c r="EX397" s="408">
        <v>0</v>
      </c>
      <c r="EY397" s="408">
        <v>0</v>
      </c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396</v>
      </c>
      <c r="B398" s="408" t="s">
        <v>1036</v>
      </c>
      <c r="C398" s="408" t="s">
        <v>2231</v>
      </c>
      <c r="D398" s="408" t="s">
        <v>1952</v>
      </c>
      <c r="E398" s="408" t="s">
        <v>969</v>
      </c>
      <c r="F398" s="408" t="s">
        <v>2235</v>
      </c>
      <c r="G398" s="408" t="s">
        <v>1322</v>
      </c>
      <c r="H398" s="408" t="s">
        <v>1322</v>
      </c>
      <c r="I398" s="408" t="s">
        <v>1322</v>
      </c>
      <c r="J398" s="408" t="s">
        <v>2232</v>
      </c>
      <c r="K398" s="828">
        <v>44621</v>
      </c>
      <c r="L398" s="408">
        <v>0</v>
      </c>
      <c r="M398" s="408">
        <v>0</v>
      </c>
      <c r="N398" s="408">
        <v>5.46</v>
      </c>
      <c r="O398" s="408">
        <v>5.46</v>
      </c>
      <c r="P398" s="408">
        <v>5.46</v>
      </c>
      <c r="Q398" s="408">
        <v>5.46</v>
      </c>
      <c r="R398" s="408"/>
      <c r="S398" s="408">
        <v>501.89</v>
      </c>
      <c r="T398" s="408">
        <v>216.76</v>
      </c>
      <c r="U398" s="408"/>
      <c r="V398" s="408">
        <v>3923.8289999999997</v>
      </c>
      <c r="W398" s="408">
        <v>3923.8289999999997</v>
      </c>
      <c r="X398" s="408">
        <v>2442.2579999999998</v>
      </c>
      <c r="Y398" s="408">
        <v>0</v>
      </c>
      <c r="Z398" s="408">
        <v>0</v>
      </c>
      <c r="AA398" s="408">
        <v>0</v>
      </c>
      <c r="AB398" s="408">
        <v>0</v>
      </c>
      <c r="AC398" s="408">
        <v>0</v>
      </c>
      <c r="AD398" s="408">
        <v>4.4876487993144005</v>
      </c>
      <c r="AE398" s="408">
        <v>2328.054831576168</v>
      </c>
      <c r="AF398" s="408">
        <v>1166.2641944970526</v>
      </c>
      <c r="AG398" s="408">
        <v>17.239429861029887</v>
      </c>
      <c r="AH398" s="408">
        <v>0</v>
      </c>
      <c r="AI398" s="408">
        <v>0</v>
      </c>
      <c r="AJ398" s="408">
        <v>0</v>
      </c>
      <c r="AK398" s="408">
        <v>0</v>
      </c>
      <c r="AL398" s="408">
        <v>0</v>
      </c>
      <c r="AM398" s="408"/>
      <c r="AN398" s="408">
        <v>10.47484377660701</v>
      </c>
      <c r="AO398" s="408">
        <v>48.494069710101499</v>
      </c>
      <c r="AP398" s="408">
        <v>151.93599392771762</v>
      </c>
      <c r="AQ398" s="408">
        <v>0</v>
      </c>
      <c r="AR398" s="408">
        <v>0</v>
      </c>
      <c r="AS398" s="408">
        <v>0</v>
      </c>
      <c r="AT398" s="408">
        <v>0</v>
      </c>
      <c r="AU398" s="408">
        <v>0</v>
      </c>
      <c r="AV398" s="408">
        <v>0</v>
      </c>
      <c r="AW398" s="408">
        <v>0</v>
      </c>
      <c r="AX398" s="408">
        <v>0</v>
      </c>
      <c r="AY398" s="408">
        <v>0</v>
      </c>
      <c r="AZ398" s="408">
        <v>0</v>
      </c>
      <c r="BA398" s="408"/>
      <c r="BB398" s="408">
        <v>0</v>
      </c>
      <c r="BC398" s="408">
        <v>0</v>
      </c>
      <c r="BD398" s="408">
        <v>3.2490801354723895</v>
      </c>
      <c r="BE398" s="408">
        <v>0</v>
      </c>
      <c r="BF398" s="408">
        <v>0</v>
      </c>
      <c r="BG398" s="408">
        <v>193.60197656712438</v>
      </c>
      <c r="BH398" s="408">
        <v>0</v>
      </c>
      <c r="BI398" s="408">
        <v>1.2</v>
      </c>
      <c r="BJ398" s="408">
        <v>4.26</v>
      </c>
      <c r="BK398" s="408">
        <v>272.72000000000003</v>
      </c>
      <c r="BL398" s="408">
        <v>7</v>
      </c>
      <c r="BM398" s="408"/>
      <c r="BN398" s="408"/>
      <c r="BO398" s="408"/>
      <c r="BP398" s="408"/>
      <c r="BQ398" s="408"/>
      <c r="BR398" s="408"/>
      <c r="BS398" s="408"/>
      <c r="BT398" s="408">
        <v>1587.4403999999997</v>
      </c>
      <c r="BU398" s="408"/>
      <c r="BV398" s="408">
        <v>1363.1152511996495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854.81759999999997</v>
      </c>
      <c r="CJ398" s="408">
        <v>-518.56620000000009</v>
      </c>
      <c r="CK398" s="408"/>
      <c r="CL398" s="408"/>
      <c r="CM398" s="408"/>
      <c r="CN398" s="408"/>
      <c r="CO398" s="408">
        <v>-1659.7308</v>
      </c>
      <c r="CP398" s="408">
        <v>178.15979999999996</v>
      </c>
      <c r="CQ398" s="408">
        <v>31</v>
      </c>
      <c r="CR398" s="408">
        <v>228.91561328151693</v>
      </c>
      <c r="CS398" s="408">
        <v>5.0022372040690186</v>
      </c>
      <c r="CT398" s="408">
        <v>15.672429350760552</v>
      </c>
      <c r="CU398" s="408">
        <v>0</v>
      </c>
      <c r="CV398" s="408">
        <v>0</v>
      </c>
      <c r="CW398" s="408">
        <v>0</v>
      </c>
      <c r="CX398" s="408">
        <v>0</v>
      </c>
      <c r="CY398" s="408">
        <v>0</v>
      </c>
      <c r="CZ398" s="408">
        <v>0.43878012804681532</v>
      </c>
      <c r="DA398" s="408">
        <v>0</v>
      </c>
      <c r="DB398" s="408">
        <v>0</v>
      </c>
      <c r="DC398" s="408">
        <v>178.1826966376766</v>
      </c>
      <c r="DD398" s="408">
        <v>0</v>
      </c>
      <c r="DE398" s="408">
        <v>0</v>
      </c>
      <c r="DF398" s="408">
        <v>0.49639683946573276</v>
      </c>
      <c r="DG398" s="408">
        <v>29.578651579877942</v>
      </c>
      <c r="DH398" s="408">
        <v>0</v>
      </c>
      <c r="DI398" s="408">
        <v>0</v>
      </c>
      <c r="DJ398" s="408"/>
      <c r="DK398" s="408">
        <v>0</v>
      </c>
      <c r="DL398" s="408">
        <v>0</v>
      </c>
      <c r="DM398" s="408">
        <v>0</v>
      </c>
      <c r="DN398" s="408">
        <v>0</v>
      </c>
      <c r="DO398" s="408">
        <v>0</v>
      </c>
      <c r="DP398" s="408">
        <v>-0.45557845837937094</v>
      </c>
      <c r="DQ398" s="408">
        <v>0</v>
      </c>
      <c r="DR398" s="408">
        <v>0</v>
      </c>
      <c r="DS398" s="408"/>
      <c r="DT398" s="408"/>
      <c r="DU398" s="408"/>
      <c r="DV398" s="408">
        <v>2328.054831576168</v>
      </c>
      <c r="DW398" s="408">
        <v>0</v>
      </c>
      <c r="DX398" s="408">
        <v>0</v>
      </c>
      <c r="DY398" s="408">
        <v>-1659.7307999999998</v>
      </c>
      <c r="DZ398" s="234">
        <v>178.15980000000013</v>
      </c>
      <c r="EA398" s="408">
        <v>0</v>
      </c>
      <c r="EB398" s="408">
        <v>0</v>
      </c>
      <c r="EC398" s="408">
        <v>-1710.4447402664346</v>
      </c>
      <c r="ED398" s="408">
        <v>0</v>
      </c>
      <c r="EE398" s="408">
        <v>0</v>
      </c>
      <c r="EF398" s="408">
        <v>0</v>
      </c>
      <c r="EG398" s="408">
        <v>0</v>
      </c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>
        <v>0</v>
      </c>
      <c r="EN398" s="408">
        <v>0</v>
      </c>
      <c r="EO398" s="408">
        <v>0</v>
      </c>
      <c r="EP398" s="408">
        <v>0</v>
      </c>
      <c r="EQ398" s="408">
        <v>0</v>
      </c>
      <c r="ER398" s="408">
        <v>0</v>
      </c>
      <c r="ES398" s="408">
        <v>0</v>
      </c>
      <c r="ET398" s="408">
        <v>0</v>
      </c>
      <c r="EU398" s="408">
        <v>0</v>
      </c>
      <c r="EV398" s="408">
        <v>242</v>
      </c>
      <c r="EW398" s="408">
        <v>0</v>
      </c>
      <c r="EX398" s="408">
        <v>0</v>
      </c>
      <c r="EY398" s="408">
        <v>0</v>
      </c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397</v>
      </c>
      <c r="B399" s="408" t="s">
        <v>2234</v>
      </c>
      <c r="C399" s="408" t="s">
        <v>2231</v>
      </c>
      <c r="D399" s="408" t="s">
        <v>1952</v>
      </c>
      <c r="E399" s="408" t="s">
        <v>969</v>
      </c>
      <c r="F399" s="408" t="s">
        <v>2235</v>
      </c>
      <c r="G399" s="408" t="s">
        <v>1322</v>
      </c>
      <c r="H399" s="408" t="s">
        <v>1322</v>
      </c>
      <c r="I399" s="408" t="s">
        <v>1322</v>
      </c>
      <c r="J399" s="408" t="s">
        <v>2232</v>
      </c>
      <c r="K399" s="828">
        <v>44621</v>
      </c>
      <c r="L399" s="408">
        <v>0</v>
      </c>
      <c r="M399" s="408">
        <v>0</v>
      </c>
      <c r="N399" s="408">
        <v>0</v>
      </c>
      <c r="O399" s="408">
        <v>0</v>
      </c>
      <c r="P399" s="408">
        <v>0</v>
      </c>
      <c r="Q399" s="408">
        <v>0</v>
      </c>
      <c r="R399" s="408"/>
      <c r="S399" s="408"/>
      <c r="T399" s="408"/>
      <c r="U399" s="408"/>
      <c r="V399" s="408"/>
      <c r="W399" s="408"/>
      <c r="X399" s="408"/>
      <c r="Y399" s="408"/>
      <c r="Z399" s="408"/>
      <c r="AA399" s="408">
        <v>0</v>
      </c>
      <c r="AB399" s="408"/>
      <c r="AC399" s="408"/>
      <c r="AD399" s="408"/>
      <c r="AE399" s="408"/>
      <c r="AF399" s="408"/>
      <c r="AG399" s="408"/>
      <c r="AH399" s="408"/>
      <c r="AI399" s="408"/>
      <c r="AJ399" s="408"/>
      <c r="AK399" s="408"/>
      <c r="AL399" s="408"/>
      <c r="AM399" s="408"/>
      <c r="AN399" s="408"/>
      <c r="AO399" s="408"/>
      <c r="AP399" s="408"/>
      <c r="AQ399" s="408"/>
      <c r="AR399" s="408"/>
      <c r="AS399" s="408"/>
      <c r="AT399" s="408"/>
      <c r="AU399" s="408"/>
      <c r="AV399" s="408"/>
      <c r="AW399" s="408"/>
      <c r="AX399" s="408"/>
      <c r="AY399" s="408"/>
      <c r="AZ399" s="408">
        <v>0</v>
      </c>
      <c r="BA399" s="408"/>
      <c r="BB399" s="408"/>
      <c r="BC399" s="408"/>
      <c r="BD399" s="408"/>
      <c r="BE399" s="408"/>
      <c r="BF399" s="408"/>
      <c r="BG399" s="408"/>
      <c r="BH399" s="408"/>
      <c r="BI399" s="408">
        <v>0</v>
      </c>
      <c r="BJ399" s="408">
        <v>0</v>
      </c>
      <c r="BK399" s="408">
        <v>0.69</v>
      </c>
      <c r="BL399" s="408">
        <v>0</v>
      </c>
      <c r="BM399" s="408"/>
      <c r="BN399" s="408"/>
      <c r="BO399" s="408"/>
      <c r="BP399" s="408"/>
      <c r="BQ399" s="408"/>
      <c r="BR399" s="408"/>
      <c r="BS399" s="408"/>
      <c r="BT399" s="408"/>
      <c r="BU399" s="408"/>
      <c r="BV399" s="408"/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/>
      <c r="CJ399" s="408">
        <v>-0.03</v>
      </c>
      <c r="CK399" s="408"/>
      <c r="CL399" s="408"/>
      <c r="CM399" s="408"/>
      <c r="CN399" s="408"/>
      <c r="CO399" s="408">
        <v>0</v>
      </c>
      <c r="CP399" s="408">
        <v>0</v>
      </c>
      <c r="CQ399" s="408">
        <v>31</v>
      </c>
      <c r="CR399" s="408"/>
      <c r="CS399" s="408"/>
      <c r="CT399" s="408"/>
      <c r="CU399" s="408"/>
      <c r="CV399" s="408"/>
      <c r="CW399" s="408"/>
      <c r="CX399" s="408"/>
      <c r="CY399" s="408"/>
      <c r="CZ399" s="408"/>
      <c r="DA399" s="408"/>
      <c r="DB399" s="408"/>
      <c r="DC399" s="408"/>
      <c r="DD399" s="408"/>
      <c r="DE399" s="408"/>
      <c r="DF399" s="408"/>
      <c r="DG399" s="408"/>
      <c r="DH399" s="408"/>
      <c r="DI399" s="408"/>
      <c r="DJ399" s="408"/>
      <c r="DK399" s="408">
        <v>0</v>
      </c>
      <c r="DL399" s="408"/>
      <c r="DM399" s="408"/>
      <c r="DN399" s="408"/>
      <c r="DO399" s="408"/>
      <c r="DP399" s="408"/>
      <c r="DQ399" s="408"/>
      <c r="DR399" s="408"/>
      <c r="DS399" s="408"/>
      <c r="DT399" s="408"/>
      <c r="DU399" s="408"/>
      <c r="DV399" s="408"/>
      <c r="DW399" s="408"/>
      <c r="DX399" s="408"/>
      <c r="DY399" s="408"/>
      <c r="DZ399" s="234"/>
      <c r="EA399" s="408"/>
      <c r="EB399" s="408"/>
      <c r="EC399" s="408"/>
      <c r="ED399" s="408"/>
      <c r="EE399" s="408"/>
      <c r="EF399" s="408"/>
      <c r="EG399" s="408"/>
      <c r="EH399" s="408"/>
      <c r="EI399" s="408"/>
      <c r="EJ399" s="408"/>
      <c r="EK399" s="408"/>
      <c r="EL399" s="408"/>
      <c r="EM399" s="408"/>
      <c r="EN399" s="408"/>
      <c r="EO399" s="408"/>
      <c r="EP399" s="408"/>
      <c r="EQ399" s="408"/>
      <c r="ER399" s="408"/>
      <c r="ES399" s="408"/>
      <c r="ET399" s="408"/>
      <c r="EU399" s="408"/>
      <c r="EV399" s="408">
        <v>242</v>
      </c>
      <c r="EW399" s="408"/>
      <c r="EX399" s="408"/>
      <c r="EY399" s="408"/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398</v>
      </c>
      <c r="B400" s="408" t="s">
        <v>1036</v>
      </c>
      <c r="C400" s="408" t="s">
        <v>2231</v>
      </c>
      <c r="D400" s="408" t="s">
        <v>1952</v>
      </c>
      <c r="E400" s="408" t="s">
        <v>969</v>
      </c>
      <c r="F400" s="408" t="s">
        <v>2236</v>
      </c>
      <c r="G400" s="408" t="s">
        <v>1322</v>
      </c>
      <c r="H400" s="408" t="s">
        <v>1322</v>
      </c>
      <c r="I400" s="408" t="s">
        <v>1322</v>
      </c>
      <c r="J400" s="408" t="s">
        <v>2232</v>
      </c>
      <c r="K400" s="828">
        <v>44621</v>
      </c>
      <c r="L400" s="408">
        <v>0</v>
      </c>
      <c r="M400" s="408">
        <v>0</v>
      </c>
      <c r="N400" s="408">
        <v>11.36</v>
      </c>
      <c r="O400" s="408">
        <v>11.36</v>
      </c>
      <c r="P400" s="408">
        <v>11.36</v>
      </c>
      <c r="Q400" s="408">
        <v>11.36</v>
      </c>
      <c r="R400" s="408"/>
      <c r="S400" s="408">
        <v>501.89</v>
      </c>
      <c r="T400" s="408">
        <v>216.76</v>
      </c>
      <c r="U400" s="408"/>
      <c r="V400" s="408">
        <v>8163.8639999999996</v>
      </c>
      <c r="W400" s="408">
        <v>8163.8639999999996</v>
      </c>
      <c r="X400" s="408">
        <v>5081.3279999999995</v>
      </c>
      <c r="Y400" s="408">
        <v>0</v>
      </c>
      <c r="Z400" s="408">
        <v>0</v>
      </c>
      <c r="AA400" s="408">
        <v>0</v>
      </c>
      <c r="AB400" s="408">
        <v>0</v>
      </c>
      <c r="AC400" s="408">
        <v>0</v>
      </c>
      <c r="AD400" s="408">
        <v>9.336939626412379</v>
      </c>
      <c r="AE400" s="408">
        <v>4843.718477418548</v>
      </c>
      <c r="AF400" s="408">
        <v>2426.5130493565048</v>
      </c>
      <c r="AG400" s="408">
        <v>35.868117806098809</v>
      </c>
      <c r="AH400" s="408">
        <v>0</v>
      </c>
      <c r="AI400" s="408">
        <v>0</v>
      </c>
      <c r="AJ400" s="408">
        <v>0</v>
      </c>
      <c r="AK400" s="408">
        <v>0</v>
      </c>
      <c r="AL400" s="408">
        <v>0</v>
      </c>
      <c r="AM400" s="408"/>
      <c r="AN400" s="408">
        <v>21.793814157922274</v>
      </c>
      <c r="AO400" s="408">
        <v>100.89608642980825</v>
      </c>
      <c r="AP400" s="408">
        <v>316.11591410602057</v>
      </c>
      <c r="AQ400" s="408">
        <v>0</v>
      </c>
      <c r="AR400" s="408">
        <v>0</v>
      </c>
      <c r="AS400" s="408">
        <v>0</v>
      </c>
      <c r="AT400" s="408">
        <v>0</v>
      </c>
      <c r="AU400" s="408">
        <v>0</v>
      </c>
      <c r="AV400" s="408">
        <v>0</v>
      </c>
      <c r="AW400" s="408">
        <v>0</v>
      </c>
      <c r="AX400" s="408">
        <v>0</v>
      </c>
      <c r="AY400" s="408">
        <v>0</v>
      </c>
      <c r="AZ400" s="408">
        <v>0</v>
      </c>
      <c r="BA400" s="408"/>
      <c r="BB400" s="408">
        <v>0</v>
      </c>
      <c r="BC400" s="408">
        <v>0</v>
      </c>
      <c r="BD400" s="408">
        <v>6.7599909045725903</v>
      </c>
      <c r="BE400" s="408">
        <v>0</v>
      </c>
      <c r="BF400" s="408">
        <v>0</v>
      </c>
      <c r="BG400" s="408">
        <v>402.8055776195115</v>
      </c>
      <c r="BH400" s="408">
        <v>0</v>
      </c>
      <c r="BI400" s="408">
        <v>3.55</v>
      </c>
      <c r="BJ400" s="408">
        <v>19.09</v>
      </c>
      <c r="BK400" s="408">
        <v>1018.44</v>
      </c>
      <c r="BL400" s="408">
        <v>27</v>
      </c>
      <c r="BM400" s="408"/>
      <c r="BN400" s="408"/>
      <c r="BO400" s="408"/>
      <c r="BP400" s="408"/>
      <c r="BQ400" s="408"/>
      <c r="BR400" s="408"/>
      <c r="BS400" s="408"/>
      <c r="BT400" s="408">
        <v>2032.4175999999998</v>
      </c>
      <c r="BU400" s="408"/>
      <c r="BV400" s="408">
        <v>2836.0786178805888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3048.9103999999998</v>
      </c>
      <c r="CJ400" s="408">
        <v>-1849.4380000000001</v>
      </c>
      <c r="CK400" s="408"/>
      <c r="CL400" s="408"/>
      <c r="CM400" s="408"/>
      <c r="CN400" s="408"/>
      <c r="CO400" s="408">
        <v>-3453.2128000000002</v>
      </c>
      <c r="CP400" s="408">
        <v>370.67679999999996</v>
      </c>
      <c r="CQ400" s="408">
        <v>31</v>
      </c>
      <c r="CR400" s="408">
        <v>476.27863862235108</v>
      </c>
      <c r="CS400" s="408">
        <v>10.407585098575822</v>
      </c>
      <c r="CT400" s="408">
        <v>32.607838356161153</v>
      </c>
      <c r="CU400" s="408">
        <v>0</v>
      </c>
      <c r="CV400" s="408">
        <v>0</v>
      </c>
      <c r="CW400" s="408">
        <v>0</v>
      </c>
      <c r="CX400" s="408">
        <v>0</v>
      </c>
      <c r="CY400" s="408">
        <v>0</v>
      </c>
      <c r="CZ400" s="408">
        <v>0.91291982685198114</v>
      </c>
      <c r="DA400" s="408">
        <v>0</v>
      </c>
      <c r="DB400" s="408">
        <v>0</v>
      </c>
      <c r="DC400" s="408">
        <v>370.72443842564235</v>
      </c>
      <c r="DD400" s="408">
        <v>0</v>
      </c>
      <c r="DE400" s="408">
        <v>0</v>
      </c>
      <c r="DF400" s="408">
        <v>1.0327963546393262</v>
      </c>
      <c r="DG400" s="408">
        <v>61.540930759599576</v>
      </c>
      <c r="DH400" s="408">
        <v>0</v>
      </c>
      <c r="DI400" s="408">
        <v>0</v>
      </c>
      <c r="DJ400" s="408"/>
      <c r="DK400" s="408">
        <v>0</v>
      </c>
      <c r="DL400" s="408">
        <v>0</v>
      </c>
      <c r="DM400" s="408">
        <v>0</v>
      </c>
      <c r="DN400" s="408">
        <v>0</v>
      </c>
      <c r="DO400" s="408">
        <v>0</v>
      </c>
      <c r="DP400" s="408">
        <v>-0.9478701991189844</v>
      </c>
      <c r="DQ400" s="408">
        <v>0</v>
      </c>
      <c r="DR400" s="408">
        <v>0</v>
      </c>
      <c r="DS400" s="408"/>
      <c r="DT400" s="408"/>
      <c r="DU400" s="408"/>
      <c r="DV400" s="408">
        <v>4843.718477418548</v>
      </c>
      <c r="DW400" s="408">
        <v>0</v>
      </c>
      <c r="DX400" s="408">
        <v>0</v>
      </c>
      <c r="DY400" s="408">
        <v>-3453.2127999999993</v>
      </c>
      <c r="DZ400" s="234">
        <v>370.67679999999973</v>
      </c>
      <c r="EA400" s="408">
        <v>0</v>
      </c>
      <c r="EB400" s="408">
        <v>0</v>
      </c>
      <c r="EC400" s="408">
        <v>-3558.7275182100184</v>
      </c>
      <c r="ED400" s="408">
        <v>0</v>
      </c>
      <c r="EE400" s="408">
        <v>0</v>
      </c>
      <c r="EF400" s="408">
        <v>0</v>
      </c>
      <c r="EG400" s="408">
        <v>0</v>
      </c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>
        <v>0</v>
      </c>
      <c r="EN400" s="408">
        <v>0</v>
      </c>
      <c r="EO400" s="408">
        <v>0</v>
      </c>
      <c r="EP400" s="408">
        <v>0</v>
      </c>
      <c r="EQ400" s="408">
        <v>0</v>
      </c>
      <c r="ER400" s="408">
        <v>0</v>
      </c>
      <c r="ES400" s="408">
        <v>0</v>
      </c>
      <c r="ET400" s="408">
        <v>0</v>
      </c>
      <c r="EU400" s="408">
        <v>0</v>
      </c>
      <c r="EV400" s="408">
        <v>242</v>
      </c>
      <c r="EW400" s="408">
        <v>0</v>
      </c>
      <c r="EX400" s="408">
        <v>0</v>
      </c>
      <c r="EY400" s="408">
        <v>0</v>
      </c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399</v>
      </c>
      <c r="B401" s="408" t="s">
        <v>2234</v>
      </c>
      <c r="C401" s="408" t="s">
        <v>2231</v>
      </c>
      <c r="D401" s="408" t="s">
        <v>1952</v>
      </c>
      <c r="E401" s="408" t="s">
        <v>969</v>
      </c>
      <c r="F401" s="408" t="s">
        <v>2236</v>
      </c>
      <c r="G401" s="408" t="s">
        <v>1322</v>
      </c>
      <c r="H401" s="408" t="s">
        <v>1322</v>
      </c>
      <c r="I401" s="408" t="s">
        <v>1322</v>
      </c>
      <c r="J401" s="408" t="s">
        <v>2232</v>
      </c>
      <c r="K401" s="828">
        <v>44621</v>
      </c>
      <c r="L401" s="408">
        <v>0</v>
      </c>
      <c r="M401" s="408">
        <v>0</v>
      </c>
      <c r="N401" s="408">
        <v>0</v>
      </c>
      <c r="O401" s="408">
        <v>0</v>
      </c>
      <c r="P401" s="408">
        <v>0</v>
      </c>
      <c r="Q401" s="408">
        <v>0</v>
      </c>
      <c r="R401" s="408"/>
      <c r="S401" s="408"/>
      <c r="T401" s="408"/>
      <c r="U401" s="408"/>
      <c r="V401" s="408"/>
      <c r="W401" s="408"/>
      <c r="X401" s="408"/>
      <c r="Y401" s="408"/>
      <c r="Z401" s="408"/>
      <c r="AA401" s="408">
        <v>0</v>
      </c>
      <c r="AB401" s="408"/>
      <c r="AC401" s="408"/>
      <c r="AD401" s="408"/>
      <c r="AE401" s="408"/>
      <c r="AF401" s="408"/>
      <c r="AG401" s="408"/>
      <c r="AH401" s="408"/>
      <c r="AI401" s="408"/>
      <c r="AJ401" s="408"/>
      <c r="AK401" s="408"/>
      <c r="AL401" s="408"/>
      <c r="AM401" s="408"/>
      <c r="AN401" s="408"/>
      <c r="AO401" s="408"/>
      <c r="AP401" s="408"/>
      <c r="AQ401" s="408"/>
      <c r="AR401" s="408"/>
      <c r="AS401" s="408"/>
      <c r="AT401" s="408"/>
      <c r="AU401" s="408"/>
      <c r="AV401" s="408"/>
      <c r="AW401" s="408"/>
      <c r="AX401" s="408"/>
      <c r="AY401" s="408"/>
      <c r="AZ401" s="408">
        <v>0</v>
      </c>
      <c r="BA401" s="408"/>
      <c r="BB401" s="408"/>
      <c r="BC401" s="408"/>
      <c r="BD401" s="408"/>
      <c r="BE401" s="408"/>
      <c r="BF401" s="408"/>
      <c r="BG401" s="408"/>
      <c r="BH401" s="408"/>
      <c r="BI401" s="408">
        <v>0</v>
      </c>
      <c r="BJ401" s="408">
        <v>0</v>
      </c>
      <c r="BK401" s="408">
        <v>2.77</v>
      </c>
      <c r="BL401" s="408">
        <v>0</v>
      </c>
      <c r="BM401" s="408"/>
      <c r="BN401" s="408"/>
      <c r="BO401" s="408"/>
      <c r="BP401" s="408"/>
      <c r="BQ401" s="408"/>
      <c r="BR401" s="408"/>
      <c r="BS401" s="408"/>
      <c r="BT401" s="408"/>
      <c r="BU401" s="408"/>
      <c r="BV401" s="408"/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/>
      <c r="CJ401" s="408">
        <v>-0.03</v>
      </c>
      <c r="CK401" s="408"/>
      <c r="CL401" s="408"/>
      <c r="CM401" s="408"/>
      <c r="CN401" s="408"/>
      <c r="CO401" s="408">
        <v>0</v>
      </c>
      <c r="CP401" s="408">
        <v>0</v>
      </c>
      <c r="CQ401" s="408">
        <v>31</v>
      </c>
      <c r="CR401" s="408"/>
      <c r="CS401" s="408"/>
      <c r="CT401" s="408"/>
      <c r="CU401" s="408"/>
      <c r="CV401" s="408"/>
      <c r="CW401" s="408"/>
      <c r="CX401" s="408"/>
      <c r="CY401" s="408"/>
      <c r="CZ401" s="408"/>
      <c r="DA401" s="408"/>
      <c r="DB401" s="408"/>
      <c r="DC401" s="408"/>
      <c r="DD401" s="408"/>
      <c r="DE401" s="408"/>
      <c r="DF401" s="408"/>
      <c r="DG401" s="408"/>
      <c r="DH401" s="408"/>
      <c r="DI401" s="408"/>
      <c r="DJ401" s="408"/>
      <c r="DK401" s="408">
        <v>0</v>
      </c>
      <c r="DL401" s="408"/>
      <c r="DM401" s="408"/>
      <c r="DN401" s="408"/>
      <c r="DO401" s="408"/>
      <c r="DP401" s="408"/>
      <c r="DQ401" s="408"/>
      <c r="DR401" s="408"/>
      <c r="DS401" s="408"/>
      <c r="DT401" s="408"/>
      <c r="DU401" s="408"/>
      <c r="DV401" s="408"/>
      <c r="DW401" s="408"/>
      <c r="DX401" s="408"/>
      <c r="DY401" s="408"/>
      <c r="DZ401" s="234"/>
      <c r="EA401" s="408"/>
      <c r="EB401" s="408"/>
      <c r="EC401" s="408"/>
      <c r="ED401" s="408"/>
      <c r="EE401" s="408"/>
      <c r="EF401" s="408"/>
      <c r="EG401" s="408"/>
      <c r="EH401" s="408"/>
      <c r="EI401" s="408"/>
      <c r="EJ401" s="408"/>
      <c r="EK401" s="408"/>
      <c r="EL401" s="408"/>
      <c r="EM401" s="408"/>
      <c r="EN401" s="408"/>
      <c r="EO401" s="408"/>
      <c r="EP401" s="408"/>
      <c r="EQ401" s="408"/>
      <c r="ER401" s="408"/>
      <c r="ES401" s="408"/>
      <c r="ET401" s="408"/>
      <c r="EU401" s="408"/>
      <c r="EV401" s="408">
        <v>242</v>
      </c>
      <c r="EW401" s="408"/>
      <c r="EX401" s="408"/>
      <c r="EY401" s="408"/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400</v>
      </c>
      <c r="B402" s="408" t="s">
        <v>1036</v>
      </c>
      <c r="C402" s="408" t="s">
        <v>2231</v>
      </c>
      <c r="D402" s="408" t="s">
        <v>1952</v>
      </c>
      <c r="E402" s="408" t="s">
        <v>969</v>
      </c>
      <c r="F402" s="408" t="s">
        <v>2237</v>
      </c>
      <c r="G402" s="408" t="s">
        <v>1322</v>
      </c>
      <c r="H402" s="408" t="s">
        <v>1322</v>
      </c>
      <c r="I402" s="408" t="s">
        <v>1322</v>
      </c>
      <c r="J402" s="408" t="s">
        <v>2232</v>
      </c>
      <c r="K402" s="828">
        <v>44621</v>
      </c>
      <c r="L402" s="408">
        <v>0</v>
      </c>
      <c r="M402" s="408">
        <v>0</v>
      </c>
      <c r="N402" s="408">
        <v>12.417</v>
      </c>
      <c r="O402" s="408">
        <v>12.417</v>
      </c>
      <c r="P402" s="408">
        <v>12.417</v>
      </c>
      <c r="Q402" s="408">
        <v>12.417</v>
      </c>
      <c r="R402" s="408"/>
      <c r="S402" s="408">
        <v>501.89</v>
      </c>
      <c r="T402" s="408">
        <v>216.76</v>
      </c>
      <c r="U402" s="408"/>
      <c r="V402" s="408">
        <v>8923.4770499999995</v>
      </c>
      <c r="W402" s="408">
        <v>8923.4770499999995</v>
      </c>
      <c r="X402" s="408">
        <v>5554.1240999999991</v>
      </c>
      <c r="Y402" s="408">
        <v>0</v>
      </c>
      <c r="Z402" s="408">
        <v>0</v>
      </c>
      <c r="AA402" s="408">
        <v>0</v>
      </c>
      <c r="AB402" s="408">
        <v>0</v>
      </c>
      <c r="AC402" s="408">
        <v>0</v>
      </c>
      <c r="AD402" s="408">
        <v>10.205702406792474</v>
      </c>
      <c r="AE402" s="408">
        <v>5294.4060153262417</v>
      </c>
      <c r="AF402" s="408">
        <v>2652.2898357270883</v>
      </c>
      <c r="AG402" s="408">
        <v>39.205494612528952</v>
      </c>
      <c r="AH402" s="408">
        <v>0</v>
      </c>
      <c r="AI402" s="408">
        <v>0</v>
      </c>
      <c r="AJ402" s="408">
        <v>0</v>
      </c>
      <c r="AK402" s="408">
        <v>0</v>
      </c>
      <c r="AL402" s="408">
        <v>0</v>
      </c>
      <c r="AM402" s="408"/>
      <c r="AN402" s="408">
        <v>23.821636478778249</v>
      </c>
      <c r="AO402" s="408">
        <v>110.28404095060995</v>
      </c>
      <c r="AP402" s="408">
        <v>345.52916421254025</v>
      </c>
      <c r="AQ402" s="408">
        <v>0</v>
      </c>
      <c r="AR402" s="408">
        <v>0</v>
      </c>
      <c r="AS402" s="408">
        <v>0</v>
      </c>
      <c r="AT402" s="408">
        <v>0</v>
      </c>
      <c r="AU402" s="408">
        <v>0</v>
      </c>
      <c r="AV402" s="408">
        <v>0</v>
      </c>
      <c r="AW402" s="408">
        <v>0</v>
      </c>
      <c r="AX402" s="408">
        <v>0</v>
      </c>
      <c r="AY402" s="408">
        <v>0</v>
      </c>
      <c r="AZ402" s="408">
        <v>0</v>
      </c>
      <c r="BA402" s="408"/>
      <c r="BB402" s="408">
        <v>0</v>
      </c>
      <c r="BC402" s="408">
        <v>0</v>
      </c>
      <c r="BD402" s="408">
        <v>7.3889794949012195</v>
      </c>
      <c r="BE402" s="408">
        <v>0</v>
      </c>
      <c r="BF402" s="408">
        <v>0</v>
      </c>
      <c r="BG402" s="408">
        <v>440.28493462160867</v>
      </c>
      <c r="BH402" s="408">
        <v>0</v>
      </c>
      <c r="BI402" s="408">
        <v>6.17</v>
      </c>
      <c r="BJ402" s="408">
        <v>29.67</v>
      </c>
      <c r="BK402" s="408">
        <v>1678.47</v>
      </c>
      <c r="BL402" s="408">
        <v>87</v>
      </c>
      <c r="BM402" s="408"/>
      <c r="BN402" s="408"/>
      <c r="BO402" s="408"/>
      <c r="BP402" s="408"/>
      <c r="BQ402" s="408"/>
      <c r="BR402" s="408"/>
      <c r="BS402" s="408"/>
      <c r="BT402" s="408">
        <v>555.41240999999991</v>
      </c>
      <c r="BU402" s="408"/>
      <c r="BV402" s="408">
        <v>3099.9637498435982</v>
      </c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>
        <v>4999.9193999999998</v>
      </c>
      <c r="CJ402" s="408">
        <v>-3031.1778600000007</v>
      </c>
      <c r="CK402" s="408"/>
      <c r="CL402" s="408"/>
      <c r="CM402" s="408"/>
      <c r="CN402" s="408"/>
      <c r="CO402" s="408">
        <v>-3774.5196600000004</v>
      </c>
      <c r="CP402" s="408">
        <v>405.16670999999991</v>
      </c>
      <c r="CQ402" s="408">
        <v>31</v>
      </c>
      <c r="CR402" s="408">
        <v>520.59435350120839</v>
      </c>
      <c r="CS402" s="408">
        <v>11.375966916286629</v>
      </c>
      <c r="CT402" s="408">
        <v>35.641859935603236</v>
      </c>
      <c r="CU402" s="408">
        <v>0</v>
      </c>
      <c r="CV402" s="408">
        <v>0</v>
      </c>
      <c r="CW402" s="408">
        <v>0</v>
      </c>
      <c r="CX402" s="408">
        <v>0</v>
      </c>
      <c r="CY402" s="408">
        <v>0</v>
      </c>
      <c r="CZ402" s="408">
        <v>0.99786315933283909</v>
      </c>
      <c r="DA402" s="408">
        <v>0</v>
      </c>
      <c r="DB402" s="408">
        <v>0</v>
      </c>
      <c r="DC402" s="408">
        <v>405.21878097985882</v>
      </c>
      <c r="DD402" s="408">
        <v>0</v>
      </c>
      <c r="DE402" s="408">
        <v>0</v>
      </c>
      <c r="DF402" s="408">
        <v>1.1288936915102568</v>
      </c>
      <c r="DG402" s="408">
        <v>67.267054334678505</v>
      </c>
      <c r="DH402" s="408">
        <v>0</v>
      </c>
      <c r="DI402" s="408">
        <v>0</v>
      </c>
      <c r="DJ402" s="408"/>
      <c r="DK402" s="408">
        <v>0</v>
      </c>
      <c r="DL402" s="408">
        <v>0</v>
      </c>
      <c r="DM402" s="408">
        <v>0</v>
      </c>
      <c r="DN402" s="408">
        <v>0</v>
      </c>
      <c r="DO402" s="408">
        <v>0</v>
      </c>
      <c r="DP402" s="408">
        <v>-1.0360655160616581</v>
      </c>
      <c r="DQ402" s="408">
        <v>0</v>
      </c>
      <c r="DR402" s="408">
        <v>0</v>
      </c>
      <c r="DS402" s="408"/>
      <c r="DT402" s="408"/>
      <c r="DU402" s="408"/>
      <c r="DV402" s="408">
        <v>5294.4060153262417</v>
      </c>
      <c r="DW402" s="408">
        <v>0</v>
      </c>
      <c r="DX402" s="408">
        <v>0</v>
      </c>
      <c r="DY402" s="408">
        <v>-3774.5196599999995</v>
      </c>
      <c r="DZ402" s="234">
        <v>405.16670999999997</v>
      </c>
      <c r="EA402" s="408">
        <v>0</v>
      </c>
      <c r="EB402" s="408">
        <v>0</v>
      </c>
      <c r="EC402" s="408">
        <v>-3889.8520769026227</v>
      </c>
      <c r="ED402" s="408">
        <v>0</v>
      </c>
      <c r="EE402" s="408">
        <v>0</v>
      </c>
      <c r="EF402" s="408">
        <v>0</v>
      </c>
      <c r="EG402" s="408">
        <v>0</v>
      </c>
      <c r="EH402" s="408">
        <v>0</v>
      </c>
      <c r="EI402" s="408">
        <v>0</v>
      </c>
      <c r="EJ402" s="408">
        <v>0</v>
      </c>
      <c r="EK402" s="408">
        <v>0</v>
      </c>
      <c r="EL402" s="408">
        <v>0</v>
      </c>
      <c r="EM402" s="408">
        <v>0</v>
      </c>
      <c r="EN402" s="408">
        <v>0</v>
      </c>
      <c r="EO402" s="408">
        <v>0</v>
      </c>
      <c r="EP402" s="408">
        <v>0</v>
      </c>
      <c r="EQ402" s="408">
        <v>0</v>
      </c>
      <c r="ER402" s="408">
        <v>0</v>
      </c>
      <c r="ES402" s="408">
        <v>0</v>
      </c>
      <c r="ET402" s="408">
        <v>0</v>
      </c>
      <c r="EU402" s="408">
        <v>0</v>
      </c>
      <c r="EV402" s="408">
        <v>242</v>
      </c>
      <c r="EW402" s="408">
        <v>0</v>
      </c>
      <c r="EX402" s="408">
        <v>0</v>
      </c>
      <c r="EY402" s="408">
        <v>0</v>
      </c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401</v>
      </c>
      <c r="B403" s="408" t="s">
        <v>2234</v>
      </c>
      <c r="C403" s="408" t="s">
        <v>2231</v>
      </c>
      <c r="D403" s="408" t="s">
        <v>1952</v>
      </c>
      <c r="E403" s="408" t="s">
        <v>969</v>
      </c>
      <c r="F403" s="408" t="s">
        <v>2237</v>
      </c>
      <c r="G403" s="408" t="s">
        <v>1322</v>
      </c>
      <c r="H403" s="408" t="s">
        <v>1322</v>
      </c>
      <c r="I403" s="408" t="s">
        <v>1322</v>
      </c>
      <c r="J403" s="408" t="s">
        <v>2232</v>
      </c>
      <c r="K403" s="828">
        <v>44621</v>
      </c>
      <c r="L403" s="408">
        <v>0</v>
      </c>
      <c r="M403" s="408">
        <v>0</v>
      </c>
      <c r="N403" s="408">
        <v>0</v>
      </c>
      <c r="O403" s="408">
        <v>0</v>
      </c>
      <c r="P403" s="408">
        <v>0</v>
      </c>
      <c r="Q403" s="408">
        <v>0</v>
      </c>
      <c r="R403" s="408"/>
      <c r="S403" s="408"/>
      <c r="T403" s="408"/>
      <c r="U403" s="408"/>
      <c r="V403" s="408"/>
      <c r="W403" s="408"/>
      <c r="X403" s="408"/>
      <c r="Y403" s="408"/>
      <c r="Z403" s="408"/>
      <c r="AA403" s="408">
        <v>0</v>
      </c>
      <c r="AB403" s="408"/>
      <c r="AC403" s="408"/>
      <c r="AD403" s="408"/>
      <c r="AE403" s="408"/>
      <c r="AF403" s="408"/>
      <c r="AG403" s="408"/>
      <c r="AH403" s="408"/>
      <c r="AI403" s="408"/>
      <c r="AJ403" s="408"/>
      <c r="AK403" s="408"/>
      <c r="AL403" s="408"/>
      <c r="AM403" s="408"/>
      <c r="AN403" s="408"/>
      <c r="AO403" s="408"/>
      <c r="AP403" s="408"/>
      <c r="AQ403" s="408"/>
      <c r="AR403" s="408"/>
      <c r="AS403" s="408"/>
      <c r="AT403" s="408"/>
      <c r="AU403" s="408"/>
      <c r="AV403" s="408"/>
      <c r="AW403" s="408"/>
      <c r="AX403" s="408"/>
      <c r="AY403" s="408"/>
      <c r="AZ403" s="408">
        <v>0</v>
      </c>
      <c r="BA403" s="408"/>
      <c r="BB403" s="408"/>
      <c r="BC403" s="408"/>
      <c r="BD403" s="408"/>
      <c r="BE403" s="408"/>
      <c r="BF403" s="408"/>
      <c r="BG403" s="408"/>
      <c r="BH403" s="408"/>
      <c r="BI403" s="408">
        <v>0</v>
      </c>
      <c r="BJ403" s="408">
        <v>0</v>
      </c>
      <c r="BK403" s="408">
        <v>7.12</v>
      </c>
      <c r="BL403" s="408">
        <v>0</v>
      </c>
      <c r="BM403" s="408"/>
      <c r="BN403" s="408"/>
      <c r="BO403" s="408"/>
      <c r="BP403" s="408"/>
      <c r="BQ403" s="408"/>
      <c r="BR403" s="408"/>
      <c r="BS403" s="408"/>
      <c r="BT403" s="408"/>
      <c r="BU403" s="408"/>
      <c r="BV403" s="408"/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/>
      <c r="CJ403" s="408">
        <v>-0.03</v>
      </c>
      <c r="CK403" s="408"/>
      <c r="CL403" s="408"/>
      <c r="CM403" s="408"/>
      <c r="CN403" s="408"/>
      <c r="CO403" s="408">
        <v>0</v>
      </c>
      <c r="CP403" s="408">
        <v>0</v>
      </c>
      <c r="CQ403" s="408">
        <v>31</v>
      </c>
      <c r="CR403" s="408"/>
      <c r="CS403" s="408"/>
      <c r="CT403" s="408"/>
      <c r="CU403" s="408"/>
      <c r="CV403" s="408"/>
      <c r="CW403" s="408"/>
      <c r="CX403" s="408"/>
      <c r="CY403" s="408"/>
      <c r="CZ403" s="408"/>
      <c r="DA403" s="408"/>
      <c r="DB403" s="408"/>
      <c r="DC403" s="408"/>
      <c r="DD403" s="408"/>
      <c r="DE403" s="408"/>
      <c r="DF403" s="408"/>
      <c r="DG403" s="408"/>
      <c r="DH403" s="408"/>
      <c r="DI403" s="408"/>
      <c r="DJ403" s="408"/>
      <c r="DK403" s="408">
        <v>0</v>
      </c>
      <c r="DL403" s="408"/>
      <c r="DM403" s="408"/>
      <c r="DN403" s="408"/>
      <c r="DO403" s="408"/>
      <c r="DP403" s="408"/>
      <c r="DQ403" s="408"/>
      <c r="DR403" s="408"/>
      <c r="DS403" s="408"/>
      <c r="DT403" s="408"/>
      <c r="DU403" s="408"/>
      <c r="DV403" s="408"/>
      <c r="DW403" s="408"/>
      <c r="DX403" s="408"/>
      <c r="DY403" s="408"/>
      <c r="DZ403" s="234"/>
      <c r="EA403" s="408"/>
      <c r="EB403" s="408"/>
      <c r="EC403" s="408"/>
      <c r="ED403" s="408"/>
      <c r="EE403" s="408"/>
      <c r="EF403" s="408"/>
      <c r="EG403" s="408"/>
      <c r="EH403" s="408"/>
      <c r="EI403" s="408"/>
      <c r="EJ403" s="408"/>
      <c r="EK403" s="408"/>
      <c r="EL403" s="408"/>
      <c r="EM403" s="408"/>
      <c r="EN403" s="408"/>
      <c r="EO403" s="408"/>
      <c r="EP403" s="408"/>
      <c r="EQ403" s="408"/>
      <c r="ER403" s="408"/>
      <c r="ES403" s="408"/>
      <c r="ET403" s="408"/>
      <c r="EU403" s="408"/>
      <c r="EV403" s="408">
        <v>242</v>
      </c>
      <c r="EW403" s="408"/>
      <c r="EX403" s="408"/>
      <c r="EY403" s="408"/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402</v>
      </c>
      <c r="B404" s="408" t="s">
        <v>1036</v>
      </c>
      <c r="C404" s="408" t="s">
        <v>2231</v>
      </c>
      <c r="D404" s="408" t="s">
        <v>1952</v>
      </c>
      <c r="E404" s="408" t="s">
        <v>969</v>
      </c>
      <c r="F404" s="408" t="s">
        <v>2238</v>
      </c>
      <c r="G404" s="408" t="s">
        <v>1322</v>
      </c>
      <c r="H404" s="408" t="s">
        <v>1322</v>
      </c>
      <c r="I404" s="408" t="s">
        <v>1322</v>
      </c>
      <c r="J404" s="408" t="s">
        <v>2232</v>
      </c>
      <c r="K404" s="828">
        <v>44621</v>
      </c>
      <c r="L404" s="408">
        <v>0</v>
      </c>
      <c r="M404" s="408">
        <v>0</v>
      </c>
      <c r="N404" s="408">
        <v>6.0110000000000001</v>
      </c>
      <c r="O404" s="408">
        <v>6.0110000000000001</v>
      </c>
      <c r="P404" s="408">
        <v>6.0110000000000001</v>
      </c>
      <c r="Q404" s="408">
        <v>6.0110000000000001</v>
      </c>
      <c r="R404" s="408"/>
      <c r="S404" s="408">
        <v>501.89</v>
      </c>
      <c r="T404" s="408">
        <v>216.76</v>
      </c>
      <c r="U404" s="408"/>
      <c r="V404" s="408">
        <v>4319.8051500000001</v>
      </c>
      <c r="W404" s="408">
        <v>4319.8051500000001</v>
      </c>
      <c r="X404" s="408">
        <v>2688.7203</v>
      </c>
      <c r="Y404" s="408">
        <v>0</v>
      </c>
      <c r="Z404" s="408">
        <v>0</v>
      </c>
      <c r="AA404" s="408">
        <v>0</v>
      </c>
      <c r="AB404" s="408">
        <v>0</v>
      </c>
      <c r="AC404" s="408">
        <v>0</v>
      </c>
      <c r="AD404" s="408">
        <v>4.9405232477433811</v>
      </c>
      <c r="AE404" s="408">
        <v>2562.9922330777194</v>
      </c>
      <c r="AF404" s="408">
        <v>1283.9586214508761</v>
      </c>
      <c r="AG404" s="408">
        <v>18.979159870815138</v>
      </c>
      <c r="AH404" s="408">
        <v>0</v>
      </c>
      <c r="AI404" s="408">
        <v>0</v>
      </c>
      <c r="AJ404" s="408">
        <v>0</v>
      </c>
      <c r="AK404" s="408">
        <v>0</v>
      </c>
      <c r="AL404" s="408">
        <v>0</v>
      </c>
      <c r="AM404" s="408"/>
      <c r="AN404" s="408">
        <v>11.531920502048486</v>
      </c>
      <c r="AO404" s="408">
        <v>53.387885169857171</v>
      </c>
      <c r="AP404" s="408">
        <v>167.26872884606422</v>
      </c>
      <c r="AQ404" s="408">
        <v>0</v>
      </c>
      <c r="AR404" s="408">
        <v>0</v>
      </c>
      <c r="AS404" s="408">
        <v>0</v>
      </c>
      <c r="AT404" s="408">
        <v>0</v>
      </c>
      <c r="AU404" s="408">
        <v>0</v>
      </c>
      <c r="AV404" s="408">
        <v>0</v>
      </c>
      <c r="AW404" s="408">
        <v>0</v>
      </c>
      <c r="AX404" s="408">
        <v>0</v>
      </c>
      <c r="AY404" s="408">
        <v>0</v>
      </c>
      <c r="AZ404" s="408">
        <v>0</v>
      </c>
      <c r="BA404" s="408"/>
      <c r="BB404" s="408">
        <v>0</v>
      </c>
      <c r="BC404" s="408">
        <v>0</v>
      </c>
      <c r="BD404" s="408">
        <v>3.5769634971290354</v>
      </c>
      <c r="BE404" s="408">
        <v>0</v>
      </c>
      <c r="BF404" s="408">
        <v>0</v>
      </c>
      <c r="BG404" s="408">
        <v>213.13946541116937</v>
      </c>
      <c r="BH404" s="408">
        <v>0</v>
      </c>
      <c r="BI404" s="408">
        <v>3.31</v>
      </c>
      <c r="BJ404" s="408">
        <v>15.93</v>
      </c>
      <c r="BK404" s="408">
        <v>902.61</v>
      </c>
      <c r="BL404" s="408">
        <v>61</v>
      </c>
      <c r="BM404" s="408"/>
      <c r="BN404" s="408"/>
      <c r="BO404" s="408"/>
      <c r="BP404" s="408"/>
      <c r="BQ404" s="408"/>
      <c r="BR404" s="408"/>
      <c r="BS404" s="408"/>
      <c r="BT404" s="408"/>
      <c r="BU404" s="408"/>
      <c r="BV404" s="408">
        <v>1500.6750503591745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2688.2729999999997</v>
      </c>
      <c r="CJ404" s="408">
        <v>-1631.5621500000011</v>
      </c>
      <c r="CK404" s="408"/>
      <c r="CL404" s="408"/>
      <c r="CM404" s="408"/>
      <c r="CN404" s="408"/>
      <c r="CO404" s="408">
        <v>-1827.22378</v>
      </c>
      <c r="CP404" s="408">
        <v>196.13892999999999</v>
      </c>
      <c r="CQ404" s="408">
        <v>31</v>
      </c>
      <c r="CR404" s="408">
        <v>252.01680429216117</v>
      </c>
      <c r="CS404" s="408">
        <v>5.5070417277763468</v>
      </c>
      <c r="CT404" s="408">
        <v>17.254024327366608</v>
      </c>
      <c r="CU404" s="408">
        <v>0</v>
      </c>
      <c r="CV404" s="408">
        <v>0</v>
      </c>
      <c r="CW404" s="408">
        <v>0</v>
      </c>
      <c r="CX404" s="408">
        <v>0</v>
      </c>
      <c r="CY404" s="408">
        <v>0</v>
      </c>
      <c r="CZ404" s="408">
        <v>0.48305995415556868</v>
      </c>
      <c r="DA404" s="408">
        <v>0</v>
      </c>
      <c r="DB404" s="408">
        <v>0</v>
      </c>
      <c r="DC404" s="408">
        <v>196.16413726906126</v>
      </c>
      <c r="DD404" s="408">
        <v>0</v>
      </c>
      <c r="DE404" s="408">
        <v>0</v>
      </c>
      <c r="DF404" s="408">
        <v>0.54649109927262218</v>
      </c>
      <c r="DG404" s="408">
        <v>32.563603415136697</v>
      </c>
      <c r="DH404" s="408">
        <v>0</v>
      </c>
      <c r="DI404" s="408">
        <v>0</v>
      </c>
      <c r="DJ404" s="408"/>
      <c r="DK404" s="408">
        <v>0</v>
      </c>
      <c r="DL404" s="408">
        <v>0</v>
      </c>
      <c r="DM404" s="408">
        <v>0</v>
      </c>
      <c r="DN404" s="408">
        <v>0</v>
      </c>
      <c r="DO404" s="408">
        <v>0</v>
      </c>
      <c r="DP404" s="408">
        <v>-0.50155350060776449</v>
      </c>
      <c r="DQ404" s="408">
        <v>0</v>
      </c>
      <c r="DR404" s="408">
        <v>0</v>
      </c>
      <c r="DS404" s="408"/>
      <c r="DT404" s="408"/>
      <c r="DU404" s="408"/>
      <c r="DV404" s="408">
        <v>2562.9922330777194</v>
      </c>
      <c r="DW404" s="408">
        <v>0</v>
      </c>
      <c r="DX404" s="408">
        <v>0</v>
      </c>
      <c r="DY404" s="408">
        <v>-1827.2237800000003</v>
      </c>
      <c r="DZ404" s="234">
        <v>196.13893000000007</v>
      </c>
      <c r="EA404" s="408">
        <v>0</v>
      </c>
      <c r="EB404" s="408">
        <v>0</v>
      </c>
      <c r="EC404" s="408">
        <v>-1883.0555556303188</v>
      </c>
      <c r="ED404" s="408">
        <v>0</v>
      </c>
      <c r="EE404" s="408">
        <v>0</v>
      </c>
      <c r="EF404" s="408">
        <v>0</v>
      </c>
      <c r="EG404" s="408">
        <v>0</v>
      </c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>
        <v>0</v>
      </c>
      <c r="EN404" s="408">
        <v>0</v>
      </c>
      <c r="EO404" s="408">
        <v>0</v>
      </c>
      <c r="EP404" s="408">
        <v>0</v>
      </c>
      <c r="EQ404" s="408">
        <v>0</v>
      </c>
      <c r="ER404" s="408">
        <v>0</v>
      </c>
      <c r="ES404" s="408">
        <v>0</v>
      </c>
      <c r="ET404" s="408">
        <v>0</v>
      </c>
      <c r="EU404" s="408">
        <v>0</v>
      </c>
      <c r="EV404" s="408">
        <v>242</v>
      </c>
      <c r="EW404" s="408">
        <v>0</v>
      </c>
      <c r="EX404" s="408">
        <v>0</v>
      </c>
      <c r="EY404" s="408">
        <v>0</v>
      </c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403</v>
      </c>
      <c r="B405" s="408" t="s">
        <v>2234</v>
      </c>
      <c r="C405" s="408" t="s">
        <v>2231</v>
      </c>
      <c r="D405" s="408" t="s">
        <v>1952</v>
      </c>
      <c r="E405" s="408" t="s">
        <v>969</v>
      </c>
      <c r="F405" s="408" t="s">
        <v>2238</v>
      </c>
      <c r="G405" s="408" t="s">
        <v>1322</v>
      </c>
      <c r="H405" s="408" t="s">
        <v>1322</v>
      </c>
      <c r="I405" s="408" t="s">
        <v>1322</v>
      </c>
      <c r="J405" s="408" t="s">
        <v>2232</v>
      </c>
      <c r="K405" s="828">
        <v>44621</v>
      </c>
      <c r="L405" s="408">
        <v>0</v>
      </c>
      <c r="M405" s="408">
        <v>0</v>
      </c>
      <c r="N405" s="408">
        <v>0</v>
      </c>
      <c r="O405" s="408">
        <v>0</v>
      </c>
      <c r="P405" s="408">
        <v>0</v>
      </c>
      <c r="Q405" s="408">
        <v>0</v>
      </c>
      <c r="R405" s="408"/>
      <c r="S405" s="408"/>
      <c r="T405" s="408"/>
      <c r="U405" s="408"/>
      <c r="V405" s="408"/>
      <c r="W405" s="408"/>
      <c r="X405" s="408"/>
      <c r="Y405" s="408"/>
      <c r="Z405" s="408"/>
      <c r="AA405" s="408">
        <v>0</v>
      </c>
      <c r="AB405" s="408"/>
      <c r="AC405" s="408"/>
      <c r="AD405" s="408"/>
      <c r="AE405" s="408"/>
      <c r="AF405" s="408"/>
      <c r="AG405" s="408"/>
      <c r="AH405" s="408"/>
      <c r="AI405" s="408"/>
      <c r="AJ405" s="408"/>
      <c r="AK405" s="408"/>
      <c r="AL405" s="408"/>
      <c r="AM405" s="408"/>
      <c r="AN405" s="408"/>
      <c r="AO405" s="408"/>
      <c r="AP405" s="408"/>
      <c r="AQ405" s="408"/>
      <c r="AR405" s="408"/>
      <c r="AS405" s="408"/>
      <c r="AT405" s="408"/>
      <c r="AU405" s="408"/>
      <c r="AV405" s="408"/>
      <c r="AW405" s="408"/>
      <c r="AX405" s="408"/>
      <c r="AY405" s="408"/>
      <c r="AZ405" s="408">
        <v>0</v>
      </c>
      <c r="BA405" s="408"/>
      <c r="BB405" s="408"/>
      <c r="BC405" s="408"/>
      <c r="BD405" s="408"/>
      <c r="BE405" s="408"/>
      <c r="BF405" s="408"/>
      <c r="BG405" s="408"/>
      <c r="BH405" s="408"/>
      <c r="BI405" s="408">
        <v>0</v>
      </c>
      <c r="BJ405" s="408">
        <v>0</v>
      </c>
      <c r="BK405" s="408">
        <v>0.85</v>
      </c>
      <c r="BL405" s="408">
        <v>1</v>
      </c>
      <c r="BM405" s="408"/>
      <c r="BN405" s="408"/>
      <c r="BO405" s="408"/>
      <c r="BP405" s="408"/>
      <c r="BQ405" s="408"/>
      <c r="BR405" s="408"/>
      <c r="BS405" s="408"/>
      <c r="BT405" s="408"/>
      <c r="BU405" s="408"/>
      <c r="BV405" s="408"/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/>
      <c r="CJ405" s="408">
        <v>-0.03</v>
      </c>
      <c r="CK405" s="408"/>
      <c r="CL405" s="408"/>
      <c r="CM405" s="408"/>
      <c r="CN405" s="408"/>
      <c r="CO405" s="408">
        <v>0</v>
      </c>
      <c r="CP405" s="408">
        <v>0</v>
      </c>
      <c r="CQ405" s="408">
        <v>31</v>
      </c>
      <c r="CR405" s="408"/>
      <c r="CS405" s="408"/>
      <c r="CT405" s="408"/>
      <c r="CU405" s="408"/>
      <c r="CV405" s="408"/>
      <c r="CW405" s="408"/>
      <c r="CX405" s="408"/>
      <c r="CY405" s="408"/>
      <c r="CZ405" s="408"/>
      <c r="DA405" s="408"/>
      <c r="DB405" s="408"/>
      <c r="DC405" s="408"/>
      <c r="DD405" s="408"/>
      <c r="DE405" s="408"/>
      <c r="DF405" s="408"/>
      <c r="DG405" s="408"/>
      <c r="DH405" s="408"/>
      <c r="DI405" s="408"/>
      <c r="DJ405" s="408"/>
      <c r="DK405" s="408">
        <v>0</v>
      </c>
      <c r="DL405" s="408"/>
      <c r="DM405" s="408"/>
      <c r="DN405" s="408"/>
      <c r="DO405" s="408"/>
      <c r="DP405" s="408"/>
      <c r="DQ405" s="408"/>
      <c r="DR405" s="408"/>
      <c r="DS405" s="408"/>
      <c r="DT405" s="408"/>
      <c r="DU405" s="408"/>
      <c r="DV405" s="408"/>
      <c r="DW405" s="408"/>
      <c r="DX405" s="408"/>
      <c r="DY405" s="408"/>
      <c r="DZ405" s="234"/>
      <c r="EA405" s="408"/>
      <c r="EB405" s="408"/>
      <c r="EC405" s="408"/>
      <c r="ED405" s="408"/>
      <c r="EE405" s="408"/>
      <c r="EF405" s="408"/>
      <c r="EG405" s="408"/>
      <c r="EH405" s="408"/>
      <c r="EI405" s="408"/>
      <c r="EJ405" s="408"/>
      <c r="EK405" s="408"/>
      <c r="EL405" s="408"/>
      <c r="EM405" s="408"/>
      <c r="EN405" s="408"/>
      <c r="EO405" s="408"/>
      <c r="EP405" s="408"/>
      <c r="EQ405" s="408"/>
      <c r="ER405" s="408"/>
      <c r="ES405" s="408"/>
      <c r="ET405" s="408"/>
      <c r="EU405" s="408"/>
      <c r="EV405" s="408">
        <v>242</v>
      </c>
      <c r="EW405" s="408"/>
      <c r="EX405" s="408"/>
      <c r="EY405" s="408"/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404</v>
      </c>
      <c r="B406" s="408" t="s">
        <v>1036</v>
      </c>
      <c r="C406" s="408" t="s">
        <v>2231</v>
      </c>
      <c r="D406" s="408" t="s">
        <v>1955</v>
      </c>
      <c r="E406" s="408" t="s">
        <v>970</v>
      </c>
      <c r="F406" s="408" t="s">
        <v>1322</v>
      </c>
      <c r="G406" s="408" t="s">
        <v>1322</v>
      </c>
      <c r="H406" s="408" t="s">
        <v>1322</v>
      </c>
      <c r="I406" s="408" t="s">
        <v>1322</v>
      </c>
      <c r="J406" s="408" t="s">
        <v>2232</v>
      </c>
      <c r="K406" s="828">
        <v>44621</v>
      </c>
      <c r="L406" s="408">
        <v>0</v>
      </c>
      <c r="M406" s="408">
        <v>0</v>
      </c>
      <c r="N406" s="408">
        <v>34.796999999999997</v>
      </c>
      <c r="O406" s="408">
        <v>34.796999999999997</v>
      </c>
      <c r="P406" s="408">
        <v>34.796999999999997</v>
      </c>
      <c r="Q406" s="408">
        <v>34.796999999999997</v>
      </c>
      <c r="R406" s="408"/>
      <c r="S406" s="408">
        <v>571.87</v>
      </c>
      <c r="T406" s="408">
        <v>216.76</v>
      </c>
      <c r="U406" s="408"/>
      <c r="V406" s="408">
        <v>27441.958109999996</v>
      </c>
      <c r="W406" s="408">
        <v>27441.958109999996</v>
      </c>
      <c r="X406" s="408">
        <v>17886.005969999998</v>
      </c>
      <c r="Y406" s="408">
        <v>0</v>
      </c>
      <c r="Z406" s="408">
        <v>2109.0676412814355</v>
      </c>
      <c r="AA406" s="408">
        <v>0</v>
      </c>
      <c r="AB406" s="408">
        <v>0</v>
      </c>
      <c r="AC406" s="408">
        <v>0</v>
      </c>
      <c r="AD406" s="408">
        <v>28.600131001784465</v>
      </c>
      <c r="AE406" s="408">
        <v>14836.87252277581</v>
      </c>
      <c r="AF406" s="408">
        <v>7432.6914241600616</v>
      </c>
      <c r="AG406" s="408">
        <v>109.86821261433276</v>
      </c>
      <c r="AH406" s="408">
        <v>0</v>
      </c>
      <c r="AI406" s="408">
        <v>0</v>
      </c>
      <c r="AJ406" s="408">
        <v>0</v>
      </c>
      <c r="AK406" s="408">
        <v>0</v>
      </c>
      <c r="AL406" s="408">
        <v>326.17433041725224</v>
      </c>
      <c r="AM406" s="408"/>
      <c r="AN406" s="408">
        <v>66.756985145530052</v>
      </c>
      <c r="AO406" s="408">
        <v>309.05643657553145</v>
      </c>
      <c r="AP406" s="408">
        <v>968.2997766854927</v>
      </c>
      <c r="AQ406" s="408">
        <v>0</v>
      </c>
      <c r="AR406" s="408">
        <v>0</v>
      </c>
      <c r="AS406" s="408">
        <v>0</v>
      </c>
      <c r="AT406" s="408">
        <v>0</v>
      </c>
      <c r="AU406" s="408">
        <v>0</v>
      </c>
      <c r="AV406" s="408">
        <v>0</v>
      </c>
      <c r="AW406" s="408">
        <v>0</v>
      </c>
      <c r="AX406" s="408">
        <v>0</v>
      </c>
      <c r="AY406" s="408">
        <v>0</v>
      </c>
      <c r="AZ406" s="408">
        <v>0</v>
      </c>
      <c r="BA406" s="408"/>
      <c r="BB406" s="408">
        <v>0</v>
      </c>
      <c r="BC406" s="408">
        <v>0</v>
      </c>
      <c r="BD406" s="408">
        <v>20.706637632606725</v>
      </c>
      <c r="BE406" s="408">
        <v>0</v>
      </c>
      <c r="BF406" s="408">
        <v>0</v>
      </c>
      <c r="BG406" s="408">
        <v>1233.8402891220196</v>
      </c>
      <c r="BH406" s="408">
        <v>0</v>
      </c>
      <c r="BI406" s="408">
        <v>42.39</v>
      </c>
      <c r="BJ406" s="408">
        <v>195.06</v>
      </c>
      <c r="BK406" s="408">
        <v>4759.1099999999997</v>
      </c>
      <c r="BL406" s="408">
        <v>28</v>
      </c>
      <c r="BM406" s="408"/>
      <c r="BN406" s="408"/>
      <c r="BO406" s="408"/>
      <c r="BP406" s="408"/>
      <c r="BQ406" s="408"/>
      <c r="BR406" s="408"/>
      <c r="BS406" s="408"/>
      <c r="BT406" s="408"/>
      <c r="BU406" s="408"/>
      <c r="BV406" s="408">
        <v>8687.2383509146875</v>
      </c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>
        <v>17887.547999999999</v>
      </c>
      <c r="CJ406" s="408">
        <v>-9554.4401099999923</v>
      </c>
      <c r="CK406" s="408"/>
      <c r="CL406" s="408"/>
      <c r="CM406" s="408"/>
      <c r="CN406" s="408"/>
      <c r="CO406" s="408">
        <v>-10691.37825</v>
      </c>
      <c r="CP406" s="408">
        <v>1135.4261099999997</v>
      </c>
      <c r="CQ406" s="408">
        <v>31</v>
      </c>
      <c r="CR406" s="408">
        <v>1344.9146925408313</v>
      </c>
      <c r="CS406" s="408">
        <v>31.879642489009086</v>
      </c>
      <c r="CT406" s="408">
        <v>99.8815978238855</v>
      </c>
      <c r="CU406" s="408">
        <v>0</v>
      </c>
      <c r="CV406" s="408">
        <v>0</v>
      </c>
      <c r="CW406" s="408">
        <v>0</v>
      </c>
      <c r="CX406" s="408">
        <v>0</v>
      </c>
      <c r="CY406" s="408">
        <v>0</v>
      </c>
      <c r="CZ406" s="408">
        <v>2.7963795083598946</v>
      </c>
      <c r="DA406" s="408">
        <v>0</v>
      </c>
      <c r="DB406" s="408">
        <v>0</v>
      </c>
      <c r="DC406" s="408">
        <v>1135.572032033192</v>
      </c>
      <c r="DD406" s="408">
        <v>0</v>
      </c>
      <c r="DE406" s="408">
        <v>0</v>
      </c>
      <c r="DF406" s="408">
        <v>3.1635752422873828</v>
      </c>
      <c r="DG406" s="408">
        <v>188.50702179945279</v>
      </c>
      <c r="DH406" s="408">
        <v>0</v>
      </c>
      <c r="DI406" s="408">
        <v>-100.76533724879505</v>
      </c>
      <c r="DJ406" s="408"/>
      <c r="DK406" s="408">
        <v>0</v>
      </c>
      <c r="DL406" s="408">
        <v>0</v>
      </c>
      <c r="DM406" s="408">
        <v>0</v>
      </c>
      <c r="DN406" s="408">
        <v>0</v>
      </c>
      <c r="DO406" s="408">
        <v>-13.216782546813306</v>
      </c>
      <c r="DP406" s="408">
        <v>-2.9034365597485348</v>
      </c>
      <c r="DQ406" s="408">
        <v>0</v>
      </c>
      <c r="DR406" s="408">
        <v>0</v>
      </c>
      <c r="DS406" s="408"/>
      <c r="DT406" s="408"/>
      <c r="DU406" s="408"/>
      <c r="DV406" s="408">
        <v>14836.87252277581</v>
      </c>
      <c r="DW406" s="408">
        <v>0</v>
      </c>
      <c r="DX406" s="408">
        <v>0</v>
      </c>
      <c r="DY406" s="408">
        <v>-10691.378249999998</v>
      </c>
      <c r="DZ406" s="234">
        <v>1135.4261099999994</v>
      </c>
      <c r="EA406" s="408">
        <v>0</v>
      </c>
      <c r="EB406" s="408">
        <v>0</v>
      </c>
      <c r="EC406" s="408">
        <v>-10900.795902390317</v>
      </c>
      <c r="ED406" s="408">
        <v>0</v>
      </c>
      <c r="EE406" s="408">
        <v>0</v>
      </c>
      <c r="EF406" s="408">
        <v>0</v>
      </c>
      <c r="EG406" s="408">
        <v>0</v>
      </c>
      <c r="EH406" s="408">
        <v>0</v>
      </c>
      <c r="EI406" s="408">
        <v>0</v>
      </c>
      <c r="EJ406" s="408">
        <v>0</v>
      </c>
      <c r="EK406" s="408">
        <v>0</v>
      </c>
      <c r="EL406" s="408">
        <v>0</v>
      </c>
      <c r="EM406" s="408">
        <v>0</v>
      </c>
      <c r="EN406" s="408">
        <v>0</v>
      </c>
      <c r="EO406" s="408">
        <v>0</v>
      </c>
      <c r="EP406" s="408">
        <v>0</v>
      </c>
      <c r="EQ406" s="408">
        <v>0</v>
      </c>
      <c r="ER406" s="408">
        <v>0</v>
      </c>
      <c r="ES406" s="408">
        <v>0</v>
      </c>
      <c r="ET406" s="408">
        <v>0</v>
      </c>
      <c r="EU406" s="408">
        <v>0</v>
      </c>
      <c r="EV406" s="408">
        <v>242</v>
      </c>
      <c r="EW406" s="408">
        <v>0</v>
      </c>
      <c r="EX406" s="408">
        <v>0</v>
      </c>
      <c r="EY406" s="408">
        <v>0</v>
      </c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405</v>
      </c>
      <c r="B407" s="408" t="s">
        <v>2234</v>
      </c>
      <c r="C407" s="408" t="s">
        <v>2231</v>
      </c>
      <c r="D407" s="408" t="s">
        <v>1955</v>
      </c>
      <c r="E407" s="408" t="s">
        <v>970</v>
      </c>
      <c r="F407" s="408" t="s">
        <v>1322</v>
      </c>
      <c r="G407" s="408" t="s">
        <v>1322</v>
      </c>
      <c r="H407" s="408" t="s">
        <v>1322</v>
      </c>
      <c r="I407" s="408" t="s">
        <v>1322</v>
      </c>
      <c r="J407" s="408" t="s">
        <v>2232</v>
      </c>
      <c r="K407" s="828">
        <v>44621</v>
      </c>
      <c r="L407" s="408">
        <v>0</v>
      </c>
      <c r="M407" s="408">
        <v>0</v>
      </c>
      <c r="N407" s="408">
        <v>2.8719999999999999</v>
      </c>
      <c r="O407" s="408">
        <v>2.8719999999999999</v>
      </c>
      <c r="P407" s="408">
        <v>2.8719999999999999</v>
      </c>
      <c r="Q407" s="408">
        <v>2.8719999999999999</v>
      </c>
      <c r="R407" s="408"/>
      <c r="S407" s="408">
        <v>571.87</v>
      </c>
      <c r="T407" s="408">
        <v>216.76</v>
      </c>
      <c r="U407" s="408"/>
      <c r="V407" s="408">
        <v>2264.9453600000002</v>
      </c>
      <c r="W407" s="408">
        <v>2264.9453600000002</v>
      </c>
      <c r="X407" s="408">
        <v>1476.2367199999999</v>
      </c>
      <c r="Y407" s="408">
        <v>0</v>
      </c>
      <c r="Z407" s="408">
        <v>174.07369215048087</v>
      </c>
      <c r="AA407" s="408">
        <v>0</v>
      </c>
      <c r="AB407" s="408">
        <v>0</v>
      </c>
      <c r="AC407" s="408">
        <v>0</v>
      </c>
      <c r="AD407" s="408">
        <v>2.3605361449873548</v>
      </c>
      <c r="AE407" s="408">
        <v>1224.5738967558159</v>
      </c>
      <c r="AF407" s="408">
        <v>613.46351036548253</v>
      </c>
      <c r="AG407" s="408">
        <v>9.0680664030911782</v>
      </c>
      <c r="AH407" s="408">
        <v>0</v>
      </c>
      <c r="AI407" s="408">
        <v>0</v>
      </c>
      <c r="AJ407" s="408">
        <v>0</v>
      </c>
      <c r="AK407" s="408">
        <v>0</v>
      </c>
      <c r="AL407" s="408">
        <v>26.921075867412377</v>
      </c>
      <c r="AM407" s="408"/>
      <c r="AN407" s="408">
        <v>5.5098445652775325</v>
      </c>
      <c r="AO407" s="408">
        <v>25.508235935423354</v>
      </c>
      <c r="AP407" s="408">
        <v>79.919445890184065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1.7090399540433521</v>
      </c>
      <c r="BE407" s="408">
        <v>0</v>
      </c>
      <c r="BF407" s="408">
        <v>0</v>
      </c>
      <c r="BG407" s="408">
        <v>101.83605800380609</v>
      </c>
      <c r="BH407" s="408">
        <v>0</v>
      </c>
      <c r="BI407" s="408">
        <v>2.86</v>
      </c>
      <c r="BJ407" s="408">
        <v>13.13</v>
      </c>
      <c r="BK407" s="408">
        <v>1016.64</v>
      </c>
      <c r="BL407" s="408">
        <v>4</v>
      </c>
      <c r="BM407" s="408"/>
      <c r="BN407" s="408"/>
      <c r="BO407" s="408"/>
      <c r="BP407" s="408"/>
      <c r="BQ407" s="408"/>
      <c r="BR407" s="408"/>
      <c r="BS407" s="408"/>
      <c r="BT407" s="408"/>
      <c r="BU407" s="408"/>
      <c r="BV407" s="408">
        <v>717.00860832333194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1475.2087000000001</v>
      </c>
      <c r="CJ407" s="408">
        <v>-789.76666000000023</v>
      </c>
      <c r="CK407" s="408"/>
      <c r="CL407" s="408"/>
      <c r="CM407" s="408"/>
      <c r="CN407" s="408"/>
      <c r="CO407" s="408">
        <v>-882.42199999999991</v>
      </c>
      <c r="CP407" s="408">
        <v>93.71335999999998</v>
      </c>
      <c r="CQ407" s="408">
        <v>31</v>
      </c>
      <c r="CR407" s="408">
        <v>111.00367839116234</v>
      </c>
      <c r="CS407" s="408">
        <v>2.6312134157667053</v>
      </c>
      <c r="CT407" s="408">
        <v>8.243812654832297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0.23080156185905754</v>
      </c>
      <c r="DA407" s="408">
        <v>0</v>
      </c>
      <c r="DB407" s="408">
        <v>0</v>
      </c>
      <c r="DC407" s="408">
        <v>93.725403799158926</v>
      </c>
      <c r="DD407" s="408">
        <v>0</v>
      </c>
      <c r="DE407" s="408">
        <v>0</v>
      </c>
      <c r="DF407" s="408">
        <v>0.26110837416585797</v>
      </c>
      <c r="DG407" s="408">
        <v>15.558587424433966</v>
      </c>
      <c r="DH407" s="408">
        <v>0</v>
      </c>
      <c r="DI407" s="408">
        <v>-8.3167528401453694</v>
      </c>
      <c r="DJ407" s="408"/>
      <c r="DK407" s="408">
        <v>0</v>
      </c>
      <c r="DL407" s="408">
        <v>0</v>
      </c>
      <c r="DM407" s="408">
        <v>0</v>
      </c>
      <c r="DN407" s="408">
        <v>0</v>
      </c>
      <c r="DO407" s="408">
        <v>-1.0908583922305901</v>
      </c>
      <c r="DP407" s="408">
        <v>-0.23963760667867273</v>
      </c>
      <c r="DQ407" s="408">
        <v>0</v>
      </c>
      <c r="DR407" s="408">
        <v>0</v>
      </c>
      <c r="DS407" s="408"/>
      <c r="DT407" s="408"/>
      <c r="DU407" s="408"/>
      <c r="DV407" s="408">
        <v>1224.5738967558159</v>
      </c>
      <c r="DW407" s="408">
        <v>0</v>
      </c>
      <c r="DX407" s="408">
        <v>0</v>
      </c>
      <c r="DY407" s="408">
        <v>-882.42200000000003</v>
      </c>
      <c r="DZ407" s="234">
        <v>93.713359999999966</v>
      </c>
      <c r="EA407" s="408">
        <v>0</v>
      </c>
      <c r="EB407" s="408">
        <v>0</v>
      </c>
      <c r="EC407" s="408">
        <v>-899.70646411084272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0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242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406</v>
      </c>
      <c r="B408" s="408" t="s">
        <v>1036</v>
      </c>
      <c r="C408" s="408" t="s">
        <v>2239</v>
      </c>
      <c r="D408" s="408" t="s">
        <v>597</v>
      </c>
      <c r="E408" s="408" t="s">
        <v>970</v>
      </c>
      <c r="F408" s="408" t="s">
        <v>1322</v>
      </c>
      <c r="G408" s="408" t="s">
        <v>1322</v>
      </c>
      <c r="H408" s="408" t="s">
        <v>1322</v>
      </c>
      <c r="I408" s="408" t="s">
        <v>973</v>
      </c>
      <c r="J408" s="408" t="s">
        <v>2232</v>
      </c>
      <c r="K408" s="828">
        <v>44621</v>
      </c>
      <c r="L408" s="408">
        <v>0</v>
      </c>
      <c r="M408" s="408">
        <v>0</v>
      </c>
      <c r="N408" s="408">
        <v>2.5659999999999998</v>
      </c>
      <c r="O408" s="408">
        <v>2.5659999999999998</v>
      </c>
      <c r="P408" s="408">
        <v>2.5659999999999998</v>
      </c>
      <c r="Q408" s="408">
        <v>2.5659999999999998</v>
      </c>
      <c r="R408" s="408"/>
      <c r="S408" s="408">
        <v>2592.54</v>
      </c>
      <c r="T408" s="408">
        <v>216.76</v>
      </c>
      <c r="U408" s="408"/>
      <c r="V408" s="408">
        <v>7208.6637999999994</v>
      </c>
      <c r="W408" s="408">
        <v>7208.6637999999994</v>
      </c>
      <c r="X408" s="408">
        <v>3030.9591999999993</v>
      </c>
      <c r="Y408" s="408">
        <v>0</v>
      </c>
      <c r="Z408" s="408">
        <v>135.30835370145422</v>
      </c>
      <c r="AA408" s="408">
        <v>0</v>
      </c>
      <c r="AB408" s="408">
        <v>0</v>
      </c>
      <c r="AC408" s="408">
        <v>0</v>
      </c>
      <c r="AD408" s="408">
        <v>12.975325941333178</v>
      </c>
      <c r="AE408" s="408">
        <v>5878.4276003258865</v>
      </c>
      <c r="AF408" s="408">
        <v>548.10145111344991</v>
      </c>
      <c r="AG408" s="408">
        <v>8.1019005537367548</v>
      </c>
      <c r="AH408" s="408">
        <v>0</v>
      </c>
      <c r="AI408" s="408">
        <v>0</v>
      </c>
      <c r="AJ408" s="408">
        <v>0</v>
      </c>
      <c r="AK408" s="408">
        <v>0</v>
      </c>
      <c r="AL408" s="408">
        <v>24.052743967890027</v>
      </c>
      <c r="AM408" s="408"/>
      <c r="AN408" s="408">
        <v>3.5236881562227205</v>
      </c>
      <c r="AO408" s="408">
        <v>115.76476037377645</v>
      </c>
      <c r="AP408" s="408">
        <v>439.30112122672313</v>
      </c>
      <c r="AQ408" s="408">
        <v>0</v>
      </c>
      <c r="AR408" s="408">
        <v>0</v>
      </c>
      <c r="AS408" s="408">
        <v>0</v>
      </c>
      <c r="AT408" s="408">
        <v>0</v>
      </c>
      <c r="AU408" s="408">
        <v>0</v>
      </c>
      <c r="AV408" s="408">
        <v>0</v>
      </c>
      <c r="AW408" s="408">
        <v>0</v>
      </c>
      <c r="AX408" s="408">
        <v>0</v>
      </c>
      <c r="AY408" s="408">
        <v>0</v>
      </c>
      <c r="AZ408" s="408">
        <v>0</v>
      </c>
      <c r="BA408" s="408"/>
      <c r="BB408" s="408">
        <v>0</v>
      </c>
      <c r="BC408" s="408">
        <v>0</v>
      </c>
      <c r="BD408" s="408">
        <v>1.173428460235417</v>
      </c>
      <c r="BE408" s="408">
        <v>0</v>
      </c>
      <c r="BF408" s="408">
        <v>0</v>
      </c>
      <c r="BG408" s="408">
        <v>41.918578418223127</v>
      </c>
      <c r="BH408" s="408">
        <v>0</v>
      </c>
      <c r="BI408" s="408">
        <v>0</v>
      </c>
      <c r="BJ408" s="408">
        <v>0</v>
      </c>
      <c r="BK408" s="408">
        <v>0</v>
      </c>
      <c r="BL408" s="408">
        <v>0</v>
      </c>
      <c r="BM408" s="408"/>
      <c r="BN408" s="408"/>
      <c r="BO408" s="408"/>
      <c r="BP408" s="408"/>
      <c r="BQ408" s="408"/>
      <c r="BR408" s="408"/>
      <c r="BS408" s="408"/>
      <c r="BT408" s="408"/>
      <c r="BU408" s="408"/>
      <c r="BV408" s="408">
        <v>591.19345799190842</v>
      </c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>
        <v>3035.6839999999997</v>
      </c>
      <c r="CJ408" s="408">
        <v>-4173.0097999999998</v>
      </c>
      <c r="CK408" s="408"/>
      <c r="CL408" s="408"/>
      <c r="CM408" s="408"/>
      <c r="CN408" s="408"/>
      <c r="CO408" s="408">
        <v>-4261.43318</v>
      </c>
      <c r="CP408" s="408">
        <v>83.72857999999998</v>
      </c>
      <c r="CQ408" s="408">
        <v>31</v>
      </c>
      <c r="CR408" s="408">
        <v>141.25498391079145</v>
      </c>
      <c r="CS408" s="408">
        <v>11.941311478364312</v>
      </c>
      <c r="CT408" s="408">
        <v>45.314580226531973</v>
      </c>
      <c r="CU408" s="408">
        <v>0</v>
      </c>
      <c r="CV408" s="408">
        <v>0</v>
      </c>
      <c r="CW408" s="408">
        <v>0</v>
      </c>
      <c r="CX408" s="408">
        <v>0</v>
      </c>
      <c r="CY408" s="408">
        <v>0</v>
      </c>
      <c r="CZ408" s="408">
        <v>1.2686632650168974</v>
      </c>
      <c r="DA408" s="408">
        <v>0</v>
      </c>
      <c r="DB408" s="408">
        <v>0</v>
      </c>
      <c r="DC408" s="408">
        <v>83.739340581003376</v>
      </c>
      <c r="DD408" s="408">
        <v>0</v>
      </c>
      <c r="DE408" s="408">
        <v>0</v>
      </c>
      <c r="DF408" s="408">
        <v>0.17927725839711162</v>
      </c>
      <c r="DG408" s="408">
        <v>6.4043510698690014</v>
      </c>
      <c r="DH408" s="408">
        <v>0</v>
      </c>
      <c r="DI408" s="408">
        <v>-6.4646536822412486</v>
      </c>
      <c r="DJ408" s="408"/>
      <c r="DK408" s="408">
        <v>0</v>
      </c>
      <c r="DL408" s="408">
        <v>0</v>
      </c>
      <c r="DM408" s="408">
        <v>0</v>
      </c>
      <c r="DN408" s="408">
        <v>0</v>
      </c>
      <c r="DO408" s="408">
        <v>-0.97463183651242957</v>
      </c>
      <c r="DP408" s="408">
        <v>-0.15325444963739532</v>
      </c>
      <c r="DQ408" s="408">
        <v>0</v>
      </c>
      <c r="DR408" s="408">
        <v>0</v>
      </c>
      <c r="DS408" s="408"/>
      <c r="DT408" s="408"/>
      <c r="DU408" s="408"/>
      <c r="DV408" s="408">
        <v>5878.4276003258865</v>
      </c>
      <c r="DW408" s="408">
        <v>0</v>
      </c>
      <c r="DX408" s="408">
        <v>0</v>
      </c>
      <c r="DY408" s="408">
        <v>-4261.43318</v>
      </c>
      <c r="DZ408" s="234">
        <v>83.728579999999965</v>
      </c>
      <c r="EA408" s="408">
        <v>0</v>
      </c>
      <c r="EB408" s="408">
        <v>0</v>
      </c>
      <c r="EC408" s="408">
        <v>-4318.9384689909057</v>
      </c>
      <c r="ED408" s="408">
        <v>0</v>
      </c>
      <c r="EE408" s="408">
        <v>0</v>
      </c>
      <c r="EF408" s="408">
        <v>0</v>
      </c>
      <c r="EG408" s="408">
        <v>0</v>
      </c>
      <c r="EH408" s="408">
        <v>0</v>
      </c>
      <c r="EI408" s="408">
        <v>0</v>
      </c>
      <c r="EJ408" s="408">
        <v>0</v>
      </c>
      <c r="EK408" s="408">
        <v>0</v>
      </c>
      <c r="EL408" s="408">
        <v>0</v>
      </c>
      <c r="EM408" s="408">
        <v>0</v>
      </c>
      <c r="EN408" s="408">
        <v>0</v>
      </c>
      <c r="EO408" s="408">
        <v>0</v>
      </c>
      <c r="EP408" s="408">
        <v>0</v>
      </c>
      <c r="EQ408" s="408">
        <v>0</v>
      </c>
      <c r="ER408" s="408">
        <v>0</v>
      </c>
      <c r="ES408" s="408">
        <v>0</v>
      </c>
      <c r="ET408" s="408">
        <v>0</v>
      </c>
      <c r="EU408" s="408">
        <v>0</v>
      </c>
      <c r="EV408" s="408">
        <v>242</v>
      </c>
      <c r="EW408" s="408">
        <v>0</v>
      </c>
      <c r="EX408" s="408">
        <v>0</v>
      </c>
      <c r="EY408" s="408">
        <v>0</v>
      </c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407</v>
      </c>
      <c r="B409" s="408" t="s">
        <v>1036</v>
      </c>
      <c r="C409" s="408" t="s">
        <v>2239</v>
      </c>
      <c r="D409" s="408" t="s">
        <v>597</v>
      </c>
      <c r="E409" s="408" t="s">
        <v>970</v>
      </c>
      <c r="F409" s="408" t="s">
        <v>1322</v>
      </c>
      <c r="G409" s="408" t="s">
        <v>1322</v>
      </c>
      <c r="H409" s="408" t="s">
        <v>1322</v>
      </c>
      <c r="I409" s="408" t="s">
        <v>2240</v>
      </c>
      <c r="J409" s="408" t="s">
        <v>2232</v>
      </c>
      <c r="K409" s="828">
        <v>44621</v>
      </c>
      <c r="L409" s="408">
        <v>0</v>
      </c>
      <c r="M409" s="408">
        <v>0</v>
      </c>
      <c r="N409" s="408">
        <v>127.657</v>
      </c>
      <c r="O409" s="408">
        <v>127.657</v>
      </c>
      <c r="P409" s="408">
        <v>127.657</v>
      </c>
      <c r="Q409" s="408">
        <v>127.657</v>
      </c>
      <c r="R409" s="408"/>
      <c r="S409" s="408">
        <v>80.27</v>
      </c>
      <c r="T409" s="408">
        <v>216.76</v>
      </c>
      <c r="U409" s="408"/>
      <c r="V409" s="408">
        <v>37917.958709999999</v>
      </c>
      <c r="W409" s="408">
        <v>37917.958709999999</v>
      </c>
      <c r="X409" s="408">
        <v>42033.620389999996</v>
      </c>
      <c r="Y409" s="408">
        <v>0</v>
      </c>
      <c r="Z409" s="408">
        <v>6731.5114997921055</v>
      </c>
      <c r="AA409" s="408">
        <v>0</v>
      </c>
      <c r="AB409" s="408">
        <v>0</v>
      </c>
      <c r="AC409" s="408">
        <v>0</v>
      </c>
      <c r="AD409" s="408">
        <v>0</v>
      </c>
      <c r="AE409" s="408">
        <v>0</v>
      </c>
      <c r="AF409" s="408">
        <v>27267.726790642901</v>
      </c>
      <c r="AG409" s="408">
        <v>403.06481644129894</v>
      </c>
      <c r="AH409" s="408">
        <v>0</v>
      </c>
      <c r="AI409" s="408">
        <v>0</v>
      </c>
      <c r="AJ409" s="408">
        <v>0</v>
      </c>
      <c r="AK409" s="408">
        <v>0</v>
      </c>
      <c r="AL409" s="408">
        <v>1196.609951952041</v>
      </c>
      <c r="AM409" s="408"/>
      <c r="AN409" s="408">
        <v>175.3014259387856</v>
      </c>
      <c r="AO409" s="408">
        <v>0</v>
      </c>
      <c r="AP409" s="408">
        <v>0</v>
      </c>
      <c r="AQ409" s="408">
        <v>0</v>
      </c>
      <c r="AR409" s="408">
        <v>0</v>
      </c>
      <c r="AS409" s="408">
        <v>0</v>
      </c>
      <c r="AT409" s="408">
        <v>0</v>
      </c>
      <c r="AU409" s="408">
        <v>0</v>
      </c>
      <c r="AV409" s="408">
        <v>0</v>
      </c>
      <c r="AW409" s="408">
        <v>0</v>
      </c>
      <c r="AX409" s="408">
        <v>0</v>
      </c>
      <c r="AY409" s="408">
        <v>0</v>
      </c>
      <c r="AZ409" s="408">
        <v>0</v>
      </c>
      <c r="BA409" s="408"/>
      <c r="BB409" s="408">
        <v>0</v>
      </c>
      <c r="BC409" s="408">
        <v>0</v>
      </c>
      <c r="BD409" s="408">
        <v>58.37737994866432</v>
      </c>
      <c r="BE409" s="408">
        <v>0</v>
      </c>
      <c r="BF409" s="408">
        <v>0</v>
      </c>
      <c r="BG409" s="408">
        <v>2085.4247720713602</v>
      </c>
      <c r="BH409" s="408">
        <v>0</v>
      </c>
      <c r="BI409" s="408">
        <v>0</v>
      </c>
      <c r="BJ409" s="408">
        <v>0</v>
      </c>
      <c r="BK409" s="408">
        <v>0</v>
      </c>
      <c r="BL409" s="408">
        <v>0</v>
      </c>
      <c r="BM409" s="408"/>
      <c r="BN409" s="408"/>
      <c r="BO409" s="408"/>
      <c r="BP409" s="408"/>
      <c r="BQ409" s="408"/>
      <c r="BR409" s="408"/>
      <c r="BS409" s="408"/>
      <c r="BT409" s="408"/>
      <c r="BU409" s="408"/>
      <c r="BV409" s="408">
        <v>29411.528942662924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42034.608199999995</v>
      </c>
      <c r="CJ409" s="408">
        <v>4116.6194899999973</v>
      </c>
      <c r="CK409" s="408"/>
      <c r="CL409" s="408"/>
      <c r="CM409" s="408"/>
      <c r="CN409" s="408"/>
      <c r="CO409" s="408">
        <v>-49.786230000000074</v>
      </c>
      <c r="CP409" s="408">
        <v>4165.447909999999</v>
      </c>
      <c r="CQ409" s="408">
        <v>31</v>
      </c>
      <c r="CR409" s="408">
        <v>4115.7904782952828</v>
      </c>
      <c r="CS409" s="408">
        <v>0</v>
      </c>
      <c r="CT409" s="408">
        <v>0</v>
      </c>
      <c r="CU409" s="408">
        <v>0</v>
      </c>
      <c r="CV409" s="408">
        <v>0</v>
      </c>
      <c r="CW409" s="408">
        <v>0</v>
      </c>
      <c r="CX409" s="408">
        <v>0</v>
      </c>
      <c r="CY409" s="408">
        <v>0</v>
      </c>
      <c r="CZ409" s="408">
        <v>0</v>
      </c>
      <c r="DA409" s="408">
        <v>0</v>
      </c>
      <c r="DB409" s="408">
        <v>0</v>
      </c>
      <c r="DC409" s="408">
        <v>4165.9832426146313</v>
      </c>
      <c r="DD409" s="408">
        <v>0</v>
      </c>
      <c r="DE409" s="408">
        <v>0</v>
      </c>
      <c r="DF409" s="408">
        <v>8.9189388056118659</v>
      </c>
      <c r="DG409" s="408">
        <v>318.61272195100037</v>
      </c>
      <c r="DH409" s="408">
        <v>0</v>
      </c>
      <c r="DI409" s="408">
        <v>-321.61274166557814</v>
      </c>
      <c r="DJ409" s="408"/>
      <c r="DK409" s="408">
        <v>0</v>
      </c>
      <c r="DL409" s="408">
        <v>0</v>
      </c>
      <c r="DM409" s="408">
        <v>0</v>
      </c>
      <c r="DN409" s="408">
        <v>0</v>
      </c>
      <c r="DO409" s="408">
        <v>-48.487364128475065</v>
      </c>
      <c r="DP409" s="408">
        <v>-7.6243192819021601</v>
      </c>
      <c r="DQ409" s="408">
        <v>0</v>
      </c>
      <c r="DR409" s="408">
        <v>0</v>
      </c>
      <c r="DS409" s="408"/>
      <c r="DT409" s="408"/>
      <c r="DU409" s="408"/>
      <c r="DV409" s="408">
        <v>0</v>
      </c>
      <c r="DW409" s="408">
        <v>0</v>
      </c>
      <c r="DX409" s="408">
        <v>0</v>
      </c>
      <c r="DY409" s="408">
        <v>-49.786229999999705</v>
      </c>
      <c r="DZ409" s="234">
        <v>4165.447909999999</v>
      </c>
      <c r="EA409" s="408">
        <v>0</v>
      </c>
      <c r="EB409" s="408">
        <v>0</v>
      </c>
      <c r="EC409" s="408">
        <v>0</v>
      </c>
      <c r="ED409" s="408">
        <v>0</v>
      </c>
      <c r="EE409" s="408">
        <v>0</v>
      </c>
      <c r="EF409" s="408">
        <v>0</v>
      </c>
      <c r="EG409" s="408">
        <v>0</v>
      </c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>
        <v>0</v>
      </c>
      <c r="EN409" s="408">
        <v>0</v>
      </c>
      <c r="EO409" s="408">
        <v>0</v>
      </c>
      <c r="EP409" s="408">
        <v>0</v>
      </c>
      <c r="EQ409" s="408">
        <v>0</v>
      </c>
      <c r="ER409" s="408">
        <v>0</v>
      </c>
      <c r="ES409" s="408">
        <v>0</v>
      </c>
      <c r="ET409" s="408">
        <v>0</v>
      </c>
      <c r="EU409" s="408">
        <v>0</v>
      </c>
      <c r="EV409" s="408">
        <v>242</v>
      </c>
      <c r="EW409" s="408">
        <v>0</v>
      </c>
      <c r="EX409" s="408">
        <v>0</v>
      </c>
      <c r="EY409" s="408">
        <v>0</v>
      </c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408</v>
      </c>
      <c r="B410" s="408" t="s">
        <v>1036</v>
      </c>
      <c r="C410" s="408" t="s">
        <v>2239</v>
      </c>
      <c r="D410" s="408" t="s">
        <v>597</v>
      </c>
      <c r="E410" s="408" t="s">
        <v>970</v>
      </c>
      <c r="F410" s="408" t="s">
        <v>1322</v>
      </c>
      <c r="G410" s="408" t="s">
        <v>1322</v>
      </c>
      <c r="H410" s="408" t="s">
        <v>1322</v>
      </c>
      <c r="I410" s="408" t="s">
        <v>1322</v>
      </c>
      <c r="J410" s="408" t="s">
        <v>2232</v>
      </c>
      <c r="K410" s="828">
        <v>44621</v>
      </c>
      <c r="L410" s="408">
        <v>925</v>
      </c>
      <c r="M410" s="408">
        <v>925</v>
      </c>
      <c r="N410" s="408">
        <v>0</v>
      </c>
      <c r="O410" s="408">
        <v>0</v>
      </c>
      <c r="P410" s="408">
        <v>0</v>
      </c>
      <c r="Q410" s="408">
        <v>0</v>
      </c>
      <c r="R410" s="408">
        <v>32.17</v>
      </c>
      <c r="S410" s="408"/>
      <c r="T410" s="408"/>
      <c r="U410" s="408">
        <v>29757.25</v>
      </c>
      <c r="V410" s="408"/>
      <c r="W410" s="408">
        <v>29757.25</v>
      </c>
      <c r="X410" s="408">
        <v>11960.25</v>
      </c>
      <c r="Y410" s="408">
        <v>0</v>
      </c>
      <c r="Z410" s="408">
        <v>0</v>
      </c>
      <c r="AA410" s="408">
        <v>0</v>
      </c>
      <c r="AB410" s="408">
        <v>0</v>
      </c>
      <c r="AC410" s="408">
        <v>0</v>
      </c>
      <c r="AD410" s="408">
        <v>92.422508246429743</v>
      </c>
      <c r="AE410" s="408">
        <v>24907.230271356024</v>
      </c>
      <c r="AF410" s="408"/>
      <c r="AG410" s="408"/>
      <c r="AH410" s="408"/>
      <c r="AI410" s="408">
        <v>0</v>
      </c>
      <c r="AJ410" s="408">
        <v>0</v>
      </c>
      <c r="AK410" s="408">
        <v>0</v>
      </c>
      <c r="AL410" s="408">
        <v>0</v>
      </c>
      <c r="AM410" s="408"/>
      <c r="AN410" s="408">
        <v>0</v>
      </c>
      <c r="AO410" s="408">
        <v>1632.0895234327004</v>
      </c>
      <c r="AP410" s="408">
        <v>3129.1502780372539</v>
      </c>
      <c r="AQ410" s="408">
        <v>0</v>
      </c>
      <c r="AR410" s="408">
        <v>0</v>
      </c>
      <c r="AS410" s="408"/>
      <c r="AT410" s="408"/>
      <c r="AU410" s="408">
        <v>0</v>
      </c>
      <c r="AV410" s="408">
        <v>0</v>
      </c>
      <c r="AW410" s="408">
        <v>0</v>
      </c>
      <c r="AX410" s="408"/>
      <c r="AY410" s="408"/>
      <c r="AZ410" s="408">
        <v>0</v>
      </c>
      <c r="BA410" s="408"/>
      <c r="BB410" s="408">
        <v>0</v>
      </c>
      <c r="BC410" s="408">
        <v>0</v>
      </c>
      <c r="BD410" s="408">
        <v>0</v>
      </c>
      <c r="BE410" s="408">
        <v>0</v>
      </c>
      <c r="BF410" s="408"/>
      <c r="BG410" s="408">
        <v>0</v>
      </c>
      <c r="BH410" s="408">
        <v>0</v>
      </c>
      <c r="BI410" s="408">
        <v>98.87</v>
      </c>
      <c r="BJ410" s="408">
        <v>448.78</v>
      </c>
      <c r="BK410" s="408">
        <v>14963.15</v>
      </c>
      <c r="BL410" s="408">
        <v>6</v>
      </c>
      <c r="BM410" s="408"/>
      <c r="BN410" s="408"/>
      <c r="BO410" s="408"/>
      <c r="BP410" s="408"/>
      <c r="BQ410" s="408"/>
      <c r="BR410" s="408"/>
      <c r="BS410" s="408"/>
      <c r="BT410" s="408"/>
      <c r="BU410" s="408"/>
      <c r="BV410" s="408">
        <v>0</v>
      </c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>
        <v>11960.25</v>
      </c>
      <c r="CJ410" s="408">
        <v>-17797.029999999995</v>
      </c>
      <c r="CK410" s="408"/>
      <c r="CL410" s="408"/>
      <c r="CM410" s="408"/>
      <c r="CN410" s="408"/>
      <c r="CO410" s="408">
        <v>-17797.000000000004</v>
      </c>
      <c r="CP410" s="408">
        <v>0</v>
      </c>
      <c r="CQ410" s="408">
        <v>31</v>
      </c>
      <c r="CR410" s="408">
        <v>500.16575872291105</v>
      </c>
      <c r="CS410" s="408">
        <v>168.35252193292195</v>
      </c>
      <c r="CT410" s="408">
        <v>322.77662055367091</v>
      </c>
      <c r="CU410" s="408">
        <v>0</v>
      </c>
      <c r="CV410" s="408">
        <v>0</v>
      </c>
      <c r="CW410" s="408"/>
      <c r="CX410" s="408"/>
      <c r="CY410" s="408"/>
      <c r="CZ410" s="408">
        <v>9.036616236318082</v>
      </c>
      <c r="DA410" s="408">
        <v>0</v>
      </c>
      <c r="DB410" s="408">
        <v>0</v>
      </c>
      <c r="DC410" s="408"/>
      <c r="DD410" s="408"/>
      <c r="DE410" s="408">
        <v>0</v>
      </c>
      <c r="DF410" s="408">
        <v>0</v>
      </c>
      <c r="DG410" s="408">
        <v>0</v>
      </c>
      <c r="DH410" s="408">
        <v>0</v>
      </c>
      <c r="DI410" s="408">
        <v>0</v>
      </c>
      <c r="DJ410" s="408"/>
      <c r="DK410" s="408">
        <v>0</v>
      </c>
      <c r="DL410" s="408">
        <v>0</v>
      </c>
      <c r="DM410" s="408"/>
      <c r="DN410" s="408">
        <v>0</v>
      </c>
      <c r="DO410" s="408">
        <v>0</v>
      </c>
      <c r="DP410" s="408">
        <v>0</v>
      </c>
      <c r="DQ410" s="408">
        <v>0</v>
      </c>
      <c r="DR410" s="408">
        <v>0</v>
      </c>
      <c r="DS410" s="408"/>
      <c r="DT410" s="408"/>
      <c r="DU410" s="408">
        <v>24907.230271356024</v>
      </c>
      <c r="DV410" s="408"/>
      <c r="DW410" s="408">
        <v>0</v>
      </c>
      <c r="DX410" s="408">
        <v>0</v>
      </c>
      <c r="DY410" s="408">
        <v>-17797</v>
      </c>
      <c r="DZ410" s="234"/>
      <c r="EA410" s="408">
        <v>0</v>
      </c>
      <c r="EB410" s="408"/>
      <c r="EC410" s="408">
        <v>-18299.586605270189</v>
      </c>
      <c r="ED410" s="408"/>
      <c r="EE410" s="408">
        <v>0</v>
      </c>
      <c r="EF410" s="408">
        <v>0</v>
      </c>
      <c r="EG410" s="408"/>
      <c r="EH410" s="408">
        <v>0</v>
      </c>
      <c r="EI410" s="408">
        <v>0</v>
      </c>
      <c r="EJ410" s="408">
        <v>0</v>
      </c>
      <c r="EK410" s="408">
        <v>0</v>
      </c>
      <c r="EL410" s="408">
        <v>0</v>
      </c>
      <c r="EM410" s="408"/>
      <c r="EN410" s="408"/>
      <c r="EO410" s="408">
        <v>0</v>
      </c>
      <c r="EP410" s="408">
        <v>0</v>
      </c>
      <c r="EQ410" s="408"/>
      <c r="ER410" s="408">
        <v>0</v>
      </c>
      <c r="ES410" s="408"/>
      <c r="ET410" s="408">
        <v>0</v>
      </c>
      <c r="EU410" s="408"/>
      <c r="EV410" s="408">
        <v>242</v>
      </c>
      <c r="EW410" s="408"/>
      <c r="EX410" s="408"/>
      <c r="EY410" s="408"/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409</v>
      </c>
      <c r="B411" s="408" t="s">
        <v>1036</v>
      </c>
      <c r="C411" s="408" t="s">
        <v>2231</v>
      </c>
      <c r="D411" s="408" t="s">
        <v>1955</v>
      </c>
      <c r="E411" s="408" t="s">
        <v>998</v>
      </c>
      <c r="F411" s="408" t="s">
        <v>1322</v>
      </c>
      <c r="G411" s="408" t="s">
        <v>1322</v>
      </c>
      <c r="H411" s="408" t="s">
        <v>1322</v>
      </c>
      <c r="I411" s="408" t="s">
        <v>1322</v>
      </c>
      <c r="J411" s="408" t="s">
        <v>2232</v>
      </c>
      <c r="K411" s="828">
        <v>44621</v>
      </c>
      <c r="L411" s="408">
        <v>0</v>
      </c>
      <c r="M411" s="408">
        <v>0</v>
      </c>
      <c r="N411" s="408">
        <v>301.95800000000003</v>
      </c>
      <c r="O411" s="408">
        <v>301.95800000000003</v>
      </c>
      <c r="P411" s="408">
        <v>301.95800000000003</v>
      </c>
      <c r="Q411" s="408">
        <v>301.95800000000003</v>
      </c>
      <c r="R411" s="408"/>
      <c r="S411" s="408">
        <v>571.87</v>
      </c>
      <c r="T411" s="408">
        <v>216.76</v>
      </c>
      <c r="U411" s="408"/>
      <c r="V411" s="408">
        <v>238133.13754000003</v>
      </c>
      <c r="W411" s="408">
        <v>238133.13754000003</v>
      </c>
      <c r="X411" s="408">
        <v>155209.43158</v>
      </c>
      <c r="Y411" s="408">
        <v>0</v>
      </c>
      <c r="Z411" s="408">
        <v>18301.860701384023</v>
      </c>
      <c r="AA411" s="408">
        <v>0</v>
      </c>
      <c r="AB411" s="408">
        <v>0</v>
      </c>
      <c r="AC411" s="408">
        <v>0</v>
      </c>
      <c r="AD411" s="408">
        <v>248.18341687607654</v>
      </c>
      <c r="AE411" s="408">
        <v>128749.95985953785</v>
      </c>
      <c r="AF411" s="408">
        <v>64498.681985703486</v>
      </c>
      <c r="AG411" s="408">
        <v>953.40361940968182</v>
      </c>
      <c r="AH411" s="408">
        <v>0</v>
      </c>
      <c r="AI411" s="408">
        <v>0</v>
      </c>
      <c r="AJ411" s="408">
        <v>0</v>
      </c>
      <c r="AK411" s="408">
        <v>0</v>
      </c>
      <c r="AL411" s="408">
        <v>2830.4436722744108</v>
      </c>
      <c r="AM411" s="408"/>
      <c r="AN411" s="408">
        <v>579.29723023749079</v>
      </c>
      <c r="AO411" s="408">
        <v>2681.8996889235955</v>
      </c>
      <c r="AP411" s="408">
        <v>8402.6170063050849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179.68603288406078</v>
      </c>
      <c r="BE411" s="408">
        <v>0</v>
      </c>
      <c r="BF411" s="408">
        <v>0</v>
      </c>
      <c r="BG411" s="408">
        <v>10706.898468911309</v>
      </c>
      <c r="BH411" s="408">
        <v>0</v>
      </c>
      <c r="BI411" s="408">
        <v>275.62</v>
      </c>
      <c r="BJ411" s="408">
        <v>1271.6199999999999</v>
      </c>
      <c r="BK411" s="408">
        <v>66539.38</v>
      </c>
      <c r="BL411" s="408">
        <v>706</v>
      </c>
      <c r="BM411" s="408"/>
      <c r="BN411" s="408"/>
      <c r="BO411" s="408"/>
      <c r="BP411" s="408"/>
      <c r="BQ411" s="408"/>
      <c r="BR411" s="408"/>
      <c r="BS411" s="408"/>
      <c r="BT411" s="408"/>
      <c r="BU411" s="408"/>
      <c r="BV411" s="408">
        <v>75385.266487498855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155210.4596</v>
      </c>
      <c r="CJ411" s="408">
        <v>-82922.707940000051</v>
      </c>
      <c r="CK411" s="408"/>
      <c r="CL411" s="408"/>
      <c r="CM411" s="408"/>
      <c r="CN411" s="408"/>
      <c r="CO411" s="408">
        <v>-92776.59550000001</v>
      </c>
      <c r="CP411" s="408">
        <v>9852.8895400000001</v>
      </c>
      <c r="CQ411" s="408">
        <v>31</v>
      </c>
      <c r="CR411" s="408">
        <v>11670.769052798918</v>
      </c>
      <c r="CS411" s="408">
        <v>276.64204059821805</v>
      </c>
      <c r="CT411" s="408">
        <v>866.74275126317843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24.266148334205184</v>
      </c>
      <c r="DA411" s="408">
        <v>0</v>
      </c>
      <c r="DB411" s="408">
        <v>0</v>
      </c>
      <c r="DC411" s="408">
        <v>9854.1558079339884</v>
      </c>
      <c r="DD411" s="408">
        <v>0</v>
      </c>
      <c r="DE411" s="408">
        <v>0</v>
      </c>
      <c r="DF411" s="408">
        <v>27.452563525896295</v>
      </c>
      <c r="DG411" s="408">
        <v>1635.8077790763346</v>
      </c>
      <c r="DH411" s="408">
        <v>0</v>
      </c>
      <c r="DI411" s="408">
        <v>-874.41157872723852</v>
      </c>
      <c r="DJ411" s="408"/>
      <c r="DK411" s="408">
        <v>0</v>
      </c>
      <c r="DL411" s="408">
        <v>0</v>
      </c>
      <c r="DM411" s="408">
        <v>0</v>
      </c>
      <c r="DN411" s="408">
        <v>0</v>
      </c>
      <c r="DO411" s="408">
        <v>-114.69130167171488</v>
      </c>
      <c r="DP411" s="408">
        <v>-25.195157533941028</v>
      </c>
      <c r="DQ411" s="408">
        <v>0</v>
      </c>
      <c r="DR411" s="408">
        <v>0</v>
      </c>
      <c r="DS411" s="408"/>
      <c r="DT411" s="408"/>
      <c r="DU411" s="408"/>
      <c r="DV411" s="408">
        <v>128749.95985953785</v>
      </c>
      <c r="DW411" s="408">
        <v>0</v>
      </c>
      <c r="DX411" s="408">
        <v>0</v>
      </c>
      <c r="DY411" s="408">
        <v>-92776.595500000025</v>
      </c>
      <c r="DZ411" s="234">
        <v>9852.8895399999965</v>
      </c>
      <c r="EA411" s="408">
        <v>0</v>
      </c>
      <c r="EB411" s="408">
        <v>0</v>
      </c>
      <c r="EC411" s="408">
        <v>-94593.859502082807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0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242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410</v>
      </c>
      <c r="B412" s="408" t="s">
        <v>2234</v>
      </c>
      <c r="C412" s="408" t="s">
        <v>2231</v>
      </c>
      <c r="D412" s="408" t="s">
        <v>1955</v>
      </c>
      <c r="E412" s="408" t="s">
        <v>998</v>
      </c>
      <c r="F412" s="408" t="s">
        <v>1322</v>
      </c>
      <c r="G412" s="408" t="s">
        <v>1322</v>
      </c>
      <c r="H412" s="408" t="s">
        <v>1322</v>
      </c>
      <c r="I412" s="408" t="s">
        <v>1322</v>
      </c>
      <c r="J412" s="408" t="s">
        <v>2232</v>
      </c>
      <c r="K412" s="828">
        <v>44621</v>
      </c>
      <c r="L412" s="408">
        <v>0</v>
      </c>
      <c r="M412" s="408">
        <v>0</v>
      </c>
      <c r="N412" s="408">
        <v>11.692</v>
      </c>
      <c r="O412" s="408">
        <v>11.692</v>
      </c>
      <c r="P412" s="408">
        <v>11.692</v>
      </c>
      <c r="Q412" s="408">
        <v>11.692</v>
      </c>
      <c r="R412" s="408"/>
      <c r="S412" s="408">
        <v>571.87</v>
      </c>
      <c r="T412" s="408">
        <v>216.76</v>
      </c>
      <c r="U412" s="408"/>
      <c r="V412" s="408">
        <v>9220.6619599999995</v>
      </c>
      <c r="W412" s="408">
        <v>9220.6619599999995</v>
      </c>
      <c r="X412" s="408">
        <v>6009.8049200000005</v>
      </c>
      <c r="Y412" s="408">
        <v>0</v>
      </c>
      <c r="Z412" s="408">
        <v>708.65933447890757</v>
      </c>
      <c r="AA412" s="408">
        <v>0</v>
      </c>
      <c r="AB412" s="408">
        <v>0</v>
      </c>
      <c r="AC412" s="408">
        <v>0</v>
      </c>
      <c r="AD412" s="408">
        <v>9.6098149746490797</v>
      </c>
      <c r="AE412" s="408">
        <v>4985.2778554557799</v>
      </c>
      <c r="AF412" s="408">
        <v>2497.4287476299523</v>
      </c>
      <c r="AG412" s="408">
        <v>36.916376178600991</v>
      </c>
      <c r="AH412" s="408">
        <v>0</v>
      </c>
      <c r="AI412" s="408">
        <v>0</v>
      </c>
      <c r="AJ412" s="408">
        <v>0</v>
      </c>
      <c r="AK412" s="408">
        <v>0</v>
      </c>
      <c r="AL412" s="408">
        <v>109.59652473599775</v>
      </c>
      <c r="AM412" s="408"/>
      <c r="AN412" s="408">
        <v>22.43074605056578</v>
      </c>
      <c r="AO412" s="408">
        <v>103.84481008251039</v>
      </c>
      <c r="AP412" s="408">
        <v>325.35451300418947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6.9575540190372118</v>
      </c>
      <c r="BE412" s="408">
        <v>0</v>
      </c>
      <c r="BF412" s="408">
        <v>0</v>
      </c>
      <c r="BG412" s="408">
        <v>414.57771245839166</v>
      </c>
      <c r="BH412" s="408">
        <v>0</v>
      </c>
      <c r="BI412" s="408">
        <v>9.93</v>
      </c>
      <c r="BJ412" s="408">
        <v>45.58</v>
      </c>
      <c r="BK412" s="408">
        <v>3873.06</v>
      </c>
      <c r="BL412" s="408">
        <v>20</v>
      </c>
      <c r="BM412" s="408"/>
      <c r="BN412" s="408"/>
      <c r="BO412" s="408"/>
      <c r="BP412" s="408"/>
      <c r="BQ412" s="408"/>
      <c r="BR412" s="408"/>
      <c r="BS412" s="408"/>
      <c r="BT412" s="408"/>
      <c r="BU412" s="408"/>
      <c r="BV412" s="408">
        <v>2918.964014107381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6008.7768999999998</v>
      </c>
      <c r="CJ412" s="408">
        <v>-3211.9150600000003</v>
      </c>
      <c r="CK412" s="408"/>
      <c r="CL412" s="408"/>
      <c r="CM412" s="408"/>
      <c r="CN412" s="408"/>
      <c r="CO412" s="408">
        <v>-3592.3670000000002</v>
      </c>
      <c r="CP412" s="408">
        <v>381.50995999999998</v>
      </c>
      <c r="CQ412" s="408">
        <v>31</v>
      </c>
      <c r="CR412" s="408">
        <v>451.899375957335</v>
      </c>
      <c r="CS412" s="408">
        <v>10.711750437724348</v>
      </c>
      <c r="CT412" s="408">
        <v>33.560813913753179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0.93960023024237316</v>
      </c>
      <c r="DA412" s="408">
        <v>0</v>
      </c>
      <c r="DB412" s="408">
        <v>0</v>
      </c>
      <c r="DC412" s="408">
        <v>381.55899067540577</v>
      </c>
      <c r="DD412" s="408">
        <v>0</v>
      </c>
      <c r="DE412" s="408">
        <v>0</v>
      </c>
      <c r="DF412" s="408">
        <v>1.0629801917643489</v>
      </c>
      <c r="DG412" s="408">
        <v>63.33948613039064</v>
      </c>
      <c r="DH412" s="408">
        <v>0</v>
      </c>
      <c r="DI412" s="408">
        <v>-33.857755643098812</v>
      </c>
      <c r="DJ412" s="408"/>
      <c r="DK412" s="408">
        <v>0</v>
      </c>
      <c r="DL412" s="408">
        <v>0</v>
      </c>
      <c r="DM412" s="408">
        <v>0</v>
      </c>
      <c r="DN412" s="408">
        <v>0</v>
      </c>
      <c r="DO412" s="408">
        <v>-4.440917939401146</v>
      </c>
      <c r="DP412" s="408">
        <v>-0.97557203944534976</v>
      </c>
      <c r="DQ412" s="408">
        <v>0</v>
      </c>
      <c r="DR412" s="408">
        <v>0</v>
      </c>
      <c r="DS412" s="408"/>
      <c r="DT412" s="408"/>
      <c r="DU412" s="408"/>
      <c r="DV412" s="408">
        <v>4985.2778554557799</v>
      </c>
      <c r="DW412" s="408">
        <v>0</v>
      </c>
      <c r="DX412" s="408">
        <v>0</v>
      </c>
      <c r="DY412" s="408">
        <v>-3592.3669999999997</v>
      </c>
      <c r="DZ412" s="234">
        <v>381.50995999999986</v>
      </c>
      <c r="EA412" s="408">
        <v>0</v>
      </c>
      <c r="EB412" s="408">
        <v>0</v>
      </c>
      <c r="EC412" s="408">
        <v>-3662.7325830027758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0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242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411</v>
      </c>
      <c r="B413" s="408" t="s">
        <v>1036</v>
      </c>
      <c r="C413" s="408" t="s">
        <v>2239</v>
      </c>
      <c r="D413" s="408" t="s">
        <v>597</v>
      </c>
      <c r="E413" s="408" t="s">
        <v>998</v>
      </c>
      <c r="F413" s="408" t="s">
        <v>1322</v>
      </c>
      <c r="G413" s="408" t="s">
        <v>1322</v>
      </c>
      <c r="H413" s="408" t="s">
        <v>1322</v>
      </c>
      <c r="I413" s="408" t="s">
        <v>973</v>
      </c>
      <c r="J413" s="408" t="s">
        <v>2232</v>
      </c>
      <c r="K413" s="828">
        <v>44621</v>
      </c>
      <c r="L413" s="408">
        <v>0</v>
      </c>
      <c r="M413" s="408">
        <v>0</v>
      </c>
      <c r="N413" s="408">
        <v>5.6970000000000001</v>
      </c>
      <c r="O413" s="408">
        <v>5.6970000000000001</v>
      </c>
      <c r="P413" s="408">
        <v>5.6970000000000001</v>
      </c>
      <c r="Q413" s="408">
        <v>5.6970000000000001</v>
      </c>
      <c r="R413" s="408"/>
      <c r="S413" s="408">
        <v>2592.54</v>
      </c>
      <c r="T413" s="408">
        <v>216.76</v>
      </c>
      <c r="U413" s="408"/>
      <c r="V413" s="408">
        <v>16004.5821</v>
      </c>
      <c r="W413" s="408">
        <v>16004.5821</v>
      </c>
      <c r="X413" s="408">
        <v>6729.2963999999993</v>
      </c>
      <c r="Y413" s="408">
        <v>0</v>
      </c>
      <c r="Z413" s="408">
        <v>300.40985621090601</v>
      </c>
      <c r="AA413" s="408">
        <v>0</v>
      </c>
      <c r="AB413" s="408">
        <v>0</v>
      </c>
      <c r="AC413" s="408">
        <v>0</v>
      </c>
      <c r="AD413" s="408">
        <v>28.807650774659049</v>
      </c>
      <c r="AE413" s="408">
        <v>13051.208900645588</v>
      </c>
      <c r="AF413" s="408">
        <v>1216.8877501922543</v>
      </c>
      <c r="AG413" s="408">
        <v>17.987734783569095</v>
      </c>
      <c r="AH413" s="408">
        <v>0</v>
      </c>
      <c r="AI413" s="408">
        <v>0</v>
      </c>
      <c r="AJ413" s="408">
        <v>0</v>
      </c>
      <c r="AK413" s="408">
        <v>0</v>
      </c>
      <c r="AL413" s="408">
        <v>53.401590952871977</v>
      </c>
      <c r="AM413" s="408"/>
      <c r="AN413" s="408">
        <v>7.8232468534687607</v>
      </c>
      <c r="AO413" s="408">
        <v>257.01942316812335</v>
      </c>
      <c r="AP413" s="408">
        <v>975.33066548271313</v>
      </c>
      <c r="AQ413" s="408">
        <v>0</v>
      </c>
      <c r="AR413" s="408">
        <v>0</v>
      </c>
      <c r="AS413" s="408">
        <v>0</v>
      </c>
      <c r="AT413" s="408">
        <v>0</v>
      </c>
      <c r="AU413" s="408">
        <v>0</v>
      </c>
      <c r="AV413" s="408">
        <v>0</v>
      </c>
      <c r="AW413" s="408">
        <v>0</v>
      </c>
      <c r="AX413" s="408">
        <v>0</v>
      </c>
      <c r="AY413" s="408">
        <v>0</v>
      </c>
      <c r="AZ413" s="408">
        <v>0</v>
      </c>
      <c r="BA413" s="408"/>
      <c r="BB413" s="408">
        <v>0</v>
      </c>
      <c r="BC413" s="408">
        <v>0</v>
      </c>
      <c r="BD413" s="408">
        <v>2.6052306850978844</v>
      </c>
      <c r="BE413" s="408">
        <v>0</v>
      </c>
      <c r="BF413" s="408">
        <v>0</v>
      </c>
      <c r="BG413" s="408">
        <v>93.067085443732338</v>
      </c>
      <c r="BH413" s="408">
        <v>0</v>
      </c>
      <c r="BI413" s="408">
        <v>0</v>
      </c>
      <c r="BJ413" s="408">
        <v>0</v>
      </c>
      <c r="BK413" s="408">
        <v>0</v>
      </c>
      <c r="BL413" s="408">
        <v>0</v>
      </c>
      <c r="BM413" s="408"/>
      <c r="BN413" s="408"/>
      <c r="BO413" s="408"/>
      <c r="BP413" s="408"/>
      <c r="BQ413" s="408"/>
      <c r="BR413" s="408"/>
      <c r="BS413" s="408"/>
      <c r="BT413" s="408"/>
      <c r="BU413" s="408"/>
      <c r="BV413" s="408">
        <v>1312.5600663210846</v>
      </c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>
        <v>6732.84</v>
      </c>
      <c r="CJ413" s="408">
        <v>-9271.7721000000001</v>
      </c>
      <c r="CK413" s="408"/>
      <c r="CL413" s="408"/>
      <c r="CM413" s="408"/>
      <c r="CN413" s="408"/>
      <c r="CO413" s="408">
        <v>-9461.1788099999994</v>
      </c>
      <c r="CP413" s="408">
        <v>185.89310999999998</v>
      </c>
      <c r="CQ413" s="408">
        <v>31</v>
      </c>
      <c r="CR413" s="408">
        <v>313.61248766164408</v>
      </c>
      <c r="CS413" s="408">
        <v>26.511945242494733</v>
      </c>
      <c r="CT413" s="408">
        <v>100.60684471962304</v>
      </c>
      <c r="CU413" s="408">
        <v>0</v>
      </c>
      <c r="CV413" s="408">
        <v>0</v>
      </c>
      <c r="CW413" s="408">
        <v>0</v>
      </c>
      <c r="CX413" s="408">
        <v>0</v>
      </c>
      <c r="CY413" s="408">
        <v>0</v>
      </c>
      <c r="CZ413" s="408">
        <v>2.8166697664852975</v>
      </c>
      <c r="DA413" s="408">
        <v>0</v>
      </c>
      <c r="DB413" s="408">
        <v>0</v>
      </c>
      <c r="DC413" s="408">
        <v>185.91700050271857</v>
      </c>
      <c r="DD413" s="408">
        <v>0</v>
      </c>
      <c r="DE413" s="408">
        <v>0</v>
      </c>
      <c r="DF413" s="408">
        <v>0.39802904952780382</v>
      </c>
      <c r="DG413" s="408">
        <v>14.21885738310354</v>
      </c>
      <c r="DH413" s="408">
        <v>0</v>
      </c>
      <c r="DI413" s="408">
        <v>-14.352740462871623</v>
      </c>
      <c r="DJ413" s="408"/>
      <c r="DK413" s="408">
        <v>0</v>
      </c>
      <c r="DL413" s="408">
        <v>0</v>
      </c>
      <c r="DM413" s="408">
        <v>0</v>
      </c>
      <c r="DN413" s="408">
        <v>0</v>
      </c>
      <c r="DO413" s="408">
        <v>-2.1638649932234273</v>
      </c>
      <c r="DP413" s="408">
        <v>-0.34025354621365622</v>
      </c>
      <c r="DQ413" s="408">
        <v>0</v>
      </c>
      <c r="DR413" s="408">
        <v>0</v>
      </c>
      <c r="DS413" s="408"/>
      <c r="DT413" s="408"/>
      <c r="DU413" s="408"/>
      <c r="DV413" s="408">
        <v>13051.208900645588</v>
      </c>
      <c r="DW413" s="408">
        <v>0</v>
      </c>
      <c r="DX413" s="408">
        <v>0</v>
      </c>
      <c r="DY413" s="408">
        <v>-9461.1788100000012</v>
      </c>
      <c r="DZ413" s="234">
        <v>185.89310999999998</v>
      </c>
      <c r="EA413" s="408">
        <v>0</v>
      </c>
      <c r="EB413" s="408">
        <v>0</v>
      </c>
      <c r="EC413" s="408">
        <v>-9588.8513085897084</v>
      </c>
      <c r="ED413" s="408">
        <v>0</v>
      </c>
      <c r="EE413" s="408">
        <v>0</v>
      </c>
      <c r="EF413" s="408">
        <v>0</v>
      </c>
      <c r="EG413" s="408">
        <v>0</v>
      </c>
      <c r="EH413" s="408">
        <v>0</v>
      </c>
      <c r="EI413" s="408">
        <v>0</v>
      </c>
      <c r="EJ413" s="408">
        <v>0</v>
      </c>
      <c r="EK413" s="408">
        <v>0</v>
      </c>
      <c r="EL413" s="408">
        <v>0</v>
      </c>
      <c r="EM413" s="408">
        <v>0</v>
      </c>
      <c r="EN413" s="408">
        <v>0</v>
      </c>
      <c r="EO413" s="408">
        <v>0</v>
      </c>
      <c r="EP413" s="408">
        <v>0</v>
      </c>
      <c r="EQ413" s="408">
        <v>0</v>
      </c>
      <c r="ER413" s="408">
        <v>0</v>
      </c>
      <c r="ES413" s="408">
        <v>0</v>
      </c>
      <c r="ET413" s="408">
        <v>0</v>
      </c>
      <c r="EU413" s="408">
        <v>0</v>
      </c>
      <c r="EV413" s="408">
        <v>242</v>
      </c>
      <c r="EW413" s="408">
        <v>0</v>
      </c>
      <c r="EX413" s="408">
        <v>0</v>
      </c>
      <c r="EY413" s="408">
        <v>0</v>
      </c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412</v>
      </c>
      <c r="B414" s="408" t="s">
        <v>1036</v>
      </c>
      <c r="C414" s="408" t="s">
        <v>2239</v>
      </c>
      <c r="D414" s="408" t="s">
        <v>597</v>
      </c>
      <c r="E414" s="408" t="s">
        <v>998</v>
      </c>
      <c r="F414" s="408" t="s">
        <v>1322</v>
      </c>
      <c r="G414" s="408" t="s">
        <v>1322</v>
      </c>
      <c r="H414" s="408" t="s">
        <v>1322</v>
      </c>
      <c r="I414" s="408" t="s">
        <v>2240</v>
      </c>
      <c r="J414" s="408" t="s">
        <v>2232</v>
      </c>
      <c r="K414" s="828">
        <v>44621</v>
      </c>
      <c r="L414" s="408">
        <v>0</v>
      </c>
      <c r="M414" s="408">
        <v>0</v>
      </c>
      <c r="N414" s="408">
        <v>76.408000000000001</v>
      </c>
      <c r="O414" s="408">
        <v>76.408000000000001</v>
      </c>
      <c r="P414" s="408">
        <v>76.408000000000001</v>
      </c>
      <c r="Q414" s="408">
        <v>76.408000000000001</v>
      </c>
      <c r="R414" s="408"/>
      <c r="S414" s="408">
        <v>80.27</v>
      </c>
      <c r="T414" s="408">
        <v>216.76</v>
      </c>
      <c r="U414" s="408"/>
      <c r="V414" s="408">
        <v>22695.468239999998</v>
      </c>
      <c r="W414" s="408">
        <v>22695.468239999998</v>
      </c>
      <c r="X414" s="408">
        <v>25158.862160000001</v>
      </c>
      <c r="Y414" s="408">
        <v>0</v>
      </c>
      <c r="Z414" s="408">
        <v>4029.0883435778314</v>
      </c>
      <c r="AA414" s="408">
        <v>0</v>
      </c>
      <c r="AB414" s="408">
        <v>0</v>
      </c>
      <c r="AC414" s="408">
        <v>0</v>
      </c>
      <c r="AD414" s="408">
        <v>0</v>
      </c>
      <c r="AE414" s="408">
        <v>0</v>
      </c>
      <c r="AF414" s="408">
        <v>16320.863474932379</v>
      </c>
      <c r="AG414" s="408">
        <v>241.25098110285194</v>
      </c>
      <c r="AH414" s="408">
        <v>0</v>
      </c>
      <c r="AI414" s="408">
        <v>0</v>
      </c>
      <c r="AJ414" s="408">
        <v>0</v>
      </c>
      <c r="AK414" s="408">
        <v>0</v>
      </c>
      <c r="AL414" s="408">
        <v>716.22060058399893</v>
      </c>
      <c r="AM414" s="408"/>
      <c r="AN414" s="408">
        <v>104.92516159028278</v>
      </c>
      <c r="AO414" s="408">
        <v>0</v>
      </c>
      <c r="AP414" s="408">
        <v>0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34.94127895154628</v>
      </c>
      <c r="BE414" s="408">
        <v>0</v>
      </c>
      <c r="BF414" s="408">
        <v>0</v>
      </c>
      <c r="BG414" s="408">
        <v>1248.2130708416184</v>
      </c>
      <c r="BH414" s="408">
        <v>0</v>
      </c>
      <c r="BI414" s="408">
        <v>0</v>
      </c>
      <c r="BJ414" s="408">
        <v>0</v>
      </c>
      <c r="BK414" s="408">
        <v>0</v>
      </c>
      <c r="BL414" s="408">
        <v>0</v>
      </c>
      <c r="BM414" s="408"/>
      <c r="BN414" s="408"/>
      <c r="BO414" s="408"/>
      <c r="BP414" s="408"/>
      <c r="BQ414" s="408"/>
      <c r="BR414" s="408"/>
      <c r="BS414" s="408"/>
      <c r="BT414" s="408"/>
      <c r="BU414" s="408"/>
      <c r="BV414" s="408">
        <v>17604.017824725543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25159.520699999997</v>
      </c>
      <c r="CJ414" s="408">
        <v>2464.0224600000001</v>
      </c>
      <c r="CK414" s="408"/>
      <c r="CL414" s="408"/>
      <c r="CM414" s="408"/>
      <c r="CN414" s="408"/>
      <c r="CO414" s="408">
        <v>-29.799120000000045</v>
      </c>
      <c r="CP414" s="408">
        <v>2493.1930399999997</v>
      </c>
      <c r="CQ414" s="408">
        <v>31</v>
      </c>
      <c r="CR414" s="408">
        <v>2463.4710111124841</v>
      </c>
      <c r="CS414" s="408">
        <v>0</v>
      </c>
      <c r="CT414" s="408">
        <v>0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0</v>
      </c>
      <c r="DA414" s="408">
        <v>0</v>
      </c>
      <c r="DB414" s="408">
        <v>0</v>
      </c>
      <c r="DC414" s="408">
        <v>2493.5134587347238</v>
      </c>
      <c r="DD414" s="408">
        <v>0</v>
      </c>
      <c r="DE414" s="408">
        <v>0</v>
      </c>
      <c r="DF414" s="408">
        <v>5.3383541541724426</v>
      </c>
      <c r="DG414" s="408">
        <v>190.7029059027866</v>
      </c>
      <c r="DH414" s="408">
        <v>0</v>
      </c>
      <c r="DI414" s="408">
        <v>-192.49854191453278</v>
      </c>
      <c r="DJ414" s="408"/>
      <c r="DK414" s="408">
        <v>0</v>
      </c>
      <c r="DL414" s="408">
        <v>0</v>
      </c>
      <c r="DM414" s="408">
        <v>0</v>
      </c>
      <c r="DN414" s="408">
        <v>0</v>
      </c>
      <c r="DO414" s="408">
        <v>-29.021694997755958</v>
      </c>
      <c r="DP414" s="408">
        <v>-4.5634707669111805</v>
      </c>
      <c r="DQ414" s="408">
        <v>0</v>
      </c>
      <c r="DR414" s="408">
        <v>0</v>
      </c>
      <c r="DS414" s="408"/>
      <c r="DT414" s="408"/>
      <c r="DU414" s="408"/>
      <c r="DV414" s="408">
        <v>0</v>
      </c>
      <c r="DW414" s="408">
        <v>0</v>
      </c>
      <c r="DX414" s="408">
        <v>0</v>
      </c>
      <c r="DY414" s="408">
        <v>-29.799120000000585</v>
      </c>
      <c r="DZ414" s="234">
        <v>2493.1930400000019</v>
      </c>
      <c r="EA414" s="408">
        <v>0</v>
      </c>
      <c r="EB414" s="408">
        <v>0</v>
      </c>
      <c r="EC414" s="408">
        <v>0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242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413</v>
      </c>
      <c r="B415" s="408" t="s">
        <v>1036</v>
      </c>
      <c r="C415" s="408" t="s">
        <v>2239</v>
      </c>
      <c r="D415" s="408" t="s">
        <v>597</v>
      </c>
      <c r="E415" s="408" t="s">
        <v>998</v>
      </c>
      <c r="F415" s="408" t="s">
        <v>1322</v>
      </c>
      <c r="G415" s="408" t="s">
        <v>1322</v>
      </c>
      <c r="H415" s="408" t="s">
        <v>1322</v>
      </c>
      <c r="I415" s="408" t="s">
        <v>1322</v>
      </c>
      <c r="J415" s="408" t="s">
        <v>2232</v>
      </c>
      <c r="K415" s="828">
        <v>44621</v>
      </c>
      <c r="L415" s="408">
        <v>883</v>
      </c>
      <c r="M415" s="408">
        <v>883</v>
      </c>
      <c r="N415" s="408">
        <v>0</v>
      </c>
      <c r="O415" s="408">
        <v>0</v>
      </c>
      <c r="P415" s="408">
        <v>0</v>
      </c>
      <c r="Q415" s="408">
        <v>0</v>
      </c>
      <c r="R415" s="408">
        <v>32.17</v>
      </c>
      <c r="S415" s="408"/>
      <c r="T415" s="408"/>
      <c r="U415" s="408">
        <v>28406.11</v>
      </c>
      <c r="V415" s="408"/>
      <c r="W415" s="408">
        <v>28406.11</v>
      </c>
      <c r="X415" s="408">
        <v>11417.19</v>
      </c>
      <c r="Y415" s="408">
        <v>0</v>
      </c>
      <c r="Z415" s="408">
        <v>0</v>
      </c>
      <c r="AA415" s="408">
        <v>0</v>
      </c>
      <c r="AB415" s="408">
        <v>0</v>
      </c>
      <c r="AC415" s="408">
        <v>0</v>
      </c>
      <c r="AD415" s="408">
        <v>88.22602679091618</v>
      </c>
      <c r="AE415" s="408">
        <v>23776.307383359319</v>
      </c>
      <c r="AF415" s="408"/>
      <c r="AG415" s="408"/>
      <c r="AH415" s="408"/>
      <c r="AI415" s="408">
        <v>0</v>
      </c>
      <c r="AJ415" s="408">
        <v>0</v>
      </c>
      <c r="AK415" s="408">
        <v>0</v>
      </c>
      <c r="AL415" s="408">
        <v>0</v>
      </c>
      <c r="AM415" s="408"/>
      <c r="AN415" s="408">
        <v>0</v>
      </c>
      <c r="AO415" s="408">
        <v>1557.9838369633237</v>
      </c>
      <c r="AP415" s="408">
        <v>2987.0699410885354</v>
      </c>
      <c r="AQ415" s="408">
        <v>0</v>
      </c>
      <c r="AR415" s="408">
        <v>0</v>
      </c>
      <c r="AS415" s="408"/>
      <c r="AT415" s="408"/>
      <c r="AU415" s="408">
        <v>0</v>
      </c>
      <c r="AV415" s="408">
        <v>0</v>
      </c>
      <c r="AW415" s="408">
        <v>0</v>
      </c>
      <c r="AX415" s="408"/>
      <c r="AY415" s="408"/>
      <c r="AZ415" s="408">
        <v>0</v>
      </c>
      <c r="BA415" s="408"/>
      <c r="BB415" s="408">
        <v>0</v>
      </c>
      <c r="BC415" s="408">
        <v>0</v>
      </c>
      <c r="BD415" s="408">
        <v>0</v>
      </c>
      <c r="BE415" s="408">
        <v>0</v>
      </c>
      <c r="BF415" s="408"/>
      <c r="BG415" s="408">
        <v>0</v>
      </c>
      <c r="BH415" s="408">
        <v>0</v>
      </c>
      <c r="BI415" s="408">
        <v>71.92</v>
      </c>
      <c r="BJ415" s="408">
        <v>326.66000000000003</v>
      </c>
      <c r="BK415" s="408">
        <v>17069.3</v>
      </c>
      <c r="BL415" s="408">
        <v>8</v>
      </c>
      <c r="BM415" s="408"/>
      <c r="BN415" s="408"/>
      <c r="BO415" s="408"/>
      <c r="BP415" s="408"/>
      <c r="BQ415" s="408"/>
      <c r="BR415" s="408"/>
      <c r="BS415" s="408"/>
      <c r="BT415" s="408"/>
      <c r="BU415" s="408"/>
      <c r="BV415" s="408">
        <v>0</v>
      </c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>
        <v>11417.19</v>
      </c>
      <c r="CJ415" s="408">
        <v>-16988.949999999997</v>
      </c>
      <c r="CK415" s="408"/>
      <c r="CL415" s="408"/>
      <c r="CM415" s="408"/>
      <c r="CN415" s="408"/>
      <c r="CO415" s="408">
        <v>-16988.920000000002</v>
      </c>
      <c r="CP415" s="408">
        <v>0</v>
      </c>
      <c r="CQ415" s="408">
        <v>31</v>
      </c>
      <c r="CR415" s="408">
        <v>477.45552967819458</v>
      </c>
      <c r="CS415" s="408">
        <v>160.70840742353539</v>
      </c>
      <c r="CT415" s="408">
        <v>308.12081724204472</v>
      </c>
      <c r="CU415" s="408">
        <v>0</v>
      </c>
      <c r="CV415" s="408">
        <v>0</v>
      </c>
      <c r="CW415" s="408"/>
      <c r="CX415" s="408"/>
      <c r="CY415" s="408"/>
      <c r="CZ415" s="408">
        <v>8.6263050126149921</v>
      </c>
      <c r="DA415" s="408">
        <v>0</v>
      </c>
      <c r="DB415" s="408">
        <v>0</v>
      </c>
      <c r="DC415" s="408"/>
      <c r="DD415" s="408"/>
      <c r="DE415" s="408">
        <v>0</v>
      </c>
      <c r="DF415" s="408">
        <v>0</v>
      </c>
      <c r="DG415" s="408">
        <v>0</v>
      </c>
      <c r="DH415" s="408">
        <v>0</v>
      </c>
      <c r="DI415" s="408">
        <v>0</v>
      </c>
      <c r="DJ415" s="408"/>
      <c r="DK415" s="408">
        <v>0</v>
      </c>
      <c r="DL415" s="408">
        <v>0</v>
      </c>
      <c r="DM415" s="408"/>
      <c r="DN415" s="408">
        <v>0</v>
      </c>
      <c r="DO415" s="408">
        <v>0</v>
      </c>
      <c r="DP415" s="408">
        <v>0</v>
      </c>
      <c r="DQ415" s="408">
        <v>0</v>
      </c>
      <c r="DR415" s="408">
        <v>0</v>
      </c>
      <c r="DS415" s="408"/>
      <c r="DT415" s="408"/>
      <c r="DU415" s="408">
        <v>23776.307383359319</v>
      </c>
      <c r="DV415" s="408"/>
      <c r="DW415" s="408">
        <v>0</v>
      </c>
      <c r="DX415" s="408">
        <v>0</v>
      </c>
      <c r="DY415" s="408">
        <v>-16988.919999999998</v>
      </c>
      <c r="DZ415" s="234"/>
      <c r="EA415" s="408">
        <v>0</v>
      </c>
      <c r="EB415" s="408"/>
      <c r="EC415" s="408">
        <v>-17468.686456706571</v>
      </c>
      <c r="ED415" s="408"/>
      <c r="EE415" s="408">
        <v>0</v>
      </c>
      <c r="EF415" s="408">
        <v>0</v>
      </c>
      <c r="EG415" s="408"/>
      <c r="EH415" s="408">
        <v>0</v>
      </c>
      <c r="EI415" s="408">
        <v>0</v>
      </c>
      <c r="EJ415" s="408">
        <v>0</v>
      </c>
      <c r="EK415" s="408">
        <v>0</v>
      </c>
      <c r="EL415" s="408">
        <v>0</v>
      </c>
      <c r="EM415" s="408"/>
      <c r="EN415" s="408"/>
      <c r="EO415" s="408">
        <v>0</v>
      </c>
      <c r="EP415" s="408">
        <v>0</v>
      </c>
      <c r="EQ415" s="408"/>
      <c r="ER415" s="408">
        <v>0</v>
      </c>
      <c r="ES415" s="408"/>
      <c r="ET415" s="408">
        <v>0</v>
      </c>
      <c r="EU415" s="408"/>
      <c r="EV415" s="408">
        <v>242</v>
      </c>
      <c r="EW415" s="408"/>
      <c r="EX415" s="408"/>
      <c r="EY415" s="408"/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414</v>
      </c>
      <c r="B416" s="408" t="s">
        <v>1036</v>
      </c>
      <c r="C416" s="408" t="s">
        <v>2231</v>
      </c>
      <c r="D416" s="408" t="s">
        <v>2241</v>
      </c>
      <c r="E416" s="408" t="s">
        <v>974</v>
      </c>
      <c r="F416" s="408" t="s">
        <v>1322</v>
      </c>
      <c r="G416" s="408" t="s">
        <v>1322</v>
      </c>
      <c r="H416" s="408" t="s">
        <v>1322</v>
      </c>
      <c r="I416" s="408" t="s">
        <v>1322</v>
      </c>
      <c r="J416" s="408" t="s">
        <v>2232</v>
      </c>
      <c r="K416" s="828">
        <v>44621</v>
      </c>
      <c r="L416" s="408">
        <v>0</v>
      </c>
      <c r="M416" s="408">
        <v>0</v>
      </c>
      <c r="N416" s="408">
        <v>4285.1490000000003</v>
      </c>
      <c r="O416" s="408">
        <v>4285.1490000000003</v>
      </c>
      <c r="P416" s="408">
        <v>4285.1490000000003</v>
      </c>
      <c r="Q416" s="408">
        <v>4285.1490000000003</v>
      </c>
      <c r="R416" s="408"/>
      <c r="S416" s="408">
        <v>571.87</v>
      </c>
      <c r="T416" s="408">
        <v>216.76</v>
      </c>
      <c r="U416" s="408"/>
      <c r="V416" s="408">
        <v>3379397.0558700003</v>
      </c>
      <c r="W416" s="408">
        <v>3379397.0558700003</v>
      </c>
      <c r="X416" s="408">
        <v>2202609.4374900004</v>
      </c>
      <c r="Y416" s="408">
        <v>0</v>
      </c>
      <c r="Z416" s="408">
        <v>259725.52501564799</v>
      </c>
      <c r="AA416" s="408">
        <v>0</v>
      </c>
      <c r="AB416" s="408">
        <v>0</v>
      </c>
      <c r="AC416" s="408">
        <v>0</v>
      </c>
      <c r="AD416" s="408">
        <v>3522.0226675335725</v>
      </c>
      <c r="AE416" s="408">
        <v>1827117.5519182759</v>
      </c>
      <c r="AF416" s="408">
        <v>915314.25765290309</v>
      </c>
      <c r="AG416" s="408">
        <v>13529.949749004096</v>
      </c>
      <c r="AH416" s="408">
        <v>0</v>
      </c>
      <c r="AI416" s="408">
        <v>0</v>
      </c>
      <c r="AJ416" s="408">
        <v>0</v>
      </c>
      <c r="AK416" s="408">
        <v>0</v>
      </c>
      <c r="AL416" s="408">
        <v>40167.416898386589</v>
      </c>
      <c r="AM416" s="408"/>
      <c r="AN416" s="408">
        <v>8220.9279000885999</v>
      </c>
      <c r="AO416" s="408">
        <v>38059.398227870282</v>
      </c>
      <c r="AP416" s="408">
        <v>119243.29165629402</v>
      </c>
      <c r="AQ416" s="408">
        <v>0</v>
      </c>
      <c r="AR416" s="408">
        <v>0</v>
      </c>
      <c r="AS416" s="408">
        <v>0</v>
      </c>
      <c r="AT416" s="408">
        <v>0</v>
      </c>
      <c r="AU416" s="408">
        <v>0</v>
      </c>
      <c r="AV416" s="408">
        <v>0</v>
      </c>
      <c r="AW416" s="408">
        <v>0</v>
      </c>
      <c r="AX416" s="408">
        <v>0</v>
      </c>
      <c r="AY416" s="408">
        <v>0</v>
      </c>
      <c r="AZ416" s="408">
        <v>0</v>
      </c>
      <c r="BA416" s="408"/>
      <c r="BB416" s="408">
        <v>0</v>
      </c>
      <c r="BC416" s="408">
        <v>0</v>
      </c>
      <c r="BD416" s="408">
        <v>2549.9619951354166</v>
      </c>
      <c r="BE416" s="408">
        <v>0</v>
      </c>
      <c r="BF416" s="408">
        <v>0</v>
      </c>
      <c r="BG416" s="408">
        <v>151943.830821362</v>
      </c>
      <c r="BH416" s="408">
        <v>0</v>
      </c>
      <c r="BI416" s="408">
        <v>3386.13</v>
      </c>
      <c r="BJ416" s="408">
        <v>15614.71</v>
      </c>
      <c r="BK416" s="408">
        <v>135361.65</v>
      </c>
      <c r="BL416" s="408">
        <v>10430</v>
      </c>
      <c r="BM416" s="408"/>
      <c r="BN416" s="408"/>
      <c r="BO416" s="408"/>
      <c r="BP416" s="408"/>
      <c r="BQ416" s="408"/>
      <c r="BR416" s="408">
        <v>264307.99031999992</v>
      </c>
      <c r="BS416" s="408"/>
      <c r="BT416" s="408"/>
      <c r="BU416" s="408"/>
      <c r="BV416" s="408">
        <v>1069808.0504694006</v>
      </c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>
        <v>1938301.8994999998</v>
      </c>
      <c r="CJ416" s="408">
        <v>-1035591.5364999999</v>
      </c>
      <c r="CK416" s="408"/>
      <c r="CL416" s="408"/>
      <c r="CM416" s="408"/>
      <c r="CN416" s="408"/>
      <c r="CO416" s="408">
        <v>-1316612.0302500001</v>
      </c>
      <c r="CP416" s="408">
        <v>139824.41186999998</v>
      </c>
      <c r="CQ416" s="408">
        <v>31</v>
      </c>
      <c r="CR416" s="408">
        <v>165622.31944784499</v>
      </c>
      <c r="CS416" s="408">
        <v>3925.8849364064372</v>
      </c>
      <c r="CT416" s="408">
        <v>12300.127282048023</v>
      </c>
      <c r="CU416" s="408">
        <v>0</v>
      </c>
      <c r="CV416" s="408">
        <v>0</v>
      </c>
      <c r="CW416" s="408">
        <v>0</v>
      </c>
      <c r="CX416" s="408">
        <v>0</v>
      </c>
      <c r="CY416" s="408">
        <v>0</v>
      </c>
      <c r="CZ416" s="408">
        <v>344.3659756263155</v>
      </c>
      <c r="DA416" s="408">
        <v>0</v>
      </c>
      <c r="DB416" s="408">
        <v>0</v>
      </c>
      <c r="DC416" s="408">
        <v>139842.38174253551</v>
      </c>
      <c r="DD416" s="408">
        <v>0</v>
      </c>
      <c r="DE416" s="408">
        <v>0</v>
      </c>
      <c r="DF416" s="408">
        <v>389.58505865196821</v>
      </c>
      <c r="DG416" s="408">
        <v>23214.089604187262</v>
      </c>
      <c r="DH416" s="408">
        <v>0</v>
      </c>
      <c r="DI416" s="408">
        <v>-12408.957213160204</v>
      </c>
      <c r="DJ416" s="408"/>
      <c r="DK416" s="408">
        <v>0</v>
      </c>
      <c r="DL416" s="408">
        <v>0</v>
      </c>
      <c r="DM416" s="408">
        <v>0</v>
      </c>
      <c r="DN416" s="408">
        <v>0</v>
      </c>
      <c r="DO416" s="408">
        <v>-1627.6081993762273</v>
      </c>
      <c r="DP416" s="408">
        <v>-357.54973907434214</v>
      </c>
      <c r="DQ416" s="408">
        <v>0</v>
      </c>
      <c r="DR416" s="408">
        <v>0</v>
      </c>
      <c r="DS416" s="408"/>
      <c r="DT416" s="408"/>
      <c r="DU416" s="408"/>
      <c r="DV416" s="408">
        <v>1827117.5519182759</v>
      </c>
      <c r="DW416" s="408">
        <v>0</v>
      </c>
      <c r="DX416" s="408">
        <v>0</v>
      </c>
      <c r="DY416" s="408">
        <v>-1316612.0302500003</v>
      </c>
      <c r="DZ416" s="234">
        <v>139824.41186999995</v>
      </c>
      <c r="EA416" s="408">
        <v>0</v>
      </c>
      <c r="EB416" s="408">
        <v>0</v>
      </c>
      <c r="EC416" s="408">
        <v>-1342401.2029868085</v>
      </c>
      <c r="ED416" s="408">
        <v>0</v>
      </c>
      <c r="EE416" s="408">
        <v>0</v>
      </c>
      <c r="EF416" s="408">
        <v>0</v>
      </c>
      <c r="EG416" s="408">
        <v>0</v>
      </c>
      <c r="EH416" s="408">
        <v>0</v>
      </c>
      <c r="EI416" s="408">
        <v>0</v>
      </c>
      <c r="EJ416" s="408">
        <v>0</v>
      </c>
      <c r="EK416" s="408">
        <v>0</v>
      </c>
      <c r="EL416" s="408">
        <v>0</v>
      </c>
      <c r="EM416" s="408">
        <v>0</v>
      </c>
      <c r="EN416" s="408">
        <v>0</v>
      </c>
      <c r="EO416" s="408">
        <v>0</v>
      </c>
      <c r="EP416" s="408">
        <v>0</v>
      </c>
      <c r="EQ416" s="408">
        <v>0</v>
      </c>
      <c r="ER416" s="408">
        <v>0</v>
      </c>
      <c r="ES416" s="408">
        <v>0</v>
      </c>
      <c r="ET416" s="408">
        <v>0</v>
      </c>
      <c r="EU416" s="408">
        <v>0</v>
      </c>
      <c r="EV416" s="408">
        <v>242</v>
      </c>
      <c r="EW416" s="408">
        <v>0</v>
      </c>
      <c r="EX416" s="408">
        <v>0</v>
      </c>
      <c r="EY416" s="408">
        <v>0</v>
      </c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415</v>
      </c>
      <c r="B417" s="408" t="s">
        <v>2233</v>
      </c>
      <c r="C417" s="408" t="s">
        <v>2231</v>
      </c>
      <c r="D417" s="408" t="s">
        <v>2241</v>
      </c>
      <c r="E417" s="408" t="s">
        <v>974</v>
      </c>
      <c r="F417" s="408" t="s">
        <v>1322</v>
      </c>
      <c r="G417" s="408" t="s">
        <v>1322</v>
      </c>
      <c r="H417" s="408" t="s">
        <v>1322</v>
      </c>
      <c r="I417" s="408" t="s">
        <v>1322</v>
      </c>
      <c r="J417" s="408" t="s">
        <v>2232</v>
      </c>
      <c r="K417" s="828">
        <v>44621</v>
      </c>
      <c r="L417" s="408">
        <v>0</v>
      </c>
      <c r="M417" s="408">
        <v>0</v>
      </c>
      <c r="N417" s="408">
        <v>-1.0720000000000001</v>
      </c>
      <c r="O417" s="408">
        <v>-1.0720000000000001</v>
      </c>
      <c r="P417" s="408">
        <v>-1.0720000000000001</v>
      </c>
      <c r="Q417" s="408">
        <v>-1.0720000000000001</v>
      </c>
      <c r="R417" s="408"/>
      <c r="S417" s="408">
        <v>571.87</v>
      </c>
      <c r="T417" s="408">
        <v>216.76</v>
      </c>
      <c r="U417" s="408"/>
      <c r="V417" s="408">
        <v>-845.41136000000006</v>
      </c>
      <c r="W417" s="408">
        <v>-845.41136000000006</v>
      </c>
      <c r="X417" s="408">
        <v>-551.01872000000003</v>
      </c>
      <c r="Y417" s="408">
        <v>0</v>
      </c>
      <c r="Z417" s="408">
        <v>-64.974581471210129</v>
      </c>
      <c r="AA417" s="408">
        <v>0</v>
      </c>
      <c r="AB417" s="408">
        <v>0</v>
      </c>
      <c r="AC417" s="408">
        <v>0</v>
      </c>
      <c r="AD417" s="408">
        <v>-0.88109148587271757</v>
      </c>
      <c r="AE417" s="408">
        <v>-457.0832929394968</v>
      </c>
      <c r="AF417" s="408">
        <v>-228.98080888293779</v>
      </c>
      <c r="AG417" s="408">
        <v>-3.3847378774769301</v>
      </c>
      <c r="AH417" s="408">
        <v>0</v>
      </c>
      <c r="AI417" s="408">
        <v>0</v>
      </c>
      <c r="AJ417" s="408">
        <v>0</v>
      </c>
      <c r="AK417" s="408">
        <v>0</v>
      </c>
      <c r="AL417" s="408">
        <v>-10.048535281986794</v>
      </c>
      <c r="AM417" s="408"/>
      <c r="AN417" s="408">
        <v>-2.0565993641982994</v>
      </c>
      <c r="AO417" s="408">
        <v>-9.521179987038245</v>
      </c>
      <c r="AP417" s="408">
        <v>-29.830656683244197</v>
      </c>
      <c r="AQ417" s="408">
        <v>0</v>
      </c>
      <c r="AR417" s="408">
        <v>0</v>
      </c>
      <c r="AS417" s="408">
        <v>0</v>
      </c>
      <c r="AT417" s="408">
        <v>0</v>
      </c>
      <c r="AU417" s="408">
        <v>0</v>
      </c>
      <c r="AV417" s="408">
        <v>0</v>
      </c>
      <c r="AW417" s="408">
        <v>0</v>
      </c>
      <c r="AX417" s="408">
        <v>0</v>
      </c>
      <c r="AY417" s="408">
        <v>0</v>
      </c>
      <c r="AZ417" s="408">
        <v>0</v>
      </c>
      <c r="BA417" s="408"/>
      <c r="BB417" s="408">
        <v>0</v>
      </c>
      <c r="BC417" s="408">
        <v>0</v>
      </c>
      <c r="BD417" s="408">
        <v>-0.63791463465685017</v>
      </c>
      <c r="BE417" s="408">
        <v>0</v>
      </c>
      <c r="BF417" s="408">
        <v>0</v>
      </c>
      <c r="BG417" s="408">
        <v>-38.011230564094753</v>
      </c>
      <c r="BH417" s="408">
        <v>0</v>
      </c>
      <c r="BI417" s="408">
        <v>-1.69</v>
      </c>
      <c r="BJ417" s="408">
        <v>-7.74</v>
      </c>
      <c r="BK417" s="408">
        <v>-1.81</v>
      </c>
      <c r="BL417" s="408">
        <v>0</v>
      </c>
      <c r="BM417" s="408"/>
      <c r="BN417" s="408"/>
      <c r="BO417" s="408"/>
      <c r="BP417" s="408"/>
      <c r="BQ417" s="408"/>
      <c r="BR417" s="408">
        <v>-66.120959999999982</v>
      </c>
      <c r="BS417" s="408"/>
      <c r="BT417" s="408"/>
      <c r="BU417" s="408"/>
      <c r="BV417" s="408">
        <v>-267.62995408168939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-483.99310000000003</v>
      </c>
      <c r="CJ417" s="408">
        <v>259.94490000000008</v>
      </c>
      <c r="CK417" s="408"/>
      <c r="CL417" s="408"/>
      <c r="CM417" s="408"/>
      <c r="CN417" s="408"/>
      <c r="CO417" s="408">
        <v>329.37200000000001</v>
      </c>
      <c r="CP417" s="408">
        <v>-34.97936</v>
      </c>
      <c r="CQ417" s="408">
        <v>31</v>
      </c>
      <c r="CR417" s="408">
        <v>-41.433127867453265</v>
      </c>
      <c r="CS417" s="408">
        <v>-0.98212422761208451</v>
      </c>
      <c r="CT417" s="408">
        <v>-3.07707770403211</v>
      </c>
      <c r="CU417" s="408">
        <v>0</v>
      </c>
      <c r="CV417" s="408">
        <v>0</v>
      </c>
      <c r="CW417" s="408">
        <v>0</v>
      </c>
      <c r="CX417" s="408">
        <v>0</v>
      </c>
      <c r="CY417" s="408">
        <v>0</v>
      </c>
      <c r="CZ417" s="408">
        <v>-8.614877239307428E-2</v>
      </c>
      <c r="DA417" s="408">
        <v>0</v>
      </c>
      <c r="DB417" s="408">
        <v>0</v>
      </c>
      <c r="DC417" s="408">
        <v>-34.983855457067676</v>
      </c>
      <c r="DD417" s="408">
        <v>0</v>
      </c>
      <c r="DE417" s="408">
        <v>0</v>
      </c>
      <c r="DF417" s="408">
        <v>-9.7461064451880075E-2</v>
      </c>
      <c r="DG417" s="408">
        <v>-5.8073836068917899</v>
      </c>
      <c r="DH417" s="408">
        <v>0</v>
      </c>
      <c r="DI417" s="408">
        <v>3.1043032885222246</v>
      </c>
      <c r="DJ417" s="408"/>
      <c r="DK417" s="408">
        <v>0</v>
      </c>
      <c r="DL417" s="408">
        <v>0</v>
      </c>
      <c r="DM417" s="408">
        <v>0</v>
      </c>
      <c r="DN417" s="408">
        <v>0</v>
      </c>
      <c r="DO417" s="408">
        <v>0.40717277035905219</v>
      </c>
      <c r="DP417" s="408">
        <v>8.9446906114045044E-2</v>
      </c>
      <c r="DQ417" s="408">
        <v>0</v>
      </c>
      <c r="DR417" s="408">
        <v>0</v>
      </c>
      <c r="DS417" s="408"/>
      <c r="DT417" s="408"/>
      <c r="DU417" s="408"/>
      <c r="DV417" s="408">
        <v>-457.0832929394968</v>
      </c>
      <c r="DW417" s="408">
        <v>0</v>
      </c>
      <c r="DX417" s="408">
        <v>0</v>
      </c>
      <c r="DY417" s="408">
        <v>329.37200000000007</v>
      </c>
      <c r="DZ417" s="234">
        <v>-34.979360000000014</v>
      </c>
      <c r="EA417" s="408">
        <v>0</v>
      </c>
      <c r="EB417" s="408">
        <v>0</v>
      </c>
      <c r="EC417" s="408">
        <v>335.8235827043257</v>
      </c>
      <c r="ED417" s="408">
        <v>0</v>
      </c>
      <c r="EE417" s="408">
        <v>0</v>
      </c>
      <c r="EF417" s="408">
        <v>0</v>
      </c>
      <c r="EG417" s="408">
        <v>0</v>
      </c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>
        <v>0</v>
      </c>
      <c r="EN417" s="408">
        <v>0</v>
      </c>
      <c r="EO417" s="408">
        <v>0</v>
      </c>
      <c r="EP417" s="408">
        <v>0</v>
      </c>
      <c r="EQ417" s="408">
        <v>0</v>
      </c>
      <c r="ER417" s="408">
        <v>0</v>
      </c>
      <c r="ES417" s="408">
        <v>0</v>
      </c>
      <c r="ET417" s="408">
        <v>0</v>
      </c>
      <c r="EU417" s="408">
        <v>0</v>
      </c>
      <c r="EV417" s="408">
        <v>242</v>
      </c>
      <c r="EW417" s="408">
        <v>0</v>
      </c>
      <c r="EX417" s="408">
        <v>0</v>
      </c>
      <c r="EY417" s="408">
        <v>0</v>
      </c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416</v>
      </c>
      <c r="B418" s="408" t="s">
        <v>2234</v>
      </c>
      <c r="C418" s="408" t="s">
        <v>2231</v>
      </c>
      <c r="D418" s="408" t="s">
        <v>2241</v>
      </c>
      <c r="E418" s="408" t="s">
        <v>974</v>
      </c>
      <c r="F418" s="408" t="s">
        <v>1322</v>
      </c>
      <c r="G418" s="408" t="s">
        <v>1322</v>
      </c>
      <c r="H418" s="408" t="s">
        <v>1322</v>
      </c>
      <c r="I418" s="408" t="s">
        <v>1322</v>
      </c>
      <c r="J418" s="408" t="s">
        <v>2232</v>
      </c>
      <c r="K418" s="828">
        <v>44621</v>
      </c>
      <c r="L418" s="408">
        <v>0</v>
      </c>
      <c r="M418" s="408">
        <v>0</v>
      </c>
      <c r="N418" s="408">
        <v>76.356999999999999</v>
      </c>
      <c r="O418" s="408">
        <v>76.356999999999999</v>
      </c>
      <c r="P418" s="408">
        <v>76.356999999999999</v>
      </c>
      <c r="Q418" s="408">
        <v>76.356999999999999</v>
      </c>
      <c r="R418" s="408"/>
      <c r="S418" s="408">
        <v>571.87</v>
      </c>
      <c r="T418" s="408">
        <v>216.76</v>
      </c>
      <c r="U418" s="408"/>
      <c r="V418" s="408">
        <v>60217.420910000001</v>
      </c>
      <c r="W418" s="408">
        <v>60217.420910000001</v>
      </c>
      <c r="X418" s="408">
        <v>39248.261570000002</v>
      </c>
      <c r="Y418" s="408">
        <v>0</v>
      </c>
      <c r="Z418" s="408">
        <v>4628.0448856317089</v>
      </c>
      <c r="AA418" s="408">
        <v>0</v>
      </c>
      <c r="AB418" s="408">
        <v>0</v>
      </c>
      <c r="AC418" s="408">
        <v>0</v>
      </c>
      <c r="AD418" s="408">
        <v>62.758864353342432</v>
      </c>
      <c r="AE418" s="408">
        <v>32557.377797557048</v>
      </c>
      <c r="AF418" s="408">
        <v>16309.969798390373</v>
      </c>
      <c r="AG418" s="408">
        <v>241.08995346129285</v>
      </c>
      <c r="AH418" s="408">
        <v>0</v>
      </c>
      <c r="AI418" s="408">
        <v>0</v>
      </c>
      <c r="AJ418" s="408">
        <v>0</v>
      </c>
      <c r="AK418" s="408">
        <v>0</v>
      </c>
      <c r="AL418" s="408">
        <v>715.74254526741186</v>
      </c>
      <c r="AM418" s="408"/>
      <c r="AN418" s="408">
        <v>146.48857989933725</v>
      </c>
      <c r="AO418" s="408">
        <v>678.17979502824551</v>
      </c>
      <c r="AP418" s="408">
        <v>2124.7942652635047</v>
      </c>
      <c r="AQ418" s="408">
        <v>0</v>
      </c>
      <c r="AR418" s="408">
        <v>0</v>
      </c>
      <c r="AS418" s="408">
        <v>0</v>
      </c>
      <c r="AT418" s="408">
        <v>0</v>
      </c>
      <c r="AU418" s="408">
        <v>0</v>
      </c>
      <c r="AV418" s="408">
        <v>0</v>
      </c>
      <c r="AW418" s="408">
        <v>0</v>
      </c>
      <c r="AX418" s="408">
        <v>0</v>
      </c>
      <c r="AY418" s="408">
        <v>0</v>
      </c>
      <c r="AZ418" s="408">
        <v>0</v>
      </c>
      <c r="BA418" s="408"/>
      <c r="BB418" s="408">
        <v>0</v>
      </c>
      <c r="BC418" s="408">
        <v>0</v>
      </c>
      <c r="BD418" s="408">
        <v>45.437731117997295</v>
      </c>
      <c r="BE418" s="408">
        <v>0</v>
      </c>
      <c r="BF418" s="408">
        <v>0</v>
      </c>
      <c r="BG418" s="408">
        <v>2707.4846382300211</v>
      </c>
      <c r="BH418" s="408">
        <v>0</v>
      </c>
      <c r="BI418" s="408">
        <v>78.7</v>
      </c>
      <c r="BJ418" s="408">
        <v>368.08</v>
      </c>
      <c r="BK418" s="408">
        <v>1982.67</v>
      </c>
      <c r="BL418" s="408">
        <v>243</v>
      </c>
      <c r="BM418" s="408"/>
      <c r="BN418" s="408"/>
      <c r="BO418" s="408"/>
      <c r="BP418" s="408"/>
      <c r="BQ418" s="408"/>
      <c r="BR418" s="408">
        <v>4709.6997599999977</v>
      </c>
      <c r="BS418" s="408"/>
      <c r="BT418" s="408"/>
      <c r="BU418" s="408"/>
      <c r="BV418" s="408">
        <v>19062.892167738391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34539.918799999999</v>
      </c>
      <c r="CJ418" s="408">
        <v>-18451.869200000008</v>
      </c>
      <c r="CK418" s="408"/>
      <c r="CL418" s="408"/>
      <c r="CM418" s="408"/>
      <c r="CN418" s="408"/>
      <c r="CO418" s="408">
        <v>-23460.688249999999</v>
      </c>
      <c r="CP418" s="408">
        <v>2491.5289099999995</v>
      </c>
      <c r="CQ418" s="408">
        <v>31</v>
      </c>
      <c r="CR418" s="408">
        <v>2951.2214035215802</v>
      </c>
      <c r="CS418" s="408">
        <v>69.955279522179012</v>
      </c>
      <c r="CT418" s="408">
        <v>219.17576702124961</v>
      </c>
      <c r="CU418" s="408">
        <v>0</v>
      </c>
      <c r="CV418" s="408">
        <v>0</v>
      </c>
      <c r="CW418" s="408">
        <v>0</v>
      </c>
      <c r="CX418" s="408">
        <v>0</v>
      </c>
      <c r="CY418" s="408">
        <v>0</v>
      </c>
      <c r="CZ418" s="408">
        <v>6.1362516918078143</v>
      </c>
      <c r="DA418" s="408">
        <v>0</v>
      </c>
      <c r="DB418" s="408">
        <v>0</v>
      </c>
      <c r="DC418" s="408">
        <v>2491.8491148650337</v>
      </c>
      <c r="DD418" s="408">
        <v>0</v>
      </c>
      <c r="DE418" s="408">
        <v>0</v>
      </c>
      <c r="DF418" s="408">
        <v>6.9420097932390021</v>
      </c>
      <c r="DG418" s="408">
        <v>413.65148327559382</v>
      </c>
      <c r="DH418" s="408">
        <v>0</v>
      </c>
      <c r="DI418" s="408">
        <v>-221.11500578516006</v>
      </c>
      <c r="DJ418" s="408"/>
      <c r="DK418" s="408">
        <v>0</v>
      </c>
      <c r="DL418" s="408">
        <v>0</v>
      </c>
      <c r="DM418" s="408">
        <v>0</v>
      </c>
      <c r="DN418" s="408">
        <v>0</v>
      </c>
      <c r="DO418" s="408">
        <v>-29.002323905136222</v>
      </c>
      <c r="DP418" s="408">
        <v>-6.3711729572295894</v>
      </c>
      <c r="DQ418" s="408">
        <v>0</v>
      </c>
      <c r="DR418" s="408">
        <v>0</v>
      </c>
      <c r="DS418" s="408"/>
      <c r="DT418" s="408"/>
      <c r="DU418" s="408"/>
      <c r="DV418" s="408">
        <v>32557.377797557048</v>
      </c>
      <c r="DW418" s="408">
        <v>0</v>
      </c>
      <c r="DX418" s="408">
        <v>0</v>
      </c>
      <c r="DY418" s="408">
        <v>-23460.688249999999</v>
      </c>
      <c r="DZ418" s="234">
        <v>2491.5289100000009</v>
      </c>
      <c r="EA418" s="408">
        <v>0</v>
      </c>
      <c r="EB418" s="408">
        <v>0</v>
      </c>
      <c r="EC418" s="408">
        <v>-23920.2250975319</v>
      </c>
      <c r="ED418" s="408">
        <v>0</v>
      </c>
      <c r="EE418" s="408">
        <v>0</v>
      </c>
      <c r="EF418" s="408">
        <v>0</v>
      </c>
      <c r="EG418" s="408">
        <v>0</v>
      </c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>
        <v>0</v>
      </c>
      <c r="EN418" s="408">
        <v>0</v>
      </c>
      <c r="EO418" s="408">
        <v>0</v>
      </c>
      <c r="EP418" s="408">
        <v>0</v>
      </c>
      <c r="EQ418" s="408">
        <v>0</v>
      </c>
      <c r="ER418" s="408">
        <v>0</v>
      </c>
      <c r="ES418" s="408">
        <v>0</v>
      </c>
      <c r="ET418" s="408">
        <v>0</v>
      </c>
      <c r="EU418" s="408">
        <v>0</v>
      </c>
      <c r="EV418" s="408">
        <v>242</v>
      </c>
      <c r="EW418" s="408">
        <v>0</v>
      </c>
      <c r="EX418" s="408">
        <v>0</v>
      </c>
      <c r="EY418" s="408">
        <v>0</v>
      </c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417</v>
      </c>
      <c r="B419" s="408" t="s">
        <v>1036</v>
      </c>
      <c r="C419" s="408" t="s">
        <v>2239</v>
      </c>
      <c r="D419" s="408" t="s">
        <v>597</v>
      </c>
      <c r="E419" s="408" t="s">
        <v>974</v>
      </c>
      <c r="F419" s="408" t="s">
        <v>1322</v>
      </c>
      <c r="G419" s="408" t="s">
        <v>1322</v>
      </c>
      <c r="H419" s="408" t="s">
        <v>1322</v>
      </c>
      <c r="I419" s="408" t="s">
        <v>973</v>
      </c>
      <c r="J419" s="408" t="s">
        <v>2232</v>
      </c>
      <c r="K419" s="828">
        <v>44621</v>
      </c>
      <c r="L419" s="408">
        <v>0</v>
      </c>
      <c r="M419" s="408">
        <v>0</v>
      </c>
      <c r="N419" s="408">
        <v>0.112</v>
      </c>
      <c r="O419" s="408">
        <v>0.10752</v>
      </c>
      <c r="P419" s="408">
        <v>0.112</v>
      </c>
      <c r="Q419" s="408">
        <v>0.10752</v>
      </c>
      <c r="R419" s="408"/>
      <c r="S419" s="408">
        <v>2592.54</v>
      </c>
      <c r="T419" s="408">
        <v>216.76</v>
      </c>
      <c r="U419" s="408"/>
      <c r="V419" s="408">
        <v>314.64160000000004</v>
      </c>
      <c r="W419" s="408">
        <v>314.64160000000004</v>
      </c>
      <c r="X419" s="408">
        <v>132.2944</v>
      </c>
      <c r="Y419" s="408">
        <v>0</v>
      </c>
      <c r="Z419" s="408">
        <v>5.9058985247711906</v>
      </c>
      <c r="AA419" s="408">
        <v>0</v>
      </c>
      <c r="AB419" s="408">
        <v>0</v>
      </c>
      <c r="AC419" s="408">
        <v>0</v>
      </c>
      <c r="AD419" s="408">
        <v>0.56634314319147161</v>
      </c>
      <c r="AE419" s="408">
        <v>256.57984849434894</v>
      </c>
      <c r="AF419" s="408">
        <v>23.923368092247234</v>
      </c>
      <c r="AG419" s="408">
        <v>0.35362933048266432</v>
      </c>
      <c r="AH419" s="408">
        <v>0</v>
      </c>
      <c r="AI419" s="408">
        <v>0</v>
      </c>
      <c r="AJ419" s="408">
        <v>0</v>
      </c>
      <c r="AK419" s="408">
        <v>0</v>
      </c>
      <c r="AL419" s="408">
        <v>1.0498469697598143</v>
      </c>
      <c r="AM419" s="408"/>
      <c r="AN419" s="408">
        <v>0.15380088600816239</v>
      </c>
      <c r="AO419" s="408">
        <v>5.0528656125732514</v>
      </c>
      <c r="AP419" s="408">
        <v>19.174483857128994</v>
      </c>
      <c r="AQ419" s="408">
        <v>0</v>
      </c>
      <c r="AR419" s="408">
        <v>0</v>
      </c>
      <c r="AS419" s="408">
        <v>0</v>
      </c>
      <c r="AT419" s="408">
        <v>0</v>
      </c>
      <c r="AU419" s="408">
        <v>0</v>
      </c>
      <c r="AV419" s="408">
        <v>0</v>
      </c>
      <c r="AW419" s="408">
        <v>0</v>
      </c>
      <c r="AX419" s="408">
        <v>0</v>
      </c>
      <c r="AY419" s="408">
        <v>0</v>
      </c>
      <c r="AZ419" s="408">
        <v>0</v>
      </c>
      <c r="BA419" s="408"/>
      <c r="BB419" s="408">
        <v>0</v>
      </c>
      <c r="BC419" s="408">
        <v>0</v>
      </c>
      <c r="BD419" s="408">
        <v>5.1217454226955075E-2</v>
      </c>
      <c r="BE419" s="408">
        <v>0</v>
      </c>
      <c r="BF419" s="408">
        <v>0</v>
      </c>
      <c r="BG419" s="408">
        <v>1.82964956463016</v>
      </c>
      <c r="BH419" s="408">
        <v>0</v>
      </c>
      <c r="BI419" s="408">
        <v>0</v>
      </c>
      <c r="BJ419" s="408">
        <v>0</v>
      </c>
      <c r="BK419" s="408">
        <v>0</v>
      </c>
      <c r="BL419" s="408">
        <v>0</v>
      </c>
      <c r="BM419" s="408"/>
      <c r="BN419" s="408"/>
      <c r="BO419" s="408"/>
      <c r="BP419" s="408"/>
      <c r="BQ419" s="408"/>
      <c r="BR419" s="408">
        <v>5.2917759999999978</v>
      </c>
      <c r="BS419" s="408"/>
      <c r="BT419" s="408"/>
      <c r="BU419" s="408"/>
      <c r="BV419" s="408">
        <v>25.804235111104347</v>
      </c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>
        <v>129.93199999999999</v>
      </c>
      <c r="CJ419" s="408">
        <v>-172.15393600000002</v>
      </c>
      <c r="CK419" s="408"/>
      <c r="CL419" s="408"/>
      <c r="CM419" s="408"/>
      <c r="CN419" s="408"/>
      <c r="CO419" s="408">
        <v>-186.00176000000002</v>
      </c>
      <c r="CP419" s="408">
        <v>3.6545599999999996</v>
      </c>
      <c r="CQ419" s="408">
        <v>31</v>
      </c>
      <c r="CR419" s="408">
        <v>6.1654552603307451</v>
      </c>
      <c r="CS419" s="408">
        <v>0.52121078939080423</v>
      </c>
      <c r="CT419" s="408">
        <v>1.9778772351409089</v>
      </c>
      <c r="CU419" s="408">
        <v>0</v>
      </c>
      <c r="CV419" s="408">
        <v>0</v>
      </c>
      <c r="CW419" s="408">
        <v>0</v>
      </c>
      <c r="CX419" s="408">
        <v>0</v>
      </c>
      <c r="CY419" s="408">
        <v>0</v>
      </c>
      <c r="CZ419" s="408">
        <v>5.537423448242107E-2</v>
      </c>
      <c r="DA419" s="408">
        <v>0</v>
      </c>
      <c r="DB419" s="408">
        <v>0</v>
      </c>
      <c r="DC419" s="408">
        <v>3.6550296746190085</v>
      </c>
      <c r="DD419" s="408">
        <v>0</v>
      </c>
      <c r="DE419" s="408">
        <v>0</v>
      </c>
      <c r="DF419" s="408">
        <v>7.825040117099176E-3</v>
      </c>
      <c r="DG419" s="408">
        <v>0.2795351986848511</v>
      </c>
      <c r="DH419" s="408">
        <v>0</v>
      </c>
      <c r="DI419" s="408">
        <v>-0.28216726906119316</v>
      </c>
      <c r="DJ419" s="408"/>
      <c r="DK419" s="408">
        <v>0</v>
      </c>
      <c r="DL419" s="408">
        <v>0</v>
      </c>
      <c r="DM419" s="408">
        <v>0</v>
      </c>
      <c r="DN419" s="408">
        <v>0</v>
      </c>
      <c r="DO419" s="408">
        <v>-4.2540438694229188E-2</v>
      </c>
      <c r="DP419" s="408">
        <v>-6.6892043489431841E-3</v>
      </c>
      <c r="DQ419" s="408">
        <v>0</v>
      </c>
      <c r="DR419" s="408">
        <v>0</v>
      </c>
      <c r="DS419" s="408"/>
      <c r="DT419" s="408"/>
      <c r="DU419" s="408"/>
      <c r="DV419" s="408">
        <v>256.57984849434894</v>
      </c>
      <c r="DW419" s="408">
        <v>0</v>
      </c>
      <c r="DX419" s="408">
        <v>0</v>
      </c>
      <c r="DY419" s="408">
        <v>-186.00176000000002</v>
      </c>
      <c r="DZ419" s="234">
        <v>3.65456</v>
      </c>
      <c r="EA419" s="408">
        <v>0</v>
      </c>
      <c r="EB419" s="408">
        <v>0</v>
      </c>
      <c r="EC419" s="408">
        <v>-188.51173364262723</v>
      </c>
      <c r="ED419" s="408">
        <v>0</v>
      </c>
      <c r="EE419" s="408">
        <v>0</v>
      </c>
      <c r="EF419" s="408">
        <v>0</v>
      </c>
      <c r="EG419" s="408">
        <v>0</v>
      </c>
      <c r="EH419" s="408">
        <v>0</v>
      </c>
      <c r="EI419" s="408">
        <v>0</v>
      </c>
      <c r="EJ419" s="408">
        <v>0</v>
      </c>
      <c r="EK419" s="408">
        <v>0</v>
      </c>
      <c r="EL419" s="408">
        <v>0</v>
      </c>
      <c r="EM419" s="408">
        <v>0</v>
      </c>
      <c r="EN419" s="408">
        <v>0</v>
      </c>
      <c r="EO419" s="408">
        <v>0</v>
      </c>
      <c r="EP419" s="408">
        <v>0</v>
      </c>
      <c r="EQ419" s="408">
        <v>0</v>
      </c>
      <c r="ER419" s="408">
        <v>0</v>
      </c>
      <c r="ES419" s="408">
        <v>0</v>
      </c>
      <c r="ET419" s="408">
        <v>0</v>
      </c>
      <c r="EU419" s="408">
        <v>0</v>
      </c>
      <c r="EV419" s="408">
        <v>242</v>
      </c>
      <c r="EW419" s="408">
        <v>0</v>
      </c>
      <c r="EX419" s="408">
        <v>0</v>
      </c>
      <c r="EY419" s="408">
        <v>0</v>
      </c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418</v>
      </c>
      <c r="B420" s="408" t="s">
        <v>2233</v>
      </c>
      <c r="C420" s="408" t="s">
        <v>2239</v>
      </c>
      <c r="D420" s="408" t="s">
        <v>597</v>
      </c>
      <c r="E420" s="408" t="s">
        <v>974</v>
      </c>
      <c r="F420" s="408" t="s">
        <v>1322</v>
      </c>
      <c r="G420" s="408" t="s">
        <v>1322</v>
      </c>
      <c r="H420" s="408" t="s">
        <v>1322</v>
      </c>
      <c r="I420" s="408" t="s">
        <v>973</v>
      </c>
      <c r="J420" s="408" t="s">
        <v>2232</v>
      </c>
      <c r="K420" s="828">
        <v>44621</v>
      </c>
      <c r="L420" s="408">
        <v>0</v>
      </c>
      <c r="M420" s="408">
        <v>0</v>
      </c>
      <c r="N420" s="408">
        <v>-1.9710000000000001</v>
      </c>
      <c r="O420" s="408">
        <v>-1.8921600000000001</v>
      </c>
      <c r="P420" s="408">
        <v>-1.9710000000000001</v>
      </c>
      <c r="Q420" s="408">
        <v>-1.8921600000000001</v>
      </c>
      <c r="R420" s="408"/>
      <c r="S420" s="408">
        <v>2592.54</v>
      </c>
      <c r="T420" s="408">
        <v>216.76</v>
      </c>
      <c r="U420" s="408"/>
      <c r="V420" s="408">
        <v>-5537.1303000000007</v>
      </c>
      <c r="W420" s="408">
        <v>-5537.1303000000007</v>
      </c>
      <c r="X420" s="408">
        <v>-2328.1451999999999</v>
      </c>
      <c r="Y420" s="408">
        <v>0</v>
      </c>
      <c r="Z420" s="408">
        <v>-103.9332677886073</v>
      </c>
      <c r="AA420" s="408">
        <v>0</v>
      </c>
      <c r="AB420" s="408">
        <v>0</v>
      </c>
      <c r="AC420" s="408">
        <v>0</v>
      </c>
      <c r="AD420" s="408">
        <v>-9.9666279931284869</v>
      </c>
      <c r="AE420" s="408">
        <v>-4515.347155199659</v>
      </c>
      <c r="AF420" s="408">
        <v>-421.00855812338659</v>
      </c>
      <c r="AG420" s="408">
        <v>-6.2232447355476017</v>
      </c>
      <c r="AH420" s="408">
        <v>0</v>
      </c>
      <c r="AI420" s="408">
        <v>0</v>
      </c>
      <c r="AJ420" s="408">
        <v>0</v>
      </c>
      <c r="AK420" s="408">
        <v>0</v>
      </c>
      <c r="AL420" s="408">
        <v>-18.475431941041016</v>
      </c>
      <c r="AM420" s="408"/>
      <c r="AN420" s="408">
        <v>-2.7066209493043578</v>
      </c>
      <c r="AO420" s="408">
        <v>-88.92141180698107</v>
      </c>
      <c r="AP420" s="408">
        <v>-337.43667573572543</v>
      </c>
      <c r="AQ420" s="408">
        <v>0</v>
      </c>
      <c r="AR420" s="408">
        <v>0</v>
      </c>
      <c r="AS420" s="408">
        <v>0</v>
      </c>
      <c r="AT420" s="408">
        <v>0</v>
      </c>
      <c r="AU420" s="408">
        <v>0</v>
      </c>
      <c r="AV420" s="408">
        <v>0</v>
      </c>
      <c r="AW420" s="408">
        <v>0</v>
      </c>
      <c r="AX420" s="408">
        <v>0</v>
      </c>
      <c r="AY420" s="408">
        <v>0</v>
      </c>
      <c r="AZ420" s="408">
        <v>0</v>
      </c>
      <c r="BA420" s="408"/>
      <c r="BB420" s="408">
        <v>0</v>
      </c>
      <c r="BC420" s="408">
        <v>0</v>
      </c>
      <c r="BD420" s="408">
        <v>-0.90133573465471839</v>
      </c>
      <c r="BE420" s="408">
        <v>0</v>
      </c>
      <c r="BF420" s="408">
        <v>0</v>
      </c>
      <c r="BG420" s="408">
        <v>-32.198565106125407</v>
      </c>
      <c r="BH420" s="408">
        <v>0</v>
      </c>
      <c r="BI420" s="408">
        <v>0</v>
      </c>
      <c r="BJ420" s="408">
        <v>0</v>
      </c>
      <c r="BK420" s="408">
        <v>0</v>
      </c>
      <c r="BL420" s="408">
        <v>0</v>
      </c>
      <c r="BM420" s="408"/>
      <c r="BN420" s="408"/>
      <c r="BO420" s="408"/>
      <c r="BP420" s="408"/>
      <c r="BQ420" s="408"/>
      <c r="BR420" s="408">
        <v>-93.125808000000021</v>
      </c>
      <c r="BS420" s="408"/>
      <c r="BT420" s="408"/>
      <c r="BU420" s="408"/>
      <c r="BV420" s="408">
        <v>-454.10845896416669</v>
      </c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>
        <v>-2232.4679999999998</v>
      </c>
      <c r="CJ420" s="408">
        <v>3083.1470879999997</v>
      </c>
      <c r="CK420" s="408"/>
      <c r="CL420" s="408"/>
      <c r="CM420" s="408"/>
      <c r="CN420" s="408"/>
      <c r="CO420" s="408">
        <v>3273.2988300000002</v>
      </c>
      <c r="CP420" s="408">
        <v>-64.313729999999993</v>
      </c>
      <c r="CQ420" s="408">
        <v>31</v>
      </c>
      <c r="CR420" s="408">
        <v>-108.5010028402844</v>
      </c>
      <c r="CS420" s="408">
        <v>-9.172379159725665</v>
      </c>
      <c r="CT420" s="408">
        <v>-34.807107414845802</v>
      </c>
      <c r="CU420" s="408">
        <v>0</v>
      </c>
      <c r="CV420" s="408">
        <v>0</v>
      </c>
      <c r="CW420" s="408">
        <v>0</v>
      </c>
      <c r="CX420" s="408">
        <v>0</v>
      </c>
      <c r="CY420" s="408">
        <v>0</v>
      </c>
      <c r="CZ420" s="408">
        <v>-0.97448764432903623</v>
      </c>
      <c r="DA420" s="408">
        <v>0</v>
      </c>
      <c r="DB420" s="408">
        <v>0</v>
      </c>
      <c r="DC420" s="408">
        <v>-64.321995434589837</v>
      </c>
      <c r="DD420" s="408">
        <v>0</v>
      </c>
      <c r="DE420" s="408">
        <v>0</v>
      </c>
      <c r="DF420" s="408">
        <v>-0.1377067327750221</v>
      </c>
      <c r="DG420" s="408">
        <v>-4.9193203268557255</v>
      </c>
      <c r="DH420" s="408">
        <v>0</v>
      </c>
      <c r="DI420" s="408">
        <v>4.9656400653536821</v>
      </c>
      <c r="DJ420" s="408"/>
      <c r="DK420" s="408">
        <v>0</v>
      </c>
      <c r="DL420" s="408">
        <v>0</v>
      </c>
      <c r="DM420" s="408">
        <v>0</v>
      </c>
      <c r="DN420" s="408">
        <v>0</v>
      </c>
      <c r="DO420" s="408">
        <v>0.74863575594933707</v>
      </c>
      <c r="DP420" s="408">
        <v>0.11771805153363424</v>
      </c>
      <c r="DQ420" s="408">
        <v>0</v>
      </c>
      <c r="DR420" s="408">
        <v>0</v>
      </c>
      <c r="DS420" s="408"/>
      <c r="DT420" s="408"/>
      <c r="DU420" s="408"/>
      <c r="DV420" s="408">
        <v>-4515.347155199659</v>
      </c>
      <c r="DW420" s="408">
        <v>0</v>
      </c>
      <c r="DX420" s="408">
        <v>0</v>
      </c>
      <c r="DY420" s="408">
        <v>3273.2988300000002</v>
      </c>
      <c r="DZ420" s="234">
        <v>-64.313729999999964</v>
      </c>
      <c r="EA420" s="408">
        <v>0</v>
      </c>
      <c r="EB420" s="408">
        <v>0</v>
      </c>
      <c r="EC420" s="408">
        <v>3317.4698840144492</v>
      </c>
      <c r="ED420" s="408">
        <v>0</v>
      </c>
      <c r="EE420" s="408">
        <v>0</v>
      </c>
      <c r="EF420" s="408">
        <v>0</v>
      </c>
      <c r="EG420" s="408">
        <v>0</v>
      </c>
      <c r="EH420" s="408">
        <v>0</v>
      </c>
      <c r="EI420" s="408">
        <v>0</v>
      </c>
      <c r="EJ420" s="408">
        <v>0</v>
      </c>
      <c r="EK420" s="408">
        <v>0</v>
      </c>
      <c r="EL420" s="408">
        <v>0</v>
      </c>
      <c r="EM420" s="408">
        <v>0</v>
      </c>
      <c r="EN420" s="408">
        <v>0</v>
      </c>
      <c r="EO420" s="408">
        <v>0</v>
      </c>
      <c r="EP420" s="408">
        <v>0</v>
      </c>
      <c r="EQ420" s="408">
        <v>0</v>
      </c>
      <c r="ER420" s="408">
        <v>0</v>
      </c>
      <c r="ES420" s="408">
        <v>0</v>
      </c>
      <c r="ET420" s="408">
        <v>0</v>
      </c>
      <c r="EU420" s="408">
        <v>0</v>
      </c>
      <c r="EV420" s="408">
        <v>242</v>
      </c>
      <c r="EW420" s="408">
        <v>0</v>
      </c>
      <c r="EX420" s="408">
        <v>0</v>
      </c>
      <c r="EY420" s="408">
        <v>0</v>
      </c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419</v>
      </c>
      <c r="B421" s="408" t="s">
        <v>1036</v>
      </c>
      <c r="C421" s="408" t="s">
        <v>2239</v>
      </c>
      <c r="D421" s="408" t="s">
        <v>597</v>
      </c>
      <c r="E421" s="408" t="s">
        <v>974</v>
      </c>
      <c r="F421" s="408" t="s">
        <v>1322</v>
      </c>
      <c r="G421" s="408" t="s">
        <v>1322</v>
      </c>
      <c r="H421" s="408" t="s">
        <v>1322</v>
      </c>
      <c r="I421" s="408" t="s">
        <v>2240</v>
      </c>
      <c r="J421" s="408" t="s">
        <v>2232</v>
      </c>
      <c r="K421" s="828">
        <v>44621</v>
      </c>
      <c r="L421" s="408">
        <v>0</v>
      </c>
      <c r="M421" s="408">
        <v>0</v>
      </c>
      <c r="N421" s="408">
        <v>30.422999999999998</v>
      </c>
      <c r="O421" s="408">
        <v>29.20608</v>
      </c>
      <c r="P421" s="408">
        <v>30.422999999999998</v>
      </c>
      <c r="Q421" s="408">
        <v>29.20608</v>
      </c>
      <c r="R421" s="408"/>
      <c r="S421" s="408">
        <v>80.27</v>
      </c>
      <c r="T421" s="408">
        <v>216.76</v>
      </c>
      <c r="U421" s="408"/>
      <c r="V421" s="408">
        <v>9036.5436899999986</v>
      </c>
      <c r="W421" s="408">
        <v>9036.5436899999986</v>
      </c>
      <c r="X421" s="408">
        <v>10017.38121</v>
      </c>
      <c r="Y421" s="408">
        <v>0</v>
      </c>
      <c r="Z421" s="408">
        <v>1604.2424180278028</v>
      </c>
      <c r="AA421" s="408">
        <v>0</v>
      </c>
      <c r="AB421" s="408">
        <v>0</v>
      </c>
      <c r="AC421" s="408">
        <v>0</v>
      </c>
      <c r="AD421" s="408">
        <v>0</v>
      </c>
      <c r="AE421" s="408">
        <v>0</v>
      </c>
      <c r="AF421" s="408">
        <v>6498.3984595574775</v>
      </c>
      <c r="AG421" s="408">
        <v>96.057724297090147</v>
      </c>
      <c r="AH421" s="408">
        <v>0</v>
      </c>
      <c r="AI421" s="408">
        <v>0</v>
      </c>
      <c r="AJ421" s="408">
        <v>0</v>
      </c>
      <c r="AK421" s="408">
        <v>0</v>
      </c>
      <c r="AL421" s="408">
        <v>285.17405679466805</v>
      </c>
      <c r="AM421" s="408"/>
      <c r="AN421" s="408">
        <v>41.777538884163611</v>
      </c>
      <c r="AO421" s="408">
        <v>0</v>
      </c>
      <c r="AP421" s="408">
        <v>0</v>
      </c>
      <c r="AQ421" s="408">
        <v>0</v>
      </c>
      <c r="AR421" s="408">
        <v>0</v>
      </c>
      <c r="AS421" s="408">
        <v>0</v>
      </c>
      <c r="AT421" s="408">
        <v>0</v>
      </c>
      <c r="AU421" s="408">
        <v>0</v>
      </c>
      <c r="AV421" s="408">
        <v>0</v>
      </c>
      <c r="AW421" s="408">
        <v>0</v>
      </c>
      <c r="AX421" s="408">
        <v>0</v>
      </c>
      <c r="AY421" s="408">
        <v>0</v>
      </c>
      <c r="AZ421" s="408">
        <v>0</v>
      </c>
      <c r="BA421" s="408"/>
      <c r="BB421" s="408">
        <v>0</v>
      </c>
      <c r="BC421" s="408">
        <v>0</v>
      </c>
      <c r="BD421" s="408">
        <v>13.912398303095125</v>
      </c>
      <c r="BE421" s="408">
        <v>0</v>
      </c>
      <c r="BF421" s="408">
        <v>0</v>
      </c>
      <c r="BG421" s="408">
        <v>496.99489914949424</v>
      </c>
      <c r="BH421" s="408">
        <v>0</v>
      </c>
      <c r="BI421" s="408">
        <v>0</v>
      </c>
      <c r="BJ421" s="408">
        <v>0</v>
      </c>
      <c r="BK421" s="408">
        <v>0</v>
      </c>
      <c r="BL421" s="408">
        <v>0</v>
      </c>
      <c r="BM421" s="408"/>
      <c r="BN421" s="408"/>
      <c r="BO421" s="408"/>
      <c r="BP421" s="408"/>
      <c r="BQ421" s="408"/>
      <c r="BR421" s="408">
        <v>400.6952483999994</v>
      </c>
      <c r="BS421" s="408"/>
      <c r="BT421" s="408"/>
      <c r="BU421" s="408"/>
      <c r="BV421" s="408">
        <v>7009.3057570100664</v>
      </c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>
        <v>9617.9766999999993</v>
      </c>
      <c r="CJ421" s="408">
        <v>942.86475759999848</v>
      </c>
      <c r="CK421" s="408"/>
      <c r="CL421" s="408"/>
      <c r="CM421" s="408"/>
      <c r="CN421" s="408"/>
      <c r="CO421" s="408">
        <v>-11.864970000000017</v>
      </c>
      <c r="CP421" s="408">
        <v>992.70248999999978</v>
      </c>
      <c r="CQ421" s="408">
        <v>31</v>
      </c>
      <c r="CR421" s="408">
        <v>980.86821499156031</v>
      </c>
      <c r="CS421" s="408">
        <v>0</v>
      </c>
      <c r="CT421" s="408">
        <v>0</v>
      </c>
      <c r="CU421" s="408">
        <v>0</v>
      </c>
      <c r="CV421" s="408">
        <v>0</v>
      </c>
      <c r="CW421" s="408">
        <v>0</v>
      </c>
      <c r="CX421" s="408">
        <v>0</v>
      </c>
      <c r="CY421" s="408">
        <v>0</v>
      </c>
      <c r="CZ421" s="408">
        <v>0</v>
      </c>
      <c r="DA421" s="408">
        <v>0</v>
      </c>
      <c r="DB421" s="408">
        <v>0</v>
      </c>
      <c r="DC421" s="408">
        <v>992.83006956191184</v>
      </c>
      <c r="DD421" s="408">
        <v>0</v>
      </c>
      <c r="DE421" s="408">
        <v>0</v>
      </c>
      <c r="DF421" s="408">
        <v>2.1255463882366801</v>
      </c>
      <c r="DG421" s="408">
        <v>75.931244192760914</v>
      </c>
      <c r="DH421" s="408">
        <v>0</v>
      </c>
      <c r="DI421" s="408">
        <v>-76.646203809363215</v>
      </c>
      <c r="DJ421" s="408"/>
      <c r="DK421" s="408">
        <v>0</v>
      </c>
      <c r="DL421" s="408">
        <v>0</v>
      </c>
      <c r="DM421" s="408">
        <v>0</v>
      </c>
      <c r="DN421" s="408">
        <v>0</v>
      </c>
      <c r="DO421" s="408">
        <v>-11.555426485665464</v>
      </c>
      <c r="DP421" s="408">
        <v>-1.8170148563205331</v>
      </c>
      <c r="DQ421" s="408">
        <v>0</v>
      </c>
      <c r="DR421" s="408">
        <v>0</v>
      </c>
      <c r="DS421" s="408"/>
      <c r="DT421" s="408"/>
      <c r="DU421" s="408"/>
      <c r="DV421" s="408">
        <v>0</v>
      </c>
      <c r="DW421" s="408">
        <v>0</v>
      </c>
      <c r="DX421" s="408">
        <v>0</v>
      </c>
      <c r="DY421" s="408">
        <v>-11.864970000000085</v>
      </c>
      <c r="DZ421" s="234">
        <v>992.70248999999967</v>
      </c>
      <c r="EA421" s="408">
        <v>0</v>
      </c>
      <c r="EB421" s="408">
        <v>0</v>
      </c>
      <c r="EC421" s="408">
        <v>0</v>
      </c>
      <c r="ED421" s="408">
        <v>0</v>
      </c>
      <c r="EE421" s="408">
        <v>0</v>
      </c>
      <c r="EF421" s="408">
        <v>0</v>
      </c>
      <c r="EG421" s="408">
        <v>0</v>
      </c>
      <c r="EH421" s="408">
        <v>0</v>
      </c>
      <c r="EI421" s="408">
        <v>0</v>
      </c>
      <c r="EJ421" s="408">
        <v>0</v>
      </c>
      <c r="EK421" s="408">
        <v>0</v>
      </c>
      <c r="EL421" s="408">
        <v>0</v>
      </c>
      <c r="EM421" s="408">
        <v>0</v>
      </c>
      <c r="EN421" s="408">
        <v>0</v>
      </c>
      <c r="EO421" s="408">
        <v>0</v>
      </c>
      <c r="EP421" s="408">
        <v>0</v>
      </c>
      <c r="EQ421" s="408">
        <v>0</v>
      </c>
      <c r="ER421" s="408">
        <v>0</v>
      </c>
      <c r="ES421" s="408">
        <v>0</v>
      </c>
      <c r="ET421" s="408">
        <v>0</v>
      </c>
      <c r="EU421" s="408">
        <v>0</v>
      </c>
      <c r="EV421" s="408">
        <v>242</v>
      </c>
      <c r="EW421" s="408">
        <v>0</v>
      </c>
      <c r="EX421" s="408">
        <v>0</v>
      </c>
      <c r="EY421" s="408">
        <v>0</v>
      </c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420</v>
      </c>
      <c r="B422" s="408" t="s">
        <v>2233</v>
      </c>
      <c r="C422" s="408" t="s">
        <v>2239</v>
      </c>
      <c r="D422" s="408" t="s">
        <v>597</v>
      </c>
      <c r="E422" s="408" t="s">
        <v>974</v>
      </c>
      <c r="F422" s="408" t="s">
        <v>1322</v>
      </c>
      <c r="G422" s="408" t="s">
        <v>1322</v>
      </c>
      <c r="H422" s="408" t="s">
        <v>1322</v>
      </c>
      <c r="I422" s="408" t="s">
        <v>2240</v>
      </c>
      <c r="J422" s="408" t="s">
        <v>2232</v>
      </c>
      <c r="K422" s="828">
        <v>44621</v>
      </c>
      <c r="L422" s="408">
        <v>0</v>
      </c>
      <c r="M422" s="408">
        <v>0</v>
      </c>
      <c r="N422" s="408">
        <v>-16.928000000000001</v>
      </c>
      <c r="O422" s="408">
        <v>-16.250879999999999</v>
      </c>
      <c r="P422" s="408">
        <v>-16.928000000000001</v>
      </c>
      <c r="Q422" s="408">
        <v>-16.250879999999999</v>
      </c>
      <c r="R422" s="408"/>
      <c r="S422" s="408">
        <v>80.27</v>
      </c>
      <c r="T422" s="408">
        <v>216.76</v>
      </c>
      <c r="U422" s="408"/>
      <c r="V422" s="408">
        <v>-5028.1238400000002</v>
      </c>
      <c r="W422" s="408">
        <v>-5028.1238400000002</v>
      </c>
      <c r="X422" s="408">
        <v>-5573.88256</v>
      </c>
      <c r="Y422" s="408">
        <v>0</v>
      </c>
      <c r="Z422" s="408">
        <v>-892.63437702970282</v>
      </c>
      <c r="AA422" s="408">
        <v>0</v>
      </c>
      <c r="AB422" s="408">
        <v>0</v>
      </c>
      <c r="AC422" s="408">
        <v>0</v>
      </c>
      <c r="AD422" s="408">
        <v>0</v>
      </c>
      <c r="AE422" s="408">
        <v>0</v>
      </c>
      <c r="AF422" s="408">
        <v>-3615.8462059425106</v>
      </c>
      <c r="AG422" s="408">
        <v>-53.448547378665552</v>
      </c>
      <c r="AH422" s="408">
        <v>0</v>
      </c>
      <c r="AI422" s="408">
        <v>0</v>
      </c>
      <c r="AJ422" s="408">
        <v>0</v>
      </c>
      <c r="AK422" s="408">
        <v>0</v>
      </c>
      <c r="AL422" s="408">
        <v>-158.67687057226905</v>
      </c>
      <c r="AM422" s="408"/>
      <c r="AN422" s="408">
        <v>-23.245905342376545</v>
      </c>
      <c r="AO422" s="408">
        <v>0</v>
      </c>
      <c r="AP422" s="408">
        <v>0</v>
      </c>
      <c r="AQ422" s="408">
        <v>0</v>
      </c>
      <c r="AR422" s="408">
        <v>0</v>
      </c>
      <c r="AS422" s="408">
        <v>0</v>
      </c>
      <c r="AT422" s="408">
        <v>0</v>
      </c>
      <c r="AU422" s="408">
        <v>0</v>
      </c>
      <c r="AV422" s="408">
        <v>0</v>
      </c>
      <c r="AW422" s="408">
        <v>0</v>
      </c>
      <c r="AX422" s="408">
        <v>0</v>
      </c>
      <c r="AY422" s="408">
        <v>0</v>
      </c>
      <c r="AZ422" s="408">
        <v>0</v>
      </c>
      <c r="BA422" s="408"/>
      <c r="BB422" s="408">
        <v>0</v>
      </c>
      <c r="BC422" s="408">
        <v>0</v>
      </c>
      <c r="BD422" s="408">
        <v>-7.7411523674454958</v>
      </c>
      <c r="BE422" s="408">
        <v>0</v>
      </c>
      <c r="BF422" s="408">
        <v>0</v>
      </c>
      <c r="BG422" s="408">
        <v>-276.53846276838703</v>
      </c>
      <c r="BH422" s="408">
        <v>0</v>
      </c>
      <c r="BI422" s="408">
        <v>0</v>
      </c>
      <c r="BJ422" s="408">
        <v>0</v>
      </c>
      <c r="BK422" s="408">
        <v>0</v>
      </c>
      <c r="BL422" s="408">
        <v>0</v>
      </c>
      <c r="BM422" s="408"/>
      <c r="BN422" s="408"/>
      <c r="BO422" s="408"/>
      <c r="BP422" s="408"/>
      <c r="BQ422" s="408"/>
      <c r="BR422" s="408">
        <v>-222.9553024000007</v>
      </c>
      <c r="BS422" s="408"/>
      <c r="BT422" s="408"/>
      <c r="BU422" s="408"/>
      <c r="BV422" s="408">
        <v>-3900.1258210783431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-5350.6374999999998</v>
      </c>
      <c r="CJ422" s="408">
        <v>-523.66861360000075</v>
      </c>
      <c r="CK422" s="408"/>
      <c r="CL422" s="408"/>
      <c r="CM422" s="408"/>
      <c r="CN422" s="408"/>
      <c r="CO422" s="408">
        <v>6.6019200000000096</v>
      </c>
      <c r="CP422" s="408">
        <v>-552.36063999999999</v>
      </c>
      <c r="CQ422" s="408">
        <v>31</v>
      </c>
      <c r="CR422" s="408">
        <v>-545.77579934185087</v>
      </c>
      <c r="CS422" s="408">
        <v>0</v>
      </c>
      <c r="CT422" s="408">
        <v>0</v>
      </c>
      <c r="CU422" s="408">
        <v>0</v>
      </c>
      <c r="CV422" s="408">
        <v>0</v>
      </c>
      <c r="CW422" s="408">
        <v>0</v>
      </c>
      <c r="CX422" s="408">
        <v>0</v>
      </c>
      <c r="CY422" s="408">
        <v>0</v>
      </c>
      <c r="CZ422" s="408">
        <v>0</v>
      </c>
      <c r="DA422" s="408">
        <v>0</v>
      </c>
      <c r="DB422" s="408">
        <v>0</v>
      </c>
      <c r="DC422" s="408">
        <v>-552.43162796384468</v>
      </c>
      <c r="DD422" s="408">
        <v>0</v>
      </c>
      <c r="DE422" s="408">
        <v>0</v>
      </c>
      <c r="DF422" s="408">
        <v>-1.1826989205558469</v>
      </c>
      <c r="DG422" s="408">
        <v>-42.249748601224667</v>
      </c>
      <c r="DH422" s="408">
        <v>0</v>
      </c>
      <c r="DI422" s="408">
        <v>42.647567238106035</v>
      </c>
      <c r="DJ422" s="408"/>
      <c r="DK422" s="408">
        <v>0</v>
      </c>
      <c r="DL422" s="408">
        <v>0</v>
      </c>
      <c r="DM422" s="408">
        <v>0</v>
      </c>
      <c r="DN422" s="408">
        <v>0</v>
      </c>
      <c r="DO422" s="408">
        <v>6.429683448356343</v>
      </c>
      <c r="DP422" s="408">
        <v>1.0110254573116997</v>
      </c>
      <c r="DQ422" s="408">
        <v>0</v>
      </c>
      <c r="DR422" s="408">
        <v>0</v>
      </c>
      <c r="DS422" s="408"/>
      <c r="DT422" s="408"/>
      <c r="DU422" s="408"/>
      <c r="DV422" s="408">
        <v>0</v>
      </c>
      <c r="DW422" s="408">
        <v>0</v>
      </c>
      <c r="DX422" s="408">
        <v>0</v>
      </c>
      <c r="DY422" s="408">
        <v>6.6019199999998364</v>
      </c>
      <c r="DZ422" s="234">
        <v>-552.36064000000033</v>
      </c>
      <c r="EA422" s="408">
        <v>0</v>
      </c>
      <c r="EB422" s="408">
        <v>0</v>
      </c>
      <c r="EC422" s="408">
        <v>0</v>
      </c>
      <c r="ED422" s="408">
        <v>0</v>
      </c>
      <c r="EE422" s="408">
        <v>0</v>
      </c>
      <c r="EF422" s="408">
        <v>0</v>
      </c>
      <c r="EG422" s="408">
        <v>0</v>
      </c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>
        <v>0</v>
      </c>
      <c r="EN422" s="408">
        <v>0</v>
      </c>
      <c r="EO422" s="408">
        <v>0</v>
      </c>
      <c r="EP422" s="408">
        <v>0</v>
      </c>
      <c r="EQ422" s="408">
        <v>0</v>
      </c>
      <c r="ER422" s="408">
        <v>0</v>
      </c>
      <c r="ES422" s="408">
        <v>0</v>
      </c>
      <c r="ET422" s="408">
        <v>0</v>
      </c>
      <c r="EU422" s="408">
        <v>0</v>
      </c>
      <c r="EV422" s="408">
        <v>242</v>
      </c>
      <c r="EW422" s="408">
        <v>0</v>
      </c>
      <c r="EX422" s="408">
        <v>0</v>
      </c>
      <c r="EY422" s="408">
        <v>0</v>
      </c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421</v>
      </c>
      <c r="B423" s="408" t="s">
        <v>1036</v>
      </c>
      <c r="C423" s="408" t="s">
        <v>2239</v>
      </c>
      <c r="D423" s="408" t="s">
        <v>597</v>
      </c>
      <c r="E423" s="408" t="s">
        <v>974</v>
      </c>
      <c r="F423" s="408" t="s">
        <v>1322</v>
      </c>
      <c r="G423" s="408" t="s">
        <v>1322</v>
      </c>
      <c r="H423" s="408" t="s">
        <v>1322</v>
      </c>
      <c r="I423" s="408" t="s">
        <v>1322</v>
      </c>
      <c r="J423" s="408" t="s">
        <v>2232</v>
      </c>
      <c r="K423" s="828">
        <v>44621</v>
      </c>
      <c r="L423" s="408">
        <v>92</v>
      </c>
      <c r="M423" s="408">
        <v>88.32</v>
      </c>
      <c r="N423" s="408">
        <v>0</v>
      </c>
      <c r="O423" s="408">
        <v>0</v>
      </c>
      <c r="P423" s="408">
        <v>0</v>
      </c>
      <c r="Q423" s="408">
        <v>0</v>
      </c>
      <c r="R423" s="408">
        <v>32.17</v>
      </c>
      <c r="S423" s="408"/>
      <c r="T423" s="408"/>
      <c r="U423" s="408">
        <v>2959.6400000000003</v>
      </c>
      <c r="V423" s="408"/>
      <c r="W423" s="408">
        <v>2959.6400000000003</v>
      </c>
      <c r="X423" s="408">
        <v>1189.56</v>
      </c>
      <c r="Y423" s="408">
        <v>0</v>
      </c>
      <c r="Z423" s="408">
        <v>0</v>
      </c>
      <c r="AA423" s="408">
        <v>0</v>
      </c>
      <c r="AB423" s="408">
        <v>0</v>
      </c>
      <c r="AC423" s="408">
        <v>0</v>
      </c>
      <c r="AD423" s="408">
        <v>9.1922927120773377</v>
      </c>
      <c r="AE423" s="408">
        <v>2477.259659421356</v>
      </c>
      <c r="AF423" s="408"/>
      <c r="AG423" s="408"/>
      <c r="AH423" s="408"/>
      <c r="AI423" s="408">
        <v>0</v>
      </c>
      <c r="AJ423" s="408">
        <v>0</v>
      </c>
      <c r="AK423" s="408">
        <v>0</v>
      </c>
      <c r="AL423" s="408">
        <v>0</v>
      </c>
      <c r="AM423" s="408"/>
      <c r="AN423" s="408">
        <v>0</v>
      </c>
      <c r="AO423" s="408">
        <v>162.32674179006315</v>
      </c>
      <c r="AP423" s="408">
        <v>311.22359522100254</v>
      </c>
      <c r="AQ423" s="408">
        <v>0</v>
      </c>
      <c r="AR423" s="408">
        <v>0</v>
      </c>
      <c r="AS423" s="408"/>
      <c r="AT423" s="408"/>
      <c r="AU423" s="408">
        <v>0</v>
      </c>
      <c r="AV423" s="408">
        <v>0</v>
      </c>
      <c r="AW423" s="408">
        <v>0</v>
      </c>
      <c r="AX423" s="408"/>
      <c r="AY423" s="408"/>
      <c r="AZ423" s="408">
        <v>0</v>
      </c>
      <c r="BA423" s="408"/>
      <c r="BB423" s="408">
        <v>0</v>
      </c>
      <c r="BC423" s="408">
        <v>0</v>
      </c>
      <c r="BD423" s="408">
        <v>0</v>
      </c>
      <c r="BE423" s="408">
        <v>0</v>
      </c>
      <c r="BF423" s="408"/>
      <c r="BG423" s="408">
        <v>0</v>
      </c>
      <c r="BH423" s="408">
        <v>0</v>
      </c>
      <c r="BI423" s="408">
        <v>19.920000000000002</v>
      </c>
      <c r="BJ423" s="408">
        <v>90.46</v>
      </c>
      <c r="BK423" s="408">
        <v>6.46</v>
      </c>
      <c r="BL423" s="408">
        <v>1</v>
      </c>
      <c r="BM423" s="408"/>
      <c r="BN423" s="408"/>
      <c r="BO423" s="408"/>
      <c r="BP423" s="408"/>
      <c r="BQ423" s="408"/>
      <c r="BR423" s="408">
        <v>47.582400000000085</v>
      </c>
      <c r="BS423" s="408"/>
      <c r="BT423" s="408"/>
      <c r="BU423" s="408"/>
      <c r="BV423" s="408">
        <v>0</v>
      </c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>
        <v>1141.9775999999999</v>
      </c>
      <c r="CJ423" s="408">
        <v>-1699.3068000000005</v>
      </c>
      <c r="CK423" s="408"/>
      <c r="CL423" s="408"/>
      <c r="CM423" s="408"/>
      <c r="CN423" s="408"/>
      <c r="CO423" s="408">
        <v>-1770.0800000000002</v>
      </c>
      <c r="CP423" s="408">
        <v>0</v>
      </c>
      <c r="CQ423" s="408">
        <v>31</v>
      </c>
      <c r="CR423" s="408">
        <v>49.746216002711094</v>
      </c>
      <c r="CS423" s="408">
        <v>16.744250830085235</v>
      </c>
      <c r="CT423" s="408">
        <v>32.103188206419134</v>
      </c>
      <c r="CU423" s="408">
        <v>0</v>
      </c>
      <c r="CV423" s="408">
        <v>0</v>
      </c>
      <c r="CW423" s="408"/>
      <c r="CX423" s="408"/>
      <c r="CY423" s="408"/>
      <c r="CZ423" s="408">
        <v>0.8987769662067695</v>
      </c>
      <c r="DA423" s="408">
        <v>0</v>
      </c>
      <c r="DB423" s="408">
        <v>0</v>
      </c>
      <c r="DC423" s="408"/>
      <c r="DD423" s="408"/>
      <c r="DE423" s="408">
        <v>0</v>
      </c>
      <c r="DF423" s="408">
        <v>0</v>
      </c>
      <c r="DG423" s="408">
        <v>0</v>
      </c>
      <c r="DH423" s="408">
        <v>0</v>
      </c>
      <c r="DI423" s="408">
        <v>0</v>
      </c>
      <c r="DJ423" s="408"/>
      <c r="DK423" s="408">
        <v>0</v>
      </c>
      <c r="DL423" s="408">
        <v>0</v>
      </c>
      <c r="DM423" s="408"/>
      <c r="DN423" s="408">
        <v>0</v>
      </c>
      <c r="DO423" s="408">
        <v>0</v>
      </c>
      <c r="DP423" s="408">
        <v>0</v>
      </c>
      <c r="DQ423" s="408">
        <v>0</v>
      </c>
      <c r="DR423" s="408">
        <v>0</v>
      </c>
      <c r="DS423" s="408"/>
      <c r="DT423" s="408"/>
      <c r="DU423" s="408">
        <v>2477.259659421356</v>
      </c>
      <c r="DV423" s="408"/>
      <c r="DW423" s="408">
        <v>0</v>
      </c>
      <c r="DX423" s="408">
        <v>0</v>
      </c>
      <c r="DY423" s="408">
        <v>-1770.0800000000004</v>
      </c>
      <c r="DZ423" s="234"/>
      <c r="EA423" s="408">
        <v>0</v>
      </c>
      <c r="EB423" s="408"/>
      <c r="EC423" s="408">
        <v>-1820.066992091738</v>
      </c>
      <c r="ED423" s="408"/>
      <c r="EE423" s="408">
        <v>0</v>
      </c>
      <c r="EF423" s="408">
        <v>0</v>
      </c>
      <c r="EG423" s="408"/>
      <c r="EH423" s="408">
        <v>0</v>
      </c>
      <c r="EI423" s="408">
        <v>0</v>
      </c>
      <c r="EJ423" s="408">
        <v>0</v>
      </c>
      <c r="EK423" s="408">
        <v>0</v>
      </c>
      <c r="EL423" s="408">
        <v>0</v>
      </c>
      <c r="EM423" s="408"/>
      <c r="EN423" s="408"/>
      <c r="EO423" s="408">
        <v>0</v>
      </c>
      <c r="EP423" s="408">
        <v>0</v>
      </c>
      <c r="EQ423" s="408"/>
      <c r="ER423" s="408">
        <v>0</v>
      </c>
      <c r="ES423" s="408"/>
      <c r="ET423" s="408">
        <v>0</v>
      </c>
      <c r="EU423" s="408"/>
      <c r="EV423" s="408">
        <v>242</v>
      </c>
      <c r="EW423" s="408"/>
      <c r="EX423" s="408"/>
      <c r="EY423" s="408"/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422</v>
      </c>
      <c r="B424" s="408" t="s">
        <v>2233</v>
      </c>
      <c r="C424" s="408" t="s">
        <v>2239</v>
      </c>
      <c r="D424" s="408" t="s">
        <v>597</v>
      </c>
      <c r="E424" s="408" t="s">
        <v>974</v>
      </c>
      <c r="F424" s="408" t="s">
        <v>1322</v>
      </c>
      <c r="G424" s="408" t="s">
        <v>1322</v>
      </c>
      <c r="H424" s="408" t="s">
        <v>1322</v>
      </c>
      <c r="I424" s="408" t="s">
        <v>1322</v>
      </c>
      <c r="J424" s="408" t="s">
        <v>2232</v>
      </c>
      <c r="K424" s="828">
        <v>44621</v>
      </c>
      <c r="L424" s="408">
        <v>-50</v>
      </c>
      <c r="M424" s="408">
        <v>-48</v>
      </c>
      <c r="N424" s="408">
        <v>0</v>
      </c>
      <c r="O424" s="408">
        <v>0</v>
      </c>
      <c r="P424" s="408">
        <v>0</v>
      </c>
      <c r="Q424" s="408">
        <v>0</v>
      </c>
      <c r="R424" s="408">
        <v>32.17</v>
      </c>
      <c r="S424" s="408"/>
      <c r="T424" s="408"/>
      <c r="U424" s="408">
        <v>-1608.5</v>
      </c>
      <c r="V424" s="408"/>
      <c r="W424" s="408">
        <v>-1608.5</v>
      </c>
      <c r="X424" s="408">
        <v>-646.5</v>
      </c>
      <c r="Y424" s="408">
        <v>0</v>
      </c>
      <c r="Z424" s="408">
        <v>0</v>
      </c>
      <c r="AA424" s="408">
        <v>0</v>
      </c>
      <c r="AB424" s="408">
        <v>0</v>
      </c>
      <c r="AC424" s="408">
        <v>0</v>
      </c>
      <c r="AD424" s="408">
        <v>-4.99581125656377</v>
      </c>
      <c r="AE424" s="408">
        <v>-1346.3367714246499</v>
      </c>
      <c r="AF424" s="408"/>
      <c r="AG424" s="408"/>
      <c r="AH424" s="408"/>
      <c r="AI424" s="408">
        <v>0</v>
      </c>
      <c r="AJ424" s="408">
        <v>0</v>
      </c>
      <c r="AK424" s="408">
        <v>0</v>
      </c>
      <c r="AL424" s="408">
        <v>0</v>
      </c>
      <c r="AM424" s="408"/>
      <c r="AN424" s="408">
        <v>0</v>
      </c>
      <c r="AO424" s="408">
        <v>-88.221055320686503</v>
      </c>
      <c r="AP424" s="408">
        <v>-169.14325827228402</v>
      </c>
      <c r="AQ424" s="408">
        <v>0</v>
      </c>
      <c r="AR424" s="408">
        <v>0</v>
      </c>
      <c r="AS424" s="408"/>
      <c r="AT424" s="408"/>
      <c r="AU424" s="408">
        <v>0</v>
      </c>
      <c r="AV424" s="408">
        <v>0</v>
      </c>
      <c r="AW424" s="408">
        <v>0</v>
      </c>
      <c r="AX424" s="408"/>
      <c r="AY424" s="408"/>
      <c r="AZ424" s="408">
        <v>0</v>
      </c>
      <c r="BA424" s="408"/>
      <c r="BB424" s="408">
        <v>0</v>
      </c>
      <c r="BC424" s="408">
        <v>0</v>
      </c>
      <c r="BD424" s="408">
        <v>0</v>
      </c>
      <c r="BE424" s="408">
        <v>0</v>
      </c>
      <c r="BF424" s="408"/>
      <c r="BG424" s="408">
        <v>0</v>
      </c>
      <c r="BH424" s="408">
        <v>0</v>
      </c>
      <c r="BI424" s="408">
        <v>-39.590000000000003</v>
      </c>
      <c r="BJ424" s="408">
        <v>-182.03</v>
      </c>
      <c r="BK424" s="408">
        <v>0</v>
      </c>
      <c r="BL424" s="408">
        <v>0</v>
      </c>
      <c r="BM424" s="408"/>
      <c r="BN424" s="408"/>
      <c r="BO424" s="408"/>
      <c r="BP424" s="408"/>
      <c r="BQ424" s="408"/>
      <c r="BR424" s="408">
        <v>-25.86</v>
      </c>
      <c r="BS424" s="408"/>
      <c r="BT424" s="408"/>
      <c r="BU424" s="408"/>
      <c r="BV424" s="408">
        <v>0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-620.64</v>
      </c>
      <c r="CJ424" s="408">
        <v>923.49000000000012</v>
      </c>
      <c r="CK424" s="408"/>
      <c r="CL424" s="408"/>
      <c r="CM424" s="408"/>
      <c r="CN424" s="408"/>
      <c r="CO424" s="408">
        <v>962.00000000000011</v>
      </c>
      <c r="CP424" s="408">
        <v>0</v>
      </c>
      <c r="CQ424" s="408">
        <v>31</v>
      </c>
      <c r="CR424" s="408">
        <v>-27.035986957995192</v>
      </c>
      <c r="CS424" s="408">
        <v>-9.1001363206984962</v>
      </c>
      <c r="CT424" s="408">
        <v>-17.447384894793004</v>
      </c>
      <c r="CU424" s="408">
        <v>0</v>
      </c>
      <c r="CV424" s="408">
        <v>0</v>
      </c>
      <c r="CW424" s="408"/>
      <c r="CX424" s="408"/>
      <c r="CY424" s="408"/>
      <c r="CZ424" s="408">
        <v>-0.48846574250368047</v>
      </c>
      <c r="DA424" s="408">
        <v>0</v>
      </c>
      <c r="DB424" s="408">
        <v>0</v>
      </c>
      <c r="DC424" s="408"/>
      <c r="DD424" s="408"/>
      <c r="DE424" s="408">
        <v>0</v>
      </c>
      <c r="DF424" s="408">
        <v>0</v>
      </c>
      <c r="DG424" s="408">
        <v>0</v>
      </c>
      <c r="DH424" s="408">
        <v>0</v>
      </c>
      <c r="DI424" s="408">
        <v>0</v>
      </c>
      <c r="DJ424" s="408"/>
      <c r="DK424" s="408">
        <v>0</v>
      </c>
      <c r="DL424" s="408">
        <v>0</v>
      </c>
      <c r="DM424" s="408"/>
      <c r="DN424" s="408">
        <v>0</v>
      </c>
      <c r="DO424" s="408">
        <v>0</v>
      </c>
      <c r="DP424" s="408">
        <v>0</v>
      </c>
      <c r="DQ424" s="408">
        <v>0</v>
      </c>
      <c r="DR424" s="408">
        <v>0</v>
      </c>
      <c r="DS424" s="408"/>
      <c r="DT424" s="408"/>
      <c r="DU424" s="408">
        <v>-1346.3367714246499</v>
      </c>
      <c r="DV424" s="408"/>
      <c r="DW424" s="408">
        <v>0</v>
      </c>
      <c r="DX424" s="408">
        <v>0</v>
      </c>
      <c r="DY424" s="408">
        <v>962</v>
      </c>
      <c r="DZ424" s="234"/>
      <c r="EA424" s="408">
        <v>0</v>
      </c>
      <c r="EB424" s="408"/>
      <c r="EC424" s="408">
        <v>989.16684352811842</v>
      </c>
      <c r="ED424" s="408"/>
      <c r="EE424" s="408">
        <v>0</v>
      </c>
      <c r="EF424" s="408">
        <v>0</v>
      </c>
      <c r="EG424" s="408"/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/>
      <c r="EN424" s="408"/>
      <c r="EO424" s="408">
        <v>0</v>
      </c>
      <c r="EP424" s="408">
        <v>0</v>
      </c>
      <c r="EQ424" s="408"/>
      <c r="ER424" s="408">
        <v>0</v>
      </c>
      <c r="ES424" s="408"/>
      <c r="ET424" s="408">
        <v>0</v>
      </c>
      <c r="EU424" s="408"/>
      <c r="EV424" s="408">
        <v>242</v>
      </c>
      <c r="EW424" s="408"/>
      <c r="EX424" s="408"/>
      <c r="EY424" s="408"/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423</v>
      </c>
      <c r="B425" s="408" t="s">
        <v>1036</v>
      </c>
      <c r="C425" s="408" t="s">
        <v>2231</v>
      </c>
      <c r="D425" s="408" t="s">
        <v>1955</v>
      </c>
      <c r="E425" s="408" t="s">
        <v>2242</v>
      </c>
      <c r="F425" s="408" t="s">
        <v>1322</v>
      </c>
      <c r="G425" s="408" t="s">
        <v>1322</v>
      </c>
      <c r="H425" s="408" t="s">
        <v>1322</v>
      </c>
      <c r="I425" s="408" t="s">
        <v>1322</v>
      </c>
      <c r="J425" s="408" t="s">
        <v>2232</v>
      </c>
      <c r="K425" s="828">
        <v>44621</v>
      </c>
      <c r="L425" s="408">
        <v>0</v>
      </c>
      <c r="M425" s="408">
        <v>0</v>
      </c>
      <c r="N425" s="408">
        <v>52.892000000000003</v>
      </c>
      <c r="O425" s="408">
        <v>52.892000000000003</v>
      </c>
      <c r="P425" s="408">
        <v>52.892000000000003</v>
      </c>
      <c r="Q425" s="408">
        <v>52.892000000000003</v>
      </c>
      <c r="R425" s="408"/>
      <c r="S425" s="408">
        <v>571.87</v>
      </c>
      <c r="T425" s="408">
        <v>216.76</v>
      </c>
      <c r="U425" s="408"/>
      <c r="V425" s="408">
        <v>41712.217960000002</v>
      </c>
      <c r="W425" s="408">
        <v>41712.217960000002</v>
      </c>
      <c r="X425" s="408">
        <v>27187.016920000002</v>
      </c>
      <c r="Y425" s="408">
        <v>0</v>
      </c>
      <c r="Z425" s="408">
        <v>3205.8167566933271</v>
      </c>
      <c r="AA425" s="408">
        <v>0</v>
      </c>
      <c r="AB425" s="408">
        <v>0</v>
      </c>
      <c r="AC425" s="408">
        <v>0</v>
      </c>
      <c r="AD425" s="408">
        <v>43.472659394384117</v>
      </c>
      <c r="AE425" s="408">
        <v>22552.285009473755</v>
      </c>
      <c r="AF425" s="408">
        <v>11297.810581563755</v>
      </c>
      <c r="AG425" s="408">
        <v>167.00145132043824</v>
      </c>
      <c r="AH425" s="408">
        <v>0</v>
      </c>
      <c r="AI425" s="408">
        <v>0</v>
      </c>
      <c r="AJ425" s="408">
        <v>0</v>
      </c>
      <c r="AK425" s="408">
        <v>0</v>
      </c>
      <c r="AL425" s="408">
        <v>495.79023146907224</v>
      </c>
      <c r="AM425" s="408"/>
      <c r="AN425" s="408">
        <v>101.47169176415714</v>
      </c>
      <c r="AO425" s="408">
        <v>469.77075734554739</v>
      </c>
      <c r="AP425" s="408">
        <v>1471.8312437408135</v>
      </c>
      <c r="AQ425" s="408">
        <v>0</v>
      </c>
      <c r="AR425" s="408">
        <v>0</v>
      </c>
      <c r="AS425" s="408">
        <v>0</v>
      </c>
      <c r="AT425" s="408">
        <v>0</v>
      </c>
      <c r="AU425" s="408">
        <v>0</v>
      </c>
      <c r="AV425" s="408">
        <v>0</v>
      </c>
      <c r="AW425" s="408">
        <v>0</v>
      </c>
      <c r="AX425" s="408">
        <v>0</v>
      </c>
      <c r="AY425" s="408">
        <v>0</v>
      </c>
      <c r="AZ425" s="408">
        <v>0</v>
      </c>
      <c r="BA425" s="408"/>
      <c r="BB425" s="408">
        <v>0</v>
      </c>
      <c r="BC425" s="408">
        <v>0</v>
      </c>
      <c r="BD425" s="408">
        <v>31.474422440550484</v>
      </c>
      <c r="BE425" s="408">
        <v>0</v>
      </c>
      <c r="BF425" s="408">
        <v>0</v>
      </c>
      <c r="BG425" s="408">
        <v>1875.4570960784513</v>
      </c>
      <c r="BH425" s="408">
        <v>0</v>
      </c>
      <c r="BI425" s="408">
        <v>44.87</v>
      </c>
      <c r="BJ425" s="408">
        <v>206.34</v>
      </c>
      <c r="BK425" s="408">
        <v>10641.86</v>
      </c>
      <c r="BL425" s="408">
        <v>104</v>
      </c>
      <c r="BM425" s="408"/>
      <c r="BN425" s="408"/>
      <c r="BO425" s="408"/>
      <c r="BP425" s="408"/>
      <c r="BQ425" s="408"/>
      <c r="BR425" s="408"/>
      <c r="BS425" s="408"/>
      <c r="BT425" s="408"/>
      <c r="BU425" s="408"/>
      <c r="BV425" s="408">
        <v>13204.742100082758</v>
      </c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>
        <v>27185.9889</v>
      </c>
      <c r="CJ425" s="408">
        <v>-14526.25906</v>
      </c>
      <c r="CK425" s="408"/>
      <c r="CL425" s="408"/>
      <c r="CM425" s="408"/>
      <c r="CN425" s="408"/>
      <c r="CO425" s="408">
        <v>-16251.067000000001</v>
      </c>
      <c r="CP425" s="408">
        <v>1725.8659599999999</v>
      </c>
      <c r="CQ425" s="408">
        <v>31</v>
      </c>
      <c r="CR425" s="408">
        <v>2044.2919768333304</v>
      </c>
      <c r="CS425" s="408">
        <v>48.457569633263461</v>
      </c>
      <c r="CT425" s="408">
        <v>151.82163612095724</v>
      </c>
      <c r="CU425" s="408">
        <v>0</v>
      </c>
      <c r="CV425" s="408">
        <v>0</v>
      </c>
      <c r="CW425" s="408">
        <v>0</v>
      </c>
      <c r="CX425" s="408">
        <v>0</v>
      </c>
      <c r="CY425" s="408">
        <v>0</v>
      </c>
      <c r="CZ425" s="408">
        <v>4.2505418557970955</v>
      </c>
      <c r="DA425" s="408">
        <v>0</v>
      </c>
      <c r="DB425" s="408">
        <v>0</v>
      </c>
      <c r="DC425" s="408">
        <v>1726.0877638388265</v>
      </c>
      <c r="DD425" s="408">
        <v>0</v>
      </c>
      <c r="DE425" s="408">
        <v>0</v>
      </c>
      <c r="DF425" s="408">
        <v>4.8086852807731759</v>
      </c>
      <c r="DG425" s="408">
        <v>286.53370684302263</v>
      </c>
      <c r="DH425" s="408">
        <v>0</v>
      </c>
      <c r="DI425" s="408">
        <v>-153.16493426913985</v>
      </c>
      <c r="DJ425" s="408"/>
      <c r="DK425" s="408">
        <v>0</v>
      </c>
      <c r="DL425" s="408">
        <v>0</v>
      </c>
      <c r="DM425" s="408">
        <v>0</v>
      </c>
      <c r="DN425" s="408">
        <v>0</v>
      </c>
      <c r="DO425" s="408">
        <v>-20.089722173349685</v>
      </c>
      <c r="DP425" s="408">
        <v>-4.4132702968135078</v>
      </c>
      <c r="DQ425" s="408">
        <v>0</v>
      </c>
      <c r="DR425" s="408">
        <v>0</v>
      </c>
      <c r="DS425" s="408"/>
      <c r="DT425" s="408"/>
      <c r="DU425" s="408"/>
      <c r="DV425" s="408">
        <v>22552.285009473755</v>
      </c>
      <c r="DW425" s="408">
        <v>0</v>
      </c>
      <c r="DX425" s="408">
        <v>0</v>
      </c>
      <c r="DY425" s="408">
        <v>-16251.066999999999</v>
      </c>
      <c r="DZ425" s="234">
        <v>1725.8659599999992</v>
      </c>
      <c r="EA425" s="408">
        <v>0</v>
      </c>
      <c r="EB425" s="408">
        <v>0</v>
      </c>
      <c r="EC425" s="408">
        <v>-16569.385201863057</v>
      </c>
      <c r="ED425" s="408">
        <v>0</v>
      </c>
      <c r="EE425" s="408">
        <v>0</v>
      </c>
      <c r="EF425" s="408">
        <v>0</v>
      </c>
      <c r="EG425" s="408">
        <v>0</v>
      </c>
      <c r="EH425" s="408">
        <v>0</v>
      </c>
      <c r="EI425" s="408">
        <v>0</v>
      </c>
      <c r="EJ425" s="408">
        <v>0</v>
      </c>
      <c r="EK425" s="408">
        <v>0</v>
      </c>
      <c r="EL425" s="408">
        <v>0</v>
      </c>
      <c r="EM425" s="408">
        <v>0</v>
      </c>
      <c r="EN425" s="408">
        <v>0</v>
      </c>
      <c r="EO425" s="408">
        <v>0</v>
      </c>
      <c r="EP425" s="408">
        <v>0</v>
      </c>
      <c r="EQ425" s="408">
        <v>0</v>
      </c>
      <c r="ER425" s="408">
        <v>0</v>
      </c>
      <c r="ES425" s="408">
        <v>0</v>
      </c>
      <c r="ET425" s="408">
        <v>0</v>
      </c>
      <c r="EU425" s="408">
        <v>0</v>
      </c>
      <c r="EV425" s="408">
        <v>242</v>
      </c>
      <c r="EW425" s="408">
        <v>0</v>
      </c>
      <c r="EX425" s="408">
        <v>0</v>
      </c>
      <c r="EY425" s="408">
        <v>0</v>
      </c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424</v>
      </c>
      <c r="B426" s="408" t="s">
        <v>2234</v>
      </c>
      <c r="C426" s="408" t="s">
        <v>2231</v>
      </c>
      <c r="D426" s="408" t="s">
        <v>1955</v>
      </c>
      <c r="E426" s="408" t="s">
        <v>2242</v>
      </c>
      <c r="F426" s="408" t="s">
        <v>1322</v>
      </c>
      <c r="G426" s="408" t="s">
        <v>1322</v>
      </c>
      <c r="H426" s="408" t="s">
        <v>1322</v>
      </c>
      <c r="I426" s="408" t="s">
        <v>1322</v>
      </c>
      <c r="J426" s="408" t="s">
        <v>2232</v>
      </c>
      <c r="K426" s="828">
        <v>44621</v>
      </c>
      <c r="L426" s="408">
        <v>0</v>
      </c>
      <c r="M426" s="408">
        <v>0</v>
      </c>
      <c r="N426" s="408">
        <v>0.1</v>
      </c>
      <c r="O426" s="408">
        <v>0.1</v>
      </c>
      <c r="P426" s="408">
        <v>0.1</v>
      </c>
      <c r="Q426" s="408">
        <v>0.1</v>
      </c>
      <c r="R426" s="408"/>
      <c r="S426" s="408">
        <v>571.87</v>
      </c>
      <c r="T426" s="408">
        <v>216.76</v>
      </c>
      <c r="U426" s="408"/>
      <c r="V426" s="408">
        <v>78.863</v>
      </c>
      <c r="W426" s="408">
        <v>78.863</v>
      </c>
      <c r="X426" s="408">
        <v>51.401000000000003</v>
      </c>
      <c r="Y426" s="408">
        <v>0</v>
      </c>
      <c r="Z426" s="408">
        <v>6.0610617044039303</v>
      </c>
      <c r="AA426" s="408">
        <v>0</v>
      </c>
      <c r="AB426" s="408">
        <v>0</v>
      </c>
      <c r="AC426" s="408">
        <v>0</v>
      </c>
      <c r="AD426" s="408">
        <v>8.2191369950813206E-2</v>
      </c>
      <c r="AE426" s="408">
        <v>42.638366878684401</v>
      </c>
      <c r="AF426" s="408">
        <v>21.360150082363603</v>
      </c>
      <c r="AG426" s="408">
        <v>0.31574047364523605</v>
      </c>
      <c r="AH426" s="408">
        <v>0</v>
      </c>
      <c r="AI426" s="408">
        <v>0</v>
      </c>
      <c r="AJ426" s="408">
        <v>0</v>
      </c>
      <c r="AK426" s="408">
        <v>0</v>
      </c>
      <c r="AL426" s="408">
        <v>0.93736336585697699</v>
      </c>
      <c r="AM426" s="408"/>
      <c r="AN426" s="408">
        <v>0.19184695561551302</v>
      </c>
      <c r="AO426" s="408">
        <v>0.88816977491028393</v>
      </c>
      <c r="AP426" s="408">
        <v>2.7827105114966599</v>
      </c>
      <c r="AQ426" s="408">
        <v>0</v>
      </c>
      <c r="AR426" s="408">
        <v>0</v>
      </c>
      <c r="AS426" s="408">
        <v>0</v>
      </c>
      <c r="AT426" s="408">
        <v>0</v>
      </c>
      <c r="AU426" s="408">
        <v>0</v>
      </c>
      <c r="AV426" s="408">
        <v>0</v>
      </c>
      <c r="AW426" s="408">
        <v>0</v>
      </c>
      <c r="AX426" s="408">
        <v>0</v>
      </c>
      <c r="AY426" s="408">
        <v>0</v>
      </c>
      <c r="AZ426" s="408">
        <v>0</v>
      </c>
      <c r="BA426" s="408"/>
      <c r="BB426" s="408">
        <v>0</v>
      </c>
      <c r="BC426" s="408">
        <v>0</v>
      </c>
      <c r="BD426" s="408">
        <v>5.9506962188139001E-2</v>
      </c>
      <c r="BE426" s="408">
        <v>0</v>
      </c>
      <c r="BF426" s="408">
        <v>0</v>
      </c>
      <c r="BG426" s="408">
        <v>3.5458237466506297</v>
      </c>
      <c r="BH426" s="408">
        <v>0</v>
      </c>
      <c r="BI426" s="408">
        <v>0.08</v>
      </c>
      <c r="BJ426" s="408">
        <v>0.39</v>
      </c>
      <c r="BK426" s="408">
        <v>126.36</v>
      </c>
      <c r="BL426" s="408">
        <v>1</v>
      </c>
      <c r="BM426" s="408"/>
      <c r="BN426" s="408"/>
      <c r="BO426" s="408"/>
      <c r="BP426" s="408"/>
      <c r="BQ426" s="408"/>
      <c r="BR426" s="408"/>
      <c r="BS426" s="408"/>
      <c r="BT426" s="408"/>
      <c r="BU426" s="408"/>
      <c r="BV426" s="408">
        <v>24.965480791202371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51.401000000000003</v>
      </c>
      <c r="CJ426" s="408">
        <v>-27.492000000000012</v>
      </c>
      <c r="CK426" s="408"/>
      <c r="CL426" s="408"/>
      <c r="CM426" s="408"/>
      <c r="CN426" s="408"/>
      <c r="CO426" s="408">
        <v>-30.725000000000001</v>
      </c>
      <c r="CP426" s="408">
        <v>3.2629999999999999</v>
      </c>
      <c r="CQ426" s="408">
        <v>31</v>
      </c>
      <c r="CR426" s="408">
        <v>3.8650305846504907</v>
      </c>
      <c r="CS426" s="408">
        <v>9.1616066008590069E-2</v>
      </c>
      <c r="CT426" s="408">
        <v>0.28704083060001029</v>
      </c>
      <c r="CU426" s="408">
        <v>0</v>
      </c>
      <c r="CV426" s="408">
        <v>0</v>
      </c>
      <c r="CW426" s="408">
        <v>0</v>
      </c>
      <c r="CX426" s="408">
        <v>0</v>
      </c>
      <c r="CY426" s="408">
        <v>0</v>
      </c>
      <c r="CZ426" s="408">
        <v>8.0362660814434911E-3</v>
      </c>
      <c r="DA426" s="408">
        <v>0</v>
      </c>
      <c r="DB426" s="408">
        <v>0</v>
      </c>
      <c r="DC426" s="408">
        <v>3.2634193523383992</v>
      </c>
      <c r="DD426" s="408">
        <v>0</v>
      </c>
      <c r="DE426" s="408">
        <v>0</v>
      </c>
      <c r="DF426" s="408">
        <v>9.0915172063320976E-3</v>
      </c>
      <c r="DG426" s="408">
        <v>0.5417335454190102</v>
      </c>
      <c r="DH426" s="408">
        <v>0</v>
      </c>
      <c r="DI426" s="408">
        <v>-0.28958053064572997</v>
      </c>
      <c r="DJ426" s="408"/>
      <c r="DK426" s="408">
        <v>0</v>
      </c>
      <c r="DL426" s="408">
        <v>0</v>
      </c>
      <c r="DM426" s="408">
        <v>0</v>
      </c>
      <c r="DN426" s="408">
        <v>0</v>
      </c>
      <c r="DO426" s="408">
        <v>-3.7982534548418934E-2</v>
      </c>
      <c r="DP426" s="408">
        <v>-8.3439278091460012E-3</v>
      </c>
      <c r="DQ426" s="408">
        <v>0</v>
      </c>
      <c r="DR426" s="408">
        <v>0</v>
      </c>
      <c r="DS426" s="408"/>
      <c r="DT426" s="408"/>
      <c r="DU426" s="408"/>
      <c r="DV426" s="408">
        <v>42.638366878684401</v>
      </c>
      <c r="DW426" s="408">
        <v>0</v>
      </c>
      <c r="DX426" s="408">
        <v>0</v>
      </c>
      <c r="DY426" s="408">
        <v>-30.725000000000001</v>
      </c>
      <c r="DZ426" s="234">
        <v>3.2629999999999981</v>
      </c>
      <c r="EA426" s="408">
        <v>0</v>
      </c>
      <c r="EB426" s="408">
        <v>0</v>
      </c>
      <c r="EC426" s="408">
        <v>-31.326826744806503</v>
      </c>
      <c r="ED426" s="408">
        <v>0</v>
      </c>
      <c r="EE426" s="408">
        <v>0</v>
      </c>
      <c r="EF426" s="408">
        <v>0</v>
      </c>
      <c r="EG426" s="408">
        <v>0</v>
      </c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>
        <v>0</v>
      </c>
      <c r="EN426" s="408">
        <v>0</v>
      </c>
      <c r="EO426" s="408">
        <v>0</v>
      </c>
      <c r="EP426" s="408">
        <v>0</v>
      </c>
      <c r="EQ426" s="408">
        <v>0</v>
      </c>
      <c r="ER426" s="408">
        <v>0</v>
      </c>
      <c r="ES426" s="408">
        <v>0</v>
      </c>
      <c r="ET426" s="408">
        <v>0</v>
      </c>
      <c r="EU426" s="408">
        <v>0</v>
      </c>
      <c r="EV426" s="408">
        <v>242</v>
      </c>
      <c r="EW426" s="408">
        <v>0</v>
      </c>
      <c r="EX426" s="408">
        <v>0</v>
      </c>
      <c r="EY426" s="408">
        <v>0</v>
      </c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425</v>
      </c>
      <c r="B427" s="408" t="s">
        <v>2234</v>
      </c>
      <c r="C427" s="408" t="s">
        <v>2239</v>
      </c>
      <c r="D427" s="408" t="s">
        <v>597</v>
      </c>
      <c r="E427" s="408" t="s">
        <v>2242</v>
      </c>
      <c r="F427" s="408" t="s">
        <v>1322</v>
      </c>
      <c r="G427" s="408" t="s">
        <v>1322</v>
      </c>
      <c r="H427" s="408" t="s">
        <v>1322</v>
      </c>
      <c r="I427" s="408" t="s">
        <v>973</v>
      </c>
      <c r="J427" s="408" t="s">
        <v>2232</v>
      </c>
      <c r="K427" s="828">
        <v>44621</v>
      </c>
      <c r="L427" s="408">
        <v>0</v>
      </c>
      <c r="M427" s="408">
        <v>0</v>
      </c>
      <c r="N427" s="408">
        <v>4.1859999999999999</v>
      </c>
      <c r="O427" s="408">
        <v>4.1859999999999999</v>
      </c>
      <c r="P427" s="408">
        <v>4.1859999999999999</v>
      </c>
      <c r="Q427" s="408">
        <v>4.1859999999999999</v>
      </c>
      <c r="R427" s="408"/>
      <c r="S427" s="408">
        <v>2592.54</v>
      </c>
      <c r="T427" s="408">
        <v>216.76</v>
      </c>
      <c r="U427" s="408"/>
      <c r="V427" s="408">
        <v>11759.729799999999</v>
      </c>
      <c r="W427" s="408">
        <v>11759.729799999999</v>
      </c>
      <c r="X427" s="408">
        <v>4944.5031999999992</v>
      </c>
      <c r="Y427" s="408">
        <v>0</v>
      </c>
      <c r="Z427" s="408">
        <v>220.73295736332324</v>
      </c>
      <c r="AA427" s="408">
        <v>0</v>
      </c>
      <c r="AB427" s="408">
        <v>0</v>
      </c>
      <c r="AC427" s="408">
        <v>0</v>
      </c>
      <c r="AD427" s="408">
        <v>21.167074976781251</v>
      </c>
      <c r="AE427" s="408">
        <v>9589.6718374762913</v>
      </c>
      <c r="AF427" s="408">
        <v>894.1358824477403</v>
      </c>
      <c r="AG427" s="408">
        <v>13.216896226789579</v>
      </c>
      <c r="AH427" s="408">
        <v>0</v>
      </c>
      <c r="AI427" s="408">
        <v>0</v>
      </c>
      <c r="AJ427" s="408">
        <v>0</v>
      </c>
      <c r="AK427" s="408">
        <v>0</v>
      </c>
      <c r="AL427" s="408">
        <v>39.238030494773056</v>
      </c>
      <c r="AM427" s="408"/>
      <c r="AN427" s="408">
        <v>5.7483081145550692</v>
      </c>
      <c r="AO427" s="408">
        <v>188.85085226992527</v>
      </c>
      <c r="AP427" s="408">
        <v>716.64633416019615</v>
      </c>
      <c r="AQ427" s="408">
        <v>0</v>
      </c>
      <c r="AR427" s="408">
        <v>0</v>
      </c>
      <c r="AS427" s="408">
        <v>0</v>
      </c>
      <c r="AT427" s="408">
        <v>0</v>
      </c>
      <c r="AU427" s="408">
        <v>0</v>
      </c>
      <c r="AV427" s="408">
        <v>0</v>
      </c>
      <c r="AW427" s="408">
        <v>0</v>
      </c>
      <c r="AX427" s="408">
        <v>0</v>
      </c>
      <c r="AY427" s="408">
        <v>0</v>
      </c>
      <c r="AZ427" s="408">
        <v>0</v>
      </c>
      <c r="BA427" s="408"/>
      <c r="BB427" s="408">
        <v>0</v>
      </c>
      <c r="BC427" s="408">
        <v>0</v>
      </c>
      <c r="BD427" s="408">
        <v>1.9142523517324459</v>
      </c>
      <c r="BE427" s="408">
        <v>0</v>
      </c>
      <c r="BF427" s="408">
        <v>0</v>
      </c>
      <c r="BG427" s="408">
        <v>68.383152478052224</v>
      </c>
      <c r="BH427" s="408">
        <v>0</v>
      </c>
      <c r="BI427" s="408">
        <v>0</v>
      </c>
      <c r="BJ427" s="408">
        <v>0</v>
      </c>
      <c r="BK427" s="408">
        <v>0</v>
      </c>
      <c r="BL427" s="408">
        <v>0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964.43328727752498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4949.2280000000001</v>
      </c>
      <c r="CJ427" s="408">
        <v>-6810.5317999999997</v>
      </c>
      <c r="CK427" s="408"/>
      <c r="CL427" s="408"/>
      <c r="CM427" s="408"/>
      <c r="CN427" s="408"/>
      <c r="CO427" s="408">
        <v>-6951.8157799999999</v>
      </c>
      <c r="CP427" s="408">
        <v>136.58917999999997</v>
      </c>
      <c r="CQ427" s="408">
        <v>31</v>
      </c>
      <c r="CR427" s="408">
        <v>230.43389035486143</v>
      </c>
      <c r="CS427" s="408">
        <v>19.480253253481322</v>
      </c>
      <c r="CT427" s="408">
        <v>73.923161663391511</v>
      </c>
      <c r="CU427" s="408">
        <v>0</v>
      </c>
      <c r="CV427" s="408">
        <v>0</v>
      </c>
      <c r="CW427" s="408">
        <v>0</v>
      </c>
      <c r="CX427" s="408">
        <v>0</v>
      </c>
      <c r="CY427" s="408">
        <v>0</v>
      </c>
      <c r="CZ427" s="408">
        <v>2.069612013780489</v>
      </c>
      <c r="DA427" s="408">
        <v>0</v>
      </c>
      <c r="DB427" s="408">
        <v>0</v>
      </c>
      <c r="DC427" s="408">
        <v>136.60673408888545</v>
      </c>
      <c r="DD427" s="408">
        <v>0</v>
      </c>
      <c r="DE427" s="408">
        <v>0</v>
      </c>
      <c r="DF427" s="408">
        <v>0.29246087437658175</v>
      </c>
      <c r="DG427" s="408">
        <v>10.447628050846319</v>
      </c>
      <c r="DH427" s="408">
        <v>0</v>
      </c>
      <c r="DI427" s="408">
        <v>-10.546001681162096</v>
      </c>
      <c r="DJ427" s="408"/>
      <c r="DK427" s="408">
        <v>0</v>
      </c>
      <c r="DL427" s="408">
        <v>0</v>
      </c>
      <c r="DM427" s="408">
        <v>0</v>
      </c>
      <c r="DN427" s="408">
        <v>0</v>
      </c>
      <c r="DO427" s="408">
        <v>-1.589948896196816</v>
      </c>
      <c r="DP427" s="408">
        <v>-0.25000901254175201</v>
      </c>
      <c r="DQ427" s="408">
        <v>0</v>
      </c>
      <c r="DR427" s="408">
        <v>0</v>
      </c>
      <c r="DS427" s="408"/>
      <c r="DT427" s="408"/>
      <c r="DU427" s="408"/>
      <c r="DV427" s="408">
        <v>9589.6718374762913</v>
      </c>
      <c r="DW427" s="408">
        <v>0</v>
      </c>
      <c r="DX427" s="408">
        <v>0</v>
      </c>
      <c r="DY427" s="408">
        <v>-6951.815779999999</v>
      </c>
      <c r="DZ427" s="234">
        <v>136.58917999999994</v>
      </c>
      <c r="EA427" s="408">
        <v>0</v>
      </c>
      <c r="EB427" s="408">
        <v>0</v>
      </c>
      <c r="EC427" s="408">
        <v>-7045.6260448931926</v>
      </c>
      <c r="ED427" s="408">
        <v>0</v>
      </c>
      <c r="EE427" s="408">
        <v>0</v>
      </c>
      <c r="EF427" s="408">
        <v>0</v>
      </c>
      <c r="EG427" s="408">
        <v>0</v>
      </c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>
        <v>0</v>
      </c>
      <c r="EN427" s="408">
        <v>0</v>
      </c>
      <c r="EO427" s="408">
        <v>0</v>
      </c>
      <c r="EP427" s="408">
        <v>0</v>
      </c>
      <c r="EQ427" s="408">
        <v>0</v>
      </c>
      <c r="ER427" s="408">
        <v>0</v>
      </c>
      <c r="ES427" s="408">
        <v>0</v>
      </c>
      <c r="ET427" s="408">
        <v>0</v>
      </c>
      <c r="EU427" s="408">
        <v>0</v>
      </c>
      <c r="EV427" s="408">
        <v>242</v>
      </c>
      <c r="EW427" s="408">
        <v>0</v>
      </c>
      <c r="EX427" s="408">
        <v>0</v>
      </c>
      <c r="EY427" s="408">
        <v>0</v>
      </c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426</v>
      </c>
      <c r="B428" s="408" t="s">
        <v>2234</v>
      </c>
      <c r="C428" s="408" t="s">
        <v>2239</v>
      </c>
      <c r="D428" s="408" t="s">
        <v>597</v>
      </c>
      <c r="E428" s="408" t="s">
        <v>2242</v>
      </c>
      <c r="F428" s="408" t="s">
        <v>1322</v>
      </c>
      <c r="G428" s="408" t="s">
        <v>1322</v>
      </c>
      <c r="H428" s="408" t="s">
        <v>1322</v>
      </c>
      <c r="I428" s="408" t="s">
        <v>2240</v>
      </c>
      <c r="J428" s="408" t="s">
        <v>2232</v>
      </c>
      <c r="K428" s="828">
        <v>44621</v>
      </c>
      <c r="L428" s="408">
        <v>0</v>
      </c>
      <c r="M428" s="408">
        <v>0</v>
      </c>
      <c r="N428" s="408">
        <v>11.318</v>
      </c>
      <c r="O428" s="408">
        <v>11.318</v>
      </c>
      <c r="P428" s="408">
        <v>11.318</v>
      </c>
      <c r="Q428" s="408">
        <v>11.318</v>
      </c>
      <c r="R428" s="408"/>
      <c r="S428" s="408">
        <v>80.27</v>
      </c>
      <c r="T428" s="408">
        <v>216.76</v>
      </c>
      <c r="U428" s="408"/>
      <c r="V428" s="408">
        <v>3361.7855399999999</v>
      </c>
      <c r="W428" s="408">
        <v>3361.7855399999999</v>
      </c>
      <c r="X428" s="408">
        <v>3726.6778599999998</v>
      </c>
      <c r="Y428" s="408">
        <v>0</v>
      </c>
      <c r="Z428" s="408">
        <v>596.81213842286013</v>
      </c>
      <c r="AA428" s="408">
        <v>0</v>
      </c>
      <c r="AB428" s="408">
        <v>0</v>
      </c>
      <c r="AC428" s="408">
        <v>0</v>
      </c>
      <c r="AD428" s="408">
        <v>0</v>
      </c>
      <c r="AE428" s="408">
        <v>0</v>
      </c>
      <c r="AF428" s="408">
        <v>2417.5417863219122</v>
      </c>
      <c r="AG428" s="408">
        <v>35.735506807167809</v>
      </c>
      <c r="AH428" s="408">
        <v>0</v>
      </c>
      <c r="AI428" s="408">
        <v>0</v>
      </c>
      <c r="AJ428" s="408">
        <v>0</v>
      </c>
      <c r="AK428" s="408">
        <v>0</v>
      </c>
      <c r="AL428" s="408">
        <v>106.09078574769265</v>
      </c>
      <c r="AM428" s="408"/>
      <c r="AN428" s="408">
        <v>15.542128820003409</v>
      </c>
      <c r="AO428" s="408">
        <v>0</v>
      </c>
      <c r="AP428" s="408">
        <v>0</v>
      </c>
      <c r="AQ428" s="408">
        <v>0</v>
      </c>
      <c r="AR428" s="408">
        <v>0</v>
      </c>
      <c r="AS428" s="408">
        <v>0</v>
      </c>
      <c r="AT428" s="408">
        <v>0</v>
      </c>
      <c r="AU428" s="408">
        <v>0</v>
      </c>
      <c r="AV428" s="408">
        <v>0</v>
      </c>
      <c r="AW428" s="408">
        <v>0</v>
      </c>
      <c r="AX428" s="408">
        <v>0</v>
      </c>
      <c r="AY428" s="408">
        <v>0</v>
      </c>
      <c r="AZ428" s="408">
        <v>0</v>
      </c>
      <c r="BA428" s="408"/>
      <c r="BB428" s="408">
        <v>0</v>
      </c>
      <c r="BC428" s="408">
        <v>0</v>
      </c>
      <c r="BD428" s="408">
        <v>5.1757066691131923</v>
      </c>
      <c r="BE428" s="408">
        <v>0</v>
      </c>
      <c r="BF428" s="408">
        <v>0</v>
      </c>
      <c r="BG428" s="408">
        <v>184.89262296860846</v>
      </c>
      <c r="BH428" s="408">
        <v>0</v>
      </c>
      <c r="BI428" s="408">
        <v>0</v>
      </c>
      <c r="BJ428" s="408">
        <v>0</v>
      </c>
      <c r="BK428" s="408">
        <v>0</v>
      </c>
      <c r="BL428" s="408">
        <v>0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2607.6101159596337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3727.3363999999997</v>
      </c>
      <c r="CJ428" s="408">
        <v>365.52085999999963</v>
      </c>
      <c r="CK428" s="408"/>
      <c r="CL428" s="408"/>
      <c r="CM428" s="408"/>
      <c r="CN428" s="408"/>
      <c r="CO428" s="408">
        <v>-4.414020000000006</v>
      </c>
      <c r="CP428" s="408">
        <v>369.30633999999992</v>
      </c>
      <c r="CQ428" s="408">
        <v>31</v>
      </c>
      <c r="CR428" s="408">
        <v>364.90373918661771</v>
      </c>
      <c r="CS428" s="408">
        <v>0</v>
      </c>
      <c r="CT428" s="408">
        <v>0</v>
      </c>
      <c r="CU428" s="408">
        <v>0</v>
      </c>
      <c r="CV428" s="408">
        <v>0</v>
      </c>
      <c r="CW428" s="408">
        <v>0</v>
      </c>
      <c r="CX428" s="408">
        <v>0</v>
      </c>
      <c r="CY428" s="408">
        <v>0</v>
      </c>
      <c r="CZ428" s="408">
        <v>0</v>
      </c>
      <c r="DA428" s="408">
        <v>0</v>
      </c>
      <c r="DB428" s="408">
        <v>0</v>
      </c>
      <c r="DC428" s="408">
        <v>369.35380229765997</v>
      </c>
      <c r="DD428" s="408">
        <v>0</v>
      </c>
      <c r="DE428" s="408">
        <v>0</v>
      </c>
      <c r="DF428" s="408">
        <v>0.79074825040471808</v>
      </c>
      <c r="DG428" s="408">
        <v>28.248030167099529</v>
      </c>
      <c r="DH428" s="408">
        <v>0</v>
      </c>
      <c r="DI428" s="408">
        <v>-28.514010278880278</v>
      </c>
      <c r="DJ428" s="408"/>
      <c r="DK428" s="408">
        <v>0</v>
      </c>
      <c r="DL428" s="408">
        <v>0</v>
      </c>
      <c r="DM428" s="408">
        <v>0</v>
      </c>
      <c r="DN428" s="408">
        <v>0</v>
      </c>
      <c r="DO428" s="408">
        <v>-4.2988632601900605</v>
      </c>
      <c r="DP428" s="408">
        <v>-0.67596798947624137</v>
      </c>
      <c r="DQ428" s="408">
        <v>0</v>
      </c>
      <c r="DR428" s="408">
        <v>0</v>
      </c>
      <c r="DS428" s="408"/>
      <c r="DT428" s="408"/>
      <c r="DU428" s="408"/>
      <c r="DV428" s="408">
        <v>0</v>
      </c>
      <c r="DW428" s="408">
        <v>0</v>
      </c>
      <c r="DX428" s="408">
        <v>0</v>
      </c>
      <c r="DY428" s="408">
        <v>-4.4140199999999368</v>
      </c>
      <c r="DZ428" s="234">
        <v>369.30634000000009</v>
      </c>
      <c r="EA428" s="408">
        <v>0</v>
      </c>
      <c r="EB428" s="408">
        <v>0</v>
      </c>
      <c r="EC428" s="408">
        <v>0</v>
      </c>
      <c r="ED428" s="408">
        <v>0</v>
      </c>
      <c r="EE428" s="408">
        <v>0</v>
      </c>
      <c r="EF428" s="408">
        <v>0</v>
      </c>
      <c r="EG428" s="408">
        <v>0</v>
      </c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>
        <v>0</v>
      </c>
      <c r="EN428" s="408">
        <v>0</v>
      </c>
      <c r="EO428" s="408">
        <v>0</v>
      </c>
      <c r="EP428" s="408">
        <v>0</v>
      </c>
      <c r="EQ428" s="408">
        <v>0</v>
      </c>
      <c r="ER428" s="408">
        <v>0</v>
      </c>
      <c r="ES428" s="408">
        <v>0</v>
      </c>
      <c r="ET428" s="408">
        <v>0</v>
      </c>
      <c r="EU428" s="408">
        <v>0</v>
      </c>
      <c r="EV428" s="408">
        <v>242</v>
      </c>
      <c r="EW428" s="408">
        <v>0</v>
      </c>
      <c r="EX428" s="408">
        <v>0</v>
      </c>
      <c r="EY428" s="408">
        <v>0</v>
      </c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427</v>
      </c>
      <c r="B429" s="408" t="s">
        <v>2234</v>
      </c>
      <c r="C429" s="408" t="s">
        <v>2239</v>
      </c>
      <c r="D429" s="408" t="s">
        <v>597</v>
      </c>
      <c r="E429" s="408" t="s">
        <v>2242</v>
      </c>
      <c r="F429" s="408" t="s">
        <v>1322</v>
      </c>
      <c r="G429" s="408" t="s">
        <v>1322</v>
      </c>
      <c r="H429" s="408" t="s">
        <v>1322</v>
      </c>
      <c r="I429" s="408" t="s">
        <v>1322</v>
      </c>
      <c r="J429" s="408" t="s">
        <v>2232</v>
      </c>
      <c r="K429" s="828">
        <v>44621</v>
      </c>
      <c r="L429" s="408">
        <v>128</v>
      </c>
      <c r="M429" s="408">
        <v>128</v>
      </c>
      <c r="N429" s="408">
        <v>0</v>
      </c>
      <c r="O429" s="408">
        <v>0</v>
      </c>
      <c r="P429" s="408">
        <v>0</v>
      </c>
      <c r="Q429" s="408">
        <v>0</v>
      </c>
      <c r="R429" s="408">
        <v>32.17</v>
      </c>
      <c r="S429" s="408"/>
      <c r="T429" s="408"/>
      <c r="U429" s="408">
        <v>4117.76</v>
      </c>
      <c r="V429" s="408"/>
      <c r="W429" s="408">
        <v>4117.76</v>
      </c>
      <c r="X429" s="408">
        <v>1655.04</v>
      </c>
      <c r="Y429" s="408">
        <v>0</v>
      </c>
      <c r="Z429" s="408">
        <v>0</v>
      </c>
      <c r="AA429" s="408">
        <v>0</v>
      </c>
      <c r="AB429" s="408">
        <v>0</v>
      </c>
      <c r="AC429" s="408">
        <v>0</v>
      </c>
      <c r="AD429" s="408">
        <v>12.789276816803252</v>
      </c>
      <c r="AE429" s="408">
        <v>3446.622134847104</v>
      </c>
      <c r="AF429" s="408"/>
      <c r="AG429" s="408"/>
      <c r="AH429" s="408"/>
      <c r="AI429" s="408">
        <v>0</v>
      </c>
      <c r="AJ429" s="408">
        <v>0</v>
      </c>
      <c r="AK429" s="408">
        <v>0</v>
      </c>
      <c r="AL429" s="408">
        <v>0</v>
      </c>
      <c r="AM429" s="408"/>
      <c r="AN429" s="408">
        <v>0</v>
      </c>
      <c r="AO429" s="408">
        <v>225.84590162095745</v>
      </c>
      <c r="AP429" s="408">
        <v>433.00674117704705</v>
      </c>
      <c r="AQ429" s="408">
        <v>0</v>
      </c>
      <c r="AR429" s="408">
        <v>0</v>
      </c>
      <c r="AS429" s="408"/>
      <c r="AT429" s="408"/>
      <c r="AU429" s="408">
        <v>0</v>
      </c>
      <c r="AV429" s="408">
        <v>0</v>
      </c>
      <c r="AW429" s="408">
        <v>0</v>
      </c>
      <c r="AX429" s="408"/>
      <c r="AY429" s="408"/>
      <c r="AZ429" s="408">
        <v>0</v>
      </c>
      <c r="BA429" s="408"/>
      <c r="BB429" s="408">
        <v>0</v>
      </c>
      <c r="BC429" s="408">
        <v>0</v>
      </c>
      <c r="BD429" s="408">
        <v>0</v>
      </c>
      <c r="BE429" s="408">
        <v>0</v>
      </c>
      <c r="BF429" s="408"/>
      <c r="BG429" s="408">
        <v>0</v>
      </c>
      <c r="BH429" s="408">
        <v>0</v>
      </c>
      <c r="BI429" s="408">
        <v>18.649999999999999</v>
      </c>
      <c r="BJ429" s="408">
        <v>84.69</v>
      </c>
      <c r="BK429" s="408">
        <v>4882.9799999999996</v>
      </c>
      <c r="BL429" s="408">
        <v>1</v>
      </c>
      <c r="BM429" s="408"/>
      <c r="BN429" s="408"/>
      <c r="BO429" s="408"/>
      <c r="BP429" s="408"/>
      <c r="BQ429" s="408"/>
      <c r="BR429" s="408"/>
      <c r="BS429" s="408"/>
      <c r="BT429" s="408"/>
      <c r="BU429" s="408"/>
      <c r="BV429" s="408">
        <v>0</v>
      </c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>
        <v>1655.04</v>
      </c>
      <c r="CJ429" s="408">
        <v>-2462.7500000000009</v>
      </c>
      <c r="CK429" s="408"/>
      <c r="CL429" s="408"/>
      <c r="CM429" s="408"/>
      <c r="CN429" s="408"/>
      <c r="CO429" s="408">
        <v>-2462.7200000000003</v>
      </c>
      <c r="CP429" s="408">
        <v>0</v>
      </c>
      <c r="CQ429" s="408">
        <v>31</v>
      </c>
      <c r="CR429" s="408">
        <v>69.212126612467614</v>
      </c>
      <c r="CS429" s="408">
        <v>23.296348980988142</v>
      </c>
      <c r="CT429" s="408">
        <v>44.665305330670094</v>
      </c>
      <c r="CU429" s="408">
        <v>0</v>
      </c>
      <c r="CV429" s="408">
        <v>0</v>
      </c>
      <c r="CW429" s="408"/>
      <c r="CX429" s="408"/>
      <c r="CY429" s="408"/>
      <c r="CZ429" s="408">
        <v>1.2504723008094203</v>
      </c>
      <c r="DA429" s="408">
        <v>0</v>
      </c>
      <c r="DB429" s="408">
        <v>0</v>
      </c>
      <c r="DC429" s="408"/>
      <c r="DD429" s="408"/>
      <c r="DE429" s="408">
        <v>0</v>
      </c>
      <c r="DF429" s="408">
        <v>0</v>
      </c>
      <c r="DG429" s="408">
        <v>0</v>
      </c>
      <c r="DH429" s="408">
        <v>0</v>
      </c>
      <c r="DI429" s="408">
        <v>0</v>
      </c>
      <c r="DJ429" s="408"/>
      <c r="DK429" s="408">
        <v>0</v>
      </c>
      <c r="DL429" s="408">
        <v>0</v>
      </c>
      <c r="DM429" s="408"/>
      <c r="DN429" s="408">
        <v>0</v>
      </c>
      <c r="DO429" s="408">
        <v>0</v>
      </c>
      <c r="DP429" s="408">
        <v>0</v>
      </c>
      <c r="DQ429" s="408">
        <v>0</v>
      </c>
      <c r="DR429" s="408">
        <v>0</v>
      </c>
      <c r="DS429" s="408"/>
      <c r="DT429" s="408"/>
      <c r="DU429" s="408">
        <v>3446.622134847104</v>
      </c>
      <c r="DV429" s="408"/>
      <c r="DW429" s="408">
        <v>0</v>
      </c>
      <c r="DX429" s="408">
        <v>0</v>
      </c>
      <c r="DY429" s="408">
        <v>-2462.7200000000003</v>
      </c>
      <c r="DZ429" s="234"/>
      <c r="EA429" s="408">
        <v>0</v>
      </c>
      <c r="EB429" s="408"/>
      <c r="EC429" s="408">
        <v>-2532.2671194319832</v>
      </c>
      <c r="ED429" s="408"/>
      <c r="EE429" s="408">
        <v>0</v>
      </c>
      <c r="EF429" s="408">
        <v>0</v>
      </c>
      <c r="EG429" s="408"/>
      <c r="EH429" s="408">
        <v>0</v>
      </c>
      <c r="EI429" s="408">
        <v>0</v>
      </c>
      <c r="EJ429" s="408">
        <v>0</v>
      </c>
      <c r="EK429" s="408">
        <v>0</v>
      </c>
      <c r="EL429" s="408">
        <v>0</v>
      </c>
      <c r="EM429" s="408"/>
      <c r="EN429" s="408"/>
      <c r="EO429" s="408">
        <v>0</v>
      </c>
      <c r="EP429" s="408">
        <v>0</v>
      </c>
      <c r="EQ429" s="408"/>
      <c r="ER429" s="408">
        <v>0</v>
      </c>
      <c r="ES429" s="408"/>
      <c r="ET429" s="408">
        <v>0</v>
      </c>
      <c r="EU429" s="408"/>
      <c r="EV429" s="408">
        <v>242</v>
      </c>
      <c r="EW429" s="408"/>
      <c r="EX429" s="408"/>
      <c r="EY429" s="408"/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428</v>
      </c>
      <c r="B430" s="408" t="s">
        <v>1036</v>
      </c>
      <c r="C430" s="408" t="s">
        <v>2231</v>
      </c>
      <c r="D430" s="408" t="s">
        <v>2243</v>
      </c>
      <c r="E430" s="408" t="s">
        <v>2244</v>
      </c>
      <c r="F430" s="408" t="s">
        <v>2245</v>
      </c>
      <c r="G430" s="408" t="s">
        <v>1322</v>
      </c>
      <c r="H430" s="408" t="s">
        <v>1322</v>
      </c>
      <c r="I430" s="408" t="s">
        <v>1322</v>
      </c>
      <c r="J430" s="408" t="s">
        <v>2232</v>
      </c>
      <c r="K430" s="828">
        <v>44621</v>
      </c>
      <c r="L430" s="408">
        <v>0</v>
      </c>
      <c r="M430" s="408">
        <v>0</v>
      </c>
      <c r="N430" s="408">
        <v>74.837999999999994</v>
      </c>
      <c r="O430" s="408">
        <v>74.837999999999994</v>
      </c>
      <c r="P430" s="408">
        <v>74.837999999999994</v>
      </c>
      <c r="Q430" s="408">
        <v>74.837999999999994</v>
      </c>
      <c r="R430" s="408"/>
      <c r="S430" s="408">
        <v>314.52999999999997</v>
      </c>
      <c r="T430" s="408">
        <v>119.22</v>
      </c>
      <c r="U430" s="408"/>
      <c r="V430" s="408">
        <v>32460.982499999995</v>
      </c>
      <c r="W430" s="408">
        <v>32460.982499999995</v>
      </c>
      <c r="X430" s="408">
        <v>21157.450979999994</v>
      </c>
      <c r="Y430" s="408">
        <v>0</v>
      </c>
      <c r="Z430" s="408">
        <v>2494.7875470879958</v>
      </c>
      <c r="AA430" s="408">
        <v>0</v>
      </c>
      <c r="AB430" s="408">
        <v>0</v>
      </c>
      <c r="AC430" s="408">
        <v>0</v>
      </c>
      <c r="AD430" s="408">
        <v>33.830707594084295</v>
      </c>
      <c r="AE430" s="408">
        <v>17550.335552568391</v>
      </c>
      <c r="AF430" s="408">
        <v>8792.030015251612</v>
      </c>
      <c r="AG430" s="408">
        <v>129.96162061664208</v>
      </c>
      <c r="AH430" s="408">
        <v>0</v>
      </c>
      <c r="AI430" s="408">
        <v>0</v>
      </c>
      <c r="AJ430" s="408">
        <v>0</v>
      </c>
      <c r="AK430" s="408">
        <v>0</v>
      </c>
      <c r="AL430" s="408">
        <v>385.82719765702416</v>
      </c>
      <c r="AM430" s="408"/>
      <c r="AN430" s="408">
        <v>78.965933553945575</v>
      </c>
      <c r="AO430" s="408">
        <v>365.57867288104694</v>
      </c>
      <c r="AP430" s="408">
        <v>1145.3886909266264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24.493601199297743</v>
      </c>
      <c r="BE430" s="408">
        <v>0</v>
      </c>
      <c r="BF430" s="408">
        <v>0</v>
      </c>
      <c r="BG430" s="408">
        <v>1459.4929665351217</v>
      </c>
      <c r="BH430" s="408">
        <v>0</v>
      </c>
      <c r="BI430" s="408">
        <v>41.57</v>
      </c>
      <c r="BJ430" s="408">
        <v>188.9</v>
      </c>
      <c r="BK430" s="408">
        <v>8003.64</v>
      </c>
      <c r="BL430" s="408">
        <v>10</v>
      </c>
      <c r="BM430" s="408"/>
      <c r="BN430" s="408"/>
      <c r="BO430" s="408"/>
      <c r="BP430" s="408"/>
      <c r="BQ430" s="408"/>
      <c r="BR430" s="408"/>
      <c r="BS430" s="408"/>
      <c r="BT430" s="408"/>
      <c r="BU430" s="408"/>
      <c r="BV430" s="408">
        <v>10276.016582986031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21158.0164</v>
      </c>
      <c r="CJ430" s="408">
        <v>-11302.996099999989</v>
      </c>
      <c r="CK430" s="408"/>
      <c r="CL430" s="408"/>
      <c r="CM430" s="408"/>
      <c r="CN430" s="408"/>
      <c r="CO430" s="408">
        <v>-12646.873619999997</v>
      </c>
      <c r="CP430" s="408">
        <v>1343.3420999999989</v>
      </c>
      <c r="CQ430" s="408">
        <v>31</v>
      </c>
      <c r="CR430" s="408">
        <v>1590.8813739173911</v>
      </c>
      <c r="CS430" s="408">
        <v>37.709997313730071</v>
      </c>
      <c r="CT430" s="408">
        <v>118.14858924244299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3.3077994455168636</v>
      </c>
      <c r="DA430" s="408">
        <v>0</v>
      </c>
      <c r="DB430" s="408">
        <v>0</v>
      </c>
      <c r="DC430" s="408">
        <v>1343.252776196643</v>
      </c>
      <c r="DD430" s="408">
        <v>0</v>
      </c>
      <c r="DE430" s="408">
        <v>0</v>
      </c>
      <c r="DF430" s="408">
        <v>3.7421503057811059</v>
      </c>
      <c r="DG430" s="408">
        <v>222.98240289636919</v>
      </c>
      <c r="DH430" s="408">
        <v>0</v>
      </c>
      <c r="DI430" s="408">
        <v>-119.19395263855722</v>
      </c>
      <c r="DJ430" s="408"/>
      <c r="DK430" s="408">
        <v>0</v>
      </c>
      <c r="DL430" s="408">
        <v>0</v>
      </c>
      <c r="DM430" s="408">
        <v>0</v>
      </c>
      <c r="DN430" s="408">
        <v>0</v>
      </c>
      <c r="DO430" s="408">
        <v>-15.633953062939838</v>
      </c>
      <c r="DP430" s="408">
        <v>-3.4344357815945443</v>
      </c>
      <c r="DQ430" s="408">
        <v>0</v>
      </c>
      <c r="DR430" s="408">
        <v>0</v>
      </c>
      <c r="DS430" s="408"/>
      <c r="DT430" s="408"/>
      <c r="DU430" s="408"/>
      <c r="DV430" s="408">
        <v>17550.335552568391</v>
      </c>
      <c r="DW430" s="408">
        <v>0</v>
      </c>
      <c r="DX430" s="408">
        <v>0</v>
      </c>
      <c r="DY430" s="408">
        <v>-12646.873619999997</v>
      </c>
      <c r="DZ430" s="234">
        <v>1343.342099999998</v>
      </c>
      <c r="EA430" s="408">
        <v>0</v>
      </c>
      <c r="EB430" s="408">
        <v>0</v>
      </c>
      <c r="EC430" s="408">
        <v>-12894.40382960303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0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242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429</v>
      </c>
      <c r="B431" s="408" t="s">
        <v>1036</v>
      </c>
      <c r="C431" s="408" t="s">
        <v>2231</v>
      </c>
      <c r="D431" s="408" t="s">
        <v>1955</v>
      </c>
      <c r="E431" s="408" t="s">
        <v>1001</v>
      </c>
      <c r="F431" s="408" t="s">
        <v>2246</v>
      </c>
      <c r="G431" s="408" t="s">
        <v>1322</v>
      </c>
      <c r="H431" s="408" t="s">
        <v>1322</v>
      </c>
      <c r="I431" s="408" t="s">
        <v>1322</v>
      </c>
      <c r="J431" s="408" t="s">
        <v>2232</v>
      </c>
      <c r="K431" s="828">
        <v>44621</v>
      </c>
      <c r="L431" s="408">
        <v>0</v>
      </c>
      <c r="M431" s="408">
        <v>0</v>
      </c>
      <c r="N431" s="408">
        <v>156.197</v>
      </c>
      <c r="O431" s="408">
        <v>146.82517999999999</v>
      </c>
      <c r="P431" s="408">
        <v>156.197</v>
      </c>
      <c r="Q431" s="408">
        <v>146.82517999999999</v>
      </c>
      <c r="R431" s="408"/>
      <c r="S431" s="408">
        <v>571.87</v>
      </c>
      <c r="T431" s="408">
        <v>216.76</v>
      </c>
      <c r="U431" s="408"/>
      <c r="V431" s="408">
        <v>123181.64011000001</v>
      </c>
      <c r="W431" s="408">
        <v>123181.64011000001</v>
      </c>
      <c r="X431" s="408">
        <v>80286.819970000011</v>
      </c>
      <c r="Y431" s="408">
        <v>0</v>
      </c>
      <c r="Z431" s="408">
        <v>9467.1965504278069</v>
      </c>
      <c r="AA431" s="408">
        <v>0</v>
      </c>
      <c r="AB431" s="408">
        <v>0</v>
      </c>
      <c r="AC431" s="408">
        <v>0</v>
      </c>
      <c r="AD431" s="408">
        <v>128.38045412207168</v>
      </c>
      <c r="AE431" s="408">
        <v>66599.849913498678</v>
      </c>
      <c r="AF431" s="408">
        <v>33363.913624149471</v>
      </c>
      <c r="AG431" s="408">
        <v>493.1771476196493</v>
      </c>
      <c r="AH431" s="408">
        <v>0</v>
      </c>
      <c r="AI431" s="408">
        <v>0</v>
      </c>
      <c r="AJ431" s="408">
        <v>0</v>
      </c>
      <c r="AK431" s="408">
        <v>0</v>
      </c>
      <c r="AL431" s="408">
        <v>1464.1334565676223</v>
      </c>
      <c r="AM431" s="408"/>
      <c r="AN431" s="408">
        <v>299.65918926276282</v>
      </c>
      <c r="AO431" s="408">
        <v>1387.2945433166162</v>
      </c>
      <c r="AP431" s="408">
        <v>4346.5103376424377</v>
      </c>
      <c r="AQ431" s="408">
        <v>0</v>
      </c>
      <c r="AR431" s="408">
        <v>0</v>
      </c>
      <c r="AS431" s="408">
        <v>0</v>
      </c>
      <c r="AT431" s="408">
        <v>0</v>
      </c>
      <c r="AU431" s="408">
        <v>0</v>
      </c>
      <c r="AV431" s="408">
        <v>0</v>
      </c>
      <c r="AW431" s="408">
        <v>0</v>
      </c>
      <c r="AX431" s="408">
        <v>0</v>
      </c>
      <c r="AY431" s="408">
        <v>0</v>
      </c>
      <c r="AZ431" s="408">
        <v>0</v>
      </c>
      <c r="BA431" s="408"/>
      <c r="BB431" s="408">
        <v>0</v>
      </c>
      <c r="BC431" s="408">
        <v>0</v>
      </c>
      <c r="BD431" s="408">
        <v>92.948089729007478</v>
      </c>
      <c r="BE431" s="408">
        <v>0</v>
      </c>
      <c r="BF431" s="408">
        <v>0</v>
      </c>
      <c r="BG431" s="408">
        <v>5538.4703175558843</v>
      </c>
      <c r="BH431" s="408">
        <v>0</v>
      </c>
      <c r="BI431" s="408">
        <v>132.9</v>
      </c>
      <c r="BJ431" s="408">
        <v>605.99</v>
      </c>
      <c r="BK431" s="408">
        <v>34160.769999999997</v>
      </c>
      <c r="BL431" s="408">
        <v>94</v>
      </c>
      <c r="BM431" s="408"/>
      <c r="BN431" s="408"/>
      <c r="BO431" s="408"/>
      <c r="BP431" s="408"/>
      <c r="BQ431" s="408">
        <v>4817.2091982000074</v>
      </c>
      <c r="BR431" s="408"/>
      <c r="BS431" s="408"/>
      <c r="BT431" s="408"/>
      <c r="BU431" s="408"/>
      <c r="BV431" s="408">
        <v>38995.332031434358</v>
      </c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>
        <v>75472.088300000003</v>
      </c>
      <c r="CJ431" s="408">
        <v>-40318.683403399977</v>
      </c>
      <c r="CK431" s="408"/>
      <c r="CL431" s="408"/>
      <c r="CM431" s="408"/>
      <c r="CN431" s="408"/>
      <c r="CO431" s="408">
        <v>-47991.528250000003</v>
      </c>
      <c r="CP431" s="408">
        <v>5096.7081099999996</v>
      </c>
      <c r="CQ431" s="408">
        <v>31</v>
      </c>
      <c r="CR431" s="408">
        <v>6037.0618223065321</v>
      </c>
      <c r="CS431" s="408">
        <v>143.10154662343734</v>
      </c>
      <c r="CT431" s="408">
        <v>448.34916617229828</v>
      </c>
      <c r="CU431" s="408">
        <v>0</v>
      </c>
      <c r="CV431" s="408">
        <v>0</v>
      </c>
      <c r="CW431" s="408">
        <v>0</v>
      </c>
      <c r="CX431" s="408">
        <v>0</v>
      </c>
      <c r="CY431" s="408">
        <v>0</v>
      </c>
      <c r="CZ431" s="408">
        <v>12.552406531232322</v>
      </c>
      <c r="DA431" s="408">
        <v>0</v>
      </c>
      <c r="DB431" s="408">
        <v>0</v>
      </c>
      <c r="DC431" s="408">
        <v>5097.3631257720117</v>
      </c>
      <c r="DD431" s="408">
        <v>0</v>
      </c>
      <c r="DE431" s="408">
        <v>0</v>
      </c>
      <c r="DF431" s="408">
        <v>14.200677130774551</v>
      </c>
      <c r="DG431" s="408">
        <v>846.1715459381312</v>
      </c>
      <c r="DH431" s="408">
        <v>0</v>
      </c>
      <c r="DI431" s="408">
        <v>-452.31610145271225</v>
      </c>
      <c r="DJ431" s="408"/>
      <c r="DK431" s="408">
        <v>0</v>
      </c>
      <c r="DL431" s="408">
        <v>0</v>
      </c>
      <c r="DM431" s="408">
        <v>0</v>
      </c>
      <c r="DN431" s="408">
        <v>0</v>
      </c>
      <c r="DO431" s="408">
        <v>-59.327579488593983</v>
      </c>
      <c r="DP431" s="408">
        <v>-13.032964920051768</v>
      </c>
      <c r="DQ431" s="408">
        <v>0</v>
      </c>
      <c r="DR431" s="408">
        <v>0</v>
      </c>
      <c r="DS431" s="408"/>
      <c r="DT431" s="408"/>
      <c r="DU431" s="408"/>
      <c r="DV431" s="408">
        <v>66599.849913498678</v>
      </c>
      <c r="DW431" s="408">
        <v>0</v>
      </c>
      <c r="DX431" s="408">
        <v>0</v>
      </c>
      <c r="DY431" s="408">
        <v>-47991.528249999996</v>
      </c>
      <c r="DZ431" s="234">
        <v>5096.7081099999996</v>
      </c>
      <c r="EA431" s="408">
        <v>0</v>
      </c>
      <c r="EB431" s="408">
        <v>0</v>
      </c>
      <c r="EC431" s="408">
        <v>-48931.563570585415</v>
      </c>
      <c r="ED431" s="408">
        <v>0</v>
      </c>
      <c r="EE431" s="408">
        <v>0</v>
      </c>
      <c r="EF431" s="408">
        <v>0</v>
      </c>
      <c r="EG431" s="408">
        <v>0</v>
      </c>
      <c r="EH431" s="408">
        <v>0</v>
      </c>
      <c r="EI431" s="408">
        <v>0</v>
      </c>
      <c r="EJ431" s="408">
        <v>0</v>
      </c>
      <c r="EK431" s="408">
        <v>0</v>
      </c>
      <c r="EL431" s="408">
        <v>0</v>
      </c>
      <c r="EM431" s="408">
        <v>0</v>
      </c>
      <c r="EN431" s="408">
        <v>0</v>
      </c>
      <c r="EO431" s="408">
        <v>0</v>
      </c>
      <c r="EP431" s="408">
        <v>0</v>
      </c>
      <c r="EQ431" s="408">
        <v>0</v>
      </c>
      <c r="ER431" s="408">
        <v>0</v>
      </c>
      <c r="ES431" s="408">
        <v>0</v>
      </c>
      <c r="ET431" s="408">
        <v>0</v>
      </c>
      <c r="EU431" s="408">
        <v>0</v>
      </c>
      <c r="EV431" s="408">
        <v>242</v>
      </c>
      <c r="EW431" s="408">
        <v>0</v>
      </c>
      <c r="EX431" s="408">
        <v>0</v>
      </c>
      <c r="EY431" s="408">
        <v>0</v>
      </c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430</v>
      </c>
      <c r="B432" s="408" t="s">
        <v>1036</v>
      </c>
      <c r="C432" s="408" t="s">
        <v>2239</v>
      </c>
      <c r="D432" s="408" t="s">
        <v>597</v>
      </c>
      <c r="E432" s="408" t="s">
        <v>1001</v>
      </c>
      <c r="F432" s="408" t="s">
        <v>2246</v>
      </c>
      <c r="G432" s="408" t="s">
        <v>1322</v>
      </c>
      <c r="H432" s="408" t="s">
        <v>1322</v>
      </c>
      <c r="I432" s="408" t="s">
        <v>973</v>
      </c>
      <c r="J432" s="408" t="s">
        <v>2232</v>
      </c>
      <c r="K432" s="828">
        <v>44621</v>
      </c>
      <c r="L432" s="408">
        <v>0</v>
      </c>
      <c r="M432" s="408">
        <v>0</v>
      </c>
      <c r="N432" s="408">
        <v>8.9700000000000006</v>
      </c>
      <c r="O432" s="408">
        <v>8.4318000000000008</v>
      </c>
      <c r="P432" s="408">
        <v>8.9700000000000006</v>
      </c>
      <c r="Q432" s="408">
        <v>8.4318000000000008</v>
      </c>
      <c r="R432" s="408"/>
      <c r="S432" s="408">
        <v>2592.54</v>
      </c>
      <c r="T432" s="408">
        <v>216.76</v>
      </c>
      <c r="U432" s="408"/>
      <c r="V432" s="408">
        <v>25199.421000000002</v>
      </c>
      <c r="W432" s="408">
        <v>25199.421000000002</v>
      </c>
      <c r="X432" s="408">
        <v>10595.364</v>
      </c>
      <c r="Y432" s="408">
        <v>0</v>
      </c>
      <c r="Z432" s="408">
        <v>472.99919434997844</v>
      </c>
      <c r="AA432" s="408">
        <v>0</v>
      </c>
      <c r="AB432" s="408">
        <v>0</v>
      </c>
      <c r="AC432" s="408">
        <v>0</v>
      </c>
      <c r="AD432" s="408">
        <v>45.358017807388393</v>
      </c>
      <c r="AE432" s="408">
        <v>20549.296794592054</v>
      </c>
      <c r="AF432" s="408">
        <v>1916.0054623880151</v>
      </c>
      <c r="AG432" s="408">
        <v>28.321920485977671</v>
      </c>
      <c r="AH432" s="408">
        <v>0</v>
      </c>
      <c r="AI432" s="408">
        <v>0</v>
      </c>
      <c r="AJ432" s="408">
        <v>0</v>
      </c>
      <c r="AK432" s="408">
        <v>0</v>
      </c>
      <c r="AL432" s="408">
        <v>84.081493917370835</v>
      </c>
      <c r="AM432" s="408"/>
      <c r="AN432" s="408">
        <v>12.317803102618006</v>
      </c>
      <c r="AO432" s="408">
        <v>404.68039772126849</v>
      </c>
      <c r="AP432" s="408">
        <v>1535.6707160575631</v>
      </c>
      <c r="AQ432" s="408">
        <v>0</v>
      </c>
      <c r="AR432" s="408">
        <v>0</v>
      </c>
      <c r="AS432" s="408">
        <v>0</v>
      </c>
      <c r="AT432" s="408">
        <v>0</v>
      </c>
      <c r="AU432" s="408">
        <v>0</v>
      </c>
      <c r="AV432" s="408">
        <v>0</v>
      </c>
      <c r="AW432" s="408">
        <v>0</v>
      </c>
      <c r="AX432" s="408">
        <v>0</v>
      </c>
      <c r="AY432" s="408">
        <v>0</v>
      </c>
      <c r="AZ432" s="408">
        <v>0</v>
      </c>
      <c r="BA432" s="408"/>
      <c r="BB432" s="408">
        <v>0</v>
      </c>
      <c r="BC432" s="408">
        <v>0</v>
      </c>
      <c r="BD432" s="408">
        <v>4.1019693251409555</v>
      </c>
      <c r="BE432" s="408">
        <v>0</v>
      </c>
      <c r="BF432" s="408">
        <v>0</v>
      </c>
      <c r="BG432" s="408">
        <v>146.53532673868335</v>
      </c>
      <c r="BH432" s="408">
        <v>0</v>
      </c>
      <c r="BI432" s="408">
        <v>0</v>
      </c>
      <c r="BJ432" s="408">
        <v>0</v>
      </c>
      <c r="BK432" s="408">
        <v>0</v>
      </c>
      <c r="BL432" s="408">
        <v>0</v>
      </c>
      <c r="BM432" s="408"/>
      <c r="BN432" s="408"/>
      <c r="BO432" s="408"/>
      <c r="BP432" s="408"/>
      <c r="BQ432" s="408">
        <v>635.7218399999997</v>
      </c>
      <c r="BR432" s="408"/>
      <c r="BS432" s="408"/>
      <c r="BT432" s="408"/>
      <c r="BU432" s="408"/>
      <c r="BV432" s="408">
        <v>2066.6427584518397</v>
      </c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>
        <v>9957.5159999999996</v>
      </c>
      <c r="CJ432" s="408">
        <v>-13729.969739999997</v>
      </c>
      <c r="CK432" s="408"/>
      <c r="CL432" s="408"/>
      <c r="CM432" s="408"/>
      <c r="CN432" s="408"/>
      <c r="CO432" s="408">
        <v>-14896.748100000001</v>
      </c>
      <c r="CP432" s="408">
        <v>292.69110000000001</v>
      </c>
      <c r="CQ432" s="408">
        <v>31</v>
      </c>
      <c r="CR432" s="408">
        <v>493.78690790327255</v>
      </c>
      <c r="CS432" s="408">
        <v>41.743399828888528</v>
      </c>
      <c r="CT432" s="408">
        <v>158.40677499298181</v>
      </c>
      <c r="CU432" s="408">
        <v>0</v>
      </c>
      <c r="CV432" s="408">
        <v>0</v>
      </c>
      <c r="CW432" s="408">
        <v>0</v>
      </c>
      <c r="CX432" s="408">
        <v>0</v>
      </c>
      <c r="CY432" s="408">
        <v>0</v>
      </c>
      <c r="CZ432" s="408">
        <v>4.434882886672483</v>
      </c>
      <c r="DA432" s="408">
        <v>0</v>
      </c>
      <c r="DB432" s="408">
        <v>0</v>
      </c>
      <c r="DC432" s="408">
        <v>292.72871590475461</v>
      </c>
      <c r="DD432" s="408">
        <v>0</v>
      </c>
      <c r="DE432" s="408">
        <v>0</v>
      </c>
      <c r="DF432" s="408">
        <v>0.62670187366410435</v>
      </c>
      <c r="DG432" s="408">
        <v>22.387774394670686</v>
      </c>
      <c r="DH432" s="408">
        <v>0</v>
      </c>
      <c r="DI432" s="408">
        <v>-22.598575031061671</v>
      </c>
      <c r="DJ432" s="408"/>
      <c r="DK432" s="408">
        <v>0</v>
      </c>
      <c r="DL432" s="408">
        <v>0</v>
      </c>
      <c r="DM432" s="408">
        <v>0</v>
      </c>
      <c r="DN432" s="408">
        <v>0</v>
      </c>
      <c r="DO432" s="408">
        <v>-3.4070333489931812</v>
      </c>
      <c r="DP432" s="408">
        <v>-0.53573359830375367</v>
      </c>
      <c r="DQ432" s="408">
        <v>0</v>
      </c>
      <c r="DR432" s="408">
        <v>0</v>
      </c>
      <c r="DS432" s="408"/>
      <c r="DT432" s="408"/>
      <c r="DU432" s="408"/>
      <c r="DV432" s="408">
        <v>20549.296794592054</v>
      </c>
      <c r="DW432" s="408">
        <v>0</v>
      </c>
      <c r="DX432" s="408">
        <v>0</v>
      </c>
      <c r="DY432" s="408">
        <v>-14896.748100000001</v>
      </c>
      <c r="DZ432" s="234">
        <v>292.69109999999978</v>
      </c>
      <c r="EA432" s="408">
        <v>0</v>
      </c>
      <c r="EB432" s="408">
        <v>0</v>
      </c>
      <c r="EC432" s="408">
        <v>-15097.7700961997</v>
      </c>
      <c r="ED432" s="408">
        <v>0</v>
      </c>
      <c r="EE432" s="408">
        <v>0</v>
      </c>
      <c r="EF432" s="408">
        <v>0</v>
      </c>
      <c r="EG432" s="408">
        <v>0</v>
      </c>
      <c r="EH432" s="408">
        <v>0</v>
      </c>
      <c r="EI432" s="408">
        <v>0</v>
      </c>
      <c r="EJ432" s="408">
        <v>0</v>
      </c>
      <c r="EK432" s="408">
        <v>0</v>
      </c>
      <c r="EL432" s="408">
        <v>0</v>
      </c>
      <c r="EM432" s="408">
        <v>0</v>
      </c>
      <c r="EN432" s="408">
        <v>0</v>
      </c>
      <c r="EO432" s="408">
        <v>0</v>
      </c>
      <c r="EP432" s="408">
        <v>0</v>
      </c>
      <c r="EQ432" s="408">
        <v>0</v>
      </c>
      <c r="ER432" s="408">
        <v>0</v>
      </c>
      <c r="ES432" s="408">
        <v>0</v>
      </c>
      <c r="ET432" s="408">
        <v>0</v>
      </c>
      <c r="EU432" s="408">
        <v>0</v>
      </c>
      <c r="EV432" s="408">
        <v>242</v>
      </c>
      <c r="EW432" s="408">
        <v>0</v>
      </c>
      <c r="EX432" s="408">
        <v>0</v>
      </c>
      <c r="EY432" s="408">
        <v>0</v>
      </c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431</v>
      </c>
      <c r="B433" s="408" t="s">
        <v>1036</v>
      </c>
      <c r="C433" s="408" t="s">
        <v>2239</v>
      </c>
      <c r="D433" s="408" t="s">
        <v>597</v>
      </c>
      <c r="E433" s="408" t="s">
        <v>1001</v>
      </c>
      <c r="F433" s="408" t="s">
        <v>2246</v>
      </c>
      <c r="G433" s="408" t="s">
        <v>1322</v>
      </c>
      <c r="H433" s="408" t="s">
        <v>1322</v>
      </c>
      <c r="I433" s="408" t="s">
        <v>2240</v>
      </c>
      <c r="J433" s="408" t="s">
        <v>2232</v>
      </c>
      <c r="K433" s="828">
        <v>44621</v>
      </c>
      <c r="L433" s="408">
        <v>0</v>
      </c>
      <c r="M433" s="408">
        <v>0</v>
      </c>
      <c r="N433" s="408">
        <v>114.496</v>
      </c>
      <c r="O433" s="408">
        <v>107.62624</v>
      </c>
      <c r="P433" s="408">
        <v>114.496</v>
      </c>
      <c r="Q433" s="408">
        <v>107.62624</v>
      </c>
      <c r="R433" s="408"/>
      <c r="S433" s="408">
        <v>80.27</v>
      </c>
      <c r="T433" s="408">
        <v>216.76</v>
      </c>
      <c r="U433" s="408"/>
      <c r="V433" s="408">
        <v>34008.746879999999</v>
      </c>
      <c r="W433" s="408">
        <v>34008.746879999999</v>
      </c>
      <c r="X433" s="408">
        <v>37700.097919999993</v>
      </c>
      <c r="Y433" s="408">
        <v>0</v>
      </c>
      <c r="Z433" s="408">
        <v>6037.5156918946623</v>
      </c>
      <c r="AA433" s="408">
        <v>0</v>
      </c>
      <c r="AB433" s="408">
        <v>0</v>
      </c>
      <c r="AC433" s="408">
        <v>0</v>
      </c>
      <c r="AD433" s="408">
        <v>0</v>
      </c>
      <c r="AE433" s="408">
        <v>0</v>
      </c>
      <c r="AF433" s="408">
        <v>24456.517438303028</v>
      </c>
      <c r="AG433" s="408">
        <v>361.51021270484938</v>
      </c>
      <c r="AH433" s="408">
        <v>0</v>
      </c>
      <c r="AI433" s="408">
        <v>0</v>
      </c>
      <c r="AJ433" s="408">
        <v>0</v>
      </c>
      <c r="AK433" s="408">
        <v>0</v>
      </c>
      <c r="AL433" s="408">
        <v>1073.2435593716043</v>
      </c>
      <c r="AM433" s="408"/>
      <c r="AN433" s="408">
        <v>157.22844861063001</v>
      </c>
      <c r="AO433" s="408">
        <v>0</v>
      </c>
      <c r="AP433" s="408">
        <v>0</v>
      </c>
      <c r="AQ433" s="408">
        <v>0</v>
      </c>
      <c r="AR433" s="408">
        <v>0</v>
      </c>
      <c r="AS433" s="408">
        <v>0</v>
      </c>
      <c r="AT433" s="408">
        <v>0</v>
      </c>
      <c r="AU433" s="408">
        <v>0</v>
      </c>
      <c r="AV433" s="408">
        <v>0</v>
      </c>
      <c r="AW433" s="408">
        <v>0</v>
      </c>
      <c r="AX433" s="408">
        <v>0</v>
      </c>
      <c r="AY433" s="408">
        <v>0</v>
      </c>
      <c r="AZ433" s="408">
        <v>0</v>
      </c>
      <c r="BA433" s="408"/>
      <c r="BB433" s="408">
        <v>0</v>
      </c>
      <c r="BC433" s="408">
        <v>0</v>
      </c>
      <c r="BD433" s="408">
        <v>52.358871778298642</v>
      </c>
      <c r="BE433" s="408">
        <v>0</v>
      </c>
      <c r="BF433" s="408">
        <v>0</v>
      </c>
      <c r="BG433" s="408">
        <v>1870.424612070489</v>
      </c>
      <c r="BH433" s="408">
        <v>0</v>
      </c>
      <c r="BI433" s="408">
        <v>0</v>
      </c>
      <c r="BJ433" s="408">
        <v>0</v>
      </c>
      <c r="BK433" s="408">
        <v>0</v>
      </c>
      <c r="BL433" s="408">
        <v>0</v>
      </c>
      <c r="BM433" s="408"/>
      <c r="BN433" s="408"/>
      <c r="BO433" s="408"/>
      <c r="BP433" s="408"/>
      <c r="BQ433" s="408">
        <v>2262.0058751999995</v>
      </c>
      <c r="BR433" s="408"/>
      <c r="BS433" s="408"/>
      <c r="BT433" s="408"/>
      <c r="BU433" s="408"/>
      <c r="BV433" s="408">
        <v>26379.300922151815</v>
      </c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>
        <v>35439.330099999999</v>
      </c>
      <c r="CJ433" s="408">
        <v>3471.0780328000037</v>
      </c>
      <c r="CK433" s="408"/>
      <c r="CL433" s="408"/>
      <c r="CM433" s="408"/>
      <c r="CN433" s="408"/>
      <c r="CO433" s="408">
        <v>-44.65344000000006</v>
      </c>
      <c r="CP433" s="408">
        <v>3736.0044799999991</v>
      </c>
      <c r="CQ433" s="408">
        <v>31</v>
      </c>
      <c r="CR433" s="408">
        <v>3691.4665596316481</v>
      </c>
      <c r="CS433" s="408">
        <v>0</v>
      </c>
      <c r="CT433" s="408">
        <v>0</v>
      </c>
      <c r="CU433" s="408">
        <v>0</v>
      </c>
      <c r="CV433" s="408">
        <v>0</v>
      </c>
      <c r="CW433" s="408">
        <v>0</v>
      </c>
      <c r="CX433" s="408">
        <v>0</v>
      </c>
      <c r="CY433" s="408">
        <v>0</v>
      </c>
      <c r="CZ433" s="408">
        <v>0</v>
      </c>
      <c r="DA433" s="408">
        <v>0</v>
      </c>
      <c r="DB433" s="408">
        <v>0</v>
      </c>
      <c r="DC433" s="408">
        <v>3736.4846216533733</v>
      </c>
      <c r="DD433" s="408">
        <v>0</v>
      </c>
      <c r="DE433" s="408">
        <v>0</v>
      </c>
      <c r="DF433" s="408">
        <v>7.9994267254230991</v>
      </c>
      <c r="DG433" s="408">
        <v>285.76484025554214</v>
      </c>
      <c r="DH433" s="408">
        <v>0</v>
      </c>
      <c r="DI433" s="408">
        <v>-288.45556820027105</v>
      </c>
      <c r="DJ433" s="408"/>
      <c r="DK433" s="408">
        <v>0</v>
      </c>
      <c r="DL433" s="408">
        <v>0</v>
      </c>
      <c r="DM433" s="408">
        <v>0</v>
      </c>
      <c r="DN433" s="408">
        <v>0</v>
      </c>
      <c r="DO433" s="408">
        <v>-43.488482756557687</v>
      </c>
      <c r="DP433" s="408">
        <v>-6.8382780458625234</v>
      </c>
      <c r="DQ433" s="408">
        <v>0</v>
      </c>
      <c r="DR433" s="408">
        <v>0</v>
      </c>
      <c r="DS433" s="408"/>
      <c r="DT433" s="408"/>
      <c r="DU433" s="408"/>
      <c r="DV433" s="408">
        <v>0</v>
      </c>
      <c r="DW433" s="408">
        <v>0</v>
      </c>
      <c r="DX433" s="408">
        <v>0</v>
      </c>
      <c r="DY433" s="408">
        <v>-44.653440000000046</v>
      </c>
      <c r="DZ433" s="234">
        <v>3736.004479999996</v>
      </c>
      <c r="EA433" s="408">
        <v>0</v>
      </c>
      <c r="EB433" s="408">
        <v>0</v>
      </c>
      <c r="EC433" s="408">
        <v>0</v>
      </c>
      <c r="ED433" s="408">
        <v>0</v>
      </c>
      <c r="EE433" s="408">
        <v>0</v>
      </c>
      <c r="EF433" s="408">
        <v>0</v>
      </c>
      <c r="EG433" s="408">
        <v>0</v>
      </c>
      <c r="EH433" s="408">
        <v>0</v>
      </c>
      <c r="EI433" s="408">
        <v>0</v>
      </c>
      <c r="EJ433" s="408">
        <v>0</v>
      </c>
      <c r="EK433" s="408">
        <v>0</v>
      </c>
      <c r="EL433" s="408">
        <v>0</v>
      </c>
      <c r="EM433" s="408">
        <v>0</v>
      </c>
      <c r="EN433" s="408">
        <v>0</v>
      </c>
      <c r="EO433" s="408">
        <v>0</v>
      </c>
      <c r="EP433" s="408">
        <v>0</v>
      </c>
      <c r="EQ433" s="408">
        <v>0</v>
      </c>
      <c r="ER433" s="408">
        <v>0</v>
      </c>
      <c r="ES433" s="408">
        <v>0</v>
      </c>
      <c r="ET433" s="408">
        <v>0</v>
      </c>
      <c r="EU433" s="408">
        <v>0</v>
      </c>
      <c r="EV433" s="408">
        <v>242</v>
      </c>
      <c r="EW433" s="408">
        <v>0</v>
      </c>
      <c r="EX433" s="408">
        <v>0</v>
      </c>
      <c r="EY433" s="408">
        <v>0</v>
      </c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432</v>
      </c>
      <c r="B434" s="408" t="s">
        <v>1036</v>
      </c>
      <c r="C434" s="408" t="s">
        <v>2239</v>
      </c>
      <c r="D434" s="408" t="s">
        <v>597</v>
      </c>
      <c r="E434" s="408" t="s">
        <v>1001</v>
      </c>
      <c r="F434" s="408" t="s">
        <v>2246</v>
      </c>
      <c r="G434" s="408" t="s">
        <v>1322</v>
      </c>
      <c r="H434" s="408" t="s">
        <v>1322</v>
      </c>
      <c r="I434" s="408" t="s">
        <v>1322</v>
      </c>
      <c r="J434" s="408" t="s">
        <v>2232</v>
      </c>
      <c r="K434" s="828">
        <v>44621</v>
      </c>
      <c r="L434" s="408">
        <v>399</v>
      </c>
      <c r="M434" s="408">
        <v>375.06</v>
      </c>
      <c r="N434" s="408">
        <v>0</v>
      </c>
      <c r="O434" s="408">
        <v>0</v>
      </c>
      <c r="P434" s="408">
        <v>0</v>
      </c>
      <c r="Q434" s="408">
        <v>0</v>
      </c>
      <c r="R434" s="408">
        <v>32.17</v>
      </c>
      <c r="S434" s="408"/>
      <c r="T434" s="408"/>
      <c r="U434" s="408">
        <v>12835.83</v>
      </c>
      <c r="V434" s="408"/>
      <c r="W434" s="408">
        <v>12835.83</v>
      </c>
      <c r="X434" s="408">
        <v>5159.07</v>
      </c>
      <c r="Y434" s="408">
        <v>0</v>
      </c>
      <c r="Z434" s="408">
        <v>0</v>
      </c>
      <c r="AA434" s="408">
        <v>0</v>
      </c>
      <c r="AB434" s="408">
        <v>0</v>
      </c>
      <c r="AC434" s="408">
        <v>0</v>
      </c>
      <c r="AD434" s="408">
        <v>39.866573827378886</v>
      </c>
      <c r="AE434" s="408">
        <v>10743.767435968706</v>
      </c>
      <c r="AF434" s="408"/>
      <c r="AG434" s="408"/>
      <c r="AH434" s="408"/>
      <c r="AI434" s="408">
        <v>0</v>
      </c>
      <c r="AJ434" s="408">
        <v>0</v>
      </c>
      <c r="AK434" s="408">
        <v>0</v>
      </c>
      <c r="AL434" s="408">
        <v>0</v>
      </c>
      <c r="AM434" s="408"/>
      <c r="AN434" s="408">
        <v>0</v>
      </c>
      <c r="AO434" s="408">
        <v>704.00402145907833</v>
      </c>
      <c r="AP434" s="408">
        <v>1349.7632010128264</v>
      </c>
      <c r="AQ434" s="408">
        <v>0</v>
      </c>
      <c r="AR434" s="408">
        <v>0</v>
      </c>
      <c r="AS434" s="408"/>
      <c r="AT434" s="408"/>
      <c r="AU434" s="408">
        <v>0</v>
      </c>
      <c r="AV434" s="408">
        <v>0</v>
      </c>
      <c r="AW434" s="408">
        <v>0</v>
      </c>
      <c r="AX434" s="408"/>
      <c r="AY434" s="408"/>
      <c r="AZ434" s="408">
        <v>0</v>
      </c>
      <c r="BA434" s="408"/>
      <c r="BB434" s="408">
        <v>0</v>
      </c>
      <c r="BC434" s="408">
        <v>0</v>
      </c>
      <c r="BD434" s="408">
        <v>0</v>
      </c>
      <c r="BE434" s="408">
        <v>0</v>
      </c>
      <c r="BF434" s="408"/>
      <c r="BG434" s="408">
        <v>0</v>
      </c>
      <c r="BH434" s="408">
        <v>0</v>
      </c>
      <c r="BI434" s="408">
        <v>88.75</v>
      </c>
      <c r="BJ434" s="408">
        <v>402.79</v>
      </c>
      <c r="BK434" s="408">
        <v>23725.279999999999</v>
      </c>
      <c r="BL434" s="408">
        <v>2</v>
      </c>
      <c r="BM434" s="408"/>
      <c r="BN434" s="408"/>
      <c r="BO434" s="408"/>
      <c r="BP434" s="408"/>
      <c r="BQ434" s="408">
        <v>309.54419999999999</v>
      </c>
      <c r="BR434" s="408"/>
      <c r="BS434" s="408"/>
      <c r="BT434" s="408"/>
      <c r="BU434" s="408"/>
      <c r="BV434" s="408">
        <v>0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4849.5258000000003</v>
      </c>
      <c r="CJ434" s="408">
        <v>-7216.184400000001</v>
      </c>
      <c r="CK434" s="408"/>
      <c r="CL434" s="408"/>
      <c r="CM434" s="408"/>
      <c r="CN434" s="408"/>
      <c r="CO434" s="408">
        <v>-7676.7600000000011</v>
      </c>
      <c r="CP434" s="408">
        <v>0</v>
      </c>
      <c r="CQ434" s="408">
        <v>31</v>
      </c>
      <c r="CR434" s="408">
        <v>215.74717592480101</v>
      </c>
      <c r="CS434" s="408">
        <v>72.619087839173972</v>
      </c>
      <c r="CT434" s="408">
        <v>139.23013146044809</v>
      </c>
      <c r="CU434" s="408">
        <v>0</v>
      </c>
      <c r="CV434" s="408">
        <v>0</v>
      </c>
      <c r="CW434" s="408"/>
      <c r="CX434" s="408"/>
      <c r="CY434" s="408"/>
      <c r="CZ434" s="408">
        <v>3.8979566251793685</v>
      </c>
      <c r="DA434" s="408">
        <v>0</v>
      </c>
      <c r="DB434" s="408">
        <v>0</v>
      </c>
      <c r="DC434" s="408"/>
      <c r="DD434" s="408"/>
      <c r="DE434" s="408">
        <v>0</v>
      </c>
      <c r="DF434" s="408">
        <v>0</v>
      </c>
      <c r="DG434" s="408">
        <v>0</v>
      </c>
      <c r="DH434" s="408">
        <v>0</v>
      </c>
      <c r="DI434" s="408">
        <v>0</v>
      </c>
      <c r="DJ434" s="408"/>
      <c r="DK434" s="408">
        <v>0</v>
      </c>
      <c r="DL434" s="408">
        <v>0</v>
      </c>
      <c r="DM434" s="408"/>
      <c r="DN434" s="408">
        <v>0</v>
      </c>
      <c r="DO434" s="408">
        <v>0</v>
      </c>
      <c r="DP434" s="408">
        <v>0</v>
      </c>
      <c r="DQ434" s="408">
        <v>0</v>
      </c>
      <c r="DR434" s="408">
        <v>0</v>
      </c>
      <c r="DS434" s="408"/>
      <c r="DT434" s="408"/>
      <c r="DU434" s="408">
        <v>10743.767435968706</v>
      </c>
      <c r="DV434" s="408"/>
      <c r="DW434" s="408">
        <v>0</v>
      </c>
      <c r="DX434" s="408">
        <v>0</v>
      </c>
      <c r="DY434" s="408">
        <v>-7676.76</v>
      </c>
      <c r="DZ434" s="234"/>
      <c r="EA434" s="408">
        <v>0</v>
      </c>
      <c r="EB434" s="408"/>
      <c r="EC434" s="408">
        <v>-7893.551411354385</v>
      </c>
      <c r="ED434" s="408"/>
      <c r="EE434" s="408">
        <v>0</v>
      </c>
      <c r="EF434" s="408">
        <v>0</v>
      </c>
      <c r="EG434" s="408"/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/>
      <c r="EN434" s="408"/>
      <c r="EO434" s="408">
        <v>0</v>
      </c>
      <c r="EP434" s="408">
        <v>0</v>
      </c>
      <c r="EQ434" s="408"/>
      <c r="ER434" s="408">
        <v>0</v>
      </c>
      <c r="ES434" s="408"/>
      <c r="ET434" s="408">
        <v>0</v>
      </c>
      <c r="EU434" s="408"/>
      <c r="EV434" s="408">
        <v>242</v>
      </c>
      <c r="EW434" s="408"/>
      <c r="EX434" s="408"/>
      <c r="EY434" s="408"/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433</v>
      </c>
      <c r="B435" s="408" t="s">
        <v>1036</v>
      </c>
      <c r="C435" s="408" t="s">
        <v>2231</v>
      </c>
      <c r="D435" s="408" t="s">
        <v>1955</v>
      </c>
      <c r="E435" s="408" t="s">
        <v>2247</v>
      </c>
      <c r="F435" s="408" t="s">
        <v>1322</v>
      </c>
      <c r="G435" s="408" t="s">
        <v>1322</v>
      </c>
      <c r="H435" s="408" t="s">
        <v>1322</v>
      </c>
      <c r="I435" s="408" t="s">
        <v>1322</v>
      </c>
      <c r="J435" s="408" t="s">
        <v>2232</v>
      </c>
      <c r="K435" s="828">
        <v>44621</v>
      </c>
      <c r="L435" s="408">
        <v>0</v>
      </c>
      <c r="M435" s="408">
        <v>0</v>
      </c>
      <c r="N435" s="408">
        <v>0.41599999999999998</v>
      </c>
      <c r="O435" s="408">
        <v>0.41599999999999998</v>
      </c>
      <c r="P435" s="408">
        <v>0.41599999999999998</v>
      </c>
      <c r="Q435" s="408">
        <v>0.41599999999999998</v>
      </c>
      <c r="R435" s="408"/>
      <c r="S435" s="408">
        <v>571.87</v>
      </c>
      <c r="T435" s="408">
        <v>216.76</v>
      </c>
      <c r="U435" s="408"/>
      <c r="V435" s="408">
        <v>328.07007999999996</v>
      </c>
      <c r="W435" s="408">
        <v>328.07007999999996</v>
      </c>
      <c r="X435" s="408">
        <v>213.82815999999997</v>
      </c>
      <c r="Y435" s="408">
        <v>0</v>
      </c>
      <c r="Z435" s="408">
        <v>25.214016690320349</v>
      </c>
      <c r="AA435" s="408">
        <v>0</v>
      </c>
      <c r="AB435" s="408">
        <v>0</v>
      </c>
      <c r="AC435" s="408">
        <v>0</v>
      </c>
      <c r="AD435" s="408">
        <v>0.34191609899538289</v>
      </c>
      <c r="AE435" s="408">
        <v>177.37560621532708</v>
      </c>
      <c r="AF435" s="408">
        <v>88.858224342632568</v>
      </c>
      <c r="AG435" s="408">
        <v>1.3134803703641817</v>
      </c>
      <c r="AH435" s="408">
        <v>0</v>
      </c>
      <c r="AI435" s="408">
        <v>0</v>
      </c>
      <c r="AJ435" s="408">
        <v>0</v>
      </c>
      <c r="AK435" s="408">
        <v>0</v>
      </c>
      <c r="AL435" s="408">
        <v>3.8994316019650239</v>
      </c>
      <c r="AM435" s="408"/>
      <c r="AN435" s="408">
        <v>0.798083335360534</v>
      </c>
      <c r="AO435" s="408">
        <v>3.694786263626781</v>
      </c>
      <c r="AP435" s="408">
        <v>11.576075727826105</v>
      </c>
      <c r="AQ435" s="408">
        <v>0</v>
      </c>
      <c r="AR435" s="408">
        <v>0</v>
      </c>
      <c r="AS435" s="408">
        <v>0</v>
      </c>
      <c r="AT435" s="408">
        <v>0</v>
      </c>
      <c r="AU435" s="408">
        <v>0</v>
      </c>
      <c r="AV435" s="408">
        <v>0</v>
      </c>
      <c r="AW435" s="408">
        <v>0</v>
      </c>
      <c r="AX435" s="408">
        <v>0</v>
      </c>
      <c r="AY435" s="408">
        <v>0</v>
      </c>
      <c r="AZ435" s="408">
        <v>0</v>
      </c>
      <c r="BA435" s="408"/>
      <c r="BB435" s="408">
        <v>0</v>
      </c>
      <c r="BC435" s="408">
        <v>0</v>
      </c>
      <c r="BD435" s="408">
        <v>0.24754896270265822</v>
      </c>
      <c r="BE435" s="408">
        <v>0</v>
      </c>
      <c r="BF435" s="408">
        <v>0</v>
      </c>
      <c r="BG435" s="408">
        <v>14.750626786066618</v>
      </c>
      <c r="BH435" s="408">
        <v>0</v>
      </c>
      <c r="BI435" s="408">
        <v>0.34</v>
      </c>
      <c r="BJ435" s="408">
        <v>1.62</v>
      </c>
      <c r="BK435" s="408">
        <v>91.59</v>
      </c>
      <c r="BL435" s="408">
        <v>3</v>
      </c>
      <c r="BM435" s="408"/>
      <c r="BN435" s="408"/>
      <c r="BO435" s="408"/>
      <c r="BP435" s="408"/>
      <c r="BQ435" s="408"/>
      <c r="BR435" s="408"/>
      <c r="BS435" s="408"/>
      <c r="BT435" s="408"/>
      <c r="BU435" s="408"/>
      <c r="BV435" s="408">
        <v>103.85640009140184</v>
      </c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>
        <v>215.88419999999999</v>
      </c>
      <c r="CJ435" s="408">
        <v>-112.21587999999994</v>
      </c>
      <c r="CK435" s="408"/>
      <c r="CL435" s="408"/>
      <c r="CM435" s="408"/>
      <c r="CN435" s="408"/>
      <c r="CO435" s="408">
        <v>-127.81599999999999</v>
      </c>
      <c r="CP435" s="408">
        <v>13.574079999999997</v>
      </c>
      <c r="CQ435" s="408">
        <v>31</v>
      </c>
      <c r="CR435" s="408">
        <v>16.078527232146087</v>
      </c>
      <c r="CS435" s="408">
        <v>0.38112283459573471</v>
      </c>
      <c r="CT435" s="408">
        <v>1.1940898552960419</v>
      </c>
      <c r="CU435" s="408">
        <v>0</v>
      </c>
      <c r="CV435" s="408">
        <v>0</v>
      </c>
      <c r="CW435" s="408">
        <v>0</v>
      </c>
      <c r="CX435" s="408">
        <v>0</v>
      </c>
      <c r="CY435" s="408">
        <v>0</v>
      </c>
      <c r="CZ435" s="408">
        <v>3.3430866898804978E-2</v>
      </c>
      <c r="DA435" s="408">
        <v>0</v>
      </c>
      <c r="DB435" s="408">
        <v>0</v>
      </c>
      <c r="DC435" s="408">
        <v>13.575824505727752</v>
      </c>
      <c r="DD435" s="408">
        <v>0</v>
      </c>
      <c r="DE435" s="408">
        <v>0</v>
      </c>
      <c r="DF435" s="408">
        <v>3.782071157834152E-2</v>
      </c>
      <c r="DG435" s="408">
        <v>2.2536115489430841</v>
      </c>
      <c r="DH435" s="408">
        <v>0</v>
      </c>
      <c r="DI435" s="408">
        <v>-1.2046550074862417</v>
      </c>
      <c r="DJ435" s="408"/>
      <c r="DK435" s="408">
        <v>0</v>
      </c>
      <c r="DL435" s="408">
        <v>0</v>
      </c>
      <c r="DM435" s="408">
        <v>0</v>
      </c>
      <c r="DN435" s="408">
        <v>0</v>
      </c>
      <c r="DO435" s="408">
        <v>-0.15800734372142289</v>
      </c>
      <c r="DP435" s="408">
        <v>-3.4710739686047321E-2</v>
      </c>
      <c r="DQ435" s="408">
        <v>0</v>
      </c>
      <c r="DR435" s="408">
        <v>0</v>
      </c>
      <c r="DS435" s="408"/>
      <c r="DT435" s="408"/>
      <c r="DU435" s="408"/>
      <c r="DV435" s="408">
        <v>177.37560621532708</v>
      </c>
      <c r="DW435" s="408">
        <v>0</v>
      </c>
      <c r="DX435" s="408">
        <v>0</v>
      </c>
      <c r="DY435" s="408">
        <v>-127.816</v>
      </c>
      <c r="DZ435" s="234">
        <v>13.574079999999995</v>
      </c>
      <c r="EA435" s="408">
        <v>0</v>
      </c>
      <c r="EB435" s="408">
        <v>0</v>
      </c>
      <c r="EC435" s="408">
        <v>-130.31959925839502</v>
      </c>
      <c r="ED435" s="408">
        <v>0</v>
      </c>
      <c r="EE435" s="408">
        <v>0</v>
      </c>
      <c r="EF435" s="408">
        <v>0</v>
      </c>
      <c r="EG435" s="408">
        <v>0</v>
      </c>
      <c r="EH435" s="408">
        <v>0</v>
      </c>
      <c r="EI435" s="408">
        <v>0</v>
      </c>
      <c r="EJ435" s="408">
        <v>0</v>
      </c>
      <c r="EK435" s="408">
        <v>0</v>
      </c>
      <c r="EL435" s="408">
        <v>0</v>
      </c>
      <c r="EM435" s="408">
        <v>0</v>
      </c>
      <c r="EN435" s="408">
        <v>0</v>
      </c>
      <c r="EO435" s="408">
        <v>0</v>
      </c>
      <c r="EP435" s="408">
        <v>0</v>
      </c>
      <c r="EQ435" s="408">
        <v>0</v>
      </c>
      <c r="ER435" s="408">
        <v>0</v>
      </c>
      <c r="ES435" s="408">
        <v>0</v>
      </c>
      <c r="ET435" s="408">
        <v>0</v>
      </c>
      <c r="EU435" s="408">
        <v>0</v>
      </c>
      <c r="EV435" s="408">
        <v>242</v>
      </c>
      <c r="EW435" s="408">
        <v>0</v>
      </c>
      <c r="EX435" s="408">
        <v>0</v>
      </c>
      <c r="EY435" s="408">
        <v>0</v>
      </c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434</v>
      </c>
      <c r="B436" s="408" t="s">
        <v>1036</v>
      </c>
      <c r="C436" s="408" t="s">
        <v>2231</v>
      </c>
      <c r="D436" s="408" t="s">
        <v>2241</v>
      </c>
      <c r="E436" s="408" t="s">
        <v>974</v>
      </c>
      <c r="F436" s="408" t="s">
        <v>2248</v>
      </c>
      <c r="G436" s="408" t="s">
        <v>2249</v>
      </c>
      <c r="H436" s="408" t="s">
        <v>1322</v>
      </c>
      <c r="I436" s="408" t="s">
        <v>1322</v>
      </c>
      <c r="J436" s="408" t="s">
        <v>2232</v>
      </c>
      <c r="K436" s="828">
        <v>44621</v>
      </c>
      <c r="L436" s="408">
        <v>0</v>
      </c>
      <c r="M436" s="408">
        <v>0</v>
      </c>
      <c r="N436" s="408">
        <v>0</v>
      </c>
      <c r="O436" s="408">
        <v>0</v>
      </c>
      <c r="P436" s="408">
        <v>0</v>
      </c>
      <c r="Q436" s="408">
        <v>0</v>
      </c>
      <c r="R436" s="408"/>
      <c r="S436" s="408"/>
      <c r="T436" s="408"/>
      <c r="U436" s="408"/>
      <c r="V436" s="408"/>
      <c r="W436" s="408"/>
      <c r="X436" s="408"/>
      <c r="Y436" s="408"/>
      <c r="Z436" s="408"/>
      <c r="AA436" s="408">
        <v>0</v>
      </c>
      <c r="AB436" s="408"/>
      <c r="AC436" s="408"/>
      <c r="AD436" s="408"/>
      <c r="AE436" s="408"/>
      <c r="AF436" s="408"/>
      <c r="AG436" s="408"/>
      <c r="AH436" s="408"/>
      <c r="AI436" s="408"/>
      <c r="AJ436" s="408"/>
      <c r="AK436" s="408"/>
      <c r="AL436" s="408"/>
      <c r="AM436" s="408"/>
      <c r="AN436" s="408"/>
      <c r="AO436" s="408"/>
      <c r="AP436" s="408"/>
      <c r="AQ436" s="408"/>
      <c r="AR436" s="408"/>
      <c r="AS436" s="408"/>
      <c r="AT436" s="408"/>
      <c r="AU436" s="408"/>
      <c r="AV436" s="408"/>
      <c r="AW436" s="408"/>
      <c r="AX436" s="408"/>
      <c r="AY436" s="408"/>
      <c r="AZ436" s="408">
        <v>0</v>
      </c>
      <c r="BA436" s="408"/>
      <c r="BB436" s="408"/>
      <c r="BC436" s="408"/>
      <c r="BD436" s="408"/>
      <c r="BE436" s="408"/>
      <c r="BF436" s="408"/>
      <c r="BG436" s="408"/>
      <c r="BH436" s="408"/>
      <c r="BI436" s="408">
        <v>143.19</v>
      </c>
      <c r="BJ436" s="408">
        <v>660.15</v>
      </c>
      <c r="BK436" s="408">
        <v>1018.33</v>
      </c>
      <c r="BL436" s="408">
        <v>128</v>
      </c>
      <c r="BM436" s="408"/>
      <c r="BN436" s="408"/>
      <c r="BO436" s="408"/>
      <c r="BP436" s="408"/>
      <c r="BQ436" s="408"/>
      <c r="BR436" s="408"/>
      <c r="BS436" s="408"/>
      <c r="BT436" s="408"/>
      <c r="BU436" s="408"/>
      <c r="BV436" s="408"/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/>
      <c r="CJ436" s="408">
        <v>-0.03</v>
      </c>
      <c r="CK436" s="408"/>
      <c r="CL436" s="408"/>
      <c r="CM436" s="408"/>
      <c r="CN436" s="408"/>
      <c r="CO436" s="408">
        <v>0</v>
      </c>
      <c r="CP436" s="408">
        <v>0</v>
      </c>
      <c r="CQ436" s="408">
        <v>31</v>
      </c>
      <c r="CR436" s="408"/>
      <c r="CS436" s="408"/>
      <c r="CT436" s="408"/>
      <c r="CU436" s="408"/>
      <c r="CV436" s="408"/>
      <c r="CW436" s="408"/>
      <c r="CX436" s="408"/>
      <c r="CY436" s="408"/>
      <c r="CZ436" s="408"/>
      <c r="DA436" s="408"/>
      <c r="DB436" s="408"/>
      <c r="DC436" s="408"/>
      <c r="DD436" s="408"/>
      <c r="DE436" s="408"/>
      <c r="DF436" s="408"/>
      <c r="DG436" s="408"/>
      <c r="DH436" s="408"/>
      <c r="DI436" s="408"/>
      <c r="DJ436" s="408"/>
      <c r="DK436" s="408">
        <v>0</v>
      </c>
      <c r="DL436" s="408"/>
      <c r="DM436" s="408"/>
      <c r="DN436" s="408"/>
      <c r="DO436" s="408"/>
      <c r="DP436" s="408"/>
      <c r="DQ436" s="408"/>
      <c r="DR436" s="408"/>
      <c r="DS436" s="408"/>
      <c r="DT436" s="408"/>
      <c r="DU436" s="408"/>
      <c r="DV436" s="408"/>
      <c r="DW436" s="408"/>
      <c r="DX436" s="408"/>
      <c r="DY436" s="408"/>
      <c r="DZ436" s="234"/>
      <c r="EA436" s="408"/>
      <c r="EB436" s="408"/>
      <c r="EC436" s="408"/>
      <c r="ED436" s="408"/>
      <c r="EE436" s="408"/>
      <c r="EF436" s="408"/>
      <c r="EG436" s="408"/>
      <c r="EH436" s="408"/>
      <c r="EI436" s="408"/>
      <c r="EJ436" s="408"/>
      <c r="EK436" s="408"/>
      <c r="EL436" s="408"/>
      <c r="EM436" s="408"/>
      <c r="EN436" s="408"/>
      <c r="EO436" s="408"/>
      <c r="EP436" s="408"/>
      <c r="EQ436" s="408"/>
      <c r="ER436" s="408"/>
      <c r="ES436" s="408"/>
      <c r="ET436" s="408"/>
      <c r="EU436" s="408"/>
      <c r="EV436" s="408">
        <v>242</v>
      </c>
      <c r="EW436" s="408"/>
      <c r="EX436" s="408"/>
      <c r="EY436" s="408"/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435</v>
      </c>
      <c r="B437" s="408" t="s">
        <v>2233</v>
      </c>
      <c r="C437" s="408" t="s">
        <v>2231</v>
      </c>
      <c r="D437" s="408" t="s">
        <v>2241</v>
      </c>
      <c r="E437" s="408" t="s">
        <v>974</v>
      </c>
      <c r="F437" s="408" t="s">
        <v>2248</v>
      </c>
      <c r="G437" s="408" t="s">
        <v>2249</v>
      </c>
      <c r="H437" s="408" t="s">
        <v>1322</v>
      </c>
      <c r="I437" s="408" t="s">
        <v>1322</v>
      </c>
      <c r="J437" s="408" t="s">
        <v>2232</v>
      </c>
      <c r="K437" s="828">
        <v>44621</v>
      </c>
      <c r="L437" s="408">
        <v>0</v>
      </c>
      <c r="M437" s="408">
        <v>0</v>
      </c>
      <c r="N437" s="408">
        <v>0</v>
      </c>
      <c r="O437" s="408">
        <v>0</v>
      </c>
      <c r="P437" s="408">
        <v>0</v>
      </c>
      <c r="Q437" s="408">
        <v>0</v>
      </c>
      <c r="R437" s="408"/>
      <c r="S437" s="408"/>
      <c r="T437" s="408"/>
      <c r="U437" s="408"/>
      <c r="V437" s="408"/>
      <c r="W437" s="408"/>
      <c r="X437" s="408"/>
      <c r="Y437" s="408"/>
      <c r="Z437" s="408"/>
      <c r="AA437" s="408">
        <v>0</v>
      </c>
      <c r="AB437" s="408"/>
      <c r="AC437" s="408"/>
      <c r="AD437" s="408"/>
      <c r="AE437" s="408"/>
      <c r="AF437" s="408"/>
      <c r="AG437" s="408"/>
      <c r="AH437" s="408"/>
      <c r="AI437" s="408"/>
      <c r="AJ437" s="408"/>
      <c r="AK437" s="408"/>
      <c r="AL437" s="408"/>
      <c r="AM437" s="408"/>
      <c r="AN437" s="408"/>
      <c r="AO437" s="408"/>
      <c r="AP437" s="408"/>
      <c r="AQ437" s="408"/>
      <c r="AR437" s="408"/>
      <c r="AS437" s="408"/>
      <c r="AT437" s="408"/>
      <c r="AU437" s="408"/>
      <c r="AV437" s="408"/>
      <c r="AW437" s="408"/>
      <c r="AX437" s="408"/>
      <c r="AY437" s="408"/>
      <c r="AZ437" s="408">
        <v>0</v>
      </c>
      <c r="BA437" s="408"/>
      <c r="BB437" s="408"/>
      <c r="BC437" s="408"/>
      <c r="BD437" s="408"/>
      <c r="BE437" s="408"/>
      <c r="BF437" s="408"/>
      <c r="BG437" s="408"/>
      <c r="BH437" s="408"/>
      <c r="BI437" s="408">
        <v>-3.54</v>
      </c>
      <c r="BJ437" s="408">
        <v>-16.32</v>
      </c>
      <c r="BK437" s="408">
        <v>0</v>
      </c>
      <c r="BL437" s="408">
        <v>0</v>
      </c>
      <c r="BM437" s="408"/>
      <c r="BN437" s="408"/>
      <c r="BO437" s="408"/>
      <c r="BP437" s="408"/>
      <c r="BQ437" s="408"/>
      <c r="BR437" s="408"/>
      <c r="BS437" s="408"/>
      <c r="BT437" s="408"/>
      <c r="BU437" s="408"/>
      <c r="BV437" s="408"/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/>
      <c r="CJ437" s="408">
        <v>-0.03</v>
      </c>
      <c r="CK437" s="408"/>
      <c r="CL437" s="408"/>
      <c r="CM437" s="408"/>
      <c r="CN437" s="408"/>
      <c r="CO437" s="408">
        <v>0</v>
      </c>
      <c r="CP437" s="408">
        <v>0</v>
      </c>
      <c r="CQ437" s="408">
        <v>31</v>
      </c>
      <c r="CR437" s="408"/>
      <c r="CS437" s="408"/>
      <c r="CT437" s="408"/>
      <c r="CU437" s="408"/>
      <c r="CV437" s="408"/>
      <c r="CW437" s="408"/>
      <c r="CX437" s="408"/>
      <c r="CY437" s="408"/>
      <c r="CZ437" s="408"/>
      <c r="DA437" s="408"/>
      <c r="DB437" s="408"/>
      <c r="DC437" s="408"/>
      <c r="DD437" s="408"/>
      <c r="DE437" s="408"/>
      <c r="DF437" s="408"/>
      <c r="DG437" s="408"/>
      <c r="DH437" s="408"/>
      <c r="DI437" s="408"/>
      <c r="DJ437" s="408"/>
      <c r="DK437" s="408">
        <v>0</v>
      </c>
      <c r="DL437" s="408"/>
      <c r="DM437" s="408"/>
      <c r="DN437" s="408"/>
      <c r="DO437" s="408"/>
      <c r="DP437" s="408"/>
      <c r="DQ437" s="408"/>
      <c r="DR437" s="408"/>
      <c r="DS437" s="408"/>
      <c r="DT437" s="408"/>
      <c r="DU437" s="408"/>
      <c r="DV437" s="408"/>
      <c r="DW437" s="408"/>
      <c r="DX437" s="408"/>
      <c r="DY437" s="408"/>
      <c r="DZ437" s="234"/>
      <c r="EA437" s="408"/>
      <c r="EB437" s="408"/>
      <c r="EC437" s="408"/>
      <c r="ED437" s="408"/>
      <c r="EE437" s="408"/>
      <c r="EF437" s="408"/>
      <c r="EG437" s="408"/>
      <c r="EH437" s="408"/>
      <c r="EI437" s="408"/>
      <c r="EJ437" s="408"/>
      <c r="EK437" s="408"/>
      <c r="EL437" s="408"/>
      <c r="EM437" s="408"/>
      <c r="EN437" s="408"/>
      <c r="EO437" s="408"/>
      <c r="EP437" s="408"/>
      <c r="EQ437" s="408"/>
      <c r="ER437" s="408"/>
      <c r="ES437" s="408"/>
      <c r="ET437" s="408"/>
      <c r="EU437" s="408"/>
      <c r="EV437" s="408">
        <v>242</v>
      </c>
      <c r="EW437" s="408"/>
      <c r="EX437" s="408"/>
      <c r="EY437" s="408"/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436</v>
      </c>
      <c r="B438" s="408" t="s">
        <v>2234</v>
      </c>
      <c r="C438" s="408" t="s">
        <v>2231</v>
      </c>
      <c r="D438" s="408" t="s">
        <v>2241</v>
      </c>
      <c r="E438" s="408" t="s">
        <v>974</v>
      </c>
      <c r="F438" s="408" t="s">
        <v>2248</v>
      </c>
      <c r="G438" s="408" t="s">
        <v>2249</v>
      </c>
      <c r="H438" s="408" t="s">
        <v>1322</v>
      </c>
      <c r="I438" s="408" t="s">
        <v>1322</v>
      </c>
      <c r="J438" s="408" t="s">
        <v>2232</v>
      </c>
      <c r="K438" s="828">
        <v>44621</v>
      </c>
      <c r="L438" s="408">
        <v>0</v>
      </c>
      <c r="M438" s="408">
        <v>0</v>
      </c>
      <c r="N438" s="408">
        <v>0</v>
      </c>
      <c r="O438" s="408">
        <v>0</v>
      </c>
      <c r="P438" s="408">
        <v>0</v>
      </c>
      <c r="Q438" s="408">
        <v>0</v>
      </c>
      <c r="R438" s="408"/>
      <c r="S438" s="408"/>
      <c r="T438" s="408"/>
      <c r="U438" s="408"/>
      <c r="V438" s="408"/>
      <c r="W438" s="408"/>
      <c r="X438" s="408"/>
      <c r="Y438" s="408"/>
      <c r="Z438" s="408"/>
      <c r="AA438" s="408">
        <v>0</v>
      </c>
      <c r="AB438" s="408"/>
      <c r="AC438" s="408"/>
      <c r="AD438" s="408"/>
      <c r="AE438" s="408"/>
      <c r="AF438" s="408"/>
      <c r="AG438" s="408"/>
      <c r="AH438" s="408"/>
      <c r="AI438" s="408"/>
      <c r="AJ438" s="408"/>
      <c r="AK438" s="408"/>
      <c r="AL438" s="408"/>
      <c r="AM438" s="408"/>
      <c r="AN438" s="408"/>
      <c r="AO438" s="408"/>
      <c r="AP438" s="408"/>
      <c r="AQ438" s="408"/>
      <c r="AR438" s="408"/>
      <c r="AS438" s="408"/>
      <c r="AT438" s="408"/>
      <c r="AU438" s="408"/>
      <c r="AV438" s="408"/>
      <c r="AW438" s="408"/>
      <c r="AX438" s="408"/>
      <c r="AY438" s="408"/>
      <c r="AZ438" s="408">
        <v>0</v>
      </c>
      <c r="BA438" s="408"/>
      <c r="BB438" s="408"/>
      <c r="BC438" s="408"/>
      <c r="BD438" s="408"/>
      <c r="BE438" s="408"/>
      <c r="BF438" s="408"/>
      <c r="BG438" s="408"/>
      <c r="BH438" s="408"/>
      <c r="BI438" s="408">
        <v>0.27</v>
      </c>
      <c r="BJ438" s="408">
        <v>1.44</v>
      </c>
      <c r="BK438" s="408">
        <v>36.68</v>
      </c>
      <c r="BL438" s="408">
        <v>5</v>
      </c>
      <c r="BM438" s="408"/>
      <c r="BN438" s="408"/>
      <c r="BO438" s="408"/>
      <c r="BP438" s="408"/>
      <c r="BQ438" s="408"/>
      <c r="BR438" s="408"/>
      <c r="BS438" s="408"/>
      <c r="BT438" s="408"/>
      <c r="BU438" s="408"/>
      <c r="BV438" s="408"/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/>
      <c r="CJ438" s="408">
        <v>-0.03</v>
      </c>
      <c r="CK438" s="408"/>
      <c r="CL438" s="408"/>
      <c r="CM438" s="408"/>
      <c r="CN438" s="408"/>
      <c r="CO438" s="408">
        <v>0</v>
      </c>
      <c r="CP438" s="408">
        <v>0</v>
      </c>
      <c r="CQ438" s="408">
        <v>31</v>
      </c>
      <c r="CR438" s="408"/>
      <c r="CS438" s="408"/>
      <c r="CT438" s="408"/>
      <c r="CU438" s="408"/>
      <c r="CV438" s="408"/>
      <c r="CW438" s="408"/>
      <c r="CX438" s="408"/>
      <c r="CY438" s="408"/>
      <c r="CZ438" s="408"/>
      <c r="DA438" s="408"/>
      <c r="DB438" s="408"/>
      <c r="DC438" s="408"/>
      <c r="DD438" s="408"/>
      <c r="DE438" s="408"/>
      <c r="DF438" s="408"/>
      <c r="DG438" s="408"/>
      <c r="DH438" s="408"/>
      <c r="DI438" s="408"/>
      <c r="DJ438" s="408"/>
      <c r="DK438" s="408">
        <v>0</v>
      </c>
      <c r="DL438" s="408"/>
      <c r="DM438" s="408"/>
      <c r="DN438" s="408"/>
      <c r="DO438" s="408"/>
      <c r="DP438" s="408"/>
      <c r="DQ438" s="408"/>
      <c r="DR438" s="408"/>
      <c r="DS438" s="408"/>
      <c r="DT438" s="408"/>
      <c r="DU438" s="408"/>
      <c r="DV438" s="408"/>
      <c r="DW438" s="408"/>
      <c r="DX438" s="408"/>
      <c r="DY438" s="408"/>
      <c r="DZ438" s="234"/>
      <c r="EA438" s="408"/>
      <c r="EB438" s="408"/>
      <c r="EC438" s="408"/>
      <c r="ED438" s="408"/>
      <c r="EE438" s="408"/>
      <c r="EF438" s="408"/>
      <c r="EG438" s="408"/>
      <c r="EH438" s="408"/>
      <c r="EI438" s="408"/>
      <c r="EJ438" s="408"/>
      <c r="EK438" s="408"/>
      <c r="EL438" s="408"/>
      <c r="EM438" s="408"/>
      <c r="EN438" s="408"/>
      <c r="EO438" s="408"/>
      <c r="EP438" s="408"/>
      <c r="EQ438" s="408"/>
      <c r="ER438" s="408"/>
      <c r="ES438" s="408"/>
      <c r="ET438" s="408"/>
      <c r="EU438" s="408"/>
      <c r="EV438" s="408">
        <v>242</v>
      </c>
      <c r="EW438" s="408"/>
      <c r="EX438" s="408"/>
      <c r="EY438" s="408"/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437</v>
      </c>
      <c r="B439" s="408" t="s">
        <v>1036</v>
      </c>
      <c r="C439" s="408" t="s">
        <v>2231</v>
      </c>
      <c r="D439" s="408" t="s">
        <v>2241</v>
      </c>
      <c r="E439" s="408" t="s">
        <v>974</v>
      </c>
      <c r="F439" s="408" t="s">
        <v>2248</v>
      </c>
      <c r="G439" s="408" t="s">
        <v>2249</v>
      </c>
      <c r="H439" s="408" t="s">
        <v>1322</v>
      </c>
      <c r="I439" s="408" t="s">
        <v>1322</v>
      </c>
      <c r="J439" s="408" t="s">
        <v>2232</v>
      </c>
      <c r="K439" s="828">
        <v>44621</v>
      </c>
      <c r="L439" s="408">
        <v>0</v>
      </c>
      <c r="M439" s="408">
        <v>0</v>
      </c>
      <c r="N439" s="408">
        <v>89.528000000000006</v>
      </c>
      <c r="O439" s="408">
        <v>89.528000000000006</v>
      </c>
      <c r="P439" s="408">
        <v>89.528000000000006</v>
      </c>
      <c r="Q439" s="408">
        <v>89.528000000000006</v>
      </c>
      <c r="R439" s="408"/>
      <c r="S439" s="408">
        <v>571.87</v>
      </c>
      <c r="T439" s="408">
        <v>216.76</v>
      </c>
      <c r="U439" s="408"/>
      <c r="V439" s="408">
        <v>70604.466639999999</v>
      </c>
      <c r="W439" s="408">
        <v>70604.466639999999</v>
      </c>
      <c r="X439" s="408">
        <v>46018.287280000004</v>
      </c>
      <c r="Y439" s="408">
        <v>0</v>
      </c>
      <c r="Z439" s="408">
        <v>5426.3473227187505</v>
      </c>
      <c r="AA439" s="408">
        <v>0</v>
      </c>
      <c r="AB439" s="408">
        <v>0</v>
      </c>
      <c r="AC439" s="408">
        <v>0</v>
      </c>
      <c r="AD439" s="408">
        <v>73.584289689564045</v>
      </c>
      <c r="AE439" s="408">
        <v>38173.277099148574</v>
      </c>
      <c r="AF439" s="408">
        <v>19123.315165738484</v>
      </c>
      <c r="AG439" s="408">
        <v>282.67613124510689</v>
      </c>
      <c r="AH439" s="408">
        <v>0</v>
      </c>
      <c r="AI439" s="408">
        <v>0</v>
      </c>
      <c r="AJ439" s="408">
        <v>0</v>
      </c>
      <c r="AK439" s="408">
        <v>0</v>
      </c>
      <c r="AL439" s="408">
        <v>839.20267418443439</v>
      </c>
      <c r="AM439" s="408"/>
      <c r="AN439" s="408">
        <v>171.75674242345647</v>
      </c>
      <c r="AO439" s="408">
        <v>795.16063608167906</v>
      </c>
      <c r="AP439" s="408">
        <v>2491.3050667327298</v>
      </c>
      <c r="AQ439" s="408">
        <v>0</v>
      </c>
      <c r="AR439" s="408">
        <v>0</v>
      </c>
      <c r="AS439" s="408">
        <v>0</v>
      </c>
      <c r="AT439" s="408">
        <v>0</v>
      </c>
      <c r="AU439" s="408">
        <v>0</v>
      </c>
      <c r="AV439" s="408">
        <v>0</v>
      </c>
      <c r="AW439" s="408">
        <v>0</v>
      </c>
      <c r="AX439" s="408">
        <v>0</v>
      </c>
      <c r="AY439" s="408">
        <v>0</v>
      </c>
      <c r="AZ439" s="408">
        <v>0</v>
      </c>
      <c r="BA439" s="408"/>
      <c r="BB439" s="408">
        <v>0</v>
      </c>
      <c r="BC439" s="408">
        <v>0</v>
      </c>
      <c r="BD439" s="408">
        <v>53.275393107797086</v>
      </c>
      <c r="BE439" s="408">
        <v>0</v>
      </c>
      <c r="BF439" s="408">
        <v>0</v>
      </c>
      <c r="BG439" s="408">
        <v>3174.5050839013761</v>
      </c>
      <c r="BH439" s="408">
        <v>0</v>
      </c>
      <c r="BI439" s="408">
        <v>0</v>
      </c>
      <c r="BJ439" s="408">
        <v>0</v>
      </c>
      <c r="BK439" s="408">
        <v>0</v>
      </c>
      <c r="BL439" s="408">
        <v>0</v>
      </c>
      <c r="BM439" s="408"/>
      <c r="BN439" s="408"/>
      <c r="BO439" s="408"/>
      <c r="BP439" s="408"/>
      <c r="BQ439" s="408"/>
      <c r="BR439" s="408">
        <v>5522.0870399999985</v>
      </c>
      <c r="BS439" s="408"/>
      <c r="BT439" s="408"/>
      <c r="BU439" s="408"/>
      <c r="BV439" s="408">
        <v>22351.095642747656</v>
      </c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>
        <v>40497.104899999998</v>
      </c>
      <c r="CJ439" s="408">
        <v>-21635.357100000008</v>
      </c>
      <c r="CK439" s="408"/>
      <c r="CL439" s="408"/>
      <c r="CM439" s="408"/>
      <c r="CN439" s="408"/>
      <c r="CO439" s="408">
        <v>-27507.478000000003</v>
      </c>
      <c r="CP439" s="408">
        <v>2921.29864</v>
      </c>
      <c r="CQ439" s="408">
        <v>31</v>
      </c>
      <c r="CR439" s="408">
        <v>3460.2845818258975</v>
      </c>
      <c r="CS439" s="408">
        <v>82.022031576170434</v>
      </c>
      <c r="CT439" s="408">
        <v>256.98191481957701</v>
      </c>
      <c r="CU439" s="408">
        <v>0</v>
      </c>
      <c r="CV439" s="408">
        <v>0</v>
      </c>
      <c r="CW439" s="408">
        <v>0</v>
      </c>
      <c r="CX439" s="408">
        <v>0</v>
      </c>
      <c r="CY439" s="408">
        <v>0</v>
      </c>
      <c r="CZ439" s="408">
        <v>7.1947082973947403</v>
      </c>
      <c r="DA439" s="408">
        <v>0</v>
      </c>
      <c r="DB439" s="408">
        <v>0</v>
      </c>
      <c r="DC439" s="408">
        <v>2921.6740777615232</v>
      </c>
      <c r="DD439" s="408">
        <v>0</v>
      </c>
      <c r="DE439" s="408">
        <v>0</v>
      </c>
      <c r="DF439" s="408">
        <v>8.1394535244850061</v>
      </c>
      <c r="DG439" s="408">
        <v>485.0032085427315</v>
      </c>
      <c r="DH439" s="408">
        <v>0</v>
      </c>
      <c r="DI439" s="408">
        <v>-259.25565747650944</v>
      </c>
      <c r="DJ439" s="408"/>
      <c r="DK439" s="408">
        <v>0</v>
      </c>
      <c r="DL439" s="408">
        <v>0</v>
      </c>
      <c r="DM439" s="408">
        <v>0</v>
      </c>
      <c r="DN439" s="408">
        <v>0</v>
      </c>
      <c r="DO439" s="408">
        <v>-34.005003530508475</v>
      </c>
      <c r="DP439" s="408">
        <v>-7.4701516889722086</v>
      </c>
      <c r="DQ439" s="408">
        <v>0</v>
      </c>
      <c r="DR439" s="408">
        <v>0</v>
      </c>
      <c r="DS439" s="408"/>
      <c r="DT439" s="408"/>
      <c r="DU439" s="408"/>
      <c r="DV439" s="408">
        <v>38173.277099148574</v>
      </c>
      <c r="DW439" s="408">
        <v>0</v>
      </c>
      <c r="DX439" s="408">
        <v>0</v>
      </c>
      <c r="DY439" s="408">
        <v>-27507.478000000003</v>
      </c>
      <c r="DZ439" s="234">
        <v>2921.2986400000009</v>
      </c>
      <c r="EA439" s="408">
        <v>0</v>
      </c>
      <c r="EB439" s="408">
        <v>0</v>
      </c>
      <c r="EC439" s="408">
        <v>-28046.281448090369</v>
      </c>
      <c r="ED439" s="408">
        <v>0</v>
      </c>
      <c r="EE439" s="408">
        <v>0</v>
      </c>
      <c r="EF439" s="408">
        <v>0</v>
      </c>
      <c r="EG439" s="408">
        <v>0</v>
      </c>
      <c r="EH439" s="408">
        <v>0</v>
      </c>
      <c r="EI439" s="408">
        <v>0</v>
      </c>
      <c r="EJ439" s="408">
        <v>0</v>
      </c>
      <c r="EK439" s="408">
        <v>0</v>
      </c>
      <c r="EL439" s="408">
        <v>0</v>
      </c>
      <c r="EM439" s="408">
        <v>0</v>
      </c>
      <c r="EN439" s="408">
        <v>0</v>
      </c>
      <c r="EO439" s="408">
        <v>0</v>
      </c>
      <c r="EP439" s="408">
        <v>0</v>
      </c>
      <c r="EQ439" s="408">
        <v>0</v>
      </c>
      <c r="ER439" s="408">
        <v>0</v>
      </c>
      <c r="ES439" s="408">
        <v>0</v>
      </c>
      <c r="ET439" s="408">
        <v>0</v>
      </c>
      <c r="EU439" s="408">
        <v>0</v>
      </c>
      <c r="EV439" s="408">
        <v>242</v>
      </c>
      <c r="EW439" s="408">
        <v>0</v>
      </c>
      <c r="EX439" s="408">
        <v>0</v>
      </c>
      <c r="EY439" s="408">
        <v>0</v>
      </c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438</v>
      </c>
      <c r="B440" s="408" t="s">
        <v>2233</v>
      </c>
      <c r="C440" s="408" t="s">
        <v>2231</v>
      </c>
      <c r="D440" s="408" t="s">
        <v>2241</v>
      </c>
      <c r="E440" s="408" t="s">
        <v>974</v>
      </c>
      <c r="F440" s="408" t="s">
        <v>2248</v>
      </c>
      <c r="G440" s="408" t="s">
        <v>2249</v>
      </c>
      <c r="H440" s="408" t="s">
        <v>1322</v>
      </c>
      <c r="I440" s="408" t="s">
        <v>1322</v>
      </c>
      <c r="J440" s="408" t="s">
        <v>2232</v>
      </c>
      <c r="K440" s="828">
        <v>44621</v>
      </c>
      <c r="L440" s="408">
        <v>0</v>
      </c>
      <c r="M440" s="408">
        <v>0</v>
      </c>
      <c r="N440" s="408">
        <v>-1.8919999999999999</v>
      </c>
      <c r="O440" s="408">
        <v>-1.8919999999999999</v>
      </c>
      <c r="P440" s="408">
        <v>-1.8919999999999999</v>
      </c>
      <c r="Q440" s="408">
        <v>-1.8919999999999999</v>
      </c>
      <c r="R440" s="408"/>
      <c r="S440" s="408">
        <v>571.87</v>
      </c>
      <c r="T440" s="408">
        <v>216.76</v>
      </c>
      <c r="U440" s="408"/>
      <c r="V440" s="408">
        <v>-1492.0879599999998</v>
      </c>
      <c r="W440" s="408">
        <v>-1492.0879599999998</v>
      </c>
      <c r="X440" s="408">
        <v>-972.50691999999992</v>
      </c>
      <c r="Y440" s="408">
        <v>0</v>
      </c>
      <c r="Z440" s="408">
        <v>-114.67528744732235</v>
      </c>
      <c r="AA440" s="408">
        <v>0</v>
      </c>
      <c r="AB440" s="408">
        <v>0</v>
      </c>
      <c r="AC440" s="408">
        <v>0</v>
      </c>
      <c r="AD440" s="408">
        <v>-1.5550607194693857</v>
      </c>
      <c r="AE440" s="408">
        <v>-806.71790134470882</v>
      </c>
      <c r="AF440" s="408">
        <v>-404.13403955831927</v>
      </c>
      <c r="AG440" s="408">
        <v>-5.9738097613678649</v>
      </c>
      <c r="AH440" s="408">
        <v>0</v>
      </c>
      <c r="AI440" s="408">
        <v>0</v>
      </c>
      <c r="AJ440" s="408">
        <v>0</v>
      </c>
      <c r="AK440" s="408">
        <v>0</v>
      </c>
      <c r="AL440" s="408">
        <v>-17.734914882014003</v>
      </c>
      <c r="AM440" s="408"/>
      <c r="AN440" s="408">
        <v>-3.6297444002455057</v>
      </c>
      <c r="AO440" s="408">
        <v>-16.804172141302573</v>
      </c>
      <c r="AP440" s="408">
        <v>-52.648882877516805</v>
      </c>
      <c r="AQ440" s="408">
        <v>0</v>
      </c>
      <c r="AR440" s="408">
        <v>0</v>
      </c>
      <c r="AS440" s="408">
        <v>0</v>
      </c>
      <c r="AT440" s="408">
        <v>0</v>
      </c>
      <c r="AU440" s="408">
        <v>0</v>
      </c>
      <c r="AV440" s="408">
        <v>0</v>
      </c>
      <c r="AW440" s="408">
        <v>0</v>
      </c>
      <c r="AX440" s="408">
        <v>0</v>
      </c>
      <c r="AY440" s="408">
        <v>0</v>
      </c>
      <c r="AZ440" s="408">
        <v>0</v>
      </c>
      <c r="BA440" s="408"/>
      <c r="BB440" s="408">
        <v>0</v>
      </c>
      <c r="BC440" s="408">
        <v>0</v>
      </c>
      <c r="BD440" s="408">
        <v>-1.12587172459959</v>
      </c>
      <c r="BE440" s="408">
        <v>0</v>
      </c>
      <c r="BF440" s="408">
        <v>0</v>
      </c>
      <c r="BG440" s="408">
        <v>-67.086985286629911</v>
      </c>
      <c r="BH440" s="408">
        <v>0</v>
      </c>
      <c r="BI440" s="408">
        <v>0</v>
      </c>
      <c r="BJ440" s="408">
        <v>0</v>
      </c>
      <c r="BK440" s="408">
        <v>0</v>
      </c>
      <c r="BL440" s="408">
        <v>0</v>
      </c>
      <c r="BM440" s="408"/>
      <c r="BN440" s="408"/>
      <c r="BO440" s="408"/>
      <c r="BP440" s="408"/>
      <c r="BQ440" s="408"/>
      <c r="BR440" s="408">
        <v>-116.69855999999996</v>
      </c>
      <c r="BS440" s="408"/>
      <c r="BT440" s="408"/>
      <c r="BU440" s="408"/>
      <c r="BV440" s="408">
        <v>-472.34689656954873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-854.90369999999996</v>
      </c>
      <c r="CJ440" s="408">
        <v>458.11430000000007</v>
      </c>
      <c r="CK440" s="408"/>
      <c r="CL440" s="408"/>
      <c r="CM440" s="408"/>
      <c r="CN440" s="408"/>
      <c r="CO440" s="408">
        <v>581.31700000000001</v>
      </c>
      <c r="CP440" s="408">
        <v>-61.735959999999992</v>
      </c>
      <c r="CQ440" s="408">
        <v>31</v>
      </c>
      <c r="CR440" s="408">
        <v>-73.126378661587296</v>
      </c>
      <c r="CS440" s="408">
        <v>-1.7333759688825232</v>
      </c>
      <c r="CT440" s="408">
        <v>-5.4308125149521871</v>
      </c>
      <c r="CU440" s="408">
        <v>0</v>
      </c>
      <c r="CV440" s="408">
        <v>0</v>
      </c>
      <c r="CW440" s="408">
        <v>0</v>
      </c>
      <c r="CX440" s="408">
        <v>0</v>
      </c>
      <c r="CY440" s="408">
        <v>0</v>
      </c>
      <c r="CZ440" s="408">
        <v>-0.15204615426091084</v>
      </c>
      <c r="DA440" s="408">
        <v>0</v>
      </c>
      <c r="DB440" s="408">
        <v>0</v>
      </c>
      <c r="DC440" s="408">
        <v>-61.743894146242553</v>
      </c>
      <c r="DD440" s="408">
        <v>0</v>
      </c>
      <c r="DE440" s="408">
        <v>0</v>
      </c>
      <c r="DF440" s="408">
        <v>-0.17201150554380318</v>
      </c>
      <c r="DG440" s="408">
        <v>-10.249598679327676</v>
      </c>
      <c r="DH440" s="408">
        <v>0</v>
      </c>
      <c r="DI440" s="408">
        <v>5.4788636398172201</v>
      </c>
      <c r="DJ440" s="408"/>
      <c r="DK440" s="408">
        <v>0</v>
      </c>
      <c r="DL440" s="408">
        <v>0</v>
      </c>
      <c r="DM440" s="408">
        <v>0</v>
      </c>
      <c r="DN440" s="408">
        <v>0</v>
      </c>
      <c r="DO440" s="408">
        <v>0.71862955365608627</v>
      </c>
      <c r="DP440" s="408">
        <v>0.1578671141490422</v>
      </c>
      <c r="DQ440" s="408">
        <v>0</v>
      </c>
      <c r="DR440" s="408">
        <v>0</v>
      </c>
      <c r="DS440" s="408"/>
      <c r="DT440" s="408"/>
      <c r="DU440" s="408"/>
      <c r="DV440" s="408">
        <v>-806.71790134470882</v>
      </c>
      <c r="DW440" s="408">
        <v>0</v>
      </c>
      <c r="DX440" s="408">
        <v>0</v>
      </c>
      <c r="DY440" s="408">
        <v>581.31700000000001</v>
      </c>
      <c r="DZ440" s="234">
        <v>-61.735959999999977</v>
      </c>
      <c r="EA440" s="408">
        <v>0</v>
      </c>
      <c r="EB440" s="408">
        <v>0</v>
      </c>
      <c r="EC440" s="408">
        <v>592.703562011739</v>
      </c>
      <c r="ED440" s="408">
        <v>0</v>
      </c>
      <c r="EE440" s="408">
        <v>0</v>
      </c>
      <c r="EF440" s="408">
        <v>0</v>
      </c>
      <c r="EG440" s="408">
        <v>0</v>
      </c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>
        <v>0</v>
      </c>
      <c r="EN440" s="408">
        <v>0</v>
      </c>
      <c r="EO440" s="408">
        <v>0</v>
      </c>
      <c r="EP440" s="408">
        <v>0</v>
      </c>
      <c r="EQ440" s="408">
        <v>0</v>
      </c>
      <c r="ER440" s="408">
        <v>0</v>
      </c>
      <c r="ES440" s="408">
        <v>0</v>
      </c>
      <c r="ET440" s="408">
        <v>0</v>
      </c>
      <c r="EU440" s="408">
        <v>0</v>
      </c>
      <c r="EV440" s="408">
        <v>242</v>
      </c>
      <c r="EW440" s="408">
        <v>0</v>
      </c>
      <c r="EX440" s="408">
        <v>0</v>
      </c>
      <c r="EY440" s="408">
        <v>0</v>
      </c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439</v>
      </c>
      <c r="B441" s="408" t="s">
        <v>2234</v>
      </c>
      <c r="C441" s="408" t="s">
        <v>2231</v>
      </c>
      <c r="D441" s="408" t="s">
        <v>2241</v>
      </c>
      <c r="E441" s="408" t="s">
        <v>974</v>
      </c>
      <c r="F441" s="408" t="s">
        <v>2248</v>
      </c>
      <c r="G441" s="408" t="s">
        <v>2249</v>
      </c>
      <c r="H441" s="408" t="s">
        <v>1322</v>
      </c>
      <c r="I441" s="408" t="s">
        <v>1322</v>
      </c>
      <c r="J441" s="408" t="s">
        <v>2232</v>
      </c>
      <c r="K441" s="828">
        <v>44621</v>
      </c>
      <c r="L441" s="408">
        <v>0</v>
      </c>
      <c r="M441" s="408">
        <v>0</v>
      </c>
      <c r="N441" s="408">
        <v>0.4</v>
      </c>
      <c r="O441" s="408">
        <v>0.4</v>
      </c>
      <c r="P441" s="408">
        <v>0.4</v>
      </c>
      <c r="Q441" s="408">
        <v>0.4</v>
      </c>
      <c r="R441" s="408"/>
      <c r="S441" s="408">
        <v>571.87</v>
      </c>
      <c r="T441" s="408">
        <v>216.76</v>
      </c>
      <c r="U441" s="408"/>
      <c r="V441" s="408">
        <v>315.452</v>
      </c>
      <c r="W441" s="408">
        <v>315.452</v>
      </c>
      <c r="X441" s="408">
        <v>205.60400000000001</v>
      </c>
      <c r="Y441" s="408">
        <v>0</v>
      </c>
      <c r="Z441" s="408">
        <v>24.244246817615721</v>
      </c>
      <c r="AA441" s="408">
        <v>0</v>
      </c>
      <c r="AB441" s="408">
        <v>0</v>
      </c>
      <c r="AC441" s="408">
        <v>0</v>
      </c>
      <c r="AD441" s="408">
        <v>0.32876547980325282</v>
      </c>
      <c r="AE441" s="408">
        <v>170.5534675147376</v>
      </c>
      <c r="AF441" s="408">
        <v>85.440600329454412</v>
      </c>
      <c r="AG441" s="408">
        <v>1.2629618945809442</v>
      </c>
      <c r="AH441" s="408">
        <v>0</v>
      </c>
      <c r="AI441" s="408">
        <v>0</v>
      </c>
      <c r="AJ441" s="408">
        <v>0</v>
      </c>
      <c r="AK441" s="408">
        <v>0</v>
      </c>
      <c r="AL441" s="408">
        <v>3.749453463427908</v>
      </c>
      <c r="AM441" s="408"/>
      <c r="AN441" s="408">
        <v>0.76738782246205206</v>
      </c>
      <c r="AO441" s="408">
        <v>3.5526790996411357</v>
      </c>
      <c r="AP441" s="408">
        <v>11.13084204598664</v>
      </c>
      <c r="AQ441" s="408">
        <v>0</v>
      </c>
      <c r="AR441" s="408">
        <v>0</v>
      </c>
      <c r="AS441" s="408">
        <v>0</v>
      </c>
      <c r="AT441" s="408">
        <v>0</v>
      </c>
      <c r="AU441" s="408">
        <v>0</v>
      </c>
      <c r="AV441" s="408">
        <v>0</v>
      </c>
      <c r="AW441" s="408">
        <v>0</v>
      </c>
      <c r="AX441" s="408">
        <v>0</v>
      </c>
      <c r="AY441" s="408">
        <v>0</v>
      </c>
      <c r="AZ441" s="408">
        <v>0</v>
      </c>
      <c r="BA441" s="408"/>
      <c r="BB441" s="408">
        <v>0</v>
      </c>
      <c r="BC441" s="408">
        <v>0</v>
      </c>
      <c r="BD441" s="408">
        <v>0.238027848752556</v>
      </c>
      <c r="BE441" s="408">
        <v>0</v>
      </c>
      <c r="BF441" s="408">
        <v>0</v>
      </c>
      <c r="BG441" s="408">
        <v>14.183294986602519</v>
      </c>
      <c r="BH441" s="408">
        <v>0</v>
      </c>
      <c r="BI441" s="408">
        <v>0</v>
      </c>
      <c r="BJ441" s="408">
        <v>0</v>
      </c>
      <c r="BK441" s="408">
        <v>0</v>
      </c>
      <c r="BL441" s="408">
        <v>0</v>
      </c>
      <c r="BM441" s="408"/>
      <c r="BN441" s="408"/>
      <c r="BO441" s="408"/>
      <c r="BP441" s="408"/>
      <c r="BQ441" s="408"/>
      <c r="BR441" s="408">
        <v>24.671999999999993</v>
      </c>
      <c r="BS441" s="408"/>
      <c r="BT441" s="408"/>
      <c r="BU441" s="408"/>
      <c r="BV441" s="408">
        <v>99.861923164809483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180.93200000000002</v>
      </c>
      <c r="CJ441" s="408">
        <v>-96.697999999999979</v>
      </c>
      <c r="CK441" s="408"/>
      <c r="CL441" s="408"/>
      <c r="CM441" s="408"/>
      <c r="CN441" s="408"/>
      <c r="CO441" s="408">
        <v>-122.9</v>
      </c>
      <c r="CP441" s="408">
        <v>13.052</v>
      </c>
      <c r="CQ441" s="408">
        <v>31</v>
      </c>
      <c r="CR441" s="408">
        <v>15.460122338601963</v>
      </c>
      <c r="CS441" s="408">
        <v>0.36646426403436028</v>
      </c>
      <c r="CT441" s="408">
        <v>1.1481633224000412</v>
      </c>
      <c r="CU441" s="408">
        <v>0</v>
      </c>
      <c r="CV441" s="408">
        <v>0</v>
      </c>
      <c r="CW441" s="408">
        <v>0</v>
      </c>
      <c r="CX441" s="408">
        <v>0</v>
      </c>
      <c r="CY441" s="408">
        <v>0</v>
      </c>
      <c r="CZ441" s="408">
        <v>3.2145064325773964E-2</v>
      </c>
      <c r="DA441" s="408">
        <v>0</v>
      </c>
      <c r="DB441" s="408">
        <v>0</v>
      </c>
      <c r="DC441" s="408">
        <v>13.053677409353597</v>
      </c>
      <c r="DD441" s="408">
        <v>0</v>
      </c>
      <c r="DE441" s="408">
        <v>0</v>
      </c>
      <c r="DF441" s="408">
        <v>3.636606882532839E-2</v>
      </c>
      <c r="DG441" s="408">
        <v>2.1669341816760408</v>
      </c>
      <c r="DH441" s="408">
        <v>0</v>
      </c>
      <c r="DI441" s="408">
        <v>-1.1583221225829199</v>
      </c>
      <c r="DJ441" s="408"/>
      <c r="DK441" s="408">
        <v>0</v>
      </c>
      <c r="DL441" s="408">
        <v>0</v>
      </c>
      <c r="DM441" s="408">
        <v>0</v>
      </c>
      <c r="DN441" s="408">
        <v>0</v>
      </c>
      <c r="DO441" s="408">
        <v>-0.15193013819367573</v>
      </c>
      <c r="DP441" s="408">
        <v>-3.3375711236584005E-2</v>
      </c>
      <c r="DQ441" s="408">
        <v>0</v>
      </c>
      <c r="DR441" s="408">
        <v>0</v>
      </c>
      <c r="DS441" s="408"/>
      <c r="DT441" s="408"/>
      <c r="DU441" s="408"/>
      <c r="DV441" s="408">
        <v>170.5534675147376</v>
      </c>
      <c r="DW441" s="408">
        <v>0</v>
      </c>
      <c r="DX441" s="408">
        <v>0</v>
      </c>
      <c r="DY441" s="408">
        <v>-122.9</v>
      </c>
      <c r="DZ441" s="234">
        <v>13.051999999999992</v>
      </c>
      <c r="EA441" s="408">
        <v>0</v>
      </c>
      <c r="EB441" s="408">
        <v>0</v>
      </c>
      <c r="EC441" s="408">
        <v>-125.30730697922601</v>
      </c>
      <c r="ED441" s="408">
        <v>0</v>
      </c>
      <c r="EE441" s="408">
        <v>0</v>
      </c>
      <c r="EF441" s="408">
        <v>0</v>
      </c>
      <c r="EG441" s="408">
        <v>0</v>
      </c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>
        <v>0</v>
      </c>
      <c r="EN441" s="408">
        <v>0</v>
      </c>
      <c r="EO441" s="408">
        <v>0</v>
      </c>
      <c r="EP441" s="408">
        <v>0</v>
      </c>
      <c r="EQ441" s="408">
        <v>0</v>
      </c>
      <c r="ER441" s="408">
        <v>0</v>
      </c>
      <c r="ES441" s="408">
        <v>0</v>
      </c>
      <c r="ET441" s="408">
        <v>0</v>
      </c>
      <c r="EU441" s="408">
        <v>0</v>
      </c>
      <c r="EV441" s="408">
        <v>242</v>
      </c>
      <c r="EW441" s="408">
        <v>0</v>
      </c>
      <c r="EX441" s="408">
        <v>0</v>
      </c>
      <c r="EY441" s="408">
        <v>0</v>
      </c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440</v>
      </c>
      <c r="B442" s="408" t="s">
        <v>1036</v>
      </c>
      <c r="C442" s="408" t="s">
        <v>2231</v>
      </c>
      <c r="D442" s="408" t="s">
        <v>2241</v>
      </c>
      <c r="E442" s="408" t="s">
        <v>974</v>
      </c>
      <c r="F442" s="408" t="s">
        <v>2248</v>
      </c>
      <c r="G442" s="408" t="s">
        <v>2250</v>
      </c>
      <c r="H442" s="408" t="s">
        <v>1322</v>
      </c>
      <c r="I442" s="408" t="s">
        <v>1322</v>
      </c>
      <c r="J442" s="408" t="s">
        <v>2232</v>
      </c>
      <c r="K442" s="828">
        <v>44621</v>
      </c>
      <c r="L442" s="408">
        <v>0</v>
      </c>
      <c r="M442" s="408">
        <v>0</v>
      </c>
      <c r="N442" s="408">
        <v>96.337000000000003</v>
      </c>
      <c r="O442" s="408">
        <v>38.534799999999997</v>
      </c>
      <c r="P442" s="408">
        <v>96.337000000000003</v>
      </c>
      <c r="Q442" s="408">
        <v>38.534799999999997</v>
      </c>
      <c r="R442" s="408"/>
      <c r="S442" s="408">
        <v>571.87</v>
      </c>
      <c r="T442" s="408">
        <v>216.76</v>
      </c>
      <c r="U442" s="408"/>
      <c r="V442" s="408">
        <v>75974.248309999995</v>
      </c>
      <c r="W442" s="408">
        <v>75974.248309999995</v>
      </c>
      <c r="X442" s="408">
        <v>49518.181370000006</v>
      </c>
      <c r="Y442" s="408">
        <v>0</v>
      </c>
      <c r="Z442" s="408">
        <v>5839.0450141716146</v>
      </c>
      <c r="AA442" s="408">
        <v>0</v>
      </c>
      <c r="AB442" s="408">
        <v>0</v>
      </c>
      <c r="AC442" s="408">
        <v>0</v>
      </c>
      <c r="AD442" s="408">
        <v>79.180700069514913</v>
      </c>
      <c r="AE442" s="408">
        <v>41076.523499918192</v>
      </c>
      <c r="AF442" s="408">
        <v>20577.727784846622</v>
      </c>
      <c r="AG442" s="408">
        <v>304.17490009561101</v>
      </c>
      <c r="AH442" s="408">
        <v>0</v>
      </c>
      <c r="AI442" s="408">
        <v>0</v>
      </c>
      <c r="AJ442" s="408">
        <v>0</v>
      </c>
      <c r="AK442" s="408">
        <v>0</v>
      </c>
      <c r="AL442" s="408">
        <v>903.02774576563593</v>
      </c>
      <c r="AM442" s="408"/>
      <c r="AN442" s="408">
        <v>184.81960163131677</v>
      </c>
      <c r="AO442" s="408">
        <v>855.63611605532026</v>
      </c>
      <c r="AP442" s="408">
        <v>2680.7798254605373</v>
      </c>
      <c r="AQ442" s="408">
        <v>0</v>
      </c>
      <c r="AR442" s="408">
        <v>0</v>
      </c>
      <c r="AS442" s="408">
        <v>0</v>
      </c>
      <c r="AT442" s="408">
        <v>0</v>
      </c>
      <c r="AU442" s="408">
        <v>0</v>
      </c>
      <c r="AV442" s="408">
        <v>0</v>
      </c>
      <c r="AW442" s="408">
        <v>0</v>
      </c>
      <c r="AX442" s="408">
        <v>0</v>
      </c>
      <c r="AY442" s="408">
        <v>0</v>
      </c>
      <c r="AZ442" s="408">
        <v>0</v>
      </c>
      <c r="BA442" s="408"/>
      <c r="BB442" s="408">
        <v>0</v>
      </c>
      <c r="BC442" s="408">
        <v>0</v>
      </c>
      <c r="BD442" s="408">
        <v>57.327222163187471</v>
      </c>
      <c r="BE442" s="408">
        <v>0</v>
      </c>
      <c r="BF442" s="408">
        <v>0</v>
      </c>
      <c r="BG442" s="408">
        <v>3415.9402228108174</v>
      </c>
      <c r="BH442" s="408">
        <v>0</v>
      </c>
      <c r="BI442" s="408">
        <v>0</v>
      </c>
      <c r="BJ442" s="408">
        <v>0</v>
      </c>
      <c r="BK442" s="408">
        <v>0</v>
      </c>
      <c r="BL442" s="408">
        <v>0</v>
      </c>
      <c r="BM442" s="408"/>
      <c r="BN442" s="408"/>
      <c r="BO442" s="408"/>
      <c r="BP442" s="408"/>
      <c r="BQ442" s="408"/>
      <c r="BR442" s="408"/>
      <c r="BS442" s="408">
        <v>32087.735286000003</v>
      </c>
      <c r="BT442" s="408"/>
      <c r="BU442" s="408"/>
      <c r="BV442" s="408">
        <v>24050.995229820626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17428.2749</v>
      </c>
      <c r="CJ442" s="408">
        <v>-9314.9062999999951</v>
      </c>
      <c r="CK442" s="408"/>
      <c r="CL442" s="408"/>
      <c r="CM442" s="408"/>
      <c r="CN442" s="408"/>
      <c r="CO442" s="408">
        <v>-29599.543250000002</v>
      </c>
      <c r="CP442" s="408">
        <v>3143.4763099999996</v>
      </c>
      <c r="CQ442" s="408">
        <v>31</v>
      </c>
      <c r="CR442" s="408">
        <v>3723.4545143347495</v>
      </c>
      <c r="CS442" s="408">
        <v>88.260169510695391</v>
      </c>
      <c r="CT442" s="408">
        <v>276.52652497513191</v>
      </c>
      <c r="CU442" s="408">
        <v>0</v>
      </c>
      <c r="CV442" s="408">
        <v>0</v>
      </c>
      <c r="CW442" s="408">
        <v>0</v>
      </c>
      <c r="CX442" s="408">
        <v>0</v>
      </c>
      <c r="CY442" s="408">
        <v>0</v>
      </c>
      <c r="CZ442" s="408">
        <v>7.7418976548802192</v>
      </c>
      <c r="DA442" s="408">
        <v>0</v>
      </c>
      <c r="DB442" s="408">
        <v>0</v>
      </c>
      <c r="DC442" s="408">
        <v>3143.8803014622463</v>
      </c>
      <c r="DD442" s="408">
        <v>0</v>
      </c>
      <c r="DE442" s="408">
        <v>0</v>
      </c>
      <c r="DF442" s="408">
        <v>8.7584949310641491</v>
      </c>
      <c r="DG442" s="408">
        <v>521.8898456503116</v>
      </c>
      <c r="DH442" s="408">
        <v>0</v>
      </c>
      <c r="DI442" s="408">
        <v>-278.97319580817748</v>
      </c>
      <c r="DJ442" s="408"/>
      <c r="DK442" s="408">
        <v>0</v>
      </c>
      <c r="DL442" s="408">
        <v>0</v>
      </c>
      <c r="DM442" s="408">
        <v>0</v>
      </c>
      <c r="DN442" s="408">
        <v>0</v>
      </c>
      <c r="DO442" s="408">
        <v>-36.591234307910327</v>
      </c>
      <c r="DP442" s="408">
        <v>-8.0382897334969812</v>
      </c>
      <c r="DQ442" s="408">
        <v>0</v>
      </c>
      <c r="DR442" s="408">
        <v>0</v>
      </c>
      <c r="DS442" s="408"/>
      <c r="DT442" s="408"/>
      <c r="DU442" s="408"/>
      <c r="DV442" s="408">
        <v>41076.523499918192</v>
      </c>
      <c r="DW442" s="408">
        <v>0</v>
      </c>
      <c r="DX442" s="408">
        <v>0</v>
      </c>
      <c r="DY442" s="408">
        <v>-29599.543250000002</v>
      </c>
      <c r="DZ442" s="234">
        <v>3143.4763100000018</v>
      </c>
      <c r="EA442" s="408">
        <v>0</v>
      </c>
      <c r="EB442" s="408">
        <v>0</v>
      </c>
      <c r="EC442" s="408">
        <v>-30179.325081144241</v>
      </c>
      <c r="ED442" s="408">
        <v>0</v>
      </c>
      <c r="EE442" s="408">
        <v>0</v>
      </c>
      <c r="EF442" s="408">
        <v>0</v>
      </c>
      <c r="EG442" s="408">
        <v>0</v>
      </c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>
        <v>0</v>
      </c>
      <c r="EN442" s="408">
        <v>0</v>
      </c>
      <c r="EO442" s="408">
        <v>0</v>
      </c>
      <c r="EP442" s="408">
        <v>0</v>
      </c>
      <c r="EQ442" s="408">
        <v>0</v>
      </c>
      <c r="ER442" s="408">
        <v>0</v>
      </c>
      <c r="ES442" s="408">
        <v>0</v>
      </c>
      <c r="ET442" s="408">
        <v>0</v>
      </c>
      <c r="EU442" s="408">
        <v>0</v>
      </c>
      <c r="EV442" s="408">
        <v>242</v>
      </c>
      <c r="EW442" s="408">
        <v>0</v>
      </c>
      <c r="EX442" s="408">
        <v>0</v>
      </c>
      <c r="EY442" s="408">
        <v>0</v>
      </c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441</v>
      </c>
      <c r="B443" s="408" t="s">
        <v>2233</v>
      </c>
      <c r="C443" s="408" t="s">
        <v>2231</v>
      </c>
      <c r="D443" s="408" t="s">
        <v>2241</v>
      </c>
      <c r="E443" s="408" t="s">
        <v>974</v>
      </c>
      <c r="F443" s="408" t="s">
        <v>2248</v>
      </c>
      <c r="G443" s="408" t="s">
        <v>2250</v>
      </c>
      <c r="H443" s="408" t="s">
        <v>1322</v>
      </c>
      <c r="I443" s="408" t="s">
        <v>1322</v>
      </c>
      <c r="J443" s="408" t="s">
        <v>2232</v>
      </c>
      <c r="K443" s="828">
        <v>44621</v>
      </c>
      <c r="L443" s="408">
        <v>0</v>
      </c>
      <c r="M443" s="408">
        <v>0</v>
      </c>
      <c r="N443" s="408">
        <v>-0.90900000000000003</v>
      </c>
      <c r="O443" s="408">
        <v>-0.36359999999999998</v>
      </c>
      <c r="P443" s="408">
        <v>-0.90900000000000003</v>
      </c>
      <c r="Q443" s="408">
        <v>-0.36359999999999998</v>
      </c>
      <c r="R443" s="408"/>
      <c r="S443" s="408">
        <v>571.87</v>
      </c>
      <c r="T443" s="408">
        <v>216.76</v>
      </c>
      <c r="U443" s="408"/>
      <c r="V443" s="408">
        <v>-716.86467000000005</v>
      </c>
      <c r="W443" s="408">
        <v>-716.86467000000005</v>
      </c>
      <c r="X443" s="408">
        <v>-467.23509000000001</v>
      </c>
      <c r="Y443" s="408">
        <v>0</v>
      </c>
      <c r="Z443" s="408">
        <v>-55.095050893031726</v>
      </c>
      <c r="AA443" s="408">
        <v>0</v>
      </c>
      <c r="AB443" s="408">
        <v>0</v>
      </c>
      <c r="AC443" s="408">
        <v>0</v>
      </c>
      <c r="AD443" s="408">
        <v>-0.747119552852892</v>
      </c>
      <c r="AE443" s="408">
        <v>-387.58275492724118</v>
      </c>
      <c r="AF443" s="408">
        <v>-194.16376424868514</v>
      </c>
      <c r="AG443" s="408">
        <v>-2.8700809054351955</v>
      </c>
      <c r="AH443" s="408">
        <v>0</v>
      </c>
      <c r="AI443" s="408">
        <v>0</v>
      </c>
      <c r="AJ443" s="408">
        <v>0</v>
      </c>
      <c r="AK443" s="408">
        <v>0</v>
      </c>
      <c r="AL443" s="408">
        <v>-8.5206329956399198</v>
      </c>
      <c r="AM443" s="408"/>
      <c r="AN443" s="408">
        <v>-1.7438888265450132</v>
      </c>
      <c r="AO443" s="408">
        <v>-8.0734632539344808</v>
      </c>
      <c r="AP443" s="408">
        <v>-25.29483854950464</v>
      </c>
      <c r="AQ443" s="408">
        <v>0</v>
      </c>
      <c r="AR443" s="408">
        <v>0</v>
      </c>
      <c r="AS443" s="408">
        <v>0</v>
      </c>
      <c r="AT443" s="408">
        <v>0</v>
      </c>
      <c r="AU443" s="408">
        <v>0</v>
      </c>
      <c r="AV443" s="408">
        <v>0</v>
      </c>
      <c r="AW443" s="408">
        <v>0</v>
      </c>
      <c r="AX443" s="408">
        <v>0</v>
      </c>
      <c r="AY443" s="408">
        <v>0</v>
      </c>
      <c r="AZ443" s="408">
        <v>0</v>
      </c>
      <c r="BA443" s="408"/>
      <c r="BB443" s="408">
        <v>0</v>
      </c>
      <c r="BC443" s="408">
        <v>0</v>
      </c>
      <c r="BD443" s="408">
        <v>-0.54091828629018357</v>
      </c>
      <c r="BE443" s="408">
        <v>0</v>
      </c>
      <c r="BF443" s="408">
        <v>0</v>
      </c>
      <c r="BG443" s="408">
        <v>-32.231537857054228</v>
      </c>
      <c r="BH443" s="408">
        <v>0</v>
      </c>
      <c r="BI443" s="408">
        <v>0</v>
      </c>
      <c r="BJ443" s="408">
        <v>0</v>
      </c>
      <c r="BK443" s="408">
        <v>0</v>
      </c>
      <c r="BL443" s="408">
        <v>0</v>
      </c>
      <c r="BM443" s="408"/>
      <c r="BN443" s="408"/>
      <c r="BO443" s="408"/>
      <c r="BP443" s="408"/>
      <c r="BQ443" s="408"/>
      <c r="BR443" s="408"/>
      <c r="BS443" s="408">
        <v>-302.76790200000005</v>
      </c>
      <c r="BT443" s="408"/>
      <c r="BU443" s="408"/>
      <c r="BV443" s="408">
        <v>-226.93622039202955</v>
      </c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>
        <v>-162.83879999999999</v>
      </c>
      <c r="CJ443" s="408">
        <v>89.469600000000014</v>
      </c>
      <c r="CK443" s="408"/>
      <c r="CL443" s="408"/>
      <c r="CM443" s="408"/>
      <c r="CN443" s="408"/>
      <c r="CO443" s="408">
        <v>279.29025000000001</v>
      </c>
      <c r="CP443" s="408">
        <v>-29.660669999999996</v>
      </c>
      <c r="CQ443" s="408">
        <v>31</v>
      </c>
      <c r="CR443" s="408">
        <v>-35.133128014472959</v>
      </c>
      <c r="CS443" s="408">
        <v>-0.8327900400180841</v>
      </c>
      <c r="CT443" s="408">
        <v>-2.6092011501540924</v>
      </c>
      <c r="CU443" s="408">
        <v>0</v>
      </c>
      <c r="CV443" s="408">
        <v>0</v>
      </c>
      <c r="CW443" s="408">
        <v>0</v>
      </c>
      <c r="CX443" s="408">
        <v>0</v>
      </c>
      <c r="CY443" s="408">
        <v>0</v>
      </c>
      <c r="CZ443" s="408">
        <v>-7.3049658680321428E-2</v>
      </c>
      <c r="DA443" s="408">
        <v>0</v>
      </c>
      <c r="DB443" s="408">
        <v>0</v>
      </c>
      <c r="DC443" s="408">
        <v>-29.66448191275606</v>
      </c>
      <c r="DD443" s="408">
        <v>0</v>
      </c>
      <c r="DE443" s="408">
        <v>0</v>
      </c>
      <c r="DF443" s="408">
        <v>-8.2641891405558776E-2</v>
      </c>
      <c r="DG443" s="408">
        <v>-4.9243579278588001</v>
      </c>
      <c r="DH443" s="408">
        <v>0</v>
      </c>
      <c r="DI443" s="408">
        <v>2.6322870235696882</v>
      </c>
      <c r="DJ443" s="408"/>
      <c r="DK443" s="408">
        <v>0</v>
      </c>
      <c r="DL443" s="408">
        <v>0</v>
      </c>
      <c r="DM443" s="408">
        <v>0</v>
      </c>
      <c r="DN443" s="408">
        <v>0</v>
      </c>
      <c r="DO443" s="408">
        <v>0.34526123904512751</v>
      </c>
      <c r="DP443" s="408">
        <v>7.5846303785137126E-2</v>
      </c>
      <c r="DQ443" s="408">
        <v>0</v>
      </c>
      <c r="DR443" s="408">
        <v>0</v>
      </c>
      <c r="DS443" s="408"/>
      <c r="DT443" s="408"/>
      <c r="DU443" s="408"/>
      <c r="DV443" s="408">
        <v>-387.58275492724118</v>
      </c>
      <c r="DW443" s="408">
        <v>0</v>
      </c>
      <c r="DX443" s="408">
        <v>0</v>
      </c>
      <c r="DY443" s="408">
        <v>279.29025000000001</v>
      </c>
      <c r="DZ443" s="234">
        <v>-29.660669999999982</v>
      </c>
      <c r="EA443" s="408">
        <v>0</v>
      </c>
      <c r="EB443" s="408">
        <v>0</v>
      </c>
      <c r="EC443" s="408">
        <v>284.76085511029106</v>
      </c>
      <c r="ED443" s="408">
        <v>0</v>
      </c>
      <c r="EE443" s="408">
        <v>0</v>
      </c>
      <c r="EF443" s="408">
        <v>0</v>
      </c>
      <c r="EG443" s="408">
        <v>0</v>
      </c>
      <c r="EH443" s="408">
        <v>0</v>
      </c>
      <c r="EI443" s="408">
        <v>0</v>
      </c>
      <c r="EJ443" s="408">
        <v>0</v>
      </c>
      <c r="EK443" s="408">
        <v>0</v>
      </c>
      <c r="EL443" s="408">
        <v>0</v>
      </c>
      <c r="EM443" s="408">
        <v>0</v>
      </c>
      <c r="EN443" s="408">
        <v>0</v>
      </c>
      <c r="EO443" s="408">
        <v>0</v>
      </c>
      <c r="EP443" s="408">
        <v>0</v>
      </c>
      <c r="EQ443" s="408">
        <v>0</v>
      </c>
      <c r="ER443" s="408">
        <v>0</v>
      </c>
      <c r="ES443" s="408">
        <v>0</v>
      </c>
      <c r="ET443" s="408">
        <v>0</v>
      </c>
      <c r="EU443" s="408">
        <v>0</v>
      </c>
      <c r="EV443" s="408">
        <v>242</v>
      </c>
      <c r="EW443" s="408">
        <v>0</v>
      </c>
      <c r="EX443" s="408">
        <v>0</v>
      </c>
      <c r="EY443" s="408">
        <v>0</v>
      </c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443</v>
      </c>
      <c r="B444" s="408" t="s">
        <v>1036</v>
      </c>
      <c r="C444" s="408" t="s">
        <v>2239</v>
      </c>
      <c r="D444" s="408" t="s">
        <v>597</v>
      </c>
      <c r="E444" s="408" t="s">
        <v>974</v>
      </c>
      <c r="F444" s="408" t="s">
        <v>2248</v>
      </c>
      <c r="G444" s="408" t="s">
        <v>1322</v>
      </c>
      <c r="H444" s="408" t="s">
        <v>1322</v>
      </c>
      <c r="I444" s="408" t="s">
        <v>973</v>
      </c>
      <c r="J444" s="408" t="s">
        <v>2232</v>
      </c>
      <c r="K444" s="828">
        <v>44621</v>
      </c>
      <c r="L444" s="408">
        <v>0</v>
      </c>
      <c r="M444" s="408">
        <v>0</v>
      </c>
      <c r="N444" s="408">
        <v>0.74099999999999999</v>
      </c>
      <c r="O444" s="408">
        <v>0.71135999999999999</v>
      </c>
      <c r="P444" s="408">
        <v>0.74099999999999999</v>
      </c>
      <c r="Q444" s="408">
        <v>0.71135999999999999</v>
      </c>
      <c r="R444" s="408"/>
      <c r="S444" s="408">
        <v>2592.54</v>
      </c>
      <c r="T444" s="408">
        <v>216.76</v>
      </c>
      <c r="U444" s="408"/>
      <c r="V444" s="408">
        <v>2081.6913</v>
      </c>
      <c r="W444" s="408">
        <v>2081.6913</v>
      </c>
      <c r="X444" s="408">
        <v>875.26919999999996</v>
      </c>
      <c r="Y444" s="408">
        <v>0</v>
      </c>
      <c r="Z444" s="408">
        <v>39.07384648978082</v>
      </c>
      <c r="AA444" s="408">
        <v>0</v>
      </c>
      <c r="AB444" s="408">
        <v>0</v>
      </c>
      <c r="AC444" s="408">
        <v>0</v>
      </c>
      <c r="AD444" s="408">
        <v>3.7469666884364323</v>
      </c>
      <c r="AE444" s="408">
        <v>1697.5506047706479</v>
      </c>
      <c r="AF444" s="408">
        <v>158.27871211031427</v>
      </c>
      <c r="AG444" s="408">
        <v>2.3396369097111989</v>
      </c>
      <c r="AH444" s="408">
        <v>0</v>
      </c>
      <c r="AI444" s="408">
        <v>0</v>
      </c>
      <c r="AJ444" s="408">
        <v>0</v>
      </c>
      <c r="AK444" s="408">
        <v>0</v>
      </c>
      <c r="AL444" s="408">
        <v>6.9458625410001993</v>
      </c>
      <c r="AM444" s="408"/>
      <c r="AN444" s="408">
        <v>1.0175576476075745</v>
      </c>
      <c r="AO444" s="408">
        <v>33.43011981175696</v>
      </c>
      <c r="AP444" s="408">
        <v>126.85975480475521</v>
      </c>
      <c r="AQ444" s="408">
        <v>0</v>
      </c>
      <c r="AR444" s="408">
        <v>0</v>
      </c>
      <c r="AS444" s="408">
        <v>0</v>
      </c>
      <c r="AT444" s="408">
        <v>0</v>
      </c>
      <c r="AU444" s="408">
        <v>0</v>
      </c>
      <c r="AV444" s="408">
        <v>0</v>
      </c>
      <c r="AW444" s="408">
        <v>0</v>
      </c>
      <c r="AX444" s="408">
        <v>0</v>
      </c>
      <c r="AY444" s="408">
        <v>0</v>
      </c>
      <c r="AZ444" s="408">
        <v>0</v>
      </c>
      <c r="BA444" s="408"/>
      <c r="BB444" s="408">
        <v>0</v>
      </c>
      <c r="BC444" s="408">
        <v>0</v>
      </c>
      <c r="BD444" s="408">
        <v>0.3388583355551224</v>
      </c>
      <c r="BE444" s="408">
        <v>0</v>
      </c>
      <c r="BF444" s="408">
        <v>0</v>
      </c>
      <c r="BG444" s="408">
        <v>12.105092208847754</v>
      </c>
      <c r="BH444" s="408">
        <v>0</v>
      </c>
      <c r="BI444" s="408">
        <v>0</v>
      </c>
      <c r="BJ444" s="408">
        <v>0</v>
      </c>
      <c r="BK444" s="408">
        <v>0</v>
      </c>
      <c r="BL444" s="408">
        <v>0</v>
      </c>
      <c r="BM444" s="408"/>
      <c r="BN444" s="408"/>
      <c r="BO444" s="408"/>
      <c r="BP444" s="408"/>
      <c r="BQ444" s="408"/>
      <c r="BR444" s="408">
        <v>35.010767999999999</v>
      </c>
      <c r="BS444" s="408"/>
      <c r="BT444" s="408"/>
      <c r="BU444" s="408"/>
      <c r="BV444" s="408">
        <v>170.72266265471717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838.65199999999982</v>
      </c>
      <c r="CJ444" s="408">
        <v>-1159.8016480000001</v>
      </c>
      <c r="CK444" s="408"/>
      <c r="CL444" s="408"/>
      <c r="CM444" s="408"/>
      <c r="CN444" s="408"/>
      <c r="CO444" s="408">
        <v>-1230.6009300000001</v>
      </c>
      <c r="CP444" s="408">
        <v>24.178829999999998</v>
      </c>
      <c r="CQ444" s="408">
        <v>31</v>
      </c>
      <c r="CR444" s="408">
        <v>40.791092392009546</v>
      </c>
      <c r="CS444" s="408">
        <v>3.4483678119516625</v>
      </c>
      <c r="CT444" s="408">
        <v>13.085777064637639</v>
      </c>
      <c r="CU444" s="408">
        <v>0</v>
      </c>
      <c r="CV444" s="408">
        <v>0</v>
      </c>
      <c r="CW444" s="408">
        <v>0</v>
      </c>
      <c r="CX444" s="408">
        <v>0</v>
      </c>
      <c r="CY444" s="408">
        <v>0</v>
      </c>
      <c r="CZ444" s="408">
        <v>0.3663598906381611</v>
      </c>
      <c r="DA444" s="408">
        <v>0</v>
      </c>
      <c r="DB444" s="408">
        <v>0</v>
      </c>
      <c r="DC444" s="408">
        <v>24.181937400827536</v>
      </c>
      <c r="DD444" s="408">
        <v>0</v>
      </c>
      <c r="DE444" s="408">
        <v>0</v>
      </c>
      <c r="DF444" s="408">
        <v>5.1771024346165095E-2</v>
      </c>
      <c r="DG444" s="408">
        <v>1.8494248412988821</v>
      </c>
      <c r="DH444" s="408">
        <v>0</v>
      </c>
      <c r="DI444" s="408">
        <v>-1.8668388069137833</v>
      </c>
      <c r="DJ444" s="408"/>
      <c r="DK444" s="408">
        <v>0</v>
      </c>
      <c r="DL444" s="408">
        <v>0</v>
      </c>
      <c r="DM444" s="408">
        <v>0</v>
      </c>
      <c r="DN444" s="408">
        <v>0</v>
      </c>
      <c r="DO444" s="408">
        <v>-0.28145058100378417</v>
      </c>
      <c r="DP444" s="408">
        <v>-4.4256253772918974E-2</v>
      </c>
      <c r="DQ444" s="408">
        <v>0</v>
      </c>
      <c r="DR444" s="408">
        <v>0</v>
      </c>
      <c r="DS444" s="408"/>
      <c r="DT444" s="408"/>
      <c r="DU444" s="408"/>
      <c r="DV444" s="408">
        <v>1697.5506047706479</v>
      </c>
      <c r="DW444" s="408">
        <v>0</v>
      </c>
      <c r="DX444" s="408">
        <v>0</v>
      </c>
      <c r="DY444" s="408">
        <v>-1230.6009300000001</v>
      </c>
      <c r="DZ444" s="234">
        <v>24.178830000000005</v>
      </c>
      <c r="EA444" s="408">
        <v>0</v>
      </c>
      <c r="EB444" s="408">
        <v>0</v>
      </c>
      <c r="EC444" s="408">
        <v>-1247.2070949034533</v>
      </c>
      <c r="ED444" s="408">
        <v>0</v>
      </c>
      <c r="EE444" s="408">
        <v>0</v>
      </c>
      <c r="EF444" s="408">
        <v>0</v>
      </c>
      <c r="EG444" s="408">
        <v>0</v>
      </c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>
        <v>0</v>
      </c>
      <c r="EN444" s="408">
        <v>0</v>
      </c>
      <c r="EO444" s="408">
        <v>0</v>
      </c>
      <c r="EP444" s="408">
        <v>0</v>
      </c>
      <c r="EQ444" s="408">
        <v>0</v>
      </c>
      <c r="ER444" s="408">
        <v>0</v>
      </c>
      <c r="ES444" s="408">
        <v>0</v>
      </c>
      <c r="ET444" s="408">
        <v>0</v>
      </c>
      <c r="EU444" s="408">
        <v>0</v>
      </c>
      <c r="EV444" s="408">
        <v>242</v>
      </c>
      <c r="EW444" s="408">
        <v>0</v>
      </c>
      <c r="EX444" s="408">
        <v>0</v>
      </c>
      <c r="EY444" s="408">
        <v>0</v>
      </c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444</v>
      </c>
      <c r="B445" s="408" t="s">
        <v>1036</v>
      </c>
      <c r="C445" s="408" t="s">
        <v>2239</v>
      </c>
      <c r="D445" s="408" t="s">
        <v>597</v>
      </c>
      <c r="E445" s="408" t="s">
        <v>974</v>
      </c>
      <c r="F445" s="408" t="s">
        <v>2248</v>
      </c>
      <c r="G445" s="408" t="s">
        <v>1322</v>
      </c>
      <c r="H445" s="408" t="s">
        <v>1322</v>
      </c>
      <c r="I445" s="408" t="s">
        <v>2240</v>
      </c>
      <c r="J445" s="408" t="s">
        <v>2232</v>
      </c>
      <c r="K445" s="828">
        <v>44621</v>
      </c>
      <c r="L445" s="408">
        <v>0</v>
      </c>
      <c r="M445" s="408">
        <v>0</v>
      </c>
      <c r="N445" s="408">
        <v>45.284999999999997</v>
      </c>
      <c r="O445" s="408">
        <v>43.473599999999998</v>
      </c>
      <c r="P445" s="408">
        <v>45.284999999999997</v>
      </c>
      <c r="Q445" s="408">
        <v>43.473599999999998</v>
      </c>
      <c r="R445" s="408"/>
      <c r="S445" s="408">
        <v>80.27</v>
      </c>
      <c r="T445" s="408">
        <v>216.76</v>
      </c>
      <c r="U445" s="408"/>
      <c r="V445" s="408">
        <v>13451.003549999998</v>
      </c>
      <c r="W445" s="408">
        <v>13451.003549999998</v>
      </c>
      <c r="X445" s="408">
        <v>14910.991949999998</v>
      </c>
      <c r="Y445" s="408">
        <v>0</v>
      </c>
      <c r="Z445" s="408">
        <v>2387.9340597702085</v>
      </c>
      <c r="AA445" s="408">
        <v>0</v>
      </c>
      <c r="AB445" s="408">
        <v>0</v>
      </c>
      <c r="AC445" s="408">
        <v>0</v>
      </c>
      <c r="AD445" s="408">
        <v>0</v>
      </c>
      <c r="AE445" s="408">
        <v>0</v>
      </c>
      <c r="AF445" s="408">
        <v>9672.9439647983563</v>
      </c>
      <c r="AG445" s="408">
        <v>142.98307349024512</v>
      </c>
      <c r="AH445" s="408">
        <v>0</v>
      </c>
      <c r="AI445" s="408">
        <v>0</v>
      </c>
      <c r="AJ445" s="408">
        <v>0</v>
      </c>
      <c r="AK445" s="408">
        <v>0</v>
      </c>
      <c r="AL445" s="408">
        <v>424.48500022833196</v>
      </c>
      <c r="AM445" s="408"/>
      <c r="AN445" s="408">
        <v>62.186367168568154</v>
      </c>
      <c r="AO445" s="408">
        <v>0</v>
      </c>
      <c r="AP445" s="408">
        <v>0</v>
      </c>
      <c r="AQ445" s="408">
        <v>0</v>
      </c>
      <c r="AR445" s="408">
        <v>0</v>
      </c>
      <c r="AS445" s="408">
        <v>0</v>
      </c>
      <c r="AT445" s="408">
        <v>0</v>
      </c>
      <c r="AU445" s="408">
        <v>0</v>
      </c>
      <c r="AV445" s="408">
        <v>0</v>
      </c>
      <c r="AW445" s="408">
        <v>0</v>
      </c>
      <c r="AX445" s="408">
        <v>0</v>
      </c>
      <c r="AY445" s="408">
        <v>0</v>
      </c>
      <c r="AZ445" s="408">
        <v>0</v>
      </c>
      <c r="BA445" s="408"/>
      <c r="BB445" s="408">
        <v>0</v>
      </c>
      <c r="BC445" s="408">
        <v>0</v>
      </c>
      <c r="BD445" s="408">
        <v>20.708771559532682</v>
      </c>
      <c r="BE445" s="408">
        <v>0</v>
      </c>
      <c r="BF445" s="408">
        <v>0</v>
      </c>
      <c r="BG445" s="408">
        <v>739.78286191318557</v>
      </c>
      <c r="BH445" s="408">
        <v>0</v>
      </c>
      <c r="BI445" s="408">
        <v>0</v>
      </c>
      <c r="BJ445" s="408">
        <v>0</v>
      </c>
      <c r="BK445" s="408">
        <v>0</v>
      </c>
      <c r="BL445" s="408">
        <v>0</v>
      </c>
      <c r="BM445" s="408"/>
      <c r="BN445" s="408"/>
      <c r="BO445" s="408"/>
      <c r="BP445" s="408"/>
      <c r="BQ445" s="408"/>
      <c r="BR445" s="408">
        <v>596.43967799999962</v>
      </c>
      <c r="BS445" s="408"/>
      <c r="BT445" s="408"/>
      <c r="BU445" s="408"/>
      <c r="BV445" s="408">
        <v>10433.435598271075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14313.366899999999</v>
      </c>
      <c r="CJ445" s="408">
        <v>1400.3734919999988</v>
      </c>
      <c r="CK445" s="408"/>
      <c r="CL445" s="408"/>
      <c r="CM445" s="408"/>
      <c r="CN445" s="408"/>
      <c r="CO445" s="408">
        <v>-17.661150000000024</v>
      </c>
      <c r="CP445" s="408">
        <v>1477.6495499999996</v>
      </c>
      <c r="CQ445" s="408">
        <v>31</v>
      </c>
      <c r="CR445" s="408">
        <v>1460.0340898626928</v>
      </c>
      <c r="CS445" s="408">
        <v>0</v>
      </c>
      <c r="CT445" s="408">
        <v>0</v>
      </c>
      <c r="CU445" s="408">
        <v>0</v>
      </c>
      <c r="CV445" s="408">
        <v>0</v>
      </c>
      <c r="CW445" s="408">
        <v>0</v>
      </c>
      <c r="CX445" s="408">
        <v>0</v>
      </c>
      <c r="CY445" s="408">
        <v>0</v>
      </c>
      <c r="CZ445" s="408">
        <v>0</v>
      </c>
      <c r="DA445" s="408">
        <v>0</v>
      </c>
      <c r="DB445" s="408">
        <v>0</v>
      </c>
      <c r="DC445" s="408">
        <v>1477.8394537064432</v>
      </c>
      <c r="DD445" s="408">
        <v>0</v>
      </c>
      <c r="DE445" s="408">
        <v>0</v>
      </c>
      <c r="DF445" s="408">
        <v>3.1639012652038936</v>
      </c>
      <c r="DG445" s="408">
        <v>113.02456671824541</v>
      </c>
      <c r="DH445" s="408">
        <v>0</v>
      </c>
      <c r="DI445" s="408">
        <v>-114.08879267353723</v>
      </c>
      <c r="DJ445" s="408"/>
      <c r="DK445" s="408">
        <v>0</v>
      </c>
      <c r="DL445" s="408">
        <v>0</v>
      </c>
      <c r="DM445" s="408">
        <v>0</v>
      </c>
      <c r="DN445" s="408">
        <v>0</v>
      </c>
      <c r="DO445" s="408">
        <v>-17.200390770251488</v>
      </c>
      <c r="DP445" s="408">
        <v>-2.7046483834097543</v>
      </c>
      <c r="DQ445" s="408">
        <v>0</v>
      </c>
      <c r="DR445" s="408">
        <v>0</v>
      </c>
      <c r="DS445" s="408"/>
      <c r="DT445" s="408"/>
      <c r="DU445" s="408"/>
      <c r="DV445" s="408">
        <v>0</v>
      </c>
      <c r="DW445" s="408">
        <v>0</v>
      </c>
      <c r="DX445" s="408">
        <v>0</v>
      </c>
      <c r="DY445" s="408">
        <v>-17.661149999999907</v>
      </c>
      <c r="DZ445" s="234">
        <v>1477.6495500000001</v>
      </c>
      <c r="EA445" s="408">
        <v>0</v>
      </c>
      <c r="EB445" s="408">
        <v>0</v>
      </c>
      <c r="EC445" s="408">
        <v>0</v>
      </c>
      <c r="ED445" s="408">
        <v>0</v>
      </c>
      <c r="EE445" s="408">
        <v>0</v>
      </c>
      <c r="EF445" s="408">
        <v>0</v>
      </c>
      <c r="EG445" s="408">
        <v>0</v>
      </c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>
        <v>0</v>
      </c>
      <c r="EN445" s="408">
        <v>0</v>
      </c>
      <c r="EO445" s="408">
        <v>0</v>
      </c>
      <c r="EP445" s="408">
        <v>0</v>
      </c>
      <c r="EQ445" s="408">
        <v>0</v>
      </c>
      <c r="ER445" s="408">
        <v>0</v>
      </c>
      <c r="ES445" s="408">
        <v>0</v>
      </c>
      <c r="ET445" s="408">
        <v>0</v>
      </c>
      <c r="EU445" s="408">
        <v>0</v>
      </c>
      <c r="EV445" s="408">
        <v>242</v>
      </c>
      <c r="EW445" s="408">
        <v>0</v>
      </c>
      <c r="EX445" s="408">
        <v>0</v>
      </c>
      <c r="EY445" s="408">
        <v>0</v>
      </c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445</v>
      </c>
      <c r="B446" s="408" t="s">
        <v>1036</v>
      </c>
      <c r="C446" s="408" t="s">
        <v>2239</v>
      </c>
      <c r="D446" s="408" t="s">
        <v>597</v>
      </c>
      <c r="E446" s="408" t="s">
        <v>974</v>
      </c>
      <c r="F446" s="408" t="s">
        <v>2248</v>
      </c>
      <c r="G446" s="408" t="s">
        <v>1322</v>
      </c>
      <c r="H446" s="408" t="s">
        <v>1322</v>
      </c>
      <c r="I446" s="408" t="s">
        <v>1322</v>
      </c>
      <c r="J446" s="408" t="s">
        <v>2232</v>
      </c>
      <c r="K446" s="828">
        <v>44621</v>
      </c>
      <c r="L446" s="408">
        <v>1649</v>
      </c>
      <c r="M446" s="408">
        <v>1583.04</v>
      </c>
      <c r="N446" s="408">
        <v>0</v>
      </c>
      <c r="O446" s="408">
        <v>0</v>
      </c>
      <c r="P446" s="408">
        <v>0</v>
      </c>
      <c r="Q446" s="408">
        <v>0</v>
      </c>
      <c r="R446" s="408">
        <v>32.17</v>
      </c>
      <c r="S446" s="408"/>
      <c r="T446" s="408"/>
      <c r="U446" s="408">
        <v>53048.33</v>
      </c>
      <c r="V446" s="408"/>
      <c r="W446" s="408">
        <v>53048.33</v>
      </c>
      <c r="X446" s="408">
        <v>21321.57</v>
      </c>
      <c r="Y446" s="408">
        <v>0</v>
      </c>
      <c r="Z446" s="408">
        <v>0</v>
      </c>
      <c r="AA446" s="408">
        <v>0</v>
      </c>
      <c r="AB446" s="408">
        <v>0</v>
      </c>
      <c r="AC446" s="408">
        <v>0</v>
      </c>
      <c r="AD446" s="408">
        <v>164.76185524147314</v>
      </c>
      <c r="AE446" s="408">
        <v>44402.186721584956</v>
      </c>
      <c r="AF446" s="408"/>
      <c r="AG446" s="408"/>
      <c r="AH446" s="408"/>
      <c r="AI446" s="408">
        <v>0</v>
      </c>
      <c r="AJ446" s="408">
        <v>0</v>
      </c>
      <c r="AK446" s="408">
        <v>0</v>
      </c>
      <c r="AL446" s="408">
        <v>0</v>
      </c>
      <c r="AM446" s="408"/>
      <c r="AN446" s="408">
        <v>0</v>
      </c>
      <c r="AO446" s="408">
        <v>2909.5304044762411</v>
      </c>
      <c r="AP446" s="408">
        <v>5578.3446578199264</v>
      </c>
      <c r="AQ446" s="408">
        <v>0</v>
      </c>
      <c r="AR446" s="408">
        <v>0</v>
      </c>
      <c r="AS446" s="408"/>
      <c r="AT446" s="408"/>
      <c r="AU446" s="408">
        <v>0</v>
      </c>
      <c r="AV446" s="408">
        <v>0</v>
      </c>
      <c r="AW446" s="408">
        <v>0</v>
      </c>
      <c r="AX446" s="408"/>
      <c r="AY446" s="408"/>
      <c r="AZ446" s="408">
        <v>0</v>
      </c>
      <c r="BA446" s="408"/>
      <c r="BB446" s="408">
        <v>0</v>
      </c>
      <c r="BC446" s="408">
        <v>0</v>
      </c>
      <c r="BD446" s="408">
        <v>0</v>
      </c>
      <c r="BE446" s="408">
        <v>0</v>
      </c>
      <c r="BF446" s="408"/>
      <c r="BG446" s="408">
        <v>0</v>
      </c>
      <c r="BH446" s="408">
        <v>0</v>
      </c>
      <c r="BI446" s="408">
        <v>65.180000000000007</v>
      </c>
      <c r="BJ446" s="408">
        <v>296.07</v>
      </c>
      <c r="BK446" s="408">
        <v>78.849999999999994</v>
      </c>
      <c r="BL446" s="408">
        <v>13</v>
      </c>
      <c r="BM446" s="408"/>
      <c r="BN446" s="408"/>
      <c r="BO446" s="408"/>
      <c r="BP446" s="408"/>
      <c r="BQ446" s="408"/>
      <c r="BR446" s="408">
        <v>852.86280000000045</v>
      </c>
      <c r="BS446" s="408"/>
      <c r="BT446" s="408"/>
      <c r="BU446" s="408"/>
      <c r="BV446" s="408">
        <v>0</v>
      </c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>
        <v>20468.707200000001</v>
      </c>
      <c r="CJ446" s="408">
        <v>-30457.719600000008</v>
      </c>
      <c r="CK446" s="408"/>
      <c r="CL446" s="408"/>
      <c r="CM446" s="408"/>
      <c r="CN446" s="408"/>
      <c r="CO446" s="408">
        <v>-31726.760000000002</v>
      </c>
      <c r="CP446" s="408">
        <v>0</v>
      </c>
      <c r="CQ446" s="408">
        <v>31</v>
      </c>
      <c r="CR446" s="408">
        <v>891.64684987468172</v>
      </c>
      <c r="CS446" s="408">
        <v>300.12249585663631</v>
      </c>
      <c r="CT446" s="408">
        <v>575.41475383027318</v>
      </c>
      <c r="CU446" s="408">
        <v>0</v>
      </c>
      <c r="CV446" s="408">
        <v>0</v>
      </c>
      <c r="CW446" s="408"/>
      <c r="CX446" s="408"/>
      <c r="CY446" s="408"/>
      <c r="CZ446" s="408">
        <v>16.109600187771349</v>
      </c>
      <c r="DA446" s="408">
        <v>0</v>
      </c>
      <c r="DB446" s="408">
        <v>0</v>
      </c>
      <c r="DC446" s="408"/>
      <c r="DD446" s="408"/>
      <c r="DE446" s="408">
        <v>0</v>
      </c>
      <c r="DF446" s="408">
        <v>0</v>
      </c>
      <c r="DG446" s="408">
        <v>0</v>
      </c>
      <c r="DH446" s="408">
        <v>0</v>
      </c>
      <c r="DI446" s="408">
        <v>0</v>
      </c>
      <c r="DJ446" s="408"/>
      <c r="DK446" s="408">
        <v>0</v>
      </c>
      <c r="DL446" s="408">
        <v>0</v>
      </c>
      <c r="DM446" s="408"/>
      <c r="DN446" s="408">
        <v>0</v>
      </c>
      <c r="DO446" s="408">
        <v>0</v>
      </c>
      <c r="DP446" s="408">
        <v>0</v>
      </c>
      <c r="DQ446" s="408">
        <v>0</v>
      </c>
      <c r="DR446" s="408">
        <v>0</v>
      </c>
      <c r="DS446" s="408"/>
      <c r="DT446" s="408"/>
      <c r="DU446" s="408">
        <v>44402.186721584956</v>
      </c>
      <c r="DV446" s="408"/>
      <c r="DW446" s="408">
        <v>0</v>
      </c>
      <c r="DX446" s="408">
        <v>0</v>
      </c>
      <c r="DY446" s="408">
        <v>-31726.760000000002</v>
      </c>
      <c r="DZ446" s="234"/>
      <c r="EA446" s="408">
        <v>0</v>
      </c>
      <c r="EB446" s="408"/>
      <c r="EC446" s="408">
        <v>-32622.722499557349</v>
      </c>
      <c r="ED446" s="408"/>
      <c r="EE446" s="408">
        <v>0</v>
      </c>
      <c r="EF446" s="408">
        <v>0</v>
      </c>
      <c r="EG446" s="408"/>
      <c r="EH446" s="408">
        <v>0</v>
      </c>
      <c r="EI446" s="408">
        <v>0</v>
      </c>
      <c r="EJ446" s="408">
        <v>0</v>
      </c>
      <c r="EK446" s="408">
        <v>0</v>
      </c>
      <c r="EL446" s="408">
        <v>0</v>
      </c>
      <c r="EM446" s="408"/>
      <c r="EN446" s="408"/>
      <c r="EO446" s="408">
        <v>0</v>
      </c>
      <c r="EP446" s="408">
        <v>0</v>
      </c>
      <c r="EQ446" s="408"/>
      <c r="ER446" s="408">
        <v>0</v>
      </c>
      <c r="ES446" s="408"/>
      <c r="ET446" s="408">
        <v>0</v>
      </c>
      <c r="EU446" s="408"/>
      <c r="EV446" s="408">
        <v>242</v>
      </c>
      <c r="EW446" s="408"/>
      <c r="EX446" s="408"/>
      <c r="EY446" s="408"/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446</v>
      </c>
      <c r="B447" s="408" t="s">
        <v>1036</v>
      </c>
      <c r="C447" s="408" t="s">
        <v>2239</v>
      </c>
      <c r="D447" s="408" t="s">
        <v>597</v>
      </c>
      <c r="E447" s="408" t="s">
        <v>974</v>
      </c>
      <c r="F447" s="408" t="s">
        <v>2248</v>
      </c>
      <c r="G447" s="408" t="s">
        <v>2250</v>
      </c>
      <c r="H447" s="408" t="s">
        <v>1322</v>
      </c>
      <c r="I447" s="408" t="s">
        <v>2240</v>
      </c>
      <c r="J447" s="408" t="s">
        <v>2232</v>
      </c>
      <c r="K447" s="828">
        <v>44621</v>
      </c>
      <c r="L447" s="408">
        <v>0</v>
      </c>
      <c r="M447" s="408">
        <v>0</v>
      </c>
      <c r="N447" s="408">
        <v>49.633000000000003</v>
      </c>
      <c r="O447" s="408">
        <v>14.889900000000001</v>
      </c>
      <c r="P447" s="408">
        <v>49.633000000000003</v>
      </c>
      <c r="Q447" s="408">
        <v>14.889900000000001</v>
      </c>
      <c r="R447" s="408"/>
      <c r="S447" s="408">
        <v>80.27</v>
      </c>
      <c r="T447" s="408">
        <v>216.76</v>
      </c>
      <c r="U447" s="408"/>
      <c r="V447" s="408">
        <v>14742.48999</v>
      </c>
      <c r="W447" s="408">
        <v>14742.48999</v>
      </c>
      <c r="X447" s="408">
        <v>16342.65791</v>
      </c>
      <c r="Y447" s="408">
        <v>0</v>
      </c>
      <c r="Z447" s="408">
        <v>2617.209477499719</v>
      </c>
      <c r="AA447" s="408">
        <v>0</v>
      </c>
      <c r="AB447" s="408">
        <v>0</v>
      </c>
      <c r="AC447" s="408">
        <v>0</v>
      </c>
      <c r="AD447" s="408">
        <v>0</v>
      </c>
      <c r="AE447" s="408">
        <v>0</v>
      </c>
      <c r="AF447" s="408">
        <v>10601.683290379526</v>
      </c>
      <c r="AG447" s="408">
        <v>156.71146928433998</v>
      </c>
      <c r="AH447" s="408">
        <v>0</v>
      </c>
      <c r="AI447" s="408">
        <v>0</v>
      </c>
      <c r="AJ447" s="408">
        <v>0</v>
      </c>
      <c r="AK447" s="408">
        <v>0</v>
      </c>
      <c r="AL447" s="408">
        <v>465.24155937579337</v>
      </c>
      <c r="AM447" s="408"/>
      <c r="AN447" s="408">
        <v>68.157137278956469</v>
      </c>
      <c r="AO447" s="408">
        <v>0</v>
      </c>
      <c r="AP447" s="408">
        <v>0</v>
      </c>
      <c r="AQ447" s="408">
        <v>0</v>
      </c>
      <c r="AR447" s="408">
        <v>0</v>
      </c>
      <c r="AS447" s="408">
        <v>0</v>
      </c>
      <c r="AT447" s="408">
        <v>0</v>
      </c>
      <c r="AU447" s="408">
        <v>0</v>
      </c>
      <c r="AV447" s="408">
        <v>0</v>
      </c>
      <c r="AW447" s="408">
        <v>0</v>
      </c>
      <c r="AX447" s="408">
        <v>0</v>
      </c>
      <c r="AY447" s="408">
        <v>0</v>
      </c>
      <c r="AZ447" s="408">
        <v>0</v>
      </c>
      <c r="BA447" s="408"/>
      <c r="BB447" s="408">
        <v>0</v>
      </c>
      <c r="BC447" s="408">
        <v>0</v>
      </c>
      <c r="BD447" s="408">
        <v>22.697106300414834</v>
      </c>
      <c r="BE447" s="408">
        <v>0</v>
      </c>
      <c r="BF447" s="408">
        <v>0</v>
      </c>
      <c r="BG447" s="408">
        <v>810.81247179722084</v>
      </c>
      <c r="BH447" s="408">
        <v>0</v>
      </c>
      <c r="BI447" s="408">
        <v>0</v>
      </c>
      <c r="BJ447" s="408">
        <v>0</v>
      </c>
      <c r="BK447" s="408">
        <v>0</v>
      </c>
      <c r="BL447" s="408">
        <v>0</v>
      </c>
      <c r="BM447" s="408"/>
      <c r="BN447" s="408"/>
      <c r="BO447" s="408"/>
      <c r="BP447" s="408"/>
      <c r="BQ447" s="408"/>
      <c r="BR447" s="408"/>
      <c r="BS447" s="408">
        <v>11439.860536999997</v>
      </c>
      <c r="BT447" s="408"/>
      <c r="BU447" s="408"/>
      <c r="BV447" s="408">
        <v>11435.192868477161</v>
      </c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>
        <v>4902.8302999999996</v>
      </c>
      <c r="CJ447" s="408">
        <v>480.05330299999878</v>
      </c>
      <c r="CK447" s="408"/>
      <c r="CL447" s="408"/>
      <c r="CM447" s="408"/>
      <c r="CN447" s="408"/>
      <c r="CO447" s="408">
        <v>-19.356870000000029</v>
      </c>
      <c r="CP447" s="408">
        <v>1619.5247899999999</v>
      </c>
      <c r="CQ447" s="408">
        <v>31</v>
      </c>
      <c r="CR447" s="408">
        <v>1600.2179967352367</v>
      </c>
      <c r="CS447" s="408">
        <v>0</v>
      </c>
      <c r="CT447" s="408">
        <v>0</v>
      </c>
      <c r="CU447" s="408">
        <v>0</v>
      </c>
      <c r="CV447" s="408">
        <v>0</v>
      </c>
      <c r="CW447" s="408">
        <v>0</v>
      </c>
      <c r="CX447" s="408">
        <v>0</v>
      </c>
      <c r="CY447" s="408">
        <v>0</v>
      </c>
      <c r="CZ447" s="408">
        <v>0</v>
      </c>
      <c r="DA447" s="408">
        <v>0</v>
      </c>
      <c r="DB447" s="408">
        <v>0</v>
      </c>
      <c r="DC447" s="408">
        <v>1619.7329271461185</v>
      </c>
      <c r="DD447" s="408">
        <v>0</v>
      </c>
      <c r="DE447" s="408">
        <v>0</v>
      </c>
      <c r="DF447" s="408">
        <v>3.4676805011784246</v>
      </c>
      <c r="DG447" s="408">
        <v>123.87652246718949</v>
      </c>
      <c r="DH447" s="408">
        <v>0</v>
      </c>
      <c r="DI447" s="408">
        <v>-125.04292915459155</v>
      </c>
      <c r="DJ447" s="408"/>
      <c r="DK447" s="408">
        <v>0</v>
      </c>
      <c r="DL447" s="408">
        <v>0</v>
      </c>
      <c r="DM447" s="408">
        <v>0</v>
      </c>
      <c r="DN447" s="408">
        <v>0</v>
      </c>
      <c r="DO447" s="408">
        <v>-18.851871372416724</v>
      </c>
      <c r="DP447" s="408">
        <v>-2.9643328522419523</v>
      </c>
      <c r="DQ447" s="408">
        <v>0</v>
      </c>
      <c r="DR447" s="408">
        <v>0</v>
      </c>
      <c r="DS447" s="408"/>
      <c r="DT447" s="408"/>
      <c r="DU447" s="408"/>
      <c r="DV447" s="408">
        <v>0</v>
      </c>
      <c r="DW447" s="408">
        <v>0</v>
      </c>
      <c r="DX447" s="408">
        <v>0</v>
      </c>
      <c r="DY447" s="408">
        <v>-19.356870000000072</v>
      </c>
      <c r="DZ447" s="234">
        <v>1619.5247899999995</v>
      </c>
      <c r="EA447" s="408">
        <v>0</v>
      </c>
      <c r="EB447" s="408">
        <v>0</v>
      </c>
      <c r="EC447" s="408">
        <v>0</v>
      </c>
      <c r="ED447" s="408">
        <v>0</v>
      </c>
      <c r="EE447" s="408">
        <v>0</v>
      </c>
      <c r="EF447" s="408">
        <v>0</v>
      </c>
      <c r="EG447" s="408">
        <v>0</v>
      </c>
      <c r="EH447" s="408">
        <v>0</v>
      </c>
      <c r="EI447" s="408">
        <v>0</v>
      </c>
      <c r="EJ447" s="408">
        <v>0</v>
      </c>
      <c r="EK447" s="408">
        <v>0</v>
      </c>
      <c r="EL447" s="408">
        <v>0</v>
      </c>
      <c r="EM447" s="408">
        <v>0</v>
      </c>
      <c r="EN447" s="408">
        <v>0</v>
      </c>
      <c r="EO447" s="408">
        <v>0</v>
      </c>
      <c r="EP447" s="408">
        <v>0</v>
      </c>
      <c r="EQ447" s="408">
        <v>0</v>
      </c>
      <c r="ER447" s="408">
        <v>0</v>
      </c>
      <c r="ES447" s="408">
        <v>0</v>
      </c>
      <c r="ET447" s="408">
        <v>0</v>
      </c>
      <c r="EU447" s="408">
        <v>0</v>
      </c>
      <c r="EV447" s="408">
        <v>242</v>
      </c>
      <c r="EW447" s="408">
        <v>0</v>
      </c>
      <c r="EX447" s="408">
        <v>0</v>
      </c>
      <c r="EY447" s="408">
        <v>0</v>
      </c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447</v>
      </c>
      <c r="B448" s="408" t="s">
        <v>1036</v>
      </c>
      <c r="C448" s="408" t="s">
        <v>2231</v>
      </c>
      <c r="D448" s="408" t="s">
        <v>2241</v>
      </c>
      <c r="E448" s="408" t="s">
        <v>974</v>
      </c>
      <c r="F448" s="408" t="s">
        <v>2251</v>
      </c>
      <c r="G448" s="408" t="s">
        <v>2249</v>
      </c>
      <c r="H448" s="408" t="s">
        <v>1322</v>
      </c>
      <c r="I448" s="408" t="s">
        <v>1322</v>
      </c>
      <c r="J448" s="408" t="s">
        <v>2232</v>
      </c>
      <c r="K448" s="828">
        <v>44621</v>
      </c>
      <c r="L448" s="408">
        <v>0</v>
      </c>
      <c r="M448" s="408">
        <v>0</v>
      </c>
      <c r="N448" s="408">
        <v>0</v>
      </c>
      <c r="O448" s="408">
        <v>0</v>
      </c>
      <c r="P448" s="408">
        <v>0</v>
      </c>
      <c r="Q448" s="408">
        <v>0</v>
      </c>
      <c r="R448" s="408"/>
      <c r="S448" s="408"/>
      <c r="T448" s="408"/>
      <c r="U448" s="408"/>
      <c r="V448" s="408"/>
      <c r="W448" s="408"/>
      <c r="X448" s="408"/>
      <c r="Y448" s="408"/>
      <c r="Z448" s="408"/>
      <c r="AA448" s="408">
        <v>0</v>
      </c>
      <c r="AB448" s="408"/>
      <c r="AC448" s="408"/>
      <c r="AD448" s="408"/>
      <c r="AE448" s="408"/>
      <c r="AF448" s="408"/>
      <c r="AG448" s="408"/>
      <c r="AH448" s="408"/>
      <c r="AI448" s="408"/>
      <c r="AJ448" s="408"/>
      <c r="AK448" s="408"/>
      <c r="AL448" s="408"/>
      <c r="AM448" s="408"/>
      <c r="AN448" s="408"/>
      <c r="AO448" s="408"/>
      <c r="AP448" s="408"/>
      <c r="AQ448" s="408"/>
      <c r="AR448" s="408"/>
      <c r="AS448" s="408"/>
      <c r="AT448" s="408"/>
      <c r="AU448" s="408"/>
      <c r="AV448" s="408"/>
      <c r="AW448" s="408"/>
      <c r="AX448" s="408"/>
      <c r="AY448" s="408"/>
      <c r="AZ448" s="408">
        <v>0</v>
      </c>
      <c r="BA448" s="408"/>
      <c r="BB448" s="408"/>
      <c r="BC448" s="408"/>
      <c r="BD448" s="408"/>
      <c r="BE448" s="408"/>
      <c r="BF448" s="408"/>
      <c r="BG448" s="408"/>
      <c r="BH448" s="408"/>
      <c r="BI448" s="408">
        <v>3.48</v>
      </c>
      <c r="BJ448" s="408">
        <v>16.02</v>
      </c>
      <c r="BK448" s="408">
        <v>61.2</v>
      </c>
      <c r="BL448" s="408">
        <v>9</v>
      </c>
      <c r="BM448" s="408"/>
      <c r="BN448" s="408"/>
      <c r="BO448" s="408"/>
      <c r="BP448" s="408"/>
      <c r="BQ448" s="408"/>
      <c r="BR448" s="408"/>
      <c r="BS448" s="408"/>
      <c r="BT448" s="408"/>
      <c r="BU448" s="408"/>
      <c r="BV448" s="408"/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/>
      <c r="CJ448" s="408">
        <v>-0.03</v>
      </c>
      <c r="CK448" s="408"/>
      <c r="CL448" s="408"/>
      <c r="CM448" s="408"/>
      <c r="CN448" s="408"/>
      <c r="CO448" s="408">
        <v>0</v>
      </c>
      <c r="CP448" s="408">
        <v>0</v>
      </c>
      <c r="CQ448" s="408">
        <v>31</v>
      </c>
      <c r="CR448" s="408"/>
      <c r="CS448" s="408"/>
      <c r="CT448" s="408"/>
      <c r="CU448" s="408"/>
      <c r="CV448" s="408"/>
      <c r="CW448" s="408"/>
      <c r="CX448" s="408"/>
      <c r="CY448" s="408"/>
      <c r="CZ448" s="408"/>
      <c r="DA448" s="408"/>
      <c r="DB448" s="408"/>
      <c r="DC448" s="408"/>
      <c r="DD448" s="408"/>
      <c r="DE448" s="408"/>
      <c r="DF448" s="408"/>
      <c r="DG448" s="408"/>
      <c r="DH448" s="408"/>
      <c r="DI448" s="408"/>
      <c r="DJ448" s="408"/>
      <c r="DK448" s="408">
        <v>0</v>
      </c>
      <c r="DL448" s="408"/>
      <c r="DM448" s="408"/>
      <c r="DN448" s="408"/>
      <c r="DO448" s="408"/>
      <c r="DP448" s="408"/>
      <c r="DQ448" s="408"/>
      <c r="DR448" s="408"/>
      <c r="DS448" s="408"/>
      <c r="DT448" s="408"/>
      <c r="DU448" s="408"/>
      <c r="DV448" s="408"/>
      <c r="DW448" s="408"/>
      <c r="DX448" s="408"/>
      <c r="DY448" s="408"/>
      <c r="DZ448" s="234"/>
      <c r="EA448" s="408"/>
      <c r="EB448" s="408"/>
      <c r="EC448" s="408"/>
      <c r="ED448" s="408"/>
      <c r="EE448" s="408"/>
      <c r="EF448" s="408"/>
      <c r="EG448" s="408"/>
      <c r="EH448" s="408"/>
      <c r="EI448" s="408"/>
      <c r="EJ448" s="408"/>
      <c r="EK448" s="408"/>
      <c r="EL448" s="408"/>
      <c r="EM448" s="408"/>
      <c r="EN448" s="408"/>
      <c r="EO448" s="408"/>
      <c r="EP448" s="408"/>
      <c r="EQ448" s="408"/>
      <c r="ER448" s="408"/>
      <c r="ES448" s="408"/>
      <c r="ET448" s="408"/>
      <c r="EU448" s="408"/>
      <c r="EV448" s="408">
        <v>242</v>
      </c>
      <c r="EW448" s="408"/>
      <c r="EX448" s="408"/>
      <c r="EY448" s="408"/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448</v>
      </c>
      <c r="B449" s="408" t="s">
        <v>1036</v>
      </c>
      <c r="C449" s="408" t="s">
        <v>2231</v>
      </c>
      <c r="D449" s="408" t="s">
        <v>2241</v>
      </c>
      <c r="E449" s="408" t="s">
        <v>974</v>
      </c>
      <c r="F449" s="408" t="s">
        <v>2251</v>
      </c>
      <c r="G449" s="408" t="s">
        <v>2249</v>
      </c>
      <c r="H449" s="408" t="s">
        <v>1322</v>
      </c>
      <c r="I449" s="408" t="s">
        <v>1322</v>
      </c>
      <c r="J449" s="408" t="s">
        <v>2232</v>
      </c>
      <c r="K449" s="828">
        <v>44621</v>
      </c>
      <c r="L449" s="408">
        <v>0</v>
      </c>
      <c r="M449" s="408">
        <v>0</v>
      </c>
      <c r="N449" s="408">
        <v>3.1640000000000001</v>
      </c>
      <c r="O449" s="408">
        <v>3.1640000000000001</v>
      </c>
      <c r="P449" s="408">
        <v>3.1640000000000001</v>
      </c>
      <c r="Q449" s="408">
        <v>3.1640000000000001</v>
      </c>
      <c r="R449" s="408"/>
      <c r="S449" s="408">
        <v>571.87</v>
      </c>
      <c r="T449" s="408">
        <v>216.76</v>
      </c>
      <c r="U449" s="408"/>
      <c r="V449" s="408">
        <v>2495.22532</v>
      </c>
      <c r="W449" s="408">
        <v>2495.22532</v>
      </c>
      <c r="X449" s="408">
        <v>1626.32764</v>
      </c>
      <c r="Y449" s="408">
        <v>0</v>
      </c>
      <c r="Z449" s="408">
        <v>191.77199232734037</v>
      </c>
      <c r="AA449" s="408">
        <v>0</v>
      </c>
      <c r="AB449" s="408">
        <v>0</v>
      </c>
      <c r="AC449" s="408">
        <v>0</v>
      </c>
      <c r="AD449" s="408">
        <v>2.6005349452437296</v>
      </c>
      <c r="AE449" s="408">
        <v>1349.0779280415745</v>
      </c>
      <c r="AF449" s="408">
        <v>675.83514860598439</v>
      </c>
      <c r="AG449" s="408">
        <v>9.9900285861352671</v>
      </c>
      <c r="AH449" s="408">
        <v>0</v>
      </c>
      <c r="AI449" s="408">
        <v>0</v>
      </c>
      <c r="AJ449" s="408">
        <v>0</v>
      </c>
      <c r="AK449" s="408">
        <v>0</v>
      </c>
      <c r="AL449" s="408">
        <v>29.65817689571475</v>
      </c>
      <c r="AM449" s="408"/>
      <c r="AN449" s="408">
        <v>6.0700376756748318</v>
      </c>
      <c r="AO449" s="408">
        <v>28.101691678161384</v>
      </c>
      <c r="AP449" s="408">
        <v>88.044960583754317</v>
      </c>
      <c r="AQ449" s="408">
        <v>0</v>
      </c>
      <c r="AR449" s="408">
        <v>0</v>
      </c>
      <c r="AS449" s="408">
        <v>0</v>
      </c>
      <c r="AT449" s="408">
        <v>0</v>
      </c>
      <c r="AU449" s="408">
        <v>0</v>
      </c>
      <c r="AV449" s="408">
        <v>0</v>
      </c>
      <c r="AW449" s="408">
        <v>0</v>
      </c>
      <c r="AX449" s="408">
        <v>0</v>
      </c>
      <c r="AY449" s="408">
        <v>0</v>
      </c>
      <c r="AZ449" s="408">
        <v>0</v>
      </c>
      <c r="BA449" s="408"/>
      <c r="BB449" s="408">
        <v>0</v>
      </c>
      <c r="BC449" s="408">
        <v>0</v>
      </c>
      <c r="BD449" s="408">
        <v>1.882800283632718</v>
      </c>
      <c r="BE449" s="408">
        <v>0</v>
      </c>
      <c r="BF449" s="408">
        <v>0</v>
      </c>
      <c r="BG449" s="408">
        <v>112.18986334402592</v>
      </c>
      <c r="BH449" s="408">
        <v>0</v>
      </c>
      <c r="BI449" s="408">
        <v>0</v>
      </c>
      <c r="BJ449" s="408">
        <v>0</v>
      </c>
      <c r="BK449" s="408">
        <v>0</v>
      </c>
      <c r="BL449" s="408">
        <v>0</v>
      </c>
      <c r="BM449" s="408"/>
      <c r="BN449" s="408"/>
      <c r="BO449" s="408"/>
      <c r="BP449" s="408"/>
      <c r="BQ449" s="408"/>
      <c r="BR449" s="408">
        <v>195.15551999999994</v>
      </c>
      <c r="BS449" s="408"/>
      <c r="BT449" s="408"/>
      <c r="BU449" s="408"/>
      <c r="BV449" s="408">
        <v>789.90781223364297</v>
      </c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>
        <v>1429.3628000000001</v>
      </c>
      <c r="CJ449" s="408">
        <v>-766.48320000000035</v>
      </c>
      <c r="CK449" s="408"/>
      <c r="CL449" s="408"/>
      <c r="CM449" s="408"/>
      <c r="CN449" s="408"/>
      <c r="CO449" s="408">
        <v>-972.13900000000001</v>
      </c>
      <c r="CP449" s="408">
        <v>103.24131999999999</v>
      </c>
      <c r="CQ449" s="408">
        <v>31</v>
      </c>
      <c r="CR449" s="408">
        <v>122.28956769834144</v>
      </c>
      <c r="CS449" s="408">
        <v>2.898732328511791</v>
      </c>
      <c r="CT449" s="408">
        <v>9.0819718801843266</v>
      </c>
      <c r="CU449" s="408">
        <v>0</v>
      </c>
      <c r="CV449" s="408">
        <v>0</v>
      </c>
      <c r="CW449" s="408">
        <v>0</v>
      </c>
      <c r="CX449" s="408">
        <v>0</v>
      </c>
      <c r="CY449" s="408">
        <v>0</v>
      </c>
      <c r="CZ449" s="408">
        <v>0.25426745881687252</v>
      </c>
      <c r="DA449" s="408">
        <v>0</v>
      </c>
      <c r="DB449" s="408">
        <v>0</v>
      </c>
      <c r="DC449" s="408">
        <v>103.25458830798698</v>
      </c>
      <c r="DD449" s="408">
        <v>0</v>
      </c>
      <c r="DE449" s="408">
        <v>0</v>
      </c>
      <c r="DF449" s="408">
        <v>0.28765560440834759</v>
      </c>
      <c r="DG449" s="408">
        <v>17.140449377057479</v>
      </c>
      <c r="DH449" s="408">
        <v>0</v>
      </c>
      <c r="DI449" s="408">
        <v>-9.1623279896309384</v>
      </c>
      <c r="DJ449" s="408"/>
      <c r="DK449" s="408">
        <v>0</v>
      </c>
      <c r="DL449" s="408">
        <v>0</v>
      </c>
      <c r="DM449" s="408">
        <v>0</v>
      </c>
      <c r="DN449" s="408">
        <v>0</v>
      </c>
      <c r="DO449" s="408">
        <v>-1.2017673931119717</v>
      </c>
      <c r="DP449" s="408">
        <v>-0.26400187588137936</v>
      </c>
      <c r="DQ449" s="408">
        <v>0</v>
      </c>
      <c r="DR449" s="408">
        <v>0</v>
      </c>
      <c r="DS449" s="408"/>
      <c r="DT449" s="408"/>
      <c r="DU449" s="408"/>
      <c r="DV449" s="408">
        <v>1349.0779280415745</v>
      </c>
      <c r="DW449" s="408">
        <v>0</v>
      </c>
      <c r="DX449" s="408">
        <v>0</v>
      </c>
      <c r="DY449" s="408">
        <v>-972.13900000000001</v>
      </c>
      <c r="DZ449" s="234">
        <v>103.24132000000009</v>
      </c>
      <c r="EA449" s="408">
        <v>0</v>
      </c>
      <c r="EB449" s="408">
        <v>0</v>
      </c>
      <c r="EC449" s="408">
        <v>-991.18079820567777</v>
      </c>
      <c r="ED449" s="408">
        <v>0</v>
      </c>
      <c r="EE449" s="408">
        <v>0</v>
      </c>
      <c r="EF449" s="408">
        <v>0</v>
      </c>
      <c r="EG449" s="408">
        <v>0</v>
      </c>
      <c r="EH449" s="408">
        <v>0</v>
      </c>
      <c r="EI449" s="408">
        <v>0</v>
      </c>
      <c r="EJ449" s="408">
        <v>0</v>
      </c>
      <c r="EK449" s="408">
        <v>0</v>
      </c>
      <c r="EL449" s="408">
        <v>0</v>
      </c>
      <c r="EM449" s="408">
        <v>0</v>
      </c>
      <c r="EN449" s="408">
        <v>0</v>
      </c>
      <c r="EO449" s="408">
        <v>0</v>
      </c>
      <c r="EP449" s="408">
        <v>0</v>
      </c>
      <c r="EQ449" s="408">
        <v>0</v>
      </c>
      <c r="ER449" s="408">
        <v>0</v>
      </c>
      <c r="ES449" s="408">
        <v>0</v>
      </c>
      <c r="ET449" s="408">
        <v>0</v>
      </c>
      <c r="EU449" s="408">
        <v>0</v>
      </c>
      <c r="EV449" s="408">
        <v>242</v>
      </c>
      <c r="EW449" s="408">
        <v>0</v>
      </c>
      <c r="EX449" s="408">
        <v>0</v>
      </c>
      <c r="EY449" s="408">
        <v>0</v>
      </c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449</v>
      </c>
      <c r="B450" s="408" t="s">
        <v>1036</v>
      </c>
      <c r="C450" s="408" t="s">
        <v>2231</v>
      </c>
      <c r="D450" s="408" t="s">
        <v>2241</v>
      </c>
      <c r="E450" s="408" t="s">
        <v>974</v>
      </c>
      <c r="F450" s="408" t="s">
        <v>2251</v>
      </c>
      <c r="G450" s="408" t="s">
        <v>2250</v>
      </c>
      <c r="H450" s="408" t="s">
        <v>1322</v>
      </c>
      <c r="I450" s="408" t="s">
        <v>1322</v>
      </c>
      <c r="J450" s="408" t="s">
        <v>2232</v>
      </c>
      <c r="K450" s="828">
        <v>44621</v>
      </c>
      <c r="L450" s="408">
        <v>0</v>
      </c>
      <c r="M450" s="408">
        <v>0</v>
      </c>
      <c r="N450" s="408">
        <v>3.4329999999999998</v>
      </c>
      <c r="O450" s="408">
        <v>1.3732</v>
      </c>
      <c r="P450" s="408">
        <v>3.4329999999999998</v>
      </c>
      <c r="Q450" s="408">
        <v>1.3732</v>
      </c>
      <c r="R450" s="408"/>
      <c r="S450" s="408">
        <v>571.87</v>
      </c>
      <c r="T450" s="408">
        <v>216.76</v>
      </c>
      <c r="U450" s="408"/>
      <c r="V450" s="408">
        <v>2707.36679</v>
      </c>
      <c r="W450" s="408">
        <v>2707.36679</v>
      </c>
      <c r="X450" s="408">
        <v>1764.5963299999999</v>
      </c>
      <c r="Y450" s="408">
        <v>0</v>
      </c>
      <c r="Z450" s="408">
        <v>208.07624831218692</v>
      </c>
      <c r="AA450" s="408">
        <v>0</v>
      </c>
      <c r="AB450" s="408">
        <v>0</v>
      </c>
      <c r="AC450" s="408">
        <v>0</v>
      </c>
      <c r="AD450" s="408">
        <v>2.8216297304114168</v>
      </c>
      <c r="AE450" s="408">
        <v>1463.7751349452353</v>
      </c>
      <c r="AF450" s="408">
        <v>733.29395232754234</v>
      </c>
      <c r="AG450" s="408">
        <v>10.839370460240952</v>
      </c>
      <c r="AH450" s="408">
        <v>0</v>
      </c>
      <c r="AI450" s="408">
        <v>0</v>
      </c>
      <c r="AJ450" s="408">
        <v>0</v>
      </c>
      <c r="AK450" s="408">
        <v>0</v>
      </c>
      <c r="AL450" s="408">
        <v>32.179684349870016</v>
      </c>
      <c r="AM450" s="408"/>
      <c r="AN450" s="408">
        <v>6.5861059862805611</v>
      </c>
      <c r="AO450" s="408">
        <v>30.490868372670047</v>
      </c>
      <c r="AP450" s="408">
        <v>95.530451859680326</v>
      </c>
      <c r="AQ450" s="408">
        <v>0</v>
      </c>
      <c r="AR450" s="408">
        <v>0</v>
      </c>
      <c r="AS450" s="408">
        <v>0</v>
      </c>
      <c r="AT450" s="408">
        <v>0</v>
      </c>
      <c r="AU450" s="408">
        <v>0</v>
      </c>
      <c r="AV450" s="408">
        <v>0</v>
      </c>
      <c r="AW450" s="408">
        <v>0</v>
      </c>
      <c r="AX450" s="408">
        <v>0</v>
      </c>
      <c r="AY450" s="408">
        <v>0</v>
      </c>
      <c r="AZ450" s="408">
        <v>0</v>
      </c>
      <c r="BA450" s="408"/>
      <c r="BB450" s="408">
        <v>0</v>
      </c>
      <c r="BC450" s="408">
        <v>0</v>
      </c>
      <c r="BD450" s="408">
        <v>2.042874011918812</v>
      </c>
      <c r="BE450" s="408">
        <v>0</v>
      </c>
      <c r="BF450" s="408">
        <v>0</v>
      </c>
      <c r="BG450" s="408">
        <v>121.72812922251612</v>
      </c>
      <c r="BH450" s="408">
        <v>0</v>
      </c>
      <c r="BI450" s="408">
        <v>0</v>
      </c>
      <c r="BJ450" s="408">
        <v>0</v>
      </c>
      <c r="BK450" s="408">
        <v>0</v>
      </c>
      <c r="BL450" s="408">
        <v>0</v>
      </c>
      <c r="BM450" s="408"/>
      <c r="BN450" s="408"/>
      <c r="BO450" s="408"/>
      <c r="BP450" s="408"/>
      <c r="BQ450" s="408"/>
      <c r="BR450" s="408"/>
      <c r="BS450" s="408">
        <v>1143.456774</v>
      </c>
      <c r="BT450" s="408"/>
      <c r="BU450" s="408"/>
      <c r="BV450" s="408">
        <v>857.06495556197729</v>
      </c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>
        <v>619.69209999999998</v>
      </c>
      <c r="CJ450" s="408">
        <v>-333.33870000000002</v>
      </c>
      <c r="CK450" s="408"/>
      <c r="CL450" s="408"/>
      <c r="CM450" s="408"/>
      <c r="CN450" s="408"/>
      <c r="CO450" s="408">
        <v>-1054.78925</v>
      </c>
      <c r="CP450" s="408">
        <v>112.01878999999998</v>
      </c>
      <c r="CQ450" s="408">
        <v>31</v>
      </c>
      <c r="CR450" s="408">
        <v>132.68649997105126</v>
      </c>
      <c r="CS450" s="408">
        <v>3.1451795460748961</v>
      </c>
      <c r="CT450" s="408">
        <v>9.8541117144983446</v>
      </c>
      <c r="CU450" s="408">
        <v>0</v>
      </c>
      <c r="CV450" s="408">
        <v>0</v>
      </c>
      <c r="CW450" s="408">
        <v>0</v>
      </c>
      <c r="CX450" s="408">
        <v>0</v>
      </c>
      <c r="CY450" s="408">
        <v>0</v>
      </c>
      <c r="CZ450" s="408">
        <v>0.27588501457595527</v>
      </c>
      <c r="DA450" s="408">
        <v>0</v>
      </c>
      <c r="DB450" s="408">
        <v>0</v>
      </c>
      <c r="DC450" s="408">
        <v>112.03318636577728</v>
      </c>
      <c r="DD450" s="408">
        <v>0</v>
      </c>
      <c r="DE450" s="408">
        <v>0</v>
      </c>
      <c r="DF450" s="408">
        <v>0.31211178569338083</v>
      </c>
      <c r="DG450" s="408">
        <v>18.597712614234609</v>
      </c>
      <c r="DH450" s="408">
        <v>0</v>
      </c>
      <c r="DI450" s="408">
        <v>-9.9412996170679264</v>
      </c>
      <c r="DJ450" s="408"/>
      <c r="DK450" s="408">
        <v>0</v>
      </c>
      <c r="DL450" s="408">
        <v>0</v>
      </c>
      <c r="DM450" s="408">
        <v>0</v>
      </c>
      <c r="DN450" s="408">
        <v>0</v>
      </c>
      <c r="DO450" s="408">
        <v>-1.3039404110472219</v>
      </c>
      <c r="DP450" s="408">
        <v>-0.28644704168798185</v>
      </c>
      <c r="DQ450" s="408">
        <v>0</v>
      </c>
      <c r="DR450" s="408">
        <v>0</v>
      </c>
      <c r="DS450" s="408"/>
      <c r="DT450" s="408"/>
      <c r="DU450" s="408"/>
      <c r="DV450" s="408">
        <v>1463.7751349452353</v>
      </c>
      <c r="DW450" s="408">
        <v>0</v>
      </c>
      <c r="DX450" s="408">
        <v>0</v>
      </c>
      <c r="DY450" s="408">
        <v>-1054.7892499999998</v>
      </c>
      <c r="DZ450" s="234">
        <v>112.01878999999997</v>
      </c>
      <c r="EA450" s="408">
        <v>0</v>
      </c>
      <c r="EB450" s="408">
        <v>0</v>
      </c>
      <c r="EC450" s="408">
        <v>-1075.4499621492071</v>
      </c>
      <c r="ED450" s="408">
        <v>0</v>
      </c>
      <c r="EE450" s="408">
        <v>0</v>
      </c>
      <c r="EF450" s="408">
        <v>0</v>
      </c>
      <c r="EG450" s="408">
        <v>0</v>
      </c>
      <c r="EH450" s="408">
        <v>0</v>
      </c>
      <c r="EI450" s="408">
        <v>0</v>
      </c>
      <c r="EJ450" s="408">
        <v>0</v>
      </c>
      <c r="EK450" s="408">
        <v>0</v>
      </c>
      <c r="EL450" s="408">
        <v>0</v>
      </c>
      <c r="EM450" s="408">
        <v>0</v>
      </c>
      <c r="EN450" s="408">
        <v>0</v>
      </c>
      <c r="EO450" s="408">
        <v>0</v>
      </c>
      <c r="EP450" s="408">
        <v>0</v>
      </c>
      <c r="EQ450" s="408">
        <v>0</v>
      </c>
      <c r="ER450" s="408">
        <v>0</v>
      </c>
      <c r="ES450" s="408">
        <v>0</v>
      </c>
      <c r="ET450" s="408">
        <v>0</v>
      </c>
      <c r="EU450" s="408">
        <v>0</v>
      </c>
      <c r="EV450" s="408">
        <v>242</v>
      </c>
      <c r="EW450" s="408">
        <v>0</v>
      </c>
      <c r="EX450" s="408">
        <v>0</v>
      </c>
      <c r="EY450" s="408">
        <v>0</v>
      </c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450</v>
      </c>
      <c r="B451" s="408" t="s">
        <v>1036</v>
      </c>
      <c r="C451" s="408" t="s">
        <v>2231</v>
      </c>
      <c r="D451" s="408" t="s">
        <v>1952</v>
      </c>
      <c r="E451" s="408" t="s">
        <v>969</v>
      </c>
      <c r="F451" s="408" t="s">
        <v>969</v>
      </c>
      <c r="G451" s="408" t="s">
        <v>1322</v>
      </c>
      <c r="H451" s="408" t="s">
        <v>1322</v>
      </c>
      <c r="I451" s="408" t="s">
        <v>1322</v>
      </c>
      <c r="J451" s="408" t="s">
        <v>2232</v>
      </c>
      <c r="K451" s="828">
        <v>44652</v>
      </c>
      <c r="L451" s="408">
        <v>0</v>
      </c>
      <c r="M451" s="408">
        <v>0</v>
      </c>
      <c r="N451" s="408">
        <v>716.21900000000005</v>
      </c>
      <c r="O451" s="408">
        <v>716.21900000000005</v>
      </c>
      <c r="P451" s="408">
        <v>716.21900000000005</v>
      </c>
      <c r="Q451" s="408">
        <v>716.21900000000005</v>
      </c>
      <c r="R451" s="408"/>
      <c r="S451" s="408">
        <v>571.87</v>
      </c>
      <c r="T451" s="408">
        <v>216.76</v>
      </c>
      <c r="U451" s="408"/>
      <c r="V451" s="408">
        <v>564831.78997000004</v>
      </c>
      <c r="W451" s="408">
        <v>564831.78997000004</v>
      </c>
      <c r="X451" s="408">
        <v>368143.72819000005</v>
      </c>
      <c r="Y451" s="408">
        <v>0</v>
      </c>
      <c r="Z451" s="408">
        <v>43410.475528664785</v>
      </c>
      <c r="AA451" s="408">
        <v>0</v>
      </c>
      <c r="AB451" s="408">
        <v>0</v>
      </c>
      <c r="AC451" s="408">
        <v>0</v>
      </c>
      <c r="AD451" s="408">
        <v>588.67020794801476</v>
      </c>
      <c r="AE451" s="408">
        <v>305384.08487484464</v>
      </c>
      <c r="AF451" s="408">
        <v>152985.45331840377</v>
      </c>
      <c r="AG451" s="408">
        <v>2261.3932629371729</v>
      </c>
      <c r="AH451" s="408">
        <v>0</v>
      </c>
      <c r="AI451" s="408">
        <v>0</v>
      </c>
      <c r="AJ451" s="408">
        <v>0</v>
      </c>
      <c r="AK451" s="408">
        <v>0</v>
      </c>
      <c r="AL451" s="408">
        <v>6713.5745253071818</v>
      </c>
      <c r="AM451" s="408"/>
      <c r="AN451" s="408">
        <v>1374.0443470398711</v>
      </c>
      <c r="AO451" s="408">
        <v>6361.2406801646866</v>
      </c>
      <c r="AP451" s="408">
        <v>19930.301398336265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426.20016951426732</v>
      </c>
      <c r="BE451" s="408">
        <v>0</v>
      </c>
      <c r="BF451" s="408">
        <v>0</v>
      </c>
      <c r="BG451" s="408">
        <v>25395.863380023675</v>
      </c>
      <c r="BH451" s="408">
        <v>0</v>
      </c>
      <c r="BI451" s="408">
        <v>1383.01</v>
      </c>
      <c r="BJ451" s="408">
        <v>6425.26</v>
      </c>
      <c r="BK451" s="408">
        <v>151396.89000000001</v>
      </c>
      <c r="BL451" s="408">
        <v>4448</v>
      </c>
      <c r="BM451" s="408"/>
      <c r="BN451" s="408"/>
      <c r="BO451" s="408"/>
      <c r="BP451" s="408"/>
      <c r="BQ451" s="408"/>
      <c r="BR451" s="408"/>
      <c r="BS451" s="408"/>
      <c r="BT451" s="408"/>
      <c r="BU451" s="408"/>
      <c r="BV451" s="408">
        <v>178807.51686794171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368144.24219999998</v>
      </c>
      <c r="CJ451" s="408">
        <v>-196687.57777000009</v>
      </c>
      <c r="CK451" s="408"/>
      <c r="CL451" s="408"/>
      <c r="CM451" s="408"/>
      <c r="CN451" s="408"/>
      <c r="CO451" s="408">
        <v>-220058.28775000002</v>
      </c>
      <c r="CP451" s="408">
        <v>23370.22597</v>
      </c>
      <c r="CQ451" s="408">
        <v>30</v>
      </c>
      <c r="CR451" s="408">
        <v>27682.083403077908</v>
      </c>
      <c r="CS451" s="408">
        <v>656.17167180606339</v>
      </c>
      <c r="CT451" s="408">
        <v>2055.8409665150866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57.55726456585387</v>
      </c>
      <c r="DA451" s="408">
        <v>0</v>
      </c>
      <c r="DB451" s="408">
        <v>0</v>
      </c>
      <c r="DC451" s="408">
        <v>23373.229451124556</v>
      </c>
      <c r="DD451" s="408">
        <v>0</v>
      </c>
      <c r="DE451" s="408">
        <v>0</v>
      </c>
      <c r="DF451" s="408">
        <v>65.115173620019675</v>
      </c>
      <c r="DG451" s="408">
        <v>3879.9985816645822</v>
      </c>
      <c r="DH451" s="408">
        <v>0</v>
      </c>
      <c r="DI451" s="408">
        <v>-2074.0307807855424</v>
      </c>
      <c r="DJ451" s="408"/>
      <c r="DK451" s="408">
        <v>0</v>
      </c>
      <c r="DL451" s="408">
        <v>0</v>
      </c>
      <c r="DM451" s="408">
        <v>0</v>
      </c>
      <c r="DN451" s="408">
        <v>0</v>
      </c>
      <c r="DO451" s="408">
        <v>-272.03812911733985</v>
      </c>
      <c r="DP451" s="408">
        <v>-59.760796315387324</v>
      </c>
      <c r="DQ451" s="408">
        <v>0</v>
      </c>
      <c r="DR451" s="408">
        <v>0</v>
      </c>
      <c r="DS451" s="408"/>
      <c r="DT451" s="408"/>
      <c r="DU451" s="408"/>
      <c r="DV451" s="408">
        <v>305384.08487484464</v>
      </c>
      <c r="DW451" s="408">
        <v>0</v>
      </c>
      <c r="DX451" s="408">
        <v>0</v>
      </c>
      <c r="DY451" s="408">
        <v>-220058.28774999999</v>
      </c>
      <c r="DZ451" s="234">
        <v>23370.22597</v>
      </c>
      <c r="EA451" s="408">
        <v>0</v>
      </c>
      <c r="EB451" s="408">
        <v>0</v>
      </c>
      <c r="EC451" s="408">
        <v>-224368.68524338567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0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242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451</v>
      </c>
      <c r="B452" s="408" t="s">
        <v>2233</v>
      </c>
      <c r="C452" s="408" t="s">
        <v>2231</v>
      </c>
      <c r="D452" s="408" t="s">
        <v>1952</v>
      </c>
      <c r="E452" s="408" t="s">
        <v>969</v>
      </c>
      <c r="F452" s="408" t="s">
        <v>969</v>
      </c>
      <c r="G452" s="408" t="s">
        <v>1322</v>
      </c>
      <c r="H452" s="408" t="s">
        <v>1322</v>
      </c>
      <c r="I452" s="408" t="s">
        <v>1322</v>
      </c>
      <c r="J452" s="408" t="s">
        <v>2232</v>
      </c>
      <c r="K452" s="828">
        <v>44652</v>
      </c>
      <c r="L452" s="408">
        <v>0</v>
      </c>
      <c r="M452" s="408">
        <v>0</v>
      </c>
      <c r="N452" s="408">
        <v>-0.152</v>
      </c>
      <c r="O452" s="408">
        <v>-0.152</v>
      </c>
      <c r="P452" s="408">
        <v>-0.152</v>
      </c>
      <c r="Q452" s="408">
        <v>-0.152</v>
      </c>
      <c r="R452" s="408"/>
      <c r="S452" s="408">
        <v>571.87</v>
      </c>
      <c r="T452" s="408">
        <v>216.76</v>
      </c>
      <c r="U452" s="408"/>
      <c r="V452" s="408">
        <v>-119.87175999999999</v>
      </c>
      <c r="W452" s="408">
        <v>-119.87175999999999</v>
      </c>
      <c r="X452" s="408">
        <v>-78.129519999999999</v>
      </c>
      <c r="Y452" s="408">
        <v>0</v>
      </c>
      <c r="Z452" s="408">
        <v>-9.2128137906939731</v>
      </c>
      <c r="AA452" s="408">
        <v>0</v>
      </c>
      <c r="AB452" s="408">
        <v>0</v>
      </c>
      <c r="AC452" s="408">
        <v>0</v>
      </c>
      <c r="AD452" s="408">
        <v>-0.12493088232523605</v>
      </c>
      <c r="AE452" s="408">
        <v>-64.810317655600286</v>
      </c>
      <c r="AF452" s="408">
        <v>-32.467428125192669</v>
      </c>
      <c r="AG452" s="408">
        <v>-0.47992551994075872</v>
      </c>
      <c r="AH452" s="408">
        <v>0</v>
      </c>
      <c r="AI452" s="408">
        <v>0</v>
      </c>
      <c r="AJ452" s="408">
        <v>0</v>
      </c>
      <c r="AK452" s="408">
        <v>0</v>
      </c>
      <c r="AL452" s="408">
        <v>-1.4247923161026048</v>
      </c>
      <c r="AM452" s="408"/>
      <c r="AN452" s="408">
        <v>-0.29160737253557972</v>
      </c>
      <c r="AO452" s="408">
        <v>-1.3500180578636316</v>
      </c>
      <c r="AP452" s="408">
        <v>-4.2297199774749226</v>
      </c>
      <c r="AQ452" s="408">
        <v>0</v>
      </c>
      <c r="AR452" s="408">
        <v>0</v>
      </c>
      <c r="AS452" s="408">
        <v>0</v>
      </c>
      <c r="AT452" s="408">
        <v>0</v>
      </c>
      <c r="AU452" s="408">
        <v>0</v>
      </c>
      <c r="AV452" s="408">
        <v>0</v>
      </c>
      <c r="AW452" s="408">
        <v>0</v>
      </c>
      <c r="AX452" s="408">
        <v>0</v>
      </c>
      <c r="AY452" s="408">
        <v>0</v>
      </c>
      <c r="AZ452" s="408">
        <v>0</v>
      </c>
      <c r="BA452" s="408"/>
      <c r="BB452" s="408">
        <v>0</v>
      </c>
      <c r="BC452" s="408">
        <v>0</v>
      </c>
      <c r="BD452" s="408">
        <v>-9.0450582525971282E-2</v>
      </c>
      <c r="BE452" s="408">
        <v>0</v>
      </c>
      <c r="BF452" s="408">
        <v>0</v>
      </c>
      <c r="BG452" s="408">
        <v>-5.389652094908957</v>
      </c>
      <c r="BH452" s="408">
        <v>0</v>
      </c>
      <c r="BI452" s="408">
        <v>-0.13</v>
      </c>
      <c r="BJ452" s="408">
        <v>-0.59</v>
      </c>
      <c r="BK452" s="408">
        <v>-33.47</v>
      </c>
      <c r="BL452" s="408">
        <v>0</v>
      </c>
      <c r="BM452" s="408"/>
      <c r="BN452" s="408"/>
      <c r="BO452" s="408"/>
      <c r="BP452" s="408"/>
      <c r="BQ452" s="408"/>
      <c r="BR452" s="408"/>
      <c r="BS452" s="408"/>
      <c r="BT452" s="408"/>
      <c r="BU452" s="408"/>
      <c r="BV452" s="408">
        <v>-37.947530802627597</v>
      </c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>
        <v>-77.101499999999987</v>
      </c>
      <c r="CJ452" s="408">
        <v>42.740259999999992</v>
      </c>
      <c r="CK452" s="408"/>
      <c r="CL452" s="408"/>
      <c r="CM452" s="408"/>
      <c r="CN452" s="408"/>
      <c r="CO452" s="408">
        <v>46.701999999999998</v>
      </c>
      <c r="CP452" s="408">
        <v>-4.9597599999999993</v>
      </c>
      <c r="CQ452" s="408">
        <v>30</v>
      </c>
      <c r="CR452" s="408">
        <v>-5.8748464886687444</v>
      </c>
      <c r="CS452" s="408">
        <v>-0.13925642033305685</v>
      </c>
      <c r="CT452" s="408">
        <v>-0.43630206251201553</v>
      </c>
      <c r="CU452" s="408">
        <v>0</v>
      </c>
      <c r="CV452" s="408">
        <v>0</v>
      </c>
      <c r="CW452" s="408">
        <v>0</v>
      </c>
      <c r="CX452" s="408">
        <v>0</v>
      </c>
      <c r="CY452" s="408">
        <v>0</v>
      </c>
      <c r="CZ452" s="408">
        <v>-1.2215124443794134E-2</v>
      </c>
      <c r="DA452" s="408">
        <v>0</v>
      </c>
      <c r="DB452" s="408">
        <v>0</v>
      </c>
      <c r="DC452" s="408">
        <v>-4.9603974155543682</v>
      </c>
      <c r="DD452" s="408">
        <v>0</v>
      </c>
      <c r="DE452" s="408">
        <v>0</v>
      </c>
      <c r="DF452" s="408">
        <v>-1.3819106153624791E-2</v>
      </c>
      <c r="DG452" s="408">
        <v>-0.82343498903689571</v>
      </c>
      <c r="DH452" s="408">
        <v>0</v>
      </c>
      <c r="DI452" s="408">
        <v>0.44016240658151062</v>
      </c>
      <c r="DJ452" s="408"/>
      <c r="DK452" s="408">
        <v>0</v>
      </c>
      <c r="DL452" s="408">
        <v>0</v>
      </c>
      <c r="DM452" s="408">
        <v>0</v>
      </c>
      <c r="DN452" s="408">
        <v>0</v>
      </c>
      <c r="DO452" s="408">
        <v>5.7733452513596628E-2</v>
      </c>
      <c r="DP452" s="408">
        <v>1.2682770269901888E-2</v>
      </c>
      <c r="DQ452" s="408">
        <v>0</v>
      </c>
      <c r="DR452" s="408">
        <v>0</v>
      </c>
      <c r="DS452" s="408"/>
      <c r="DT452" s="408"/>
      <c r="DU452" s="408"/>
      <c r="DV452" s="408">
        <v>-64.810317655600286</v>
      </c>
      <c r="DW452" s="408">
        <v>0</v>
      </c>
      <c r="DX452" s="408">
        <v>0</v>
      </c>
      <c r="DY452" s="408">
        <v>46.701999999999998</v>
      </c>
      <c r="DZ452" s="234">
        <v>-4.9597600000000028</v>
      </c>
      <c r="EA452" s="408">
        <v>0</v>
      </c>
      <c r="EB452" s="408">
        <v>0</v>
      </c>
      <c r="EC452" s="408">
        <v>47.616776652105884</v>
      </c>
      <c r="ED452" s="408">
        <v>0</v>
      </c>
      <c r="EE452" s="408">
        <v>0</v>
      </c>
      <c r="EF452" s="408">
        <v>0</v>
      </c>
      <c r="EG452" s="408">
        <v>0</v>
      </c>
      <c r="EH452" s="408">
        <v>0</v>
      </c>
      <c r="EI452" s="408">
        <v>0</v>
      </c>
      <c r="EJ452" s="408">
        <v>0</v>
      </c>
      <c r="EK452" s="408">
        <v>0</v>
      </c>
      <c r="EL452" s="408">
        <v>0</v>
      </c>
      <c r="EM452" s="408">
        <v>0</v>
      </c>
      <c r="EN452" s="408">
        <v>0</v>
      </c>
      <c r="EO452" s="408">
        <v>0</v>
      </c>
      <c r="EP452" s="408">
        <v>0</v>
      </c>
      <c r="EQ452" s="408">
        <v>0</v>
      </c>
      <c r="ER452" s="408">
        <v>0</v>
      </c>
      <c r="ES452" s="408">
        <v>0</v>
      </c>
      <c r="ET452" s="408">
        <v>0</v>
      </c>
      <c r="EU452" s="408">
        <v>0</v>
      </c>
      <c r="EV452" s="408">
        <v>242</v>
      </c>
      <c r="EW452" s="408">
        <v>0</v>
      </c>
      <c r="EX452" s="408">
        <v>0</v>
      </c>
      <c r="EY452" s="408">
        <v>0</v>
      </c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452</v>
      </c>
      <c r="B453" s="408" t="s">
        <v>2234</v>
      </c>
      <c r="C453" s="408" t="s">
        <v>2231</v>
      </c>
      <c r="D453" s="408" t="s">
        <v>1952</v>
      </c>
      <c r="E453" s="408" t="s">
        <v>969</v>
      </c>
      <c r="F453" s="408" t="s">
        <v>969</v>
      </c>
      <c r="G453" s="408" t="s">
        <v>1322</v>
      </c>
      <c r="H453" s="408" t="s">
        <v>1322</v>
      </c>
      <c r="I453" s="408" t="s">
        <v>1322</v>
      </c>
      <c r="J453" s="408" t="s">
        <v>2232</v>
      </c>
      <c r="K453" s="828">
        <v>44652</v>
      </c>
      <c r="L453" s="408">
        <v>0</v>
      </c>
      <c r="M453" s="408">
        <v>0</v>
      </c>
      <c r="N453" s="408">
        <v>14.683999999999999</v>
      </c>
      <c r="O453" s="408">
        <v>14.683999999999999</v>
      </c>
      <c r="P453" s="408">
        <v>14.683999999999999</v>
      </c>
      <c r="Q453" s="408">
        <v>14.683999999999999</v>
      </c>
      <c r="R453" s="408"/>
      <c r="S453" s="408">
        <v>571.87</v>
      </c>
      <c r="T453" s="408">
        <v>216.76</v>
      </c>
      <c r="U453" s="408"/>
      <c r="V453" s="408">
        <v>11580.242919999999</v>
      </c>
      <c r="W453" s="408">
        <v>11580.242919999999</v>
      </c>
      <c r="X453" s="408">
        <v>7547.7228400000004</v>
      </c>
      <c r="Y453" s="408">
        <v>0</v>
      </c>
      <c r="Z453" s="408">
        <v>890.00630067467307</v>
      </c>
      <c r="AA453" s="408">
        <v>0</v>
      </c>
      <c r="AB453" s="408">
        <v>0</v>
      </c>
      <c r="AC453" s="408">
        <v>0</v>
      </c>
      <c r="AD453" s="408">
        <v>12.068980763577409</v>
      </c>
      <c r="AE453" s="408">
        <v>6261.0177924660165</v>
      </c>
      <c r="AF453" s="408">
        <v>3136.5244380942709</v>
      </c>
      <c r="AG453" s="408">
        <v>46.36333115006645</v>
      </c>
      <c r="AH453" s="408">
        <v>0</v>
      </c>
      <c r="AI453" s="408">
        <v>0</v>
      </c>
      <c r="AJ453" s="408">
        <v>0</v>
      </c>
      <c r="AK453" s="408">
        <v>0</v>
      </c>
      <c r="AL453" s="408">
        <v>137.6424366424385</v>
      </c>
      <c r="AM453" s="408"/>
      <c r="AN453" s="408">
        <v>28.170806962581928</v>
      </c>
      <c r="AO453" s="408">
        <v>130.41884974782607</v>
      </c>
      <c r="AP453" s="408">
        <v>408.61321150816951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8.7380023277063312</v>
      </c>
      <c r="BE453" s="408">
        <v>0</v>
      </c>
      <c r="BF453" s="408">
        <v>0</v>
      </c>
      <c r="BG453" s="408">
        <v>520.66875895817839</v>
      </c>
      <c r="BH453" s="408">
        <v>0</v>
      </c>
      <c r="BI453" s="408">
        <v>27.42</v>
      </c>
      <c r="BJ453" s="408">
        <v>131.66999999999999</v>
      </c>
      <c r="BK453" s="408">
        <v>7333.4</v>
      </c>
      <c r="BL453" s="408">
        <v>202</v>
      </c>
      <c r="BM453" s="408"/>
      <c r="BN453" s="408"/>
      <c r="BO453" s="408"/>
      <c r="BP453" s="408"/>
      <c r="BQ453" s="408"/>
      <c r="BR453" s="408"/>
      <c r="BS453" s="408"/>
      <c r="BT453" s="408"/>
      <c r="BU453" s="408"/>
      <c r="BV453" s="408">
        <v>3665.9311993801557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7545.6667999999991</v>
      </c>
      <c r="CJ453" s="408">
        <v>-4034.6061200000004</v>
      </c>
      <c r="CK453" s="408"/>
      <c r="CL453" s="408"/>
      <c r="CM453" s="408"/>
      <c r="CN453" s="408"/>
      <c r="CO453" s="408">
        <v>-4511.6589999999997</v>
      </c>
      <c r="CP453" s="408">
        <v>479.13891999999993</v>
      </c>
      <c r="CQ453" s="408">
        <v>30</v>
      </c>
      <c r="CR453" s="408">
        <v>567.54109105007774</v>
      </c>
      <c r="CS453" s="408">
        <v>13.45290313270138</v>
      </c>
      <c r="CT453" s="408">
        <v>42.149075565305509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1.180045311399164</v>
      </c>
      <c r="DA453" s="408">
        <v>0</v>
      </c>
      <c r="DB453" s="408">
        <v>0</v>
      </c>
      <c r="DC453" s="408">
        <v>479.20049769737079</v>
      </c>
      <c r="DD453" s="408">
        <v>0</v>
      </c>
      <c r="DE453" s="408">
        <v>0</v>
      </c>
      <c r="DF453" s="408">
        <v>1.334998386577805</v>
      </c>
      <c r="DG453" s="408">
        <v>79.548153809327459</v>
      </c>
      <c r="DH453" s="408">
        <v>0</v>
      </c>
      <c r="DI453" s="408">
        <v>-42.522005120019116</v>
      </c>
      <c r="DJ453" s="408"/>
      <c r="DK453" s="408">
        <v>0</v>
      </c>
      <c r="DL453" s="408">
        <v>0</v>
      </c>
      <c r="DM453" s="408">
        <v>0</v>
      </c>
      <c r="DN453" s="408">
        <v>0</v>
      </c>
      <c r="DO453" s="408">
        <v>-5.5773553730898584</v>
      </c>
      <c r="DP453" s="408">
        <v>-1.2252223594949996</v>
      </c>
      <c r="DQ453" s="408">
        <v>0</v>
      </c>
      <c r="DR453" s="408">
        <v>0</v>
      </c>
      <c r="DS453" s="408"/>
      <c r="DT453" s="408"/>
      <c r="DU453" s="408"/>
      <c r="DV453" s="408">
        <v>6261.0177924660165</v>
      </c>
      <c r="DW453" s="408">
        <v>0</v>
      </c>
      <c r="DX453" s="408">
        <v>0</v>
      </c>
      <c r="DY453" s="408">
        <v>-4511.6589999999997</v>
      </c>
      <c r="DZ453" s="234">
        <v>479.13892000000033</v>
      </c>
      <c r="EA453" s="408">
        <v>0</v>
      </c>
      <c r="EB453" s="408">
        <v>0</v>
      </c>
      <c r="EC453" s="408">
        <v>-4600.0312392073856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0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242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453</v>
      </c>
      <c r="B454" s="408" t="s">
        <v>1036</v>
      </c>
      <c r="C454" s="408" t="s">
        <v>2231</v>
      </c>
      <c r="D454" s="408" t="s">
        <v>1952</v>
      </c>
      <c r="E454" s="408" t="s">
        <v>969</v>
      </c>
      <c r="F454" s="408" t="s">
        <v>2235</v>
      </c>
      <c r="G454" s="408" t="s">
        <v>1322</v>
      </c>
      <c r="H454" s="408" t="s">
        <v>1322</v>
      </c>
      <c r="I454" s="408" t="s">
        <v>1322</v>
      </c>
      <c r="J454" s="408" t="s">
        <v>2232</v>
      </c>
      <c r="K454" s="828">
        <v>44652</v>
      </c>
      <c r="L454" s="408">
        <v>0</v>
      </c>
      <c r="M454" s="408">
        <v>0</v>
      </c>
      <c r="N454" s="408">
        <v>7.68</v>
      </c>
      <c r="O454" s="408">
        <v>7.68</v>
      </c>
      <c r="P454" s="408">
        <v>7.68</v>
      </c>
      <c r="Q454" s="408">
        <v>7.68</v>
      </c>
      <c r="R454" s="408"/>
      <c r="S454" s="408">
        <v>501.89</v>
      </c>
      <c r="T454" s="408">
        <v>216.76</v>
      </c>
      <c r="U454" s="408"/>
      <c r="V454" s="408">
        <v>5519.232</v>
      </c>
      <c r="W454" s="408">
        <v>5519.232</v>
      </c>
      <c r="X454" s="408">
        <v>3435.2639999999997</v>
      </c>
      <c r="Y454" s="408">
        <v>0</v>
      </c>
      <c r="Z454" s="408">
        <v>0</v>
      </c>
      <c r="AA454" s="408">
        <v>0</v>
      </c>
      <c r="AB454" s="408">
        <v>0</v>
      </c>
      <c r="AC454" s="408">
        <v>0</v>
      </c>
      <c r="AD454" s="408">
        <v>6.312297212222453</v>
      </c>
      <c r="AE454" s="408">
        <v>3274.6265762829617</v>
      </c>
      <c r="AF454" s="408">
        <v>1640.4595263255244</v>
      </c>
      <c r="AG454" s="408">
        <v>24.248868375954125</v>
      </c>
      <c r="AH454" s="408">
        <v>0</v>
      </c>
      <c r="AI454" s="408">
        <v>0</v>
      </c>
      <c r="AJ454" s="408">
        <v>0</v>
      </c>
      <c r="AK454" s="408">
        <v>0</v>
      </c>
      <c r="AL454" s="408">
        <v>0</v>
      </c>
      <c r="AM454" s="408"/>
      <c r="AN454" s="408">
        <v>14.733846191271397</v>
      </c>
      <c r="AO454" s="408">
        <v>68.2114387131098</v>
      </c>
      <c r="AP454" s="408">
        <v>213.71216728294348</v>
      </c>
      <c r="AQ454" s="408">
        <v>0</v>
      </c>
      <c r="AR454" s="408">
        <v>0</v>
      </c>
      <c r="AS454" s="408">
        <v>0</v>
      </c>
      <c r="AT454" s="408">
        <v>0</v>
      </c>
      <c r="AU454" s="408">
        <v>0</v>
      </c>
      <c r="AV454" s="408">
        <v>0</v>
      </c>
      <c r="AW454" s="408">
        <v>0</v>
      </c>
      <c r="AX454" s="408">
        <v>0</v>
      </c>
      <c r="AY454" s="408">
        <v>0</v>
      </c>
      <c r="AZ454" s="408">
        <v>0</v>
      </c>
      <c r="BA454" s="408"/>
      <c r="BB454" s="408">
        <v>0</v>
      </c>
      <c r="BC454" s="408">
        <v>0</v>
      </c>
      <c r="BD454" s="408">
        <v>4.5701346960490747</v>
      </c>
      <c r="BE454" s="408">
        <v>0</v>
      </c>
      <c r="BF454" s="408">
        <v>0</v>
      </c>
      <c r="BG454" s="408">
        <v>272.31926374276833</v>
      </c>
      <c r="BH454" s="408">
        <v>0</v>
      </c>
      <c r="BI454" s="408">
        <v>2.58</v>
      </c>
      <c r="BJ454" s="408">
        <v>17.850000000000001</v>
      </c>
      <c r="BK454" s="408">
        <v>376</v>
      </c>
      <c r="BL454" s="408">
        <v>19</v>
      </c>
      <c r="BM454" s="408"/>
      <c r="BN454" s="408"/>
      <c r="BO454" s="408"/>
      <c r="BP454" s="408"/>
      <c r="BQ454" s="408"/>
      <c r="BR454" s="408"/>
      <c r="BS454" s="408"/>
      <c r="BT454" s="408">
        <v>2232.8831999999993</v>
      </c>
      <c r="BU454" s="408"/>
      <c r="BV454" s="408">
        <v>1917.3489247643417</v>
      </c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>
        <v>1202.3807999999999</v>
      </c>
      <c r="CJ454" s="408">
        <v>-729.39959999999996</v>
      </c>
      <c r="CK454" s="408"/>
      <c r="CL454" s="408"/>
      <c r="CM454" s="408"/>
      <c r="CN454" s="408"/>
      <c r="CO454" s="408">
        <v>-2334.5664000000002</v>
      </c>
      <c r="CP454" s="408">
        <v>250.59839999999997</v>
      </c>
      <c r="CQ454" s="408">
        <v>30</v>
      </c>
      <c r="CR454" s="408">
        <v>321.99119230806809</v>
      </c>
      <c r="CS454" s="408">
        <v>7.0361138694597116</v>
      </c>
      <c r="CT454" s="408">
        <v>22.044735790080779</v>
      </c>
      <c r="CU454" s="408">
        <v>0</v>
      </c>
      <c r="CV454" s="408">
        <v>0</v>
      </c>
      <c r="CW454" s="408">
        <v>0</v>
      </c>
      <c r="CX454" s="408">
        <v>0</v>
      </c>
      <c r="CY454" s="408">
        <v>0</v>
      </c>
      <c r="CZ454" s="408">
        <v>0.617185235054861</v>
      </c>
      <c r="DA454" s="408">
        <v>0</v>
      </c>
      <c r="DB454" s="408">
        <v>0</v>
      </c>
      <c r="DC454" s="408">
        <v>250.63060625958906</v>
      </c>
      <c r="DD454" s="408">
        <v>0</v>
      </c>
      <c r="DE454" s="408">
        <v>0</v>
      </c>
      <c r="DF454" s="408">
        <v>0.69822852144630598</v>
      </c>
      <c r="DG454" s="408">
        <v>41.605136288180006</v>
      </c>
      <c r="DH454" s="408">
        <v>0</v>
      </c>
      <c r="DI454" s="408">
        <v>0</v>
      </c>
      <c r="DJ454" s="408"/>
      <c r="DK454" s="408">
        <v>0</v>
      </c>
      <c r="DL454" s="408">
        <v>0</v>
      </c>
      <c r="DM454" s="408">
        <v>0</v>
      </c>
      <c r="DN454" s="408">
        <v>0</v>
      </c>
      <c r="DO454" s="408">
        <v>0</v>
      </c>
      <c r="DP454" s="408">
        <v>-0.64081365574241111</v>
      </c>
      <c r="DQ454" s="408">
        <v>0</v>
      </c>
      <c r="DR454" s="408">
        <v>0</v>
      </c>
      <c r="DS454" s="408"/>
      <c r="DT454" s="408"/>
      <c r="DU454" s="408"/>
      <c r="DV454" s="408">
        <v>3274.6265762829617</v>
      </c>
      <c r="DW454" s="408">
        <v>0</v>
      </c>
      <c r="DX454" s="408">
        <v>0</v>
      </c>
      <c r="DY454" s="408">
        <v>-2334.5663999999997</v>
      </c>
      <c r="DZ454" s="234">
        <v>250.59839999999986</v>
      </c>
      <c r="EA454" s="408">
        <v>0</v>
      </c>
      <c r="EB454" s="408">
        <v>0</v>
      </c>
      <c r="EC454" s="408">
        <v>-2405.9002940011392</v>
      </c>
      <c r="ED454" s="408">
        <v>0</v>
      </c>
      <c r="EE454" s="408">
        <v>0</v>
      </c>
      <c r="EF454" s="408">
        <v>0</v>
      </c>
      <c r="EG454" s="408">
        <v>0</v>
      </c>
      <c r="EH454" s="408">
        <v>0</v>
      </c>
      <c r="EI454" s="408">
        <v>0</v>
      </c>
      <c r="EJ454" s="408">
        <v>0</v>
      </c>
      <c r="EK454" s="408">
        <v>0</v>
      </c>
      <c r="EL454" s="408">
        <v>0</v>
      </c>
      <c r="EM454" s="408">
        <v>0</v>
      </c>
      <c r="EN454" s="408">
        <v>0</v>
      </c>
      <c r="EO454" s="408">
        <v>0</v>
      </c>
      <c r="EP454" s="408">
        <v>0</v>
      </c>
      <c r="EQ454" s="408">
        <v>0</v>
      </c>
      <c r="ER454" s="408">
        <v>0</v>
      </c>
      <c r="ES454" s="408">
        <v>0</v>
      </c>
      <c r="ET454" s="408">
        <v>0</v>
      </c>
      <c r="EU454" s="408">
        <v>0</v>
      </c>
      <c r="EV454" s="408">
        <v>242</v>
      </c>
      <c r="EW454" s="408">
        <v>0</v>
      </c>
      <c r="EX454" s="408">
        <v>0</v>
      </c>
      <c r="EY454" s="408">
        <v>0</v>
      </c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454</v>
      </c>
      <c r="B455" s="408" t="s">
        <v>2233</v>
      </c>
      <c r="C455" s="408" t="s">
        <v>2231</v>
      </c>
      <c r="D455" s="408" t="s">
        <v>1952</v>
      </c>
      <c r="E455" s="408" t="s">
        <v>969</v>
      </c>
      <c r="F455" s="408" t="s">
        <v>2235</v>
      </c>
      <c r="G455" s="408" t="s">
        <v>1322</v>
      </c>
      <c r="H455" s="408" t="s">
        <v>1322</v>
      </c>
      <c r="I455" s="408" t="s">
        <v>1322</v>
      </c>
      <c r="J455" s="408" t="s">
        <v>2232</v>
      </c>
      <c r="K455" s="828">
        <v>44652</v>
      </c>
      <c r="L455" s="408">
        <v>0</v>
      </c>
      <c r="M455" s="408">
        <v>0</v>
      </c>
      <c r="N455" s="408">
        <v>0</v>
      </c>
      <c r="O455" s="408">
        <v>0</v>
      </c>
      <c r="P455" s="408">
        <v>0</v>
      </c>
      <c r="Q455" s="408">
        <v>0</v>
      </c>
      <c r="R455" s="408"/>
      <c r="S455" s="408"/>
      <c r="T455" s="408"/>
      <c r="U455" s="408"/>
      <c r="V455" s="408"/>
      <c r="W455" s="408"/>
      <c r="X455" s="408"/>
      <c r="Y455" s="408"/>
      <c r="Z455" s="408"/>
      <c r="AA455" s="408">
        <v>0</v>
      </c>
      <c r="AB455" s="408"/>
      <c r="AC455" s="408"/>
      <c r="AD455" s="408"/>
      <c r="AE455" s="408"/>
      <c r="AF455" s="408"/>
      <c r="AG455" s="408"/>
      <c r="AH455" s="408"/>
      <c r="AI455" s="408"/>
      <c r="AJ455" s="408"/>
      <c r="AK455" s="408"/>
      <c r="AL455" s="408"/>
      <c r="AM455" s="408"/>
      <c r="AN455" s="408"/>
      <c r="AO455" s="408"/>
      <c r="AP455" s="408"/>
      <c r="AQ455" s="408"/>
      <c r="AR455" s="408"/>
      <c r="AS455" s="408"/>
      <c r="AT455" s="408"/>
      <c r="AU455" s="408"/>
      <c r="AV455" s="408"/>
      <c r="AW455" s="408"/>
      <c r="AX455" s="408"/>
      <c r="AY455" s="408"/>
      <c r="AZ455" s="408">
        <v>0</v>
      </c>
      <c r="BA455" s="408"/>
      <c r="BB455" s="408"/>
      <c r="BC455" s="408"/>
      <c r="BD455" s="408"/>
      <c r="BE455" s="408"/>
      <c r="BF455" s="408"/>
      <c r="BG455" s="408"/>
      <c r="BH455" s="408"/>
      <c r="BI455" s="408">
        <v>-0.01</v>
      </c>
      <c r="BJ455" s="408">
        <v>0.01</v>
      </c>
      <c r="BK455" s="408">
        <v>-0.93</v>
      </c>
      <c r="BL455" s="408">
        <v>0</v>
      </c>
      <c r="BM455" s="408"/>
      <c r="BN455" s="408"/>
      <c r="BO455" s="408"/>
      <c r="BP455" s="408"/>
      <c r="BQ455" s="408"/>
      <c r="BR455" s="408"/>
      <c r="BS455" s="408"/>
      <c r="BT455" s="408"/>
      <c r="BU455" s="408"/>
      <c r="BV455" s="408"/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/>
      <c r="CJ455" s="408">
        <v>-0.03</v>
      </c>
      <c r="CK455" s="408"/>
      <c r="CL455" s="408"/>
      <c r="CM455" s="408"/>
      <c r="CN455" s="408"/>
      <c r="CO455" s="408">
        <v>0</v>
      </c>
      <c r="CP455" s="408">
        <v>0</v>
      </c>
      <c r="CQ455" s="408">
        <v>30</v>
      </c>
      <c r="CR455" s="408"/>
      <c r="CS455" s="408"/>
      <c r="CT455" s="408"/>
      <c r="CU455" s="408"/>
      <c r="CV455" s="408"/>
      <c r="CW455" s="408"/>
      <c r="CX455" s="408"/>
      <c r="CY455" s="408"/>
      <c r="CZ455" s="408"/>
      <c r="DA455" s="408"/>
      <c r="DB455" s="408"/>
      <c r="DC455" s="408"/>
      <c r="DD455" s="408"/>
      <c r="DE455" s="408"/>
      <c r="DF455" s="408"/>
      <c r="DG455" s="408"/>
      <c r="DH455" s="408"/>
      <c r="DI455" s="408"/>
      <c r="DJ455" s="408"/>
      <c r="DK455" s="408">
        <v>0</v>
      </c>
      <c r="DL455" s="408"/>
      <c r="DM455" s="408"/>
      <c r="DN455" s="408"/>
      <c r="DO455" s="408"/>
      <c r="DP455" s="408"/>
      <c r="DQ455" s="408"/>
      <c r="DR455" s="408"/>
      <c r="DS455" s="408"/>
      <c r="DT455" s="408"/>
      <c r="DU455" s="408"/>
      <c r="DV455" s="408"/>
      <c r="DW455" s="408"/>
      <c r="DX455" s="408"/>
      <c r="DY455" s="408"/>
      <c r="DZ455" s="234"/>
      <c r="EA455" s="408"/>
      <c r="EB455" s="408"/>
      <c r="EC455" s="408"/>
      <c r="ED455" s="408"/>
      <c r="EE455" s="408"/>
      <c r="EF455" s="408"/>
      <c r="EG455" s="408"/>
      <c r="EH455" s="408"/>
      <c r="EI455" s="408"/>
      <c r="EJ455" s="408"/>
      <c r="EK455" s="408"/>
      <c r="EL455" s="408"/>
      <c r="EM455" s="408"/>
      <c r="EN455" s="408"/>
      <c r="EO455" s="408"/>
      <c r="EP455" s="408"/>
      <c r="EQ455" s="408"/>
      <c r="ER455" s="408"/>
      <c r="ES455" s="408"/>
      <c r="ET455" s="408"/>
      <c r="EU455" s="408"/>
      <c r="EV455" s="408">
        <v>242</v>
      </c>
      <c r="EW455" s="408"/>
      <c r="EX455" s="408"/>
      <c r="EY455" s="408"/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455</v>
      </c>
      <c r="B456" s="408" t="s">
        <v>2234</v>
      </c>
      <c r="C456" s="408" t="s">
        <v>2231</v>
      </c>
      <c r="D456" s="408" t="s">
        <v>1952</v>
      </c>
      <c r="E456" s="408" t="s">
        <v>969</v>
      </c>
      <c r="F456" s="408" t="s">
        <v>2235</v>
      </c>
      <c r="G456" s="408" t="s">
        <v>1322</v>
      </c>
      <c r="H456" s="408" t="s">
        <v>1322</v>
      </c>
      <c r="I456" s="408" t="s">
        <v>1322</v>
      </c>
      <c r="J456" s="408" t="s">
        <v>2232</v>
      </c>
      <c r="K456" s="828">
        <v>44652</v>
      </c>
      <c r="L456" s="408">
        <v>0</v>
      </c>
      <c r="M456" s="408">
        <v>0</v>
      </c>
      <c r="N456" s="408">
        <v>0</v>
      </c>
      <c r="O456" s="408">
        <v>0</v>
      </c>
      <c r="P456" s="408">
        <v>0</v>
      </c>
      <c r="Q456" s="408">
        <v>0</v>
      </c>
      <c r="R456" s="408"/>
      <c r="S456" s="408"/>
      <c r="T456" s="408"/>
      <c r="U456" s="408"/>
      <c r="V456" s="408"/>
      <c r="W456" s="408"/>
      <c r="X456" s="408"/>
      <c r="Y456" s="408"/>
      <c r="Z456" s="408"/>
      <c r="AA456" s="408">
        <v>0</v>
      </c>
      <c r="AB456" s="408"/>
      <c r="AC456" s="408"/>
      <c r="AD456" s="408"/>
      <c r="AE456" s="408"/>
      <c r="AF456" s="408"/>
      <c r="AG456" s="408"/>
      <c r="AH456" s="408"/>
      <c r="AI456" s="408"/>
      <c r="AJ456" s="408"/>
      <c r="AK456" s="408"/>
      <c r="AL456" s="408"/>
      <c r="AM456" s="408"/>
      <c r="AN456" s="408"/>
      <c r="AO456" s="408"/>
      <c r="AP456" s="408"/>
      <c r="AQ456" s="408"/>
      <c r="AR456" s="408"/>
      <c r="AS456" s="408"/>
      <c r="AT456" s="408"/>
      <c r="AU456" s="408"/>
      <c r="AV456" s="408"/>
      <c r="AW456" s="408"/>
      <c r="AX456" s="408"/>
      <c r="AY456" s="408"/>
      <c r="AZ456" s="408">
        <v>0</v>
      </c>
      <c r="BA456" s="408"/>
      <c r="BB456" s="408"/>
      <c r="BC456" s="408"/>
      <c r="BD456" s="408"/>
      <c r="BE456" s="408"/>
      <c r="BF456" s="408"/>
      <c r="BG456" s="408"/>
      <c r="BH456" s="408"/>
      <c r="BI456" s="408">
        <v>0</v>
      </c>
      <c r="BJ456" s="408">
        <v>0</v>
      </c>
      <c r="BK456" s="408">
        <v>0.69</v>
      </c>
      <c r="BL456" s="408">
        <v>0</v>
      </c>
      <c r="BM456" s="408"/>
      <c r="BN456" s="408"/>
      <c r="BO456" s="408"/>
      <c r="BP456" s="408"/>
      <c r="BQ456" s="408"/>
      <c r="BR456" s="408"/>
      <c r="BS456" s="408"/>
      <c r="BT456" s="408"/>
      <c r="BU456" s="408"/>
      <c r="BV456" s="408"/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/>
      <c r="CJ456" s="408">
        <v>-0.03</v>
      </c>
      <c r="CK456" s="408"/>
      <c r="CL456" s="408"/>
      <c r="CM456" s="408"/>
      <c r="CN456" s="408"/>
      <c r="CO456" s="408">
        <v>0</v>
      </c>
      <c r="CP456" s="408">
        <v>0</v>
      </c>
      <c r="CQ456" s="408">
        <v>30</v>
      </c>
      <c r="CR456" s="408"/>
      <c r="CS456" s="408"/>
      <c r="CT456" s="408"/>
      <c r="CU456" s="408"/>
      <c r="CV456" s="408"/>
      <c r="CW456" s="408"/>
      <c r="CX456" s="408"/>
      <c r="CY456" s="408"/>
      <c r="CZ456" s="408"/>
      <c r="DA456" s="408"/>
      <c r="DB456" s="408"/>
      <c r="DC456" s="408"/>
      <c r="DD456" s="408"/>
      <c r="DE456" s="408"/>
      <c r="DF456" s="408"/>
      <c r="DG456" s="408"/>
      <c r="DH456" s="408"/>
      <c r="DI456" s="408"/>
      <c r="DJ456" s="408"/>
      <c r="DK456" s="408">
        <v>0</v>
      </c>
      <c r="DL456" s="408"/>
      <c r="DM456" s="408"/>
      <c r="DN456" s="408"/>
      <c r="DO456" s="408"/>
      <c r="DP456" s="408"/>
      <c r="DQ456" s="408"/>
      <c r="DR456" s="408"/>
      <c r="DS456" s="408"/>
      <c r="DT456" s="408"/>
      <c r="DU456" s="408"/>
      <c r="DV456" s="408"/>
      <c r="DW456" s="408"/>
      <c r="DX456" s="408"/>
      <c r="DY456" s="408"/>
      <c r="DZ456" s="234"/>
      <c r="EA456" s="408"/>
      <c r="EB456" s="408"/>
      <c r="EC456" s="408"/>
      <c r="ED456" s="408"/>
      <c r="EE456" s="408"/>
      <c r="EF456" s="408"/>
      <c r="EG456" s="408"/>
      <c r="EH456" s="408"/>
      <c r="EI456" s="408"/>
      <c r="EJ456" s="408"/>
      <c r="EK456" s="408"/>
      <c r="EL456" s="408"/>
      <c r="EM456" s="408"/>
      <c r="EN456" s="408"/>
      <c r="EO456" s="408"/>
      <c r="EP456" s="408"/>
      <c r="EQ456" s="408"/>
      <c r="ER456" s="408"/>
      <c r="ES456" s="408"/>
      <c r="ET456" s="408"/>
      <c r="EU456" s="408"/>
      <c r="EV456" s="408">
        <v>242</v>
      </c>
      <c r="EW456" s="408"/>
      <c r="EX456" s="408"/>
      <c r="EY456" s="408"/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456</v>
      </c>
      <c r="B457" s="408" t="s">
        <v>1036</v>
      </c>
      <c r="C457" s="408" t="s">
        <v>2231</v>
      </c>
      <c r="D457" s="408" t="s">
        <v>1952</v>
      </c>
      <c r="E457" s="408" t="s">
        <v>969</v>
      </c>
      <c r="F457" s="408" t="s">
        <v>2236</v>
      </c>
      <c r="G457" s="408" t="s">
        <v>1322</v>
      </c>
      <c r="H457" s="408" t="s">
        <v>1322</v>
      </c>
      <c r="I457" s="408" t="s">
        <v>1322</v>
      </c>
      <c r="J457" s="408" t="s">
        <v>2232</v>
      </c>
      <c r="K457" s="828">
        <v>44652</v>
      </c>
      <c r="L457" s="408">
        <v>0</v>
      </c>
      <c r="M457" s="408">
        <v>0</v>
      </c>
      <c r="N457" s="408">
        <v>15.093999999999999</v>
      </c>
      <c r="O457" s="408">
        <v>15.093999999999999</v>
      </c>
      <c r="P457" s="408">
        <v>15.093999999999999</v>
      </c>
      <c r="Q457" s="408">
        <v>15.093999999999999</v>
      </c>
      <c r="R457" s="408"/>
      <c r="S457" s="408">
        <v>501.89</v>
      </c>
      <c r="T457" s="408">
        <v>216.76</v>
      </c>
      <c r="U457" s="408"/>
      <c r="V457" s="408">
        <v>10847.303099999999</v>
      </c>
      <c r="W457" s="408">
        <v>10847.303099999999</v>
      </c>
      <c r="X457" s="408">
        <v>6751.5461999999989</v>
      </c>
      <c r="Y457" s="408">
        <v>0</v>
      </c>
      <c r="Z457" s="408">
        <v>0</v>
      </c>
      <c r="AA457" s="408">
        <v>0</v>
      </c>
      <c r="AB457" s="408">
        <v>0</v>
      </c>
      <c r="AC457" s="408">
        <v>0</v>
      </c>
      <c r="AD457" s="408">
        <v>12.405965380375743</v>
      </c>
      <c r="AE457" s="408">
        <v>6435.835096668623</v>
      </c>
      <c r="AF457" s="408">
        <v>3224.1010534319616</v>
      </c>
      <c r="AG457" s="408">
        <v>47.657867092011919</v>
      </c>
      <c r="AH457" s="408">
        <v>0</v>
      </c>
      <c r="AI457" s="408">
        <v>0</v>
      </c>
      <c r="AJ457" s="408">
        <v>0</v>
      </c>
      <c r="AK457" s="408">
        <v>0</v>
      </c>
      <c r="AL457" s="408">
        <v>0</v>
      </c>
      <c r="AM457" s="408"/>
      <c r="AN457" s="408">
        <v>28.957379480605532</v>
      </c>
      <c r="AO457" s="408">
        <v>134.06034582495826</v>
      </c>
      <c r="AP457" s="408">
        <v>420.02232460530581</v>
      </c>
      <c r="AQ457" s="408">
        <v>0</v>
      </c>
      <c r="AR457" s="408">
        <v>0</v>
      </c>
      <c r="AS457" s="408">
        <v>0</v>
      </c>
      <c r="AT457" s="408">
        <v>0</v>
      </c>
      <c r="AU457" s="408">
        <v>0</v>
      </c>
      <c r="AV457" s="408">
        <v>0</v>
      </c>
      <c r="AW457" s="408">
        <v>0</v>
      </c>
      <c r="AX457" s="408">
        <v>0</v>
      </c>
      <c r="AY457" s="408">
        <v>0</v>
      </c>
      <c r="AZ457" s="408">
        <v>0</v>
      </c>
      <c r="BA457" s="408"/>
      <c r="BB457" s="408">
        <v>0</v>
      </c>
      <c r="BC457" s="408">
        <v>0</v>
      </c>
      <c r="BD457" s="408">
        <v>8.9819808726777008</v>
      </c>
      <c r="BE457" s="408">
        <v>0</v>
      </c>
      <c r="BF457" s="408">
        <v>0</v>
      </c>
      <c r="BG457" s="408">
        <v>535.20663631944603</v>
      </c>
      <c r="BH457" s="408">
        <v>0</v>
      </c>
      <c r="BI457" s="408">
        <v>12.51</v>
      </c>
      <c r="BJ457" s="408">
        <v>56.13</v>
      </c>
      <c r="BK457" s="408">
        <v>1362.29</v>
      </c>
      <c r="BL457" s="408">
        <v>45</v>
      </c>
      <c r="BM457" s="408"/>
      <c r="BN457" s="408"/>
      <c r="BO457" s="408"/>
      <c r="BP457" s="408"/>
      <c r="BQ457" s="408"/>
      <c r="BR457" s="408"/>
      <c r="BS457" s="408"/>
      <c r="BT457" s="408">
        <v>2700.4675399999996</v>
      </c>
      <c r="BU457" s="408"/>
      <c r="BV457" s="408">
        <v>3768.2896706240854</v>
      </c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>
        <v>4050.0050999999999</v>
      </c>
      <c r="CJ457" s="408">
        <v>-2458.4067600000003</v>
      </c>
      <c r="CK457" s="408"/>
      <c r="CL457" s="408"/>
      <c r="CM457" s="408"/>
      <c r="CN457" s="408"/>
      <c r="CO457" s="408">
        <v>-4588.27412</v>
      </c>
      <c r="CP457" s="408">
        <v>492.5172199999999</v>
      </c>
      <c r="CQ457" s="408">
        <v>30</v>
      </c>
      <c r="CR457" s="408">
        <v>632.83008550754857</v>
      </c>
      <c r="CS457" s="408">
        <v>13.82852900333657</v>
      </c>
      <c r="CT457" s="408">
        <v>43.325942970765539</v>
      </c>
      <c r="CU457" s="408">
        <v>0</v>
      </c>
      <c r="CV457" s="408">
        <v>0</v>
      </c>
      <c r="CW457" s="408">
        <v>0</v>
      </c>
      <c r="CX457" s="408">
        <v>0</v>
      </c>
      <c r="CY457" s="408">
        <v>0</v>
      </c>
      <c r="CZ457" s="408">
        <v>1.2129940023330814</v>
      </c>
      <c r="DA457" s="408">
        <v>0</v>
      </c>
      <c r="DB457" s="408">
        <v>0</v>
      </c>
      <c r="DC457" s="408">
        <v>492.58051704195805</v>
      </c>
      <c r="DD457" s="408">
        <v>0</v>
      </c>
      <c r="DE457" s="408">
        <v>0</v>
      </c>
      <c r="DF457" s="408">
        <v>1.3722736071237662</v>
      </c>
      <c r="DG457" s="408">
        <v>81.769261345545374</v>
      </c>
      <c r="DH457" s="408">
        <v>0</v>
      </c>
      <c r="DI457" s="408">
        <v>0</v>
      </c>
      <c r="DJ457" s="408"/>
      <c r="DK457" s="408">
        <v>0</v>
      </c>
      <c r="DL457" s="408">
        <v>0</v>
      </c>
      <c r="DM457" s="408">
        <v>0</v>
      </c>
      <c r="DN457" s="408">
        <v>0</v>
      </c>
      <c r="DO457" s="408">
        <v>0</v>
      </c>
      <c r="DP457" s="408">
        <v>-1.2594324635124963</v>
      </c>
      <c r="DQ457" s="408">
        <v>0</v>
      </c>
      <c r="DR457" s="408">
        <v>0</v>
      </c>
      <c r="DS457" s="408"/>
      <c r="DT457" s="408"/>
      <c r="DU457" s="408"/>
      <c r="DV457" s="408">
        <v>6435.835096668623</v>
      </c>
      <c r="DW457" s="408">
        <v>0</v>
      </c>
      <c r="DX457" s="408">
        <v>0</v>
      </c>
      <c r="DY457" s="408">
        <v>-4588.27412</v>
      </c>
      <c r="DZ457" s="234">
        <v>492.51721999999972</v>
      </c>
      <c r="EA457" s="408">
        <v>0</v>
      </c>
      <c r="EB457" s="408">
        <v>0</v>
      </c>
      <c r="EC457" s="408">
        <v>-4728.4712288610926</v>
      </c>
      <c r="ED457" s="408">
        <v>0</v>
      </c>
      <c r="EE457" s="408">
        <v>0</v>
      </c>
      <c r="EF457" s="408">
        <v>0</v>
      </c>
      <c r="EG457" s="408">
        <v>0</v>
      </c>
      <c r="EH457" s="408">
        <v>0</v>
      </c>
      <c r="EI457" s="408">
        <v>0</v>
      </c>
      <c r="EJ457" s="408">
        <v>0</v>
      </c>
      <c r="EK457" s="408">
        <v>0</v>
      </c>
      <c r="EL457" s="408">
        <v>0</v>
      </c>
      <c r="EM457" s="408">
        <v>0</v>
      </c>
      <c r="EN457" s="408">
        <v>0</v>
      </c>
      <c r="EO457" s="408">
        <v>0</v>
      </c>
      <c r="EP457" s="408">
        <v>0</v>
      </c>
      <c r="EQ457" s="408">
        <v>0</v>
      </c>
      <c r="ER457" s="408">
        <v>0</v>
      </c>
      <c r="ES457" s="408">
        <v>0</v>
      </c>
      <c r="ET457" s="408">
        <v>0</v>
      </c>
      <c r="EU457" s="408">
        <v>0</v>
      </c>
      <c r="EV457" s="408">
        <v>242</v>
      </c>
      <c r="EW457" s="408">
        <v>0</v>
      </c>
      <c r="EX457" s="408">
        <v>0</v>
      </c>
      <c r="EY457" s="408">
        <v>0</v>
      </c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457</v>
      </c>
      <c r="B458" s="408" t="s">
        <v>2233</v>
      </c>
      <c r="C458" s="408" t="s">
        <v>2231</v>
      </c>
      <c r="D458" s="408" t="s">
        <v>1952</v>
      </c>
      <c r="E458" s="408" t="s">
        <v>969</v>
      </c>
      <c r="F458" s="408" t="s">
        <v>2236</v>
      </c>
      <c r="G458" s="408" t="s">
        <v>1322</v>
      </c>
      <c r="H458" s="408" t="s">
        <v>1322</v>
      </c>
      <c r="I458" s="408" t="s">
        <v>1322</v>
      </c>
      <c r="J458" s="408" t="s">
        <v>2232</v>
      </c>
      <c r="K458" s="828">
        <v>44652</v>
      </c>
      <c r="L458" s="408">
        <v>0</v>
      </c>
      <c r="M458" s="408">
        <v>0</v>
      </c>
      <c r="N458" s="408">
        <v>-7.0000000000000007E-2</v>
      </c>
      <c r="O458" s="408">
        <v>-7.0000000000000007E-2</v>
      </c>
      <c r="P458" s="408">
        <v>-7.0000000000000007E-2</v>
      </c>
      <c r="Q458" s="408">
        <v>-7.0000000000000007E-2</v>
      </c>
      <c r="R458" s="408"/>
      <c r="S458" s="408">
        <v>501.89</v>
      </c>
      <c r="T458" s="408">
        <v>216.76</v>
      </c>
      <c r="U458" s="408"/>
      <c r="V458" s="408">
        <v>-50.305500000000002</v>
      </c>
      <c r="W458" s="408">
        <v>-50.305500000000002</v>
      </c>
      <c r="X458" s="408">
        <v>-31.311</v>
      </c>
      <c r="Y458" s="408">
        <v>0</v>
      </c>
      <c r="Z458" s="408">
        <v>0</v>
      </c>
      <c r="AA458" s="408">
        <v>0</v>
      </c>
      <c r="AB458" s="408">
        <v>0</v>
      </c>
      <c r="AC458" s="408">
        <v>0</v>
      </c>
      <c r="AD458" s="408">
        <v>-5.7533958965569246E-2</v>
      </c>
      <c r="AE458" s="408">
        <v>-29.846856815079082</v>
      </c>
      <c r="AF458" s="408">
        <v>-14.952105057654521</v>
      </c>
      <c r="AG458" s="408">
        <v>-0.22101833155166523</v>
      </c>
      <c r="AH458" s="408">
        <v>0</v>
      </c>
      <c r="AI458" s="408">
        <v>0</v>
      </c>
      <c r="AJ458" s="408">
        <v>0</v>
      </c>
      <c r="AK458" s="408">
        <v>0</v>
      </c>
      <c r="AL458" s="408">
        <v>0</v>
      </c>
      <c r="AM458" s="408"/>
      <c r="AN458" s="408">
        <v>-0.13429286893085912</v>
      </c>
      <c r="AO458" s="408">
        <v>-0.62171884243719877</v>
      </c>
      <c r="AP458" s="408">
        <v>-1.9478973580476622</v>
      </c>
      <c r="AQ458" s="408">
        <v>0</v>
      </c>
      <c r="AR458" s="408">
        <v>0</v>
      </c>
      <c r="AS458" s="408">
        <v>0</v>
      </c>
      <c r="AT458" s="408">
        <v>0</v>
      </c>
      <c r="AU458" s="408">
        <v>0</v>
      </c>
      <c r="AV458" s="408">
        <v>0</v>
      </c>
      <c r="AW458" s="408">
        <v>0</v>
      </c>
      <c r="AX458" s="408">
        <v>0</v>
      </c>
      <c r="AY458" s="408">
        <v>0</v>
      </c>
      <c r="AZ458" s="408">
        <v>0</v>
      </c>
      <c r="BA458" s="408"/>
      <c r="BB458" s="408">
        <v>0</v>
      </c>
      <c r="BC458" s="408">
        <v>0</v>
      </c>
      <c r="BD458" s="408">
        <v>-4.1654873531697306E-2</v>
      </c>
      <c r="BE458" s="408">
        <v>0</v>
      </c>
      <c r="BF458" s="408">
        <v>0</v>
      </c>
      <c r="BG458" s="408">
        <v>-2.4820766226554412</v>
      </c>
      <c r="BH458" s="408">
        <v>0</v>
      </c>
      <c r="BI458" s="408">
        <v>-0.02</v>
      </c>
      <c r="BJ458" s="408">
        <v>-0.12</v>
      </c>
      <c r="BK458" s="408">
        <v>-6.3</v>
      </c>
      <c r="BL458" s="408">
        <v>0</v>
      </c>
      <c r="BM458" s="408"/>
      <c r="BN458" s="408"/>
      <c r="BO458" s="408"/>
      <c r="BP458" s="408"/>
      <c r="BQ458" s="408"/>
      <c r="BR458" s="408"/>
      <c r="BS458" s="408"/>
      <c r="BT458" s="408">
        <v>-12.523700000000002</v>
      </c>
      <c r="BU458" s="408"/>
      <c r="BV458" s="408">
        <v>-17.47583655384166</v>
      </c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>
        <v>-18.787300000000002</v>
      </c>
      <c r="CJ458" s="408">
        <v>11.365999999999996</v>
      </c>
      <c r="CK458" s="408"/>
      <c r="CL458" s="408"/>
      <c r="CM458" s="408"/>
      <c r="CN458" s="408"/>
      <c r="CO458" s="408">
        <v>21.278600000000004</v>
      </c>
      <c r="CP458" s="408">
        <v>-2.2841</v>
      </c>
      <c r="CQ458" s="408">
        <v>30</v>
      </c>
      <c r="CR458" s="408">
        <v>-2.934815554891248</v>
      </c>
      <c r="CS458" s="408">
        <v>-6.4131246206013071E-2</v>
      </c>
      <c r="CT458" s="408">
        <v>-0.20092858142000725</v>
      </c>
      <c r="CU458" s="408">
        <v>0</v>
      </c>
      <c r="CV458" s="408">
        <v>0</v>
      </c>
      <c r="CW458" s="408">
        <v>0</v>
      </c>
      <c r="CX458" s="408">
        <v>0</v>
      </c>
      <c r="CY458" s="408">
        <v>0</v>
      </c>
      <c r="CZ458" s="408">
        <v>-5.6253862570104507E-3</v>
      </c>
      <c r="DA458" s="408">
        <v>0</v>
      </c>
      <c r="DB458" s="408">
        <v>0</v>
      </c>
      <c r="DC458" s="408">
        <v>-2.2843935466368812</v>
      </c>
      <c r="DD458" s="408">
        <v>0</v>
      </c>
      <c r="DE458" s="408">
        <v>0</v>
      </c>
      <c r="DF458" s="408">
        <v>-6.3640620444324683E-3</v>
      </c>
      <c r="DG458" s="408">
        <v>-0.37921348179330705</v>
      </c>
      <c r="DH458" s="408">
        <v>0</v>
      </c>
      <c r="DI458" s="408">
        <v>0</v>
      </c>
      <c r="DJ458" s="408"/>
      <c r="DK458" s="408">
        <v>0</v>
      </c>
      <c r="DL458" s="408">
        <v>0</v>
      </c>
      <c r="DM458" s="408">
        <v>0</v>
      </c>
      <c r="DN458" s="408">
        <v>0</v>
      </c>
      <c r="DO458" s="408">
        <v>0</v>
      </c>
      <c r="DP458" s="408">
        <v>5.8407494664022008E-3</v>
      </c>
      <c r="DQ458" s="408">
        <v>0</v>
      </c>
      <c r="DR458" s="408">
        <v>0</v>
      </c>
      <c r="DS458" s="408"/>
      <c r="DT458" s="408"/>
      <c r="DU458" s="408"/>
      <c r="DV458" s="408">
        <v>-29.846856815079082</v>
      </c>
      <c r="DW458" s="408">
        <v>0</v>
      </c>
      <c r="DX458" s="408">
        <v>0</v>
      </c>
      <c r="DY458" s="408">
        <v>21.278599999999997</v>
      </c>
      <c r="DZ458" s="234">
        <v>-2.2840999999999987</v>
      </c>
      <c r="EA458" s="408">
        <v>0</v>
      </c>
      <c r="EB458" s="408">
        <v>0</v>
      </c>
      <c r="EC458" s="408">
        <v>21.928778721364552</v>
      </c>
      <c r="ED458" s="408">
        <v>0</v>
      </c>
      <c r="EE458" s="408">
        <v>0</v>
      </c>
      <c r="EF458" s="408">
        <v>0</v>
      </c>
      <c r="EG458" s="408">
        <v>0</v>
      </c>
      <c r="EH458" s="408">
        <v>0</v>
      </c>
      <c r="EI458" s="408">
        <v>0</v>
      </c>
      <c r="EJ458" s="408">
        <v>0</v>
      </c>
      <c r="EK458" s="408">
        <v>0</v>
      </c>
      <c r="EL458" s="408">
        <v>0</v>
      </c>
      <c r="EM458" s="408">
        <v>0</v>
      </c>
      <c r="EN458" s="408">
        <v>0</v>
      </c>
      <c r="EO458" s="408">
        <v>0</v>
      </c>
      <c r="EP458" s="408">
        <v>0</v>
      </c>
      <c r="EQ458" s="408">
        <v>0</v>
      </c>
      <c r="ER458" s="408">
        <v>0</v>
      </c>
      <c r="ES458" s="408">
        <v>0</v>
      </c>
      <c r="ET458" s="408">
        <v>0</v>
      </c>
      <c r="EU458" s="408">
        <v>0</v>
      </c>
      <c r="EV458" s="408">
        <v>242</v>
      </c>
      <c r="EW458" s="408">
        <v>0</v>
      </c>
      <c r="EX458" s="408">
        <v>0</v>
      </c>
      <c r="EY458" s="408">
        <v>0</v>
      </c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458</v>
      </c>
      <c r="B459" s="408" t="s">
        <v>2234</v>
      </c>
      <c r="C459" s="408" t="s">
        <v>2231</v>
      </c>
      <c r="D459" s="408" t="s">
        <v>1952</v>
      </c>
      <c r="E459" s="408" t="s">
        <v>969</v>
      </c>
      <c r="F459" s="408" t="s">
        <v>2236</v>
      </c>
      <c r="G459" s="408" t="s">
        <v>1322</v>
      </c>
      <c r="H459" s="408" t="s">
        <v>1322</v>
      </c>
      <c r="I459" s="408" t="s">
        <v>1322</v>
      </c>
      <c r="J459" s="408" t="s">
        <v>2232</v>
      </c>
      <c r="K459" s="828">
        <v>44652</v>
      </c>
      <c r="L459" s="408">
        <v>0</v>
      </c>
      <c r="M459" s="408">
        <v>0</v>
      </c>
      <c r="N459" s="408">
        <v>0</v>
      </c>
      <c r="O459" s="408">
        <v>0</v>
      </c>
      <c r="P459" s="408">
        <v>0</v>
      </c>
      <c r="Q459" s="408">
        <v>0</v>
      </c>
      <c r="R459" s="408"/>
      <c r="S459" s="408"/>
      <c r="T459" s="408"/>
      <c r="U459" s="408"/>
      <c r="V459" s="408"/>
      <c r="W459" s="408"/>
      <c r="X459" s="408"/>
      <c r="Y459" s="408"/>
      <c r="Z459" s="408"/>
      <c r="AA459" s="408">
        <v>0</v>
      </c>
      <c r="AB459" s="408"/>
      <c r="AC459" s="408"/>
      <c r="AD459" s="408"/>
      <c r="AE459" s="408"/>
      <c r="AF459" s="408"/>
      <c r="AG459" s="408"/>
      <c r="AH459" s="408"/>
      <c r="AI459" s="408"/>
      <c r="AJ459" s="408"/>
      <c r="AK459" s="408"/>
      <c r="AL459" s="408"/>
      <c r="AM459" s="408"/>
      <c r="AN459" s="408"/>
      <c r="AO459" s="408"/>
      <c r="AP459" s="408"/>
      <c r="AQ459" s="408"/>
      <c r="AR459" s="408"/>
      <c r="AS459" s="408"/>
      <c r="AT459" s="408"/>
      <c r="AU459" s="408"/>
      <c r="AV459" s="408"/>
      <c r="AW459" s="408"/>
      <c r="AX459" s="408"/>
      <c r="AY459" s="408"/>
      <c r="AZ459" s="408">
        <v>0</v>
      </c>
      <c r="BA459" s="408"/>
      <c r="BB459" s="408"/>
      <c r="BC459" s="408"/>
      <c r="BD459" s="408"/>
      <c r="BE459" s="408"/>
      <c r="BF459" s="408"/>
      <c r="BG459" s="408"/>
      <c r="BH459" s="408"/>
      <c r="BI459" s="408">
        <v>0</v>
      </c>
      <c r="BJ459" s="408">
        <v>0</v>
      </c>
      <c r="BK459" s="408">
        <v>2.77</v>
      </c>
      <c r="BL459" s="408">
        <v>0</v>
      </c>
      <c r="BM459" s="408"/>
      <c r="BN459" s="408"/>
      <c r="BO459" s="408"/>
      <c r="BP459" s="408"/>
      <c r="BQ459" s="408"/>
      <c r="BR459" s="408"/>
      <c r="BS459" s="408"/>
      <c r="BT459" s="408"/>
      <c r="BU459" s="408"/>
      <c r="BV459" s="408"/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/>
      <c r="CJ459" s="408">
        <v>-0.03</v>
      </c>
      <c r="CK459" s="408"/>
      <c r="CL459" s="408"/>
      <c r="CM459" s="408"/>
      <c r="CN459" s="408"/>
      <c r="CO459" s="408">
        <v>0</v>
      </c>
      <c r="CP459" s="408">
        <v>0</v>
      </c>
      <c r="CQ459" s="408">
        <v>30</v>
      </c>
      <c r="CR459" s="408"/>
      <c r="CS459" s="408"/>
      <c r="CT459" s="408"/>
      <c r="CU459" s="408"/>
      <c r="CV459" s="408"/>
      <c r="CW459" s="408"/>
      <c r="CX459" s="408"/>
      <c r="CY459" s="408"/>
      <c r="CZ459" s="408"/>
      <c r="DA459" s="408"/>
      <c r="DB459" s="408"/>
      <c r="DC459" s="408"/>
      <c r="DD459" s="408"/>
      <c r="DE459" s="408"/>
      <c r="DF459" s="408"/>
      <c r="DG459" s="408"/>
      <c r="DH459" s="408"/>
      <c r="DI459" s="408"/>
      <c r="DJ459" s="408"/>
      <c r="DK459" s="408">
        <v>0</v>
      </c>
      <c r="DL459" s="408"/>
      <c r="DM459" s="408"/>
      <c r="DN459" s="408"/>
      <c r="DO459" s="408"/>
      <c r="DP459" s="408"/>
      <c r="DQ459" s="408"/>
      <c r="DR459" s="408"/>
      <c r="DS459" s="408"/>
      <c r="DT459" s="408"/>
      <c r="DU459" s="408"/>
      <c r="DV459" s="408"/>
      <c r="DW459" s="408"/>
      <c r="DX459" s="408"/>
      <c r="DY459" s="408"/>
      <c r="DZ459" s="234"/>
      <c r="EA459" s="408"/>
      <c r="EB459" s="408"/>
      <c r="EC459" s="408"/>
      <c r="ED459" s="408"/>
      <c r="EE459" s="408"/>
      <c r="EF459" s="408"/>
      <c r="EG459" s="408"/>
      <c r="EH459" s="408"/>
      <c r="EI459" s="408"/>
      <c r="EJ459" s="408"/>
      <c r="EK459" s="408"/>
      <c r="EL459" s="408"/>
      <c r="EM459" s="408"/>
      <c r="EN459" s="408"/>
      <c r="EO459" s="408"/>
      <c r="EP459" s="408"/>
      <c r="EQ459" s="408"/>
      <c r="ER459" s="408"/>
      <c r="ES459" s="408"/>
      <c r="ET459" s="408"/>
      <c r="EU459" s="408"/>
      <c r="EV459" s="408">
        <v>242</v>
      </c>
      <c r="EW459" s="408"/>
      <c r="EX459" s="408"/>
      <c r="EY459" s="408"/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459</v>
      </c>
      <c r="B460" s="408" t="s">
        <v>1036</v>
      </c>
      <c r="C460" s="408" t="s">
        <v>2231</v>
      </c>
      <c r="D460" s="408" t="s">
        <v>1952</v>
      </c>
      <c r="E460" s="408" t="s">
        <v>969</v>
      </c>
      <c r="F460" s="408" t="s">
        <v>2237</v>
      </c>
      <c r="G460" s="408" t="s">
        <v>1322</v>
      </c>
      <c r="H460" s="408" t="s">
        <v>1322</v>
      </c>
      <c r="I460" s="408" t="s">
        <v>1322</v>
      </c>
      <c r="J460" s="408" t="s">
        <v>2232</v>
      </c>
      <c r="K460" s="828">
        <v>44652</v>
      </c>
      <c r="L460" s="408">
        <v>0</v>
      </c>
      <c r="M460" s="408">
        <v>0</v>
      </c>
      <c r="N460" s="408">
        <v>15.271000000000001</v>
      </c>
      <c r="O460" s="408">
        <v>15.271000000000001</v>
      </c>
      <c r="P460" s="408">
        <v>15.271000000000001</v>
      </c>
      <c r="Q460" s="408">
        <v>15.271000000000001</v>
      </c>
      <c r="R460" s="408"/>
      <c r="S460" s="408">
        <v>501.89</v>
      </c>
      <c r="T460" s="408">
        <v>216.76</v>
      </c>
      <c r="U460" s="408"/>
      <c r="V460" s="408">
        <v>10974.504150000001</v>
      </c>
      <c r="W460" s="408">
        <v>10974.504150000001</v>
      </c>
      <c r="X460" s="408">
        <v>6830.7183000000005</v>
      </c>
      <c r="Y460" s="408">
        <v>0</v>
      </c>
      <c r="Z460" s="408">
        <v>0</v>
      </c>
      <c r="AA460" s="408">
        <v>0</v>
      </c>
      <c r="AB460" s="408">
        <v>0</v>
      </c>
      <c r="AC460" s="408">
        <v>0</v>
      </c>
      <c r="AD460" s="408">
        <v>12.551444105188684</v>
      </c>
      <c r="AE460" s="408">
        <v>6511.3050060438954</v>
      </c>
      <c r="AF460" s="408">
        <v>3261.9085190777455</v>
      </c>
      <c r="AG460" s="408">
        <v>48.216727730363992</v>
      </c>
      <c r="AH460" s="408">
        <v>0</v>
      </c>
      <c r="AI460" s="408">
        <v>0</v>
      </c>
      <c r="AJ460" s="408">
        <v>0</v>
      </c>
      <c r="AK460" s="408">
        <v>0</v>
      </c>
      <c r="AL460" s="408">
        <v>0</v>
      </c>
      <c r="AM460" s="408"/>
      <c r="AN460" s="408">
        <v>29.296948592044991</v>
      </c>
      <c r="AO460" s="408">
        <v>135.63240632654947</v>
      </c>
      <c r="AP460" s="408">
        <v>424.94772221065494</v>
      </c>
      <c r="AQ460" s="408">
        <v>0</v>
      </c>
      <c r="AR460" s="408">
        <v>0</v>
      </c>
      <c r="AS460" s="408">
        <v>0</v>
      </c>
      <c r="AT460" s="408">
        <v>0</v>
      </c>
      <c r="AU460" s="408">
        <v>0</v>
      </c>
      <c r="AV460" s="408">
        <v>0</v>
      </c>
      <c r="AW460" s="408">
        <v>0</v>
      </c>
      <c r="AX460" s="408">
        <v>0</v>
      </c>
      <c r="AY460" s="408">
        <v>0</v>
      </c>
      <c r="AZ460" s="408">
        <v>0</v>
      </c>
      <c r="BA460" s="408"/>
      <c r="BB460" s="408">
        <v>0</v>
      </c>
      <c r="BC460" s="408">
        <v>0</v>
      </c>
      <c r="BD460" s="408">
        <v>9.0873081957507065</v>
      </c>
      <c r="BE460" s="408">
        <v>0</v>
      </c>
      <c r="BF460" s="408">
        <v>0</v>
      </c>
      <c r="BG460" s="408">
        <v>541.48274435101769</v>
      </c>
      <c r="BH460" s="408">
        <v>0</v>
      </c>
      <c r="BI460" s="408">
        <v>18.670000000000002</v>
      </c>
      <c r="BJ460" s="408">
        <v>85.46</v>
      </c>
      <c r="BK460" s="408">
        <v>2083.33</v>
      </c>
      <c r="BL460" s="408">
        <v>129</v>
      </c>
      <c r="BM460" s="408"/>
      <c r="BN460" s="408"/>
      <c r="BO460" s="408"/>
      <c r="BP460" s="408"/>
      <c r="BQ460" s="408"/>
      <c r="BR460" s="408"/>
      <c r="BS460" s="408"/>
      <c r="BT460" s="408">
        <v>683.07182999999986</v>
      </c>
      <c r="BU460" s="408"/>
      <c r="BV460" s="408">
        <v>3812.4785716245137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6147.2438999999995</v>
      </c>
      <c r="CJ460" s="408">
        <v>-3729.7634800000014</v>
      </c>
      <c r="CK460" s="408"/>
      <c r="CL460" s="408"/>
      <c r="CM460" s="408"/>
      <c r="CN460" s="408"/>
      <c r="CO460" s="408">
        <v>-4642.0785800000003</v>
      </c>
      <c r="CP460" s="408">
        <v>498.29272999999995</v>
      </c>
      <c r="CQ460" s="408">
        <v>30</v>
      </c>
      <c r="CR460" s="408">
        <v>640.25097626777551</v>
      </c>
      <c r="CS460" s="408">
        <v>13.990689440171764</v>
      </c>
      <c r="CT460" s="408">
        <v>43.834005240927581</v>
      </c>
      <c r="CU460" s="408">
        <v>0</v>
      </c>
      <c r="CV460" s="408">
        <v>0</v>
      </c>
      <c r="CW460" s="408">
        <v>0</v>
      </c>
      <c r="CX460" s="408">
        <v>0</v>
      </c>
      <c r="CY460" s="408">
        <v>0</v>
      </c>
      <c r="CZ460" s="408">
        <v>1.2272181932972366</v>
      </c>
      <c r="DA460" s="408">
        <v>0</v>
      </c>
      <c r="DB460" s="408">
        <v>0</v>
      </c>
      <c r="DC460" s="408">
        <v>498.35676929559713</v>
      </c>
      <c r="DD460" s="408">
        <v>0</v>
      </c>
      <c r="DE460" s="408">
        <v>0</v>
      </c>
      <c r="DF460" s="408">
        <v>1.3883655925789764</v>
      </c>
      <c r="DG460" s="408">
        <v>82.72812972093709</v>
      </c>
      <c r="DH460" s="408">
        <v>0</v>
      </c>
      <c r="DI460" s="408">
        <v>0</v>
      </c>
      <c r="DJ460" s="408"/>
      <c r="DK460" s="408">
        <v>0</v>
      </c>
      <c r="DL460" s="408">
        <v>0</v>
      </c>
      <c r="DM460" s="408">
        <v>0</v>
      </c>
      <c r="DN460" s="408">
        <v>0</v>
      </c>
      <c r="DO460" s="408">
        <v>0</v>
      </c>
      <c r="DP460" s="408">
        <v>-1.2742012157346849</v>
      </c>
      <c r="DQ460" s="408">
        <v>0</v>
      </c>
      <c r="DR460" s="408">
        <v>0</v>
      </c>
      <c r="DS460" s="408"/>
      <c r="DT460" s="408"/>
      <c r="DU460" s="408"/>
      <c r="DV460" s="408">
        <v>6511.3050060438954</v>
      </c>
      <c r="DW460" s="408">
        <v>0</v>
      </c>
      <c r="DX460" s="408">
        <v>0</v>
      </c>
      <c r="DY460" s="408">
        <v>-4642.0785799999994</v>
      </c>
      <c r="DZ460" s="234">
        <v>498.29273000000012</v>
      </c>
      <c r="EA460" s="408">
        <v>0</v>
      </c>
      <c r="EB460" s="408">
        <v>0</v>
      </c>
      <c r="EC460" s="408">
        <v>-4783.9197121994011</v>
      </c>
      <c r="ED460" s="408">
        <v>0</v>
      </c>
      <c r="EE460" s="408">
        <v>0</v>
      </c>
      <c r="EF460" s="408">
        <v>0</v>
      </c>
      <c r="EG460" s="408">
        <v>0</v>
      </c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>
        <v>0</v>
      </c>
      <c r="EN460" s="408">
        <v>0</v>
      </c>
      <c r="EO460" s="408">
        <v>0</v>
      </c>
      <c r="EP460" s="408">
        <v>0</v>
      </c>
      <c r="EQ460" s="408">
        <v>0</v>
      </c>
      <c r="ER460" s="408">
        <v>0</v>
      </c>
      <c r="ES460" s="408">
        <v>0</v>
      </c>
      <c r="ET460" s="408">
        <v>0</v>
      </c>
      <c r="EU460" s="408">
        <v>0</v>
      </c>
      <c r="EV460" s="408">
        <v>242</v>
      </c>
      <c r="EW460" s="408">
        <v>0</v>
      </c>
      <c r="EX460" s="408">
        <v>0</v>
      </c>
      <c r="EY460" s="408">
        <v>0</v>
      </c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460</v>
      </c>
      <c r="B461" s="408" t="s">
        <v>2233</v>
      </c>
      <c r="C461" s="408" t="s">
        <v>2231</v>
      </c>
      <c r="D461" s="408" t="s">
        <v>1952</v>
      </c>
      <c r="E461" s="408" t="s">
        <v>969</v>
      </c>
      <c r="F461" s="408" t="s">
        <v>2237</v>
      </c>
      <c r="G461" s="408" t="s">
        <v>1322</v>
      </c>
      <c r="H461" s="408" t="s">
        <v>1322</v>
      </c>
      <c r="I461" s="408" t="s">
        <v>1322</v>
      </c>
      <c r="J461" s="408" t="s">
        <v>2232</v>
      </c>
      <c r="K461" s="828">
        <v>44652</v>
      </c>
      <c r="L461" s="408">
        <v>0</v>
      </c>
      <c r="M461" s="408">
        <v>0</v>
      </c>
      <c r="N461" s="408">
        <v>-0.12</v>
      </c>
      <c r="O461" s="408">
        <v>-0.12</v>
      </c>
      <c r="P461" s="408">
        <v>-0.12</v>
      </c>
      <c r="Q461" s="408">
        <v>-0.12</v>
      </c>
      <c r="R461" s="408"/>
      <c r="S461" s="408">
        <v>501.89</v>
      </c>
      <c r="T461" s="408">
        <v>216.76</v>
      </c>
      <c r="U461" s="408"/>
      <c r="V461" s="408">
        <v>-86.238</v>
      </c>
      <c r="W461" s="408">
        <v>-86.238</v>
      </c>
      <c r="X461" s="408">
        <v>-53.675999999999995</v>
      </c>
      <c r="Y461" s="408">
        <v>0</v>
      </c>
      <c r="Z461" s="408">
        <v>0</v>
      </c>
      <c r="AA461" s="408">
        <v>0</v>
      </c>
      <c r="AB461" s="408">
        <v>0</v>
      </c>
      <c r="AC461" s="408">
        <v>0</v>
      </c>
      <c r="AD461" s="408">
        <v>-9.8629643940975828E-2</v>
      </c>
      <c r="AE461" s="408">
        <v>-51.166040254421276</v>
      </c>
      <c r="AF461" s="408">
        <v>-25.632180098836319</v>
      </c>
      <c r="AG461" s="408">
        <v>-0.3788885683742832</v>
      </c>
      <c r="AH461" s="408">
        <v>0</v>
      </c>
      <c r="AI461" s="408">
        <v>0</v>
      </c>
      <c r="AJ461" s="408">
        <v>0</v>
      </c>
      <c r="AK461" s="408">
        <v>0</v>
      </c>
      <c r="AL461" s="408">
        <v>0</v>
      </c>
      <c r="AM461" s="408"/>
      <c r="AN461" s="408">
        <v>-0.23021634673861557</v>
      </c>
      <c r="AO461" s="408">
        <v>-1.0658037298923406</v>
      </c>
      <c r="AP461" s="408">
        <v>-3.3392526137959919</v>
      </c>
      <c r="AQ461" s="408">
        <v>0</v>
      </c>
      <c r="AR461" s="408">
        <v>0</v>
      </c>
      <c r="AS461" s="408">
        <v>0</v>
      </c>
      <c r="AT461" s="408">
        <v>0</v>
      </c>
      <c r="AU461" s="408">
        <v>0</v>
      </c>
      <c r="AV461" s="408">
        <v>0</v>
      </c>
      <c r="AW461" s="408">
        <v>0</v>
      </c>
      <c r="AX461" s="408">
        <v>0</v>
      </c>
      <c r="AY461" s="408">
        <v>0</v>
      </c>
      <c r="AZ461" s="408">
        <v>0</v>
      </c>
      <c r="BA461" s="408"/>
      <c r="BB461" s="408">
        <v>0</v>
      </c>
      <c r="BC461" s="408">
        <v>0</v>
      </c>
      <c r="BD461" s="408">
        <v>-7.1408354625766793E-2</v>
      </c>
      <c r="BE461" s="408">
        <v>0</v>
      </c>
      <c r="BF461" s="408">
        <v>0</v>
      </c>
      <c r="BG461" s="408">
        <v>-4.2549884959807551</v>
      </c>
      <c r="BH461" s="408">
        <v>0</v>
      </c>
      <c r="BI461" s="408">
        <v>-0.06</v>
      </c>
      <c r="BJ461" s="408">
        <v>-0.28999999999999998</v>
      </c>
      <c r="BK461" s="408">
        <v>-16.22</v>
      </c>
      <c r="BL461" s="408">
        <v>0</v>
      </c>
      <c r="BM461" s="408"/>
      <c r="BN461" s="408"/>
      <c r="BO461" s="408"/>
      <c r="BP461" s="408"/>
      <c r="BQ461" s="408"/>
      <c r="BR461" s="408"/>
      <c r="BS461" s="408"/>
      <c r="BT461" s="408">
        <v>-5.3675999999999986</v>
      </c>
      <c r="BU461" s="408"/>
      <c r="BV461" s="408">
        <v>-29.95857694944284</v>
      </c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>
        <v>-48.308399999999999</v>
      </c>
      <c r="CJ461" s="408">
        <v>29.275199999999991</v>
      </c>
      <c r="CK461" s="408"/>
      <c r="CL461" s="408"/>
      <c r="CM461" s="408"/>
      <c r="CN461" s="408"/>
      <c r="CO461" s="408">
        <v>36.477600000000002</v>
      </c>
      <c r="CP461" s="408">
        <v>-3.9155999999999995</v>
      </c>
      <c r="CQ461" s="408">
        <v>30</v>
      </c>
      <c r="CR461" s="408">
        <v>-5.031112379813564</v>
      </c>
      <c r="CS461" s="408">
        <v>-0.10993927921030799</v>
      </c>
      <c r="CT461" s="408">
        <v>-0.34444899672001217</v>
      </c>
      <c r="CU461" s="408">
        <v>0</v>
      </c>
      <c r="CV461" s="408">
        <v>0</v>
      </c>
      <c r="CW461" s="408">
        <v>0</v>
      </c>
      <c r="CX461" s="408">
        <v>0</v>
      </c>
      <c r="CY461" s="408">
        <v>0</v>
      </c>
      <c r="CZ461" s="408">
        <v>-9.6435192977322032E-3</v>
      </c>
      <c r="DA461" s="408">
        <v>0</v>
      </c>
      <c r="DB461" s="408">
        <v>0</v>
      </c>
      <c r="DC461" s="408">
        <v>-3.916103222806079</v>
      </c>
      <c r="DD461" s="408">
        <v>0</v>
      </c>
      <c r="DE461" s="408">
        <v>0</v>
      </c>
      <c r="DF461" s="408">
        <v>-1.0909820647598531E-2</v>
      </c>
      <c r="DG461" s="408">
        <v>-0.65008025450281259</v>
      </c>
      <c r="DH461" s="408">
        <v>0</v>
      </c>
      <c r="DI461" s="408">
        <v>0</v>
      </c>
      <c r="DJ461" s="408"/>
      <c r="DK461" s="408">
        <v>0</v>
      </c>
      <c r="DL461" s="408">
        <v>0</v>
      </c>
      <c r="DM461" s="408">
        <v>0</v>
      </c>
      <c r="DN461" s="408">
        <v>0</v>
      </c>
      <c r="DO461" s="408">
        <v>0</v>
      </c>
      <c r="DP461" s="408">
        <v>1.0012713370975174E-2</v>
      </c>
      <c r="DQ461" s="408">
        <v>0</v>
      </c>
      <c r="DR461" s="408">
        <v>0</v>
      </c>
      <c r="DS461" s="408"/>
      <c r="DT461" s="408"/>
      <c r="DU461" s="408"/>
      <c r="DV461" s="408">
        <v>-51.166040254421276</v>
      </c>
      <c r="DW461" s="408">
        <v>0</v>
      </c>
      <c r="DX461" s="408">
        <v>0</v>
      </c>
      <c r="DY461" s="408">
        <v>36.477599999999995</v>
      </c>
      <c r="DZ461" s="234">
        <v>-3.9155999999999977</v>
      </c>
      <c r="EA461" s="408">
        <v>0</v>
      </c>
      <c r="EB461" s="408">
        <v>0</v>
      </c>
      <c r="EC461" s="408">
        <v>37.5921920937678</v>
      </c>
      <c r="ED461" s="408">
        <v>0</v>
      </c>
      <c r="EE461" s="408">
        <v>0</v>
      </c>
      <c r="EF461" s="408">
        <v>0</v>
      </c>
      <c r="EG461" s="408">
        <v>0</v>
      </c>
      <c r="EH461" s="408">
        <v>0</v>
      </c>
      <c r="EI461" s="408">
        <v>0</v>
      </c>
      <c r="EJ461" s="408">
        <v>0</v>
      </c>
      <c r="EK461" s="408">
        <v>0</v>
      </c>
      <c r="EL461" s="408">
        <v>0</v>
      </c>
      <c r="EM461" s="408">
        <v>0</v>
      </c>
      <c r="EN461" s="408">
        <v>0</v>
      </c>
      <c r="EO461" s="408">
        <v>0</v>
      </c>
      <c r="EP461" s="408">
        <v>0</v>
      </c>
      <c r="EQ461" s="408">
        <v>0</v>
      </c>
      <c r="ER461" s="408">
        <v>0</v>
      </c>
      <c r="ES461" s="408">
        <v>0</v>
      </c>
      <c r="ET461" s="408">
        <v>0</v>
      </c>
      <c r="EU461" s="408">
        <v>0</v>
      </c>
      <c r="EV461" s="408">
        <v>242</v>
      </c>
      <c r="EW461" s="408">
        <v>0</v>
      </c>
      <c r="EX461" s="408">
        <v>0</v>
      </c>
      <c r="EY461" s="408">
        <v>0</v>
      </c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461</v>
      </c>
      <c r="B462" s="408" t="s">
        <v>2234</v>
      </c>
      <c r="C462" s="408" t="s">
        <v>2231</v>
      </c>
      <c r="D462" s="408" t="s">
        <v>1952</v>
      </c>
      <c r="E462" s="408" t="s">
        <v>969</v>
      </c>
      <c r="F462" s="408" t="s">
        <v>2237</v>
      </c>
      <c r="G462" s="408" t="s">
        <v>1322</v>
      </c>
      <c r="H462" s="408" t="s">
        <v>1322</v>
      </c>
      <c r="I462" s="408" t="s">
        <v>1322</v>
      </c>
      <c r="J462" s="408" t="s">
        <v>2232</v>
      </c>
      <c r="K462" s="828">
        <v>44652</v>
      </c>
      <c r="L462" s="408">
        <v>0</v>
      </c>
      <c r="M462" s="408">
        <v>0</v>
      </c>
      <c r="N462" s="408">
        <v>0</v>
      </c>
      <c r="O462" s="408">
        <v>0</v>
      </c>
      <c r="P462" s="408">
        <v>0</v>
      </c>
      <c r="Q462" s="408">
        <v>0</v>
      </c>
      <c r="R462" s="408"/>
      <c r="S462" s="408"/>
      <c r="T462" s="408"/>
      <c r="U462" s="408"/>
      <c r="V462" s="408"/>
      <c r="W462" s="408"/>
      <c r="X462" s="408"/>
      <c r="Y462" s="408"/>
      <c r="Z462" s="408"/>
      <c r="AA462" s="408">
        <v>0</v>
      </c>
      <c r="AB462" s="408"/>
      <c r="AC462" s="408"/>
      <c r="AD462" s="408"/>
      <c r="AE462" s="408"/>
      <c r="AF462" s="408"/>
      <c r="AG462" s="408"/>
      <c r="AH462" s="408"/>
      <c r="AI462" s="408"/>
      <c r="AJ462" s="408"/>
      <c r="AK462" s="408"/>
      <c r="AL462" s="408"/>
      <c r="AM462" s="408"/>
      <c r="AN462" s="408"/>
      <c r="AO462" s="408"/>
      <c r="AP462" s="408"/>
      <c r="AQ462" s="408"/>
      <c r="AR462" s="408"/>
      <c r="AS462" s="408"/>
      <c r="AT462" s="408"/>
      <c r="AU462" s="408"/>
      <c r="AV462" s="408"/>
      <c r="AW462" s="408"/>
      <c r="AX462" s="408"/>
      <c r="AY462" s="408"/>
      <c r="AZ462" s="408">
        <v>0</v>
      </c>
      <c r="BA462" s="408"/>
      <c r="BB462" s="408"/>
      <c r="BC462" s="408"/>
      <c r="BD462" s="408"/>
      <c r="BE462" s="408"/>
      <c r="BF462" s="408"/>
      <c r="BG462" s="408"/>
      <c r="BH462" s="408"/>
      <c r="BI462" s="408">
        <v>0</v>
      </c>
      <c r="BJ462" s="408">
        <v>0</v>
      </c>
      <c r="BK462" s="408">
        <v>6.76</v>
      </c>
      <c r="BL462" s="408">
        <v>1</v>
      </c>
      <c r="BM462" s="408"/>
      <c r="BN462" s="408"/>
      <c r="BO462" s="408"/>
      <c r="BP462" s="408"/>
      <c r="BQ462" s="408"/>
      <c r="BR462" s="408"/>
      <c r="BS462" s="408"/>
      <c r="BT462" s="408"/>
      <c r="BU462" s="408"/>
      <c r="BV462" s="408"/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/>
      <c r="CJ462" s="408">
        <v>-0.03</v>
      </c>
      <c r="CK462" s="408"/>
      <c r="CL462" s="408"/>
      <c r="CM462" s="408"/>
      <c r="CN462" s="408"/>
      <c r="CO462" s="408">
        <v>0</v>
      </c>
      <c r="CP462" s="408">
        <v>0</v>
      </c>
      <c r="CQ462" s="408">
        <v>30</v>
      </c>
      <c r="CR462" s="408"/>
      <c r="CS462" s="408"/>
      <c r="CT462" s="408"/>
      <c r="CU462" s="408"/>
      <c r="CV462" s="408"/>
      <c r="CW462" s="408"/>
      <c r="CX462" s="408"/>
      <c r="CY462" s="408"/>
      <c r="CZ462" s="408"/>
      <c r="DA462" s="408"/>
      <c r="DB462" s="408"/>
      <c r="DC462" s="408"/>
      <c r="DD462" s="408"/>
      <c r="DE462" s="408"/>
      <c r="DF462" s="408"/>
      <c r="DG462" s="408"/>
      <c r="DH462" s="408"/>
      <c r="DI462" s="408"/>
      <c r="DJ462" s="408"/>
      <c r="DK462" s="408">
        <v>0</v>
      </c>
      <c r="DL462" s="408"/>
      <c r="DM462" s="408"/>
      <c r="DN462" s="408"/>
      <c r="DO462" s="408"/>
      <c r="DP462" s="408"/>
      <c r="DQ462" s="408"/>
      <c r="DR462" s="408"/>
      <c r="DS462" s="408"/>
      <c r="DT462" s="408"/>
      <c r="DU462" s="408"/>
      <c r="DV462" s="408"/>
      <c r="DW462" s="408"/>
      <c r="DX462" s="408"/>
      <c r="DY462" s="408"/>
      <c r="DZ462" s="234"/>
      <c r="EA462" s="408"/>
      <c r="EB462" s="408"/>
      <c r="EC462" s="408"/>
      <c r="ED462" s="408"/>
      <c r="EE462" s="408"/>
      <c r="EF462" s="408"/>
      <c r="EG462" s="408"/>
      <c r="EH462" s="408"/>
      <c r="EI462" s="408"/>
      <c r="EJ462" s="408"/>
      <c r="EK462" s="408"/>
      <c r="EL462" s="408"/>
      <c r="EM462" s="408"/>
      <c r="EN462" s="408"/>
      <c r="EO462" s="408"/>
      <c r="EP462" s="408"/>
      <c r="EQ462" s="408"/>
      <c r="ER462" s="408"/>
      <c r="ES462" s="408"/>
      <c r="ET462" s="408"/>
      <c r="EU462" s="408"/>
      <c r="EV462" s="408">
        <v>242</v>
      </c>
      <c r="EW462" s="408"/>
      <c r="EX462" s="408"/>
      <c r="EY462" s="408"/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462</v>
      </c>
      <c r="B463" s="408" t="s">
        <v>1036</v>
      </c>
      <c r="C463" s="408" t="s">
        <v>2231</v>
      </c>
      <c r="D463" s="408" t="s">
        <v>1952</v>
      </c>
      <c r="E463" s="408" t="s">
        <v>969</v>
      </c>
      <c r="F463" s="408" t="s">
        <v>2238</v>
      </c>
      <c r="G463" s="408" t="s">
        <v>1322</v>
      </c>
      <c r="H463" s="408" t="s">
        <v>1322</v>
      </c>
      <c r="I463" s="408" t="s">
        <v>1322</v>
      </c>
      <c r="J463" s="408" t="s">
        <v>2232</v>
      </c>
      <c r="K463" s="828">
        <v>44652</v>
      </c>
      <c r="L463" s="408">
        <v>0</v>
      </c>
      <c r="M463" s="408">
        <v>0</v>
      </c>
      <c r="N463" s="408">
        <v>6.0650000000000004</v>
      </c>
      <c r="O463" s="408">
        <v>6.0650000000000004</v>
      </c>
      <c r="P463" s="408">
        <v>6.0650000000000004</v>
      </c>
      <c r="Q463" s="408">
        <v>6.0650000000000004</v>
      </c>
      <c r="R463" s="408"/>
      <c r="S463" s="408">
        <v>501.89</v>
      </c>
      <c r="T463" s="408">
        <v>216.76</v>
      </c>
      <c r="U463" s="408"/>
      <c r="V463" s="408">
        <v>4358.6122500000001</v>
      </c>
      <c r="W463" s="408">
        <v>4358.6122500000001</v>
      </c>
      <c r="X463" s="408">
        <v>2712.8744999999999</v>
      </c>
      <c r="Y463" s="408">
        <v>0</v>
      </c>
      <c r="Z463" s="408">
        <v>0</v>
      </c>
      <c r="AA463" s="408">
        <v>0</v>
      </c>
      <c r="AB463" s="408">
        <v>0</v>
      </c>
      <c r="AC463" s="408">
        <v>0</v>
      </c>
      <c r="AD463" s="408">
        <v>4.9849065875168206</v>
      </c>
      <c r="AE463" s="408">
        <v>2586.016951192209</v>
      </c>
      <c r="AF463" s="408">
        <v>1295.4931024953523</v>
      </c>
      <c r="AG463" s="408">
        <v>19.149659726583565</v>
      </c>
      <c r="AH463" s="408">
        <v>0</v>
      </c>
      <c r="AI463" s="408">
        <v>0</v>
      </c>
      <c r="AJ463" s="408">
        <v>0</v>
      </c>
      <c r="AK463" s="408">
        <v>0</v>
      </c>
      <c r="AL463" s="408">
        <v>0</v>
      </c>
      <c r="AM463" s="408"/>
      <c r="AN463" s="408">
        <v>11.635517858080863</v>
      </c>
      <c r="AO463" s="408">
        <v>53.867496848308726</v>
      </c>
      <c r="AP463" s="408">
        <v>168.77139252227244</v>
      </c>
      <c r="AQ463" s="408">
        <v>0</v>
      </c>
      <c r="AR463" s="408">
        <v>0</v>
      </c>
      <c r="AS463" s="408">
        <v>0</v>
      </c>
      <c r="AT463" s="408">
        <v>0</v>
      </c>
      <c r="AU463" s="408">
        <v>0</v>
      </c>
      <c r="AV463" s="408">
        <v>0</v>
      </c>
      <c r="AW463" s="408">
        <v>0</v>
      </c>
      <c r="AX463" s="408">
        <v>0</v>
      </c>
      <c r="AY463" s="408">
        <v>0</v>
      </c>
      <c r="AZ463" s="408">
        <v>0</v>
      </c>
      <c r="BA463" s="408"/>
      <c r="BB463" s="408">
        <v>0</v>
      </c>
      <c r="BC463" s="408">
        <v>0</v>
      </c>
      <c r="BD463" s="408">
        <v>3.6090972567106308</v>
      </c>
      <c r="BE463" s="408">
        <v>0</v>
      </c>
      <c r="BF463" s="408">
        <v>0</v>
      </c>
      <c r="BG463" s="408">
        <v>215.05421023436071</v>
      </c>
      <c r="BH463" s="408">
        <v>0</v>
      </c>
      <c r="BI463" s="408">
        <v>8.3000000000000007</v>
      </c>
      <c r="BJ463" s="408">
        <v>38.4</v>
      </c>
      <c r="BK463" s="408">
        <v>919.98</v>
      </c>
      <c r="BL463" s="408">
        <v>63</v>
      </c>
      <c r="BM463" s="408"/>
      <c r="BN463" s="408"/>
      <c r="BO463" s="408"/>
      <c r="BP463" s="408"/>
      <c r="BQ463" s="408"/>
      <c r="BR463" s="408"/>
      <c r="BS463" s="408"/>
      <c r="BT463" s="408"/>
      <c r="BU463" s="408"/>
      <c r="BV463" s="408">
        <v>1514.1564099864236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2715.1109999999999</v>
      </c>
      <c r="CJ463" s="408">
        <v>-1643.5312500000009</v>
      </c>
      <c r="CK463" s="408"/>
      <c r="CL463" s="408"/>
      <c r="CM463" s="408"/>
      <c r="CN463" s="408"/>
      <c r="CO463" s="408">
        <v>-1843.6387000000002</v>
      </c>
      <c r="CP463" s="408">
        <v>197.90094999999999</v>
      </c>
      <c r="CQ463" s="408">
        <v>30</v>
      </c>
      <c r="CR463" s="408">
        <v>254.28080486307772</v>
      </c>
      <c r="CS463" s="408">
        <v>5.5565144034209837</v>
      </c>
      <c r="CT463" s="408">
        <v>17.409026375890619</v>
      </c>
      <c r="CU463" s="408">
        <v>0</v>
      </c>
      <c r="CV463" s="408">
        <v>0</v>
      </c>
      <c r="CW463" s="408">
        <v>0</v>
      </c>
      <c r="CX463" s="408">
        <v>0</v>
      </c>
      <c r="CY463" s="408">
        <v>0</v>
      </c>
      <c r="CZ463" s="408">
        <v>0.48739953783954881</v>
      </c>
      <c r="DA463" s="408">
        <v>0</v>
      </c>
      <c r="DB463" s="408">
        <v>0</v>
      </c>
      <c r="DC463" s="408">
        <v>197.92638371932412</v>
      </c>
      <c r="DD463" s="408">
        <v>0</v>
      </c>
      <c r="DE463" s="408">
        <v>0</v>
      </c>
      <c r="DF463" s="408">
        <v>0.5514005185640416</v>
      </c>
      <c r="DG463" s="408">
        <v>32.856139529662954</v>
      </c>
      <c r="DH463" s="408">
        <v>0</v>
      </c>
      <c r="DI463" s="408">
        <v>0</v>
      </c>
      <c r="DJ463" s="408"/>
      <c r="DK463" s="408">
        <v>0</v>
      </c>
      <c r="DL463" s="408">
        <v>0</v>
      </c>
      <c r="DM463" s="408">
        <v>0</v>
      </c>
      <c r="DN463" s="408">
        <v>0</v>
      </c>
      <c r="DO463" s="408">
        <v>0</v>
      </c>
      <c r="DP463" s="408">
        <v>-0.50605922162470307</v>
      </c>
      <c r="DQ463" s="408">
        <v>0</v>
      </c>
      <c r="DR463" s="408">
        <v>0</v>
      </c>
      <c r="DS463" s="408"/>
      <c r="DT463" s="408"/>
      <c r="DU463" s="408"/>
      <c r="DV463" s="408">
        <v>2586.016951192209</v>
      </c>
      <c r="DW463" s="408">
        <v>0</v>
      </c>
      <c r="DX463" s="408">
        <v>0</v>
      </c>
      <c r="DY463" s="408">
        <v>-1843.6386999999997</v>
      </c>
      <c r="DZ463" s="234">
        <v>197.90094999999997</v>
      </c>
      <c r="EA463" s="408">
        <v>0</v>
      </c>
      <c r="EB463" s="408">
        <v>0</v>
      </c>
      <c r="EC463" s="408">
        <v>-1899.9720420725143</v>
      </c>
      <c r="ED463" s="408">
        <v>0</v>
      </c>
      <c r="EE463" s="408">
        <v>0</v>
      </c>
      <c r="EF463" s="408">
        <v>0</v>
      </c>
      <c r="EG463" s="408">
        <v>0</v>
      </c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>
        <v>0</v>
      </c>
      <c r="EN463" s="408">
        <v>0</v>
      </c>
      <c r="EO463" s="408">
        <v>0</v>
      </c>
      <c r="EP463" s="408">
        <v>0</v>
      </c>
      <c r="EQ463" s="408">
        <v>0</v>
      </c>
      <c r="ER463" s="408">
        <v>0</v>
      </c>
      <c r="ES463" s="408">
        <v>0</v>
      </c>
      <c r="ET463" s="408">
        <v>0</v>
      </c>
      <c r="EU463" s="408">
        <v>0</v>
      </c>
      <c r="EV463" s="408">
        <v>242</v>
      </c>
      <c r="EW463" s="408">
        <v>0</v>
      </c>
      <c r="EX463" s="408">
        <v>0</v>
      </c>
      <c r="EY463" s="408">
        <v>0</v>
      </c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463</v>
      </c>
      <c r="B464" s="408" t="s">
        <v>2233</v>
      </c>
      <c r="C464" s="408" t="s">
        <v>2231</v>
      </c>
      <c r="D464" s="408" t="s">
        <v>1952</v>
      </c>
      <c r="E464" s="408" t="s">
        <v>969</v>
      </c>
      <c r="F464" s="408" t="s">
        <v>2238</v>
      </c>
      <c r="G464" s="408" t="s">
        <v>1322</v>
      </c>
      <c r="H464" s="408" t="s">
        <v>1322</v>
      </c>
      <c r="I464" s="408" t="s">
        <v>1322</v>
      </c>
      <c r="J464" s="408" t="s">
        <v>2232</v>
      </c>
      <c r="K464" s="828">
        <v>44652</v>
      </c>
      <c r="L464" s="408">
        <v>0</v>
      </c>
      <c r="M464" s="408">
        <v>0</v>
      </c>
      <c r="N464" s="408">
        <v>-0.129</v>
      </c>
      <c r="O464" s="408">
        <v>-0.129</v>
      </c>
      <c r="P464" s="408">
        <v>-0.129</v>
      </c>
      <c r="Q464" s="408">
        <v>-0.129</v>
      </c>
      <c r="R464" s="408"/>
      <c r="S464" s="408">
        <v>501.89</v>
      </c>
      <c r="T464" s="408">
        <v>216.76</v>
      </c>
      <c r="U464" s="408"/>
      <c r="V464" s="408">
        <v>-92.705849999999998</v>
      </c>
      <c r="W464" s="408">
        <v>-92.705849999999998</v>
      </c>
      <c r="X464" s="408">
        <v>-57.701700000000002</v>
      </c>
      <c r="Y464" s="408">
        <v>0</v>
      </c>
      <c r="Z464" s="408">
        <v>0</v>
      </c>
      <c r="AA464" s="408">
        <v>0</v>
      </c>
      <c r="AB464" s="408">
        <v>0</v>
      </c>
      <c r="AC464" s="408">
        <v>0</v>
      </c>
      <c r="AD464" s="408">
        <v>-0.10602686723654903</v>
      </c>
      <c r="AE464" s="408">
        <v>-55.003493273502876</v>
      </c>
      <c r="AF464" s="408">
        <v>-27.554593606249046</v>
      </c>
      <c r="AG464" s="408">
        <v>-0.40730521100235445</v>
      </c>
      <c r="AH464" s="408">
        <v>0</v>
      </c>
      <c r="AI464" s="408">
        <v>0</v>
      </c>
      <c r="AJ464" s="408">
        <v>0</v>
      </c>
      <c r="AK464" s="408">
        <v>0</v>
      </c>
      <c r="AL464" s="408">
        <v>0</v>
      </c>
      <c r="AM464" s="408"/>
      <c r="AN464" s="408">
        <v>-0.24748257274401178</v>
      </c>
      <c r="AO464" s="408">
        <v>-1.1457390096342663</v>
      </c>
      <c r="AP464" s="408">
        <v>-3.5896965598306916</v>
      </c>
      <c r="AQ464" s="408">
        <v>0</v>
      </c>
      <c r="AR464" s="408">
        <v>0</v>
      </c>
      <c r="AS464" s="408">
        <v>0</v>
      </c>
      <c r="AT464" s="408">
        <v>0</v>
      </c>
      <c r="AU464" s="408">
        <v>0</v>
      </c>
      <c r="AV464" s="408">
        <v>0</v>
      </c>
      <c r="AW464" s="408">
        <v>0</v>
      </c>
      <c r="AX464" s="408">
        <v>0</v>
      </c>
      <c r="AY464" s="408">
        <v>0</v>
      </c>
      <c r="AZ464" s="408">
        <v>0</v>
      </c>
      <c r="BA464" s="408"/>
      <c r="BB464" s="408">
        <v>0</v>
      </c>
      <c r="BC464" s="408">
        <v>0</v>
      </c>
      <c r="BD464" s="408">
        <v>-7.6763981222699312E-2</v>
      </c>
      <c r="BE464" s="408">
        <v>0</v>
      </c>
      <c r="BF464" s="408">
        <v>0</v>
      </c>
      <c r="BG464" s="408">
        <v>-4.574112633179312</v>
      </c>
      <c r="BH464" s="408">
        <v>0</v>
      </c>
      <c r="BI464" s="408">
        <v>-0.09</v>
      </c>
      <c r="BJ464" s="408">
        <v>-0.39</v>
      </c>
      <c r="BK464" s="408">
        <v>-19.399999999999999</v>
      </c>
      <c r="BL464" s="408">
        <v>0</v>
      </c>
      <c r="BM464" s="408"/>
      <c r="BN464" s="408"/>
      <c r="BO464" s="408"/>
      <c r="BP464" s="408"/>
      <c r="BQ464" s="408"/>
      <c r="BR464" s="408"/>
      <c r="BS464" s="408"/>
      <c r="BT464" s="408"/>
      <c r="BU464" s="408"/>
      <c r="BV464" s="408">
        <v>-32.205470220651058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-58.149000000000001</v>
      </c>
      <c r="CJ464" s="408">
        <v>34.526849999999982</v>
      </c>
      <c r="CK464" s="408"/>
      <c r="CL464" s="408"/>
      <c r="CM464" s="408"/>
      <c r="CN464" s="408"/>
      <c r="CO464" s="408">
        <v>39.213420000000006</v>
      </c>
      <c r="CP464" s="408">
        <v>-4.2092699999999992</v>
      </c>
      <c r="CQ464" s="408">
        <v>30</v>
      </c>
      <c r="CR464" s="408">
        <v>-5.4084458082995752</v>
      </c>
      <c r="CS464" s="408">
        <v>-0.11818472515108103</v>
      </c>
      <c r="CT464" s="408">
        <v>-0.37028267147401284</v>
      </c>
      <c r="CU464" s="408">
        <v>0</v>
      </c>
      <c r="CV464" s="408">
        <v>0</v>
      </c>
      <c r="CW464" s="408">
        <v>0</v>
      </c>
      <c r="CX464" s="408">
        <v>0</v>
      </c>
      <c r="CY464" s="408">
        <v>0</v>
      </c>
      <c r="CZ464" s="408">
        <v>-1.0366783245062114E-2</v>
      </c>
      <c r="DA464" s="408">
        <v>0</v>
      </c>
      <c r="DB464" s="408">
        <v>0</v>
      </c>
      <c r="DC464" s="408">
        <v>-4.2098109645165351</v>
      </c>
      <c r="DD464" s="408">
        <v>0</v>
      </c>
      <c r="DE464" s="408">
        <v>0</v>
      </c>
      <c r="DF464" s="408">
        <v>-1.1728057196168415E-2</v>
      </c>
      <c r="DG464" s="408">
        <v>-0.69883627359052358</v>
      </c>
      <c r="DH464" s="408">
        <v>0</v>
      </c>
      <c r="DI464" s="408">
        <v>0</v>
      </c>
      <c r="DJ464" s="408"/>
      <c r="DK464" s="408">
        <v>0</v>
      </c>
      <c r="DL464" s="408">
        <v>0</v>
      </c>
      <c r="DM464" s="408">
        <v>0</v>
      </c>
      <c r="DN464" s="408">
        <v>0</v>
      </c>
      <c r="DO464" s="408">
        <v>0</v>
      </c>
      <c r="DP464" s="408">
        <v>1.0763666873798344E-2</v>
      </c>
      <c r="DQ464" s="408">
        <v>0</v>
      </c>
      <c r="DR464" s="408">
        <v>0</v>
      </c>
      <c r="DS464" s="408"/>
      <c r="DT464" s="408"/>
      <c r="DU464" s="408"/>
      <c r="DV464" s="408">
        <v>-55.003493273502876</v>
      </c>
      <c r="DW464" s="408">
        <v>0</v>
      </c>
      <c r="DX464" s="408">
        <v>0</v>
      </c>
      <c r="DY464" s="408">
        <v>39.213419999999999</v>
      </c>
      <c r="DZ464" s="234">
        <v>-4.2092700000000001</v>
      </c>
      <c r="EA464" s="408">
        <v>0</v>
      </c>
      <c r="EB464" s="408">
        <v>0</v>
      </c>
      <c r="EC464" s="408">
        <v>40.411606500800389</v>
      </c>
      <c r="ED464" s="408">
        <v>0</v>
      </c>
      <c r="EE464" s="408">
        <v>0</v>
      </c>
      <c r="EF464" s="408">
        <v>0</v>
      </c>
      <c r="EG464" s="408">
        <v>0</v>
      </c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>
        <v>0</v>
      </c>
      <c r="EN464" s="408">
        <v>0</v>
      </c>
      <c r="EO464" s="408">
        <v>0</v>
      </c>
      <c r="EP464" s="408">
        <v>0</v>
      </c>
      <c r="EQ464" s="408">
        <v>0</v>
      </c>
      <c r="ER464" s="408">
        <v>0</v>
      </c>
      <c r="ES464" s="408">
        <v>0</v>
      </c>
      <c r="ET464" s="408">
        <v>0</v>
      </c>
      <c r="EU464" s="408">
        <v>0</v>
      </c>
      <c r="EV464" s="408">
        <v>242</v>
      </c>
      <c r="EW464" s="408">
        <v>0</v>
      </c>
      <c r="EX464" s="408">
        <v>0</v>
      </c>
      <c r="EY464" s="408">
        <v>0</v>
      </c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464</v>
      </c>
      <c r="B465" s="408" t="s">
        <v>1036</v>
      </c>
      <c r="C465" s="408" t="s">
        <v>2231</v>
      </c>
      <c r="D465" s="408" t="s">
        <v>1955</v>
      </c>
      <c r="E465" s="408" t="s">
        <v>970</v>
      </c>
      <c r="F465" s="408" t="s">
        <v>1322</v>
      </c>
      <c r="G465" s="408" t="s">
        <v>1322</v>
      </c>
      <c r="H465" s="408" t="s">
        <v>1322</v>
      </c>
      <c r="I465" s="408" t="s">
        <v>1322</v>
      </c>
      <c r="J465" s="408" t="s">
        <v>2232</v>
      </c>
      <c r="K465" s="828">
        <v>44652</v>
      </c>
      <c r="L465" s="408">
        <v>0</v>
      </c>
      <c r="M465" s="408">
        <v>0</v>
      </c>
      <c r="N465" s="408">
        <v>38.319000000000003</v>
      </c>
      <c r="O465" s="408">
        <v>38.319000000000003</v>
      </c>
      <c r="P465" s="408">
        <v>38.319000000000003</v>
      </c>
      <c r="Q465" s="408">
        <v>38.319000000000003</v>
      </c>
      <c r="R465" s="408"/>
      <c r="S465" s="408">
        <v>571.87</v>
      </c>
      <c r="T465" s="408">
        <v>216.76</v>
      </c>
      <c r="U465" s="408"/>
      <c r="V465" s="408">
        <v>30219.512970000003</v>
      </c>
      <c r="W465" s="408">
        <v>30219.512970000003</v>
      </c>
      <c r="X465" s="408">
        <v>19696.349190000001</v>
      </c>
      <c r="Y465" s="408">
        <v>0</v>
      </c>
      <c r="Z465" s="408">
        <v>2322.5382345105422</v>
      </c>
      <c r="AA465" s="408">
        <v>0</v>
      </c>
      <c r="AB465" s="408">
        <v>0</v>
      </c>
      <c r="AC465" s="408">
        <v>0</v>
      </c>
      <c r="AD465" s="408">
        <v>31.49491105145211</v>
      </c>
      <c r="AE465" s="408">
        <v>16338.595804243076</v>
      </c>
      <c r="AF465" s="408">
        <v>8184.9959100609085</v>
      </c>
      <c r="AG465" s="408">
        <v>120.988592096118</v>
      </c>
      <c r="AH465" s="408">
        <v>0</v>
      </c>
      <c r="AI465" s="408">
        <v>0</v>
      </c>
      <c r="AJ465" s="408">
        <v>0</v>
      </c>
      <c r="AK465" s="408">
        <v>0</v>
      </c>
      <c r="AL465" s="408">
        <v>359.18826816273503</v>
      </c>
      <c r="AM465" s="408"/>
      <c r="AN465" s="408">
        <v>73.513834922308433</v>
      </c>
      <c r="AO465" s="408">
        <v>340.33777604787173</v>
      </c>
      <c r="AP465" s="408">
        <v>1066.3068409004052</v>
      </c>
      <c r="AQ465" s="408">
        <v>0</v>
      </c>
      <c r="AR465" s="408">
        <v>0</v>
      </c>
      <c r="AS465" s="408">
        <v>0</v>
      </c>
      <c r="AT465" s="408">
        <v>0</v>
      </c>
      <c r="AU465" s="408">
        <v>0</v>
      </c>
      <c r="AV465" s="408">
        <v>0</v>
      </c>
      <c r="AW465" s="408">
        <v>0</v>
      </c>
      <c r="AX465" s="408">
        <v>0</v>
      </c>
      <c r="AY465" s="408">
        <v>0</v>
      </c>
      <c r="AZ465" s="408">
        <v>0</v>
      </c>
      <c r="BA465" s="408"/>
      <c r="BB465" s="408">
        <v>0</v>
      </c>
      <c r="BC465" s="408">
        <v>0</v>
      </c>
      <c r="BD465" s="408">
        <v>22.802472840872987</v>
      </c>
      <c r="BE465" s="408">
        <v>0</v>
      </c>
      <c r="BF465" s="408">
        <v>0</v>
      </c>
      <c r="BG465" s="408">
        <v>1358.724201479055</v>
      </c>
      <c r="BH465" s="408">
        <v>0</v>
      </c>
      <c r="BI465" s="408">
        <v>53.13</v>
      </c>
      <c r="BJ465" s="408">
        <v>243.11</v>
      </c>
      <c r="BK465" s="408">
        <v>5209.3100000000004</v>
      </c>
      <c r="BL465" s="408">
        <v>28</v>
      </c>
      <c r="BM465" s="408"/>
      <c r="BN465" s="408"/>
      <c r="BO465" s="408"/>
      <c r="BP465" s="408"/>
      <c r="BQ465" s="408"/>
      <c r="BR465" s="408"/>
      <c r="BS465" s="408"/>
      <c r="BT465" s="408"/>
      <c r="BU465" s="408"/>
      <c r="BV465" s="408">
        <v>9566.5225843808366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19696.8632</v>
      </c>
      <c r="CJ465" s="408">
        <v>-10522.679769999999</v>
      </c>
      <c r="CK465" s="408"/>
      <c r="CL465" s="408"/>
      <c r="CM465" s="408"/>
      <c r="CN465" s="408"/>
      <c r="CO465" s="408">
        <v>-11773.512750000002</v>
      </c>
      <c r="CP465" s="408">
        <v>1250.34897</v>
      </c>
      <c r="CQ465" s="408">
        <v>30</v>
      </c>
      <c r="CR465" s="408">
        <v>1481.0410697322186</v>
      </c>
      <c r="CS465" s="408">
        <v>35.106360333831617</v>
      </c>
      <c r="CT465" s="408">
        <v>109.99117587761793</v>
      </c>
      <c r="CU465" s="408">
        <v>0</v>
      </c>
      <c r="CV465" s="408">
        <v>0</v>
      </c>
      <c r="CW465" s="408">
        <v>0</v>
      </c>
      <c r="CX465" s="408">
        <v>0</v>
      </c>
      <c r="CY465" s="408">
        <v>0</v>
      </c>
      <c r="CZ465" s="408">
        <v>3.0794167997483335</v>
      </c>
      <c r="DA465" s="408">
        <v>0</v>
      </c>
      <c r="DB465" s="408">
        <v>0</v>
      </c>
      <c r="DC465" s="408">
        <v>1250.509661622551</v>
      </c>
      <c r="DD465" s="408">
        <v>0</v>
      </c>
      <c r="DE465" s="408">
        <v>0</v>
      </c>
      <c r="DF465" s="408">
        <v>3.483778478294397</v>
      </c>
      <c r="DG465" s="408">
        <v>207.58687726911057</v>
      </c>
      <c r="DH465" s="408">
        <v>0</v>
      </c>
      <c r="DI465" s="408">
        <v>-110.9643635381376</v>
      </c>
      <c r="DJ465" s="408"/>
      <c r="DK465" s="408">
        <v>0</v>
      </c>
      <c r="DL465" s="408">
        <v>0</v>
      </c>
      <c r="DM465" s="408">
        <v>0</v>
      </c>
      <c r="DN465" s="408">
        <v>0</v>
      </c>
      <c r="DO465" s="408">
        <v>-14.554527413608639</v>
      </c>
      <c r="DP465" s="408">
        <v>-3.1973096971866539</v>
      </c>
      <c r="DQ465" s="408">
        <v>0</v>
      </c>
      <c r="DR465" s="408">
        <v>0</v>
      </c>
      <c r="DS465" s="408"/>
      <c r="DT465" s="408"/>
      <c r="DU465" s="408"/>
      <c r="DV465" s="408">
        <v>16338.595804243076</v>
      </c>
      <c r="DW465" s="408">
        <v>0</v>
      </c>
      <c r="DX465" s="408">
        <v>0</v>
      </c>
      <c r="DY465" s="408">
        <v>-11773.512750000002</v>
      </c>
      <c r="DZ465" s="234">
        <v>1250.3489700000009</v>
      </c>
      <c r="EA465" s="408">
        <v>0</v>
      </c>
      <c r="EB465" s="408">
        <v>0</v>
      </c>
      <c r="EC465" s="408">
        <v>-12004.126740342403</v>
      </c>
      <c r="ED465" s="408">
        <v>0</v>
      </c>
      <c r="EE465" s="408">
        <v>0</v>
      </c>
      <c r="EF465" s="408">
        <v>0</v>
      </c>
      <c r="EG465" s="408">
        <v>0</v>
      </c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>
        <v>0</v>
      </c>
      <c r="EN465" s="408">
        <v>0</v>
      </c>
      <c r="EO465" s="408">
        <v>0</v>
      </c>
      <c r="EP465" s="408">
        <v>0</v>
      </c>
      <c r="EQ465" s="408">
        <v>0</v>
      </c>
      <c r="ER465" s="408">
        <v>0</v>
      </c>
      <c r="ES465" s="408">
        <v>0</v>
      </c>
      <c r="ET465" s="408">
        <v>0</v>
      </c>
      <c r="EU465" s="408">
        <v>0</v>
      </c>
      <c r="EV465" s="408">
        <v>242</v>
      </c>
      <c r="EW465" s="408">
        <v>0</v>
      </c>
      <c r="EX465" s="408">
        <v>0</v>
      </c>
      <c r="EY465" s="408">
        <v>0</v>
      </c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465</v>
      </c>
      <c r="B466" s="408" t="s">
        <v>2234</v>
      </c>
      <c r="C466" s="408" t="s">
        <v>2231</v>
      </c>
      <c r="D466" s="408" t="s">
        <v>1955</v>
      </c>
      <c r="E466" s="408" t="s">
        <v>970</v>
      </c>
      <c r="F466" s="408" t="s">
        <v>1322</v>
      </c>
      <c r="G466" s="408" t="s">
        <v>1322</v>
      </c>
      <c r="H466" s="408" t="s">
        <v>1322</v>
      </c>
      <c r="I466" s="408" t="s">
        <v>1322</v>
      </c>
      <c r="J466" s="408" t="s">
        <v>2232</v>
      </c>
      <c r="K466" s="828">
        <v>44652</v>
      </c>
      <c r="L466" s="408">
        <v>0</v>
      </c>
      <c r="M466" s="408">
        <v>0</v>
      </c>
      <c r="N466" s="408">
        <v>2.4790000000000001</v>
      </c>
      <c r="O466" s="408">
        <v>2.4790000000000001</v>
      </c>
      <c r="P466" s="408">
        <v>2.4790000000000001</v>
      </c>
      <c r="Q466" s="408">
        <v>2.4790000000000001</v>
      </c>
      <c r="R466" s="408"/>
      <c r="S466" s="408">
        <v>571.87</v>
      </c>
      <c r="T466" s="408">
        <v>216.76</v>
      </c>
      <c r="U466" s="408"/>
      <c r="V466" s="408">
        <v>1955.01377</v>
      </c>
      <c r="W466" s="408">
        <v>1955.01377</v>
      </c>
      <c r="X466" s="408">
        <v>1274.2307900000001</v>
      </c>
      <c r="Y466" s="408">
        <v>0</v>
      </c>
      <c r="Z466" s="408">
        <v>150.25371965217343</v>
      </c>
      <c r="AA466" s="408">
        <v>0</v>
      </c>
      <c r="AB466" s="408">
        <v>0</v>
      </c>
      <c r="AC466" s="408">
        <v>0</v>
      </c>
      <c r="AD466" s="408">
        <v>2.0375240610806591</v>
      </c>
      <c r="AE466" s="408">
        <v>1057.0051149225862</v>
      </c>
      <c r="AF466" s="408">
        <v>529.51812054179368</v>
      </c>
      <c r="AG466" s="408">
        <v>7.8272063416654012</v>
      </c>
      <c r="AH466" s="408">
        <v>0</v>
      </c>
      <c r="AI466" s="408">
        <v>0</v>
      </c>
      <c r="AJ466" s="408">
        <v>0</v>
      </c>
      <c r="AK466" s="408">
        <v>0</v>
      </c>
      <c r="AL466" s="408">
        <v>23.23723783959446</v>
      </c>
      <c r="AM466" s="408"/>
      <c r="AN466" s="408">
        <v>4.7558860297085674</v>
      </c>
      <c r="AO466" s="408">
        <v>22.017728720025939</v>
      </c>
      <c r="AP466" s="408">
        <v>68.9833935800022</v>
      </c>
      <c r="AQ466" s="408">
        <v>0</v>
      </c>
      <c r="AR466" s="408">
        <v>0</v>
      </c>
      <c r="AS466" s="408">
        <v>0</v>
      </c>
      <c r="AT466" s="408">
        <v>0</v>
      </c>
      <c r="AU466" s="408">
        <v>0</v>
      </c>
      <c r="AV466" s="408">
        <v>0</v>
      </c>
      <c r="AW466" s="408">
        <v>0</v>
      </c>
      <c r="AX466" s="408">
        <v>0</v>
      </c>
      <c r="AY466" s="408">
        <v>0</v>
      </c>
      <c r="AZ466" s="408">
        <v>0</v>
      </c>
      <c r="BA466" s="408"/>
      <c r="BB466" s="408">
        <v>0</v>
      </c>
      <c r="BC466" s="408">
        <v>0</v>
      </c>
      <c r="BD466" s="408">
        <v>1.4751775926439659</v>
      </c>
      <c r="BE466" s="408">
        <v>0</v>
      </c>
      <c r="BF466" s="408">
        <v>0</v>
      </c>
      <c r="BG466" s="408">
        <v>87.900970679469111</v>
      </c>
      <c r="BH466" s="408">
        <v>0</v>
      </c>
      <c r="BI466" s="408">
        <v>4.41</v>
      </c>
      <c r="BJ466" s="408">
        <v>20.27</v>
      </c>
      <c r="BK466" s="408">
        <v>1092.98</v>
      </c>
      <c r="BL466" s="408">
        <v>4</v>
      </c>
      <c r="BM466" s="408"/>
      <c r="BN466" s="408"/>
      <c r="BO466" s="408"/>
      <c r="BP466" s="408"/>
      <c r="BQ466" s="408"/>
      <c r="BR466" s="408"/>
      <c r="BS466" s="408"/>
      <c r="BT466" s="408"/>
      <c r="BU466" s="408"/>
      <c r="BV466" s="408">
        <v>618.89426881390671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1274.7447999999999</v>
      </c>
      <c r="CJ466" s="408">
        <v>-680.29897000000005</v>
      </c>
      <c r="CK466" s="408"/>
      <c r="CL466" s="408"/>
      <c r="CM466" s="408"/>
      <c r="CN466" s="408"/>
      <c r="CO466" s="408">
        <v>-761.67275000000006</v>
      </c>
      <c r="CP466" s="408">
        <v>80.889769999999999</v>
      </c>
      <c r="CQ466" s="408">
        <v>30</v>
      </c>
      <c r="CR466" s="408">
        <v>95.814108193485595</v>
      </c>
      <c r="CS466" s="408">
        <v>2.2711622763529462</v>
      </c>
      <c r="CT466" s="408">
        <v>7.1157421905742524</v>
      </c>
      <c r="CU466" s="408">
        <v>0</v>
      </c>
      <c r="CV466" s="408">
        <v>0</v>
      </c>
      <c r="CW466" s="408">
        <v>0</v>
      </c>
      <c r="CX466" s="408">
        <v>0</v>
      </c>
      <c r="CY466" s="408">
        <v>0</v>
      </c>
      <c r="CZ466" s="408">
        <v>0.19921903615898451</v>
      </c>
      <c r="DA466" s="408">
        <v>0</v>
      </c>
      <c r="DB466" s="408">
        <v>0</v>
      </c>
      <c r="DC466" s="408">
        <v>80.90016574446895</v>
      </c>
      <c r="DD466" s="408">
        <v>0</v>
      </c>
      <c r="DE466" s="408">
        <v>0</v>
      </c>
      <c r="DF466" s="408">
        <v>0.2253787115449728</v>
      </c>
      <c r="DG466" s="408">
        <v>13.429574590937264</v>
      </c>
      <c r="DH466" s="408">
        <v>0</v>
      </c>
      <c r="DI466" s="408">
        <v>-7.1787013547076697</v>
      </c>
      <c r="DJ466" s="408"/>
      <c r="DK466" s="408">
        <v>0</v>
      </c>
      <c r="DL466" s="408">
        <v>0</v>
      </c>
      <c r="DM466" s="408">
        <v>0</v>
      </c>
      <c r="DN466" s="408">
        <v>0</v>
      </c>
      <c r="DO466" s="408">
        <v>-0.94158703145530609</v>
      </c>
      <c r="DP466" s="408">
        <v>-0.20684597038872887</v>
      </c>
      <c r="DQ466" s="408">
        <v>0</v>
      </c>
      <c r="DR466" s="408">
        <v>0</v>
      </c>
      <c r="DS466" s="408"/>
      <c r="DT466" s="408"/>
      <c r="DU466" s="408"/>
      <c r="DV466" s="408">
        <v>1057.0051149225862</v>
      </c>
      <c r="DW466" s="408">
        <v>0</v>
      </c>
      <c r="DX466" s="408">
        <v>0</v>
      </c>
      <c r="DY466" s="408">
        <v>-761.67275000000018</v>
      </c>
      <c r="DZ466" s="234">
        <v>80.889769999999999</v>
      </c>
      <c r="EA466" s="408">
        <v>0</v>
      </c>
      <c r="EB466" s="408">
        <v>0</v>
      </c>
      <c r="EC466" s="408">
        <v>-776.59203500375315</v>
      </c>
      <c r="ED466" s="408">
        <v>0</v>
      </c>
      <c r="EE466" s="408">
        <v>0</v>
      </c>
      <c r="EF466" s="408">
        <v>0</v>
      </c>
      <c r="EG466" s="408">
        <v>0</v>
      </c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>
        <v>0</v>
      </c>
      <c r="EN466" s="408">
        <v>0</v>
      </c>
      <c r="EO466" s="408">
        <v>0</v>
      </c>
      <c r="EP466" s="408">
        <v>0</v>
      </c>
      <c r="EQ466" s="408">
        <v>0</v>
      </c>
      <c r="ER466" s="408">
        <v>0</v>
      </c>
      <c r="ES466" s="408">
        <v>0</v>
      </c>
      <c r="ET466" s="408">
        <v>0</v>
      </c>
      <c r="EU466" s="408">
        <v>0</v>
      </c>
      <c r="EV466" s="408">
        <v>242</v>
      </c>
      <c r="EW466" s="408">
        <v>0</v>
      </c>
      <c r="EX466" s="408">
        <v>0</v>
      </c>
      <c r="EY466" s="408">
        <v>0</v>
      </c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466</v>
      </c>
      <c r="B467" s="408" t="s">
        <v>1036</v>
      </c>
      <c r="C467" s="408" t="s">
        <v>2239</v>
      </c>
      <c r="D467" s="408" t="s">
        <v>597</v>
      </c>
      <c r="E467" s="408" t="s">
        <v>970</v>
      </c>
      <c r="F467" s="408" t="s">
        <v>1322</v>
      </c>
      <c r="G467" s="408" t="s">
        <v>1322</v>
      </c>
      <c r="H467" s="408" t="s">
        <v>1322</v>
      </c>
      <c r="I467" s="408" t="s">
        <v>973</v>
      </c>
      <c r="J467" s="408" t="s">
        <v>2232</v>
      </c>
      <c r="K467" s="828">
        <v>44652</v>
      </c>
      <c r="L467" s="408">
        <v>0</v>
      </c>
      <c r="M467" s="408">
        <v>0</v>
      </c>
      <c r="N467" s="408">
        <v>0.80800000000000005</v>
      </c>
      <c r="O467" s="408">
        <v>0.80800000000000005</v>
      </c>
      <c r="P467" s="408">
        <v>0.80800000000000005</v>
      </c>
      <c r="Q467" s="408">
        <v>0.80800000000000005</v>
      </c>
      <c r="R467" s="408"/>
      <c r="S467" s="408">
        <v>2592.54</v>
      </c>
      <c r="T467" s="408">
        <v>216.76</v>
      </c>
      <c r="U467" s="408"/>
      <c r="V467" s="408">
        <v>2269.9144000000001</v>
      </c>
      <c r="W467" s="408">
        <v>2269.9144000000001</v>
      </c>
      <c r="X467" s="408">
        <v>954.40959999999995</v>
      </c>
      <c r="Y467" s="408">
        <v>0</v>
      </c>
      <c r="Z467" s="408">
        <v>42.606839357277877</v>
      </c>
      <c r="AA467" s="408">
        <v>0</v>
      </c>
      <c r="AB467" s="408">
        <v>0</v>
      </c>
      <c r="AC467" s="408">
        <v>0</v>
      </c>
      <c r="AD467" s="408">
        <v>4.0857612473099021</v>
      </c>
      <c r="AE467" s="408">
        <v>1851.0403355663746</v>
      </c>
      <c r="AF467" s="408">
        <v>172.59001266549791</v>
      </c>
      <c r="AG467" s="408">
        <v>2.551183027053507</v>
      </c>
      <c r="AH467" s="408">
        <v>0</v>
      </c>
      <c r="AI467" s="408">
        <v>0</v>
      </c>
      <c r="AJ467" s="408">
        <v>0</v>
      </c>
      <c r="AK467" s="408">
        <v>0</v>
      </c>
      <c r="AL467" s="408">
        <v>7.5738959961243744</v>
      </c>
      <c r="AM467" s="408"/>
      <c r="AN467" s="408">
        <v>1.1095635347731716</v>
      </c>
      <c r="AO467" s="408">
        <v>36.452816204992743</v>
      </c>
      <c r="AP467" s="408">
        <v>138.33020496928773</v>
      </c>
      <c r="AQ467" s="408">
        <v>0</v>
      </c>
      <c r="AR467" s="408">
        <v>0</v>
      </c>
      <c r="AS467" s="408">
        <v>0</v>
      </c>
      <c r="AT467" s="408">
        <v>0</v>
      </c>
      <c r="AU467" s="408">
        <v>0</v>
      </c>
      <c r="AV467" s="408">
        <v>0</v>
      </c>
      <c r="AW467" s="408">
        <v>0</v>
      </c>
      <c r="AX467" s="408">
        <v>0</v>
      </c>
      <c r="AY467" s="408">
        <v>0</v>
      </c>
      <c r="AZ467" s="408">
        <v>0</v>
      </c>
      <c r="BA467" s="408"/>
      <c r="BB467" s="408">
        <v>0</v>
      </c>
      <c r="BC467" s="408">
        <v>0</v>
      </c>
      <c r="BD467" s="408">
        <v>0.36949734835160447</v>
      </c>
      <c r="BE467" s="408">
        <v>0</v>
      </c>
      <c r="BF467" s="408">
        <v>0</v>
      </c>
      <c r="BG467" s="408">
        <v>13.19961471626044</v>
      </c>
      <c r="BH467" s="408">
        <v>0</v>
      </c>
      <c r="BI467" s="408">
        <v>0</v>
      </c>
      <c r="BJ467" s="408">
        <v>0</v>
      </c>
      <c r="BK467" s="408">
        <v>0</v>
      </c>
      <c r="BL467" s="408">
        <v>0</v>
      </c>
      <c r="BM467" s="408"/>
      <c r="BN467" s="408"/>
      <c r="BO467" s="408"/>
      <c r="BP467" s="408"/>
      <c r="BQ467" s="408"/>
      <c r="BR467" s="408"/>
      <c r="BS467" s="408"/>
      <c r="BT467" s="408"/>
      <c r="BU467" s="408"/>
      <c r="BV467" s="408">
        <v>186.15912473010997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956.77200000000005</v>
      </c>
      <c r="CJ467" s="408">
        <v>-1313.1724000000008</v>
      </c>
      <c r="CK467" s="408"/>
      <c r="CL467" s="408"/>
      <c r="CM467" s="408"/>
      <c r="CN467" s="408"/>
      <c r="CO467" s="408">
        <v>-1341.8698400000001</v>
      </c>
      <c r="CP467" s="408">
        <v>26.365039999999997</v>
      </c>
      <c r="CQ467" s="408">
        <v>30</v>
      </c>
      <c r="CR467" s="408">
        <v>44.479355806671776</v>
      </c>
      <c r="CS467" s="408">
        <v>3.76016355203366</v>
      </c>
      <c r="CT467" s="408">
        <v>14.268971482088006</v>
      </c>
      <c r="CU467" s="408">
        <v>0</v>
      </c>
      <c r="CV467" s="408">
        <v>0</v>
      </c>
      <c r="CW467" s="408">
        <v>0</v>
      </c>
      <c r="CX467" s="408">
        <v>0</v>
      </c>
      <c r="CY467" s="408">
        <v>0</v>
      </c>
      <c r="CZ467" s="408">
        <v>0.39948554876603826</v>
      </c>
      <c r="DA467" s="408">
        <v>0</v>
      </c>
      <c r="DB467" s="408">
        <v>0</v>
      </c>
      <c r="DC467" s="408">
        <v>26.368428366894278</v>
      </c>
      <c r="DD467" s="408">
        <v>0</v>
      </c>
      <c r="DE467" s="408">
        <v>0</v>
      </c>
      <c r="DF467" s="408">
        <v>5.6452075130501211E-2</v>
      </c>
      <c r="DG467" s="408">
        <v>2.0166467905121408</v>
      </c>
      <c r="DH467" s="408">
        <v>0</v>
      </c>
      <c r="DI467" s="408">
        <v>-2.0356352982271844</v>
      </c>
      <c r="DJ467" s="408"/>
      <c r="DK467" s="408">
        <v>0</v>
      </c>
      <c r="DL467" s="408">
        <v>0</v>
      </c>
      <c r="DM467" s="408">
        <v>0</v>
      </c>
      <c r="DN467" s="408">
        <v>0</v>
      </c>
      <c r="DO467" s="408">
        <v>-0.30689887915122505</v>
      </c>
      <c r="DP467" s="408">
        <v>-4.8257831374518778E-2</v>
      </c>
      <c r="DQ467" s="408">
        <v>0</v>
      </c>
      <c r="DR467" s="408">
        <v>0</v>
      </c>
      <c r="DS467" s="408"/>
      <c r="DT467" s="408"/>
      <c r="DU467" s="408"/>
      <c r="DV467" s="408">
        <v>1851.0403355663746</v>
      </c>
      <c r="DW467" s="408">
        <v>0</v>
      </c>
      <c r="DX467" s="408">
        <v>0</v>
      </c>
      <c r="DY467" s="408">
        <v>-1341.8698400000001</v>
      </c>
      <c r="DZ467" s="234">
        <v>26.365040000000022</v>
      </c>
      <c r="EA467" s="408">
        <v>0</v>
      </c>
      <c r="EB467" s="408">
        <v>0</v>
      </c>
      <c r="EC467" s="408">
        <v>-1359.9775069932393</v>
      </c>
      <c r="ED467" s="408">
        <v>0</v>
      </c>
      <c r="EE467" s="408">
        <v>0</v>
      </c>
      <c r="EF467" s="408">
        <v>0</v>
      </c>
      <c r="EG467" s="408">
        <v>0</v>
      </c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>
        <v>0</v>
      </c>
      <c r="EN467" s="408">
        <v>0</v>
      </c>
      <c r="EO467" s="408">
        <v>0</v>
      </c>
      <c r="EP467" s="408">
        <v>0</v>
      </c>
      <c r="EQ467" s="408">
        <v>0</v>
      </c>
      <c r="ER467" s="408">
        <v>0</v>
      </c>
      <c r="ES467" s="408">
        <v>0</v>
      </c>
      <c r="ET467" s="408">
        <v>0</v>
      </c>
      <c r="EU467" s="408">
        <v>0</v>
      </c>
      <c r="EV467" s="408">
        <v>242</v>
      </c>
      <c r="EW467" s="408">
        <v>0</v>
      </c>
      <c r="EX467" s="408">
        <v>0</v>
      </c>
      <c r="EY467" s="408">
        <v>0</v>
      </c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467</v>
      </c>
      <c r="B468" s="408" t="s">
        <v>1036</v>
      </c>
      <c r="C468" s="408" t="s">
        <v>2239</v>
      </c>
      <c r="D468" s="408" t="s">
        <v>597</v>
      </c>
      <c r="E468" s="408" t="s">
        <v>970</v>
      </c>
      <c r="F468" s="408" t="s">
        <v>1322</v>
      </c>
      <c r="G468" s="408" t="s">
        <v>1322</v>
      </c>
      <c r="H468" s="408" t="s">
        <v>1322</v>
      </c>
      <c r="I468" s="408" t="s">
        <v>2240</v>
      </c>
      <c r="J468" s="408" t="s">
        <v>2232</v>
      </c>
      <c r="K468" s="828">
        <v>44652</v>
      </c>
      <c r="L468" s="408">
        <v>0</v>
      </c>
      <c r="M468" s="408">
        <v>0</v>
      </c>
      <c r="N468" s="408">
        <v>51.093000000000004</v>
      </c>
      <c r="O468" s="408">
        <v>51.093000000000004</v>
      </c>
      <c r="P468" s="408">
        <v>51.093000000000004</v>
      </c>
      <c r="Q468" s="408">
        <v>51.093000000000004</v>
      </c>
      <c r="R468" s="408"/>
      <c r="S468" s="408">
        <v>80.27</v>
      </c>
      <c r="T468" s="408">
        <v>216.76</v>
      </c>
      <c r="U468" s="408"/>
      <c r="V468" s="408">
        <v>15176.15379</v>
      </c>
      <c r="W468" s="408">
        <v>15176.15379</v>
      </c>
      <c r="X468" s="408">
        <v>16823.392110000001</v>
      </c>
      <c r="Y468" s="408">
        <v>0</v>
      </c>
      <c r="Z468" s="408">
        <v>2694.1970832690577</v>
      </c>
      <c r="AA468" s="408">
        <v>0</v>
      </c>
      <c r="AB468" s="408">
        <v>0</v>
      </c>
      <c r="AC468" s="408">
        <v>0</v>
      </c>
      <c r="AD468" s="408">
        <v>0</v>
      </c>
      <c r="AE468" s="408">
        <v>0</v>
      </c>
      <c r="AF468" s="408">
        <v>10913.541481582035</v>
      </c>
      <c r="AG468" s="408">
        <v>161.32128019956045</v>
      </c>
      <c r="AH468" s="408">
        <v>0</v>
      </c>
      <c r="AI468" s="408">
        <v>0</v>
      </c>
      <c r="AJ468" s="408">
        <v>0</v>
      </c>
      <c r="AK468" s="408">
        <v>0</v>
      </c>
      <c r="AL468" s="408">
        <v>478.92706451730527</v>
      </c>
      <c r="AM468" s="408"/>
      <c r="AN468" s="408">
        <v>70.162041685848592</v>
      </c>
      <c r="AO468" s="408">
        <v>0</v>
      </c>
      <c r="AP468" s="408">
        <v>0</v>
      </c>
      <c r="AQ468" s="408">
        <v>0</v>
      </c>
      <c r="AR468" s="408">
        <v>0</v>
      </c>
      <c r="AS468" s="408">
        <v>0</v>
      </c>
      <c r="AT468" s="408">
        <v>0</v>
      </c>
      <c r="AU468" s="408">
        <v>0</v>
      </c>
      <c r="AV468" s="408">
        <v>0</v>
      </c>
      <c r="AW468" s="408">
        <v>0</v>
      </c>
      <c r="AX468" s="408">
        <v>0</v>
      </c>
      <c r="AY468" s="408">
        <v>0</v>
      </c>
      <c r="AZ468" s="408">
        <v>0</v>
      </c>
      <c r="BA468" s="408"/>
      <c r="BB468" s="408">
        <v>0</v>
      </c>
      <c r="BC468" s="408">
        <v>0</v>
      </c>
      <c r="BD468" s="408">
        <v>23.364762400159069</v>
      </c>
      <c r="BE468" s="408">
        <v>0</v>
      </c>
      <c r="BF468" s="408">
        <v>0</v>
      </c>
      <c r="BG468" s="408">
        <v>834.66326076472114</v>
      </c>
      <c r="BH468" s="408">
        <v>0</v>
      </c>
      <c r="BI468" s="408">
        <v>0</v>
      </c>
      <c r="BJ468" s="408">
        <v>0</v>
      </c>
      <c r="BK468" s="408">
        <v>0</v>
      </c>
      <c r="BL468" s="408">
        <v>0</v>
      </c>
      <c r="BM468" s="408"/>
      <c r="BN468" s="408"/>
      <c r="BO468" s="408"/>
      <c r="BP468" s="408"/>
      <c r="BQ468" s="408"/>
      <c r="BR468" s="408"/>
      <c r="BS468" s="408"/>
      <c r="BT468" s="408"/>
      <c r="BU468" s="408"/>
      <c r="BV468" s="408">
        <v>11771.569504746914</v>
      </c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>
        <v>16822.404300000002</v>
      </c>
      <c r="CJ468" s="408">
        <v>1646.220510000001</v>
      </c>
      <c r="CK468" s="408"/>
      <c r="CL468" s="408"/>
      <c r="CM468" s="408"/>
      <c r="CN468" s="408"/>
      <c r="CO468" s="408">
        <v>-19.926270000000031</v>
      </c>
      <c r="CP468" s="408">
        <v>1667.1645899999999</v>
      </c>
      <c r="CQ468" s="408">
        <v>30</v>
      </c>
      <c r="CR468" s="408">
        <v>1647.2898697881101</v>
      </c>
      <c r="CS468" s="408">
        <v>0</v>
      </c>
      <c r="CT468" s="408">
        <v>0</v>
      </c>
      <c r="CU468" s="408">
        <v>0</v>
      </c>
      <c r="CV468" s="408">
        <v>0</v>
      </c>
      <c r="CW468" s="408">
        <v>0</v>
      </c>
      <c r="CX468" s="408">
        <v>0</v>
      </c>
      <c r="CY468" s="408">
        <v>0</v>
      </c>
      <c r="CZ468" s="408">
        <v>0</v>
      </c>
      <c r="DA468" s="408">
        <v>0</v>
      </c>
      <c r="DB468" s="408">
        <v>0</v>
      </c>
      <c r="DC468" s="408">
        <v>1667.378849690258</v>
      </c>
      <c r="DD468" s="408">
        <v>0</v>
      </c>
      <c r="DE468" s="408">
        <v>0</v>
      </c>
      <c r="DF468" s="408">
        <v>3.5696854884191822</v>
      </c>
      <c r="DG468" s="408">
        <v>127.52046345004555</v>
      </c>
      <c r="DH468" s="408">
        <v>0</v>
      </c>
      <c r="DI468" s="408">
        <v>-128.72118105485333</v>
      </c>
      <c r="DJ468" s="408"/>
      <c r="DK468" s="408">
        <v>0</v>
      </c>
      <c r="DL468" s="408">
        <v>0</v>
      </c>
      <c r="DM468" s="408">
        <v>0</v>
      </c>
      <c r="DN468" s="408">
        <v>0</v>
      </c>
      <c r="DO468" s="408">
        <v>-19.406416376823699</v>
      </c>
      <c r="DP468" s="408">
        <v>-3.0515314089335277</v>
      </c>
      <c r="DQ468" s="408">
        <v>0</v>
      </c>
      <c r="DR468" s="408">
        <v>0</v>
      </c>
      <c r="DS468" s="408"/>
      <c r="DT468" s="408"/>
      <c r="DU468" s="408"/>
      <c r="DV468" s="408">
        <v>0</v>
      </c>
      <c r="DW468" s="408">
        <v>0</v>
      </c>
      <c r="DX468" s="408">
        <v>0</v>
      </c>
      <c r="DY468" s="408">
        <v>-19.926270000000386</v>
      </c>
      <c r="DZ468" s="234">
        <v>1667.1645900000003</v>
      </c>
      <c r="EA468" s="408">
        <v>0</v>
      </c>
      <c r="EB468" s="408">
        <v>0</v>
      </c>
      <c r="EC468" s="408">
        <v>0</v>
      </c>
      <c r="ED468" s="408">
        <v>0</v>
      </c>
      <c r="EE468" s="408">
        <v>0</v>
      </c>
      <c r="EF468" s="408">
        <v>0</v>
      </c>
      <c r="EG468" s="408">
        <v>0</v>
      </c>
      <c r="EH468" s="408">
        <v>0</v>
      </c>
      <c r="EI468" s="408">
        <v>0</v>
      </c>
      <c r="EJ468" s="408">
        <v>0</v>
      </c>
      <c r="EK468" s="408">
        <v>0</v>
      </c>
      <c r="EL468" s="408">
        <v>0</v>
      </c>
      <c r="EM468" s="408">
        <v>0</v>
      </c>
      <c r="EN468" s="408">
        <v>0</v>
      </c>
      <c r="EO468" s="408">
        <v>0</v>
      </c>
      <c r="EP468" s="408">
        <v>0</v>
      </c>
      <c r="EQ468" s="408">
        <v>0</v>
      </c>
      <c r="ER468" s="408">
        <v>0</v>
      </c>
      <c r="ES468" s="408">
        <v>0</v>
      </c>
      <c r="ET468" s="408">
        <v>0</v>
      </c>
      <c r="EU468" s="408">
        <v>0</v>
      </c>
      <c r="EV468" s="408">
        <v>242</v>
      </c>
      <c r="EW468" s="408">
        <v>0</v>
      </c>
      <c r="EX468" s="408">
        <v>0</v>
      </c>
      <c r="EY468" s="408">
        <v>0</v>
      </c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468</v>
      </c>
      <c r="B469" s="408" t="s">
        <v>1036</v>
      </c>
      <c r="C469" s="408" t="s">
        <v>2239</v>
      </c>
      <c r="D469" s="408" t="s">
        <v>597</v>
      </c>
      <c r="E469" s="408" t="s">
        <v>970</v>
      </c>
      <c r="F469" s="408" t="s">
        <v>1322</v>
      </c>
      <c r="G469" s="408" t="s">
        <v>1322</v>
      </c>
      <c r="H469" s="408" t="s">
        <v>1322</v>
      </c>
      <c r="I469" s="408" t="s">
        <v>1322</v>
      </c>
      <c r="J469" s="408" t="s">
        <v>2232</v>
      </c>
      <c r="K469" s="828">
        <v>44652</v>
      </c>
      <c r="L469" s="408">
        <v>425</v>
      </c>
      <c r="M469" s="408">
        <v>425</v>
      </c>
      <c r="N469" s="408">
        <v>0</v>
      </c>
      <c r="O469" s="408">
        <v>0</v>
      </c>
      <c r="P469" s="408">
        <v>0</v>
      </c>
      <c r="Q469" s="408">
        <v>0</v>
      </c>
      <c r="R469" s="408">
        <v>32.17</v>
      </c>
      <c r="S469" s="408"/>
      <c r="T469" s="408"/>
      <c r="U469" s="408">
        <v>13672.25</v>
      </c>
      <c r="V469" s="408"/>
      <c r="W469" s="408">
        <v>13672.25</v>
      </c>
      <c r="X469" s="408">
        <v>5495.25</v>
      </c>
      <c r="Y469" s="408">
        <v>0</v>
      </c>
      <c r="Z469" s="408">
        <v>0</v>
      </c>
      <c r="AA469" s="408">
        <v>0</v>
      </c>
      <c r="AB469" s="408">
        <v>0</v>
      </c>
      <c r="AC469" s="408">
        <v>0</v>
      </c>
      <c r="AD469" s="408">
        <v>42.464395680792045</v>
      </c>
      <c r="AE469" s="408">
        <v>11443.862557109525</v>
      </c>
      <c r="AF469" s="408"/>
      <c r="AG469" s="408"/>
      <c r="AH469" s="408"/>
      <c r="AI469" s="408">
        <v>0</v>
      </c>
      <c r="AJ469" s="408">
        <v>0</v>
      </c>
      <c r="AK469" s="408">
        <v>0</v>
      </c>
      <c r="AL469" s="408">
        <v>0</v>
      </c>
      <c r="AM469" s="408"/>
      <c r="AN469" s="408">
        <v>0</v>
      </c>
      <c r="AO469" s="408">
        <v>749.87897022583525</v>
      </c>
      <c r="AP469" s="408">
        <v>1437.717695314414</v>
      </c>
      <c r="AQ469" s="408">
        <v>0</v>
      </c>
      <c r="AR469" s="408">
        <v>0</v>
      </c>
      <c r="AS469" s="408"/>
      <c r="AT469" s="408"/>
      <c r="AU469" s="408">
        <v>0</v>
      </c>
      <c r="AV469" s="408">
        <v>0</v>
      </c>
      <c r="AW469" s="408">
        <v>0</v>
      </c>
      <c r="AX469" s="408"/>
      <c r="AY469" s="408"/>
      <c r="AZ469" s="408">
        <v>0</v>
      </c>
      <c r="BA469" s="408"/>
      <c r="BB469" s="408">
        <v>0</v>
      </c>
      <c r="BC469" s="408">
        <v>0</v>
      </c>
      <c r="BD469" s="408">
        <v>0</v>
      </c>
      <c r="BE469" s="408">
        <v>0</v>
      </c>
      <c r="BF469" s="408"/>
      <c r="BG469" s="408">
        <v>0</v>
      </c>
      <c r="BH469" s="408">
        <v>0</v>
      </c>
      <c r="BI469" s="408">
        <v>82.79</v>
      </c>
      <c r="BJ469" s="408">
        <v>378.81</v>
      </c>
      <c r="BK469" s="408">
        <v>5386.95</v>
      </c>
      <c r="BL469" s="408">
        <v>5</v>
      </c>
      <c r="BM469" s="408"/>
      <c r="BN469" s="408"/>
      <c r="BO469" s="408"/>
      <c r="BP469" s="408"/>
      <c r="BQ469" s="408"/>
      <c r="BR469" s="408"/>
      <c r="BS469" s="408"/>
      <c r="BT469" s="408"/>
      <c r="BU469" s="408"/>
      <c r="BV469" s="408">
        <v>0</v>
      </c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>
        <v>5495.25</v>
      </c>
      <c r="CJ469" s="408">
        <v>-8177.0300000000007</v>
      </c>
      <c r="CK469" s="408"/>
      <c r="CL469" s="408"/>
      <c r="CM469" s="408"/>
      <c r="CN469" s="408"/>
      <c r="CO469" s="408">
        <v>-8177.0000000000009</v>
      </c>
      <c r="CP469" s="408">
        <v>0</v>
      </c>
      <c r="CQ469" s="408">
        <v>30</v>
      </c>
      <c r="CR469" s="408">
        <v>229.80588914295913</v>
      </c>
      <c r="CS469" s="408">
        <v>77.351158725937239</v>
      </c>
      <c r="CT469" s="408">
        <v>148.30277160574065</v>
      </c>
      <c r="CU469" s="408">
        <v>0</v>
      </c>
      <c r="CV469" s="408">
        <v>0</v>
      </c>
      <c r="CW469" s="408"/>
      <c r="CX469" s="408"/>
      <c r="CY469" s="408"/>
      <c r="CZ469" s="408">
        <v>4.1519588112812826</v>
      </c>
      <c r="DA469" s="408">
        <v>0</v>
      </c>
      <c r="DB469" s="408">
        <v>0</v>
      </c>
      <c r="DC469" s="408"/>
      <c r="DD469" s="408"/>
      <c r="DE469" s="408">
        <v>0</v>
      </c>
      <c r="DF469" s="408">
        <v>0</v>
      </c>
      <c r="DG469" s="408">
        <v>0</v>
      </c>
      <c r="DH469" s="408">
        <v>0</v>
      </c>
      <c r="DI469" s="408">
        <v>0</v>
      </c>
      <c r="DJ469" s="408"/>
      <c r="DK469" s="408">
        <v>0</v>
      </c>
      <c r="DL469" s="408">
        <v>0</v>
      </c>
      <c r="DM469" s="408"/>
      <c r="DN469" s="408">
        <v>0</v>
      </c>
      <c r="DO469" s="408">
        <v>0</v>
      </c>
      <c r="DP469" s="408">
        <v>0</v>
      </c>
      <c r="DQ469" s="408">
        <v>0</v>
      </c>
      <c r="DR469" s="408">
        <v>0</v>
      </c>
      <c r="DS469" s="408"/>
      <c r="DT469" s="408"/>
      <c r="DU469" s="408">
        <v>11443.862557109525</v>
      </c>
      <c r="DV469" s="408"/>
      <c r="DW469" s="408">
        <v>0</v>
      </c>
      <c r="DX469" s="408">
        <v>0</v>
      </c>
      <c r="DY469" s="408">
        <v>-8177</v>
      </c>
      <c r="DZ469" s="234"/>
      <c r="EA469" s="408">
        <v>0</v>
      </c>
      <c r="EB469" s="408"/>
      <c r="EC469" s="408">
        <v>-8407.9181699890069</v>
      </c>
      <c r="ED469" s="408"/>
      <c r="EE469" s="408">
        <v>0</v>
      </c>
      <c r="EF469" s="408">
        <v>0</v>
      </c>
      <c r="EG469" s="408"/>
      <c r="EH469" s="408">
        <v>0</v>
      </c>
      <c r="EI469" s="408">
        <v>0</v>
      </c>
      <c r="EJ469" s="408">
        <v>0</v>
      </c>
      <c r="EK469" s="408">
        <v>0</v>
      </c>
      <c r="EL469" s="408">
        <v>0</v>
      </c>
      <c r="EM469" s="408"/>
      <c r="EN469" s="408"/>
      <c r="EO469" s="408">
        <v>0</v>
      </c>
      <c r="EP469" s="408">
        <v>0</v>
      </c>
      <c r="EQ469" s="408"/>
      <c r="ER469" s="408">
        <v>0</v>
      </c>
      <c r="ES469" s="408"/>
      <c r="ET469" s="408">
        <v>0</v>
      </c>
      <c r="EU469" s="408"/>
      <c r="EV469" s="408">
        <v>242</v>
      </c>
      <c r="EW469" s="408"/>
      <c r="EX469" s="408"/>
      <c r="EY469" s="408"/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469</v>
      </c>
      <c r="B470" s="408" t="s">
        <v>1036</v>
      </c>
      <c r="C470" s="408" t="s">
        <v>2231</v>
      </c>
      <c r="D470" s="408" t="s">
        <v>1955</v>
      </c>
      <c r="E470" s="408" t="s">
        <v>998</v>
      </c>
      <c r="F470" s="408" t="s">
        <v>1322</v>
      </c>
      <c r="G470" s="408" t="s">
        <v>1322</v>
      </c>
      <c r="H470" s="408" t="s">
        <v>1322</v>
      </c>
      <c r="I470" s="408" t="s">
        <v>1322</v>
      </c>
      <c r="J470" s="408" t="s">
        <v>2232</v>
      </c>
      <c r="K470" s="828">
        <v>44652</v>
      </c>
      <c r="L470" s="408">
        <v>0</v>
      </c>
      <c r="M470" s="408">
        <v>0</v>
      </c>
      <c r="N470" s="408">
        <v>228.77699999999999</v>
      </c>
      <c r="O470" s="408">
        <v>228.77699999999999</v>
      </c>
      <c r="P470" s="408">
        <v>228.77699999999999</v>
      </c>
      <c r="Q470" s="408">
        <v>228.77699999999999</v>
      </c>
      <c r="R470" s="408"/>
      <c r="S470" s="408">
        <v>571.87</v>
      </c>
      <c r="T470" s="408">
        <v>216.76</v>
      </c>
      <c r="U470" s="408"/>
      <c r="V470" s="408">
        <v>180420.40550999998</v>
      </c>
      <c r="W470" s="408">
        <v>180420.40550999998</v>
      </c>
      <c r="X470" s="408">
        <v>117593.66576999999</v>
      </c>
      <c r="Y470" s="408">
        <v>0</v>
      </c>
      <c r="Z470" s="408">
        <v>13866.315135484179</v>
      </c>
      <c r="AA470" s="408">
        <v>0</v>
      </c>
      <c r="AB470" s="408">
        <v>0</v>
      </c>
      <c r="AC470" s="408">
        <v>0</v>
      </c>
      <c r="AD470" s="408">
        <v>188.03495043237189</v>
      </c>
      <c r="AE470" s="408">
        <v>97546.776594047798</v>
      </c>
      <c r="AF470" s="408">
        <v>48867.110553928971</v>
      </c>
      <c r="AG470" s="408">
        <v>722.3415833913615</v>
      </c>
      <c r="AH470" s="408">
        <v>0</v>
      </c>
      <c r="AI470" s="408">
        <v>0</v>
      </c>
      <c r="AJ470" s="408">
        <v>0</v>
      </c>
      <c r="AK470" s="408">
        <v>0</v>
      </c>
      <c r="AL470" s="408">
        <v>2144.4717875066158</v>
      </c>
      <c r="AM470" s="408"/>
      <c r="AN470" s="408">
        <v>438.90170964850216</v>
      </c>
      <c r="AO470" s="408">
        <v>2031.9281659465</v>
      </c>
      <c r="AP470" s="408">
        <v>6366.2016268867137</v>
      </c>
      <c r="AQ470" s="408">
        <v>0</v>
      </c>
      <c r="AR470" s="408">
        <v>0</v>
      </c>
      <c r="AS470" s="408">
        <v>0</v>
      </c>
      <c r="AT470" s="408">
        <v>0</v>
      </c>
      <c r="AU470" s="408">
        <v>0</v>
      </c>
      <c r="AV470" s="408">
        <v>0</v>
      </c>
      <c r="AW470" s="408">
        <v>0</v>
      </c>
      <c r="AX470" s="408">
        <v>0</v>
      </c>
      <c r="AY470" s="408">
        <v>0</v>
      </c>
      <c r="AZ470" s="408">
        <v>0</v>
      </c>
      <c r="BA470" s="408"/>
      <c r="BB470" s="408">
        <v>0</v>
      </c>
      <c r="BC470" s="408">
        <v>0</v>
      </c>
      <c r="BD470" s="408">
        <v>136.13824288515875</v>
      </c>
      <c r="BE470" s="408">
        <v>0</v>
      </c>
      <c r="BF470" s="408">
        <v>0</v>
      </c>
      <c r="BG470" s="408">
        <v>8112.0291928749102</v>
      </c>
      <c r="BH470" s="408">
        <v>0</v>
      </c>
      <c r="BI470" s="408">
        <v>426.32</v>
      </c>
      <c r="BJ470" s="408">
        <v>1963.24</v>
      </c>
      <c r="BK470" s="408">
        <v>49835.07</v>
      </c>
      <c r="BL470" s="408">
        <v>702</v>
      </c>
      <c r="BM470" s="408"/>
      <c r="BN470" s="408"/>
      <c r="BO470" s="408"/>
      <c r="BP470" s="408"/>
      <c r="BQ470" s="408"/>
      <c r="BR470" s="408"/>
      <c r="BS470" s="408"/>
      <c r="BT470" s="408"/>
      <c r="BU470" s="408"/>
      <c r="BV470" s="408">
        <v>57115.277989689042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117595.2078</v>
      </c>
      <c r="CJ470" s="408">
        <v>-62825.227709999977</v>
      </c>
      <c r="CK470" s="408"/>
      <c r="CL470" s="408"/>
      <c r="CM470" s="408"/>
      <c r="CN470" s="408"/>
      <c r="CO470" s="408">
        <v>-70291.73324999999</v>
      </c>
      <c r="CP470" s="408">
        <v>7464.9935099999984</v>
      </c>
      <c r="CQ470" s="408">
        <v>30</v>
      </c>
      <c r="CR470" s="408">
        <v>8842.3010206458275</v>
      </c>
      <c r="CS470" s="408">
        <v>209.59648733247195</v>
      </c>
      <c r="CT470" s="408">
        <v>656.68340102178445</v>
      </c>
      <c r="CU470" s="408">
        <v>0</v>
      </c>
      <c r="CV470" s="408">
        <v>0</v>
      </c>
      <c r="CW470" s="408">
        <v>0</v>
      </c>
      <c r="CX470" s="408">
        <v>0</v>
      </c>
      <c r="CY470" s="408">
        <v>0</v>
      </c>
      <c r="CZ470" s="408">
        <v>18.385128453144006</v>
      </c>
      <c r="DA470" s="408">
        <v>0</v>
      </c>
      <c r="DB470" s="408">
        <v>0</v>
      </c>
      <c r="DC470" s="408">
        <v>7465.9528916992203</v>
      </c>
      <c r="DD470" s="408">
        <v>0</v>
      </c>
      <c r="DE470" s="408">
        <v>0</v>
      </c>
      <c r="DF470" s="408">
        <v>20.799300319130396</v>
      </c>
      <c r="DG470" s="408">
        <v>1239.3617532032495</v>
      </c>
      <c r="DH470" s="408">
        <v>0</v>
      </c>
      <c r="DI470" s="408">
        <v>-662.49365059538286</v>
      </c>
      <c r="DJ470" s="408"/>
      <c r="DK470" s="408">
        <v>0</v>
      </c>
      <c r="DL470" s="408">
        <v>0</v>
      </c>
      <c r="DM470" s="408">
        <v>0</v>
      </c>
      <c r="DN470" s="408">
        <v>0</v>
      </c>
      <c r="DO470" s="408">
        <v>-86.895303063836309</v>
      </c>
      <c r="DP470" s="408">
        <v>-19.088987723929961</v>
      </c>
      <c r="DQ470" s="408">
        <v>0</v>
      </c>
      <c r="DR470" s="408">
        <v>0</v>
      </c>
      <c r="DS470" s="408"/>
      <c r="DT470" s="408"/>
      <c r="DU470" s="408"/>
      <c r="DV470" s="408">
        <v>97546.776594047798</v>
      </c>
      <c r="DW470" s="408">
        <v>0</v>
      </c>
      <c r="DX470" s="408">
        <v>0</v>
      </c>
      <c r="DY470" s="408">
        <v>-70291.73324999999</v>
      </c>
      <c r="DZ470" s="234">
        <v>7464.9935100000002</v>
      </c>
      <c r="EA470" s="408">
        <v>0</v>
      </c>
      <c r="EB470" s="408">
        <v>0</v>
      </c>
      <c r="EC470" s="408">
        <v>-71668.574421965954</v>
      </c>
      <c r="ED470" s="408">
        <v>0</v>
      </c>
      <c r="EE470" s="408">
        <v>0</v>
      </c>
      <c r="EF470" s="408">
        <v>0</v>
      </c>
      <c r="EG470" s="408">
        <v>0</v>
      </c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>
        <v>0</v>
      </c>
      <c r="EN470" s="408">
        <v>0</v>
      </c>
      <c r="EO470" s="408">
        <v>0</v>
      </c>
      <c r="EP470" s="408">
        <v>0</v>
      </c>
      <c r="EQ470" s="408">
        <v>0</v>
      </c>
      <c r="ER470" s="408">
        <v>0</v>
      </c>
      <c r="ES470" s="408">
        <v>0</v>
      </c>
      <c r="ET470" s="408">
        <v>0</v>
      </c>
      <c r="EU470" s="408">
        <v>0</v>
      </c>
      <c r="EV470" s="408">
        <v>242</v>
      </c>
      <c r="EW470" s="408">
        <v>0</v>
      </c>
      <c r="EX470" s="408">
        <v>0</v>
      </c>
      <c r="EY470" s="408">
        <v>0</v>
      </c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470</v>
      </c>
      <c r="B471" s="408" t="s">
        <v>2233</v>
      </c>
      <c r="C471" s="408" t="s">
        <v>2231</v>
      </c>
      <c r="D471" s="408" t="s">
        <v>1955</v>
      </c>
      <c r="E471" s="408" t="s">
        <v>998</v>
      </c>
      <c r="F471" s="408" t="s">
        <v>1322</v>
      </c>
      <c r="G471" s="408" t="s">
        <v>1322</v>
      </c>
      <c r="H471" s="408" t="s">
        <v>1322</v>
      </c>
      <c r="I471" s="408" t="s">
        <v>1322</v>
      </c>
      <c r="J471" s="408" t="s">
        <v>2232</v>
      </c>
      <c r="K471" s="828">
        <v>44652</v>
      </c>
      <c r="L471" s="408">
        <v>0</v>
      </c>
      <c r="M471" s="408">
        <v>0</v>
      </c>
      <c r="N471" s="408">
        <v>-4.1349999999999998</v>
      </c>
      <c r="O471" s="408">
        <v>-4.1349999999999998</v>
      </c>
      <c r="P471" s="408">
        <v>-4.1349999999999998</v>
      </c>
      <c r="Q471" s="408">
        <v>-4.1349999999999998</v>
      </c>
      <c r="R471" s="408"/>
      <c r="S471" s="408">
        <v>571.87</v>
      </c>
      <c r="T471" s="408">
        <v>216.76</v>
      </c>
      <c r="U471" s="408"/>
      <c r="V471" s="408">
        <v>-3260.9850499999998</v>
      </c>
      <c r="W471" s="408">
        <v>-3260.9850499999998</v>
      </c>
      <c r="X471" s="408">
        <v>-2125.4313499999998</v>
      </c>
      <c r="Y471" s="408">
        <v>0</v>
      </c>
      <c r="Z471" s="408">
        <v>-250.6249014771025</v>
      </c>
      <c r="AA471" s="408">
        <v>0</v>
      </c>
      <c r="AB471" s="408">
        <v>0</v>
      </c>
      <c r="AC471" s="408">
        <v>0</v>
      </c>
      <c r="AD471" s="408">
        <v>-3.3986131474661256</v>
      </c>
      <c r="AE471" s="408">
        <v>-1763.0964704335997</v>
      </c>
      <c r="AF471" s="408">
        <v>-883.24220590573486</v>
      </c>
      <c r="AG471" s="408">
        <v>-13.055868585230508</v>
      </c>
      <c r="AH471" s="408">
        <v>0</v>
      </c>
      <c r="AI471" s="408">
        <v>0</v>
      </c>
      <c r="AJ471" s="408">
        <v>0</v>
      </c>
      <c r="AK471" s="408">
        <v>0</v>
      </c>
      <c r="AL471" s="408">
        <v>-38.759975178185996</v>
      </c>
      <c r="AM471" s="408"/>
      <c r="AN471" s="408">
        <v>-7.9328716147014617</v>
      </c>
      <c r="AO471" s="408">
        <v>-36.72582019254024</v>
      </c>
      <c r="AP471" s="408">
        <v>-115.06507965038688</v>
      </c>
      <c r="AQ471" s="408">
        <v>0</v>
      </c>
      <c r="AR471" s="408">
        <v>0</v>
      </c>
      <c r="AS471" s="408">
        <v>0</v>
      </c>
      <c r="AT471" s="408">
        <v>0</v>
      </c>
      <c r="AU471" s="408">
        <v>0</v>
      </c>
      <c r="AV471" s="408">
        <v>0</v>
      </c>
      <c r="AW471" s="408">
        <v>0</v>
      </c>
      <c r="AX471" s="408">
        <v>0</v>
      </c>
      <c r="AY471" s="408">
        <v>0</v>
      </c>
      <c r="AZ471" s="408">
        <v>0</v>
      </c>
      <c r="BA471" s="408"/>
      <c r="BB471" s="408">
        <v>0</v>
      </c>
      <c r="BC471" s="408">
        <v>0</v>
      </c>
      <c r="BD471" s="408">
        <v>-2.4606128864795473</v>
      </c>
      <c r="BE471" s="408">
        <v>0</v>
      </c>
      <c r="BF471" s="408">
        <v>0</v>
      </c>
      <c r="BG471" s="408">
        <v>-146.61981192400353</v>
      </c>
      <c r="BH471" s="408">
        <v>0</v>
      </c>
      <c r="BI471" s="408">
        <v>-3.56</v>
      </c>
      <c r="BJ471" s="408">
        <v>-16.12</v>
      </c>
      <c r="BK471" s="408">
        <v>-910.76</v>
      </c>
      <c r="BL471" s="408">
        <v>0</v>
      </c>
      <c r="BM471" s="408"/>
      <c r="BN471" s="408"/>
      <c r="BO471" s="408"/>
      <c r="BP471" s="408"/>
      <c r="BQ471" s="408"/>
      <c r="BR471" s="408"/>
      <c r="BS471" s="408"/>
      <c r="BT471" s="408"/>
      <c r="BU471" s="408"/>
      <c r="BV471" s="408">
        <v>-1032.3226307162179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-2128.0013999999996</v>
      </c>
      <c r="CJ471" s="408">
        <v>1132.9536499999995</v>
      </c>
      <c r="CK471" s="408"/>
      <c r="CL471" s="408"/>
      <c r="CM471" s="408"/>
      <c r="CN471" s="408"/>
      <c r="CO471" s="408">
        <v>1270.47875</v>
      </c>
      <c r="CP471" s="408">
        <v>-134.92504999999997</v>
      </c>
      <c r="CQ471" s="408">
        <v>30</v>
      </c>
      <c r="CR471" s="408">
        <v>-159.81901467529769</v>
      </c>
      <c r="CS471" s="408">
        <v>-3.7883243294551932</v>
      </c>
      <c r="CT471" s="408">
        <v>-11.869138345310418</v>
      </c>
      <c r="CU471" s="408">
        <v>0</v>
      </c>
      <c r="CV471" s="408">
        <v>0</v>
      </c>
      <c r="CW471" s="408">
        <v>0</v>
      </c>
      <c r="CX471" s="408">
        <v>0</v>
      </c>
      <c r="CY471" s="408">
        <v>0</v>
      </c>
      <c r="CZ471" s="408">
        <v>-0.33229960246768853</v>
      </c>
      <c r="DA471" s="408">
        <v>0</v>
      </c>
      <c r="DB471" s="408">
        <v>0</v>
      </c>
      <c r="DC471" s="408">
        <v>-134.94239021919282</v>
      </c>
      <c r="DD471" s="408">
        <v>0</v>
      </c>
      <c r="DE471" s="408">
        <v>0</v>
      </c>
      <c r="DF471" s="408">
        <v>-0.37593423648183233</v>
      </c>
      <c r="DG471" s="408">
        <v>-22.400682103076065</v>
      </c>
      <c r="DH471" s="408">
        <v>0</v>
      </c>
      <c r="DI471" s="408">
        <v>11.974154942200954</v>
      </c>
      <c r="DJ471" s="408"/>
      <c r="DK471" s="408">
        <v>0</v>
      </c>
      <c r="DL471" s="408">
        <v>0</v>
      </c>
      <c r="DM471" s="408">
        <v>0</v>
      </c>
      <c r="DN471" s="408">
        <v>0</v>
      </c>
      <c r="DO471" s="408">
        <v>1.5705778035771232</v>
      </c>
      <c r="DP471" s="408">
        <v>0.34502141490818694</v>
      </c>
      <c r="DQ471" s="408">
        <v>0</v>
      </c>
      <c r="DR471" s="408">
        <v>0</v>
      </c>
      <c r="DS471" s="408"/>
      <c r="DT471" s="408"/>
      <c r="DU471" s="408"/>
      <c r="DV471" s="408">
        <v>-1763.0964704335997</v>
      </c>
      <c r="DW471" s="408">
        <v>0</v>
      </c>
      <c r="DX471" s="408">
        <v>0</v>
      </c>
      <c r="DY471" s="408">
        <v>1270.4787499999998</v>
      </c>
      <c r="DZ471" s="234">
        <v>-134.92504999999994</v>
      </c>
      <c r="EA471" s="408">
        <v>0</v>
      </c>
      <c r="EB471" s="408">
        <v>0</v>
      </c>
      <c r="EC471" s="408">
        <v>1295.3642858977487</v>
      </c>
      <c r="ED471" s="408">
        <v>0</v>
      </c>
      <c r="EE471" s="408">
        <v>0</v>
      </c>
      <c r="EF471" s="408">
        <v>0</v>
      </c>
      <c r="EG471" s="408">
        <v>0</v>
      </c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>
        <v>0</v>
      </c>
      <c r="EN471" s="408">
        <v>0</v>
      </c>
      <c r="EO471" s="408">
        <v>0</v>
      </c>
      <c r="EP471" s="408">
        <v>0</v>
      </c>
      <c r="EQ471" s="408">
        <v>0</v>
      </c>
      <c r="ER471" s="408">
        <v>0</v>
      </c>
      <c r="ES471" s="408">
        <v>0</v>
      </c>
      <c r="ET471" s="408">
        <v>0</v>
      </c>
      <c r="EU471" s="408">
        <v>0</v>
      </c>
      <c r="EV471" s="408">
        <v>242</v>
      </c>
      <c r="EW471" s="408">
        <v>0</v>
      </c>
      <c r="EX471" s="408">
        <v>0</v>
      </c>
      <c r="EY471" s="408">
        <v>0</v>
      </c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471</v>
      </c>
      <c r="B472" s="408" t="s">
        <v>2234</v>
      </c>
      <c r="C472" s="408" t="s">
        <v>2231</v>
      </c>
      <c r="D472" s="408" t="s">
        <v>1955</v>
      </c>
      <c r="E472" s="408" t="s">
        <v>998</v>
      </c>
      <c r="F472" s="408" t="s">
        <v>1322</v>
      </c>
      <c r="G472" s="408" t="s">
        <v>1322</v>
      </c>
      <c r="H472" s="408" t="s">
        <v>1322</v>
      </c>
      <c r="I472" s="408" t="s">
        <v>1322</v>
      </c>
      <c r="J472" s="408" t="s">
        <v>2232</v>
      </c>
      <c r="K472" s="828">
        <v>44652</v>
      </c>
      <c r="L472" s="408">
        <v>0</v>
      </c>
      <c r="M472" s="408">
        <v>0</v>
      </c>
      <c r="N472" s="408">
        <v>8.5449999999999999</v>
      </c>
      <c r="O472" s="408">
        <v>8.5449999999999999</v>
      </c>
      <c r="P472" s="408">
        <v>8.5449999999999999</v>
      </c>
      <c r="Q472" s="408">
        <v>8.5449999999999999</v>
      </c>
      <c r="R472" s="408"/>
      <c r="S472" s="408">
        <v>571.87</v>
      </c>
      <c r="T472" s="408">
        <v>216.76</v>
      </c>
      <c r="U472" s="408"/>
      <c r="V472" s="408">
        <v>6738.8433499999992</v>
      </c>
      <c r="W472" s="408">
        <v>6738.8433499999992</v>
      </c>
      <c r="X472" s="408">
        <v>4392.2154499999997</v>
      </c>
      <c r="Y472" s="408">
        <v>0</v>
      </c>
      <c r="Z472" s="408">
        <v>517.91772264131578</v>
      </c>
      <c r="AA472" s="408">
        <v>0</v>
      </c>
      <c r="AB472" s="408">
        <v>0</v>
      </c>
      <c r="AC472" s="408">
        <v>0</v>
      </c>
      <c r="AD472" s="408">
        <v>7.0232525622969879</v>
      </c>
      <c r="AE472" s="408">
        <v>3643.448449783582</v>
      </c>
      <c r="AF472" s="408">
        <v>1825.2248245379697</v>
      </c>
      <c r="AG472" s="408">
        <v>26.980023472985415</v>
      </c>
      <c r="AH472" s="408">
        <v>0</v>
      </c>
      <c r="AI472" s="408">
        <v>0</v>
      </c>
      <c r="AJ472" s="408">
        <v>0</v>
      </c>
      <c r="AK472" s="408">
        <v>0</v>
      </c>
      <c r="AL472" s="408">
        <v>80.097699612478678</v>
      </c>
      <c r="AM472" s="408"/>
      <c r="AN472" s="408">
        <v>16.393322357345586</v>
      </c>
      <c r="AO472" s="408">
        <v>75.894107266083765</v>
      </c>
      <c r="AP472" s="408">
        <v>237.7826132073896</v>
      </c>
      <c r="AQ472" s="408">
        <v>0</v>
      </c>
      <c r="AR472" s="408">
        <v>0</v>
      </c>
      <c r="AS472" s="408">
        <v>0</v>
      </c>
      <c r="AT472" s="408">
        <v>0</v>
      </c>
      <c r="AU472" s="408">
        <v>0</v>
      </c>
      <c r="AV472" s="408">
        <v>0</v>
      </c>
      <c r="AW472" s="408">
        <v>0</v>
      </c>
      <c r="AX472" s="408">
        <v>0</v>
      </c>
      <c r="AY472" s="408">
        <v>0</v>
      </c>
      <c r="AZ472" s="408">
        <v>0</v>
      </c>
      <c r="BA472" s="408"/>
      <c r="BB472" s="408">
        <v>0</v>
      </c>
      <c r="BC472" s="408">
        <v>0</v>
      </c>
      <c r="BD472" s="408">
        <v>5.0848699189764774</v>
      </c>
      <c r="BE472" s="408">
        <v>0</v>
      </c>
      <c r="BF472" s="408">
        <v>0</v>
      </c>
      <c r="BG472" s="408">
        <v>302.99063915129631</v>
      </c>
      <c r="BH472" s="408">
        <v>0</v>
      </c>
      <c r="BI472" s="408">
        <v>16.63</v>
      </c>
      <c r="BJ472" s="408">
        <v>76.55</v>
      </c>
      <c r="BK472" s="408">
        <v>3104.41</v>
      </c>
      <c r="BL472" s="408">
        <v>22</v>
      </c>
      <c r="BM472" s="408"/>
      <c r="BN472" s="408"/>
      <c r="BO472" s="408"/>
      <c r="BP472" s="408"/>
      <c r="BQ472" s="408"/>
      <c r="BR472" s="408"/>
      <c r="BS472" s="408"/>
      <c r="BT472" s="408"/>
      <c r="BU472" s="408"/>
      <c r="BV472" s="408">
        <v>2133.3003336082425</v>
      </c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>
        <v>4394.7855</v>
      </c>
      <c r="CJ472" s="408">
        <v>-2344.0878499999999</v>
      </c>
      <c r="CK472" s="408"/>
      <c r="CL472" s="408"/>
      <c r="CM472" s="408"/>
      <c r="CN472" s="408"/>
      <c r="CO472" s="408">
        <v>-2625.4512500000001</v>
      </c>
      <c r="CP472" s="408">
        <v>278.82334999999995</v>
      </c>
      <c r="CQ472" s="408">
        <v>30</v>
      </c>
      <c r="CR472" s="408">
        <v>330.26686345838516</v>
      </c>
      <c r="CS472" s="408">
        <v>7.8285928404340126</v>
      </c>
      <c r="CT472" s="408">
        <v>24.527638974770866</v>
      </c>
      <c r="CU472" s="408">
        <v>0</v>
      </c>
      <c r="CV472" s="408">
        <v>0</v>
      </c>
      <c r="CW472" s="408">
        <v>0</v>
      </c>
      <c r="CX472" s="408">
        <v>0</v>
      </c>
      <c r="CY472" s="408">
        <v>0</v>
      </c>
      <c r="CZ472" s="408">
        <v>0.68669893665934723</v>
      </c>
      <c r="DA472" s="408">
        <v>0</v>
      </c>
      <c r="DB472" s="408">
        <v>0</v>
      </c>
      <c r="DC472" s="408">
        <v>278.85918365731641</v>
      </c>
      <c r="DD472" s="408">
        <v>0</v>
      </c>
      <c r="DE472" s="408">
        <v>0</v>
      </c>
      <c r="DF472" s="408">
        <v>0.77687014528107845</v>
      </c>
      <c r="DG472" s="408">
        <v>46.291131456054416</v>
      </c>
      <c r="DH472" s="408">
        <v>0</v>
      </c>
      <c r="DI472" s="408">
        <v>-24.744656343677605</v>
      </c>
      <c r="DJ472" s="408"/>
      <c r="DK472" s="408">
        <v>0</v>
      </c>
      <c r="DL472" s="408">
        <v>0</v>
      </c>
      <c r="DM472" s="408">
        <v>0</v>
      </c>
      <c r="DN472" s="408">
        <v>0</v>
      </c>
      <c r="DO472" s="408">
        <v>-3.2456075771624029</v>
      </c>
      <c r="DP472" s="408">
        <v>-0.71298863129152501</v>
      </c>
      <c r="DQ472" s="408">
        <v>0</v>
      </c>
      <c r="DR472" s="408">
        <v>0</v>
      </c>
      <c r="DS472" s="408"/>
      <c r="DT472" s="408"/>
      <c r="DU472" s="408"/>
      <c r="DV472" s="408">
        <v>3643.448449783582</v>
      </c>
      <c r="DW472" s="408">
        <v>0</v>
      </c>
      <c r="DX472" s="408">
        <v>0</v>
      </c>
      <c r="DY472" s="408">
        <v>-2625.4512499999996</v>
      </c>
      <c r="DZ472" s="234">
        <v>278.82335000000012</v>
      </c>
      <c r="EA472" s="408">
        <v>0</v>
      </c>
      <c r="EB472" s="408">
        <v>0</v>
      </c>
      <c r="EC472" s="408">
        <v>-2676.8773453437152</v>
      </c>
      <c r="ED472" s="408">
        <v>0</v>
      </c>
      <c r="EE472" s="408">
        <v>0</v>
      </c>
      <c r="EF472" s="408">
        <v>0</v>
      </c>
      <c r="EG472" s="408">
        <v>0</v>
      </c>
      <c r="EH472" s="408">
        <v>0</v>
      </c>
      <c r="EI472" s="408">
        <v>0</v>
      </c>
      <c r="EJ472" s="408">
        <v>0</v>
      </c>
      <c r="EK472" s="408">
        <v>0</v>
      </c>
      <c r="EL472" s="408">
        <v>0</v>
      </c>
      <c r="EM472" s="408">
        <v>0</v>
      </c>
      <c r="EN472" s="408">
        <v>0</v>
      </c>
      <c r="EO472" s="408">
        <v>0</v>
      </c>
      <c r="EP472" s="408">
        <v>0</v>
      </c>
      <c r="EQ472" s="408">
        <v>0</v>
      </c>
      <c r="ER472" s="408">
        <v>0</v>
      </c>
      <c r="ES472" s="408">
        <v>0</v>
      </c>
      <c r="ET472" s="408">
        <v>0</v>
      </c>
      <c r="EU472" s="408">
        <v>0</v>
      </c>
      <c r="EV472" s="408">
        <v>242</v>
      </c>
      <c r="EW472" s="408">
        <v>0</v>
      </c>
      <c r="EX472" s="408">
        <v>0</v>
      </c>
      <c r="EY472" s="408">
        <v>0</v>
      </c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472</v>
      </c>
      <c r="B473" s="408" t="s">
        <v>1036</v>
      </c>
      <c r="C473" s="408" t="s">
        <v>2239</v>
      </c>
      <c r="D473" s="408" t="s">
        <v>597</v>
      </c>
      <c r="E473" s="408" t="s">
        <v>998</v>
      </c>
      <c r="F473" s="408" t="s">
        <v>1322</v>
      </c>
      <c r="G473" s="408" t="s">
        <v>1322</v>
      </c>
      <c r="H473" s="408" t="s">
        <v>1322</v>
      </c>
      <c r="I473" s="408" t="s">
        <v>973</v>
      </c>
      <c r="J473" s="408" t="s">
        <v>2232</v>
      </c>
      <c r="K473" s="828">
        <v>44652</v>
      </c>
      <c r="L473" s="408">
        <v>0</v>
      </c>
      <c r="M473" s="408">
        <v>0</v>
      </c>
      <c r="N473" s="408">
        <v>8.65</v>
      </c>
      <c r="O473" s="408">
        <v>8.65</v>
      </c>
      <c r="P473" s="408">
        <v>8.65</v>
      </c>
      <c r="Q473" s="408">
        <v>8.65</v>
      </c>
      <c r="R473" s="408"/>
      <c r="S473" s="408">
        <v>2592.54</v>
      </c>
      <c r="T473" s="408">
        <v>216.76</v>
      </c>
      <c r="U473" s="408"/>
      <c r="V473" s="408">
        <v>24300.445</v>
      </c>
      <c r="W473" s="408">
        <v>24300.445</v>
      </c>
      <c r="X473" s="408">
        <v>10217.380000000001</v>
      </c>
      <c r="Y473" s="408">
        <v>0</v>
      </c>
      <c r="Z473" s="408">
        <v>456.12519856491787</v>
      </c>
      <c r="AA473" s="408">
        <v>0</v>
      </c>
      <c r="AB473" s="408">
        <v>0</v>
      </c>
      <c r="AC473" s="408">
        <v>0</v>
      </c>
      <c r="AD473" s="408">
        <v>43.73989454112705</v>
      </c>
      <c r="AE473" s="408">
        <v>19816.211513179627</v>
      </c>
      <c r="AF473" s="408">
        <v>1847.6529821244515</v>
      </c>
      <c r="AG473" s="408">
        <v>27.311550970312915</v>
      </c>
      <c r="AH473" s="408">
        <v>0</v>
      </c>
      <c r="AI473" s="408">
        <v>0</v>
      </c>
      <c r="AJ473" s="408">
        <v>0</v>
      </c>
      <c r="AK473" s="408">
        <v>0</v>
      </c>
      <c r="AL473" s="408">
        <v>81.081931146628506</v>
      </c>
      <c r="AM473" s="408"/>
      <c r="AN473" s="408">
        <v>11.878371999737542</v>
      </c>
      <c r="AO473" s="408">
        <v>390.24363882820205</v>
      </c>
      <c r="AP473" s="408">
        <v>1480.886476465766</v>
      </c>
      <c r="AQ473" s="408">
        <v>0</v>
      </c>
      <c r="AR473" s="408">
        <v>0</v>
      </c>
      <c r="AS473" s="408">
        <v>0</v>
      </c>
      <c r="AT473" s="408">
        <v>0</v>
      </c>
      <c r="AU473" s="408">
        <v>0</v>
      </c>
      <c r="AV473" s="408">
        <v>0</v>
      </c>
      <c r="AW473" s="408">
        <v>0</v>
      </c>
      <c r="AX473" s="408">
        <v>0</v>
      </c>
      <c r="AY473" s="408">
        <v>0</v>
      </c>
      <c r="AZ473" s="408">
        <v>0</v>
      </c>
      <c r="BA473" s="408"/>
      <c r="BB473" s="408">
        <v>0</v>
      </c>
      <c r="BC473" s="408">
        <v>0</v>
      </c>
      <c r="BD473" s="408">
        <v>3.9556337416353697</v>
      </c>
      <c r="BE473" s="408">
        <v>0</v>
      </c>
      <c r="BF473" s="408">
        <v>0</v>
      </c>
      <c r="BG473" s="408">
        <v>141.30775655402576</v>
      </c>
      <c r="BH473" s="408">
        <v>0</v>
      </c>
      <c r="BI473" s="408">
        <v>0</v>
      </c>
      <c r="BJ473" s="408">
        <v>0</v>
      </c>
      <c r="BK473" s="408">
        <v>0</v>
      </c>
      <c r="BL473" s="408">
        <v>0</v>
      </c>
      <c r="BM473" s="408"/>
      <c r="BN473" s="408"/>
      <c r="BO473" s="408"/>
      <c r="BP473" s="408"/>
      <c r="BQ473" s="408"/>
      <c r="BR473" s="408"/>
      <c r="BS473" s="408"/>
      <c r="BT473" s="408"/>
      <c r="BU473" s="408"/>
      <c r="BV473" s="408">
        <v>1992.9163724201126</v>
      </c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>
        <v>10217.380000000001</v>
      </c>
      <c r="CJ473" s="408">
        <v>-14083.094999999994</v>
      </c>
      <c r="CK473" s="408"/>
      <c r="CL473" s="408"/>
      <c r="CM473" s="408"/>
      <c r="CN473" s="408"/>
      <c r="CO473" s="408">
        <v>-14365.3145</v>
      </c>
      <c r="CP473" s="408">
        <v>282.24949999999995</v>
      </c>
      <c r="CQ473" s="408">
        <v>30</v>
      </c>
      <c r="CR473" s="408">
        <v>476.17132144518564</v>
      </c>
      <c r="CS473" s="408">
        <v>40.25422614491481</v>
      </c>
      <c r="CT473" s="408">
        <v>152.75569717829353</v>
      </c>
      <c r="CU473" s="408">
        <v>0</v>
      </c>
      <c r="CV473" s="408">
        <v>0</v>
      </c>
      <c r="CW473" s="408">
        <v>0</v>
      </c>
      <c r="CX473" s="408">
        <v>0</v>
      </c>
      <c r="CY473" s="408">
        <v>0</v>
      </c>
      <c r="CZ473" s="408">
        <v>4.2766707881512716</v>
      </c>
      <c r="DA473" s="408">
        <v>0</v>
      </c>
      <c r="DB473" s="408">
        <v>0</v>
      </c>
      <c r="DC473" s="408">
        <v>282.28577397727145</v>
      </c>
      <c r="DD473" s="408">
        <v>0</v>
      </c>
      <c r="DE473" s="408">
        <v>0</v>
      </c>
      <c r="DF473" s="408">
        <v>0.6043446161866779</v>
      </c>
      <c r="DG473" s="408">
        <v>21.589102398428224</v>
      </c>
      <c r="DH473" s="408">
        <v>0</v>
      </c>
      <c r="DI473" s="408">
        <v>-21.792382833743943</v>
      </c>
      <c r="DJ473" s="408"/>
      <c r="DK473" s="408">
        <v>0</v>
      </c>
      <c r="DL473" s="408">
        <v>0</v>
      </c>
      <c r="DM473" s="408">
        <v>0</v>
      </c>
      <c r="DN473" s="408">
        <v>0</v>
      </c>
      <c r="DO473" s="408">
        <v>-3.285489238438231</v>
      </c>
      <c r="DP473" s="408">
        <v>-0.51662158587820173</v>
      </c>
      <c r="DQ473" s="408">
        <v>0</v>
      </c>
      <c r="DR473" s="408">
        <v>0</v>
      </c>
      <c r="DS473" s="408"/>
      <c r="DT473" s="408"/>
      <c r="DU473" s="408"/>
      <c r="DV473" s="408">
        <v>19816.211513179627</v>
      </c>
      <c r="DW473" s="408">
        <v>0</v>
      </c>
      <c r="DX473" s="408">
        <v>0</v>
      </c>
      <c r="DY473" s="408">
        <v>-14365.3145</v>
      </c>
      <c r="DZ473" s="234">
        <v>282.24950000000013</v>
      </c>
      <c r="EA473" s="408">
        <v>0</v>
      </c>
      <c r="EB473" s="408">
        <v>0</v>
      </c>
      <c r="EC473" s="408">
        <v>-14559.16514293505</v>
      </c>
      <c r="ED473" s="408">
        <v>0</v>
      </c>
      <c r="EE473" s="408">
        <v>0</v>
      </c>
      <c r="EF473" s="408">
        <v>0</v>
      </c>
      <c r="EG473" s="408">
        <v>0</v>
      </c>
      <c r="EH473" s="408">
        <v>0</v>
      </c>
      <c r="EI473" s="408">
        <v>0</v>
      </c>
      <c r="EJ473" s="408">
        <v>0</v>
      </c>
      <c r="EK473" s="408">
        <v>0</v>
      </c>
      <c r="EL473" s="408">
        <v>0</v>
      </c>
      <c r="EM473" s="408">
        <v>0</v>
      </c>
      <c r="EN473" s="408">
        <v>0</v>
      </c>
      <c r="EO473" s="408">
        <v>0</v>
      </c>
      <c r="EP473" s="408">
        <v>0</v>
      </c>
      <c r="EQ473" s="408">
        <v>0</v>
      </c>
      <c r="ER473" s="408">
        <v>0</v>
      </c>
      <c r="ES473" s="408">
        <v>0</v>
      </c>
      <c r="ET473" s="408">
        <v>0</v>
      </c>
      <c r="EU473" s="408">
        <v>0</v>
      </c>
      <c r="EV473" s="408">
        <v>242</v>
      </c>
      <c r="EW473" s="408">
        <v>0</v>
      </c>
      <c r="EX473" s="408">
        <v>0</v>
      </c>
      <c r="EY473" s="408">
        <v>0</v>
      </c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473</v>
      </c>
      <c r="B474" s="408" t="s">
        <v>1036</v>
      </c>
      <c r="C474" s="408" t="s">
        <v>2239</v>
      </c>
      <c r="D474" s="408" t="s">
        <v>597</v>
      </c>
      <c r="E474" s="408" t="s">
        <v>998</v>
      </c>
      <c r="F474" s="408" t="s">
        <v>1322</v>
      </c>
      <c r="G474" s="408" t="s">
        <v>1322</v>
      </c>
      <c r="H474" s="408" t="s">
        <v>1322</v>
      </c>
      <c r="I474" s="408" t="s">
        <v>2240</v>
      </c>
      <c r="J474" s="408" t="s">
        <v>2232</v>
      </c>
      <c r="K474" s="828">
        <v>44652</v>
      </c>
      <c r="L474" s="408">
        <v>0</v>
      </c>
      <c r="M474" s="408">
        <v>0</v>
      </c>
      <c r="N474" s="408">
        <v>117.613</v>
      </c>
      <c r="O474" s="408">
        <v>117.613</v>
      </c>
      <c r="P474" s="408">
        <v>117.613</v>
      </c>
      <c r="Q474" s="408">
        <v>117.613</v>
      </c>
      <c r="R474" s="408"/>
      <c r="S474" s="408">
        <v>80.27</v>
      </c>
      <c r="T474" s="408">
        <v>216.76</v>
      </c>
      <c r="U474" s="408"/>
      <c r="V474" s="408">
        <v>34934.589389999994</v>
      </c>
      <c r="W474" s="408">
        <v>34934.589389999994</v>
      </c>
      <c r="X474" s="408">
        <v>38726.432509999999</v>
      </c>
      <c r="Y474" s="408">
        <v>0</v>
      </c>
      <c r="Z474" s="408">
        <v>6201.8789570885183</v>
      </c>
      <c r="AA474" s="408">
        <v>0</v>
      </c>
      <c r="AB474" s="408">
        <v>0</v>
      </c>
      <c r="AC474" s="408">
        <v>0</v>
      </c>
      <c r="AD474" s="408">
        <v>0</v>
      </c>
      <c r="AE474" s="408">
        <v>0</v>
      </c>
      <c r="AF474" s="408">
        <v>25122.313316370302</v>
      </c>
      <c r="AG474" s="408">
        <v>371.3518432683714</v>
      </c>
      <c r="AH474" s="408">
        <v>0</v>
      </c>
      <c r="AI474" s="408">
        <v>0</v>
      </c>
      <c r="AJ474" s="408">
        <v>0</v>
      </c>
      <c r="AK474" s="408">
        <v>0</v>
      </c>
      <c r="AL474" s="408">
        <v>1102.4611754853663</v>
      </c>
      <c r="AM474" s="408"/>
      <c r="AN474" s="408">
        <v>161.50878219712504</v>
      </c>
      <c r="AO474" s="408">
        <v>0</v>
      </c>
      <c r="AP474" s="408">
        <v>0</v>
      </c>
      <c r="AQ474" s="408">
        <v>0</v>
      </c>
      <c r="AR474" s="408">
        <v>0</v>
      </c>
      <c r="AS474" s="408">
        <v>0</v>
      </c>
      <c r="AT474" s="408">
        <v>0</v>
      </c>
      <c r="AU474" s="408">
        <v>0</v>
      </c>
      <c r="AV474" s="408">
        <v>0</v>
      </c>
      <c r="AW474" s="408">
        <v>0</v>
      </c>
      <c r="AX474" s="408">
        <v>0</v>
      </c>
      <c r="AY474" s="408">
        <v>0</v>
      </c>
      <c r="AZ474" s="408">
        <v>0</v>
      </c>
      <c r="BA474" s="408"/>
      <c r="BB474" s="408">
        <v>0</v>
      </c>
      <c r="BC474" s="408">
        <v>0</v>
      </c>
      <c r="BD474" s="408">
        <v>53.784271821382745</v>
      </c>
      <c r="BE474" s="408">
        <v>0</v>
      </c>
      <c r="BF474" s="408">
        <v>0</v>
      </c>
      <c r="BG474" s="408">
        <v>1921.3444129004197</v>
      </c>
      <c r="BH474" s="408">
        <v>0</v>
      </c>
      <c r="BI474" s="408">
        <v>0</v>
      </c>
      <c r="BJ474" s="408">
        <v>0</v>
      </c>
      <c r="BK474" s="408">
        <v>0</v>
      </c>
      <c r="BL474" s="408">
        <v>0</v>
      </c>
      <c r="BM474" s="408"/>
      <c r="BN474" s="408"/>
      <c r="BO474" s="408"/>
      <c r="BP474" s="408"/>
      <c r="BQ474" s="408"/>
      <c r="BR474" s="408"/>
      <c r="BS474" s="408"/>
      <c r="BT474" s="408"/>
      <c r="BU474" s="408"/>
      <c r="BV474" s="408">
        <v>27097.442001092106</v>
      </c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>
        <v>38725.444699999993</v>
      </c>
      <c r="CJ474" s="408">
        <v>3790.8253099999929</v>
      </c>
      <c r="CK474" s="408"/>
      <c r="CL474" s="408"/>
      <c r="CM474" s="408"/>
      <c r="CN474" s="408"/>
      <c r="CO474" s="408">
        <v>-45.869070000000065</v>
      </c>
      <c r="CP474" s="408">
        <v>3837.7121899999993</v>
      </c>
      <c r="CQ474" s="408">
        <v>30</v>
      </c>
      <c r="CR474" s="408">
        <v>3791.9617844986351</v>
      </c>
      <c r="CS474" s="408">
        <v>0</v>
      </c>
      <c r="CT474" s="408">
        <v>0</v>
      </c>
      <c r="CU474" s="408">
        <v>0</v>
      </c>
      <c r="CV474" s="408">
        <v>0</v>
      </c>
      <c r="CW474" s="408">
        <v>0</v>
      </c>
      <c r="CX474" s="408">
        <v>0</v>
      </c>
      <c r="CY474" s="408">
        <v>0</v>
      </c>
      <c r="CZ474" s="408">
        <v>0</v>
      </c>
      <c r="DA474" s="408">
        <v>0</v>
      </c>
      <c r="DB474" s="408">
        <v>0</v>
      </c>
      <c r="DC474" s="408">
        <v>3838.2054028657622</v>
      </c>
      <c r="DD474" s="408">
        <v>0</v>
      </c>
      <c r="DE474" s="408">
        <v>0</v>
      </c>
      <c r="DF474" s="408">
        <v>8.2172003865391545</v>
      </c>
      <c r="DG474" s="408">
        <v>293.54440466894084</v>
      </c>
      <c r="DH474" s="408">
        <v>0</v>
      </c>
      <c r="DI474" s="408">
        <v>-296.30838407226929</v>
      </c>
      <c r="DJ474" s="408"/>
      <c r="DK474" s="408">
        <v>0</v>
      </c>
      <c r="DL474" s="408">
        <v>0</v>
      </c>
      <c r="DM474" s="408">
        <v>0</v>
      </c>
      <c r="DN474" s="408">
        <v>0</v>
      </c>
      <c r="DO474" s="408">
        <v>-44.672398358432019</v>
      </c>
      <c r="DP474" s="408">
        <v>-7.024440991895176</v>
      </c>
      <c r="DQ474" s="408">
        <v>0</v>
      </c>
      <c r="DR474" s="408">
        <v>0</v>
      </c>
      <c r="DS474" s="408"/>
      <c r="DT474" s="408"/>
      <c r="DU474" s="408"/>
      <c r="DV474" s="408">
        <v>0</v>
      </c>
      <c r="DW474" s="408">
        <v>0</v>
      </c>
      <c r="DX474" s="408">
        <v>0</v>
      </c>
      <c r="DY474" s="408">
        <v>-45.869070000000647</v>
      </c>
      <c r="DZ474" s="234">
        <v>3837.712190000002</v>
      </c>
      <c r="EA474" s="408">
        <v>0</v>
      </c>
      <c r="EB474" s="408">
        <v>0</v>
      </c>
      <c r="EC474" s="408">
        <v>0</v>
      </c>
      <c r="ED474" s="408">
        <v>0</v>
      </c>
      <c r="EE474" s="408">
        <v>0</v>
      </c>
      <c r="EF474" s="408">
        <v>0</v>
      </c>
      <c r="EG474" s="408">
        <v>0</v>
      </c>
      <c r="EH474" s="408">
        <v>0</v>
      </c>
      <c r="EI474" s="408">
        <v>0</v>
      </c>
      <c r="EJ474" s="408">
        <v>0</v>
      </c>
      <c r="EK474" s="408">
        <v>0</v>
      </c>
      <c r="EL474" s="408">
        <v>0</v>
      </c>
      <c r="EM474" s="408">
        <v>0</v>
      </c>
      <c r="EN474" s="408">
        <v>0</v>
      </c>
      <c r="EO474" s="408">
        <v>0</v>
      </c>
      <c r="EP474" s="408">
        <v>0</v>
      </c>
      <c r="EQ474" s="408">
        <v>0</v>
      </c>
      <c r="ER474" s="408">
        <v>0</v>
      </c>
      <c r="ES474" s="408">
        <v>0</v>
      </c>
      <c r="ET474" s="408">
        <v>0</v>
      </c>
      <c r="EU474" s="408">
        <v>0</v>
      </c>
      <c r="EV474" s="408">
        <v>242</v>
      </c>
      <c r="EW474" s="408">
        <v>0</v>
      </c>
      <c r="EX474" s="408">
        <v>0</v>
      </c>
      <c r="EY474" s="408">
        <v>0</v>
      </c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474</v>
      </c>
      <c r="B475" s="408" t="s">
        <v>1036</v>
      </c>
      <c r="C475" s="408" t="s">
        <v>2239</v>
      </c>
      <c r="D475" s="408" t="s">
        <v>597</v>
      </c>
      <c r="E475" s="408" t="s">
        <v>998</v>
      </c>
      <c r="F475" s="408" t="s">
        <v>1322</v>
      </c>
      <c r="G475" s="408" t="s">
        <v>1322</v>
      </c>
      <c r="H475" s="408" t="s">
        <v>1322</v>
      </c>
      <c r="I475" s="408" t="s">
        <v>1322</v>
      </c>
      <c r="J475" s="408" t="s">
        <v>2232</v>
      </c>
      <c r="K475" s="828">
        <v>44652</v>
      </c>
      <c r="L475" s="408">
        <v>1312</v>
      </c>
      <c r="M475" s="408">
        <v>1312</v>
      </c>
      <c r="N475" s="408">
        <v>0</v>
      </c>
      <c r="O475" s="408">
        <v>0</v>
      </c>
      <c r="P475" s="408">
        <v>0</v>
      </c>
      <c r="Q475" s="408">
        <v>0</v>
      </c>
      <c r="R475" s="408">
        <v>32.17</v>
      </c>
      <c r="S475" s="408"/>
      <c r="T475" s="408"/>
      <c r="U475" s="408">
        <v>42207.040000000001</v>
      </c>
      <c r="V475" s="408"/>
      <c r="W475" s="408">
        <v>42207.040000000001</v>
      </c>
      <c r="X475" s="408">
        <v>16964.16</v>
      </c>
      <c r="Y475" s="408">
        <v>0</v>
      </c>
      <c r="Z475" s="408">
        <v>0</v>
      </c>
      <c r="AA475" s="408">
        <v>0</v>
      </c>
      <c r="AB475" s="408">
        <v>0</v>
      </c>
      <c r="AC475" s="408">
        <v>0</v>
      </c>
      <c r="AD475" s="408">
        <v>131.09008737223334</v>
      </c>
      <c r="AE475" s="408">
        <v>35327.876882182813</v>
      </c>
      <c r="AF475" s="408"/>
      <c r="AG475" s="408"/>
      <c r="AH475" s="408"/>
      <c r="AI475" s="408">
        <v>0</v>
      </c>
      <c r="AJ475" s="408">
        <v>0</v>
      </c>
      <c r="AK475" s="408">
        <v>0</v>
      </c>
      <c r="AL475" s="408">
        <v>0</v>
      </c>
      <c r="AM475" s="408"/>
      <c r="AN475" s="408">
        <v>0</v>
      </c>
      <c r="AO475" s="408">
        <v>2314.9204916148137</v>
      </c>
      <c r="AP475" s="408">
        <v>4438.319097064732</v>
      </c>
      <c r="AQ475" s="408">
        <v>0</v>
      </c>
      <c r="AR475" s="408">
        <v>0</v>
      </c>
      <c r="AS475" s="408"/>
      <c r="AT475" s="408"/>
      <c r="AU475" s="408">
        <v>0</v>
      </c>
      <c r="AV475" s="408">
        <v>0</v>
      </c>
      <c r="AW475" s="408">
        <v>0</v>
      </c>
      <c r="AX475" s="408"/>
      <c r="AY475" s="408"/>
      <c r="AZ475" s="408">
        <v>0</v>
      </c>
      <c r="BA475" s="408"/>
      <c r="BB475" s="408">
        <v>0</v>
      </c>
      <c r="BC475" s="408">
        <v>0</v>
      </c>
      <c r="BD475" s="408">
        <v>0</v>
      </c>
      <c r="BE475" s="408">
        <v>0</v>
      </c>
      <c r="BF475" s="408"/>
      <c r="BG475" s="408">
        <v>0</v>
      </c>
      <c r="BH475" s="408">
        <v>0</v>
      </c>
      <c r="BI475" s="408">
        <v>235.54</v>
      </c>
      <c r="BJ475" s="408">
        <v>1077.58</v>
      </c>
      <c r="BK475" s="408">
        <v>24994.52</v>
      </c>
      <c r="BL475" s="408">
        <v>9</v>
      </c>
      <c r="BM475" s="408"/>
      <c r="BN475" s="408"/>
      <c r="BO475" s="408"/>
      <c r="BP475" s="408"/>
      <c r="BQ475" s="408"/>
      <c r="BR475" s="408"/>
      <c r="BS475" s="408"/>
      <c r="BT475" s="408"/>
      <c r="BU475" s="408"/>
      <c r="BV475" s="408">
        <v>0</v>
      </c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>
        <v>16964.16</v>
      </c>
      <c r="CJ475" s="408">
        <v>-25242.910000000007</v>
      </c>
      <c r="CK475" s="408"/>
      <c r="CL475" s="408"/>
      <c r="CM475" s="408"/>
      <c r="CN475" s="408"/>
      <c r="CO475" s="408">
        <v>-25242.880000000001</v>
      </c>
      <c r="CP475" s="408">
        <v>0</v>
      </c>
      <c r="CQ475" s="408">
        <v>30</v>
      </c>
      <c r="CR475" s="408">
        <v>709.42429777779398</v>
      </c>
      <c r="CS475" s="408">
        <v>238.78757705512862</v>
      </c>
      <c r="CT475" s="408">
        <v>457.81937963936889</v>
      </c>
      <c r="CU475" s="408">
        <v>0</v>
      </c>
      <c r="CV475" s="408">
        <v>0</v>
      </c>
      <c r="CW475" s="408"/>
      <c r="CX475" s="408"/>
      <c r="CY475" s="408"/>
      <c r="CZ475" s="408">
        <v>12.817341083296554</v>
      </c>
      <c r="DA475" s="408">
        <v>0</v>
      </c>
      <c r="DB475" s="408">
        <v>0</v>
      </c>
      <c r="DC475" s="408"/>
      <c r="DD475" s="408"/>
      <c r="DE475" s="408">
        <v>0</v>
      </c>
      <c r="DF475" s="408">
        <v>0</v>
      </c>
      <c r="DG475" s="408">
        <v>0</v>
      </c>
      <c r="DH475" s="408">
        <v>0</v>
      </c>
      <c r="DI475" s="408">
        <v>0</v>
      </c>
      <c r="DJ475" s="408"/>
      <c r="DK475" s="408">
        <v>0</v>
      </c>
      <c r="DL475" s="408">
        <v>0</v>
      </c>
      <c r="DM475" s="408"/>
      <c r="DN475" s="408">
        <v>0</v>
      </c>
      <c r="DO475" s="408">
        <v>0</v>
      </c>
      <c r="DP475" s="408">
        <v>0</v>
      </c>
      <c r="DQ475" s="408">
        <v>0</v>
      </c>
      <c r="DR475" s="408">
        <v>0</v>
      </c>
      <c r="DS475" s="408"/>
      <c r="DT475" s="408"/>
      <c r="DU475" s="408">
        <v>35327.876882182813</v>
      </c>
      <c r="DV475" s="408"/>
      <c r="DW475" s="408">
        <v>0</v>
      </c>
      <c r="DX475" s="408">
        <v>0</v>
      </c>
      <c r="DY475" s="408">
        <v>-25242.880000000001</v>
      </c>
      <c r="DZ475" s="234"/>
      <c r="EA475" s="408">
        <v>0</v>
      </c>
      <c r="EB475" s="408"/>
      <c r="EC475" s="408">
        <v>-25955.737974177828</v>
      </c>
      <c r="ED475" s="408"/>
      <c r="EE475" s="408">
        <v>0</v>
      </c>
      <c r="EF475" s="408">
        <v>0</v>
      </c>
      <c r="EG475" s="408"/>
      <c r="EH475" s="408">
        <v>0</v>
      </c>
      <c r="EI475" s="408">
        <v>0</v>
      </c>
      <c r="EJ475" s="408">
        <v>0</v>
      </c>
      <c r="EK475" s="408">
        <v>0</v>
      </c>
      <c r="EL475" s="408">
        <v>0</v>
      </c>
      <c r="EM475" s="408"/>
      <c r="EN475" s="408"/>
      <c r="EO475" s="408">
        <v>0</v>
      </c>
      <c r="EP475" s="408">
        <v>0</v>
      </c>
      <c r="EQ475" s="408"/>
      <c r="ER475" s="408">
        <v>0</v>
      </c>
      <c r="ES475" s="408"/>
      <c r="ET475" s="408">
        <v>0</v>
      </c>
      <c r="EU475" s="408"/>
      <c r="EV475" s="408">
        <v>242</v>
      </c>
      <c r="EW475" s="408"/>
      <c r="EX475" s="408"/>
      <c r="EY475" s="408"/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475</v>
      </c>
      <c r="B476" s="408" t="s">
        <v>1036</v>
      </c>
      <c r="C476" s="408" t="s">
        <v>2231</v>
      </c>
      <c r="D476" s="408" t="s">
        <v>2241</v>
      </c>
      <c r="E476" s="408" t="s">
        <v>974</v>
      </c>
      <c r="F476" s="408" t="s">
        <v>1322</v>
      </c>
      <c r="G476" s="408" t="s">
        <v>1322</v>
      </c>
      <c r="H476" s="408" t="s">
        <v>1322</v>
      </c>
      <c r="I476" s="408" t="s">
        <v>1322</v>
      </c>
      <c r="J476" s="408" t="s">
        <v>2232</v>
      </c>
      <c r="K476" s="828">
        <v>44652</v>
      </c>
      <c r="L476" s="408">
        <v>0</v>
      </c>
      <c r="M476" s="408">
        <v>0</v>
      </c>
      <c r="N476" s="408">
        <v>3622.9209999999998</v>
      </c>
      <c r="O476" s="408">
        <v>3622.9209999999998</v>
      </c>
      <c r="P476" s="408">
        <v>3622.9209999999998</v>
      </c>
      <c r="Q476" s="408">
        <v>3622.9209999999998</v>
      </c>
      <c r="R476" s="408"/>
      <c r="S476" s="408">
        <v>571.87</v>
      </c>
      <c r="T476" s="408">
        <v>216.76</v>
      </c>
      <c r="U476" s="408"/>
      <c r="V476" s="408">
        <v>2857144.18823</v>
      </c>
      <c r="W476" s="408">
        <v>2857144.18823</v>
      </c>
      <c r="X476" s="408">
        <v>1862217.6232099999</v>
      </c>
      <c r="Y476" s="408">
        <v>0</v>
      </c>
      <c r="Z476" s="408">
        <v>219587.47731180789</v>
      </c>
      <c r="AA476" s="408">
        <v>0</v>
      </c>
      <c r="AB476" s="408">
        <v>0</v>
      </c>
      <c r="AC476" s="408">
        <v>0</v>
      </c>
      <c r="AD476" s="408">
        <v>2977.7284021357009</v>
      </c>
      <c r="AE476" s="408">
        <v>1544754.3477049016</v>
      </c>
      <c r="AF476" s="408">
        <v>773861.36296546808</v>
      </c>
      <c r="AG476" s="408">
        <v>11439.02792519272</v>
      </c>
      <c r="AH476" s="408">
        <v>0</v>
      </c>
      <c r="AI476" s="408">
        <v>0</v>
      </c>
      <c r="AJ476" s="408">
        <v>0</v>
      </c>
      <c r="AK476" s="408">
        <v>0</v>
      </c>
      <c r="AL476" s="408">
        <v>33959.934227939244</v>
      </c>
      <c r="AM476" s="408"/>
      <c r="AN476" s="408">
        <v>6950.4636428550994</v>
      </c>
      <c r="AO476" s="408">
        <v>32177.689290877406</v>
      </c>
      <c r="AP476" s="408">
        <v>100815.40349021991</v>
      </c>
      <c r="AQ476" s="408">
        <v>0</v>
      </c>
      <c r="AR476" s="408">
        <v>0</v>
      </c>
      <c r="AS476" s="408">
        <v>0</v>
      </c>
      <c r="AT476" s="408">
        <v>0</v>
      </c>
      <c r="AU476" s="408">
        <v>0</v>
      </c>
      <c r="AV476" s="408">
        <v>0</v>
      </c>
      <c r="AW476" s="408">
        <v>0</v>
      </c>
      <c r="AX476" s="408">
        <v>0</v>
      </c>
      <c r="AY476" s="408">
        <v>0</v>
      </c>
      <c r="AZ476" s="408">
        <v>0</v>
      </c>
      <c r="BA476" s="408"/>
      <c r="BB476" s="408">
        <v>0</v>
      </c>
      <c r="BC476" s="408">
        <v>0</v>
      </c>
      <c r="BD476" s="408">
        <v>2155.8902295761472</v>
      </c>
      <c r="BE476" s="408">
        <v>0</v>
      </c>
      <c r="BF476" s="408">
        <v>0</v>
      </c>
      <c r="BG476" s="408">
        <v>128462.39314039245</v>
      </c>
      <c r="BH476" s="408">
        <v>0</v>
      </c>
      <c r="BI476" s="408">
        <v>6322.51</v>
      </c>
      <c r="BJ476" s="408">
        <v>29148.57</v>
      </c>
      <c r="BK476" s="408">
        <v>128261.07</v>
      </c>
      <c r="BL476" s="408">
        <v>10383</v>
      </c>
      <c r="BM476" s="408"/>
      <c r="BN476" s="408"/>
      <c r="BO476" s="408"/>
      <c r="BP476" s="408"/>
      <c r="BQ476" s="408"/>
      <c r="BR476" s="408">
        <v>223461.76727999991</v>
      </c>
      <c r="BS476" s="408"/>
      <c r="BT476" s="408"/>
      <c r="BU476" s="408"/>
      <c r="BV476" s="408">
        <v>904479.64633543673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1638755.4036000001</v>
      </c>
      <c r="CJ476" s="408">
        <v>-875551.80039999937</v>
      </c>
      <c r="CK476" s="408"/>
      <c r="CL476" s="408"/>
      <c r="CM476" s="408"/>
      <c r="CN476" s="408"/>
      <c r="CO476" s="408">
        <v>-1113142.47725</v>
      </c>
      <c r="CP476" s="408">
        <v>118215.91222999997</v>
      </c>
      <c r="CQ476" s="408">
        <v>30</v>
      </c>
      <c r="CR476" s="408">
        <v>140027.00470772525</v>
      </c>
      <c r="CS476" s="408">
        <v>3319.1776947990693</v>
      </c>
      <c r="CT476" s="408">
        <v>10399.262530382184</v>
      </c>
      <c r="CU476" s="408">
        <v>0</v>
      </c>
      <c r="CV476" s="408">
        <v>0</v>
      </c>
      <c r="CW476" s="408">
        <v>0</v>
      </c>
      <c r="CX476" s="408">
        <v>0</v>
      </c>
      <c r="CY476" s="408">
        <v>0</v>
      </c>
      <c r="CZ476" s="408">
        <v>291.14757148049375</v>
      </c>
      <c r="DA476" s="408">
        <v>0</v>
      </c>
      <c r="DB476" s="408">
        <v>0</v>
      </c>
      <c r="DC476" s="408">
        <v>118231.1050339319</v>
      </c>
      <c r="DD476" s="408">
        <v>0</v>
      </c>
      <c r="DE476" s="408">
        <v>0</v>
      </c>
      <c r="DF476" s="408">
        <v>329.37848608681907</v>
      </c>
      <c r="DG476" s="408">
        <v>19626.578381029874</v>
      </c>
      <c r="DH476" s="408">
        <v>0</v>
      </c>
      <c r="DI476" s="408">
        <v>-10491.273856675602</v>
      </c>
      <c r="DJ476" s="408"/>
      <c r="DK476" s="408">
        <v>0</v>
      </c>
      <c r="DL476" s="408">
        <v>0</v>
      </c>
      <c r="DM476" s="408">
        <v>0</v>
      </c>
      <c r="DN476" s="408">
        <v>0</v>
      </c>
      <c r="DO476" s="408">
        <v>-1376.0772204869209</v>
      </c>
      <c r="DP476" s="408">
        <v>-302.29391282238976</v>
      </c>
      <c r="DQ476" s="408">
        <v>0</v>
      </c>
      <c r="DR476" s="408">
        <v>0</v>
      </c>
      <c r="DS476" s="408"/>
      <c r="DT476" s="408"/>
      <c r="DU476" s="408"/>
      <c r="DV476" s="408">
        <v>1544754.3477049016</v>
      </c>
      <c r="DW476" s="408">
        <v>0</v>
      </c>
      <c r="DX476" s="408">
        <v>0</v>
      </c>
      <c r="DY476" s="408">
        <v>-1113142.47725</v>
      </c>
      <c r="DZ476" s="234">
        <v>118215.9122299999</v>
      </c>
      <c r="EA476" s="408">
        <v>0</v>
      </c>
      <c r="EB476" s="408">
        <v>0</v>
      </c>
      <c r="EC476" s="408">
        <v>-1134946.1847712111</v>
      </c>
      <c r="ED476" s="408">
        <v>0</v>
      </c>
      <c r="EE476" s="408">
        <v>0</v>
      </c>
      <c r="EF476" s="408">
        <v>0</v>
      </c>
      <c r="EG476" s="408">
        <v>0</v>
      </c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>
        <v>0</v>
      </c>
      <c r="EN476" s="408">
        <v>0</v>
      </c>
      <c r="EO476" s="408">
        <v>0</v>
      </c>
      <c r="EP476" s="408">
        <v>0</v>
      </c>
      <c r="EQ476" s="408">
        <v>0</v>
      </c>
      <c r="ER476" s="408">
        <v>0</v>
      </c>
      <c r="ES476" s="408">
        <v>0</v>
      </c>
      <c r="ET476" s="408">
        <v>0</v>
      </c>
      <c r="EU476" s="408">
        <v>0</v>
      </c>
      <c r="EV476" s="408">
        <v>242</v>
      </c>
      <c r="EW476" s="408">
        <v>0</v>
      </c>
      <c r="EX476" s="408">
        <v>0</v>
      </c>
      <c r="EY476" s="408">
        <v>0</v>
      </c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476</v>
      </c>
      <c r="B477" s="408" t="s">
        <v>2233</v>
      </c>
      <c r="C477" s="408" t="s">
        <v>2231</v>
      </c>
      <c r="D477" s="408" t="s">
        <v>2241</v>
      </c>
      <c r="E477" s="408" t="s">
        <v>974</v>
      </c>
      <c r="F477" s="408" t="s">
        <v>1322</v>
      </c>
      <c r="G477" s="408" t="s">
        <v>1322</v>
      </c>
      <c r="H477" s="408" t="s">
        <v>1322</v>
      </c>
      <c r="I477" s="408" t="s">
        <v>1322</v>
      </c>
      <c r="J477" s="408" t="s">
        <v>2232</v>
      </c>
      <c r="K477" s="828">
        <v>44652</v>
      </c>
      <c r="L477" s="408">
        <v>0</v>
      </c>
      <c r="M477" s="408">
        <v>0</v>
      </c>
      <c r="N477" s="408">
        <v>-5.7460000000000004</v>
      </c>
      <c r="O477" s="408">
        <v>-5.7460000000000004</v>
      </c>
      <c r="P477" s="408">
        <v>-5.7460000000000004</v>
      </c>
      <c r="Q477" s="408">
        <v>-5.7460000000000004</v>
      </c>
      <c r="R477" s="408"/>
      <c r="S477" s="408">
        <v>571.87</v>
      </c>
      <c r="T477" s="408">
        <v>216.76</v>
      </c>
      <c r="U477" s="408"/>
      <c r="V477" s="408">
        <v>-4531.4679800000004</v>
      </c>
      <c r="W477" s="408">
        <v>-4531.4679800000004</v>
      </c>
      <c r="X477" s="408">
        <v>-2953.5014600000004</v>
      </c>
      <c r="Y477" s="408">
        <v>0</v>
      </c>
      <c r="Z477" s="408">
        <v>-348.26860553504986</v>
      </c>
      <c r="AA477" s="408">
        <v>0</v>
      </c>
      <c r="AB477" s="408">
        <v>0</v>
      </c>
      <c r="AC477" s="408">
        <v>0</v>
      </c>
      <c r="AD477" s="408">
        <v>-4.7227161173737269</v>
      </c>
      <c r="AE477" s="408">
        <v>-2450.0005608492056</v>
      </c>
      <c r="AF477" s="408">
        <v>-1227.3542237326126</v>
      </c>
      <c r="AG477" s="408">
        <v>-18.142447615655261</v>
      </c>
      <c r="AH477" s="408">
        <v>0</v>
      </c>
      <c r="AI477" s="408">
        <v>0</v>
      </c>
      <c r="AJ477" s="408">
        <v>0</v>
      </c>
      <c r="AK477" s="408">
        <v>0</v>
      </c>
      <c r="AL477" s="408">
        <v>-53.860899002141899</v>
      </c>
      <c r="AM477" s="408"/>
      <c r="AN477" s="408">
        <v>-11.023526069667378</v>
      </c>
      <c r="AO477" s="408">
        <v>-51.034235266344915</v>
      </c>
      <c r="AP477" s="408">
        <v>-159.89454599059809</v>
      </c>
      <c r="AQ477" s="408">
        <v>0</v>
      </c>
      <c r="AR477" s="408">
        <v>0</v>
      </c>
      <c r="AS477" s="408">
        <v>0</v>
      </c>
      <c r="AT477" s="408">
        <v>0</v>
      </c>
      <c r="AU477" s="408">
        <v>0</v>
      </c>
      <c r="AV477" s="408">
        <v>0</v>
      </c>
      <c r="AW477" s="408">
        <v>0</v>
      </c>
      <c r="AX477" s="408">
        <v>0</v>
      </c>
      <c r="AY477" s="408">
        <v>0</v>
      </c>
      <c r="AZ477" s="408">
        <v>0</v>
      </c>
      <c r="BA477" s="408"/>
      <c r="BB477" s="408">
        <v>0</v>
      </c>
      <c r="BC477" s="408">
        <v>0</v>
      </c>
      <c r="BD477" s="408">
        <v>-3.4192700473304671</v>
      </c>
      <c r="BE477" s="408">
        <v>0</v>
      </c>
      <c r="BF477" s="408">
        <v>0</v>
      </c>
      <c r="BG477" s="408">
        <v>-203.7430324825452</v>
      </c>
      <c r="BH477" s="408">
        <v>0</v>
      </c>
      <c r="BI477" s="408">
        <v>-4.47</v>
      </c>
      <c r="BJ477" s="408">
        <v>-20.329999999999998</v>
      </c>
      <c r="BK477" s="408">
        <v>-76.02</v>
      </c>
      <c r="BL477" s="408">
        <v>0</v>
      </c>
      <c r="BM477" s="408"/>
      <c r="BN477" s="408"/>
      <c r="BO477" s="408"/>
      <c r="BP477" s="408"/>
      <c r="BQ477" s="408"/>
      <c r="BR477" s="408">
        <v>-354.41327999999987</v>
      </c>
      <c r="BS477" s="408"/>
      <c r="BT477" s="408"/>
      <c r="BU477" s="408"/>
      <c r="BV477" s="408">
        <v>-1434.5165262624882</v>
      </c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>
        <v>-2600.8975</v>
      </c>
      <c r="CJ477" s="408">
        <v>1386.7964999999995</v>
      </c>
      <c r="CK477" s="408"/>
      <c r="CL477" s="408"/>
      <c r="CM477" s="408"/>
      <c r="CN477" s="408"/>
      <c r="CO477" s="408">
        <v>1765.4585000000002</v>
      </c>
      <c r="CP477" s="408">
        <v>-187.49197999999998</v>
      </c>
      <c r="CQ477" s="408">
        <v>30</v>
      </c>
      <c r="CR477" s="408">
        <v>-222.08465739401709</v>
      </c>
      <c r="CS477" s="408">
        <v>-5.2642591528535903</v>
      </c>
      <c r="CT477" s="408">
        <v>-16.493366126276584</v>
      </c>
      <c r="CU477" s="408">
        <v>0</v>
      </c>
      <c r="CV477" s="408">
        <v>0</v>
      </c>
      <c r="CW477" s="408">
        <v>0</v>
      </c>
      <c r="CX477" s="408">
        <v>0</v>
      </c>
      <c r="CY477" s="408">
        <v>0</v>
      </c>
      <c r="CZ477" s="408">
        <v>-0.46176384903974377</v>
      </c>
      <c r="DA477" s="408">
        <v>0</v>
      </c>
      <c r="DB477" s="408">
        <v>0</v>
      </c>
      <c r="DC477" s="408">
        <v>-187.51607598536452</v>
      </c>
      <c r="DD477" s="408">
        <v>0</v>
      </c>
      <c r="DE477" s="408">
        <v>0</v>
      </c>
      <c r="DF477" s="408">
        <v>-0.52239857867584272</v>
      </c>
      <c r="DG477" s="408">
        <v>-31.128009519776327</v>
      </c>
      <c r="DH477" s="408">
        <v>0</v>
      </c>
      <c r="DI477" s="408">
        <v>16.639297290903698</v>
      </c>
      <c r="DJ477" s="408"/>
      <c r="DK477" s="408">
        <v>0</v>
      </c>
      <c r="DL477" s="408">
        <v>0</v>
      </c>
      <c r="DM477" s="408">
        <v>0</v>
      </c>
      <c r="DN477" s="408">
        <v>0</v>
      </c>
      <c r="DO477" s="408">
        <v>2.1824764351521537</v>
      </c>
      <c r="DP477" s="408">
        <v>0.47944209191352982</v>
      </c>
      <c r="DQ477" s="408">
        <v>0</v>
      </c>
      <c r="DR477" s="408">
        <v>0</v>
      </c>
      <c r="DS477" s="408"/>
      <c r="DT477" s="408"/>
      <c r="DU477" s="408"/>
      <c r="DV477" s="408">
        <v>-2450.0005608492056</v>
      </c>
      <c r="DW477" s="408">
        <v>0</v>
      </c>
      <c r="DX477" s="408">
        <v>0</v>
      </c>
      <c r="DY477" s="408">
        <v>1765.4585</v>
      </c>
      <c r="DZ477" s="234">
        <v>-187.49198000000001</v>
      </c>
      <c r="EA477" s="408">
        <v>0</v>
      </c>
      <c r="EB477" s="408">
        <v>0</v>
      </c>
      <c r="EC477" s="408">
        <v>1800.0394647565813</v>
      </c>
      <c r="ED477" s="408">
        <v>0</v>
      </c>
      <c r="EE477" s="408">
        <v>0</v>
      </c>
      <c r="EF477" s="408">
        <v>0</v>
      </c>
      <c r="EG477" s="408">
        <v>0</v>
      </c>
      <c r="EH477" s="408">
        <v>0</v>
      </c>
      <c r="EI477" s="408">
        <v>0</v>
      </c>
      <c r="EJ477" s="408">
        <v>0</v>
      </c>
      <c r="EK477" s="408">
        <v>0</v>
      </c>
      <c r="EL477" s="408">
        <v>0</v>
      </c>
      <c r="EM477" s="408">
        <v>0</v>
      </c>
      <c r="EN477" s="408">
        <v>0</v>
      </c>
      <c r="EO477" s="408">
        <v>0</v>
      </c>
      <c r="EP477" s="408">
        <v>0</v>
      </c>
      <c r="EQ477" s="408">
        <v>0</v>
      </c>
      <c r="ER477" s="408">
        <v>0</v>
      </c>
      <c r="ES477" s="408">
        <v>0</v>
      </c>
      <c r="ET477" s="408">
        <v>0</v>
      </c>
      <c r="EU477" s="408">
        <v>0</v>
      </c>
      <c r="EV477" s="408">
        <v>242</v>
      </c>
      <c r="EW477" s="408">
        <v>0</v>
      </c>
      <c r="EX477" s="408">
        <v>0</v>
      </c>
      <c r="EY477" s="408">
        <v>0</v>
      </c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477</v>
      </c>
      <c r="B478" s="408" t="s">
        <v>2234</v>
      </c>
      <c r="C478" s="408" t="s">
        <v>2231</v>
      </c>
      <c r="D478" s="408" t="s">
        <v>2241</v>
      </c>
      <c r="E478" s="408" t="s">
        <v>974</v>
      </c>
      <c r="F478" s="408" t="s">
        <v>1322</v>
      </c>
      <c r="G478" s="408" t="s">
        <v>1322</v>
      </c>
      <c r="H478" s="408" t="s">
        <v>1322</v>
      </c>
      <c r="I478" s="408" t="s">
        <v>1322</v>
      </c>
      <c r="J478" s="408" t="s">
        <v>2232</v>
      </c>
      <c r="K478" s="828">
        <v>44652</v>
      </c>
      <c r="L478" s="408">
        <v>0</v>
      </c>
      <c r="M478" s="408">
        <v>0</v>
      </c>
      <c r="N478" s="408">
        <v>64.406000000000006</v>
      </c>
      <c r="O478" s="408">
        <v>64.406000000000006</v>
      </c>
      <c r="P478" s="408">
        <v>64.406000000000006</v>
      </c>
      <c r="Q478" s="408">
        <v>64.406000000000006</v>
      </c>
      <c r="R478" s="408"/>
      <c r="S478" s="408">
        <v>571.87</v>
      </c>
      <c r="T478" s="408">
        <v>216.76</v>
      </c>
      <c r="U478" s="408"/>
      <c r="V478" s="408">
        <v>50792.503780000006</v>
      </c>
      <c r="W478" s="408">
        <v>50792.503780000006</v>
      </c>
      <c r="X478" s="408">
        <v>33105.32806</v>
      </c>
      <c r="Y478" s="408">
        <v>0</v>
      </c>
      <c r="Z478" s="408">
        <v>3903.6874013383958</v>
      </c>
      <c r="AA478" s="408">
        <v>0</v>
      </c>
      <c r="AB478" s="408">
        <v>0</v>
      </c>
      <c r="AC478" s="408">
        <v>0</v>
      </c>
      <c r="AD478" s="408">
        <v>52.93617373052075</v>
      </c>
      <c r="AE478" s="408">
        <v>27461.666571885478</v>
      </c>
      <c r="AF478" s="408">
        <v>13757.218262047101</v>
      </c>
      <c r="AG478" s="408">
        <v>203.35580945595072</v>
      </c>
      <c r="AH478" s="408">
        <v>0</v>
      </c>
      <c r="AI478" s="408">
        <v>0</v>
      </c>
      <c r="AJ478" s="408">
        <v>0</v>
      </c>
      <c r="AK478" s="408">
        <v>0</v>
      </c>
      <c r="AL478" s="408">
        <v>603.71824941384466</v>
      </c>
      <c r="AM478" s="408"/>
      <c r="AN478" s="408">
        <v>123.56095023372731</v>
      </c>
      <c r="AO478" s="408">
        <v>572.03462522871757</v>
      </c>
      <c r="AP478" s="408">
        <v>1792.232532034539</v>
      </c>
      <c r="AQ478" s="408">
        <v>0</v>
      </c>
      <c r="AR478" s="408">
        <v>0</v>
      </c>
      <c r="AS478" s="408">
        <v>0</v>
      </c>
      <c r="AT478" s="408">
        <v>0</v>
      </c>
      <c r="AU478" s="408">
        <v>0</v>
      </c>
      <c r="AV478" s="408">
        <v>0</v>
      </c>
      <c r="AW478" s="408">
        <v>0</v>
      </c>
      <c r="AX478" s="408">
        <v>0</v>
      </c>
      <c r="AY478" s="408">
        <v>0</v>
      </c>
      <c r="AZ478" s="408">
        <v>0</v>
      </c>
      <c r="BA478" s="408"/>
      <c r="BB478" s="408">
        <v>0</v>
      </c>
      <c r="BC478" s="408">
        <v>0</v>
      </c>
      <c r="BD478" s="408">
        <v>38.326054066892809</v>
      </c>
      <c r="BE478" s="408">
        <v>0</v>
      </c>
      <c r="BF478" s="408">
        <v>0</v>
      </c>
      <c r="BG478" s="408">
        <v>2283.7232422678048</v>
      </c>
      <c r="BH478" s="408">
        <v>0</v>
      </c>
      <c r="BI478" s="408">
        <v>93.07</v>
      </c>
      <c r="BJ478" s="408">
        <v>430.17</v>
      </c>
      <c r="BK478" s="408">
        <v>2223.48</v>
      </c>
      <c r="BL478" s="408">
        <v>274</v>
      </c>
      <c r="BM478" s="408"/>
      <c r="BN478" s="408"/>
      <c r="BO478" s="408"/>
      <c r="BP478" s="408"/>
      <c r="BQ478" s="408"/>
      <c r="BR478" s="408">
        <v>3972.5620799999988</v>
      </c>
      <c r="BS478" s="408"/>
      <c r="BT478" s="408"/>
      <c r="BU478" s="408"/>
      <c r="BV478" s="408">
        <v>16079.267558381798</v>
      </c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>
        <v>29134.575299999997</v>
      </c>
      <c r="CJ478" s="408">
        <v>-15563.218700000005</v>
      </c>
      <c r="CK478" s="408"/>
      <c r="CL478" s="408"/>
      <c r="CM478" s="408"/>
      <c r="CN478" s="408"/>
      <c r="CO478" s="408">
        <v>-19788.7435</v>
      </c>
      <c r="CP478" s="408">
        <v>2101.5677799999999</v>
      </c>
      <c r="CQ478" s="408">
        <v>30</v>
      </c>
      <c r="CR478" s="408">
        <v>2489.3115983499993</v>
      </c>
      <c r="CS478" s="408">
        <v>59.006243473492418</v>
      </c>
      <c r="CT478" s="408">
        <v>184.87151735624252</v>
      </c>
      <c r="CU478" s="408">
        <v>0</v>
      </c>
      <c r="CV478" s="408">
        <v>0</v>
      </c>
      <c r="CW478" s="408">
        <v>0</v>
      </c>
      <c r="CX478" s="408">
        <v>0</v>
      </c>
      <c r="CY478" s="408">
        <v>0</v>
      </c>
      <c r="CZ478" s="408">
        <v>5.1758375324145049</v>
      </c>
      <c r="DA478" s="408">
        <v>0</v>
      </c>
      <c r="DB478" s="408">
        <v>0</v>
      </c>
      <c r="DC478" s="408">
        <v>2101.8378680670703</v>
      </c>
      <c r="DD478" s="408">
        <v>0</v>
      </c>
      <c r="DE478" s="408">
        <v>0</v>
      </c>
      <c r="DF478" s="408">
        <v>5.855482571910251</v>
      </c>
      <c r="DG478" s="408">
        <v>348.90890726256748</v>
      </c>
      <c r="DH478" s="408">
        <v>0</v>
      </c>
      <c r="DI478" s="408">
        <v>-186.50723656768923</v>
      </c>
      <c r="DJ478" s="408"/>
      <c r="DK478" s="408">
        <v>0</v>
      </c>
      <c r="DL478" s="408">
        <v>0</v>
      </c>
      <c r="DM478" s="408">
        <v>0</v>
      </c>
      <c r="DN478" s="408">
        <v>0</v>
      </c>
      <c r="DO478" s="408">
        <v>-24.463031201254694</v>
      </c>
      <c r="DP478" s="408">
        <v>-5.3739901447585652</v>
      </c>
      <c r="DQ478" s="408">
        <v>0</v>
      </c>
      <c r="DR478" s="408">
        <v>0</v>
      </c>
      <c r="DS478" s="408"/>
      <c r="DT478" s="408"/>
      <c r="DU478" s="408"/>
      <c r="DV478" s="408">
        <v>27461.666571885478</v>
      </c>
      <c r="DW478" s="408">
        <v>0</v>
      </c>
      <c r="DX478" s="408">
        <v>0</v>
      </c>
      <c r="DY478" s="408">
        <v>-19788.743500000004</v>
      </c>
      <c r="DZ478" s="234">
        <v>2101.5677799999994</v>
      </c>
      <c r="EA478" s="408">
        <v>0</v>
      </c>
      <c r="EB478" s="408">
        <v>0</v>
      </c>
      <c r="EC478" s="408">
        <v>-20176.356033260075</v>
      </c>
      <c r="ED478" s="408">
        <v>0</v>
      </c>
      <c r="EE478" s="408">
        <v>0</v>
      </c>
      <c r="EF478" s="408">
        <v>0</v>
      </c>
      <c r="EG478" s="408">
        <v>0</v>
      </c>
      <c r="EH478" s="408">
        <v>0</v>
      </c>
      <c r="EI478" s="408">
        <v>0</v>
      </c>
      <c r="EJ478" s="408">
        <v>0</v>
      </c>
      <c r="EK478" s="408">
        <v>0</v>
      </c>
      <c r="EL478" s="408">
        <v>0</v>
      </c>
      <c r="EM478" s="408">
        <v>0</v>
      </c>
      <c r="EN478" s="408">
        <v>0</v>
      </c>
      <c r="EO478" s="408">
        <v>0</v>
      </c>
      <c r="EP478" s="408">
        <v>0</v>
      </c>
      <c r="EQ478" s="408">
        <v>0</v>
      </c>
      <c r="ER478" s="408">
        <v>0</v>
      </c>
      <c r="ES478" s="408">
        <v>0</v>
      </c>
      <c r="ET478" s="408">
        <v>0</v>
      </c>
      <c r="EU478" s="408">
        <v>0</v>
      </c>
      <c r="EV478" s="408">
        <v>242</v>
      </c>
      <c r="EW478" s="408">
        <v>0</v>
      </c>
      <c r="EX478" s="408">
        <v>0</v>
      </c>
      <c r="EY478" s="408">
        <v>0</v>
      </c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478</v>
      </c>
      <c r="B479" s="408" t="s">
        <v>2234</v>
      </c>
      <c r="C479" s="408" t="s">
        <v>2231</v>
      </c>
      <c r="D479" s="408" t="s">
        <v>2241</v>
      </c>
      <c r="E479" s="408" t="s">
        <v>974</v>
      </c>
      <c r="F479" s="408" t="s">
        <v>1322</v>
      </c>
      <c r="G479" s="408" t="s">
        <v>1322</v>
      </c>
      <c r="H479" s="408" t="s">
        <v>1322</v>
      </c>
      <c r="I479" s="408" t="s">
        <v>1322</v>
      </c>
      <c r="J479" s="408" t="s">
        <v>2232</v>
      </c>
      <c r="K479" s="828">
        <v>44652</v>
      </c>
      <c r="L479" s="408">
        <v>0</v>
      </c>
      <c r="M479" s="408">
        <v>0</v>
      </c>
      <c r="N479" s="408">
        <v>-1</v>
      </c>
      <c r="O479" s="408">
        <v>-1</v>
      </c>
      <c r="P479" s="408">
        <v>-1</v>
      </c>
      <c r="Q479" s="408">
        <v>-1</v>
      </c>
      <c r="R479" s="408"/>
      <c r="S479" s="408">
        <v>571.87</v>
      </c>
      <c r="T479" s="408">
        <v>216.76</v>
      </c>
      <c r="U479" s="408"/>
      <c r="V479" s="408">
        <v>-788.63</v>
      </c>
      <c r="W479" s="408">
        <v>-788.63</v>
      </c>
      <c r="X479" s="408">
        <v>-514.01</v>
      </c>
      <c r="Y479" s="408">
        <v>0</v>
      </c>
      <c r="Z479" s="408">
        <v>-60.610617044039302</v>
      </c>
      <c r="AA479" s="408">
        <v>0</v>
      </c>
      <c r="AB479" s="408">
        <v>0</v>
      </c>
      <c r="AC479" s="408">
        <v>0</v>
      </c>
      <c r="AD479" s="408">
        <v>-0.82191369950813198</v>
      </c>
      <c r="AE479" s="408">
        <v>-426.383668786844</v>
      </c>
      <c r="AF479" s="408">
        <v>-213.601500823636</v>
      </c>
      <c r="AG479" s="408">
        <v>-3.1574047364523601</v>
      </c>
      <c r="AH479" s="408">
        <v>0</v>
      </c>
      <c r="AI479" s="408">
        <v>0</v>
      </c>
      <c r="AJ479" s="408">
        <v>0</v>
      </c>
      <c r="AK479" s="408">
        <v>0</v>
      </c>
      <c r="AL479" s="408">
        <v>-9.3736336585697693</v>
      </c>
      <c r="AM479" s="408"/>
      <c r="AN479" s="408">
        <v>-1.9184695561551299</v>
      </c>
      <c r="AO479" s="408">
        <v>-8.8816977491028393</v>
      </c>
      <c r="AP479" s="408">
        <v>-27.827105114966599</v>
      </c>
      <c r="AQ479" s="408">
        <v>0</v>
      </c>
      <c r="AR479" s="408">
        <v>0</v>
      </c>
      <c r="AS479" s="408">
        <v>0</v>
      </c>
      <c r="AT479" s="408">
        <v>0</v>
      </c>
      <c r="AU479" s="408">
        <v>0</v>
      </c>
      <c r="AV479" s="408">
        <v>0</v>
      </c>
      <c r="AW479" s="408">
        <v>0</v>
      </c>
      <c r="AX479" s="408">
        <v>0</v>
      </c>
      <c r="AY479" s="408">
        <v>0</v>
      </c>
      <c r="AZ479" s="408">
        <v>0</v>
      </c>
      <c r="BA479" s="408"/>
      <c r="BB479" s="408">
        <v>0</v>
      </c>
      <c r="BC479" s="408">
        <v>0</v>
      </c>
      <c r="BD479" s="408">
        <v>-0.59506962188139001</v>
      </c>
      <c r="BE479" s="408">
        <v>0</v>
      </c>
      <c r="BF479" s="408">
        <v>0</v>
      </c>
      <c r="BG479" s="408">
        <v>-35.458237466506297</v>
      </c>
      <c r="BH479" s="408">
        <v>0</v>
      </c>
      <c r="BI479" s="408">
        <v>-0.78</v>
      </c>
      <c r="BJ479" s="408">
        <v>-3.53</v>
      </c>
      <c r="BK479" s="408">
        <v>0</v>
      </c>
      <c r="BL479" s="408">
        <v>2</v>
      </c>
      <c r="BM479" s="408"/>
      <c r="BN479" s="408"/>
      <c r="BO479" s="408"/>
      <c r="BP479" s="408"/>
      <c r="BQ479" s="408"/>
      <c r="BR479" s="408">
        <v>-61.679999999999978</v>
      </c>
      <c r="BS479" s="408"/>
      <c r="BT479" s="408"/>
      <c r="BU479" s="408"/>
      <c r="BV479" s="408">
        <v>-249.65480791202367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-452.33000000000004</v>
      </c>
      <c r="CJ479" s="408">
        <v>241.64</v>
      </c>
      <c r="CK479" s="408"/>
      <c r="CL479" s="408"/>
      <c r="CM479" s="408"/>
      <c r="CN479" s="408"/>
      <c r="CO479" s="408">
        <v>307.25</v>
      </c>
      <c r="CP479" s="408">
        <v>-32.629999999999995</v>
      </c>
      <c r="CQ479" s="408">
        <v>30</v>
      </c>
      <c r="CR479" s="408">
        <v>-38.650305846504921</v>
      </c>
      <c r="CS479" s="408">
        <v>-0.91616066008590025</v>
      </c>
      <c r="CT479" s="408">
        <v>-2.8704083060001011</v>
      </c>
      <c r="CU479" s="408">
        <v>0</v>
      </c>
      <c r="CV479" s="408">
        <v>0</v>
      </c>
      <c r="CW479" s="408">
        <v>0</v>
      </c>
      <c r="CX479" s="408">
        <v>0</v>
      </c>
      <c r="CY479" s="408">
        <v>0</v>
      </c>
      <c r="CZ479" s="408">
        <v>-8.0362660814434994E-2</v>
      </c>
      <c r="DA479" s="408">
        <v>0</v>
      </c>
      <c r="DB479" s="408">
        <v>0</v>
      </c>
      <c r="DC479" s="408">
        <v>-32.634193523383999</v>
      </c>
      <c r="DD479" s="408">
        <v>0</v>
      </c>
      <c r="DE479" s="408">
        <v>0</v>
      </c>
      <c r="DF479" s="408">
        <v>-9.0915172063321004E-2</v>
      </c>
      <c r="DG479" s="408">
        <v>-5.417335454190102</v>
      </c>
      <c r="DH479" s="408">
        <v>0</v>
      </c>
      <c r="DI479" s="408">
        <v>2.8958053064573051</v>
      </c>
      <c r="DJ479" s="408"/>
      <c r="DK479" s="408">
        <v>0</v>
      </c>
      <c r="DL479" s="408">
        <v>0</v>
      </c>
      <c r="DM479" s="408">
        <v>0</v>
      </c>
      <c r="DN479" s="408">
        <v>0</v>
      </c>
      <c r="DO479" s="408">
        <v>0.37982534548418911</v>
      </c>
      <c r="DP479" s="408">
        <v>8.3439278091459901E-2</v>
      </c>
      <c r="DQ479" s="408">
        <v>0</v>
      </c>
      <c r="DR479" s="408">
        <v>0</v>
      </c>
      <c r="DS479" s="408"/>
      <c r="DT479" s="408"/>
      <c r="DU479" s="408"/>
      <c r="DV479" s="408">
        <v>-426.383668786844</v>
      </c>
      <c r="DW479" s="408">
        <v>0</v>
      </c>
      <c r="DX479" s="408">
        <v>0</v>
      </c>
      <c r="DY479" s="408">
        <v>307.25</v>
      </c>
      <c r="DZ479" s="234">
        <v>-32.629999999999995</v>
      </c>
      <c r="EA479" s="408">
        <v>0</v>
      </c>
      <c r="EB479" s="408">
        <v>0</v>
      </c>
      <c r="EC479" s="408">
        <v>313.26826744806499</v>
      </c>
      <c r="ED479" s="408">
        <v>0</v>
      </c>
      <c r="EE479" s="408">
        <v>0</v>
      </c>
      <c r="EF479" s="408">
        <v>0</v>
      </c>
      <c r="EG479" s="408">
        <v>0</v>
      </c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>
        <v>0</v>
      </c>
      <c r="EN479" s="408">
        <v>0</v>
      </c>
      <c r="EO479" s="408">
        <v>0</v>
      </c>
      <c r="EP479" s="408">
        <v>0</v>
      </c>
      <c r="EQ479" s="408">
        <v>0</v>
      </c>
      <c r="ER479" s="408">
        <v>0</v>
      </c>
      <c r="ES479" s="408">
        <v>0</v>
      </c>
      <c r="ET479" s="408">
        <v>0</v>
      </c>
      <c r="EU479" s="408">
        <v>0</v>
      </c>
      <c r="EV479" s="408">
        <v>242</v>
      </c>
      <c r="EW479" s="408">
        <v>0</v>
      </c>
      <c r="EX479" s="408">
        <v>0</v>
      </c>
      <c r="EY479" s="408">
        <v>0</v>
      </c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479</v>
      </c>
      <c r="B480" s="408" t="s">
        <v>1036</v>
      </c>
      <c r="C480" s="408" t="s">
        <v>2239</v>
      </c>
      <c r="D480" s="408" t="s">
        <v>597</v>
      </c>
      <c r="E480" s="408" t="s">
        <v>974</v>
      </c>
      <c r="F480" s="408" t="s">
        <v>1322</v>
      </c>
      <c r="G480" s="408" t="s">
        <v>1322</v>
      </c>
      <c r="H480" s="408" t="s">
        <v>1322</v>
      </c>
      <c r="I480" s="408" t="s">
        <v>973</v>
      </c>
      <c r="J480" s="408" t="s">
        <v>2232</v>
      </c>
      <c r="K480" s="828">
        <v>44652</v>
      </c>
      <c r="L480" s="408">
        <v>0</v>
      </c>
      <c r="M480" s="408">
        <v>0</v>
      </c>
      <c r="N480" s="408">
        <v>0.38100000000000001</v>
      </c>
      <c r="O480" s="408">
        <v>0.36575999999999997</v>
      </c>
      <c r="P480" s="408">
        <v>0.38100000000000001</v>
      </c>
      <c r="Q480" s="408">
        <v>0.36575999999999997</v>
      </c>
      <c r="R480" s="408"/>
      <c r="S480" s="408">
        <v>2592.54</v>
      </c>
      <c r="T480" s="408">
        <v>216.76</v>
      </c>
      <c r="U480" s="408"/>
      <c r="V480" s="408">
        <v>1070.3433</v>
      </c>
      <c r="W480" s="408">
        <v>1070.3433</v>
      </c>
      <c r="X480" s="408">
        <v>450.03719999999998</v>
      </c>
      <c r="Y480" s="408">
        <v>0</v>
      </c>
      <c r="Z480" s="408">
        <v>20.090601231587712</v>
      </c>
      <c r="AA480" s="408">
        <v>0</v>
      </c>
      <c r="AB480" s="408">
        <v>0</v>
      </c>
      <c r="AC480" s="408">
        <v>0</v>
      </c>
      <c r="AD480" s="408">
        <v>1.9265780138924167</v>
      </c>
      <c r="AE480" s="408">
        <v>872.82966318166916</v>
      </c>
      <c r="AF480" s="408">
        <v>81.382171813805314</v>
      </c>
      <c r="AG480" s="408">
        <v>1.2029712045883492</v>
      </c>
      <c r="AH480" s="408">
        <v>0</v>
      </c>
      <c r="AI480" s="408">
        <v>0</v>
      </c>
      <c r="AJ480" s="408">
        <v>0</v>
      </c>
      <c r="AK480" s="408">
        <v>0</v>
      </c>
      <c r="AL480" s="408">
        <v>3.5713544239150821</v>
      </c>
      <c r="AM480" s="408"/>
      <c r="AN480" s="408">
        <v>0.52319765686705244</v>
      </c>
      <c r="AO480" s="408">
        <v>17.188766057057222</v>
      </c>
      <c r="AP480" s="408">
        <v>65.227485263983453</v>
      </c>
      <c r="AQ480" s="408">
        <v>0</v>
      </c>
      <c r="AR480" s="408">
        <v>0</v>
      </c>
      <c r="AS480" s="408">
        <v>0</v>
      </c>
      <c r="AT480" s="408">
        <v>0</v>
      </c>
      <c r="AU480" s="408">
        <v>0</v>
      </c>
      <c r="AV480" s="408">
        <v>0</v>
      </c>
      <c r="AW480" s="408">
        <v>0</v>
      </c>
      <c r="AX480" s="408">
        <v>0</v>
      </c>
      <c r="AY480" s="408">
        <v>0</v>
      </c>
      <c r="AZ480" s="408">
        <v>0</v>
      </c>
      <c r="BA480" s="408"/>
      <c r="BB480" s="408">
        <v>0</v>
      </c>
      <c r="BC480" s="408">
        <v>0</v>
      </c>
      <c r="BD480" s="408">
        <v>0.17423080411133823</v>
      </c>
      <c r="BE480" s="408">
        <v>0</v>
      </c>
      <c r="BF480" s="408">
        <v>0</v>
      </c>
      <c r="BG480" s="408">
        <v>6.2240757511079545</v>
      </c>
      <c r="BH480" s="408">
        <v>0</v>
      </c>
      <c r="BI480" s="408">
        <v>0</v>
      </c>
      <c r="BJ480" s="408">
        <v>0</v>
      </c>
      <c r="BK480" s="408">
        <v>0</v>
      </c>
      <c r="BL480" s="408">
        <v>0</v>
      </c>
      <c r="BM480" s="408"/>
      <c r="BN480" s="408"/>
      <c r="BO480" s="408"/>
      <c r="BP480" s="408"/>
      <c r="BQ480" s="408"/>
      <c r="BR480" s="408">
        <v>18.001488000000037</v>
      </c>
      <c r="BS480" s="408"/>
      <c r="BT480" s="408"/>
      <c r="BU480" s="408"/>
      <c r="BV480" s="408">
        <v>87.780478369024607</v>
      </c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>
        <v>437.04399999999998</v>
      </c>
      <c r="CJ480" s="408">
        <v>-590.51556799999992</v>
      </c>
      <c r="CK480" s="408"/>
      <c r="CL480" s="408"/>
      <c r="CM480" s="408"/>
      <c r="CN480" s="408"/>
      <c r="CO480" s="408">
        <v>-632.73813000000007</v>
      </c>
      <c r="CP480" s="408">
        <v>12.432029999999999</v>
      </c>
      <c r="CQ480" s="408">
        <v>30</v>
      </c>
      <c r="CR480" s="408">
        <v>20.97355762666075</v>
      </c>
      <c r="CS480" s="408">
        <v>1.7730474174812194</v>
      </c>
      <c r="CT480" s="408">
        <v>6.7283145231132693</v>
      </c>
      <c r="CU480" s="408">
        <v>0</v>
      </c>
      <c r="CV480" s="408">
        <v>0</v>
      </c>
      <c r="CW480" s="408">
        <v>0</v>
      </c>
      <c r="CX480" s="408">
        <v>0</v>
      </c>
      <c r="CY480" s="408">
        <v>0</v>
      </c>
      <c r="CZ480" s="408">
        <v>0.18837127980180757</v>
      </c>
      <c r="DA480" s="408">
        <v>0</v>
      </c>
      <c r="DB480" s="408">
        <v>0</v>
      </c>
      <c r="DC480" s="408">
        <v>12.433627732409306</v>
      </c>
      <c r="DD480" s="408">
        <v>0</v>
      </c>
      <c r="DE480" s="408">
        <v>0</v>
      </c>
      <c r="DF480" s="408">
        <v>2.6619109684060616E-2</v>
      </c>
      <c r="DG480" s="408">
        <v>0.9509188455261457</v>
      </c>
      <c r="DH480" s="408">
        <v>0</v>
      </c>
      <c r="DI480" s="408">
        <v>-0.95987258493138228</v>
      </c>
      <c r="DJ480" s="408"/>
      <c r="DK480" s="408">
        <v>0</v>
      </c>
      <c r="DL480" s="408">
        <v>0</v>
      </c>
      <c r="DM480" s="408">
        <v>0</v>
      </c>
      <c r="DN480" s="408">
        <v>0</v>
      </c>
      <c r="DO480" s="408">
        <v>-0.14471345662947588</v>
      </c>
      <c r="DP480" s="408">
        <v>-2.2755239794172821E-2</v>
      </c>
      <c r="DQ480" s="408">
        <v>0</v>
      </c>
      <c r="DR480" s="408">
        <v>0</v>
      </c>
      <c r="DS480" s="408"/>
      <c r="DT480" s="408"/>
      <c r="DU480" s="408"/>
      <c r="DV480" s="408">
        <v>872.82966318166916</v>
      </c>
      <c r="DW480" s="408">
        <v>0</v>
      </c>
      <c r="DX480" s="408">
        <v>0</v>
      </c>
      <c r="DY480" s="408">
        <v>-632.73812999999996</v>
      </c>
      <c r="DZ480" s="234">
        <v>12.432029999999997</v>
      </c>
      <c r="EA480" s="408">
        <v>0</v>
      </c>
      <c r="EB480" s="408">
        <v>0</v>
      </c>
      <c r="EC480" s="408">
        <v>-641.27652248072297</v>
      </c>
      <c r="ED480" s="408">
        <v>0</v>
      </c>
      <c r="EE480" s="408">
        <v>0</v>
      </c>
      <c r="EF480" s="408">
        <v>0</v>
      </c>
      <c r="EG480" s="408">
        <v>0</v>
      </c>
      <c r="EH480" s="408">
        <v>0</v>
      </c>
      <c r="EI480" s="408">
        <v>0</v>
      </c>
      <c r="EJ480" s="408">
        <v>0</v>
      </c>
      <c r="EK480" s="408">
        <v>0</v>
      </c>
      <c r="EL480" s="408">
        <v>0</v>
      </c>
      <c r="EM480" s="408">
        <v>0</v>
      </c>
      <c r="EN480" s="408">
        <v>0</v>
      </c>
      <c r="EO480" s="408">
        <v>0</v>
      </c>
      <c r="EP480" s="408">
        <v>0</v>
      </c>
      <c r="EQ480" s="408">
        <v>0</v>
      </c>
      <c r="ER480" s="408">
        <v>0</v>
      </c>
      <c r="ES480" s="408">
        <v>0</v>
      </c>
      <c r="ET480" s="408">
        <v>0</v>
      </c>
      <c r="EU480" s="408">
        <v>0</v>
      </c>
      <c r="EV480" s="408">
        <v>242</v>
      </c>
      <c r="EW480" s="408">
        <v>0</v>
      </c>
      <c r="EX480" s="408">
        <v>0</v>
      </c>
      <c r="EY480" s="408">
        <v>0</v>
      </c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480</v>
      </c>
      <c r="B481" s="408" t="s">
        <v>1036</v>
      </c>
      <c r="C481" s="408" t="s">
        <v>2239</v>
      </c>
      <c r="D481" s="408" t="s">
        <v>597</v>
      </c>
      <c r="E481" s="408" t="s">
        <v>974</v>
      </c>
      <c r="F481" s="408" t="s">
        <v>1322</v>
      </c>
      <c r="G481" s="408" t="s">
        <v>1322</v>
      </c>
      <c r="H481" s="408" t="s">
        <v>1322</v>
      </c>
      <c r="I481" s="408" t="s">
        <v>2240</v>
      </c>
      <c r="J481" s="408" t="s">
        <v>2232</v>
      </c>
      <c r="K481" s="828">
        <v>44652</v>
      </c>
      <c r="L481" s="408">
        <v>0</v>
      </c>
      <c r="M481" s="408">
        <v>0</v>
      </c>
      <c r="N481" s="408">
        <v>28.491</v>
      </c>
      <c r="O481" s="408">
        <v>27.35136</v>
      </c>
      <c r="P481" s="408">
        <v>28.491</v>
      </c>
      <c r="Q481" s="408">
        <v>27.35136</v>
      </c>
      <c r="R481" s="408"/>
      <c r="S481" s="408">
        <v>80.27</v>
      </c>
      <c r="T481" s="408">
        <v>216.76</v>
      </c>
      <c r="U481" s="408"/>
      <c r="V481" s="408">
        <v>8462.6817300000002</v>
      </c>
      <c r="W481" s="408">
        <v>8462.6817300000002</v>
      </c>
      <c r="X481" s="408">
        <v>9381.2315699999999</v>
      </c>
      <c r="Y481" s="408">
        <v>0</v>
      </c>
      <c r="Z481" s="408">
        <v>1502.3656684754999</v>
      </c>
      <c r="AA481" s="408">
        <v>0</v>
      </c>
      <c r="AB481" s="408">
        <v>0</v>
      </c>
      <c r="AC481" s="408">
        <v>0</v>
      </c>
      <c r="AD481" s="408">
        <v>0</v>
      </c>
      <c r="AE481" s="408">
        <v>0</v>
      </c>
      <c r="AF481" s="408">
        <v>6085.7203599662134</v>
      </c>
      <c r="AG481" s="408">
        <v>89.957618346264184</v>
      </c>
      <c r="AH481" s="408">
        <v>0</v>
      </c>
      <c r="AI481" s="408">
        <v>0</v>
      </c>
      <c r="AJ481" s="408">
        <v>0</v>
      </c>
      <c r="AK481" s="408">
        <v>0</v>
      </c>
      <c r="AL481" s="408">
        <v>267.0641965663113</v>
      </c>
      <c r="AM481" s="408"/>
      <c r="AN481" s="408">
        <v>39.124473600522812</v>
      </c>
      <c r="AO481" s="408">
        <v>0</v>
      </c>
      <c r="AP481" s="408">
        <v>0</v>
      </c>
      <c r="AQ481" s="408">
        <v>0</v>
      </c>
      <c r="AR481" s="408">
        <v>0</v>
      </c>
      <c r="AS481" s="408">
        <v>0</v>
      </c>
      <c r="AT481" s="408">
        <v>0</v>
      </c>
      <c r="AU481" s="408">
        <v>0</v>
      </c>
      <c r="AV481" s="408">
        <v>0</v>
      </c>
      <c r="AW481" s="408">
        <v>0</v>
      </c>
      <c r="AX481" s="408">
        <v>0</v>
      </c>
      <c r="AY481" s="408">
        <v>0</v>
      </c>
      <c r="AZ481" s="408">
        <v>0</v>
      </c>
      <c r="BA481" s="408"/>
      <c r="BB481" s="408">
        <v>0</v>
      </c>
      <c r="BC481" s="408">
        <v>0</v>
      </c>
      <c r="BD481" s="408">
        <v>13.028897217680152</v>
      </c>
      <c r="BE481" s="408">
        <v>0</v>
      </c>
      <c r="BF481" s="408">
        <v>0</v>
      </c>
      <c r="BG481" s="408">
        <v>465.433444159624</v>
      </c>
      <c r="BH481" s="408">
        <v>0</v>
      </c>
      <c r="BI481" s="408">
        <v>0</v>
      </c>
      <c r="BJ481" s="408">
        <v>0</v>
      </c>
      <c r="BK481" s="408">
        <v>0</v>
      </c>
      <c r="BL481" s="408">
        <v>0</v>
      </c>
      <c r="BM481" s="408"/>
      <c r="BN481" s="408"/>
      <c r="BO481" s="408"/>
      <c r="BP481" s="408"/>
      <c r="BQ481" s="408"/>
      <c r="BR481" s="408">
        <v>375.2492628</v>
      </c>
      <c r="BS481" s="408"/>
      <c r="BT481" s="408"/>
      <c r="BU481" s="408"/>
      <c r="BV481" s="408">
        <v>6564.1827013435177</v>
      </c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>
        <v>9005.5344999999998</v>
      </c>
      <c r="CJ481" s="408">
        <v>881.3300392000001</v>
      </c>
      <c r="CK481" s="408"/>
      <c r="CL481" s="408"/>
      <c r="CM481" s="408"/>
      <c r="CN481" s="408"/>
      <c r="CO481" s="408">
        <v>-11.111490000000016</v>
      </c>
      <c r="CP481" s="408">
        <v>929.66132999999991</v>
      </c>
      <c r="CQ481" s="408">
        <v>30</v>
      </c>
      <c r="CR481" s="408">
        <v>918.57858571884753</v>
      </c>
      <c r="CS481" s="408">
        <v>0</v>
      </c>
      <c r="CT481" s="408">
        <v>0</v>
      </c>
      <c r="CU481" s="408">
        <v>0</v>
      </c>
      <c r="CV481" s="408">
        <v>0</v>
      </c>
      <c r="CW481" s="408">
        <v>0</v>
      </c>
      <c r="CX481" s="408">
        <v>0</v>
      </c>
      <c r="CY481" s="408">
        <v>0</v>
      </c>
      <c r="CZ481" s="408">
        <v>0</v>
      </c>
      <c r="DA481" s="408">
        <v>0</v>
      </c>
      <c r="DB481" s="408">
        <v>0</v>
      </c>
      <c r="DC481" s="408">
        <v>929.7808076747333</v>
      </c>
      <c r="DD481" s="408">
        <v>0</v>
      </c>
      <c r="DE481" s="408">
        <v>0</v>
      </c>
      <c r="DF481" s="408">
        <v>1.9905644462167196</v>
      </c>
      <c r="DG481" s="408">
        <v>71.109262015447314</v>
      </c>
      <c r="DH481" s="408">
        <v>0</v>
      </c>
      <c r="DI481" s="408">
        <v>-71.778818418057654</v>
      </c>
      <c r="DJ481" s="408"/>
      <c r="DK481" s="408">
        <v>0</v>
      </c>
      <c r="DL481" s="408">
        <v>0</v>
      </c>
      <c r="DM481" s="408">
        <v>0</v>
      </c>
      <c r="DN481" s="408">
        <v>0</v>
      </c>
      <c r="DO481" s="408">
        <v>-10.821603918190021</v>
      </c>
      <c r="DP481" s="408">
        <v>-1.7016260813012565</v>
      </c>
      <c r="DQ481" s="408">
        <v>0</v>
      </c>
      <c r="DR481" s="408">
        <v>0</v>
      </c>
      <c r="DS481" s="408"/>
      <c r="DT481" s="408"/>
      <c r="DU481" s="408"/>
      <c r="DV481" s="408">
        <v>0</v>
      </c>
      <c r="DW481" s="408">
        <v>0</v>
      </c>
      <c r="DX481" s="408">
        <v>0</v>
      </c>
      <c r="DY481" s="408">
        <v>-11.111490000000231</v>
      </c>
      <c r="DZ481" s="234">
        <v>929.66132999999991</v>
      </c>
      <c r="EA481" s="408">
        <v>0</v>
      </c>
      <c r="EB481" s="408">
        <v>0</v>
      </c>
      <c r="EC481" s="408">
        <v>0</v>
      </c>
      <c r="ED481" s="408">
        <v>0</v>
      </c>
      <c r="EE481" s="408">
        <v>0</v>
      </c>
      <c r="EF481" s="408">
        <v>0</v>
      </c>
      <c r="EG481" s="408">
        <v>0</v>
      </c>
      <c r="EH481" s="408">
        <v>0</v>
      </c>
      <c r="EI481" s="408">
        <v>0</v>
      </c>
      <c r="EJ481" s="408">
        <v>0</v>
      </c>
      <c r="EK481" s="408">
        <v>0</v>
      </c>
      <c r="EL481" s="408">
        <v>0</v>
      </c>
      <c r="EM481" s="408">
        <v>0</v>
      </c>
      <c r="EN481" s="408">
        <v>0</v>
      </c>
      <c r="EO481" s="408">
        <v>0</v>
      </c>
      <c r="EP481" s="408">
        <v>0</v>
      </c>
      <c r="EQ481" s="408">
        <v>0</v>
      </c>
      <c r="ER481" s="408">
        <v>0</v>
      </c>
      <c r="ES481" s="408">
        <v>0</v>
      </c>
      <c r="ET481" s="408">
        <v>0</v>
      </c>
      <c r="EU481" s="408">
        <v>0</v>
      </c>
      <c r="EV481" s="408">
        <v>242</v>
      </c>
      <c r="EW481" s="408">
        <v>0</v>
      </c>
      <c r="EX481" s="408">
        <v>0</v>
      </c>
      <c r="EY481" s="408">
        <v>0</v>
      </c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481</v>
      </c>
      <c r="B482" s="408" t="s">
        <v>1036</v>
      </c>
      <c r="C482" s="408" t="s">
        <v>2239</v>
      </c>
      <c r="D482" s="408" t="s">
        <v>597</v>
      </c>
      <c r="E482" s="408" t="s">
        <v>974</v>
      </c>
      <c r="F482" s="408" t="s">
        <v>1322</v>
      </c>
      <c r="G482" s="408" t="s">
        <v>1322</v>
      </c>
      <c r="H482" s="408" t="s">
        <v>1322</v>
      </c>
      <c r="I482" s="408" t="s">
        <v>1322</v>
      </c>
      <c r="J482" s="408" t="s">
        <v>2232</v>
      </c>
      <c r="K482" s="828">
        <v>44652</v>
      </c>
      <c r="L482" s="408">
        <v>100</v>
      </c>
      <c r="M482" s="408">
        <v>96</v>
      </c>
      <c r="N482" s="408">
        <v>0</v>
      </c>
      <c r="O482" s="408">
        <v>0</v>
      </c>
      <c r="P482" s="408">
        <v>0</v>
      </c>
      <c r="Q482" s="408">
        <v>0</v>
      </c>
      <c r="R482" s="408">
        <v>32.17</v>
      </c>
      <c r="S482" s="408"/>
      <c r="T482" s="408"/>
      <c r="U482" s="408">
        <v>3217</v>
      </c>
      <c r="V482" s="408"/>
      <c r="W482" s="408">
        <v>3217</v>
      </c>
      <c r="X482" s="408">
        <v>1293</v>
      </c>
      <c r="Y482" s="408">
        <v>0</v>
      </c>
      <c r="Z482" s="408">
        <v>0</v>
      </c>
      <c r="AA482" s="408">
        <v>0</v>
      </c>
      <c r="AB482" s="408">
        <v>0</v>
      </c>
      <c r="AC482" s="408">
        <v>0</v>
      </c>
      <c r="AD482" s="408">
        <v>9.99162251312754</v>
      </c>
      <c r="AE482" s="408">
        <v>2692.6735428492998</v>
      </c>
      <c r="AF482" s="408"/>
      <c r="AG482" s="408"/>
      <c r="AH482" s="408"/>
      <c r="AI482" s="408">
        <v>0</v>
      </c>
      <c r="AJ482" s="408">
        <v>0</v>
      </c>
      <c r="AK482" s="408">
        <v>0</v>
      </c>
      <c r="AL482" s="408">
        <v>0</v>
      </c>
      <c r="AM482" s="408"/>
      <c r="AN482" s="408">
        <v>0</v>
      </c>
      <c r="AO482" s="408">
        <v>176.44211064137301</v>
      </c>
      <c r="AP482" s="408">
        <v>338.28651654456803</v>
      </c>
      <c r="AQ482" s="408">
        <v>0</v>
      </c>
      <c r="AR482" s="408">
        <v>0</v>
      </c>
      <c r="AS482" s="408"/>
      <c r="AT482" s="408"/>
      <c r="AU482" s="408">
        <v>0</v>
      </c>
      <c r="AV482" s="408">
        <v>0</v>
      </c>
      <c r="AW482" s="408">
        <v>0</v>
      </c>
      <c r="AX482" s="408"/>
      <c r="AY482" s="408"/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0</v>
      </c>
      <c r="BF482" s="408"/>
      <c r="BG482" s="408">
        <v>0</v>
      </c>
      <c r="BH482" s="408">
        <v>0</v>
      </c>
      <c r="BI482" s="408">
        <v>39.1</v>
      </c>
      <c r="BJ482" s="408">
        <v>178.87</v>
      </c>
      <c r="BK482" s="408">
        <v>6.65</v>
      </c>
      <c r="BL482" s="408">
        <v>1</v>
      </c>
      <c r="BM482" s="408"/>
      <c r="BN482" s="408"/>
      <c r="BO482" s="408"/>
      <c r="BP482" s="408"/>
      <c r="BQ482" s="408"/>
      <c r="BR482" s="408">
        <v>51.72</v>
      </c>
      <c r="BS482" s="408"/>
      <c r="BT482" s="408"/>
      <c r="BU482" s="408"/>
      <c r="BV482" s="408">
        <v>0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1241.28</v>
      </c>
      <c r="CJ482" s="408">
        <v>-1847.0700000000008</v>
      </c>
      <c r="CK482" s="408"/>
      <c r="CL482" s="408"/>
      <c r="CM482" s="408"/>
      <c r="CN482" s="408"/>
      <c r="CO482" s="408">
        <v>-1924.0000000000002</v>
      </c>
      <c r="CP482" s="408">
        <v>0</v>
      </c>
      <c r="CQ482" s="408">
        <v>30</v>
      </c>
      <c r="CR482" s="408">
        <v>54.071973915990384</v>
      </c>
      <c r="CS482" s="408">
        <v>18.200272641396992</v>
      </c>
      <c r="CT482" s="408">
        <v>34.894769789586007</v>
      </c>
      <c r="CU482" s="408">
        <v>0</v>
      </c>
      <c r="CV482" s="408">
        <v>0</v>
      </c>
      <c r="CW482" s="408"/>
      <c r="CX482" s="408"/>
      <c r="CY482" s="408"/>
      <c r="CZ482" s="408">
        <v>0.97693148500736093</v>
      </c>
      <c r="DA482" s="408">
        <v>0</v>
      </c>
      <c r="DB482" s="408">
        <v>0</v>
      </c>
      <c r="DC482" s="408"/>
      <c r="DD482" s="408"/>
      <c r="DE482" s="408">
        <v>0</v>
      </c>
      <c r="DF482" s="408">
        <v>0</v>
      </c>
      <c r="DG482" s="408">
        <v>0</v>
      </c>
      <c r="DH482" s="408">
        <v>0</v>
      </c>
      <c r="DI482" s="408">
        <v>0</v>
      </c>
      <c r="DJ482" s="408"/>
      <c r="DK482" s="408">
        <v>0</v>
      </c>
      <c r="DL482" s="408">
        <v>0</v>
      </c>
      <c r="DM482" s="408"/>
      <c r="DN482" s="408">
        <v>0</v>
      </c>
      <c r="DO482" s="408">
        <v>0</v>
      </c>
      <c r="DP482" s="408">
        <v>0</v>
      </c>
      <c r="DQ482" s="408">
        <v>0</v>
      </c>
      <c r="DR482" s="408">
        <v>0</v>
      </c>
      <c r="DS482" s="408"/>
      <c r="DT482" s="408"/>
      <c r="DU482" s="408">
        <v>2692.6735428492998</v>
      </c>
      <c r="DV482" s="408"/>
      <c r="DW482" s="408">
        <v>0</v>
      </c>
      <c r="DX482" s="408">
        <v>0</v>
      </c>
      <c r="DY482" s="408">
        <v>-1924</v>
      </c>
      <c r="DZ482" s="234"/>
      <c r="EA482" s="408">
        <v>0</v>
      </c>
      <c r="EB482" s="408"/>
      <c r="EC482" s="408">
        <v>-1978.3336870562368</v>
      </c>
      <c r="ED482" s="408"/>
      <c r="EE482" s="408">
        <v>0</v>
      </c>
      <c r="EF482" s="408">
        <v>0</v>
      </c>
      <c r="EG482" s="408"/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/>
      <c r="EN482" s="408"/>
      <c r="EO482" s="408">
        <v>0</v>
      </c>
      <c r="EP482" s="408">
        <v>0</v>
      </c>
      <c r="EQ482" s="408"/>
      <c r="ER482" s="408">
        <v>0</v>
      </c>
      <c r="ES482" s="408"/>
      <c r="ET482" s="408">
        <v>0</v>
      </c>
      <c r="EU482" s="408"/>
      <c r="EV482" s="408">
        <v>242</v>
      </c>
      <c r="EW482" s="408"/>
      <c r="EX482" s="408"/>
      <c r="EY482" s="408"/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482</v>
      </c>
      <c r="B483" s="408" t="s">
        <v>1036</v>
      </c>
      <c r="C483" s="408" t="s">
        <v>2231</v>
      </c>
      <c r="D483" s="408" t="s">
        <v>1955</v>
      </c>
      <c r="E483" s="408" t="s">
        <v>2242</v>
      </c>
      <c r="F483" s="408" t="s">
        <v>1322</v>
      </c>
      <c r="G483" s="408" t="s">
        <v>1322</v>
      </c>
      <c r="H483" s="408" t="s">
        <v>1322</v>
      </c>
      <c r="I483" s="408" t="s">
        <v>1322</v>
      </c>
      <c r="J483" s="408" t="s">
        <v>2232</v>
      </c>
      <c r="K483" s="828">
        <v>44652</v>
      </c>
      <c r="L483" s="408">
        <v>0</v>
      </c>
      <c r="M483" s="408">
        <v>0</v>
      </c>
      <c r="N483" s="408">
        <v>38.625</v>
      </c>
      <c r="O483" s="408">
        <v>38.625</v>
      </c>
      <c r="P483" s="408">
        <v>38.625</v>
      </c>
      <c r="Q483" s="408">
        <v>38.625</v>
      </c>
      <c r="R483" s="408"/>
      <c r="S483" s="408">
        <v>571.87</v>
      </c>
      <c r="T483" s="408">
        <v>216.76</v>
      </c>
      <c r="U483" s="408"/>
      <c r="V483" s="408">
        <v>30460.833749999998</v>
      </c>
      <c r="W483" s="408">
        <v>30460.833749999998</v>
      </c>
      <c r="X483" s="408">
        <v>19853.63625</v>
      </c>
      <c r="Y483" s="408">
        <v>0</v>
      </c>
      <c r="Z483" s="408">
        <v>2341.0850833260179</v>
      </c>
      <c r="AA483" s="408">
        <v>0</v>
      </c>
      <c r="AB483" s="408">
        <v>0</v>
      </c>
      <c r="AC483" s="408">
        <v>0</v>
      </c>
      <c r="AD483" s="408">
        <v>31.746416643501597</v>
      </c>
      <c r="AE483" s="408">
        <v>16469.069206891851</v>
      </c>
      <c r="AF483" s="408">
        <v>8250.3579693129413</v>
      </c>
      <c r="AG483" s="408">
        <v>121.95475794547241</v>
      </c>
      <c r="AH483" s="408">
        <v>0</v>
      </c>
      <c r="AI483" s="408">
        <v>0</v>
      </c>
      <c r="AJ483" s="408">
        <v>0</v>
      </c>
      <c r="AK483" s="408">
        <v>0</v>
      </c>
      <c r="AL483" s="408">
        <v>362.05660006225736</v>
      </c>
      <c r="AM483" s="408"/>
      <c r="AN483" s="408">
        <v>74.100886606491898</v>
      </c>
      <c r="AO483" s="408">
        <v>343.05557555909718</v>
      </c>
      <c r="AP483" s="408">
        <v>1074.821935065585</v>
      </c>
      <c r="AQ483" s="408">
        <v>0</v>
      </c>
      <c r="AR483" s="408">
        <v>0</v>
      </c>
      <c r="AS483" s="408">
        <v>0</v>
      </c>
      <c r="AT483" s="408">
        <v>0</v>
      </c>
      <c r="AU483" s="408">
        <v>0</v>
      </c>
      <c r="AV483" s="408">
        <v>0</v>
      </c>
      <c r="AW483" s="408">
        <v>0</v>
      </c>
      <c r="AX483" s="408">
        <v>0</v>
      </c>
      <c r="AY483" s="408">
        <v>0</v>
      </c>
      <c r="AZ483" s="408">
        <v>0</v>
      </c>
      <c r="BA483" s="408"/>
      <c r="BB483" s="408">
        <v>0</v>
      </c>
      <c r="BC483" s="408">
        <v>0</v>
      </c>
      <c r="BD483" s="408">
        <v>22.98456414516869</v>
      </c>
      <c r="BE483" s="408">
        <v>0</v>
      </c>
      <c r="BF483" s="408">
        <v>0</v>
      </c>
      <c r="BG483" s="408">
        <v>1369.5744221438058</v>
      </c>
      <c r="BH483" s="408">
        <v>0</v>
      </c>
      <c r="BI483" s="408">
        <v>75.87</v>
      </c>
      <c r="BJ483" s="408">
        <v>348.41</v>
      </c>
      <c r="BK483" s="408">
        <v>7856.07</v>
      </c>
      <c r="BL483" s="408">
        <v>104</v>
      </c>
      <c r="BM483" s="408"/>
      <c r="BN483" s="408"/>
      <c r="BO483" s="408"/>
      <c r="BP483" s="408"/>
      <c r="BQ483" s="408"/>
      <c r="BR483" s="408"/>
      <c r="BS483" s="408"/>
      <c r="BT483" s="408"/>
      <c r="BU483" s="408"/>
      <c r="BV483" s="408">
        <v>9642.9169556019151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19856.206300000002</v>
      </c>
      <c r="CJ483" s="408">
        <v>-10604.657449999992</v>
      </c>
      <c r="CK483" s="408"/>
      <c r="CL483" s="408"/>
      <c r="CM483" s="408"/>
      <c r="CN483" s="408"/>
      <c r="CO483" s="408">
        <v>-11867.53125</v>
      </c>
      <c r="CP483" s="408">
        <v>1260.3337499999998</v>
      </c>
      <c r="CQ483" s="408">
        <v>30</v>
      </c>
      <c r="CR483" s="408">
        <v>1492.8680633212534</v>
      </c>
      <c r="CS483" s="408">
        <v>35.386705495817864</v>
      </c>
      <c r="CT483" s="408">
        <v>110.86952081925392</v>
      </c>
      <c r="CU483" s="408">
        <v>0</v>
      </c>
      <c r="CV483" s="408">
        <v>0</v>
      </c>
      <c r="CW483" s="408">
        <v>0</v>
      </c>
      <c r="CX483" s="408">
        <v>0</v>
      </c>
      <c r="CY483" s="408">
        <v>0</v>
      </c>
      <c r="CZ483" s="408">
        <v>3.1040077739575551</v>
      </c>
      <c r="DA483" s="408">
        <v>0</v>
      </c>
      <c r="DB483" s="408">
        <v>0</v>
      </c>
      <c r="DC483" s="408">
        <v>1260.4957248407063</v>
      </c>
      <c r="DD483" s="408">
        <v>0</v>
      </c>
      <c r="DE483" s="408">
        <v>0</v>
      </c>
      <c r="DF483" s="408">
        <v>3.5115985209457712</v>
      </c>
      <c r="DG483" s="408">
        <v>209.24458191809254</v>
      </c>
      <c r="DH483" s="408">
        <v>0</v>
      </c>
      <c r="DI483" s="408">
        <v>-111.85047996191315</v>
      </c>
      <c r="DJ483" s="408"/>
      <c r="DK483" s="408">
        <v>0</v>
      </c>
      <c r="DL483" s="408">
        <v>0</v>
      </c>
      <c r="DM483" s="408">
        <v>0</v>
      </c>
      <c r="DN483" s="408">
        <v>0</v>
      </c>
      <c r="DO483" s="408">
        <v>-14.670753969326825</v>
      </c>
      <c r="DP483" s="408">
        <v>-3.2228421162826493</v>
      </c>
      <c r="DQ483" s="408">
        <v>0</v>
      </c>
      <c r="DR483" s="408">
        <v>0</v>
      </c>
      <c r="DS483" s="408"/>
      <c r="DT483" s="408"/>
      <c r="DU483" s="408"/>
      <c r="DV483" s="408">
        <v>16469.069206891851</v>
      </c>
      <c r="DW483" s="408">
        <v>0</v>
      </c>
      <c r="DX483" s="408">
        <v>0</v>
      </c>
      <c r="DY483" s="408">
        <v>-11867.531249999998</v>
      </c>
      <c r="DZ483" s="234">
        <v>1260.3337499999998</v>
      </c>
      <c r="EA483" s="408">
        <v>0</v>
      </c>
      <c r="EB483" s="408">
        <v>0</v>
      </c>
      <c r="EC483" s="408">
        <v>-12099.986830181511</v>
      </c>
      <c r="ED483" s="408">
        <v>0</v>
      </c>
      <c r="EE483" s="408">
        <v>0</v>
      </c>
      <c r="EF483" s="408">
        <v>0</v>
      </c>
      <c r="EG483" s="408">
        <v>0</v>
      </c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>
        <v>0</v>
      </c>
      <c r="EN483" s="408">
        <v>0</v>
      </c>
      <c r="EO483" s="408">
        <v>0</v>
      </c>
      <c r="EP483" s="408">
        <v>0</v>
      </c>
      <c r="EQ483" s="408">
        <v>0</v>
      </c>
      <c r="ER483" s="408">
        <v>0</v>
      </c>
      <c r="ES483" s="408">
        <v>0</v>
      </c>
      <c r="ET483" s="408">
        <v>0</v>
      </c>
      <c r="EU483" s="408">
        <v>0</v>
      </c>
      <c r="EV483" s="408">
        <v>242</v>
      </c>
      <c r="EW483" s="408">
        <v>0</v>
      </c>
      <c r="EX483" s="408">
        <v>0</v>
      </c>
      <c r="EY483" s="408">
        <v>0</v>
      </c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483</v>
      </c>
      <c r="B484" s="408" t="s">
        <v>2234</v>
      </c>
      <c r="C484" s="408" t="s">
        <v>2231</v>
      </c>
      <c r="D484" s="408" t="s">
        <v>1955</v>
      </c>
      <c r="E484" s="408" t="s">
        <v>2242</v>
      </c>
      <c r="F484" s="408" t="s">
        <v>1322</v>
      </c>
      <c r="G484" s="408" t="s">
        <v>1322</v>
      </c>
      <c r="H484" s="408" t="s">
        <v>1322</v>
      </c>
      <c r="I484" s="408" t="s">
        <v>1322</v>
      </c>
      <c r="J484" s="408" t="s">
        <v>2232</v>
      </c>
      <c r="K484" s="828">
        <v>44652</v>
      </c>
      <c r="L484" s="408">
        <v>0</v>
      </c>
      <c r="M484" s="408">
        <v>0</v>
      </c>
      <c r="N484" s="408">
        <v>0.1</v>
      </c>
      <c r="O484" s="408">
        <v>0.1</v>
      </c>
      <c r="P484" s="408">
        <v>0.1</v>
      </c>
      <c r="Q484" s="408">
        <v>0.1</v>
      </c>
      <c r="R484" s="408"/>
      <c r="S484" s="408">
        <v>571.87</v>
      </c>
      <c r="T484" s="408">
        <v>216.76</v>
      </c>
      <c r="U484" s="408"/>
      <c r="V484" s="408">
        <v>78.863</v>
      </c>
      <c r="W484" s="408">
        <v>78.863</v>
      </c>
      <c r="X484" s="408">
        <v>51.401000000000003</v>
      </c>
      <c r="Y484" s="408">
        <v>0</v>
      </c>
      <c r="Z484" s="408">
        <v>6.0610617044039303</v>
      </c>
      <c r="AA484" s="408">
        <v>0</v>
      </c>
      <c r="AB484" s="408">
        <v>0</v>
      </c>
      <c r="AC484" s="408">
        <v>0</v>
      </c>
      <c r="AD484" s="408">
        <v>8.2191369950813206E-2</v>
      </c>
      <c r="AE484" s="408">
        <v>42.638366878684401</v>
      </c>
      <c r="AF484" s="408">
        <v>21.360150082363603</v>
      </c>
      <c r="AG484" s="408">
        <v>0.31574047364523605</v>
      </c>
      <c r="AH484" s="408">
        <v>0</v>
      </c>
      <c r="AI484" s="408">
        <v>0</v>
      </c>
      <c r="AJ484" s="408">
        <v>0</v>
      </c>
      <c r="AK484" s="408">
        <v>0</v>
      </c>
      <c r="AL484" s="408">
        <v>0.93736336585697699</v>
      </c>
      <c r="AM484" s="408"/>
      <c r="AN484" s="408">
        <v>0.19184695561551302</v>
      </c>
      <c r="AO484" s="408">
        <v>0.88816977491028393</v>
      </c>
      <c r="AP484" s="408">
        <v>2.7827105114966599</v>
      </c>
      <c r="AQ484" s="408">
        <v>0</v>
      </c>
      <c r="AR484" s="408">
        <v>0</v>
      </c>
      <c r="AS484" s="408">
        <v>0</v>
      </c>
      <c r="AT484" s="408">
        <v>0</v>
      </c>
      <c r="AU484" s="408">
        <v>0</v>
      </c>
      <c r="AV484" s="408">
        <v>0</v>
      </c>
      <c r="AW484" s="408">
        <v>0</v>
      </c>
      <c r="AX484" s="408">
        <v>0</v>
      </c>
      <c r="AY484" s="408">
        <v>0</v>
      </c>
      <c r="AZ484" s="408">
        <v>0</v>
      </c>
      <c r="BA484" s="408"/>
      <c r="BB484" s="408">
        <v>0</v>
      </c>
      <c r="BC484" s="408">
        <v>0</v>
      </c>
      <c r="BD484" s="408">
        <v>5.9506962188139001E-2</v>
      </c>
      <c r="BE484" s="408">
        <v>0</v>
      </c>
      <c r="BF484" s="408">
        <v>0</v>
      </c>
      <c r="BG484" s="408">
        <v>3.5458237466506297</v>
      </c>
      <c r="BH484" s="408">
        <v>0</v>
      </c>
      <c r="BI484" s="408">
        <v>0.19</v>
      </c>
      <c r="BJ484" s="408">
        <v>0.9</v>
      </c>
      <c r="BK484" s="408">
        <v>83.48</v>
      </c>
      <c r="BL484" s="408">
        <v>1</v>
      </c>
      <c r="BM484" s="408"/>
      <c r="BN484" s="408"/>
      <c r="BO484" s="408"/>
      <c r="BP484" s="408"/>
      <c r="BQ484" s="408"/>
      <c r="BR484" s="408"/>
      <c r="BS484" s="408"/>
      <c r="BT484" s="408"/>
      <c r="BU484" s="408"/>
      <c r="BV484" s="408">
        <v>24.965480791202371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51.401000000000003</v>
      </c>
      <c r="CJ484" s="408">
        <v>-27.492000000000012</v>
      </c>
      <c r="CK484" s="408"/>
      <c r="CL484" s="408"/>
      <c r="CM484" s="408"/>
      <c r="CN484" s="408"/>
      <c r="CO484" s="408">
        <v>-30.725000000000001</v>
      </c>
      <c r="CP484" s="408">
        <v>3.2629999999999999</v>
      </c>
      <c r="CQ484" s="408">
        <v>30</v>
      </c>
      <c r="CR484" s="408">
        <v>3.8650305846504907</v>
      </c>
      <c r="CS484" s="408">
        <v>9.1616066008590069E-2</v>
      </c>
      <c r="CT484" s="408">
        <v>0.28704083060001029</v>
      </c>
      <c r="CU484" s="408">
        <v>0</v>
      </c>
      <c r="CV484" s="408">
        <v>0</v>
      </c>
      <c r="CW484" s="408">
        <v>0</v>
      </c>
      <c r="CX484" s="408">
        <v>0</v>
      </c>
      <c r="CY484" s="408">
        <v>0</v>
      </c>
      <c r="CZ484" s="408">
        <v>8.0362660814434911E-3</v>
      </c>
      <c r="DA484" s="408">
        <v>0</v>
      </c>
      <c r="DB484" s="408">
        <v>0</v>
      </c>
      <c r="DC484" s="408">
        <v>3.2634193523383992</v>
      </c>
      <c r="DD484" s="408">
        <v>0</v>
      </c>
      <c r="DE484" s="408">
        <v>0</v>
      </c>
      <c r="DF484" s="408">
        <v>9.0915172063320976E-3</v>
      </c>
      <c r="DG484" s="408">
        <v>0.5417335454190102</v>
      </c>
      <c r="DH484" s="408">
        <v>0</v>
      </c>
      <c r="DI484" s="408">
        <v>-0.28958053064572997</v>
      </c>
      <c r="DJ484" s="408"/>
      <c r="DK484" s="408">
        <v>0</v>
      </c>
      <c r="DL484" s="408">
        <v>0</v>
      </c>
      <c r="DM484" s="408">
        <v>0</v>
      </c>
      <c r="DN484" s="408">
        <v>0</v>
      </c>
      <c r="DO484" s="408">
        <v>-3.7982534548418934E-2</v>
      </c>
      <c r="DP484" s="408">
        <v>-8.3439278091460012E-3</v>
      </c>
      <c r="DQ484" s="408">
        <v>0</v>
      </c>
      <c r="DR484" s="408">
        <v>0</v>
      </c>
      <c r="DS484" s="408"/>
      <c r="DT484" s="408"/>
      <c r="DU484" s="408"/>
      <c r="DV484" s="408">
        <v>42.638366878684401</v>
      </c>
      <c r="DW484" s="408">
        <v>0</v>
      </c>
      <c r="DX484" s="408">
        <v>0</v>
      </c>
      <c r="DY484" s="408">
        <v>-30.725000000000001</v>
      </c>
      <c r="DZ484" s="234">
        <v>3.2629999999999981</v>
      </c>
      <c r="EA484" s="408">
        <v>0</v>
      </c>
      <c r="EB484" s="408">
        <v>0</v>
      </c>
      <c r="EC484" s="408">
        <v>-31.326826744806503</v>
      </c>
      <c r="ED484" s="408">
        <v>0</v>
      </c>
      <c r="EE484" s="408">
        <v>0</v>
      </c>
      <c r="EF484" s="408">
        <v>0</v>
      </c>
      <c r="EG484" s="408">
        <v>0</v>
      </c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>
        <v>0</v>
      </c>
      <c r="EN484" s="408">
        <v>0</v>
      </c>
      <c r="EO484" s="408">
        <v>0</v>
      </c>
      <c r="EP484" s="408">
        <v>0</v>
      </c>
      <c r="EQ484" s="408">
        <v>0</v>
      </c>
      <c r="ER484" s="408">
        <v>0</v>
      </c>
      <c r="ES484" s="408">
        <v>0</v>
      </c>
      <c r="ET484" s="408">
        <v>0</v>
      </c>
      <c r="EU484" s="408">
        <v>0</v>
      </c>
      <c r="EV484" s="408">
        <v>242</v>
      </c>
      <c r="EW484" s="408">
        <v>0</v>
      </c>
      <c r="EX484" s="408">
        <v>0</v>
      </c>
      <c r="EY484" s="408">
        <v>0</v>
      </c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484</v>
      </c>
      <c r="B485" s="408" t="s">
        <v>2234</v>
      </c>
      <c r="C485" s="408" t="s">
        <v>2239</v>
      </c>
      <c r="D485" s="408" t="s">
        <v>597</v>
      </c>
      <c r="E485" s="408" t="s">
        <v>2242</v>
      </c>
      <c r="F485" s="408" t="s">
        <v>1322</v>
      </c>
      <c r="G485" s="408" t="s">
        <v>1322</v>
      </c>
      <c r="H485" s="408" t="s">
        <v>1322</v>
      </c>
      <c r="I485" s="408" t="s">
        <v>973</v>
      </c>
      <c r="J485" s="408" t="s">
        <v>2232</v>
      </c>
      <c r="K485" s="828">
        <v>44652</v>
      </c>
      <c r="L485" s="408">
        <v>0</v>
      </c>
      <c r="M485" s="408">
        <v>0</v>
      </c>
      <c r="N485" s="408">
        <v>2.7040000000000002</v>
      </c>
      <c r="O485" s="408">
        <v>2.7040000000000002</v>
      </c>
      <c r="P485" s="408">
        <v>2.7040000000000002</v>
      </c>
      <c r="Q485" s="408">
        <v>2.7040000000000002</v>
      </c>
      <c r="R485" s="408"/>
      <c r="S485" s="408">
        <v>2592.54</v>
      </c>
      <c r="T485" s="408">
        <v>216.76</v>
      </c>
      <c r="U485" s="408"/>
      <c r="V485" s="408">
        <v>7596.3472000000002</v>
      </c>
      <c r="W485" s="408">
        <v>7596.3472000000002</v>
      </c>
      <c r="X485" s="408">
        <v>3193.9647999999997</v>
      </c>
      <c r="Y485" s="408">
        <v>0</v>
      </c>
      <c r="Z485" s="408">
        <v>142.58526438376163</v>
      </c>
      <c r="AA485" s="408">
        <v>0</v>
      </c>
      <c r="AB485" s="408">
        <v>0</v>
      </c>
      <c r="AC485" s="408">
        <v>0</v>
      </c>
      <c r="AD485" s="408">
        <v>13.673141599908385</v>
      </c>
      <c r="AE485" s="408">
        <v>6194.5706279349961</v>
      </c>
      <c r="AF485" s="408">
        <v>577.57845822711181</v>
      </c>
      <c r="AG485" s="408">
        <v>8.5376224073671825</v>
      </c>
      <c r="AH485" s="408">
        <v>0</v>
      </c>
      <c r="AI485" s="408">
        <v>0</v>
      </c>
      <c r="AJ485" s="408">
        <v>0</v>
      </c>
      <c r="AK485" s="408">
        <v>0</v>
      </c>
      <c r="AL485" s="408">
        <v>25.346305412772658</v>
      </c>
      <c r="AM485" s="408"/>
      <c r="AN485" s="408">
        <v>3.7131928193399211</v>
      </c>
      <c r="AO485" s="408">
        <v>121.99061264641136</v>
      </c>
      <c r="AP485" s="408">
        <v>462.92682455068569</v>
      </c>
      <c r="AQ485" s="408">
        <v>0</v>
      </c>
      <c r="AR485" s="408">
        <v>0</v>
      </c>
      <c r="AS485" s="408">
        <v>0</v>
      </c>
      <c r="AT485" s="408">
        <v>0</v>
      </c>
      <c r="AU485" s="408">
        <v>0</v>
      </c>
      <c r="AV485" s="408">
        <v>0</v>
      </c>
      <c r="AW485" s="408">
        <v>0</v>
      </c>
      <c r="AX485" s="408">
        <v>0</v>
      </c>
      <c r="AY485" s="408">
        <v>0</v>
      </c>
      <c r="AZ485" s="408">
        <v>0</v>
      </c>
      <c r="BA485" s="408"/>
      <c r="BB485" s="408">
        <v>0</v>
      </c>
      <c r="BC485" s="408">
        <v>0</v>
      </c>
      <c r="BD485" s="408">
        <v>1.2365356806222012</v>
      </c>
      <c r="BE485" s="408">
        <v>0</v>
      </c>
      <c r="BF485" s="408">
        <v>0</v>
      </c>
      <c r="BG485" s="408">
        <v>44.172968060356723</v>
      </c>
      <c r="BH485" s="408">
        <v>0</v>
      </c>
      <c r="BI485" s="408">
        <v>0</v>
      </c>
      <c r="BJ485" s="408">
        <v>0</v>
      </c>
      <c r="BK485" s="408">
        <v>0</v>
      </c>
      <c r="BL485" s="408">
        <v>0</v>
      </c>
      <c r="BM485" s="408"/>
      <c r="BN485" s="408"/>
      <c r="BO485" s="408"/>
      <c r="BP485" s="408"/>
      <c r="BQ485" s="408"/>
      <c r="BR485" s="408"/>
      <c r="BS485" s="408"/>
      <c r="BT485" s="408"/>
      <c r="BU485" s="408"/>
      <c r="BV485" s="408">
        <v>622.98796196809076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3189.2400000000002</v>
      </c>
      <c r="CJ485" s="408">
        <v>-4407.137200000001</v>
      </c>
      <c r="CK485" s="408"/>
      <c r="CL485" s="408"/>
      <c r="CM485" s="408"/>
      <c r="CN485" s="408"/>
      <c r="CO485" s="408">
        <v>-4490.6139200000007</v>
      </c>
      <c r="CP485" s="408">
        <v>88.231519999999989</v>
      </c>
      <c r="CQ485" s="408">
        <v>30</v>
      </c>
      <c r="CR485" s="408">
        <v>148.85170557084189</v>
      </c>
      <c r="CS485" s="408">
        <v>12.583517629577983</v>
      </c>
      <c r="CT485" s="408">
        <v>47.75160753411626</v>
      </c>
      <c r="CU485" s="408">
        <v>0</v>
      </c>
      <c r="CV485" s="408">
        <v>0</v>
      </c>
      <c r="CW485" s="408">
        <v>0</v>
      </c>
      <c r="CX485" s="408">
        <v>0</v>
      </c>
      <c r="CY485" s="408">
        <v>0</v>
      </c>
      <c r="CZ485" s="408">
        <v>1.3368922325041677</v>
      </c>
      <c r="DA485" s="408">
        <v>0</v>
      </c>
      <c r="DB485" s="408">
        <v>0</v>
      </c>
      <c r="DC485" s="408">
        <v>88.242859287230317</v>
      </c>
      <c r="DD485" s="408">
        <v>0</v>
      </c>
      <c r="DE485" s="408">
        <v>0</v>
      </c>
      <c r="DF485" s="408">
        <v>0.18891882568425156</v>
      </c>
      <c r="DG485" s="408">
        <v>6.7487783682485514</v>
      </c>
      <c r="DH485" s="408">
        <v>0</v>
      </c>
      <c r="DI485" s="408">
        <v>-6.8123240673345435</v>
      </c>
      <c r="DJ485" s="408"/>
      <c r="DK485" s="408">
        <v>0</v>
      </c>
      <c r="DL485" s="408">
        <v>0</v>
      </c>
      <c r="DM485" s="408">
        <v>0</v>
      </c>
      <c r="DN485" s="408">
        <v>0</v>
      </c>
      <c r="DO485" s="408">
        <v>-1.0270477341892459</v>
      </c>
      <c r="DP485" s="408">
        <v>-0.1614965049959145</v>
      </c>
      <c r="DQ485" s="408">
        <v>0</v>
      </c>
      <c r="DR485" s="408">
        <v>0</v>
      </c>
      <c r="DS485" s="408"/>
      <c r="DT485" s="408"/>
      <c r="DU485" s="408"/>
      <c r="DV485" s="408">
        <v>6194.5706279349961</v>
      </c>
      <c r="DW485" s="408">
        <v>0</v>
      </c>
      <c r="DX485" s="408">
        <v>0</v>
      </c>
      <c r="DY485" s="408">
        <v>-4490.6139200000007</v>
      </c>
      <c r="DZ485" s="234">
        <v>88.231519999999932</v>
      </c>
      <c r="EA485" s="408">
        <v>0</v>
      </c>
      <c r="EB485" s="408">
        <v>0</v>
      </c>
      <c r="EC485" s="408">
        <v>-4551.2118550862861</v>
      </c>
      <c r="ED485" s="408">
        <v>0</v>
      </c>
      <c r="EE485" s="408">
        <v>0</v>
      </c>
      <c r="EF485" s="408">
        <v>0</v>
      </c>
      <c r="EG485" s="408">
        <v>0</v>
      </c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>
        <v>0</v>
      </c>
      <c r="EN485" s="408">
        <v>0</v>
      </c>
      <c r="EO485" s="408">
        <v>0</v>
      </c>
      <c r="EP485" s="408">
        <v>0</v>
      </c>
      <c r="EQ485" s="408">
        <v>0</v>
      </c>
      <c r="ER485" s="408">
        <v>0</v>
      </c>
      <c r="ES485" s="408">
        <v>0</v>
      </c>
      <c r="ET485" s="408">
        <v>0</v>
      </c>
      <c r="EU485" s="408">
        <v>0</v>
      </c>
      <c r="EV485" s="408">
        <v>242</v>
      </c>
      <c r="EW485" s="408">
        <v>0</v>
      </c>
      <c r="EX485" s="408">
        <v>0</v>
      </c>
      <c r="EY485" s="408">
        <v>0</v>
      </c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485</v>
      </c>
      <c r="B486" s="408" t="s">
        <v>2234</v>
      </c>
      <c r="C486" s="408" t="s">
        <v>2239</v>
      </c>
      <c r="D486" s="408" t="s">
        <v>597</v>
      </c>
      <c r="E486" s="408" t="s">
        <v>2242</v>
      </c>
      <c r="F486" s="408" t="s">
        <v>1322</v>
      </c>
      <c r="G486" s="408" t="s">
        <v>1322</v>
      </c>
      <c r="H486" s="408" t="s">
        <v>1322</v>
      </c>
      <c r="I486" s="408" t="s">
        <v>2240</v>
      </c>
      <c r="J486" s="408" t="s">
        <v>2232</v>
      </c>
      <c r="K486" s="828">
        <v>44652</v>
      </c>
      <c r="L486" s="408">
        <v>0</v>
      </c>
      <c r="M486" s="408">
        <v>0</v>
      </c>
      <c r="N486" s="408">
        <v>7.7629999999999999</v>
      </c>
      <c r="O486" s="408">
        <v>7.7629999999999999</v>
      </c>
      <c r="P486" s="408">
        <v>7.7629999999999999</v>
      </c>
      <c r="Q486" s="408">
        <v>7.7629999999999999</v>
      </c>
      <c r="R486" s="408"/>
      <c r="S486" s="408">
        <v>80.27</v>
      </c>
      <c r="T486" s="408">
        <v>216.76</v>
      </c>
      <c r="U486" s="408"/>
      <c r="V486" s="408">
        <v>2305.8438900000001</v>
      </c>
      <c r="W486" s="408">
        <v>2305.8438900000001</v>
      </c>
      <c r="X486" s="408">
        <v>2556.1230099999998</v>
      </c>
      <c r="Y486" s="408">
        <v>0</v>
      </c>
      <c r="Z486" s="408">
        <v>409.35259149820314</v>
      </c>
      <c r="AA486" s="408">
        <v>0</v>
      </c>
      <c r="AB486" s="408">
        <v>0</v>
      </c>
      <c r="AC486" s="408">
        <v>0</v>
      </c>
      <c r="AD486" s="408">
        <v>0</v>
      </c>
      <c r="AE486" s="408">
        <v>0</v>
      </c>
      <c r="AF486" s="408">
        <v>1658.1884508938863</v>
      </c>
      <c r="AG486" s="408">
        <v>24.510932969079672</v>
      </c>
      <c r="AH486" s="408">
        <v>0</v>
      </c>
      <c r="AI486" s="408">
        <v>0</v>
      </c>
      <c r="AJ486" s="408">
        <v>0</v>
      </c>
      <c r="AK486" s="408">
        <v>0</v>
      </c>
      <c r="AL486" s="408">
        <v>72.767518091477115</v>
      </c>
      <c r="AM486" s="408"/>
      <c r="AN486" s="408">
        <v>10.660323911440756</v>
      </c>
      <c r="AO486" s="408">
        <v>0</v>
      </c>
      <c r="AP486" s="408">
        <v>0</v>
      </c>
      <c r="AQ486" s="408">
        <v>0</v>
      </c>
      <c r="AR486" s="408">
        <v>0</v>
      </c>
      <c r="AS486" s="408">
        <v>0</v>
      </c>
      <c r="AT486" s="408">
        <v>0</v>
      </c>
      <c r="AU486" s="408">
        <v>0</v>
      </c>
      <c r="AV486" s="408">
        <v>0</v>
      </c>
      <c r="AW486" s="408">
        <v>0</v>
      </c>
      <c r="AX486" s="408">
        <v>0</v>
      </c>
      <c r="AY486" s="408">
        <v>0</v>
      </c>
      <c r="AZ486" s="408">
        <v>0</v>
      </c>
      <c r="BA486" s="408"/>
      <c r="BB486" s="408">
        <v>0</v>
      </c>
      <c r="BC486" s="408">
        <v>0</v>
      </c>
      <c r="BD486" s="408">
        <v>3.5500097961058237</v>
      </c>
      <c r="BE486" s="408">
        <v>0</v>
      </c>
      <c r="BF486" s="408">
        <v>0</v>
      </c>
      <c r="BG486" s="408">
        <v>126.81758544842796</v>
      </c>
      <c r="BH486" s="408">
        <v>0</v>
      </c>
      <c r="BI486" s="408">
        <v>0</v>
      </c>
      <c r="BJ486" s="408">
        <v>0</v>
      </c>
      <c r="BK486" s="408">
        <v>0</v>
      </c>
      <c r="BL486" s="408">
        <v>0</v>
      </c>
      <c r="BM486" s="408"/>
      <c r="BN486" s="408"/>
      <c r="BO486" s="408"/>
      <c r="BP486" s="408"/>
      <c r="BQ486" s="408"/>
      <c r="BR486" s="408"/>
      <c r="BS486" s="408"/>
      <c r="BT486" s="408"/>
      <c r="BU486" s="408"/>
      <c r="BV486" s="408">
        <v>1788.55604613842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2555.1351999999997</v>
      </c>
      <c r="CJ486" s="408">
        <v>249.26130999999987</v>
      </c>
      <c r="CK486" s="408"/>
      <c r="CL486" s="408"/>
      <c r="CM486" s="408"/>
      <c r="CN486" s="408"/>
      <c r="CO486" s="408">
        <v>-3.0275700000000043</v>
      </c>
      <c r="CP486" s="408">
        <v>253.30668999999997</v>
      </c>
      <c r="CQ486" s="408">
        <v>30</v>
      </c>
      <c r="CR486" s="408">
        <v>250.28695240375691</v>
      </c>
      <c r="CS486" s="408">
        <v>0</v>
      </c>
      <c r="CT486" s="408">
        <v>0</v>
      </c>
      <c r="CU486" s="408">
        <v>0</v>
      </c>
      <c r="CV486" s="408">
        <v>0</v>
      </c>
      <c r="CW486" s="408">
        <v>0</v>
      </c>
      <c r="CX486" s="408">
        <v>0</v>
      </c>
      <c r="CY486" s="408">
        <v>0</v>
      </c>
      <c r="CZ486" s="408">
        <v>0</v>
      </c>
      <c r="DA486" s="408">
        <v>0</v>
      </c>
      <c r="DB486" s="408">
        <v>0</v>
      </c>
      <c r="DC486" s="408">
        <v>253.33924432203003</v>
      </c>
      <c r="DD486" s="408">
        <v>0</v>
      </c>
      <c r="DE486" s="408">
        <v>0</v>
      </c>
      <c r="DF486" s="408">
        <v>0.54237309311643633</v>
      </c>
      <c r="DG486" s="408">
        <v>19.375283458843739</v>
      </c>
      <c r="DH486" s="408">
        <v>0</v>
      </c>
      <c r="DI486" s="408">
        <v>-19.557718836803986</v>
      </c>
      <c r="DJ486" s="408"/>
      <c r="DK486" s="408">
        <v>0</v>
      </c>
      <c r="DL486" s="408">
        <v>0</v>
      </c>
      <c r="DM486" s="408">
        <v>0</v>
      </c>
      <c r="DN486" s="408">
        <v>0</v>
      </c>
      <c r="DO486" s="408">
        <v>-2.9485841569937605</v>
      </c>
      <c r="DP486" s="408">
        <v>-0.46364547643612575</v>
      </c>
      <c r="DQ486" s="408">
        <v>0</v>
      </c>
      <c r="DR486" s="408">
        <v>0</v>
      </c>
      <c r="DS486" s="408"/>
      <c r="DT486" s="408"/>
      <c r="DU486" s="408"/>
      <c r="DV486" s="408">
        <v>0</v>
      </c>
      <c r="DW486" s="408">
        <v>0</v>
      </c>
      <c r="DX486" s="408">
        <v>0</v>
      </c>
      <c r="DY486" s="408">
        <v>-3.0275699999999688</v>
      </c>
      <c r="DZ486" s="234">
        <v>253.30668999999989</v>
      </c>
      <c r="EA486" s="408">
        <v>0</v>
      </c>
      <c r="EB486" s="408">
        <v>0</v>
      </c>
      <c r="EC486" s="408">
        <v>0</v>
      </c>
      <c r="ED486" s="408">
        <v>0</v>
      </c>
      <c r="EE486" s="408">
        <v>0</v>
      </c>
      <c r="EF486" s="408">
        <v>0</v>
      </c>
      <c r="EG486" s="408">
        <v>0</v>
      </c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>
        <v>0</v>
      </c>
      <c r="EN486" s="408">
        <v>0</v>
      </c>
      <c r="EO486" s="408">
        <v>0</v>
      </c>
      <c r="EP486" s="408">
        <v>0</v>
      </c>
      <c r="EQ486" s="408">
        <v>0</v>
      </c>
      <c r="ER486" s="408">
        <v>0</v>
      </c>
      <c r="ES486" s="408">
        <v>0</v>
      </c>
      <c r="ET486" s="408">
        <v>0</v>
      </c>
      <c r="EU486" s="408">
        <v>0</v>
      </c>
      <c r="EV486" s="408">
        <v>242</v>
      </c>
      <c r="EW486" s="408">
        <v>0</v>
      </c>
      <c r="EX486" s="408">
        <v>0</v>
      </c>
      <c r="EY486" s="408">
        <v>0</v>
      </c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486</v>
      </c>
      <c r="B487" s="408" t="s">
        <v>2234</v>
      </c>
      <c r="C487" s="408" t="s">
        <v>2239</v>
      </c>
      <c r="D487" s="408" t="s">
        <v>597</v>
      </c>
      <c r="E487" s="408" t="s">
        <v>2242</v>
      </c>
      <c r="F487" s="408" t="s">
        <v>1322</v>
      </c>
      <c r="G487" s="408" t="s">
        <v>1322</v>
      </c>
      <c r="H487" s="408" t="s">
        <v>1322</v>
      </c>
      <c r="I487" s="408" t="s">
        <v>1322</v>
      </c>
      <c r="J487" s="408" t="s">
        <v>2232</v>
      </c>
      <c r="K487" s="828">
        <v>44652</v>
      </c>
      <c r="L487" s="408">
        <v>112</v>
      </c>
      <c r="M487" s="408">
        <v>112</v>
      </c>
      <c r="N487" s="408">
        <v>0</v>
      </c>
      <c r="O487" s="408">
        <v>0</v>
      </c>
      <c r="P487" s="408">
        <v>0</v>
      </c>
      <c r="Q487" s="408">
        <v>0</v>
      </c>
      <c r="R487" s="408">
        <v>32.17</v>
      </c>
      <c r="S487" s="408"/>
      <c r="T487" s="408"/>
      <c r="U487" s="408">
        <v>3603.04</v>
      </c>
      <c r="V487" s="408"/>
      <c r="W487" s="408">
        <v>3603.04</v>
      </c>
      <c r="X487" s="408">
        <v>1448.1599999999999</v>
      </c>
      <c r="Y487" s="408">
        <v>0</v>
      </c>
      <c r="Z487" s="408">
        <v>0</v>
      </c>
      <c r="AA487" s="408">
        <v>0</v>
      </c>
      <c r="AB487" s="408">
        <v>0</v>
      </c>
      <c r="AC487" s="408">
        <v>0</v>
      </c>
      <c r="AD487" s="408">
        <v>11.190617214702845</v>
      </c>
      <c r="AE487" s="408">
        <v>3015.7943679912159</v>
      </c>
      <c r="AF487" s="408"/>
      <c r="AG487" s="408"/>
      <c r="AH487" s="408"/>
      <c r="AI487" s="408">
        <v>0</v>
      </c>
      <c r="AJ487" s="408">
        <v>0</v>
      </c>
      <c r="AK487" s="408">
        <v>0</v>
      </c>
      <c r="AL487" s="408">
        <v>0</v>
      </c>
      <c r="AM487" s="408"/>
      <c r="AN487" s="408">
        <v>0</v>
      </c>
      <c r="AO487" s="408">
        <v>197.61516391833777</v>
      </c>
      <c r="AP487" s="408">
        <v>378.88089852991618</v>
      </c>
      <c r="AQ487" s="408">
        <v>0</v>
      </c>
      <c r="AR487" s="408">
        <v>0</v>
      </c>
      <c r="AS487" s="408"/>
      <c r="AT487" s="408"/>
      <c r="AU487" s="408">
        <v>0</v>
      </c>
      <c r="AV487" s="408">
        <v>0</v>
      </c>
      <c r="AW487" s="408">
        <v>0</v>
      </c>
      <c r="AX487" s="408"/>
      <c r="AY487" s="408"/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0</v>
      </c>
      <c r="BF487" s="408"/>
      <c r="BG487" s="408">
        <v>0</v>
      </c>
      <c r="BH487" s="408">
        <v>0</v>
      </c>
      <c r="BI487" s="408">
        <v>28.43</v>
      </c>
      <c r="BJ487" s="408">
        <v>130.05000000000001</v>
      </c>
      <c r="BK487" s="408">
        <v>3232.86</v>
      </c>
      <c r="BL487" s="408">
        <v>1</v>
      </c>
      <c r="BM487" s="408"/>
      <c r="BN487" s="408"/>
      <c r="BO487" s="408"/>
      <c r="BP487" s="408"/>
      <c r="BQ487" s="408"/>
      <c r="BR487" s="408"/>
      <c r="BS487" s="408"/>
      <c r="BT487" s="408"/>
      <c r="BU487" s="408"/>
      <c r="BV487" s="408">
        <v>0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1448.1599999999999</v>
      </c>
      <c r="CJ487" s="408">
        <v>-2154.9100000000008</v>
      </c>
      <c r="CK487" s="408"/>
      <c r="CL487" s="408"/>
      <c r="CM487" s="408"/>
      <c r="CN487" s="408"/>
      <c r="CO487" s="408">
        <v>-2154.88</v>
      </c>
      <c r="CP487" s="408">
        <v>0</v>
      </c>
      <c r="CQ487" s="408">
        <v>30</v>
      </c>
      <c r="CR487" s="408">
        <v>60.560610785909262</v>
      </c>
      <c r="CS487" s="408">
        <v>20.384305358364628</v>
      </c>
      <c r="CT487" s="408">
        <v>39.082142164336346</v>
      </c>
      <c r="CU487" s="408">
        <v>0</v>
      </c>
      <c r="CV487" s="408">
        <v>0</v>
      </c>
      <c r="CW487" s="408"/>
      <c r="CX487" s="408"/>
      <c r="CY487" s="408"/>
      <c r="CZ487" s="408">
        <v>1.0941632632082428</v>
      </c>
      <c r="DA487" s="408">
        <v>0</v>
      </c>
      <c r="DB487" s="408">
        <v>0</v>
      </c>
      <c r="DC487" s="408"/>
      <c r="DD487" s="408"/>
      <c r="DE487" s="408">
        <v>0</v>
      </c>
      <c r="DF487" s="408">
        <v>0</v>
      </c>
      <c r="DG487" s="408">
        <v>0</v>
      </c>
      <c r="DH487" s="408">
        <v>0</v>
      </c>
      <c r="DI487" s="408">
        <v>0</v>
      </c>
      <c r="DJ487" s="408"/>
      <c r="DK487" s="408">
        <v>0</v>
      </c>
      <c r="DL487" s="408">
        <v>0</v>
      </c>
      <c r="DM487" s="408"/>
      <c r="DN487" s="408">
        <v>0</v>
      </c>
      <c r="DO487" s="408">
        <v>0</v>
      </c>
      <c r="DP487" s="408">
        <v>0</v>
      </c>
      <c r="DQ487" s="408">
        <v>0</v>
      </c>
      <c r="DR487" s="408">
        <v>0</v>
      </c>
      <c r="DS487" s="408"/>
      <c r="DT487" s="408"/>
      <c r="DU487" s="408">
        <v>3015.7943679912159</v>
      </c>
      <c r="DV487" s="408"/>
      <c r="DW487" s="408">
        <v>0</v>
      </c>
      <c r="DX487" s="408">
        <v>0</v>
      </c>
      <c r="DY487" s="408">
        <v>-2154.88</v>
      </c>
      <c r="DZ487" s="234"/>
      <c r="EA487" s="408">
        <v>0</v>
      </c>
      <c r="EB487" s="408"/>
      <c r="EC487" s="408">
        <v>-2215.7337295029856</v>
      </c>
      <c r="ED487" s="408"/>
      <c r="EE487" s="408">
        <v>0</v>
      </c>
      <c r="EF487" s="408">
        <v>0</v>
      </c>
      <c r="EG487" s="408"/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/>
      <c r="EN487" s="408"/>
      <c r="EO487" s="408">
        <v>0</v>
      </c>
      <c r="EP487" s="408">
        <v>0</v>
      </c>
      <c r="EQ487" s="408"/>
      <c r="ER487" s="408">
        <v>0</v>
      </c>
      <c r="ES487" s="408"/>
      <c r="ET487" s="408">
        <v>0</v>
      </c>
      <c r="EU487" s="408"/>
      <c r="EV487" s="408">
        <v>242</v>
      </c>
      <c r="EW487" s="408"/>
      <c r="EX487" s="408"/>
      <c r="EY487" s="408"/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487</v>
      </c>
      <c r="B488" s="408" t="s">
        <v>1036</v>
      </c>
      <c r="C488" s="408" t="s">
        <v>2231</v>
      </c>
      <c r="D488" s="408" t="s">
        <v>2243</v>
      </c>
      <c r="E488" s="408" t="s">
        <v>2244</v>
      </c>
      <c r="F488" s="408" t="s">
        <v>2245</v>
      </c>
      <c r="G488" s="408" t="s">
        <v>1322</v>
      </c>
      <c r="H488" s="408" t="s">
        <v>1322</v>
      </c>
      <c r="I488" s="408" t="s">
        <v>1322</v>
      </c>
      <c r="J488" s="408" t="s">
        <v>2232</v>
      </c>
      <c r="K488" s="828">
        <v>44652</v>
      </c>
      <c r="L488" s="408">
        <v>0</v>
      </c>
      <c r="M488" s="408">
        <v>0</v>
      </c>
      <c r="N488" s="408">
        <v>73.066000000000003</v>
      </c>
      <c r="O488" s="408">
        <v>73.066000000000003</v>
      </c>
      <c r="P488" s="408">
        <v>73.066000000000003</v>
      </c>
      <c r="Q488" s="408">
        <v>73.066000000000003</v>
      </c>
      <c r="R488" s="408"/>
      <c r="S488" s="408">
        <v>314.52999999999997</v>
      </c>
      <c r="T488" s="408">
        <v>119.22</v>
      </c>
      <c r="U488" s="408"/>
      <c r="V488" s="408">
        <v>31692.377499999995</v>
      </c>
      <c r="W488" s="408">
        <v>31692.377499999995</v>
      </c>
      <c r="X488" s="408">
        <v>20656.488859999998</v>
      </c>
      <c r="Y488" s="408">
        <v>0</v>
      </c>
      <c r="Z488" s="408">
        <v>2435.7164397168754</v>
      </c>
      <c r="AA488" s="408">
        <v>0</v>
      </c>
      <c r="AB488" s="408">
        <v>0</v>
      </c>
      <c r="AC488" s="408">
        <v>0</v>
      </c>
      <c r="AD488" s="408">
        <v>33.029670502543674</v>
      </c>
      <c r="AE488" s="408">
        <v>17134.782028968733</v>
      </c>
      <c r="AF488" s="408">
        <v>8583.8539925488985</v>
      </c>
      <c r="AG488" s="408">
        <v>126.88441396049562</v>
      </c>
      <c r="AH488" s="408">
        <v>0</v>
      </c>
      <c r="AI488" s="408">
        <v>0</v>
      </c>
      <c r="AJ488" s="408">
        <v>0</v>
      </c>
      <c r="AK488" s="408">
        <v>0</v>
      </c>
      <c r="AL488" s="408">
        <v>376.6916542933821</v>
      </c>
      <c r="AM488" s="408"/>
      <c r="AN488" s="408">
        <v>77.096193124516802</v>
      </c>
      <c r="AO488" s="408">
        <v>356.92257025477136</v>
      </c>
      <c r="AP488" s="408">
        <v>1118.2683942815802</v>
      </c>
      <c r="AQ488" s="408">
        <v>0</v>
      </c>
      <c r="AR488" s="408">
        <v>0</v>
      </c>
      <c r="AS488" s="408">
        <v>0</v>
      </c>
      <c r="AT488" s="408">
        <v>0</v>
      </c>
      <c r="AU488" s="408">
        <v>0</v>
      </c>
      <c r="AV488" s="408">
        <v>0</v>
      </c>
      <c r="AW488" s="408">
        <v>0</v>
      </c>
      <c r="AX488" s="408">
        <v>0</v>
      </c>
      <c r="AY488" s="408">
        <v>0</v>
      </c>
      <c r="AZ488" s="408">
        <v>0</v>
      </c>
      <c r="BA488" s="408"/>
      <c r="BB488" s="408">
        <v>0</v>
      </c>
      <c r="BC488" s="408">
        <v>0</v>
      </c>
      <c r="BD488" s="408">
        <v>23.91364634581214</v>
      </c>
      <c r="BE488" s="408">
        <v>0</v>
      </c>
      <c r="BF488" s="408">
        <v>0</v>
      </c>
      <c r="BG488" s="408">
        <v>1424.9353683002648</v>
      </c>
      <c r="BH488" s="408">
        <v>0</v>
      </c>
      <c r="BI488" s="408">
        <v>79.349999999999994</v>
      </c>
      <c r="BJ488" s="408">
        <v>363.15</v>
      </c>
      <c r="BK488" s="408">
        <v>6571.48</v>
      </c>
      <c r="BL488" s="408">
        <v>10</v>
      </c>
      <c r="BM488" s="408"/>
      <c r="BN488" s="408"/>
      <c r="BO488" s="408"/>
      <c r="BP488" s="408"/>
      <c r="BQ488" s="408"/>
      <c r="BR488" s="408"/>
      <c r="BS488" s="408"/>
      <c r="BT488" s="408"/>
      <c r="BU488" s="408"/>
      <c r="BV488" s="408">
        <v>10032.703007194976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20657.619699999996</v>
      </c>
      <c r="CJ488" s="408">
        <v>-11034.787799999995</v>
      </c>
      <c r="CK488" s="408"/>
      <c r="CL488" s="408"/>
      <c r="CM488" s="408"/>
      <c r="CN488" s="408"/>
      <c r="CO488" s="408">
        <v>-12347.423339999999</v>
      </c>
      <c r="CP488" s="408">
        <v>1311.5346999999992</v>
      </c>
      <c r="CQ488" s="408">
        <v>30</v>
      </c>
      <c r="CR488" s="408">
        <v>1553.2127858393887</v>
      </c>
      <c r="CS488" s="408">
        <v>36.817107134410378</v>
      </c>
      <c r="CT488" s="408">
        <v>115.35108930741512</v>
      </c>
      <c r="CU488" s="408">
        <v>0</v>
      </c>
      <c r="CV488" s="408">
        <v>0</v>
      </c>
      <c r="CW488" s="408">
        <v>0</v>
      </c>
      <c r="CX488" s="408">
        <v>0</v>
      </c>
      <c r="CY488" s="408">
        <v>0</v>
      </c>
      <c r="CZ488" s="408">
        <v>3.2294779962871161</v>
      </c>
      <c r="DA488" s="408">
        <v>0</v>
      </c>
      <c r="DB488" s="408">
        <v>0</v>
      </c>
      <c r="DC488" s="408">
        <v>1311.4474911887519</v>
      </c>
      <c r="DD488" s="408">
        <v>0</v>
      </c>
      <c r="DE488" s="408">
        <v>0</v>
      </c>
      <c r="DF488" s="408">
        <v>3.6535443790881956</v>
      </c>
      <c r="DG488" s="408">
        <v>217.70266776271569</v>
      </c>
      <c r="DH488" s="408">
        <v>0</v>
      </c>
      <c r="DI488" s="408">
        <v>-116.37170078688359</v>
      </c>
      <c r="DJ488" s="408"/>
      <c r="DK488" s="408">
        <v>0</v>
      </c>
      <c r="DL488" s="408">
        <v>0</v>
      </c>
      <c r="DM488" s="408">
        <v>0</v>
      </c>
      <c r="DN488" s="408">
        <v>0</v>
      </c>
      <c r="DO488" s="408">
        <v>-15.263775281230949</v>
      </c>
      <c r="DP488" s="408">
        <v>-3.3531158611666285</v>
      </c>
      <c r="DQ488" s="408">
        <v>0</v>
      </c>
      <c r="DR488" s="408">
        <v>0</v>
      </c>
      <c r="DS488" s="408"/>
      <c r="DT488" s="408"/>
      <c r="DU488" s="408"/>
      <c r="DV488" s="408">
        <v>17134.782028968733</v>
      </c>
      <c r="DW488" s="408">
        <v>0</v>
      </c>
      <c r="DX488" s="408">
        <v>0</v>
      </c>
      <c r="DY488" s="408">
        <v>-12347.423339999998</v>
      </c>
      <c r="DZ488" s="234">
        <v>1311.5347000000002</v>
      </c>
      <c r="EA488" s="408">
        <v>0</v>
      </c>
      <c r="EB488" s="408">
        <v>0</v>
      </c>
      <c r="EC488" s="408">
        <v>-12589.092576148149</v>
      </c>
      <c r="ED488" s="408">
        <v>0</v>
      </c>
      <c r="EE488" s="408">
        <v>0</v>
      </c>
      <c r="EF488" s="408">
        <v>0</v>
      </c>
      <c r="EG488" s="408">
        <v>0</v>
      </c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>
        <v>0</v>
      </c>
      <c r="EN488" s="408">
        <v>0</v>
      </c>
      <c r="EO488" s="408">
        <v>0</v>
      </c>
      <c r="EP488" s="408">
        <v>0</v>
      </c>
      <c r="EQ488" s="408">
        <v>0</v>
      </c>
      <c r="ER488" s="408">
        <v>0</v>
      </c>
      <c r="ES488" s="408">
        <v>0</v>
      </c>
      <c r="ET488" s="408">
        <v>0</v>
      </c>
      <c r="EU488" s="408">
        <v>0</v>
      </c>
      <c r="EV488" s="408">
        <v>242</v>
      </c>
      <c r="EW488" s="408">
        <v>0</v>
      </c>
      <c r="EX488" s="408">
        <v>0</v>
      </c>
      <c r="EY488" s="408">
        <v>0</v>
      </c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488</v>
      </c>
      <c r="B489" s="408" t="s">
        <v>1036</v>
      </c>
      <c r="C489" s="408" t="s">
        <v>2231</v>
      </c>
      <c r="D489" s="408" t="s">
        <v>1955</v>
      </c>
      <c r="E489" s="408" t="s">
        <v>1001</v>
      </c>
      <c r="F489" s="408" t="s">
        <v>2246</v>
      </c>
      <c r="G489" s="408" t="s">
        <v>1322</v>
      </c>
      <c r="H489" s="408" t="s">
        <v>1322</v>
      </c>
      <c r="I489" s="408" t="s">
        <v>1322</v>
      </c>
      <c r="J489" s="408" t="s">
        <v>2232</v>
      </c>
      <c r="K489" s="828">
        <v>44652</v>
      </c>
      <c r="L489" s="408">
        <v>0</v>
      </c>
      <c r="M489" s="408">
        <v>0</v>
      </c>
      <c r="N489" s="408">
        <v>142.01900000000001</v>
      </c>
      <c r="O489" s="408">
        <v>133.49786</v>
      </c>
      <c r="P489" s="408">
        <v>142.01900000000001</v>
      </c>
      <c r="Q489" s="408">
        <v>133.49786</v>
      </c>
      <c r="R489" s="408"/>
      <c r="S489" s="408">
        <v>571.87</v>
      </c>
      <c r="T489" s="408">
        <v>216.76</v>
      </c>
      <c r="U489" s="408"/>
      <c r="V489" s="408">
        <v>112000.44397000001</v>
      </c>
      <c r="W489" s="408">
        <v>112000.44397000001</v>
      </c>
      <c r="X489" s="408">
        <v>72999.186190000008</v>
      </c>
      <c r="Y489" s="408">
        <v>0</v>
      </c>
      <c r="Z489" s="408">
        <v>8607.8592219774182</v>
      </c>
      <c r="AA489" s="408">
        <v>0</v>
      </c>
      <c r="AB489" s="408">
        <v>0</v>
      </c>
      <c r="AC489" s="408">
        <v>0</v>
      </c>
      <c r="AD489" s="408">
        <v>116.72736169044541</v>
      </c>
      <c r="AE489" s="408">
        <v>60554.5822574388</v>
      </c>
      <c r="AF489" s="408">
        <v>30335.471545471963</v>
      </c>
      <c r="AG489" s="408">
        <v>448.41146326622777</v>
      </c>
      <c r="AH489" s="408">
        <v>0</v>
      </c>
      <c r="AI489" s="408">
        <v>0</v>
      </c>
      <c r="AJ489" s="408">
        <v>0</v>
      </c>
      <c r="AK489" s="408">
        <v>0</v>
      </c>
      <c r="AL489" s="408">
        <v>1331.2340785564202</v>
      </c>
      <c r="AM489" s="408"/>
      <c r="AN489" s="408">
        <v>272.45912789559543</v>
      </c>
      <c r="AO489" s="408">
        <v>1261.3698326298361</v>
      </c>
      <c r="AP489" s="408">
        <v>3951.9776413224417</v>
      </c>
      <c r="AQ489" s="408">
        <v>0</v>
      </c>
      <c r="AR489" s="408">
        <v>0</v>
      </c>
      <c r="AS489" s="408">
        <v>0</v>
      </c>
      <c r="AT489" s="408">
        <v>0</v>
      </c>
      <c r="AU489" s="408">
        <v>0</v>
      </c>
      <c r="AV489" s="408">
        <v>0</v>
      </c>
      <c r="AW489" s="408">
        <v>0</v>
      </c>
      <c r="AX489" s="408">
        <v>0</v>
      </c>
      <c r="AY489" s="408">
        <v>0</v>
      </c>
      <c r="AZ489" s="408">
        <v>0</v>
      </c>
      <c r="BA489" s="408"/>
      <c r="BB489" s="408">
        <v>0</v>
      </c>
      <c r="BC489" s="408">
        <v>0</v>
      </c>
      <c r="BD489" s="408">
        <v>84.511192629973138</v>
      </c>
      <c r="BE489" s="408">
        <v>0</v>
      </c>
      <c r="BF489" s="408">
        <v>0</v>
      </c>
      <c r="BG489" s="408">
        <v>5035.7434267557583</v>
      </c>
      <c r="BH489" s="408">
        <v>0</v>
      </c>
      <c r="BI489" s="408">
        <v>259.64</v>
      </c>
      <c r="BJ489" s="408">
        <v>1189.67</v>
      </c>
      <c r="BK489" s="408">
        <v>31210.18</v>
      </c>
      <c r="BL489" s="408">
        <v>97</v>
      </c>
      <c r="BM489" s="408"/>
      <c r="BN489" s="408"/>
      <c r="BO489" s="408"/>
      <c r="BP489" s="408"/>
      <c r="BQ489" s="408">
        <v>4379.9511714000018</v>
      </c>
      <c r="BR489" s="408"/>
      <c r="BS489" s="408"/>
      <c r="BT489" s="408"/>
      <c r="BU489" s="408"/>
      <c r="BV489" s="408">
        <v>35455.726164857697</v>
      </c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>
        <v>68620.334999999992</v>
      </c>
      <c r="CJ489" s="408">
        <v>-36660.112331799988</v>
      </c>
      <c r="CK489" s="408"/>
      <c r="CL489" s="408"/>
      <c r="CM489" s="408"/>
      <c r="CN489" s="408"/>
      <c r="CO489" s="408">
        <v>-43635.337749999999</v>
      </c>
      <c r="CP489" s="408">
        <v>4634.0799699999998</v>
      </c>
      <c r="CQ489" s="408">
        <v>30</v>
      </c>
      <c r="CR489" s="408">
        <v>5489.0777860148009</v>
      </c>
      <c r="CS489" s="408">
        <v>130.11222078473952</v>
      </c>
      <c r="CT489" s="408">
        <v>407.65251720982815</v>
      </c>
      <c r="CU489" s="408">
        <v>0</v>
      </c>
      <c r="CV489" s="408">
        <v>0</v>
      </c>
      <c r="CW489" s="408">
        <v>0</v>
      </c>
      <c r="CX489" s="408">
        <v>0</v>
      </c>
      <c r="CY489" s="408">
        <v>0</v>
      </c>
      <c r="CZ489" s="408">
        <v>11.413024726205236</v>
      </c>
      <c r="DA489" s="408">
        <v>0</v>
      </c>
      <c r="DB489" s="408">
        <v>0</v>
      </c>
      <c r="DC489" s="408">
        <v>4634.6755299974757</v>
      </c>
      <c r="DD489" s="408">
        <v>0</v>
      </c>
      <c r="DE489" s="408">
        <v>0</v>
      </c>
      <c r="DF489" s="408">
        <v>12.911681821260785</v>
      </c>
      <c r="DG489" s="408">
        <v>769.36456386862392</v>
      </c>
      <c r="DH489" s="408">
        <v>0</v>
      </c>
      <c r="DI489" s="408">
        <v>-411.25937381776021</v>
      </c>
      <c r="DJ489" s="408"/>
      <c r="DK489" s="408">
        <v>0</v>
      </c>
      <c r="DL489" s="408">
        <v>0</v>
      </c>
      <c r="DM489" s="408">
        <v>0</v>
      </c>
      <c r="DN489" s="408">
        <v>0</v>
      </c>
      <c r="DO489" s="408">
        <v>-53.94241574031912</v>
      </c>
      <c r="DP489" s="408">
        <v>-11.849962835271072</v>
      </c>
      <c r="DQ489" s="408">
        <v>0</v>
      </c>
      <c r="DR489" s="408">
        <v>0</v>
      </c>
      <c r="DS489" s="408"/>
      <c r="DT489" s="408"/>
      <c r="DU489" s="408"/>
      <c r="DV489" s="408">
        <v>60554.5822574388</v>
      </c>
      <c r="DW489" s="408">
        <v>0</v>
      </c>
      <c r="DX489" s="408">
        <v>0</v>
      </c>
      <c r="DY489" s="408">
        <v>-43635.337749999999</v>
      </c>
      <c r="DZ489" s="234">
        <v>4634.0799700000025</v>
      </c>
      <c r="EA489" s="408">
        <v>0</v>
      </c>
      <c r="EB489" s="408">
        <v>0</v>
      </c>
      <c r="EC489" s="408">
        <v>-44490.046074706748</v>
      </c>
      <c r="ED489" s="408">
        <v>0</v>
      </c>
      <c r="EE489" s="408">
        <v>0</v>
      </c>
      <c r="EF489" s="408">
        <v>0</v>
      </c>
      <c r="EG489" s="408">
        <v>0</v>
      </c>
      <c r="EH489" s="408">
        <v>0</v>
      </c>
      <c r="EI489" s="408">
        <v>0</v>
      </c>
      <c r="EJ489" s="408">
        <v>0</v>
      </c>
      <c r="EK489" s="408">
        <v>0</v>
      </c>
      <c r="EL489" s="408">
        <v>0</v>
      </c>
      <c r="EM489" s="408">
        <v>0</v>
      </c>
      <c r="EN489" s="408">
        <v>0</v>
      </c>
      <c r="EO489" s="408">
        <v>0</v>
      </c>
      <c r="EP489" s="408">
        <v>0</v>
      </c>
      <c r="EQ489" s="408">
        <v>0</v>
      </c>
      <c r="ER489" s="408">
        <v>0</v>
      </c>
      <c r="ES489" s="408">
        <v>0</v>
      </c>
      <c r="ET489" s="408">
        <v>0</v>
      </c>
      <c r="EU489" s="408">
        <v>0</v>
      </c>
      <c r="EV489" s="408">
        <v>242</v>
      </c>
      <c r="EW489" s="408">
        <v>0</v>
      </c>
      <c r="EX489" s="408">
        <v>0</v>
      </c>
      <c r="EY489" s="408">
        <v>0</v>
      </c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489</v>
      </c>
      <c r="B490" s="408" t="s">
        <v>1036</v>
      </c>
      <c r="C490" s="408" t="s">
        <v>2239</v>
      </c>
      <c r="D490" s="408" t="s">
        <v>597</v>
      </c>
      <c r="E490" s="408" t="s">
        <v>1001</v>
      </c>
      <c r="F490" s="408" t="s">
        <v>2246</v>
      </c>
      <c r="G490" s="408" t="s">
        <v>1322</v>
      </c>
      <c r="H490" s="408" t="s">
        <v>1322</v>
      </c>
      <c r="I490" s="408" t="s">
        <v>973</v>
      </c>
      <c r="J490" s="408" t="s">
        <v>2232</v>
      </c>
      <c r="K490" s="828">
        <v>44652</v>
      </c>
      <c r="L490" s="408">
        <v>0</v>
      </c>
      <c r="M490" s="408">
        <v>0</v>
      </c>
      <c r="N490" s="408">
        <v>5.2850000000000001</v>
      </c>
      <c r="O490" s="408">
        <v>4.9679000000000002</v>
      </c>
      <c r="P490" s="408">
        <v>5.2850000000000001</v>
      </c>
      <c r="Q490" s="408">
        <v>4.9679000000000002</v>
      </c>
      <c r="R490" s="408"/>
      <c r="S490" s="408">
        <v>2592.54</v>
      </c>
      <c r="T490" s="408">
        <v>216.76</v>
      </c>
      <c r="U490" s="408"/>
      <c r="V490" s="408">
        <v>14847.1505</v>
      </c>
      <c r="W490" s="408">
        <v>14847.1505</v>
      </c>
      <c r="X490" s="408">
        <v>6242.6419999999998</v>
      </c>
      <c r="Y490" s="408">
        <v>0</v>
      </c>
      <c r="Z490" s="408">
        <v>278.68458663764056</v>
      </c>
      <c r="AA490" s="408">
        <v>0</v>
      </c>
      <c r="AB490" s="408">
        <v>0</v>
      </c>
      <c r="AC490" s="408">
        <v>0</v>
      </c>
      <c r="AD490" s="408">
        <v>26.724317069347567</v>
      </c>
      <c r="AE490" s="408">
        <v>12107.361600827091</v>
      </c>
      <c r="AF490" s="408">
        <v>1128.8839318529162</v>
      </c>
      <c r="AG490" s="408">
        <v>16.686884032150722</v>
      </c>
      <c r="AH490" s="408">
        <v>0</v>
      </c>
      <c r="AI490" s="408">
        <v>0</v>
      </c>
      <c r="AJ490" s="408">
        <v>0</v>
      </c>
      <c r="AK490" s="408">
        <v>0</v>
      </c>
      <c r="AL490" s="408">
        <v>49.539653885541235</v>
      </c>
      <c r="AM490" s="408"/>
      <c r="AN490" s="408">
        <v>7.2574793085101632</v>
      </c>
      <c r="AO490" s="408">
        <v>238.43209609330032</v>
      </c>
      <c r="AP490" s="408">
        <v>904.7959570082744</v>
      </c>
      <c r="AQ490" s="408">
        <v>0</v>
      </c>
      <c r="AR490" s="408">
        <v>0</v>
      </c>
      <c r="AS490" s="408">
        <v>0</v>
      </c>
      <c r="AT490" s="408">
        <v>0</v>
      </c>
      <c r="AU490" s="408">
        <v>0</v>
      </c>
      <c r="AV490" s="408">
        <v>0</v>
      </c>
      <c r="AW490" s="408">
        <v>0</v>
      </c>
      <c r="AX490" s="408">
        <v>0</v>
      </c>
      <c r="AY490" s="408">
        <v>0</v>
      </c>
      <c r="AZ490" s="408">
        <v>0</v>
      </c>
      <c r="BA490" s="408"/>
      <c r="BB490" s="408">
        <v>0</v>
      </c>
      <c r="BC490" s="408">
        <v>0</v>
      </c>
      <c r="BD490" s="408">
        <v>2.4168236213344425</v>
      </c>
      <c r="BE490" s="408">
        <v>0</v>
      </c>
      <c r="BF490" s="408">
        <v>0</v>
      </c>
      <c r="BG490" s="408">
        <v>86.336588830985676</v>
      </c>
      <c r="BH490" s="408">
        <v>0</v>
      </c>
      <c r="BI490" s="408">
        <v>0</v>
      </c>
      <c r="BJ490" s="408">
        <v>0</v>
      </c>
      <c r="BK490" s="408">
        <v>0</v>
      </c>
      <c r="BL490" s="408">
        <v>0</v>
      </c>
      <c r="BM490" s="408"/>
      <c r="BN490" s="408"/>
      <c r="BO490" s="408"/>
      <c r="BP490" s="408"/>
      <c r="BQ490" s="408">
        <v>374.55851999999993</v>
      </c>
      <c r="BR490" s="408"/>
      <c r="BS490" s="408"/>
      <c r="BT490" s="408"/>
      <c r="BU490" s="408"/>
      <c r="BV490" s="408">
        <v>1217.6373443052364</v>
      </c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>
        <v>5870.5639999999994</v>
      </c>
      <c r="CJ490" s="408">
        <v>-8085.787470000002</v>
      </c>
      <c r="CK490" s="408"/>
      <c r="CL490" s="408"/>
      <c r="CM490" s="408"/>
      <c r="CN490" s="408"/>
      <c r="CO490" s="408">
        <v>-8776.9580500000011</v>
      </c>
      <c r="CP490" s="408">
        <v>172.44954999999999</v>
      </c>
      <c r="CQ490" s="408">
        <v>30</v>
      </c>
      <c r="CR490" s="408">
        <v>290.93242009685628</v>
      </c>
      <c r="CS490" s="408">
        <v>24.594634124378587</v>
      </c>
      <c r="CT490" s="408">
        <v>93.331082033211715</v>
      </c>
      <c r="CU490" s="408">
        <v>0</v>
      </c>
      <c r="CV490" s="408">
        <v>0</v>
      </c>
      <c r="CW490" s="408">
        <v>0</v>
      </c>
      <c r="CX490" s="408">
        <v>0</v>
      </c>
      <c r="CY490" s="408">
        <v>0</v>
      </c>
      <c r="CZ490" s="408">
        <v>2.6129716896392452</v>
      </c>
      <c r="DA490" s="408">
        <v>0</v>
      </c>
      <c r="DB490" s="408">
        <v>0</v>
      </c>
      <c r="DC490" s="408">
        <v>172.47171277108441</v>
      </c>
      <c r="DD490" s="408">
        <v>0</v>
      </c>
      <c r="DE490" s="408">
        <v>0</v>
      </c>
      <c r="DF490" s="408">
        <v>0.36924408052561741</v>
      </c>
      <c r="DG490" s="408">
        <v>13.190567187941411</v>
      </c>
      <c r="DH490" s="408">
        <v>0</v>
      </c>
      <c r="DI490" s="408">
        <v>-13.31476800882507</v>
      </c>
      <c r="DJ490" s="408"/>
      <c r="DK490" s="408">
        <v>0</v>
      </c>
      <c r="DL490" s="408">
        <v>0</v>
      </c>
      <c r="DM490" s="408">
        <v>0</v>
      </c>
      <c r="DN490" s="408">
        <v>0</v>
      </c>
      <c r="DO490" s="408">
        <v>-2.0073769508839447</v>
      </c>
      <c r="DP490" s="408">
        <v>-0.31564683021575757</v>
      </c>
      <c r="DQ490" s="408">
        <v>0</v>
      </c>
      <c r="DR490" s="408">
        <v>0</v>
      </c>
      <c r="DS490" s="408"/>
      <c r="DT490" s="408"/>
      <c r="DU490" s="408"/>
      <c r="DV490" s="408">
        <v>12107.361600827091</v>
      </c>
      <c r="DW490" s="408">
        <v>0</v>
      </c>
      <c r="DX490" s="408">
        <v>0</v>
      </c>
      <c r="DY490" s="408">
        <v>-8776.9580499999993</v>
      </c>
      <c r="DZ490" s="234">
        <v>172.44955000000004</v>
      </c>
      <c r="EA490" s="408">
        <v>0</v>
      </c>
      <c r="EB490" s="408">
        <v>0</v>
      </c>
      <c r="EC490" s="408">
        <v>-8895.3974312614737</v>
      </c>
      <c r="ED490" s="408">
        <v>0</v>
      </c>
      <c r="EE490" s="408">
        <v>0</v>
      </c>
      <c r="EF490" s="408">
        <v>0</v>
      </c>
      <c r="EG490" s="408">
        <v>0</v>
      </c>
      <c r="EH490" s="408">
        <v>0</v>
      </c>
      <c r="EI490" s="408">
        <v>0</v>
      </c>
      <c r="EJ490" s="408">
        <v>0</v>
      </c>
      <c r="EK490" s="408">
        <v>0</v>
      </c>
      <c r="EL490" s="408">
        <v>0</v>
      </c>
      <c r="EM490" s="408">
        <v>0</v>
      </c>
      <c r="EN490" s="408">
        <v>0</v>
      </c>
      <c r="EO490" s="408">
        <v>0</v>
      </c>
      <c r="EP490" s="408">
        <v>0</v>
      </c>
      <c r="EQ490" s="408">
        <v>0</v>
      </c>
      <c r="ER490" s="408">
        <v>0</v>
      </c>
      <c r="ES490" s="408">
        <v>0</v>
      </c>
      <c r="ET490" s="408">
        <v>0</v>
      </c>
      <c r="EU490" s="408">
        <v>0</v>
      </c>
      <c r="EV490" s="408">
        <v>242</v>
      </c>
      <c r="EW490" s="408">
        <v>0</v>
      </c>
      <c r="EX490" s="408">
        <v>0</v>
      </c>
      <c r="EY490" s="408">
        <v>0</v>
      </c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490</v>
      </c>
      <c r="B491" s="408" t="s">
        <v>1036</v>
      </c>
      <c r="C491" s="408" t="s">
        <v>2239</v>
      </c>
      <c r="D491" s="408" t="s">
        <v>597</v>
      </c>
      <c r="E491" s="408" t="s">
        <v>1001</v>
      </c>
      <c r="F491" s="408" t="s">
        <v>2246</v>
      </c>
      <c r="G491" s="408" t="s">
        <v>1322</v>
      </c>
      <c r="H491" s="408" t="s">
        <v>1322</v>
      </c>
      <c r="I491" s="408" t="s">
        <v>2240</v>
      </c>
      <c r="J491" s="408" t="s">
        <v>2232</v>
      </c>
      <c r="K491" s="828">
        <v>44652</v>
      </c>
      <c r="L491" s="408">
        <v>0</v>
      </c>
      <c r="M491" s="408">
        <v>0</v>
      </c>
      <c r="N491" s="408">
        <v>94.596999999999994</v>
      </c>
      <c r="O491" s="408">
        <v>88.921180000000007</v>
      </c>
      <c r="P491" s="408">
        <v>94.596999999999994</v>
      </c>
      <c r="Q491" s="408">
        <v>88.921180000000007</v>
      </c>
      <c r="R491" s="408"/>
      <c r="S491" s="408">
        <v>80.27</v>
      </c>
      <c r="T491" s="408">
        <v>216.76</v>
      </c>
      <c r="U491" s="408"/>
      <c r="V491" s="408">
        <v>28098.146909999996</v>
      </c>
      <c r="W491" s="408">
        <v>28098.146909999996</v>
      </c>
      <c r="X491" s="408">
        <v>31147.954189999997</v>
      </c>
      <c r="Y491" s="408">
        <v>0</v>
      </c>
      <c r="Z491" s="408">
        <v>4988.2168102480382</v>
      </c>
      <c r="AA491" s="408">
        <v>0</v>
      </c>
      <c r="AB491" s="408">
        <v>0</v>
      </c>
      <c r="AC491" s="408">
        <v>0</v>
      </c>
      <c r="AD491" s="408">
        <v>0</v>
      </c>
      <c r="AE491" s="408">
        <v>0</v>
      </c>
      <c r="AF491" s="408">
        <v>20206.061173413495</v>
      </c>
      <c r="AG491" s="408">
        <v>298.6810158541839</v>
      </c>
      <c r="AH491" s="408">
        <v>0</v>
      </c>
      <c r="AI491" s="408">
        <v>0</v>
      </c>
      <c r="AJ491" s="408">
        <v>0</v>
      </c>
      <c r="AK491" s="408">
        <v>0</v>
      </c>
      <c r="AL491" s="408">
        <v>886.71762319972436</v>
      </c>
      <c r="AM491" s="408"/>
      <c r="AN491" s="408">
        <v>129.90270012244764</v>
      </c>
      <c r="AO491" s="408">
        <v>0</v>
      </c>
      <c r="AP491" s="408">
        <v>0</v>
      </c>
      <c r="AQ491" s="408">
        <v>0</v>
      </c>
      <c r="AR491" s="408">
        <v>0</v>
      </c>
      <c r="AS491" s="408">
        <v>0</v>
      </c>
      <c r="AT491" s="408">
        <v>0</v>
      </c>
      <c r="AU491" s="408">
        <v>0</v>
      </c>
      <c r="AV491" s="408">
        <v>0</v>
      </c>
      <c r="AW491" s="408">
        <v>0</v>
      </c>
      <c r="AX491" s="408">
        <v>0</v>
      </c>
      <c r="AY491" s="408">
        <v>0</v>
      </c>
      <c r="AZ491" s="408">
        <v>0</v>
      </c>
      <c r="BA491" s="408"/>
      <c r="BB491" s="408">
        <v>0</v>
      </c>
      <c r="BC491" s="408">
        <v>0</v>
      </c>
      <c r="BD491" s="408">
        <v>43.25908497774347</v>
      </c>
      <c r="BE491" s="408">
        <v>0</v>
      </c>
      <c r="BF491" s="408">
        <v>0</v>
      </c>
      <c r="BG491" s="408">
        <v>1545.3514273689218</v>
      </c>
      <c r="BH491" s="408">
        <v>0</v>
      </c>
      <c r="BI491" s="408">
        <v>0</v>
      </c>
      <c r="BJ491" s="408">
        <v>0</v>
      </c>
      <c r="BK491" s="408">
        <v>0</v>
      </c>
      <c r="BL491" s="408">
        <v>0</v>
      </c>
      <c r="BM491" s="408"/>
      <c r="BN491" s="408"/>
      <c r="BO491" s="408"/>
      <c r="BP491" s="408"/>
      <c r="BQ491" s="408">
        <v>1868.8772513999957</v>
      </c>
      <c r="BR491" s="408"/>
      <c r="BS491" s="408"/>
      <c r="BT491" s="408"/>
      <c r="BU491" s="408"/>
      <c r="BV491" s="408">
        <v>21794.67168576016</v>
      </c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>
        <v>29278.688399999999</v>
      </c>
      <c r="CJ491" s="408">
        <v>2866.4003045999962</v>
      </c>
      <c r="CK491" s="408"/>
      <c r="CL491" s="408"/>
      <c r="CM491" s="408"/>
      <c r="CN491" s="408"/>
      <c r="CO491" s="408">
        <v>-36.892830000000053</v>
      </c>
      <c r="CP491" s="408">
        <v>3086.7001099999993</v>
      </c>
      <c r="CQ491" s="408">
        <v>30</v>
      </c>
      <c r="CR491" s="408">
        <v>3049.9027227280822</v>
      </c>
      <c r="CS491" s="408">
        <v>0</v>
      </c>
      <c r="CT491" s="408">
        <v>0</v>
      </c>
      <c r="CU491" s="408">
        <v>0</v>
      </c>
      <c r="CV491" s="408">
        <v>0</v>
      </c>
      <c r="CW491" s="408">
        <v>0</v>
      </c>
      <c r="CX491" s="408">
        <v>0</v>
      </c>
      <c r="CY491" s="408">
        <v>0</v>
      </c>
      <c r="CZ491" s="408">
        <v>0</v>
      </c>
      <c r="DA491" s="408">
        <v>0</v>
      </c>
      <c r="DB491" s="408">
        <v>0</v>
      </c>
      <c r="DC491" s="408">
        <v>3087.0968047315546</v>
      </c>
      <c r="DD491" s="408">
        <v>0</v>
      </c>
      <c r="DE491" s="408">
        <v>0</v>
      </c>
      <c r="DF491" s="408">
        <v>6.609154642475275</v>
      </c>
      <c r="DG491" s="408">
        <v>236.099921339204</v>
      </c>
      <c r="DH491" s="408">
        <v>0</v>
      </c>
      <c r="DI491" s="408">
        <v>-238.32301028019356</v>
      </c>
      <c r="DJ491" s="408"/>
      <c r="DK491" s="408">
        <v>0</v>
      </c>
      <c r="DL491" s="408">
        <v>0</v>
      </c>
      <c r="DM491" s="408">
        <v>0</v>
      </c>
      <c r="DN491" s="408">
        <v>0</v>
      </c>
      <c r="DO491" s="408">
        <v>-35.930338206767829</v>
      </c>
      <c r="DP491" s="408">
        <v>-5.6498094981873095</v>
      </c>
      <c r="DQ491" s="408">
        <v>0</v>
      </c>
      <c r="DR491" s="408">
        <v>0</v>
      </c>
      <c r="DS491" s="408"/>
      <c r="DT491" s="408"/>
      <c r="DU491" s="408"/>
      <c r="DV491" s="408">
        <v>0</v>
      </c>
      <c r="DW491" s="408">
        <v>0</v>
      </c>
      <c r="DX491" s="408">
        <v>0</v>
      </c>
      <c r="DY491" s="408">
        <v>-36.892829999999776</v>
      </c>
      <c r="DZ491" s="234">
        <v>3086.7001099999979</v>
      </c>
      <c r="EA491" s="408">
        <v>0</v>
      </c>
      <c r="EB491" s="408">
        <v>0</v>
      </c>
      <c r="EC491" s="408">
        <v>0</v>
      </c>
      <c r="ED491" s="408">
        <v>0</v>
      </c>
      <c r="EE491" s="408">
        <v>0</v>
      </c>
      <c r="EF491" s="408">
        <v>0</v>
      </c>
      <c r="EG491" s="408">
        <v>0</v>
      </c>
      <c r="EH491" s="408">
        <v>0</v>
      </c>
      <c r="EI491" s="408">
        <v>0</v>
      </c>
      <c r="EJ491" s="408">
        <v>0</v>
      </c>
      <c r="EK491" s="408">
        <v>0</v>
      </c>
      <c r="EL491" s="408">
        <v>0</v>
      </c>
      <c r="EM491" s="408">
        <v>0</v>
      </c>
      <c r="EN491" s="408">
        <v>0</v>
      </c>
      <c r="EO491" s="408">
        <v>0</v>
      </c>
      <c r="EP491" s="408">
        <v>0</v>
      </c>
      <c r="EQ491" s="408">
        <v>0</v>
      </c>
      <c r="ER491" s="408">
        <v>0</v>
      </c>
      <c r="ES491" s="408">
        <v>0</v>
      </c>
      <c r="ET491" s="408">
        <v>0</v>
      </c>
      <c r="EU491" s="408">
        <v>0</v>
      </c>
      <c r="EV491" s="408">
        <v>242</v>
      </c>
      <c r="EW491" s="408">
        <v>0</v>
      </c>
      <c r="EX491" s="408">
        <v>0</v>
      </c>
      <c r="EY491" s="408">
        <v>0</v>
      </c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491</v>
      </c>
      <c r="B492" s="408" t="s">
        <v>1036</v>
      </c>
      <c r="C492" s="408" t="s">
        <v>2239</v>
      </c>
      <c r="D492" s="408" t="s">
        <v>597</v>
      </c>
      <c r="E492" s="408" t="s">
        <v>1001</v>
      </c>
      <c r="F492" s="408" t="s">
        <v>2246</v>
      </c>
      <c r="G492" s="408" t="s">
        <v>1322</v>
      </c>
      <c r="H492" s="408" t="s">
        <v>1322</v>
      </c>
      <c r="I492" s="408" t="s">
        <v>1322</v>
      </c>
      <c r="J492" s="408" t="s">
        <v>2232</v>
      </c>
      <c r="K492" s="828">
        <v>44652</v>
      </c>
      <c r="L492" s="408">
        <v>399</v>
      </c>
      <c r="M492" s="408">
        <v>375.06</v>
      </c>
      <c r="N492" s="408">
        <v>0</v>
      </c>
      <c r="O492" s="408">
        <v>0</v>
      </c>
      <c r="P492" s="408">
        <v>0</v>
      </c>
      <c r="Q492" s="408">
        <v>0</v>
      </c>
      <c r="R492" s="408">
        <v>32.17</v>
      </c>
      <c r="S492" s="408"/>
      <c r="T492" s="408"/>
      <c r="U492" s="408">
        <v>12835.83</v>
      </c>
      <c r="V492" s="408"/>
      <c r="W492" s="408">
        <v>12835.83</v>
      </c>
      <c r="X492" s="408">
        <v>5159.07</v>
      </c>
      <c r="Y492" s="408">
        <v>0</v>
      </c>
      <c r="Z492" s="408">
        <v>0</v>
      </c>
      <c r="AA492" s="408">
        <v>0</v>
      </c>
      <c r="AB492" s="408">
        <v>0</v>
      </c>
      <c r="AC492" s="408">
        <v>0</v>
      </c>
      <c r="AD492" s="408">
        <v>39.866573827378886</v>
      </c>
      <c r="AE492" s="408">
        <v>10743.767435968706</v>
      </c>
      <c r="AF492" s="408"/>
      <c r="AG492" s="408"/>
      <c r="AH492" s="408"/>
      <c r="AI492" s="408">
        <v>0</v>
      </c>
      <c r="AJ492" s="408">
        <v>0</v>
      </c>
      <c r="AK492" s="408">
        <v>0</v>
      </c>
      <c r="AL492" s="408">
        <v>0</v>
      </c>
      <c r="AM492" s="408"/>
      <c r="AN492" s="408">
        <v>0</v>
      </c>
      <c r="AO492" s="408">
        <v>704.00402145907833</v>
      </c>
      <c r="AP492" s="408">
        <v>1349.7632010128264</v>
      </c>
      <c r="AQ492" s="408">
        <v>0</v>
      </c>
      <c r="AR492" s="408">
        <v>0</v>
      </c>
      <c r="AS492" s="408"/>
      <c r="AT492" s="408"/>
      <c r="AU492" s="408">
        <v>0</v>
      </c>
      <c r="AV492" s="408">
        <v>0</v>
      </c>
      <c r="AW492" s="408">
        <v>0</v>
      </c>
      <c r="AX492" s="408"/>
      <c r="AY492" s="408"/>
      <c r="AZ492" s="408">
        <v>0</v>
      </c>
      <c r="BA492" s="408"/>
      <c r="BB492" s="408">
        <v>0</v>
      </c>
      <c r="BC492" s="408">
        <v>0</v>
      </c>
      <c r="BD492" s="408">
        <v>0</v>
      </c>
      <c r="BE492" s="408">
        <v>0</v>
      </c>
      <c r="BF492" s="408"/>
      <c r="BG492" s="408">
        <v>0</v>
      </c>
      <c r="BH492" s="408">
        <v>0</v>
      </c>
      <c r="BI492" s="408">
        <v>144.66</v>
      </c>
      <c r="BJ492" s="408">
        <v>661.68</v>
      </c>
      <c r="BK492" s="408">
        <v>16751.48</v>
      </c>
      <c r="BL492" s="408">
        <v>2</v>
      </c>
      <c r="BM492" s="408"/>
      <c r="BN492" s="408"/>
      <c r="BO492" s="408"/>
      <c r="BP492" s="408"/>
      <c r="BQ492" s="408">
        <v>309.54419999999999</v>
      </c>
      <c r="BR492" s="408"/>
      <c r="BS492" s="408"/>
      <c r="BT492" s="408"/>
      <c r="BU492" s="408"/>
      <c r="BV492" s="408">
        <v>0</v>
      </c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>
        <v>4849.5258000000003</v>
      </c>
      <c r="CJ492" s="408">
        <v>-7216.184400000001</v>
      </c>
      <c r="CK492" s="408"/>
      <c r="CL492" s="408"/>
      <c r="CM492" s="408"/>
      <c r="CN492" s="408"/>
      <c r="CO492" s="408">
        <v>-7676.7600000000011</v>
      </c>
      <c r="CP492" s="408">
        <v>0</v>
      </c>
      <c r="CQ492" s="408">
        <v>30</v>
      </c>
      <c r="CR492" s="408">
        <v>215.74717592480101</v>
      </c>
      <c r="CS492" s="408">
        <v>72.619087839173972</v>
      </c>
      <c r="CT492" s="408">
        <v>139.23013146044809</v>
      </c>
      <c r="CU492" s="408">
        <v>0</v>
      </c>
      <c r="CV492" s="408">
        <v>0</v>
      </c>
      <c r="CW492" s="408"/>
      <c r="CX492" s="408"/>
      <c r="CY492" s="408"/>
      <c r="CZ492" s="408">
        <v>3.8979566251793685</v>
      </c>
      <c r="DA492" s="408">
        <v>0</v>
      </c>
      <c r="DB492" s="408">
        <v>0</v>
      </c>
      <c r="DC492" s="408"/>
      <c r="DD492" s="408"/>
      <c r="DE492" s="408">
        <v>0</v>
      </c>
      <c r="DF492" s="408">
        <v>0</v>
      </c>
      <c r="DG492" s="408">
        <v>0</v>
      </c>
      <c r="DH492" s="408">
        <v>0</v>
      </c>
      <c r="DI492" s="408">
        <v>0</v>
      </c>
      <c r="DJ492" s="408"/>
      <c r="DK492" s="408">
        <v>0</v>
      </c>
      <c r="DL492" s="408">
        <v>0</v>
      </c>
      <c r="DM492" s="408"/>
      <c r="DN492" s="408">
        <v>0</v>
      </c>
      <c r="DO492" s="408">
        <v>0</v>
      </c>
      <c r="DP492" s="408">
        <v>0</v>
      </c>
      <c r="DQ492" s="408">
        <v>0</v>
      </c>
      <c r="DR492" s="408">
        <v>0</v>
      </c>
      <c r="DS492" s="408"/>
      <c r="DT492" s="408"/>
      <c r="DU492" s="408">
        <v>10743.767435968706</v>
      </c>
      <c r="DV492" s="408"/>
      <c r="DW492" s="408">
        <v>0</v>
      </c>
      <c r="DX492" s="408">
        <v>0</v>
      </c>
      <c r="DY492" s="408">
        <v>-7676.76</v>
      </c>
      <c r="DZ492" s="234"/>
      <c r="EA492" s="408">
        <v>0</v>
      </c>
      <c r="EB492" s="408"/>
      <c r="EC492" s="408">
        <v>-7893.551411354385</v>
      </c>
      <c r="ED492" s="408"/>
      <c r="EE492" s="408">
        <v>0</v>
      </c>
      <c r="EF492" s="408">
        <v>0</v>
      </c>
      <c r="EG492" s="408"/>
      <c r="EH492" s="408">
        <v>0</v>
      </c>
      <c r="EI492" s="408">
        <v>0</v>
      </c>
      <c r="EJ492" s="408">
        <v>0</v>
      </c>
      <c r="EK492" s="408">
        <v>0</v>
      </c>
      <c r="EL492" s="408">
        <v>0</v>
      </c>
      <c r="EM492" s="408"/>
      <c r="EN492" s="408"/>
      <c r="EO492" s="408">
        <v>0</v>
      </c>
      <c r="EP492" s="408">
        <v>0</v>
      </c>
      <c r="EQ492" s="408"/>
      <c r="ER492" s="408">
        <v>0</v>
      </c>
      <c r="ES492" s="408"/>
      <c r="ET492" s="408">
        <v>0</v>
      </c>
      <c r="EU492" s="408"/>
      <c r="EV492" s="408">
        <v>242</v>
      </c>
      <c r="EW492" s="408"/>
      <c r="EX492" s="408"/>
      <c r="EY492" s="408"/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492</v>
      </c>
      <c r="B493" s="408" t="s">
        <v>1036</v>
      </c>
      <c r="C493" s="408" t="s">
        <v>2231</v>
      </c>
      <c r="D493" s="408" t="s">
        <v>1955</v>
      </c>
      <c r="E493" s="408" t="s">
        <v>2247</v>
      </c>
      <c r="F493" s="408" t="s">
        <v>1322</v>
      </c>
      <c r="G493" s="408" t="s">
        <v>1322</v>
      </c>
      <c r="H493" s="408" t="s">
        <v>1322</v>
      </c>
      <c r="I493" s="408" t="s">
        <v>1322</v>
      </c>
      <c r="J493" s="408" t="s">
        <v>2232</v>
      </c>
      <c r="K493" s="828">
        <v>44652</v>
      </c>
      <c r="L493" s="408">
        <v>0</v>
      </c>
      <c r="M493" s="408">
        <v>0</v>
      </c>
      <c r="N493" s="408">
        <v>0.495</v>
      </c>
      <c r="O493" s="408">
        <v>0.495</v>
      </c>
      <c r="P493" s="408">
        <v>0.495</v>
      </c>
      <c r="Q493" s="408">
        <v>0.495</v>
      </c>
      <c r="R493" s="408"/>
      <c r="S493" s="408">
        <v>571.87</v>
      </c>
      <c r="T493" s="408">
        <v>216.76</v>
      </c>
      <c r="U493" s="408"/>
      <c r="V493" s="408">
        <v>390.37184999999999</v>
      </c>
      <c r="W493" s="408">
        <v>390.37184999999999</v>
      </c>
      <c r="X493" s="408">
        <v>254.43494999999999</v>
      </c>
      <c r="Y493" s="408">
        <v>0</v>
      </c>
      <c r="Z493" s="408">
        <v>30.002255436799455</v>
      </c>
      <c r="AA493" s="408">
        <v>0</v>
      </c>
      <c r="AB493" s="408">
        <v>0</v>
      </c>
      <c r="AC493" s="408">
        <v>0</v>
      </c>
      <c r="AD493" s="408">
        <v>0.40684728125652531</v>
      </c>
      <c r="AE493" s="408">
        <v>211.05991604948778</v>
      </c>
      <c r="AF493" s="408">
        <v>105.73274290769982</v>
      </c>
      <c r="AG493" s="408">
        <v>1.5629153445439181</v>
      </c>
      <c r="AH493" s="408">
        <v>0</v>
      </c>
      <c r="AI493" s="408">
        <v>0</v>
      </c>
      <c r="AJ493" s="408">
        <v>0</v>
      </c>
      <c r="AK493" s="408">
        <v>0</v>
      </c>
      <c r="AL493" s="408">
        <v>4.6399486609920357</v>
      </c>
      <c r="AM493" s="408"/>
      <c r="AN493" s="408">
        <v>0.9496424302967893</v>
      </c>
      <c r="AO493" s="408">
        <v>4.3964403858059056</v>
      </c>
      <c r="AP493" s="408">
        <v>13.774417031908467</v>
      </c>
      <c r="AQ493" s="408">
        <v>0</v>
      </c>
      <c r="AR493" s="408">
        <v>0</v>
      </c>
      <c r="AS493" s="408">
        <v>0</v>
      </c>
      <c r="AT493" s="408">
        <v>0</v>
      </c>
      <c r="AU493" s="408">
        <v>0</v>
      </c>
      <c r="AV493" s="408">
        <v>0</v>
      </c>
      <c r="AW493" s="408">
        <v>0</v>
      </c>
      <c r="AX493" s="408">
        <v>0</v>
      </c>
      <c r="AY493" s="408">
        <v>0</v>
      </c>
      <c r="AZ493" s="408">
        <v>0</v>
      </c>
      <c r="BA493" s="408"/>
      <c r="BB493" s="408">
        <v>0</v>
      </c>
      <c r="BC493" s="408">
        <v>0</v>
      </c>
      <c r="BD493" s="408">
        <v>0.29455946283128803</v>
      </c>
      <c r="BE493" s="408">
        <v>0</v>
      </c>
      <c r="BF493" s="408">
        <v>0</v>
      </c>
      <c r="BG493" s="408">
        <v>17.551827545920617</v>
      </c>
      <c r="BH493" s="408">
        <v>0</v>
      </c>
      <c r="BI493" s="408">
        <v>0.98</v>
      </c>
      <c r="BJ493" s="408">
        <v>4.57</v>
      </c>
      <c r="BK493" s="408">
        <v>110.07</v>
      </c>
      <c r="BL493" s="408">
        <v>3</v>
      </c>
      <c r="BM493" s="408"/>
      <c r="BN493" s="408"/>
      <c r="BO493" s="408"/>
      <c r="BP493" s="408"/>
      <c r="BQ493" s="408"/>
      <c r="BR493" s="408"/>
      <c r="BS493" s="408"/>
      <c r="BT493" s="408"/>
      <c r="BU493" s="408"/>
      <c r="BV493" s="408">
        <v>123.57912991645172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257.005</v>
      </c>
      <c r="CJ493" s="408">
        <v>-133.39684999999997</v>
      </c>
      <c r="CK493" s="408"/>
      <c r="CL493" s="408"/>
      <c r="CM493" s="408"/>
      <c r="CN493" s="408"/>
      <c r="CO493" s="408">
        <v>-152.08875</v>
      </c>
      <c r="CP493" s="408">
        <v>16.151849999999996</v>
      </c>
      <c r="CQ493" s="408">
        <v>30</v>
      </c>
      <c r="CR493" s="408">
        <v>19.131901394019906</v>
      </c>
      <c r="CS493" s="408">
        <v>0.45349952674252059</v>
      </c>
      <c r="CT493" s="408">
        <v>1.4208521114700492</v>
      </c>
      <c r="CU493" s="408">
        <v>0</v>
      </c>
      <c r="CV493" s="408">
        <v>0</v>
      </c>
      <c r="CW493" s="408">
        <v>0</v>
      </c>
      <c r="CX493" s="408">
        <v>0</v>
      </c>
      <c r="CY493" s="408">
        <v>0</v>
      </c>
      <c r="CZ493" s="408">
        <v>3.9779517103145368E-2</v>
      </c>
      <c r="DA493" s="408">
        <v>0</v>
      </c>
      <c r="DB493" s="408">
        <v>0</v>
      </c>
      <c r="DC493" s="408">
        <v>16.153925794075079</v>
      </c>
      <c r="DD493" s="408">
        <v>0</v>
      </c>
      <c r="DE493" s="408">
        <v>0</v>
      </c>
      <c r="DF493" s="408">
        <v>4.5003010171343893E-2</v>
      </c>
      <c r="DG493" s="408">
        <v>2.6815810498240999</v>
      </c>
      <c r="DH493" s="408">
        <v>0</v>
      </c>
      <c r="DI493" s="408">
        <v>-1.4334236266963671</v>
      </c>
      <c r="DJ493" s="408"/>
      <c r="DK493" s="408">
        <v>0</v>
      </c>
      <c r="DL493" s="408">
        <v>0</v>
      </c>
      <c r="DM493" s="408">
        <v>0</v>
      </c>
      <c r="DN493" s="408">
        <v>0</v>
      </c>
      <c r="DO493" s="408">
        <v>-0.18801354601467324</v>
      </c>
      <c r="DP493" s="408">
        <v>-4.1302442655272609E-2</v>
      </c>
      <c r="DQ493" s="408">
        <v>0</v>
      </c>
      <c r="DR493" s="408">
        <v>0</v>
      </c>
      <c r="DS493" s="408"/>
      <c r="DT493" s="408"/>
      <c r="DU493" s="408"/>
      <c r="DV493" s="408">
        <v>211.05991604948778</v>
      </c>
      <c r="DW493" s="408">
        <v>0</v>
      </c>
      <c r="DX493" s="408">
        <v>0</v>
      </c>
      <c r="DY493" s="408">
        <v>-152.08875</v>
      </c>
      <c r="DZ493" s="234">
        <v>16.151849999999996</v>
      </c>
      <c r="EA493" s="408">
        <v>0</v>
      </c>
      <c r="EB493" s="408">
        <v>0</v>
      </c>
      <c r="EC493" s="408">
        <v>-155.06779238679218</v>
      </c>
      <c r="ED493" s="408">
        <v>0</v>
      </c>
      <c r="EE493" s="408">
        <v>0</v>
      </c>
      <c r="EF493" s="408">
        <v>0</v>
      </c>
      <c r="EG493" s="408">
        <v>0</v>
      </c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>
        <v>0</v>
      </c>
      <c r="EN493" s="408">
        <v>0</v>
      </c>
      <c r="EO493" s="408">
        <v>0</v>
      </c>
      <c r="EP493" s="408">
        <v>0</v>
      </c>
      <c r="EQ493" s="408">
        <v>0</v>
      </c>
      <c r="ER493" s="408">
        <v>0</v>
      </c>
      <c r="ES493" s="408">
        <v>0</v>
      </c>
      <c r="ET493" s="408">
        <v>0</v>
      </c>
      <c r="EU493" s="408">
        <v>0</v>
      </c>
      <c r="EV493" s="408">
        <v>242</v>
      </c>
      <c r="EW493" s="408">
        <v>0</v>
      </c>
      <c r="EX493" s="408">
        <v>0</v>
      </c>
      <c r="EY493" s="408">
        <v>0</v>
      </c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493</v>
      </c>
      <c r="B494" s="408" t="s">
        <v>1036</v>
      </c>
      <c r="C494" s="408" t="s">
        <v>2231</v>
      </c>
      <c r="D494" s="408" t="s">
        <v>2241</v>
      </c>
      <c r="E494" s="408" t="s">
        <v>974</v>
      </c>
      <c r="F494" s="408" t="s">
        <v>2248</v>
      </c>
      <c r="G494" s="408" t="s">
        <v>2249</v>
      </c>
      <c r="H494" s="408" t="s">
        <v>1322</v>
      </c>
      <c r="I494" s="408" t="s">
        <v>1322</v>
      </c>
      <c r="J494" s="408" t="s">
        <v>2232</v>
      </c>
      <c r="K494" s="828">
        <v>44652</v>
      </c>
      <c r="L494" s="408">
        <v>0</v>
      </c>
      <c r="M494" s="408">
        <v>0</v>
      </c>
      <c r="N494" s="408">
        <v>0</v>
      </c>
      <c r="O494" s="408">
        <v>0</v>
      </c>
      <c r="P494" s="408">
        <v>0</v>
      </c>
      <c r="Q494" s="408">
        <v>0</v>
      </c>
      <c r="R494" s="408"/>
      <c r="S494" s="408"/>
      <c r="T494" s="408"/>
      <c r="U494" s="408"/>
      <c r="V494" s="408"/>
      <c r="W494" s="408"/>
      <c r="X494" s="408"/>
      <c r="Y494" s="408"/>
      <c r="Z494" s="408"/>
      <c r="AA494" s="408">
        <v>0</v>
      </c>
      <c r="AB494" s="408"/>
      <c r="AC494" s="408"/>
      <c r="AD494" s="408"/>
      <c r="AE494" s="408"/>
      <c r="AF494" s="408"/>
      <c r="AG494" s="408"/>
      <c r="AH494" s="408"/>
      <c r="AI494" s="408"/>
      <c r="AJ494" s="408"/>
      <c r="AK494" s="408"/>
      <c r="AL494" s="408"/>
      <c r="AM494" s="408"/>
      <c r="AN494" s="408"/>
      <c r="AO494" s="408"/>
      <c r="AP494" s="408"/>
      <c r="AQ494" s="408"/>
      <c r="AR494" s="408"/>
      <c r="AS494" s="408"/>
      <c r="AT494" s="408"/>
      <c r="AU494" s="408"/>
      <c r="AV494" s="408"/>
      <c r="AW494" s="408"/>
      <c r="AX494" s="408"/>
      <c r="AY494" s="408"/>
      <c r="AZ494" s="408">
        <v>0</v>
      </c>
      <c r="BA494" s="408"/>
      <c r="BB494" s="408"/>
      <c r="BC494" s="408"/>
      <c r="BD494" s="408"/>
      <c r="BE494" s="408"/>
      <c r="BF494" s="408"/>
      <c r="BG494" s="408"/>
      <c r="BH494" s="408"/>
      <c r="BI494" s="408">
        <v>51.8</v>
      </c>
      <c r="BJ494" s="408">
        <v>238.98</v>
      </c>
      <c r="BK494" s="408">
        <v>942.07</v>
      </c>
      <c r="BL494" s="408">
        <v>130</v>
      </c>
      <c r="BM494" s="408"/>
      <c r="BN494" s="408"/>
      <c r="BO494" s="408"/>
      <c r="BP494" s="408"/>
      <c r="BQ494" s="408"/>
      <c r="BR494" s="408"/>
      <c r="BS494" s="408"/>
      <c r="BT494" s="408"/>
      <c r="BU494" s="408"/>
      <c r="BV494" s="408"/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/>
      <c r="CJ494" s="408">
        <v>-0.03</v>
      </c>
      <c r="CK494" s="408"/>
      <c r="CL494" s="408"/>
      <c r="CM494" s="408"/>
      <c r="CN494" s="408"/>
      <c r="CO494" s="408">
        <v>0</v>
      </c>
      <c r="CP494" s="408">
        <v>0</v>
      </c>
      <c r="CQ494" s="408">
        <v>30</v>
      </c>
      <c r="CR494" s="408"/>
      <c r="CS494" s="408"/>
      <c r="CT494" s="408"/>
      <c r="CU494" s="408"/>
      <c r="CV494" s="408"/>
      <c r="CW494" s="408"/>
      <c r="CX494" s="408"/>
      <c r="CY494" s="408"/>
      <c r="CZ494" s="408"/>
      <c r="DA494" s="408"/>
      <c r="DB494" s="408"/>
      <c r="DC494" s="408"/>
      <c r="DD494" s="408"/>
      <c r="DE494" s="408"/>
      <c r="DF494" s="408"/>
      <c r="DG494" s="408"/>
      <c r="DH494" s="408"/>
      <c r="DI494" s="408"/>
      <c r="DJ494" s="408"/>
      <c r="DK494" s="408">
        <v>0</v>
      </c>
      <c r="DL494" s="408"/>
      <c r="DM494" s="408"/>
      <c r="DN494" s="408"/>
      <c r="DO494" s="408"/>
      <c r="DP494" s="408"/>
      <c r="DQ494" s="408"/>
      <c r="DR494" s="408"/>
      <c r="DS494" s="408"/>
      <c r="DT494" s="408"/>
      <c r="DU494" s="408"/>
      <c r="DV494" s="408"/>
      <c r="DW494" s="408"/>
      <c r="DX494" s="408"/>
      <c r="DY494" s="408"/>
      <c r="DZ494" s="234"/>
      <c r="EA494" s="408"/>
      <c r="EB494" s="408"/>
      <c r="EC494" s="408"/>
      <c r="ED494" s="408"/>
      <c r="EE494" s="408"/>
      <c r="EF494" s="408"/>
      <c r="EG494" s="408"/>
      <c r="EH494" s="408"/>
      <c r="EI494" s="408"/>
      <c r="EJ494" s="408"/>
      <c r="EK494" s="408"/>
      <c r="EL494" s="408"/>
      <c r="EM494" s="408"/>
      <c r="EN494" s="408"/>
      <c r="EO494" s="408"/>
      <c r="EP494" s="408"/>
      <c r="EQ494" s="408"/>
      <c r="ER494" s="408"/>
      <c r="ES494" s="408"/>
      <c r="ET494" s="408"/>
      <c r="EU494" s="408"/>
      <c r="EV494" s="408">
        <v>242</v>
      </c>
      <c r="EW494" s="408"/>
      <c r="EX494" s="408"/>
      <c r="EY494" s="408"/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494</v>
      </c>
      <c r="B495" s="408" t="s">
        <v>2234</v>
      </c>
      <c r="C495" s="408" t="s">
        <v>2231</v>
      </c>
      <c r="D495" s="408" t="s">
        <v>2241</v>
      </c>
      <c r="E495" s="408" t="s">
        <v>974</v>
      </c>
      <c r="F495" s="408" t="s">
        <v>2248</v>
      </c>
      <c r="G495" s="408" t="s">
        <v>2249</v>
      </c>
      <c r="H495" s="408" t="s">
        <v>1322</v>
      </c>
      <c r="I495" s="408" t="s">
        <v>1322</v>
      </c>
      <c r="J495" s="408" t="s">
        <v>2232</v>
      </c>
      <c r="K495" s="828">
        <v>44652</v>
      </c>
      <c r="L495" s="408">
        <v>0</v>
      </c>
      <c r="M495" s="408">
        <v>0</v>
      </c>
      <c r="N495" s="408">
        <v>0</v>
      </c>
      <c r="O495" s="408">
        <v>0</v>
      </c>
      <c r="P495" s="408">
        <v>0</v>
      </c>
      <c r="Q495" s="408">
        <v>0</v>
      </c>
      <c r="R495" s="408"/>
      <c r="S495" s="408"/>
      <c r="T495" s="408"/>
      <c r="U495" s="408"/>
      <c r="V495" s="408"/>
      <c r="W495" s="408"/>
      <c r="X495" s="408"/>
      <c r="Y495" s="408"/>
      <c r="Z495" s="408"/>
      <c r="AA495" s="408">
        <v>0</v>
      </c>
      <c r="AB495" s="408"/>
      <c r="AC495" s="408"/>
      <c r="AD495" s="408"/>
      <c r="AE495" s="408"/>
      <c r="AF495" s="408"/>
      <c r="AG495" s="408"/>
      <c r="AH495" s="408"/>
      <c r="AI495" s="408"/>
      <c r="AJ495" s="408"/>
      <c r="AK495" s="408"/>
      <c r="AL495" s="408"/>
      <c r="AM495" s="408"/>
      <c r="AN495" s="408"/>
      <c r="AO495" s="408"/>
      <c r="AP495" s="408"/>
      <c r="AQ495" s="408"/>
      <c r="AR495" s="408"/>
      <c r="AS495" s="408"/>
      <c r="AT495" s="408"/>
      <c r="AU495" s="408"/>
      <c r="AV495" s="408"/>
      <c r="AW495" s="408"/>
      <c r="AX495" s="408"/>
      <c r="AY495" s="408"/>
      <c r="AZ495" s="408">
        <v>0</v>
      </c>
      <c r="BA495" s="408"/>
      <c r="BB495" s="408"/>
      <c r="BC495" s="408"/>
      <c r="BD495" s="408"/>
      <c r="BE495" s="408"/>
      <c r="BF495" s="408"/>
      <c r="BG495" s="408"/>
      <c r="BH495" s="408"/>
      <c r="BI495" s="408">
        <v>0.34</v>
      </c>
      <c r="BJ495" s="408">
        <v>1.64</v>
      </c>
      <c r="BK495" s="408">
        <v>18.41</v>
      </c>
      <c r="BL495" s="408">
        <v>3</v>
      </c>
      <c r="BM495" s="408"/>
      <c r="BN495" s="408"/>
      <c r="BO495" s="408"/>
      <c r="BP495" s="408"/>
      <c r="BQ495" s="408"/>
      <c r="BR495" s="408"/>
      <c r="BS495" s="408"/>
      <c r="BT495" s="408"/>
      <c r="BU495" s="408"/>
      <c r="BV495" s="408"/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/>
      <c r="CJ495" s="408">
        <v>-0.03</v>
      </c>
      <c r="CK495" s="408"/>
      <c r="CL495" s="408"/>
      <c r="CM495" s="408"/>
      <c r="CN495" s="408"/>
      <c r="CO495" s="408">
        <v>0</v>
      </c>
      <c r="CP495" s="408">
        <v>0</v>
      </c>
      <c r="CQ495" s="408">
        <v>30</v>
      </c>
      <c r="CR495" s="408"/>
      <c r="CS495" s="408"/>
      <c r="CT495" s="408"/>
      <c r="CU495" s="408"/>
      <c r="CV495" s="408"/>
      <c r="CW495" s="408"/>
      <c r="CX495" s="408"/>
      <c r="CY495" s="408"/>
      <c r="CZ495" s="408"/>
      <c r="DA495" s="408"/>
      <c r="DB495" s="408"/>
      <c r="DC495" s="408"/>
      <c r="DD495" s="408"/>
      <c r="DE495" s="408"/>
      <c r="DF495" s="408"/>
      <c r="DG495" s="408"/>
      <c r="DH495" s="408"/>
      <c r="DI495" s="408"/>
      <c r="DJ495" s="408"/>
      <c r="DK495" s="408">
        <v>0</v>
      </c>
      <c r="DL495" s="408"/>
      <c r="DM495" s="408"/>
      <c r="DN495" s="408"/>
      <c r="DO495" s="408"/>
      <c r="DP495" s="408"/>
      <c r="DQ495" s="408"/>
      <c r="DR495" s="408"/>
      <c r="DS495" s="408"/>
      <c r="DT495" s="408"/>
      <c r="DU495" s="408"/>
      <c r="DV495" s="408"/>
      <c r="DW495" s="408"/>
      <c r="DX495" s="408"/>
      <c r="DY495" s="408"/>
      <c r="DZ495" s="234"/>
      <c r="EA495" s="408"/>
      <c r="EB495" s="408"/>
      <c r="EC495" s="408"/>
      <c r="ED495" s="408"/>
      <c r="EE495" s="408"/>
      <c r="EF495" s="408"/>
      <c r="EG495" s="408"/>
      <c r="EH495" s="408"/>
      <c r="EI495" s="408"/>
      <c r="EJ495" s="408"/>
      <c r="EK495" s="408"/>
      <c r="EL495" s="408"/>
      <c r="EM495" s="408"/>
      <c r="EN495" s="408"/>
      <c r="EO495" s="408"/>
      <c r="EP495" s="408"/>
      <c r="EQ495" s="408"/>
      <c r="ER495" s="408"/>
      <c r="ES495" s="408"/>
      <c r="ET495" s="408"/>
      <c r="EU495" s="408"/>
      <c r="EV495" s="408">
        <v>242</v>
      </c>
      <c r="EW495" s="408"/>
      <c r="EX495" s="408"/>
      <c r="EY495" s="408"/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495</v>
      </c>
      <c r="B496" s="408" t="s">
        <v>1036</v>
      </c>
      <c r="C496" s="408" t="s">
        <v>2231</v>
      </c>
      <c r="D496" s="408" t="s">
        <v>2241</v>
      </c>
      <c r="E496" s="408" t="s">
        <v>974</v>
      </c>
      <c r="F496" s="408" t="s">
        <v>2248</v>
      </c>
      <c r="G496" s="408" t="s">
        <v>2249</v>
      </c>
      <c r="H496" s="408" t="s">
        <v>1322</v>
      </c>
      <c r="I496" s="408" t="s">
        <v>1322</v>
      </c>
      <c r="J496" s="408" t="s">
        <v>2232</v>
      </c>
      <c r="K496" s="828">
        <v>44652</v>
      </c>
      <c r="L496" s="408">
        <v>0</v>
      </c>
      <c r="M496" s="408">
        <v>0</v>
      </c>
      <c r="N496" s="408">
        <v>29.084</v>
      </c>
      <c r="O496" s="408">
        <v>29.084</v>
      </c>
      <c r="P496" s="408">
        <v>29.084</v>
      </c>
      <c r="Q496" s="408">
        <v>29.084</v>
      </c>
      <c r="R496" s="408"/>
      <c r="S496" s="408">
        <v>571.87</v>
      </c>
      <c r="T496" s="408">
        <v>216.76</v>
      </c>
      <c r="U496" s="408"/>
      <c r="V496" s="408">
        <v>22936.514920000001</v>
      </c>
      <c r="W496" s="408">
        <v>22936.514920000001</v>
      </c>
      <c r="X496" s="408">
        <v>14949.466840000001</v>
      </c>
      <c r="Y496" s="408">
        <v>0</v>
      </c>
      <c r="Z496" s="408">
        <v>1762.799186108839</v>
      </c>
      <c r="AA496" s="408">
        <v>0</v>
      </c>
      <c r="AB496" s="408">
        <v>0</v>
      </c>
      <c r="AC496" s="408">
        <v>0</v>
      </c>
      <c r="AD496" s="408">
        <v>23.904538036494511</v>
      </c>
      <c r="AE496" s="408">
        <v>12400.94262299657</v>
      </c>
      <c r="AF496" s="408">
        <v>6212.386049954629</v>
      </c>
      <c r="AG496" s="408">
        <v>91.829959354980446</v>
      </c>
      <c r="AH496" s="408">
        <v>0</v>
      </c>
      <c r="AI496" s="408">
        <v>0</v>
      </c>
      <c r="AJ496" s="408">
        <v>0</v>
      </c>
      <c r="AK496" s="408">
        <v>0</v>
      </c>
      <c r="AL496" s="408">
        <v>272.62276132584316</v>
      </c>
      <c r="AM496" s="408"/>
      <c r="AN496" s="408">
        <v>55.7967685712158</v>
      </c>
      <c r="AO496" s="408">
        <v>258.31529733490697</v>
      </c>
      <c r="AP496" s="408">
        <v>809.3235251636886</v>
      </c>
      <c r="AQ496" s="408">
        <v>0</v>
      </c>
      <c r="AR496" s="408">
        <v>0</v>
      </c>
      <c r="AS496" s="408">
        <v>0</v>
      </c>
      <c r="AT496" s="408">
        <v>0</v>
      </c>
      <c r="AU496" s="408">
        <v>0</v>
      </c>
      <c r="AV496" s="408">
        <v>0</v>
      </c>
      <c r="AW496" s="408">
        <v>0</v>
      </c>
      <c r="AX496" s="408">
        <v>0</v>
      </c>
      <c r="AY496" s="408">
        <v>0</v>
      </c>
      <c r="AZ496" s="408">
        <v>0</v>
      </c>
      <c r="BA496" s="408"/>
      <c r="BB496" s="408">
        <v>0</v>
      </c>
      <c r="BC496" s="408">
        <v>0</v>
      </c>
      <c r="BD496" s="408">
        <v>17.307004882798346</v>
      </c>
      <c r="BE496" s="408">
        <v>0</v>
      </c>
      <c r="BF496" s="408">
        <v>0</v>
      </c>
      <c r="BG496" s="408">
        <v>1031.2673784758692</v>
      </c>
      <c r="BH496" s="408">
        <v>0</v>
      </c>
      <c r="BI496" s="408">
        <v>0</v>
      </c>
      <c r="BJ496" s="408">
        <v>0</v>
      </c>
      <c r="BK496" s="408">
        <v>0</v>
      </c>
      <c r="BL496" s="408">
        <v>0</v>
      </c>
      <c r="BM496" s="408"/>
      <c r="BN496" s="408"/>
      <c r="BO496" s="408"/>
      <c r="BP496" s="408"/>
      <c r="BQ496" s="408"/>
      <c r="BR496" s="408">
        <v>1793.9011199999993</v>
      </c>
      <c r="BS496" s="408"/>
      <c r="BT496" s="408"/>
      <c r="BU496" s="408"/>
      <c r="BV496" s="408">
        <v>7260.9604333132966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13153.756399999998</v>
      </c>
      <c r="CJ496" s="408">
        <v>-7030.5695999999989</v>
      </c>
      <c r="CK496" s="408"/>
      <c r="CL496" s="408"/>
      <c r="CM496" s="408"/>
      <c r="CN496" s="408"/>
      <c r="CO496" s="408">
        <v>-8936.0589999999993</v>
      </c>
      <c r="CP496" s="408">
        <v>949.01091999999983</v>
      </c>
      <c r="CQ496" s="408">
        <v>30</v>
      </c>
      <c r="CR496" s="408">
        <v>1124.1054952397517</v>
      </c>
      <c r="CS496" s="408">
        <v>26.645616637938303</v>
      </c>
      <c r="CT496" s="408">
        <v>83.482955171706863</v>
      </c>
      <c r="CU496" s="408">
        <v>0</v>
      </c>
      <c r="CV496" s="408">
        <v>0</v>
      </c>
      <c r="CW496" s="408">
        <v>0</v>
      </c>
      <c r="CX496" s="408">
        <v>0</v>
      </c>
      <c r="CY496" s="408">
        <v>0</v>
      </c>
      <c r="CZ496" s="408">
        <v>2.3372676271270265</v>
      </c>
      <c r="DA496" s="408">
        <v>0</v>
      </c>
      <c r="DB496" s="408">
        <v>0</v>
      </c>
      <c r="DC496" s="408">
        <v>949.13288443410056</v>
      </c>
      <c r="DD496" s="408">
        <v>0</v>
      </c>
      <c r="DE496" s="408">
        <v>0</v>
      </c>
      <c r="DF496" s="408">
        <v>2.6441768642896299</v>
      </c>
      <c r="DG496" s="408">
        <v>157.55778434966487</v>
      </c>
      <c r="DH496" s="408">
        <v>0</v>
      </c>
      <c r="DI496" s="408">
        <v>-84.221601533004105</v>
      </c>
      <c r="DJ496" s="408"/>
      <c r="DK496" s="408">
        <v>0</v>
      </c>
      <c r="DL496" s="408">
        <v>0</v>
      </c>
      <c r="DM496" s="408">
        <v>0</v>
      </c>
      <c r="DN496" s="408">
        <v>0</v>
      </c>
      <c r="DO496" s="408">
        <v>-11.046840348062176</v>
      </c>
      <c r="DP496" s="408">
        <v>-2.4267479640120229</v>
      </c>
      <c r="DQ496" s="408">
        <v>0</v>
      </c>
      <c r="DR496" s="408">
        <v>0</v>
      </c>
      <c r="DS496" s="408"/>
      <c r="DT496" s="408"/>
      <c r="DU496" s="408"/>
      <c r="DV496" s="408">
        <v>12400.94262299657</v>
      </c>
      <c r="DW496" s="408">
        <v>0</v>
      </c>
      <c r="DX496" s="408">
        <v>0</v>
      </c>
      <c r="DY496" s="408">
        <v>-8936.0590000000011</v>
      </c>
      <c r="DZ496" s="234">
        <v>949.01091999999971</v>
      </c>
      <c r="EA496" s="408">
        <v>0</v>
      </c>
      <c r="EB496" s="408">
        <v>0</v>
      </c>
      <c r="EC496" s="408">
        <v>-9111.0942904595213</v>
      </c>
      <c r="ED496" s="408">
        <v>0</v>
      </c>
      <c r="EE496" s="408">
        <v>0</v>
      </c>
      <c r="EF496" s="408">
        <v>0</v>
      </c>
      <c r="EG496" s="408">
        <v>0</v>
      </c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>
        <v>0</v>
      </c>
      <c r="EN496" s="408">
        <v>0</v>
      </c>
      <c r="EO496" s="408">
        <v>0</v>
      </c>
      <c r="EP496" s="408">
        <v>0</v>
      </c>
      <c r="EQ496" s="408">
        <v>0</v>
      </c>
      <c r="ER496" s="408">
        <v>0</v>
      </c>
      <c r="ES496" s="408">
        <v>0</v>
      </c>
      <c r="ET496" s="408">
        <v>0</v>
      </c>
      <c r="EU496" s="408">
        <v>0</v>
      </c>
      <c r="EV496" s="408">
        <v>242</v>
      </c>
      <c r="EW496" s="408">
        <v>0</v>
      </c>
      <c r="EX496" s="408">
        <v>0</v>
      </c>
      <c r="EY496" s="408">
        <v>0</v>
      </c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496</v>
      </c>
      <c r="B497" s="408" t="s">
        <v>2234</v>
      </c>
      <c r="C497" s="408" t="s">
        <v>2231</v>
      </c>
      <c r="D497" s="408" t="s">
        <v>2241</v>
      </c>
      <c r="E497" s="408" t="s">
        <v>974</v>
      </c>
      <c r="F497" s="408" t="s">
        <v>2248</v>
      </c>
      <c r="G497" s="408" t="s">
        <v>2249</v>
      </c>
      <c r="H497" s="408" t="s">
        <v>1322</v>
      </c>
      <c r="I497" s="408" t="s">
        <v>1322</v>
      </c>
      <c r="J497" s="408" t="s">
        <v>2232</v>
      </c>
      <c r="K497" s="828">
        <v>44652</v>
      </c>
      <c r="L497" s="408">
        <v>0</v>
      </c>
      <c r="M497" s="408">
        <v>0</v>
      </c>
      <c r="N497" s="408">
        <v>0.2</v>
      </c>
      <c r="O497" s="408">
        <v>0.2</v>
      </c>
      <c r="P497" s="408">
        <v>0.2</v>
      </c>
      <c r="Q497" s="408">
        <v>0.2</v>
      </c>
      <c r="R497" s="408"/>
      <c r="S497" s="408">
        <v>571.87</v>
      </c>
      <c r="T497" s="408">
        <v>216.76</v>
      </c>
      <c r="U497" s="408"/>
      <c r="V497" s="408">
        <v>157.726</v>
      </c>
      <c r="W497" s="408">
        <v>157.726</v>
      </c>
      <c r="X497" s="408">
        <v>102.80200000000001</v>
      </c>
      <c r="Y497" s="408">
        <v>0</v>
      </c>
      <c r="Z497" s="408">
        <v>12.122123408807861</v>
      </c>
      <c r="AA497" s="408">
        <v>0</v>
      </c>
      <c r="AB497" s="408">
        <v>0</v>
      </c>
      <c r="AC497" s="408">
        <v>0</v>
      </c>
      <c r="AD497" s="408">
        <v>0.16438273990162641</v>
      </c>
      <c r="AE497" s="408">
        <v>85.276733757368802</v>
      </c>
      <c r="AF497" s="408">
        <v>42.720300164727206</v>
      </c>
      <c r="AG497" s="408">
        <v>0.63148094729047211</v>
      </c>
      <c r="AH497" s="408">
        <v>0</v>
      </c>
      <c r="AI497" s="408">
        <v>0</v>
      </c>
      <c r="AJ497" s="408">
        <v>0</v>
      </c>
      <c r="AK497" s="408">
        <v>0</v>
      </c>
      <c r="AL497" s="408">
        <v>1.874726731713954</v>
      </c>
      <c r="AM497" s="408"/>
      <c r="AN497" s="408">
        <v>0.38369391123102603</v>
      </c>
      <c r="AO497" s="408">
        <v>1.7763395498205679</v>
      </c>
      <c r="AP497" s="408">
        <v>5.5654210229933199</v>
      </c>
      <c r="AQ497" s="408">
        <v>0</v>
      </c>
      <c r="AR497" s="408">
        <v>0</v>
      </c>
      <c r="AS497" s="408">
        <v>0</v>
      </c>
      <c r="AT497" s="408">
        <v>0</v>
      </c>
      <c r="AU497" s="408">
        <v>0</v>
      </c>
      <c r="AV497" s="408">
        <v>0</v>
      </c>
      <c r="AW497" s="408">
        <v>0</v>
      </c>
      <c r="AX497" s="408">
        <v>0</v>
      </c>
      <c r="AY497" s="408">
        <v>0</v>
      </c>
      <c r="AZ497" s="408">
        <v>0</v>
      </c>
      <c r="BA497" s="408"/>
      <c r="BB497" s="408">
        <v>0</v>
      </c>
      <c r="BC497" s="408">
        <v>0</v>
      </c>
      <c r="BD497" s="408">
        <v>0.119013924376278</v>
      </c>
      <c r="BE497" s="408">
        <v>0</v>
      </c>
      <c r="BF497" s="408">
        <v>0</v>
      </c>
      <c r="BG497" s="408">
        <v>7.0916474933012594</v>
      </c>
      <c r="BH497" s="408">
        <v>0</v>
      </c>
      <c r="BI497" s="408">
        <v>0</v>
      </c>
      <c r="BJ497" s="408">
        <v>0</v>
      </c>
      <c r="BK497" s="408">
        <v>0</v>
      </c>
      <c r="BL497" s="408">
        <v>0</v>
      </c>
      <c r="BM497" s="408"/>
      <c r="BN497" s="408"/>
      <c r="BO497" s="408"/>
      <c r="BP497" s="408"/>
      <c r="BQ497" s="408"/>
      <c r="BR497" s="408">
        <v>12.335999999999997</v>
      </c>
      <c r="BS497" s="408"/>
      <c r="BT497" s="408"/>
      <c r="BU497" s="408"/>
      <c r="BV497" s="408">
        <v>49.930961582404741</v>
      </c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>
        <v>90.466000000000008</v>
      </c>
      <c r="CJ497" s="408">
        <v>-48.364000000000004</v>
      </c>
      <c r="CK497" s="408"/>
      <c r="CL497" s="408"/>
      <c r="CM497" s="408"/>
      <c r="CN497" s="408"/>
      <c r="CO497" s="408">
        <v>-61.45</v>
      </c>
      <c r="CP497" s="408">
        <v>6.5259999999999998</v>
      </c>
      <c r="CQ497" s="408">
        <v>30</v>
      </c>
      <c r="CR497" s="408">
        <v>7.7300611693009813</v>
      </c>
      <c r="CS497" s="408">
        <v>0.18323213201718014</v>
      </c>
      <c r="CT497" s="408">
        <v>0.57408166120002058</v>
      </c>
      <c r="CU497" s="408">
        <v>0</v>
      </c>
      <c r="CV497" s="408">
        <v>0</v>
      </c>
      <c r="CW497" s="408">
        <v>0</v>
      </c>
      <c r="CX497" s="408">
        <v>0</v>
      </c>
      <c r="CY497" s="408">
        <v>0</v>
      </c>
      <c r="CZ497" s="408">
        <v>1.6072532162886982E-2</v>
      </c>
      <c r="DA497" s="408">
        <v>0</v>
      </c>
      <c r="DB497" s="408">
        <v>0</v>
      </c>
      <c r="DC497" s="408">
        <v>6.5268387046767984</v>
      </c>
      <c r="DD497" s="408">
        <v>0</v>
      </c>
      <c r="DE497" s="408">
        <v>0</v>
      </c>
      <c r="DF497" s="408">
        <v>1.8183034412664195E-2</v>
      </c>
      <c r="DG497" s="408">
        <v>1.0834670908380204</v>
      </c>
      <c r="DH497" s="408">
        <v>0</v>
      </c>
      <c r="DI497" s="408">
        <v>-0.57916106129145994</v>
      </c>
      <c r="DJ497" s="408"/>
      <c r="DK497" s="408">
        <v>0</v>
      </c>
      <c r="DL497" s="408">
        <v>0</v>
      </c>
      <c r="DM497" s="408">
        <v>0</v>
      </c>
      <c r="DN497" s="408">
        <v>0</v>
      </c>
      <c r="DO497" s="408">
        <v>-7.5965069096837867E-2</v>
      </c>
      <c r="DP497" s="408">
        <v>-1.6687855618292002E-2</v>
      </c>
      <c r="DQ497" s="408">
        <v>0</v>
      </c>
      <c r="DR497" s="408">
        <v>0</v>
      </c>
      <c r="DS497" s="408"/>
      <c r="DT497" s="408"/>
      <c r="DU497" s="408"/>
      <c r="DV497" s="408">
        <v>85.276733757368802</v>
      </c>
      <c r="DW497" s="408">
        <v>0</v>
      </c>
      <c r="DX497" s="408">
        <v>0</v>
      </c>
      <c r="DY497" s="408">
        <v>-61.45</v>
      </c>
      <c r="DZ497" s="234">
        <v>6.5259999999999962</v>
      </c>
      <c r="EA497" s="408">
        <v>0</v>
      </c>
      <c r="EB497" s="408">
        <v>0</v>
      </c>
      <c r="EC497" s="408">
        <v>-62.653653489613006</v>
      </c>
      <c r="ED497" s="408">
        <v>0</v>
      </c>
      <c r="EE497" s="408">
        <v>0</v>
      </c>
      <c r="EF497" s="408">
        <v>0</v>
      </c>
      <c r="EG497" s="408">
        <v>0</v>
      </c>
      <c r="EH497" s="408">
        <v>0</v>
      </c>
      <c r="EI497" s="408">
        <v>0</v>
      </c>
      <c r="EJ497" s="408">
        <v>0</v>
      </c>
      <c r="EK497" s="408">
        <v>0</v>
      </c>
      <c r="EL497" s="408">
        <v>0</v>
      </c>
      <c r="EM497" s="408">
        <v>0</v>
      </c>
      <c r="EN497" s="408">
        <v>0</v>
      </c>
      <c r="EO497" s="408">
        <v>0</v>
      </c>
      <c r="EP497" s="408">
        <v>0</v>
      </c>
      <c r="EQ497" s="408">
        <v>0</v>
      </c>
      <c r="ER497" s="408">
        <v>0</v>
      </c>
      <c r="ES497" s="408">
        <v>0</v>
      </c>
      <c r="ET497" s="408">
        <v>0</v>
      </c>
      <c r="EU497" s="408">
        <v>0</v>
      </c>
      <c r="EV497" s="408">
        <v>242</v>
      </c>
      <c r="EW497" s="408">
        <v>0</v>
      </c>
      <c r="EX497" s="408">
        <v>0</v>
      </c>
      <c r="EY497" s="408">
        <v>0</v>
      </c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497</v>
      </c>
      <c r="B498" s="408" t="s">
        <v>1036</v>
      </c>
      <c r="C498" s="408" t="s">
        <v>2231</v>
      </c>
      <c r="D498" s="408" t="s">
        <v>2241</v>
      </c>
      <c r="E498" s="408" t="s">
        <v>974</v>
      </c>
      <c r="F498" s="408" t="s">
        <v>2248</v>
      </c>
      <c r="G498" s="408" t="s">
        <v>2250</v>
      </c>
      <c r="H498" s="408" t="s">
        <v>1322</v>
      </c>
      <c r="I498" s="408" t="s">
        <v>1322</v>
      </c>
      <c r="J498" s="408" t="s">
        <v>2232</v>
      </c>
      <c r="K498" s="828">
        <v>44652</v>
      </c>
      <c r="L498" s="408">
        <v>0</v>
      </c>
      <c r="M498" s="408">
        <v>0</v>
      </c>
      <c r="N498" s="408">
        <v>19.684999999999999</v>
      </c>
      <c r="O498" s="408">
        <v>7.8739999999999997</v>
      </c>
      <c r="P498" s="408">
        <v>19.684999999999999</v>
      </c>
      <c r="Q498" s="408">
        <v>7.8739999999999997</v>
      </c>
      <c r="R498" s="408"/>
      <c r="S498" s="408">
        <v>571.87</v>
      </c>
      <c r="T498" s="408">
        <v>216.76</v>
      </c>
      <c r="U498" s="408"/>
      <c r="V498" s="408">
        <v>15524.181549999999</v>
      </c>
      <c r="W498" s="408">
        <v>15524.181549999999</v>
      </c>
      <c r="X498" s="408">
        <v>10118.286849999999</v>
      </c>
      <c r="Y498" s="408">
        <v>0</v>
      </c>
      <c r="Z498" s="408">
        <v>1193.1199965119135</v>
      </c>
      <c r="AA498" s="408">
        <v>0</v>
      </c>
      <c r="AB498" s="408">
        <v>0</v>
      </c>
      <c r="AC498" s="408">
        <v>0</v>
      </c>
      <c r="AD498" s="408">
        <v>16.179371174817575</v>
      </c>
      <c r="AE498" s="408">
        <v>8393.362520069024</v>
      </c>
      <c r="AF498" s="408">
        <v>4204.7455437132749</v>
      </c>
      <c r="AG498" s="408">
        <v>62.153512237064703</v>
      </c>
      <c r="AH498" s="408">
        <v>0</v>
      </c>
      <c r="AI498" s="408">
        <v>0</v>
      </c>
      <c r="AJ498" s="408">
        <v>0</v>
      </c>
      <c r="AK498" s="408">
        <v>0</v>
      </c>
      <c r="AL498" s="408">
        <v>184.5199785689459</v>
      </c>
      <c r="AM498" s="408"/>
      <c r="AN498" s="408">
        <v>37.765073212913727</v>
      </c>
      <c r="AO498" s="408">
        <v>174.83622019108938</v>
      </c>
      <c r="AP498" s="408">
        <v>547.7765641881175</v>
      </c>
      <c r="AQ498" s="408">
        <v>0</v>
      </c>
      <c r="AR498" s="408">
        <v>0</v>
      </c>
      <c r="AS498" s="408">
        <v>0</v>
      </c>
      <c r="AT498" s="408">
        <v>0</v>
      </c>
      <c r="AU498" s="408">
        <v>0</v>
      </c>
      <c r="AV498" s="408">
        <v>0</v>
      </c>
      <c r="AW498" s="408">
        <v>0</v>
      </c>
      <c r="AX498" s="408">
        <v>0</v>
      </c>
      <c r="AY498" s="408">
        <v>0</v>
      </c>
      <c r="AZ498" s="408">
        <v>0</v>
      </c>
      <c r="BA498" s="408"/>
      <c r="BB498" s="408">
        <v>0</v>
      </c>
      <c r="BC498" s="408">
        <v>0</v>
      </c>
      <c r="BD498" s="408">
        <v>11.713945506735161</v>
      </c>
      <c r="BE498" s="408">
        <v>0</v>
      </c>
      <c r="BF498" s="408">
        <v>0</v>
      </c>
      <c r="BG498" s="408">
        <v>697.99540452817644</v>
      </c>
      <c r="BH498" s="408">
        <v>0</v>
      </c>
      <c r="BI498" s="408">
        <v>0</v>
      </c>
      <c r="BJ498" s="408">
        <v>0</v>
      </c>
      <c r="BK498" s="408">
        <v>0</v>
      </c>
      <c r="BL498" s="408">
        <v>0</v>
      </c>
      <c r="BM498" s="408"/>
      <c r="BN498" s="408"/>
      <c r="BO498" s="408"/>
      <c r="BP498" s="408"/>
      <c r="BQ498" s="408"/>
      <c r="BR498" s="408"/>
      <c r="BS498" s="408">
        <v>6556.6404299999995</v>
      </c>
      <c r="BT498" s="408"/>
      <c r="BU498" s="408"/>
      <c r="BV498" s="408">
        <v>4914.4548937481868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3559.8371000000002</v>
      </c>
      <c r="CJ498" s="408">
        <v>-1904.7489</v>
      </c>
      <c r="CK498" s="408"/>
      <c r="CL498" s="408"/>
      <c r="CM498" s="408"/>
      <c r="CN498" s="408"/>
      <c r="CO498" s="408">
        <v>-6048.2162499999995</v>
      </c>
      <c r="CP498" s="408">
        <v>642.32154999999989</v>
      </c>
      <c r="CQ498" s="408">
        <v>30</v>
      </c>
      <c r="CR498" s="408">
        <v>760.8312705884473</v>
      </c>
      <c r="CS498" s="408">
        <v>18.034622593790942</v>
      </c>
      <c r="CT498" s="408">
        <v>56.503987503611938</v>
      </c>
      <c r="CU498" s="408">
        <v>0</v>
      </c>
      <c r="CV498" s="408">
        <v>0</v>
      </c>
      <c r="CW498" s="408">
        <v>0</v>
      </c>
      <c r="CX498" s="408">
        <v>0</v>
      </c>
      <c r="CY498" s="408">
        <v>0</v>
      </c>
      <c r="CZ498" s="408">
        <v>1.581938978132154</v>
      </c>
      <c r="DA498" s="408">
        <v>0</v>
      </c>
      <c r="DB498" s="408">
        <v>0</v>
      </c>
      <c r="DC498" s="408">
        <v>642.40409950781395</v>
      </c>
      <c r="DD498" s="408">
        <v>0</v>
      </c>
      <c r="DE498" s="408">
        <v>0</v>
      </c>
      <c r="DF498" s="408">
        <v>1.7896651620664734</v>
      </c>
      <c r="DG498" s="408">
        <v>106.64024841573212</v>
      </c>
      <c r="DH498" s="408">
        <v>0</v>
      </c>
      <c r="DI498" s="408">
        <v>-57.003927457612008</v>
      </c>
      <c r="DJ498" s="408"/>
      <c r="DK498" s="408">
        <v>0</v>
      </c>
      <c r="DL498" s="408">
        <v>0</v>
      </c>
      <c r="DM498" s="408">
        <v>0</v>
      </c>
      <c r="DN498" s="408">
        <v>0</v>
      </c>
      <c r="DO498" s="408">
        <v>-7.4768619258562694</v>
      </c>
      <c r="DP498" s="408">
        <v>-1.6425021892303846</v>
      </c>
      <c r="DQ498" s="408">
        <v>0</v>
      </c>
      <c r="DR498" s="408">
        <v>0</v>
      </c>
      <c r="DS498" s="408"/>
      <c r="DT498" s="408"/>
      <c r="DU498" s="408"/>
      <c r="DV498" s="408">
        <v>8393.362520069024</v>
      </c>
      <c r="DW498" s="408">
        <v>0</v>
      </c>
      <c r="DX498" s="408">
        <v>0</v>
      </c>
      <c r="DY498" s="408">
        <v>-6048.2162500000004</v>
      </c>
      <c r="DZ498" s="234">
        <v>642.32154999999966</v>
      </c>
      <c r="EA498" s="408">
        <v>0</v>
      </c>
      <c r="EB498" s="408">
        <v>0</v>
      </c>
      <c r="EC498" s="408">
        <v>-6166.685844715159</v>
      </c>
      <c r="ED498" s="408">
        <v>0</v>
      </c>
      <c r="EE498" s="408">
        <v>0</v>
      </c>
      <c r="EF498" s="408">
        <v>0</v>
      </c>
      <c r="EG498" s="408">
        <v>0</v>
      </c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>
        <v>0</v>
      </c>
      <c r="EN498" s="408">
        <v>0</v>
      </c>
      <c r="EO498" s="408">
        <v>0</v>
      </c>
      <c r="EP498" s="408">
        <v>0</v>
      </c>
      <c r="EQ498" s="408">
        <v>0</v>
      </c>
      <c r="ER498" s="408">
        <v>0</v>
      </c>
      <c r="ES498" s="408">
        <v>0</v>
      </c>
      <c r="ET498" s="408">
        <v>0</v>
      </c>
      <c r="EU498" s="408">
        <v>0</v>
      </c>
      <c r="EV498" s="408">
        <v>242</v>
      </c>
      <c r="EW498" s="408">
        <v>0</v>
      </c>
      <c r="EX498" s="408">
        <v>0</v>
      </c>
      <c r="EY498" s="408">
        <v>0</v>
      </c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498</v>
      </c>
      <c r="B499" s="408" t="s">
        <v>1036</v>
      </c>
      <c r="C499" s="408" t="s">
        <v>2239</v>
      </c>
      <c r="D499" s="408" t="s">
        <v>597</v>
      </c>
      <c r="E499" s="408" t="s">
        <v>974</v>
      </c>
      <c r="F499" s="408" t="s">
        <v>2248</v>
      </c>
      <c r="G499" s="408" t="s">
        <v>1322</v>
      </c>
      <c r="H499" s="408" t="s">
        <v>1322</v>
      </c>
      <c r="I499" s="408" t="s">
        <v>973</v>
      </c>
      <c r="J499" s="408" t="s">
        <v>2232</v>
      </c>
      <c r="K499" s="828">
        <v>44652</v>
      </c>
      <c r="L499" s="408">
        <v>0</v>
      </c>
      <c r="M499" s="408">
        <v>0</v>
      </c>
      <c r="N499" s="408">
        <v>0.56100000000000005</v>
      </c>
      <c r="O499" s="408">
        <v>0.53856000000000004</v>
      </c>
      <c r="P499" s="408">
        <v>0.56100000000000005</v>
      </c>
      <c r="Q499" s="408">
        <v>0.53856000000000004</v>
      </c>
      <c r="R499" s="408"/>
      <c r="S499" s="408">
        <v>2592.54</v>
      </c>
      <c r="T499" s="408">
        <v>216.76</v>
      </c>
      <c r="U499" s="408"/>
      <c r="V499" s="408">
        <v>1576.0173000000002</v>
      </c>
      <c r="W499" s="408">
        <v>1576.0173000000002</v>
      </c>
      <c r="X499" s="408">
        <v>662.65319999999997</v>
      </c>
      <c r="Y499" s="408">
        <v>0</v>
      </c>
      <c r="Z499" s="408">
        <v>29.58222386068427</v>
      </c>
      <c r="AA499" s="408">
        <v>0</v>
      </c>
      <c r="AB499" s="408">
        <v>0</v>
      </c>
      <c r="AC499" s="408">
        <v>0</v>
      </c>
      <c r="AD499" s="408">
        <v>2.8367723511644249</v>
      </c>
      <c r="AE499" s="408">
        <v>1285.1901339761587</v>
      </c>
      <c r="AF499" s="408">
        <v>119.83044196205981</v>
      </c>
      <c r="AG499" s="408">
        <v>1.7713040571497742</v>
      </c>
      <c r="AH499" s="408">
        <v>0</v>
      </c>
      <c r="AI499" s="408">
        <v>0</v>
      </c>
      <c r="AJ499" s="408">
        <v>0</v>
      </c>
      <c r="AK499" s="408">
        <v>0</v>
      </c>
      <c r="AL499" s="408">
        <v>5.2586084824576407</v>
      </c>
      <c r="AM499" s="408"/>
      <c r="AN499" s="408">
        <v>0.77037765223731347</v>
      </c>
      <c r="AO499" s="408">
        <v>25.309442934407091</v>
      </c>
      <c r="AP499" s="408">
        <v>96.04362003436934</v>
      </c>
      <c r="AQ499" s="408">
        <v>0</v>
      </c>
      <c r="AR499" s="408">
        <v>0</v>
      </c>
      <c r="AS499" s="408">
        <v>0</v>
      </c>
      <c r="AT499" s="408">
        <v>0</v>
      </c>
      <c r="AU499" s="408">
        <v>0</v>
      </c>
      <c r="AV499" s="408">
        <v>0</v>
      </c>
      <c r="AW499" s="408">
        <v>0</v>
      </c>
      <c r="AX499" s="408">
        <v>0</v>
      </c>
      <c r="AY499" s="408">
        <v>0</v>
      </c>
      <c r="AZ499" s="408">
        <v>0</v>
      </c>
      <c r="BA499" s="408"/>
      <c r="BB499" s="408">
        <v>0</v>
      </c>
      <c r="BC499" s="408">
        <v>0</v>
      </c>
      <c r="BD499" s="408">
        <v>0.25654456983323037</v>
      </c>
      <c r="BE499" s="408">
        <v>0</v>
      </c>
      <c r="BF499" s="408">
        <v>0</v>
      </c>
      <c r="BG499" s="408">
        <v>9.1645839799778557</v>
      </c>
      <c r="BH499" s="408">
        <v>0</v>
      </c>
      <c r="BI499" s="408">
        <v>0</v>
      </c>
      <c r="BJ499" s="408">
        <v>0</v>
      </c>
      <c r="BK499" s="408">
        <v>0</v>
      </c>
      <c r="BL499" s="408">
        <v>0</v>
      </c>
      <c r="BM499" s="408"/>
      <c r="BN499" s="408"/>
      <c r="BO499" s="408"/>
      <c r="BP499" s="408"/>
      <c r="BQ499" s="408"/>
      <c r="BR499" s="408">
        <v>26.506128000000018</v>
      </c>
      <c r="BS499" s="408"/>
      <c r="BT499" s="408"/>
      <c r="BU499" s="408"/>
      <c r="BV499" s="408">
        <v>129.25157051187088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637.84799999999996</v>
      </c>
      <c r="CJ499" s="408">
        <v>-875.15860800000019</v>
      </c>
      <c r="CK499" s="408"/>
      <c r="CL499" s="408"/>
      <c r="CM499" s="408"/>
      <c r="CN499" s="408"/>
      <c r="CO499" s="408">
        <v>-931.66953000000012</v>
      </c>
      <c r="CP499" s="408">
        <v>18.305429999999998</v>
      </c>
      <c r="CQ499" s="408">
        <v>30</v>
      </c>
      <c r="CR499" s="408">
        <v>30.882325009335091</v>
      </c>
      <c r="CS499" s="408">
        <v>2.6107076147164427</v>
      </c>
      <c r="CT499" s="408">
        <v>9.9070457938754544</v>
      </c>
      <c r="CU499" s="408">
        <v>0</v>
      </c>
      <c r="CV499" s="408">
        <v>0</v>
      </c>
      <c r="CW499" s="408">
        <v>0</v>
      </c>
      <c r="CX499" s="408">
        <v>0</v>
      </c>
      <c r="CY499" s="408">
        <v>0</v>
      </c>
      <c r="CZ499" s="408">
        <v>0.27736558521998411</v>
      </c>
      <c r="DA499" s="408">
        <v>0</v>
      </c>
      <c r="DB499" s="408">
        <v>0</v>
      </c>
      <c r="DC499" s="408">
        <v>18.307782566618414</v>
      </c>
      <c r="DD499" s="408">
        <v>0</v>
      </c>
      <c r="DE499" s="408">
        <v>0</v>
      </c>
      <c r="DF499" s="408">
        <v>3.9195067015112828E-2</v>
      </c>
      <c r="DG499" s="408">
        <v>1.4001718434125134</v>
      </c>
      <c r="DH499" s="408">
        <v>0</v>
      </c>
      <c r="DI499" s="408">
        <v>-1.4133556959225864</v>
      </c>
      <c r="DJ499" s="408"/>
      <c r="DK499" s="408">
        <v>0</v>
      </c>
      <c r="DL499" s="408">
        <v>0</v>
      </c>
      <c r="DM499" s="408">
        <v>0</v>
      </c>
      <c r="DN499" s="408">
        <v>0</v>
      </c>
      <c r="DO499" s="408">
        <v>-0.21308201881663003</v>
      </c>
      <c r="DP499" s="408">
        <v>-3.3505746783545898E-2</v>
      </c>
      <c r="DQ499" s="408">
        <v>0</v>
      </c>
      <c r="DR499" s="408">
        <v>0</v>
      </c>
      <c r="DS499" s="408"/>
      <c r="DT499" s="408"/>
      <c r="DU499" s="408"/>
      <c r="DV499" s="408">
        <v>1285.1901339761587</v>
      </c>
      <c r="DW499" s="408">
        <v>0</v>
      </c>
      <c r="DX499" s="408">
        <v>0</v>
      </c>
      <c r="DY499" s="408">
        <v>-931.66953000000012</v>
      </c>
      <c r="DZ499" s="234">
        <v>18.305430000000001</v>
      </c>
      <c r="EA499" s="408">
        <v>0</v>
      </c>
      <c r="EB499" s="408">
        <v>0</v>
      </c>
      <c r="EC499" s="408">
        <v>-944.24180869208828</v>
      </c>
      <c r="ED499" s="408">
        <v>0</v>
      </c>
      <c r="EE499" s="408">
        <v>0</v>
      </c>
      <c r="EF499" s="408">
        <v>0</v>
      </c>
      <c r="EG499" s="408">
        <v>0</v>
      </c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>
        <v>0</v>
      </c>
      <c r="EN499" s="408">
        <v>0</v>
      </c>
      <c r="EO499" s="408">
        <v>0</v>
      </c>
      <c r="EP499" s="408">
        <v>0</v>
      </c>
      <c r="EQ499" s="408">
        <v>0</v>
      </c>
      <c r="ER499" s="408">
        <v>0</v>
      </c>
      <c r="ES499" s="408">
        <v>0</v>
      </c>
      <c r="ET499" s="408">
        <v>0</v>
      </c>
      <c r="EU499" s="408">
        <v>0</v>
      </c>
      <c r="EV499" s="408">
        <v>242</v>
      </c>
      <c r="EW499" s="408">
        <v>0</v>
      </c>
      <c r="EX499" s="408">
        <v>0</v>
      </c>
      <c r="EY499" s="408">
        <v>0</v>
      </c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499</v>
      </c>
      <c r="B500" s="408" t="s">
        <v>1036</v>
      </c>
      <c r="C500" s="408" t="s">
        <v>2239</v>
      </c>
      <c r="D500" s="408" t="s">
        <v>597</v>
      </c>
      <c r="E500" s="408" t="s">
        <v>974</v>
      </c>
      <c r="F500" s="408" t="s">
        <v>2248</v>
      </c>
      <c r="G500" s="408" t="s">
        <v>1322</v>
      </c>
      <c r="H500" s="408" t="s">
        <v>1322</v>
      </c>
      <c r="I500" s="408" t="s">
        <v>2240</v>
      </c>
      <c r="J500" s="408" t="s">
        <v>2232</v>
      </c>
      <c r="K500" s="828">
        <v>44652</v>
      </c>
      <c r="L500" s="408">
        <v>0</v>
      </c>
      <c r="M500" s="408">
        <v>0</v>
      </c>
      <c r="N500" s="408">
        <v>11.956</v>
      </c>
      <c r="O500" s="408">
        <v>11.47776</v>
      </c>
      <c r="P500" s="408">
        <v>11.956</v>
      </c>
      <c r="Q500" s="408">
        <v>11.47776</v>
      </c>
      <c r="R500" s="408"/>
      <c r="S500" s="408">
        <v>80.27</v>
      </c>
      <c r="T500" s="408">
        <v>216.76</v>
      </c>
      <c r="U500" s="408"/>
      <c r="V500" s="408">
        <v>3551.2906799999996</v>
      </c>
      <c r="W500" s="408">
        <v>3551.2906799999996</v>
      </c>
      <c r="X500" s="408">
        <v>3936.7521199999996</v>
      </c>
      <c r="Y500" s="408">
        <v>0</v>
      </c>
      <c r="Z500" s="408">
        <v>630.45466751932463</v>
      </c>
      <c r="AA500" s="408">
        <v>0</v>
      </c>
      <c r="AB500" s="408">
        <v>0</v>
      </c>
      <c r="AC500" s="408">
        <v>0</v>
      </c>
      <c r="AD500" s="408">
        <v>0</v>
      </c>
      <c r="AE500" s="408">
        <v>0</v>
      </c>
      <c r="AF500" s="408">
        <v>2553.8195438473917</v>
      </c>
      <c r="AG500" s="408">
        <v>37.749931029024417</v>
      </c>
      <c r="AH500" s="408">
        <v>0</v>
      </c>
      <c r="AI500" s="408">
        <v>0</v>
      </c>
      <c r="AJ500" s="408">
        <v>0</v>
      </c>
      <c r="AK500" s="408">
        <v>0</v>
      </c>
      <c r="AL500" s="408">
        <v>112.07116402186016</v>
      </c>
      <c r="AM500" s="408"/>
      <c r="AN500" s="408">
        <v>16.418244581371336</v>
      </c>
      <c r="AO500" s="408">
        <v>0</v>
      </c>
      <c r="AP500" s="408">
        <v>0</v>
      </c>
      <c r="AQ500" s="408">
        <v>0</v>
      </c>
      <c r="AR500" s="408">
        <v>0</v>
      </c>
      <c r="AS500" s="408">
        <v>0</v>
      </c>
      <c r="AT500" s="408">
        <v>0</v>
      </c>
      <c r="AU500" s="408">
        <v>0</v>
      </c>
      <c r="AV500" s="408">
        <v>0</v>
      </c>
      <c r="AW500" s="408">
        <v>0</v>
      </c>
      <c r="AX500" s="408">
        <v>0</v>
      </c>
      <c r="AY500" s="408">
        <v>0</v>
      </c>
      <c r="AZ500" s="408">
        <v>0</v>
      </c>
      <c r="BA500" s="408"/>
      <c r="BB500" s="408">
        <v>0</v>
      </c>
      <c r="BC500" s="408">
        <v>0</v>
      </c>
      <c r="BD500" s="408">
        <v>5.4674632387274542</v>
      </c>
      <c r="BE500" s="408">
        <v>0</v>
      </c>
      <c r="BF500" s="408">
        <v>0</v>
      </c>
      <c r="BG500" s="408">
        <v>195.31509102426958</v>
      </c>
      <c r="BH500" s="408">
        <v>0</v>
      </c>
      <c r="BI500" s="408">
        <v>0</v>
      </c>
      <c r="BJ500" s="408">
        <v>0</v>
      </c>
      <c r="BK500" s="408">
        <v>0</v>
      </c>
      <c r="BL500" s="408">
        <v>0</v>
      </c>
      <c r="BM500" s="408"/>
      <c r="BN500" s="408"/>
      <c r="BO500" s="408"/>
      <c r="BP500" s="408"/>
      <c r="BQ500" s="408"/>
      <c r="BR500" s="408">
        <v>157.47008479999985</v>
      </c>
      <c r="BS500" s="408"/>
      <c r="BT500" s="408"/>
      <c r="BU500" s="408"/>
      <c r="BV500" s="408">
        <v>2754.6020981103884</v>
      </c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>
        <v>3780.0195999999996</v>
      </c>
      <c r="CJ500" s="408">
        <v>370.75054719999935</v>
      </c>
      <c r="CK500" s="408"/>
      <c r="CL500" s="408"/>
      <c r="CM500" s="408"/>
      <c r="CN500" s="408"/>
      <c r="CO500" s="408">
        <v>-4.6628400000000063</v>
      </c>
      <c r="CP500" s="408">
        <v>390.12427999999994</v>
      </c>
      <c r="CQ500" s="408">
        <v>30</v>
      </c>
      <c r="CR500" s="408">
        <v>385.47350289054611</v>
      </c>
      <c r="CS500" s="408">
        <v>0</v>
      </c>
      <c r="CT500" s="408">
        <v>0</v>
      </c>
      <c r="CU500" s="408">
        <v>0</v>
      </c>
      <c r="CV500" s="408">
        <v>0</v>
      </c>
      <c r="CW500" s="408">
        <v>0</v>
      </c>
      <c r="CX500" s="408">
        <v>0</v>
      </c>
      <c r="CY500" s="408">
        <v>0</v>
      </c>
      <c r="CZ500" s="408">
        <v>0</v>
      </c>
      <c r="DA500" s="408">
        <v>0</v>
      </c>
      <c r="DB500" s="408">
        <v>0</v>
      </c>
      <c r="DC500" s="408">
        <v>390.17441776557916</v>
      </c>
      <c r="DD500" s="408">
        <v>0</v>
      </c>
      <c r="DE500" s="408">
        <v>0</v>
      </c>
      <c r="DF500" s="408">
        <v>0.83532303250033646</v>
      </c>
      <c r="DG500" s="408">
        <v>29.840382459607866</v>
      </c>
      <c r="DH500" s="408">
        <v>0</v>
      </c>
      <c r="DI500" s="408">
        <v>-30.121355972282458</v>
      </c>
      <c r="DJ500" s="408"/>
      <c r="DK500" s="408">
        <v>0</v>
      </c>
      <c r="DL500" s="408">
        <v>0</v>
      </c>
      <c r="DM500" s="408">
        <v>0</v>
      </c>
      <c r="DN500" s="408">
        <v>0</v>
      </c>
      <c r="DO500" s="408">
        <v>-4.541191830608966</v>
      </c>
      <c r="DP500" s="408">
        <v>-0.71407256424968857</v>
      </c>
      <c r="DQ500" s="408">
        <v>0</v>
      </c>
      <c r="DR500" s="408">
        <v>0</v>
      </c>
      <c r="DS500" s="408"/>
      <c r="DT500" s="408"/>
      <c r="DU500" s="408"/>
      <c r="DV500" s="408">
        <v>0</v>
      </c>
      <c r="DW500" s="408">
        <v>0</v>
      </c>
      <c r="DX500" s="408">
        <v>0</v>
      </c>
      <c r="DY500" s="408">
        <v>-4.6628399999999601</v>
      </c>
      <c r="DZ500" s="234">
        <v>390.12428</v>
      </c>
      <c r="EA500" s="408">
        <v>0</v>
      </c>
      <c r="EB500" s="408">
        <v>0</v>
      </c>
      <c r="EC500" s="408">
        <v>0</v>
      </c>
      <c r="ED500" s="408">
        <v>0</v>
      </c>
      <c r="EE500" s="408">
        <v>0</v>
      </c>
      <c r="EF500" s="408">
        <v>0</v>
      </c>
      <c r="EG500" s="408">
        <v>0</v>
      </c>
      <c r="EH500" s="408">
        <v>0</v>
      </c>
      <c r="EI500" s="408">
        <v>0</v>
      </c>
      <c r="EJ500" s="408">
        <v>0</v>
      </c>
      <c r="EK500" s="408">
        <v>0</v>
      </c>
      <c r="EL500" s="408">
        <v>0</v>
      </c>
      <c r="EM500" s="408">
        <v>0</v>
      </c>
      <c r="EN500" s="408">
        <v>0</v>
      </c>
      <c r="EO500" s="408">
        <v>0</v>
      </c>
      <c r="EP500" s="408">
        <v>0</v>
      </c>
      <c r="EQ500" s="408">
        <v>0</v>
      </c>
      <c r="ER500" s="408">
        <v>0</v>
      </c>
      <c r="ES500" s="408">
        <v>0</v>
      </c>
      <c r="ET500" s="408">
        <v>0</v>
      </c>
      <c r="EU500" s="408">
        <v>0</v>
      </c>
      <c r="EV500" s="408">
        <v>242</v>
      </c>
      <c r="EW500" s="408">
        <v>0</v>
      </c>
      <c r="EX500" s="408">
        <v>0</v>
      </c>
      <c r="EY500" s="408">
        <v>0</v>
      </c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500</v>
      </c>
      <c r="B501" s="408" t="s">
        <v>1036</v>
      </c>
      <c r="C501" s="408" t="s">
        <v>2239</v>
      </c>
      <c r="D501" s="408" t="s">
        <v>597</v>
      </c>
      <c r="E501" s="408" t="s">
        <v>974</v>
      </c>
      <c r="F501" s="408" t="s">
        <v>2248</v>
      </c>
      <c r="G501" s="408" t="s">
        <v>1322</v>
      </c>
      <c r="H501" s="408" t="s">
        <v>1322</v>
      </c>
      <c r="I501" s="408" t="s">
        <v>1322</v>
      </c>
      <c r="J501" s="408" t="s">
        <v>2232</v>
      </c>
      <c r="K501" s="828">
        <v>44652</v>
      </c>
      <c r="L501" s="408">
        <v>708</v>
      </c>
      <c r="M501" s="408">
        <v>679.68</v>
      </c>
      <c r="N501" s="408">
        <v>0</v>
      </c>
      <c r="O501" s="408">
        <v>0</v>
      </c>
      <c r="P501" s="408">
        <v>0</v>
      </c>
      <c r="Q501" s="408">
        <v>0</v>
      </c>
      <c r="R501" s="408">
        <v>32.17</v>
      </c>
      <c r="S501" s="408"/>
      <c r="T501" s="408"/>
      <c r="U501" s="408">
        <v>22776.36</v>
      </c>
      <c r="V501" s="408"/>
      <c r="W501" s="408">
        <v>22776.36</v>
      </c>
      <c r="X501" s="408">
        <v>9154.44</v>
      </c>
      <c r="Y501" s="408">
        <v>0</v>
      </c>
      <c r="Z501" s="408">
        <v>0</v>
      </c>
      <c r="AA501" s="408">
        <v>0</v>
      </c>
      <c r="AB501" s="408">
        <v>0</v>
      </c>
      <c r="AC501" s="408">
        <v>0</v>
      </c>
      <c r="AD501" s="408">
        <v>70.740687392942988</v>
      </c>
      <c r="AE501" s="408">
        <v>19064.128683373045</v>
      </c>
      <c r="AF501" s="408"/>
      <c r="AG501" s="408"/>
      <c r="AH501" s="408"/>
      <c r="AI501" s="408">
        <v>0</v>
      </c>
      <c r="AJ501" s="408">
        <v>0</v>
      </c>
      <c r="AK501" s="408">
        <v>0</v>
      </c>
      <c r="AL501" s="408">
        <v>0</v>
      </c>
      <c r="AM501" s="408"/>
      <c r="AN501" s="408">
        <v>0</v>
      </c>
      <c r="AO501" s="408">
        <v>1249.2101433409209</v>
      </c>
      <c r="AP501" s="408">
        <v>2395.0685371355416</v>
      </c>
      <c r="AQ501" s="408">
        <v>0</v>
      </c>
      <c r="AR501" s="408">
        <v>0</v>
      </c>
      <c r="AS501" s="408"/>
      <c r="AT501" s="408"/>
      <c r="AU501" s="408">
        <v>0</v>
      </c>
      <c r="AV501" s="408">
        <v>0</v>
      </c>
      <c r="AW501" s="408">
        <v>0</v>
      </c>
      <c r="AX501" s="408"/>
      <c r="AY501" s="408"/>
      <c r="AZ501" s="408">
        <v>0</v>
      </c>
      <c r="BA501" s="408"/>
      <c r="BB501" s="408">
        <v>0</v>
      </c>
      <c r="BC501" s="408">
        <v>0</v>
      </c>
      <c r="BD501" s="408">
        <v>0</v>
      </c>
      <c r="BE501" s="408">
        <v>0</v>
      </c>
      <c r="BF501" s="408"/>
      <c r="BG501" s="408">
        <v>0</v>
      </c>
      <c r="BH501" s="408">
        <v>0</v>
      </c>
      <c r="BI501" s="408">
        <v>46.33</v>
      </c>
      <c r="BJ501" s="408">
        <v>212.44</v>
      </c>
      <c r="BK501" s="408">
        <v>134.34</v>
      </c>
      <c r="BL501" s="408">
        <v>13</v>
      </c>
      <c r="BM501" s="408"/>
      <c r="BN501" s="408"/>
      <c r="BO501" s="408"/>
      <c r="BP501" s="408"/>
      <c r="BQ501" s="408"/>
      <c r="BR501" s="408">
        <v>366.17760000000067</v>
      </c>
      <c r="BS501" s="408"/>
      <c r="BT501" s="408"/>
      <c r="BU501" s="408"/>
      <c r="BV501" s="408">
        <v>0</v>
      </c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>
        <v>8788.2623999999996</v>
      </c>
      <c r="CJ501" s="408">
        <v>-13077.073199999995</v>
      </c>
      <c r="CK501" s="408"/>
      <c r="CL501" s="408"/>
      <c r="CM501" s="408"/>
      <c r="CN501" s="408"/>
      <c r="CO501" s="408">
        <v>-13621.920000000002</v>
      </c>
      <c r="CP501" s="408">
        <v>0</v>
      </c>
      <c r="CQ501" s="408">
        <v>30</v>
      </c>
      <c r="CR501" s="408">
        <v>382.8295753252105</v>
      </c>
      <c r="CS501" s="408">
        <v>128.85793030109062</v>
      </c>
      <c r="CT501" s="408">
        <v>247.05497011026864</v>
      </c>
      <c r="CU501" s="408">
        <v>0</v>
      </c>
      <c r="CV501" s="408">
        <v>0</v>
      </c>
      <c r="CW501" s="408"/>
      <c r="CX501" s="408"/>
      <c r="CY501" s="408"/>
      <c r="CZ501" s="408">
        <v>6.9166749138521055</v>
      </c>
      <c r="DA501" s="408">
        <v>0</v>
      </c>
      <c r="DB501" s="408">
        <v>0</v>
      </c>
      <c r="DC501" s="408"/>
      <c r="DD501" s="408"/>
      <c r="DE501" s="408">
        <v>0</v>
      </c>
      <c r="DF501" s="408">
        <v>0</v>
      </c>
      <c r="DG501" s="408">
        <v>0</v>
      </c>
      <c r="DH501" s="408">
        <v>0</v>
      </c>
      <c r="DI501" s="408">
        <v>0</v>
      </c>
      <c r="DJ501" s="408"/>
      <c r="DK501" s="408">
        <v>0</v>
      </c>
      <c r="DL501" s="408">
        <v>0</v>
      </c>
      <c r="DM501" s="408"/>
      <c r="DN501" s="408">
        <v>0</v>
      </c>
      <c r="DO501" s="408">
        <v>0</v>
      </c>
      <c r="DP501" s="408">
        <v>0</v>
      </c>
      <c r="DQ501" s="408">
        <v>0</v>
      </c>
      <c r="DR501" s="408">
        <v>0</v>
      </c>
      <c r="DS501" s="408"/>
      <c r="DT501" s="408"/>
      <c r="DU501" s="408">
        <v>19064.128683373045</v>
      </c>
      <c r="DV501" s="408"/>
      <c r="DW501" s="408">
        <v>0</v>
      </c>
      <c r="DX501" s="408">
        <v>0</v>
      </c>
      <c r="DY501" s="408">
        <v>-13621.92</v>
      </c>
      <c r="DZ501" s="234"/>
      <c r="EA501" s="408">
        <v>0</v>
      </c>
      <c r="EB501" s="408"/>
      <c r="EC501" s="408">
        <v>-14006.602504358158</v>
      </c>
      <c r="ED501" s="408"/>
      <c r="EE501" s="408">
        <v>0</v>
      </c>
      <c r="EF501" s="408">
        <v>0</v>
      </c>
      <c r="EG501" s="408"/>
      <c r="EH501" s="408">
        <v>0</v>
      </c>
      <c r="EI501" s="408">
        <v>0</v>
      </c>
      <c r="EJ501" s="408">
        <v>0</v>
      </c>
      <c r="EK501" s="408">
        <v>0</v>
      </c>
      <c r="EL501" s="408">
        <v>0</v>
      </c>
      <c r="EM501" s="408"/>
      <c r="EN501" s="408"/>
      <c r="EO501" s="408">
        <v>0</v>
      </c>
      <c r="EP501" s="408">
        <v>0</v>
      </c>
      <c r="EQ501" s="408"/>
      <c r="ER501" s="408">
        <v>0</v>
      </c>
      <c r="ES501" s="408"/>
      <c r="ET501" s="408">
        <v>0</v>
      </c>
      <c r="EU501" s="408"/>
      <c r="EV501" s="408">
        <v>242</v>
      </c>
      <c r="EW501" s="408"/>
      <c r="EX501" s="408"/>
      <c r="EY501" s="408"/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501</v>
      </c>
      <c r="B502" s="408" t="s">
        <v>1036</v>
      </c>
      <c r="C502" s="408" t="s">
        <v>2239</v>
      </c>
      <c r="D502" s="408" t="s">
        <v>597</v>
      </c>
      <c r="E502" s="408" t="s">
        <v>974</v>
      </c>
      <c r="F502" s="408" t="s">
        <v>2248</v>
      </c>
      <c r="G502" s="408" t="s">
        <v>2250</v>
      </c>
      <c r="H502" s="408" t="s">
        <v>1322</v>
      </c>
      <c r="I502" s="408" t="s">
        <v>2240</v>
      </c>
      <c r="J502" s="408" t="s">
        <v>2232</v>
      </c>
      <c r="K502" s="828">
        <v>44652</v>
      </c>
      <c r="L502" s="408">
        <v>0</v>
      </c>
      <c r="M502" s="408">
        <v>0</v>
      </c>
      <c r="N502" s="408">
        <v>8.5150000000000006</v>
      </c>
      <c r="O502" s="408">
        <v>2.5545</v>
      </c>
      <c r="P502" s="408">
        <v>8.5150000000000006</v>
      </c>
      <c r="Q502" s="408">
        <v>2.5545</v>
      </c>
      <c r="R502" s="408"/>
      <c r="S502" s="408">
        <v>80.27</v>
      </c>
      <c r="T502" s="408">
        <v>216.76</v>
      </c>
      <c r="U502" s="408"/>
      <c r="V502" s="408">
        <v>2529.21045</v>
      </c>
      <c r="W502" s="408">
        <v>2529.21045</v>
      </c>
      <c r="X502" s="408">
        <v>2803.73405</v>
      </c>
      <c r="Y502" s="408">
        <v>0</v>
      </c>
      <c r="Z502" s="408">
        <v>449.00648159309549</v>
      </c>
      <c r="AA502" s="408">
        <v>0</v>
      </c>
      <c r="AB502" s="408">
        <v>0</v>
      </c>
      <c r="AC502" s="408">
        <v>0</v>
      </c>
      <c r="AD502" s="408">
        <v>0</v>
      </c>
      <c r="AE502" s="408">
        <v>0</v>
      </c>
      <c r="AF502" s="408">
        <v>1818.8167795132606</v>
      </c>
      <c r="AG502" s="408">
        <v>26.885301330891849</v>
      </c>
      <c r="AH502" s="408">
        <v>0</v>
      </c>
      <c r="AI502" s="408">
        <v>0</v>
      </c>
      <c r="AJ502" s="408">
        <v>0</v>
      </c>
      <c r="AK502" s="408">
        <v>0</v>
      </c>
      <c r="AL502" s="408">
        <v>79.816490602721586</v>
      </c>
      <c r="AM502" s="408"/>
      <c r="AN502" s="408">
        <v>11.692987003209847</v>
      </c>
      <c r="AO502" s="408">
        <v>0</v>
      </c>
      <c r="AP502" s="408">
        <v>0</v>
      </c>
      <c r="AQ502" s="408">
        <v>0</v>
      </c>
      <c r="AR502" s="408">
        <v>0</v>
      </c>
      <c r="AS502" s="408">
        <v>0</v>
      </c>
      <c r="AT502" s="408">
        <v>0</v>
      </c>
      <c r="AU502" s="408">
        <v>0</v>
      </c>
      <c r="AV502" s="408">
        <v>0</v>
      </c>
      <c r="AW502" s="408">
        <v>0</v>
      </c>
      <c r="AX502" s="408">
        <v>0</v>
      </c>
      <c r="AY502" s="408">
        <v>0</v>
      </c>
      <c r="AZ502" s="408">
        <v>0</v>
      </c>
      <c r="BA502" s="408"/>
      <c r="BB502" s="408">
        <v>0</v>
      </c>
      <c r="BC502" s="408">
        <v>0</v>
      </c>
      <c r="BD502" s="408">
        <v>3.8938984173439506</v>
      </c>
      <c r="BE502" s="408">
        <v>0</v>
      </c>
      <c r="BF502" s="408">
        <v>0</v>
      </c>
      <c r="BG502" s="408">
        <v>139.10237538237334</v>
      </c>
      <c r="BH502" s="408">
        <v>0</v>
      </c>
      <c r="BI502" s="408">
        <v>0</v>
      </c>
      <c r="BJ502" s="408">
        <v>0</v>
      </c>
      <c r="BK502" s="408">
        <v>0</v>
      </c>
      <c r="BL502" s="408">
        <v>0</v>
      </c>
      <c r="BM502" s="408"/>
      <c r="BN502" s="408"/>
      <c r="BO502" s="408"/>
      <c r="BP502" s="408"/>
      <c r="BQ502" s="408"/>
      <c r="BR502" s="408"/>
      <c r="BS502" s="408">
        <v>1962.6138350000001</v>
      </c>
      <c r="BT502" s="408"/>
      <c r="BU502" s="408"/>
      <c r="BV502" s="408">
        <v>1961.8130533129779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839.63849999999991</v>
      </c>
      <c r="CJ502" s="408">
        <v>80.845365000000015</v>
      </c>
      <c r="CK502" s="408"/>
      <c r="CL502" s="408"/>
      <c r="CM502" s="408"/>
      <c r="CN502" s="408"/>
      <c r="CO502" s="408">
        <v>-3.320850000000005</v>
      </c>
      <c r="CP502" s="408">
        <v>277.84444999999999</v>
      </c>
      <c r="CQ502" s="408">
        <v>30</v>
      </c>
      <c r="CR502" s="408">
        <v>274.53219112688248</v>
      </c>
      <c r="CS502" s="408">
        <v>0</v>
      </c>
      <c r="CT502" s="408">
        <v>0</v>
      </c>
      <c r="CU502" s="408">
        <v>0</v>
      </c>
      <c r="CV502" s="408">
        <v>0</v>
      </c>
      <c r="CW502" s="408">
        <v>0</v>
      </c>
      <c r="CX502" s="408">
        <v>0</v>
      </c>
      <c r="CY502" s="408">
        <v>0</v>
      </c>
      <c r="CZ502" s="408">
        <v>0</v>
      </c>
      <c r="DA502" s="408">
        <v>0</v>
      </c>
      <c r="DB502" s="408">
        <v>0</v>
      </c>
      <c r="DC502" s="408">
        <v>277.88015785161474</v>
      </c>
      <c r="DD502" s="408">
        <v>0</v>
      </c>
      <c r="DE502" s="408">
        <v>0</v>
      </c>
      <c r="DF502" s="408">
        <v>0.59491264818838818</v>
      </c>
      <c r="DG502" s="408">
        <v>21.252162650013446</v>
      </c>
      <c r="DH502" s="408">
        <v>0</v>
      </c>
      <c r="DI502" s="408">
        <v>-21.452270500500617</v>
      </c>
      <c r="DJ502" s="408"/>
      <c r="DK502" s="408">
        <v>0</v>
      </c>
      <c r="DL502" s="408">
        <v>0</v>
      </c>
      <c r="DM502" s="408">
        <v>0</v>
      </c>
      <c r="DN502" s="408">
        <v>0</v>
      </c>
      <c r="DO502" s="408">
        <v>-3.2342128167978643</v>
      </c>
      <c r="DP502" s="408">
        <v>-0.50855870563617245</v>
      </c>
      <c r="DQ502" s="408">
        <v>0</v>
      </c>
      <c r="DR502" s="408">
        <v>0</v>
      </c>
      <c r="DS502" s="408"/>
      <c r="DT502" s="408"/>
      <c r="DU502" s="408"/>
      <c r="DV502" s="408">
        <v>0</v>
      </c>
      <c r="DW502" s="408">
        <v>0</v>
      </c>
      <c r="DX502" s="408">
        <v>0</v>
      </c>
      <c r="DY502" s="408">
        <v>-3.3208499999999503</v>
      </c>
      <c r="DZ502" s="234">
        <v>277.84445000000005</v>
      </c>
      <c r="EA502" s="408">
        <v>0</v>
      </c>
      <c r="EB502" s="408">
        <v>0</v>
      </c>
      <c r="EC502" s="408">
        <v>0</v>
      </c>
      <c r="ED502" s="408">
        <v>0</v>
      </c>
      <c r="EE502" s="408">
        <v>0</v>
      </c>
      <c r="EF502" s="408">
        <v>0</v>
      </c>
      <c r="EG502" s="408">
        <v>0</v>
      </c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>
        <v>0</v>
      </c>
      <c r="EN502" s="408">
        <v>0</v>
      </c>
      <c r="EO502" s="408">
        <v>0</v>
      </c>
      <c r="EP502" s="408">
        <v>0</v>
      </c>
      <c r="EQ502" s="408">
        <v>0</v>
      </c>
      <c r="ER502" s="408">
        <v>0</v>
      </c>
      <c r="ES502" s="408">
        <v>0</v>
      </c>
      <c r="ET502" s="408">
        <v>0</v>
      </c>
      <c r="EU502" s="408">
        <v>0</v>
      </c>
      <c r="EV502" s="408">
        <v>242</v>
      </c>
      <c r="EW502" s="408">
        <v>0</v>
      </c>
      <c r="EX502" s="408">
        <v>0</v>
      </c>
      <c r="EY502" s="408">
        <v>0</v>
      </c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502</v>
      </c>
      <c r="B503" s="408" t="s">
        <v>1036</v>
      </c>
      <c r="C503" s="408" t="s">
        <v>2231</v>
      </c>
      <c r="D503" s="408" t="s">
        <v>2241</v>
      </c>
      <c r="E503" s="408" t="s">
        <v>974</v>
      </c>
      <c r="F503" s="408" t="s">
        <v>2251</v>
      </c>
      <c r="G503" s="408" t="s">
        <v>2249</v>
      </c>
      <c r="H503" s="408" t="s">
        <v>1322</v>
      </c>
      <c r="I503" s="408" t="s">
        <v>1322</v>
      </c>
      <c r="J503" s="408" t="s">
        <v>2232</v>
      </c>
      <c r="K503" s="828">
        <v>44652</v>
      </c>
      <c r="L503" s="408">
        <v>0</v>
      </c>
      <c r="M503" s="408">
        <v>0</v>
      </c>
      <c r="N503" s="408">
        <v>0</v>
      </c>
      <c r="O503" s="408">
        <v>0</v>
      </c>
      <c r="P503" s="408">
        <v>0</v>
      </c>
      <c r="Q503" s="408">
        <v>0</v>
      </c>
      <c r="R503" s="408"/>
      <c r="S503" s="408"/>
      <c r="T503" s="408"/>
      <c r="U503" s="408"/>
      <c r="V503" s="408"/>
      <c r="W503" s="408"/>
      <c r="X503" s="408"/>
      <c r="Y503" s="408"/>
      <c r="Z503" s="408"/>
      <c r="AA503" s="408">
        <v>0</v>
      </c>
      <c r="AB503" s="408"/>
      <c r="AC503" s="408"/>
      <c r="AD503" s="408"/>
      <c r="AE503" s="408"/>
      <c r="AF503" s="408"/>
      <c r="AG503" s="408"/>
      <c r="AH503" s="408"/>
      <c r="AI503" s="408"/>
      <c r="AJ503" s="408"/>
      <c r="AK503" s="408"/>
      <c r="AL503" s="408"/>
      <c r="AM503" s="408"/>
      <c r="AN503" s="408"/>
      <c r="AO503" s="408"/>
      <c r="AP503" s="408"/>
      <c r="AQ503" s="408"/>
      <c r="AR503" s="408"/>
      <c r="AS503" s="408"/>
      <c r="AT503" s="408"/>
      <c r="AU503" s="408"/>
      <c r="AV503" s="408"/>
      <c r="AW503" s="408"/>
      <c r="AX503" s="408"/>
      <c r="AY503" s="408"/>
      <c r="AZ503" s="408">
        <v>0</v>
      </c>
      <c r="BA503" s="408"/>
      <c r="BB503" s="408"/>
      <c r="BC503" s="408"/>
      <c r="BD503" s="408"/>
      <c r="BE503" s="408"/>
      <c r="BF503" s="408"/>
      <c r="BG503" s="408"/>
      <c r="BH503" s="408"/>
      <c r="BI503" s="408">
        <v>4.37</v>
      </c>
      <c r="BJ503" s="408">
        <v>20.12</v>
      </c>
      <c r="BK503" s="408">
        <v>52.59</v>
      </c>
      <c r="BL503" s="408">
        <v>9</v>
      </c>
      <c r="BM503" s="408"/>
      <c r="BN503" s="408"/>
      <c r="BO503" s="408"/>
      <c r="BP503" s="408"/>
      <c r="BQ503" s="408"/>
      <c r="BR503" s="408"/>
      <c r="BS503" s="408"/>
      <c r="BT503" s="408"/>
      <c r="BU503" s="408"/>
      <c r="BV503" s="408"/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/>
      <c r="CJ503" s="408">
        <v>-0.03</v>
      </c>
      <c r="CK503" s="408"/>
      <c r="CL503" s="408"/>
      <c r="CM503" s="408"/>
      <c r="CN503" s="408"/>
      <c r="CO503" s="408">
        <v>0</v>
      </c>
      <c r="CP503" s="408">
        <v>0</v>
      </c>
      <c r="CQ503" s="408">
        <v>30</v>
      </c>
      <c r="CR503" s="408"/>
      <c r="CS503" s="408"/>
      <c r="CT503" s="408"/>
      <c r="CU503" s="408"/>
      <c r="CV503" s="408"/>
      <c r="CW503" s="408"/>
      <c r="CX503" s="408"/>
      <c r="CY503" s="408"/>
      <c r="CZ503" s="408"/>
      <c r="DA503" s="408"/>
      <c r="DB503" s="408"/>
      <c r="DC503" s="408"/>
      <c r="DD503" s="408"/>
      <c r="DE503" s="408"/>
      <c r="DF503" s="408"/>
      <c r="DG503" s="408"/>
      <c r="DH503" s="408"/>
      <c r="DI503" s="408"/>
      <c r="DJ503" s="408"/>
      <c r="DK503" s="408">
        <v>0</v>
      </c>
      <c r="DL503" s="408"/>
      <c r="DM503" s="408"/>
      <c r="DN503" s="408"/>
      <c r="DO503" s="408"/>
      <c r="DP503" s="408"/>
      <c r="DQ503" s="408"/>
      <c r="DR503" s="408"/>
      <c r="DS503" s="408"/>
      <c r="DT503" s="408"/>
      <c r="DU503" s="408"/>
      <c r="DV503" s="408"/>
      <c r="DW503" s="408"/>
      <c r="DX503" s="408"/>
      <c r="DY503" s="408"/>
      <c r="DZ503" s="234"/>
      <c r="EA503" s="408"/>
      <c r="EB503" s="408"/>
      <c r="EC503" s="408"/>
      <c r="ED503" s="408"/>
      <c r="EE503" s="408"/>
      <c r="EF503" s="408"/>
      <c r="EG503" s="408"/>
      <c r="EH503" s="408"/>
      <c r="EI503" s="408"/>
      <c r="EJ503" s="408"/>
      <c r="EK503" s="408"/>
      <c r="EL503" s="408"/>
      <c r="EM503" s="408"/>
      <c r="EN503" s="408"/>
      <c r="EO503" s="408"/>
      <c r="EP503" s="408"/>
      <c r="EQ503" s="408"/>
      <c r="ER503" s="408"/>
      <c r="ES503" s="408"/>
      <c r="ET503" s="408"/>
      <c r="EU503" s="408"/>
      <c r="EV503" s="408">
        <v>242</v>
      </c>
      <c r="EW503" s="408"/>
      <c r="EX503" s="408"/>
      <c r="EY503" s="408"/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503</v>
      </c>
      <c r="B504" s="408" t="s">
        <v>2233</v>
      </c>
      <c r="C504" s="408" t="s">
        <v>2231</v>
      </c>
      <c r="D504" s="408" t="s">
        <v>2241</v>
      </c>
      <c r="E504" s="408" t="s">
        <v>974</v>
      </c>
      <c r="F504" s="408" t="s">
        <v>2251</v>
      </c>
      <c r="G504" s="408" t="s">
        <v>2249</v>
      </c>
      <c r="H504" s="408" t="s">
        <v>1322</v>
      </c>
      <c r="I504" s="408" t="s">
        <v>1322</v>
      </c>
      <c r="J504" s="408" t="s">
        <v>2232</v>
      </c>
      <c r="K504" s="828">
        <v>44652</v>
      </c>
      <c r="L504" s="408">
        <v>0</v>
      </c>
      <c r="M504" s="408">
        <v>0</v>
      </c>
      <c r="N504" s="408">
        <v>0</v>
      </c>
      <c r="O504" s="408">
        <v>0</v>
      </c>
      <c r="P504" s="408">
        <v>0</v>
      </c>
      <c r="Q504" s="408">
        <v>0</v>
      </c>
      <c r="R504" s="408"/>
      <c r="S504" s="408"/>
      <c r="T504" s="408"/>
      <c r="U504" s="408"/>
      <c r="V504" s="408"/>
      <c r="W504" s="408"/>
      <c r="X504" s="408"/>
      <c r="Y504" s="408"/>
      <c r="Z504" s="408"/>
      <c r="AA504" s="408">
        <v>0</v>
      </c>
      <c r="AB504" s="408"/>
      <c r="AC504" s="408"/>
      <c r="AD504" s="408"/>
      <c r="AE504" s="408"/>
      <c r="AF504" s="408"/>
      <c r="AG504" s="408"/>
      <c r="AH504" s="408"/>
      <c r="AI504" s="408"/>
      <c r="AJ504" s="408"/>
      <c r="AK504" s="408"/>
      <c r="AL504" s="408"/>
      <c r="AM504" s="408"/>
      <c r="AN504" s="408"/>
      <c r="AO504" s="408"/>
      <c r="AP504" s="408"/>
      <c r="AQ504" s="408"/>
      <c r="AR504" s="408"/>
      <c r="AS504" s="408"/>
      <c r="AT504" s="408"/>
      <c r="AU504" s="408"/>
      <c r="AV504" s="408"/>
      <c r="AW504" s="408"/>
      <c r="AX504" s="408"/>
      <c r="AY504" s="408"/>
      <c r="AZ504" s="408">
        <v>0</v>
      </c>
      <c r="BA504" s="408"/>
      <c r="BB504" s="408"/>
      <c r="BC504" s="408"/>
      <c r="BD504" s="408"/>
      <c r="BE504" s="408"/>
      <c r="BF504" s="408"/>
      <c r="BG504" s="408"/>
      <c r="BH504" s="408"/>
      <c r="BI504" s="408">
        <v>-0.51</v>
      </c>
      <c r="BJ504" s="408">
        <v>-2.34</v>
      </c>
      <c r="BK504" s="408">
        <v>0</v>
      </c>
      <c r="BL504" s="408">
        <v>0</v>
      </c>
      <c r="BM504" s="408"/>
      <c r="BN504" s="408"/>
      <c r="BO504" s="408"/>
      <c r="BP504" s="408"/>
      <c r="BQ504" s="408"/>
      <c r="BR504" s="408"/>
      <c r="BS504" s="408"/>
      <c r="BT504" s="408"/>
      <c r="BU504" s="408"/>
      <c r="BV504" s="408"/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/>
      <c r="CJ504" s="408">
        <v>-0.03</v>
      </c>
      <c r="CK504" s="408"/>
      <c r="CL504" s="408"/>
      <c r="CM504" s="408"/>
      <c r="CN504" s="408"/>
      <c r="CO504" s="408">
        <v>0</v>
      </c>
      <c r="CP504" s="408">
        <v>0</v>
      </c>
      <c r="CQ504" s="408">
        <v>30</v>
      </c>
      <c r="CR504" s="408"/>
      <c r="CS504" s="408"/>
      <c r="CT504" s="408"/>
      <c r="CU504" s="408"/>
      <c r="CV504" s="408"/>
      <c r="CW504" s="408"/>
      <c r="CX504" s="408"/>
      <c r="CY504" s="408"/>
      <c r="CZ504" s="408"/>
      <c r="DA504" s="408"/>
      <c r="DB504" s="408"/>
      <c r="DC504" s="408"/>
      <c r="DD504" s="408"/>
      <c r="DE504" s="408"/>
      <c r="DF504" s="408"/>
      <c r="DG504" s="408"/>
      <c r="DH504" s="408"/>
      <c r="DI504" s="408"/>
      <c r="DJ504" s="408"/>
      <c r="DK504" s="408">
        <v>0</v>
      </c>
      <c r="DL504" s="408"/>
      <c r="DM504" s="408"/>
      <c r="DN504" s="408"/>
      <c r="DO504" s="408"/>
      <c r="DP504" s="408"/>
      <c r="DQ504" s="408"/>
      <c r="DR504" s="408"/>
      <c r="DS504" s="408"/>
      <c r="DT504" s="408"/>
      <c r="DU504" s="408"/>
      <c r="DV504" s="408"/>
      <c r="DW504" s="408"/>
      <c r="DX504" s="408"/>
      <c r="DY504" s="408"/>
      <c r="DZ504" s="234"/>
      <c r="EA504" s="408"/>
      <c r="EB504" s="408"/>
      <c r="EC504" s="408"/>
      <c r="ED504" s="408"/>
      <c r="EE504" s="408"/>
      <c r="EF504" s="408"/>
      <c r="EG504" s="408"/>
      <c r="EH504" s="408"/>
      <c r="EI504" s="408"/>
      <c r="EJ504" s="408"/>
      <c r="EK504" s="408"/>
      <c r="EL504" s="408"/>
      <c r="EM504" s="408"/>
      <c r="EN504" s="408"/>
      <c r="EO504" s="408"/>
      <c r="EP504" s="408"/>
      <c r="EQ504" s="408"/>
      <c r="ER504" s="408"/>
      <c r="ES504" s="408"/>
      <c r="ET504" s="408"/>
      <c r="EU504" s="408"/>
      <c r="EV504" s="408">
        <v>242</v>
      </c>
      <c r="EW504" s="408"/>
      <c r="EX504" s="408"/>
      <c r="EY504" s="408"/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504</v>
      </c>
      <c r="B505" s="408" t="s">
        <v>1036</v>
      </c>
      <c r="C505" s="408" t="s">
        <v>2231</v>
      </c>
      <c r="D505" s="408" t="s">
        <v>2241</v>
      </c>
      <c r="E505" s="408" t="s">
        <v>974</v>
      </c>
      <c r="F505" s="408" t="s">
        <v>2251</v>
      </c>
      <c r="G505" s="408" t="s">
        <v>2249</v>
      </c>
      <c r="H505" s="408" t="s">
        <v>1322</v>
      </c>
      <c r="I505" s="408" t="s">
        <v>1322</v>
      </c>
      <c r="J505" s="408" t="s">
        <v>2232</v>
      </c>
      <c r="K505" s="828">
        <v>44652</v>
      </c>
      <c r="L505" s="408">
        <v>0</v>
      </c>
      <c r="M505" s="408">
        <v>0</v>
      </c>
      <c r="N505" s="408">
        <v>1.637</v>
      </c>
      <c r="O505" s="408">
        <v>1.637</v>
      </c>
      <c r="P505" s="408">
        <v>1.637</v>
      </c>
      <c r="Q505" s="408">
        <v>1.637</v>
      </c>
      <c r="R505" s="408"/>
      <c r="S505" s="408">
        <v>571.87</v>
      </c>
      <c r="T505" s="408">
        <v>216.76</v>
      </c>
      <c r="U505" s="408"/>
      <c r="V505" s="408">
        <v>1290.98731</v>
      </c>
      <c r="W505" s="408">
        <v>1290.98731</v>
      </c>
      <c r="X505" s="408">
        <v>841.43436999999994</v>
      </c>
      <c r="Y505" s="408">
        <v>0</v>
      </c>
      <c r="Z505" s="408">
        <v>99.219580101092333</v>
      </c>
      <c r="AA505" s="408">
        <v>0</v>
      </c>
      <c r="AB505" s="408">
        <v>0</v>
      </c>
      <c r="AC505" s="408">
        <v>0</v>
      </c>
      <c r="AD505" s="408">
        <v>1.3454727260948121</v>
      </c>
      <c r="AE505" s="408">
        <v>697.99006580406365</v>
      </c>
      <c r="AF505" s="408">
        <v>349.66565684829214</v>
      </c>
      <c r="AG505" s="408">
        <v>5.1686715535725138</v>
      </c>
      <c r="AH505" s="408">
        <v>0</v>
      </c>
      <c r="AI505" s="408">
        <v>0</v>
      </c>
      <c r="AJ505" s="408">
        <v>0</v>
      </c>
      <c r="AK505" s="408">
        <v>0</v>
      </c>
      <c r="AL505" s="408">
        <v>15.344638299078712</v>
      </c>
      <c r="AM505" s="408"/>
      <c r="AN505" s="408">
        <v>3.1405346634259477</v>
      </c>
      <c r="AO505" s="408">
        <v>14.539339215281348</v>
      </c>
      <c r="AP505" s="408">
        <v>45.552971073200325</v>
      </c>
      <c r="AQ505" s="408">
        <v>0</v>
      </c>
      <c r="AR505" s="408">
        <v>0</v>
      </c>
      <c r="AS505" s="408">
        <v>0</v>
      </c>
      <c r="AT505" s="408">
        <v>0</v>
      </c>
      <c r="AU505" s="408">
        <v>0</v>
      </c>
      <c r="AV505" s="408">
        <v>0</v>
      </c>
      <c r="AW505" s="408">
        <v>0</v>
      </c>
      <c r="AX505" s="408">
        <v>0</v>
      </c>
      <c r="AY505" s="408">
        <v>0</v>
      </c>
      <c r="AZ505" s="408">
        <v>0</v>
      </c>
      <c r="BA505" s="408"/>
      <c r="BB505" s="408">
        <v>0</v>
      </c>
      <c r="BC505" s="408">
        <v>0</v>
      </c>
      <c r="BD505" s="408">
        <v>0.97412897101983542</v>
      </c>
      <c r="BE505" s="408">
        <v>0</v>
      </c>
      <c r="BF505" s="408">
        <v>0</v>
      </c>
      <c r="BG505" s="408">
        <v>58.04513473267081</v>
      </c>
      <c r="BH505" s="408">
        <v>0</v>
      </c>
      <c r="BI505" s="408">
        <v>0</v>
      </c>
      <c r="BJ505" s="408">
        <v>0</v>
      </c>
      <c r="BK505" s="408">
        <v>0</v>
      </c>
      <c r="BL505" s="408">
        <v>0</v>
      </c>
      <c r="BM505" s="408"/>
      <c r="BN505" s="408"/>
      <c r="BO505" s="408"/>
      <c r="BP505" s="408"/>
      <c r="BQ505" s="408"/>
      <c r="BR505" s="408">
        <v>100.97015999999996</v>
      </c>
      <c r="BS505" s="408"/>
      <c r="BT505" s="408"/>
      <c r="BU505" s="408"/>
      <c r="BV505" s="408">
        <v>408.68492055198277</v>
      </c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>
        <v>741.82119999999998</v>
      </c>
      <c r="CJ505" s="408">
        <v>-394.28679999999997</v>
      </c>
      <c r="CK505" s="408"/>
      <c r="CL505" s="408"/>
      <c r="CM505" s="408"/>
      <c r="CN505" s="408"/>
      <c r="CO505" s="408">
        <v>-502.96825000000001</v>
      </c>
      <c r="CP505" s="408">
        <v>53.415309999999991</v>
      </c>
      <c r="CQ505" s="408">
        <v>30</v>
      </c>
      <c r="CR505" s="408">
        <v>63.270550670728539</v>
      </c>
      <c r="CS505" s="408">
        <v>1.4997550005606186</v>
      </c>
      <c r="CT505" s="408">
        <v>4.6988583969221622</v>
      </c>
      <c r="CU505" s="408">
        <v>0</v>
      </c>
      <c r="CV505" s="408">
        <v>0</v>
      </c>
      <c r="CW505" s="408">
        <v>0</v>
      </c>
      <c r="CX505" s="408">
        <v>0</v>
      </c>
      <c r="CY505" s="408">
        <v>0</v>
      </c>
      <c r="CZ505" s="408">
        <v>0.13155367575323007</v>
      </c>
      <c r="DA505" s="408">
        <v>0</v>
      </c>
      <c r="DB505" s="408">
        <v>0</v>
      </c>
      <c r="DC505" s="408">
        <v>53.422174797779576</v>
      </c>
      <c r="DD505" s="408">
        <v>0</v>
      </c>
      <c r="DE505" s="408">
        <v>0</v>
      </c>
      <c r="DF505" s="408">
        <v>0.1488281366676566</v>
      </c>
      <c r="DG505" s="408">
        <v>8.8681781385092009</v>
      </c>
      <c r="DH505" s="408">
        <v>0</v>
      </c>
      <c r="DI505" s="408">
        <v>-4.7404332866706085</v>
      </c>
      <c r="DJ505" s="408"/>
      <c r="DK505" s="408">
        <v>0</v>
      </c>
      <c r="DL505" s="408">
        <v>0</v>
      </c>
      <c r="DM505" s="408">
        <v>0</v>
      </c>
      <c r="DN505" s="408">
        <v>0</v>
      </c>
      <c r="DO505" s="408">
        <v>-0.62177409055761679</v>
      </c>
      <c r="DP505" s="408">
        <v>-0.13659009823571999</v>
      </c>
      <c r="DQ505" s="408">
        <v>0</v>
      </c>
      <c r="DR505" s="408">
        <v>0</v>
      </c>
      <c r="DS505" s="408"/>
      <c r="DT505" s="408"/>
      <c r="DU505" s="408"/>
      <c r="DV505" s="408">
        <v>697.99006580406365</v>
      </c>
      <c r="DW505" s="408">
        <v>0</v>
      </c>
      <c r="DX505" s="408">
        <v>0</v>
      </c>
      <c r="DY505" s="408">
        <v>-502.96825000000001</v>
      </c>
      <c r="DZ505" s="234">
        <v>53.415309999999977</v>
      </c>
      <c r="EA505" s="408">
        <v>0</v>
      </c>
      <c r="EB505" s="408">
        <v>0</v>
      </c>
      <c r="EC505" s="408">
        <v>-512.82015381248243</v>
      </c>
      <c r="ED505" s="408">
        <v>0</v>
      </c>
      <c r="EE505" s="408">
        <v>0</v>
      </c>
      <c r="EF505" s="408">
        <v>0</v>
      </c>
      <c r="EG505" s="408">
        <v>0</v>
      </c>
      <c r="EH505" s="408">
        <v>0</v>
      </c>
      <c r="EI505" s="408">
        <v>0</v>
      </c>
      <c r="EJ505" s="408">
        <v>0</v>
      </c>
      <c r="EK505" s="408">
        <v>0</v>
      </c>
      <c r="EL505" s="408">
        <v>0</v>
      </c>
      <c r="EM505" s="408">
        <v>0</v>
      </c>
      <c r="EN505" s="408">
        <v>0</v>
      </c>
      <c r="EO505" s="408">
        <v>0</v>
      </c>
      <c r="EP505" s="408">
        <v>0</v>
      </c>
      <c r="EQ505" s="408">
        <v>0</v>
      </c>
      <c r="ER505" s="408">
        <v>0</v>
      </c>
      <c r="ES505" s="408">
        <v>0</v>
      </c>
      <c r="ET505" s="408">
        <v>0</v>
      </c>
      <c r="EU505" s="408">
        <v>0</v>
      </c>
      <c r="EV505" s="408">
        <v>242</v>
      </c>
      <c r="EW505" s="408">
        <v>0</v>
      </c>
      <c r="EX505" s="408">
        <v>0</v>
      </c>
      <c r="EY505" s="408">
        <v>0</v>
      </c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505</v>
      </c>
      <c r="B506" s="408" t="s">
        <v>2233</v>
      </c>
      <c r="C506" s="408" t="s">
        <v>2231</v>
      </c>
      <c r="D506" s="408" t="s">
        <v>2241</v>
      </c>
      <c r="E506" s="408" t="s">
        <v>974</v>
      </c>
      <c r="F506" s="408" t="s">
        <v>2251</v>
      </c>
      <c r="G506" s="408" t="s">
        <v>2249</v>
      </c>
      <c r="H506" s="408" t="s">
        <v>1322</v>
      </c>
      <c r="I506" s="408" t="s">
        <v>1322</v>
      </c>
      <c r="J506" s="408" t="s">
        <v>2232</v>
      </c>
      <c r="K506" s="828">
        <v>44652</v>
      </c>
      <c r="L506" s="408">
        <v>0</v>
      </c>
      <c r="M506" s="408">
        <v>0</v>
      </c>
      <c r="N506" s="408">
        <v>-0.66300000000000003</v>
      </c>
      <c r="O506" s="408">
        <v>-0.66300000000000003</v>
      </c>
      <c r="P506" s="408">
        <v>-0.66300000000000003</v>
      </c>
      <c r="Q506" s="408">
        <v>-0.66300000000000003</v>
      </c>
      <c r="R506" s="408"/>
      <c r="S506" s="408">
        <v>571.87</v>
      </c>
      <c r="T506" s="408">
        <v>216.76</v>
      </c>
      <c r="U506" s="408"/>
      <c r="V506" s="408">
        <v>-522.86168999999995</v>
      </c>
      <c r="W506" s="408">
        <v>-522.86168999999995</v>
      </c>
      <c r="X506" s="408">
        <v>-340.78863000000001</v>
      </c>
      <c r="Y506" s="408">
        <v>0</v>
      </c>
      <c r="Z506" s="408">
        <v>-40.184839100198062</v>
      </c>
      <c r="AA506" s="408">
        <v>0</v>
      </c>
      <c r="AB506" s="408">
        <v>0</v>
      </c>
      <c r="AC506" s="408">
        <v>0</v>
      </c>
      <c r="AD506" s="408">
        <v>-0.54492878277389156</v>
      </c>
      <c r="AE506" s="408">
        <v>-282.69237240567759</v>
      </c>
      <c r="AF506" s="408">
        <v>-141.61779504607068</v>
      </c>
      <c r="AG506" s="408">
        <v>-2.0933593402679147</v>
      </c>
      <c r="AH506" s="408">
        <v>0</v>
      </c>
      <c r="AI506" s="408">
        <v>0</v>
      </c>
      <c r="AJ506" s="408">
        <v>0</v>
      </c>
      <c r="AK506" s="408">
        <v>0</v>
      </c>
      <c r="AL506" s="408">
        <v>-6.2147191156317572</v>
      </c>
      <c r="AM506" s="408"/>
      <c r="AN506" s="408">
        <v>-1.2719453157308511</v>
      </c>
      <c r="AO506" s="408">
        <v>-5.8885656076551829</v>
      </c>
      <c r="AP506" s="408">
        <v>-18.449370691222857</v>
      </c>
      <c r="AQ506" s="408">
        <v>0</v>
      </c>
      <c r="AR506" s="408">
        <v>0</v>
      </c>
      <c r="AS506" s="408">
        <v>0</v>
      </c>
      <c r="AT506" s="408">
        <v>0</v>
      </c>
      <c r="AU506" s="408">
        <v>0</v>
      </c>
      <c r="AV506" s="408">
        <v>0</v>
      </c>
      <c r="AW506" s="408">
        <v>0</v>
      </c>
      <c r="AX506" s="408">
        <v>0</v>
      </c>
      <c r="AY506" s="408">
        <v>0</v>
      </c>
      <c r="AZ506" s="408">
        <v>0</v>
      </c>
      <c r="BA506" s="408"/>
      <c r="BB506" s="408">
        <v>0</v>
      </c>
      <c r="BC506" s="408">
        <v>0</v>
      </c>
      <c r="BD506" s="408">
        <v>-0.3945311593073616</v>
      </c>
      <c r="BE506" s="408">
        <v>0</v>
      </c>
      <c r="BF506" s="408">
        <v>0</v>
      </c>
      <c r="BG506" s="408">
        <v>-23.508811440293677</v>
      </c>
      <c r="BH506" s="408">
        <v>0</v>
      </c>
      <c r="BI506" s="408">
        <v>0</v>
      </c>
      <c r="BJ506" s="408">
        <v>0</v>
      </c>
      <c r="BK506" s="408">
        <v>0</v>
      </c>
      <c r="BL506" s="408">
        <v>0</v>
      </c>
      <c r="BM506" s="408"/>
      <c r="BN506" s="408"/>
      <c r="BO506" s="408"/>
      <c r="BP506" s="408"/>
      <c r="BQ506" s="408"/>
      <c r="BR506" s="408">
        <v>-40.89383999999999</v>
      </c>
      <c r="BS506" s="408"/>
      <c r="BT506" s="408"/>
      <c r="BU506" s="408"/>
      <c r="BV506" s="408">
        <v>-165.5211376456717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-298.5378</v>
      </c>
      <c r="CJ506" s="408">
        <v>161.55420000000009</v>
      </c>
      <c r="CK506" s="408"/>
      <c r="CL506" s="408"/>
      <c r="CM506" s="408"/>
      <c r="CN506" s="408"/>
      <c r="CO506" s="408">
        <v>203.70675</v>
      </c>
      <c r="CP506" s="408">
        <v>-21.633689999999998</v>
      </c>
      <c r="CQ506" s="408">
        <v>30</v>
      </c>
      <c r="CR506" s="408">
        <v>-25.625152776232767</v>
      </c>
      <c r="CS506" s="408">
        <v>-0.60741451763695142</v>
      </c>
      <c r="CT506" s="408">
        <v>-1.9030807068780682</v>
      </c>
      <c r="CU506" s="408">
        <v>0</v>
      </c>
      <c r="CV506" s="408">
        <v>0</v>
      </c>
      <c r="CW506" s="408">
        <v>0</v>
      </c>
      <c r="CX506" s="408">
        <v>0</v>
      </c>
      <c r="CY506" s="408">
        <v>0</v>
      </c>
      <c r="CZ506" s="408">
        <v>-5.3280444119970349E-2</v>
      </c>
      <c r="DA506" s="408">
        <v>0</v>
      </c>
      <c r="DB506" s="408">
        <v>0</v>
      </c>
      <c r="DC506" s="408">
        <v>-21.636470306003588</v>
      </c>
      <c r="DD506" s="408">
        <v>0</v>
      </c>
      <c r="DE506" s="408">
        <v>0</v>
      </c>
      <c r="DF506" s="408">
        <v>-6.0276759077981801E-2</v>
      </c>
      <c r="DG506" s="408">
        <v>-3.5916934061280372</v>
      </c>
      <c r="DH506" s="408">
        <v>0</v>
      </c>
      <c r="DI506" s="408">
        <v>1.919918918181196</v>
      </c>
      <c r="DJ506" s="408"/>
      <c r="DK506" s="408">
        <v>0</v>
      </c>
      <c r="DL506" s="408">
        <v>0</v>
      </c>
      <c r="DM506" s="408">
        <v>0</v>
      </c>
      <c r="DN506" s="408">
        <v>0</v>
      </c>
      <c r="DO506" s="408">
        <v>0.25182420405601746</v>
      </c>
      <c r="DP506" s="408">
        <v>5.5320241374637869E-2</v>
      </c>
      <c r="DQ506" s="408">
        <v>0</v>
      </c>
      <c r="DR506" s="408">
        <v>0</v>
      </c>
      <c r="DS506" s="408"/>
      <c r="DT506" s="408"/>
      <c r="DU506" s="408"/>
      <c r="DV506" s="408">
        <v>-282.69237240567759</v>
      </c>
      <c r="DW506" s="408">
        <v>0</v>
      </c>
      <c r="DX506" s="408">
        <v>0</v>
      </c>
      <c r="DY506" s="408">
        <v>203.70675</v>
      </c>
      <c r="DZ506" s="234">
        <v>-21.633690000000001</v>
      </c>
      <c r="EA506" s="408">
        <v>0</v>
      </c>
      <c r="EB506" s="408">
        <v>0</v>
      </c>
      <c r="EC506" s="408">
        <v>207.69686131806711</v>
      </c>
      <c r="ED506" s="408">
        <v>0</v>
      </c>
      <c r="EE506" s="408">
        <v>0</v>
      </c>
      <c r="EF506" s="408">
        <v>0</v>
      </c>
      <c r="EG506" s="408">
        <v>0</v>
      </c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>
        <v>0</v>
      </c>
      <c r="EN506" s="408">
        <v>0</v>
      </c>
      <c r="EO506" s="408">
        <v>0</v>
      </c>
      <c r="EP506" s="408">
        <v>0</v>
      </c>
      <c r="EQ506" s="408">
        <v>0</v>
      </c>
      <c r="ER506" s="408">
        <v>0</v>
      </c>
      <c r="ES506" s="408">
        <v>0</v>
      </c>
      <c r="ET506" s="408">
        <v>0</v>
      </c>
      <c r="EU506" s="408">
        <v>0</v>
      </c>
      <c r="EV506" s="408">
        <v>242</v>
      </c>
      <c r="EW506" s="408">
        <v>0</v>
      </c>
      <c r="EX506" s="408">
        <v>0</v>
      </c>
      <c r="EY506" s="408">
        <v>0</v>
      </c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506</v>
      </c>
      <c r="B507" s="408" t="s">
        <v>1036</v>
      </c>
      <c r="C507" s="408" t="s">
        <v>2231</v>
      </c>
      <c r="D507" s="408" t="s">
        <v>2241</v>
      </c>
      <c r="E507" s="408" t="s">
        <v>974</v>
      </c>
      <c r="F507" s="408" t="s">
        <v>2251</v>
      </c>
      <c r="G507" s="408" t="s">
        <v>2250</v>
      </c>
      <c r="H507" s="408" t="s">
        <v>1322</v>
      </c>
      <c r="I507" s="408" t="s">
        <v>1322</v>
      </c>
      <c r="J507" s="408" t="s">
        <v>2232</v>
      </c>
      <c r="K507" s="828">
        <v>44652</v>
      </c>
      <c r="L507" s="408">
        <v>0</v>
      </c>
      <c r="M507" s="408">
        <v>0</v>
      </c>
      <c r="N507" s="408">
        <v>1.9450000000000001</v>
      </c>
      <c r="O507" s="408">
        <v>0.77800000000000002</v>
      </c>
      <c r="P507" s="408">
        <v>1.9450000000000001</v>
      </c>
      <c r="Q507" s="408">
        <v>0.77800000000000002</v>
      </c>
      <c r="R507" s="408"/>
      <c r="S507" s="408">
        <v>571.87</v>
      </c>
      <c r="T507" s="408">
        <v>216.76</v>
      </c>
      <c r="U507" s="408"/>
      <c r="V507" s="408">
        <v>1533.88535</v>
      </c>
      <c r="W507" s="408">
        <v>1533.88535</v>
      </c>
      <c r="X507" s="408">
        <v>999.74945000000002</v>
      </c>
      <c r="Y507" s="408">
        <v>0</v>
      </c>
      <c r="Z507" s="408">
        <v>117.88765015065644</v>
      </c>
      <c r="AA507" s="408">
        <v>0</v>
      </c>
      <c r="AB507" s="408">
        <v>0</v>
      </c>
      <c r="AC507" s="408">
        <v>0</v>
      </c>
      <c r="AD507" s="408">
        <v>1.5986221455433167</v>
      </c>
      <c r="AE507" s="408">
        <v>829.31623579041161</v>
      </c>
      <c r="AF507" s="408">
        <v>415.45491910197205</v>
      </c>
      <c r="AG507" s="408">
        <v>6.1411522123998408</v>
      </c>
      <c r="AH507" s="408">
        <v>0</v>
      </c>
      <c r="AI507" s="408">
        <v>0</v>
      </c>
      <c r="AJ507" s="408">
        <v>0</v>
      </c>
      <c r="AK507" s="408">
        <v>0</v>
      </c>
      <c r="AL507" s="408">
        <v>18.231717465918202</v>
      </c>
      <c r="AM507" s="408"/>
      <c r="AN507" s="408">
        <v>3.7314232867217276</v>
      </c>
      <c r="AO507" s="408">
        <v>17.274902122005024</v>
      </c>
      <c r="AP507" s="408">
        <v>54.123719448610039</v>
      </c>
      <c r="AQ507" s="408">
        <v>0</v>
      </c>
      <c r="AR507" s="408">
        <v>0</v>
      </c>
      <c r="AS507" s="408">
        <v>0</v>
      </c>
      <c r="AT507" s="408">
        <v>0</v>
      </c>
      <c r="AU507" s="408">
        <v>0</v>
      </c>
      <c r="AV507" s="408">
        <v>0</v>
      </c>
      <c r="AW507" s="408">
        <v>0</v>
      </c>
      <c r="AX507" s="408">
        <v>0</v>
      </c>
      <c r="AY507" s="408">
        <v>0</v>
      </c>
      <c r="AZ507" s="408">
        <v>0</v>
      </c>
      <c r="BA507" s="408"/>
      <c r="BB507" s="408">
        <v>0</v>
      </c>
      <c r="BC507" s="408">
        <v>0</v>
      </c>
      <c r="BD507" s="408">
        <v>1.1574104145593036</v>
      </c>
      <c r="BE507" s="408">
        <v>0</v>
      </c>
      <c r="BF507" s="408">
        <v>0</v>
      </c>
      <c r="BG507" s="408">
        <v>68.966271872354753</v>
      </c>
      <c r="BH507" s="408">
        <v>0</v>
      </c>
      <c r="BI507" s="408">
        <v>0</v>
      </c>
      <c r="BJ507" s="408">
        <v>0</v>
      </c>
      <c r="BK507" s="408">
        <v>0</v>
      </c>
      <c r="BL507" s="408">
        <v>0</v>
      </c>
      <c r="BM507" s="408"/>
      <c r="BN507" s="408"/>
      <c r="BO507" s="408"/>
      <c r="BP507" s="408"/>
      <c r="BQ507" s="408"/>
      <c r="BR507" s="408"/>
      <c r="BS507" s="408">
        <v>647.83671000000004</v>
      </c>
      <c r="BT507" s="408"/>
      <c r="BU507" s="408"/>
      <c r="BV507" s="408">
        <v>485.57860138888611</v>
      </c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>
        <v>352.81740000000002</v>
      </c>
      <c r="CJ507" s="408">
        <v>-187.14459999999997</v>
      </c>
      <c r="CK507" s="408"/>
      <c r="CL507" s="408"/>
      <c r="CM507" s="408"/>
      <c r="CN507" s="408"/>
      <c r="CO507" s="408">
        <v>-597.60125000000005</v>
      </c>
      <c r="CP507" s="408">
        <v>63.465349999999994</v>
      </c>
      <c r="CQ507" s="408">
        <v>30</v>
      </c>
      <c r="CR507" s="408">
        <v>75.174844871452137</v>
      </c>
      <c r="CS507" s="408">
        <v>1.7819324838670738</v>
      </c>
      <c r="CT507" s="408">
        <v>5.5829441551701962</v>
      </c>
      <c r="CU507" s="408">
        <v>0</v>
      </c>
      <c r="CV507" s="408">
        <v>0</v>
      </c>
      <c r="CW507" s="408">
        <v>0</v>
      </c>
      <c r="CX507" s="408">
        <v>0</v>
      </c>
      <c r="CY507" s="408">
        <v>0</v>
      </c>
      <c r="CZ507" s="408">
        <v>0.15630537528407618</v>
      </c>
      <c r="DA507" s="408">
        <v>0</v>
      </c>
      <c r="DB507" s="408">
        <v>0</v>
      </c>
      <c r="DC507" s="408">
        <v>63.473506402981855</v>
      </c>
      <c r="DD507" s="408">
        <v>0</v>
      </c>
      <c r="DE507" s="408">
        <v>0</v>
      </c>
      <c r="DF507" s="408">
        <v>0.17683000966315943</v>
      </c>
      <c r="DG507" s="408">
        <v>10.53671745839975</v>
      </c>
      <c r="DH507" s="408">
        <v>0</v>
      </c>
      <c r="DI507" s="408">
        <v>-5.6323413210594566</v>
      </c>
      <c r="DJ507" s="408"/>
      <c r="DK507" s="408">
        <v>0</v>
      </c>
      <c r="DL507" s="408">
        <v>0</v>
      </c>
      <c r="DM507" s="408">
        <v>0</v>
      </c>
      <c r="DN507" s="408">
        <v>0</v>
      </c>
      <c r="DO507" s="408">
        <v>-0.73876029696674905</v>
      </c>
      <c r="DP507" s="408">
        <v>-0.16228939588788949</v>
      </c>
      <c r="DQ507" s="408">
        <v>0</v>
      </c>
      <c r="DR507" s="408">
        <v>0</v>
      </c>
      <c r="DS507" s="408"/>
      <c r="DT507" s="408"/>
      <c r="DU507" s="408"/>
      <c r="DV507" s="408">
        <v>829.31623579041161</v>
      </c>
      <c r="DW507" s="408">
        <v>0</v>
      </c>
      <c r="DX507" s="408">
        <v>0</v>
      </c>
      <c r="DY507" s="408">
        <v>-597.60125000000005</v>
      </c>
      <c r="DZ507" s="234">
        <v>63.465349999999944</v>
      </c>
      <c r="EA507" s="408">
        <v>0</v>
      </c>
      <c r="EB507" s="408">
        <v>0</v>
      </c>
      <c r="EC507" s="408">
        <v>-609.30678018648644</v>
      </c>
      <c r="ED507" s="408">
        <v>0</v>
      </c>
      <c r="EE507" s="408">
        <v>0</v>
      </c>
      <c r="EF507" s="408">
        <v>0</v>
      </c>
      <c r="EG507" s="408">
        <v>0</v>
      </c>
      <c r="EH507" s="408">
        <v>0</v>
      </c>
      <c r="EI507" s="408">
        <v>0</v>
      </c>
      <c r="EJ507" s="408">
        <v>0</v>
      </c>
      <c r="EK507" s="408">
        <v>0</v>
      </c>
      <c r="EL507" s="408">
        <v>0</v>
      </c>
      <c r="EM507" s="408">
        <v>0</v>
      </c>
      <c r="EN507" s="408">
        <v>0</v>
      </c>
      <c r="EO507" s="408">
        <v>0</v>
      </c>
      <c r="EP507" s="408">
        <v>0</v>
      </c>
      <c r="EQ507" s="408">
        <v>0</v>
      </c>
      <c r="ER507" s="408">
        <v>0</v>
      </c>
      <c r="ES507" s="408">
        <v>0</v>
      </c>
      <c r="ET507" s="408">
        <v>0</v>
      </c>
      <c r="EU507" s="408">
        <v>0</v>
      </c>
      <c r="EV507" s="408">
        <v>242</v>
      </c>
      <c r="EW507" s="408">
        <v>0</v>
      </c>
      <c r="EX507" s="408">
        <v>0</v>
      </c>
      <c r="EY507" s="408">
        <v>0</v>
      </c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508</v>
      </c>
      <c r="B508" s="408" t="s">
        <v>1036</v>
      </c>
      <c r="C508" s="408" t="s">
        <v>2231</v>
      </c>
      <c r="D508" s="408" t="s">
        <v>1952</v>
      </c>
      <c r="E508" s="408" t="s">
        <v>969</v>
      </c>
      <c r="F508" s="408" t="s">
        <v>969</v>
      </c>
      <c r="G508" s="408" t="s">
        <v>1322</v>
      </c>
      <c r="H508" s="408" t="s">
        <v>1322</v>
      </c>
      <c r="I508" s="408" t="s">
        <v>1322</v>
      </c>
      <c r="J508" s="408" t="s">
        <v>2232</v>
      </c>
      <c r="K508" s="828">
        <v>44682</v>
      </c>
      <c r="L508" s="408">
        <v>0</v>
      </c>
      <c r="M508" s="408">
        <v>0</v>
      </c>
      <c r="N508" s="408">
        <v>671.42700000000002</v>
      </c>
      <c r="O508" s="408">
        <v>671.42700000000002</v>
      </c>
      <c r="P508" s="408">
        <v>671.42700000000002</v>
      </c>
      <c r="Q508" s="408">
        <v>671.42700000000002</v>
      </c>
      <c r="R508" s="408"/>
      <c r="S508" s="408">
        <v>571.87</v>
      </c>
      <c r="T508" s="408">
        <v>216.76</v>
      </c>
      <c r="U508" s="408"/>
      <c r="V508" s="408">
        <v>529507.47500999994</v>
      </c>
      <c r="W508" s="408">
        <v>529507.47500999994</v>
      </c>
      <c r="X508" s="408">
        <v>345120.19227</v>
      </c>
      <c r="Y508" s="408">
        <v>0</v>
      </c>
      <c r="Z508" s="408">
        <v>40695.604770028178</v>
      </c>
      <c r="AA508" s="408">
        <v>0</v>
      </c>
      <c r="AB508" s="408">
        <v>0</v>
      </c>
      <c r="AC508" s="408">
        <v>0</v>
      </c>
      <c r="AD508" s="408">
        <v>551.85504951964651</v>
      </c>
      <c r="AE508" s="408">
        <v>286285.50758254429</v>
      </c>
      <c r="AF508" s="408">
        <v>143417.81489351144</v>
      </c>
      <c r="AG508" s="408">
        <v>2119.9667899819988</v>
      </c>
      <c r="AH508" s="408">
        <v>0</v>
      </c>
      <c r="AI508" s="408">
        <v>0</v>
      </c>
      <c r="AJ508" s="408">
        <v>0</v>
      </c>
      <c r="AK508" s="408">
        <v>0</v>
      </c>
      <c r="AL508" s="408">
        <v>6293.7107264725246</v>
      </c>
      <c r="AM508" s="408"/>
      <c r="AN508" s="408">
        <v>1288.1122586805704</v>
      </c>
      <c r="AO508" s="408">
        <v>5963.4116745868723</v>
      </c>
      <c r="AP508" s="408">
        <v>18683.869706026679</v>
      </c>
      <c r="AQ508" s="408">
        <v>0</v>
      </c>
      <c r="AR508" s="408">
        <v>0</v>
      </c>
      <c r="AS508" s="408">
        <v>0</v>
      </c>
      <c r="AT508" s="408">
        <v>0</v>
      </c>
      <c r="AU508" s="408">
        <v>0</v>
      </c>
      <c r="AV508" s="408">
        <v>0</v>
      </c>
      <c r="AW508" s="408">
        <v>0</v>
      </c>
      <c r="AX508" s="408">
        <v>0</v>
      </c>
      <c r="AY508" s="408">
        <v>0</v>
      </c>
      <c r="AZ508" s="408">
        <v>0</v>
      </c>
      <c r="BA508" s="408"/>
      <c r="BB508" s="408">
        <v>0</v>
      </c>
      <c r="BC508" s="408">
        <v>0</v>
      </c>
      <c r="BD508" s="408">
        <v>399.54581101095607</v>
      </c>
      <c r="BE508" s="408">
        <v>0</v>
      </c>
      <c r="BF508" s="408">
        <v>0</v>
      </c>
      <c r="BG508" s="408">
        <v>23807.618007423924</v>
      </c>
      <c r="BH508" s="408">
        <v>0</v>
      </c>
      <c r="BI508" s="408">
        <v>948.11</v>
      </c>
      <c r="BJ508" s="408">
        <v>4418.3900000000003</v>
      </c>
      <c r="BK508" s="408">
        <v>114680.25</v>
      </c>
      <c r="BL508" s="408">
        <v>4453</v>
      </c>
      <c r="BM508" s="408"/>
      <c r="BN508" s="408"/>
      <c r="BO508" s="408"/>
      <c r="BP508" s="408"/>
      <c r="BQ508" s="408"/>
      <c r="BR508" s="408"/>
      <c r="BS508" s="408"/>
      <c r="BT508" s="408"/>
      <c r="BU508" s="408"/>
      <c r="BV508" s="408">
        <v>167624.97871194634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345121.73429999995</v>
      </c>
      <c r="CJ508" s="408">
        <v>-184385.77071000001</v>
      </c>
      <c r="CK508" s="408"/>
      <c r="CL508" s="408"/>
      <c r="CM508" s="408"/>
      <c r="CN508" s="408"/>
      <c r="CO508" s="408">
        <v>-206295.94575000001</v>
      </c>
      <c r="CP508" s="408">
        <v>21908.663009999997</v>
      </c>
      <c r="CQ508" s="408">
        <v>31</v>
      </c>
      <c r="CR508" s="408">
        <v>25950.858903601242</v>
      </c>
      <c r="CS508" s="408">
        <v>615.13500351949551</v>
      </c>
      <c r="CT508" s="408">
        <v>1927.269637672729</v>
      </c>
      <c r="CU508" s="408">
        <v>0</v>
      </c>
      <c r="CV508" s="408">
        <v>0</v>
      </c>
      <c r="CW508" s="408">
        <v>0</v>
      </c>
      <c r="CX508" s="408">
        <v>0</v>
      </c>
      <c r="CY508" s="408">
        <v>0</v>
      </c>
      <c r="CZ508" s="408">
        <v>53.95766026265369</v>
      </c>
      <c r="DA508" s="408">
        <v>0</v>
      </c>
      <c r="DB508" s="408">
        <v>0</v>
      </c>
      <c r="DC508" s="408">
        <v>21911.478654825158</v>
      </c>
      <c r="DD508" s="408">
        <v>0</v>
      </c>
      <c r="DE508" s="408">
        <v>0</v>
      </c>
      <c r="DF508" s="408">
        <v>61.042901232959423</v>
      </c>
      <c r="DG508" s="408">
        <v>3637.3452920004966</v>
      </c>
      <c r="DH508" s="408">
        <v>0</v>
      </c>
      <c r="DI508" s="408">
        <v>-1944.3218694987081</v>
      </c>
      <c r="DJ508" s="408"/>
      <c r="DK508" s="408">
        <v>0</v>
      </c>
      <c r="DL508" s="408">
        <v>0</v>
      </c>
      <c r="DM508" s="408">
        <v>0</v>
      </c>
      <c r="DN508" s="408">
        <v>0</v>
      </c>
      <c r="DO508" s="408">
        <v>-255.02499224241274</v>
      </c>
      <c r="DP508" s="408">
        <v>-56.023384171114685</v>
      </c>
      <c r="DQ508" s="408">
        <v>0</v>
      </c>
      <c r="DR508" s="408">
        <v>0</v>
      </c>
      <c r="DS508" s="408"/>
      <c r="DT508" s="408"/>
      <c r="DU508" s="408"/>
      <c r="DV508" s="408">
        <v>286285.50758254429</v>
      </c>
      <c r="DW508" s="408">
        <v>0</v>
      </c>
      <c r="DX508" s="408">
        <v>0</v>
      </c>
      <c r="DY508" s="408">
        <v>-206295.94574999998</v>
      </c>
      <c r="DZ508" s="234">
        <v>21908.663009999989</v>
      </c>
      <c r="EA508" s="408">
        <v>0</v>
      </c>
      <c r="EB508" s="408">
        <v>0</v>
      </c>
      <c r="EC508" s="408">
        <v>-210336.77300785191</v>
      </c>
      <c r="ED508" s="408">
        <v>0</v>
      </c>
      <c r="EE508" s="408">
        <v>0</v>
      </c>
      <c r="EF508" s="408">
        <v>0</v>
      </c>
      <c r="EG508" s="408">
        <v>0</v>
      </c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>
        <v>0</v>
      </c>
      <c r="EN508" s="408">
        <v>0</v>
      </c>
      <c r="EO508" s="408">
        <v>0</v>
      </c>
      <c r="EP508" s="408">
        <v>0</v>
      </c>
      <c r="EQ508" s="408">
        <v>0</v>
      </c>
      <c r="ER508" s="408">
        <v>0</v>
      </c>
      <c r="ES508" s="408">
        <v>0</v>
      </c>
      <c r="ET508" s="408">
        <v>0</v>
      </c>
      <c r="EU508" s="408">
        <v>0</v>
      </c>
      <c r="EV508" s="408">
        <v>242</v>
      </c>
      <c r="EW508" s="408">
        <v>0</v>
      </c>
      <c r="EX508" s="408">
        <v>0</v>
      </c>
      <c r="EY508" s="408">
        <v>0</v>
      </c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509</v>
      </c>
      <c r="B509" s="408" t="s">
        <v>2233</v>
      </c>
      <c r="C509" s="408" t="s">
        <v>2231</v>
      </c>
      <c r="D509" s="408" t="s">
        <v>1952</v>
      </c>
      <c r="E509" s="408" t="s">
        <v>969</v>
      </c>
      <c r="F509" s="408" t="s">
        <v>969</v>
      </c>
      <c r="G509" s="408" t="s">
        <v>1322</v>
      </c>
      <c r="H509" s="408" t="s">
        <v>1322</v>
      </c>
      <c r="I509" s="408" t="s">
        <v>1322</v>
      </c>
      <c r="J509" s="408" t="s">
        <v>2232</v>
      </c>
      <c r="K509" s="828">
        <v>44682</v>
      </c>
      <c r="L509" s="408">
        <v>0</v>
      </c>
      <c r="M509" s="408">
        <v>0</v>
      </c>
      <c r="N509" s="408">
        <v>-0.92500000000000004</v>
      </c>
      <c r="O509" s="408">
        <v>-0.92500000000000004</v>
      </c>
      <c r="P509" s="408">
        <v>-0.92500000000000004</v>
      </c>
      <c r="Q509" s="408">
        <v>-0.92500000000000004</v>
      </c>
      <c r="R509" s="408"/>
      <c r="S509" s="408">
        <v>571.87</v>
      </c>
      <c r="T509" s="408">
        <v>216.76</v>
      </c>
      <c r="U509" s="408"/>
      <c r="V509" s="408">
        <v>-729.48275000000012</v>
      </c>
      <c r="W509" s="408">
        <v>-729.48275000000012</v>
      </c>
      <c r="X509" s="408">
        <v>-475.45925</v>
      </c>
      <c r="Y509" s="408">
        <v>0</v>
      </c>
      <c r="Z509" s="408">
        <v>-56.064820765736357</v>
      </c>
      <c r="AA509" s="408">
        <v>0</v>
      </c>
      <c r="AB509" s="408">
        <v>0</v>
      </c>
      <c r="AC509" s="408">
        <v>0</v>
      </c>
      <c r="AD509" s="408">
        <v>-0.76027017204502212</v>
      </c>
      <c r="AE509" s="408">
        <v>-394.40489362783075</v>
      </c>
      <c r="AF509" s="408">
        <v>-197.58138826186331</v>
      </c>
      <c r="AG509" s="408">
        <v>-2.9205993812184334</v>
      </c>
      <c r="AH509" s="408">
        <v>0</v>
      </c>
      <c r="AI509" s="408">
        <v>0</v>
      </c>
      <c r="AJ509" s="408">
        <v>0</v>
      </c>
      <c r="AK509" s="408">
        <v>0</v>
      </c>
      <c r="AL509" s="408">
        <v>-8.6706111341770367</v>
      </c>
      <c r="AM509" s="408"/>
      <c r="AN509" s="408">
        <v>-1.7745843394434953</v>
      </c>
      <c r="AO509" s="408">
        <v>-8.2155704179201265</v>
      </c>
      <c r="AP509" s="408">
        <v>-25.740072231344104</v>
      </c>
      <c r="AQ509" s="408">
        <v>0</v>
      </c>
      <c r="AR509" s="408">
        <v>0</v>
      </c>
      <c r="AS509" s="408">
        <v>0</v>
      </c>
      <c r="AT509" s="408">
        <v>0</v>
      </c>
      <c r="AU509" s="408">
        <v>0</v>
      </c>
      <c r="AV509" s="408">
        <v>0</v>
      </c>
      <c r="AW509" s="408">
        <v>0</v>
      </c>
      <c r="AX509" s="408">
        <v>0</v>
      </c>
      <c r="AY509" s="408">
        <v>0</v>
      </c>
      <c r="AZ509" s="408">
        <v>0</v>
      </c>
      <c r="BA509" s="408"/>
      <c r="BB509" s="408">
        <v>0</v>
      </c>
      <c r="BC509" s="408">
        <v>0</v>
      </c>
      <c r="BD509" s="408">
        <v>-0.55043940024028581</v>
      </c>
      <c r="BE509" s="408">
        <v>0</v>
      </c>
      <c r="BF509" s="408">
        <v>0</v>
      </c>
      <c r="BG509" s="408">
        <v>-32.798869656518328</v>
      </c>
      <c r="BH509" s="408">
        <v>0</v>
      </c>
      <c r="BI509" s="408">
        <v>-2.25</v>
      </c>
      <c r="BJ509" s="408">
        <v>-10.32</v>
      </c>
      <c r="BK509" s="408">
        <v>-224.17</v>
      </c>
      <c r="BL509" s="408">
        <v>0</v>
      </c>
      <c r="BM509" s="408"/>
      <c r="BN509" s="408"/>
      <c r="BO509" s="408"/>
      <c r="BP509" s="408"/>
      <c r="BQ509" s="408"/>
      <c r="BR509" s="408"/>
      <c r="BS509" s="408"/>
      <c r="BT509" s="408"/>
      <c r="BU509" s="408"/>
      <c r="BV509" s="408">
        <v>-230.93069731862192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-478.02930000000003</v>
      </c>
      <c r="CJ509" s="408">
        <v>251.42345000000012</v>
      </c>
      <c r="CK509" s="408"/>
      <c r="CL509" s="408"/>
      <c r="CM509" s="408"/>
      <c r="CN509" s="408"/>
      <c r="CO509" s="408">
        <v>284.20625000000001</v>
      </c>
      <c r="CP509" s="408">
        <v>-30.182749999999999</v>
      </c>
      <c r="CQ509" s="408">
        <v>31</v>
      </c>
      <c r="CR509" s="408">
        <v>-35.751532908017055</v>
      </c>
      <c r="CS509" s="408">
        <v>-0.8474486105794572</v>
      </c>
      <c r="CT509" s="408">
        <v>-2.6551276830500932</v>
      </c>
      <c r="CU509" s="408">
        <v>0</v>
      </c>
      <c r="CV509" s="408">
        <v>0</v>
      </c>
      <c r="CW509" s="408">
        <v>0</v>
      </c>
      <c r="CX509" s="408">
        <v>0</v>
      </c>
      <c r="CY509" s="408">
        <v>0</v>
      </c>
      <c r="CZ509" s="408">
        <v>-7.4335461253352331E-2</v>
      </c>
      <c r="DA509" s="408">
        <v>0</v>
      </c>
      <c r="DB509" s="408">
        <v>0</v>
      </c>
      <c r="DC509" s="408">
        <v>-30.186629009130201</v>
      </c>
      <c r="DD509" s="408">
        <v>0</v>
      </c>
      <c r="DE509" s="408">
        <v>0</v>
      </c>
      <c r="DF509" s="408">
        <v>-8.4096534158571878E-2</v>
      </c>
      <c r="DG509" s="408">
        <v>-5.0110352951258434</v>
      </c>
      <c r="DH509" s="408">
        <v>0</v>
      </c>
      <c r="DI509" s="408">
        <v>2.67861990847301</v>
      </c>
      <c r="DJ509" s="408"/>
      <c r="DK509" s="408">
        <v>0</v>
      </c>
      <c r="DL509" s="408">
        <v>0</v>
      </c>
      <c r="DM509" s="408">
        <v>0</v>
      </c>
      <c r="DN509" s="408">
        <v>0</v>
      </c>
      <c r="DO509" s="408">
        <v>0.35133844457287466</v>
      </c>
      <c r="DP509" s="408">
        <v>7.7181332234600442E-2</v>
      </c>
      <c r="DQ509" s="408">
        <v>0</v>
      </c>
      <c r="DR509" s="408">
        <v>0</v>
      </c>
      <c r="DS509" s="408"/>
      <c r="DT509" s="408"/>
      <c r="DU509" s="408"/>
      <c r="DV509" s="408">
        <v>-394.40489362783075</v>
      </c>
      <c r="DW509" s="408">
        <v>0</v>
      </c>
      <c r="DX509" s="408">
        <v>0</v>
      </c>
      <c r="DY509" s="408">
        <v>284.20625000000007</v>
      </c>
      <c r="DZ509" s="234">
        <v>-30.18274999999997</v>
      </c>
      <c r="EA509" s="408">
        <v>0</v>
      </c>
      <c r="EB509" s="408">
        <v>0</v>
      </c>
      <c r="EC509" s="408">
        <v>289.77314738946018</v>
      </c>
      <c r="ED509" s="408">
        <v>0</v>
      </c>
      <c r="EE509" s="408">
        <v>0</v>
      </c>
      <c r="EF509" s="408">
        <v>0</v>
      </c>
      <c r="EG509" s="408">
        <v>0</v>
      </c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>
        <v>0</v>
      </c>
      <c r="EN509" s="408">
        <v>0</v>
      </c>
      <c r="EO509" s="408">
        <v>0</v>
      </c>
      <c r="EP509" s="408">
        <v>0</v>
      </c>
      <c r="EQ509" s="408">
        <v>0</v>
      </c>
      <c r="ER509" s="408">
        <v>0</v>
      </c>
      <c r="ES509" s="408">
        <v>0</v>
      </c>
      <c r="ET509" s="408">
        <v>0</v>
      </c>
      <c r="EU509" s="408">
        <v>0</v>
      </c>
      <c r="EV509" s="408">
        <v>242</v>
      </c>
      <c r="EW509" s="408">
        <v>0</v>
      </c>
      <c r="EX509" s="408">
        <v>0</v>
      </c>
      <c r="EY509" s="408">
        <v>0</v>
      </c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510</v>
      </c>
      <c r="B510" s="408" t="s">
        <v>2234</v>
      </c>
      <c r="C510" s="408" t="s">
        <v>2231</v>
      </c>
      <c r="D510" s="408" t="s">
        <v>1952</v>
      </c>
      <c r="E510" s="408" t="s">
        <v>969</v>
      </c>
      <c r="F510" s="408" t="s">
        <v>969</v>
      </c>
      <c r="G510" s="408" t="s">
        <v>1322</v>
      </c>
      <c r="H510" s="408" t="s">
        <v>1322</v>
      </c>
      <c r="I510" s="408" t="s">
        <v>1322</v>
      </c>
      <c r="J510" s="408" t="s">
        <v>2232</v>
      </c>
      <c r="K510" s="828">
        <v>44682</v>
      </c>
      <c r="L510" s="408">
        <v>0</v>
      </c>
      <c r="M510" s="408">
        <v>0</v>
      </c>
      <c r="N510" s="408">
        <v>20.699000000000002</v>
      </c>
      <c r="O510" s="408">
        <v>20.699000000000002</v>
      </c>
      <c r="P510" s="408">
        <v>20.699000000000002</v>
      </c>
      <c r="Q510" s="408">
        <v>20.699000000000002</v>
      </c>
      <c r="R510" s="408"/>
      <c r="S510" s="408">
        <v>571.87</v>
      </c>
      <c r="T510" s="408">
        <v>216.76</v>
      </c>
      <c r="U510" s="408"/>
      <c r="V510" s="408">
        <v>16323.852370000001</v>
      </c>
      <c r="W510" s="408">
        <v>16323.852370000001</v>
      </c>
      <c r="X510" s="408">
        <v>10639.492990000001</v>
      </c>
      <c r="Y510" s="408">
        <v>0</v>
      </c>
      <c r="Z510" s="408">
        <v>1254.5791621945696</v>
      </c>
      <c r="AA510" s="408">
        <v>0</v>
      </c>
      <c r="AB510" s="408">
        <v>0</v>
      </c>
      <c r="AC510" s="408">
        <v>0</v>
      </c>
      <c r="AD510" s="408">
        <v>17.012791666118826</v>
      </c>
      <c r="AE510" s="408">
        <v>8825.715560218885</v>
      </c>
      <c r="AF510" s="408">
        <v>4421.3374655484422</v>
      </c>
      <c r="AG510" s="408">
        <v>65.355120639827405</v>
      </c>
      <c r="AH510" s="408">
        <v>0</v>
      </c>
      <c r="AI510" s="408">
        <v>0</v>
      </c>
      <c r="AJ510" s="408">
        <v>0</v>
      </c>
      <c r="AK510" s="408">
        <v>0</v>
      </c>
      <c r="AL510" s="408">
        <v>194.02484309873566</v>
      </c>
      <c r="AM510" s="408"/>
      <c r="AN510" s="408">
        <v>39.710401342855036</v>
      </c>
      <c r="AO510" s="408">
        <v>183.84226170867967</v>
      </c>
      <c r="AP510" s="408">
        <v>575.99324877469371</v>
      </c>
      <c r="AQ510" s="408">
        <v>0</v>
      </c>
      <c r="AR510" s="408">
        <v>0</v>
      </c>
      <c r="AS510" s="408">
        <v>0</v>
      </c>
      <c r="AT510" s="408">
        <v>0</v>
      </c>
      <c r="AU510" s="408">
        <v>0</v>
      </c>
      <c r="AV510" s="408">
        <v>0</v>
      </c>
      <c r="AW510" s="408">
        <v>0</v>
      </c>
      <c r="AX510" s="408">
        <v>0</v>
      </c>
      <c r="AY510" s="408">
        <v>0</v>
      </c>
      <c r="AZ510" s="408">
        <v>0</v>
      </c>
      <c r="BA510" s="408"/>
      <c r="BB510" s="408">
        <v>0</v>
      </c>
      <c r="BC510" s="408">
        <v>0</v>
      </c>
      <c r="BD510" s="408">
        <v>12.317346103322892</v>
      </c>
      <c r="BE510" s="408">
        <v>0</v>
      </c>
      <c r="BF510" s="408">
        <v>0</v>
      </c>
      <c r="BG510" s="408">
        <v>733.9500573192139</v>
      </c>
      <c r="BH510" s="408">
        <v>0</v>
      </c>
      <c r="BI510" s="408">
        <v>28.87</v>
      </c>
      <c r="BJ510" s="408">
        <v>134.37</v>
      </c>
      <c r="BK510" s="408">
        <v>7866.95</v>
      </c>
      <c r="BL510" s="408">
        <v>222</v>
      </c>
      <c r="BM510" s="408"/>
      <c r="BN510" s="408"/>
      <c r="BO510" s="408"/>
      <c r="BP510" s="408"/>
      <c r="BQ510" s="408"/>
      <c r="BR510" s="408"/>
      <c r="BS510" s="408"/>
      <c r="BT510" s="408"/>
      <c r="BU510" s="408"/>
      <c r="BV510" s="408">
        <v>5167.6048689709787</v>
      </c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>
        <v>10640.007</v>
      </c>
      <c r="CJ510" s="408">
        <v>-5683.8753700000016</v>
      </c>
      <c r="CK510" s="408"/>
      <c r="CL510" s="408"/>
      <c r="CM510" s="408"/>
      <c r="CN510" s="408"/>
      <c r="CO510" s="408">
        <v>-6359.7677500000009</v>
      </c>
      <c r="CP510" s="408">
        <v>675.40836999999999</v>
      </c>
      <c r="CQ510" s="408">
        <v>31</v>
      </c>
      <c r="CR510" s="408">
        <v>800.02268071680555</v>
      </c>
      <c r="CS510" s="408">
        <v>18.96360950311805</v>
      </c>
      <c r="CT510" s="408">
        <v>59.414581525896097</v>
      </c>
      <c r="CU510" s="408">
        <v>0</v>
      </c>
      <c r="CV510" s="408">
        <v>0</v>
      </c>
      <c r="CW510" s="408">
        <v>0</v>
      </c>
      <c r="CX510" s="408">
        <v>0</v>
      </c>
      <c r="CY510" s="408">
        <v>0</v>
      </c>
      <c r="CZ510" s="408">
        <v>1.6634267161979892</v>
      </c>
      <c r="DA510" s="408">
        <v>0</v>
      </c>
      <c r="DB510" s="408">
        <v>0</v>
      </c>
      <c r="DC510" s="408">
        <v>675.49517174052562</v>
      </c>
      <c r="DD510" s="408">
        <v>0</v>
      </c>
      <c r="DE510" s="408">
        <v>0</v>
      </c>
      <c r="DF510" s="408">
        <v>1.881853146538683</v>
      </c>
      <c r="DG510" s="408">
        <v>112.13342656628095</v>
      </c>
      <c r="DH510" s="408">
        <v>0</v>
      </c>
      <c r="DI510" s="408">
        <v>-59.940274038359803</v>
      </c>
      <c r="DJ510" s="408"/>
      <c r="DK510" s="408">
        <v>0</v>
      </c>
      <c r="DL510" s="408">
        <v>0</v>
      </c>
      <c r="DM510" s="408">
        <v>0</v>
      </c>
      <c r="DN510" s="408">
        <v>0</v>
      </c>
      <c r="DO510" s="408">
        <v>-7.8620048261772126</v>
      </c>
      <c r="DP510" s="408">
        <v>-1.7271096172151275</v>
      </c>
      <c r="DQ510" s="408">
        <v>0</v>
      </c>
      <c r="DR510" s="408">
        <v>0</v>
      </c>
      <c r="DS510" s="408"/>
      <c r="DT510" s="408"/>
      <c r="DU510" s="408"/>
      <c r="DV510" s="408">
        <v>8825.715560218885</v>
      </c>
      <c r="DW510" s="408">
        <v>0</v>
      </c>
      <c r="DX510" s="408">
        <v>0</v>
      </c>
      <c r="DY510" s="408">
        <v>-6359.7677500000009</v>
      </c>
      <c r="DZ510" s="234">
        <v>675.4083700000001</v>
      </c>
      <c r="EA510" s="408">
        <v>0</v>
      </c>
      <c r="EB510" s="408">
        <v>0</v>
      </c>
      <c r="EC510" s="408">
        <v>-6484.339867907498</v>
      </c>
      <c r="ED510" s="408">
        <v>0</v>
      </c>
      <c r="EE510" s="408">
        <v>0</v>
      </c>
      <c r="EF510" s="408">
        <v>0</v>
      </c>
      <c r="EG510" s="408">
        <v>0</v>
      </c>
      <c r="EH510" s="408">
        <v>0</v>
      </c>
      <c r="EI510" s="408">
        <v>0</v>
      </c>
      <c r="EJ510" s="408">
        <v>0</v>
      </c>
      <c r="EK510" s="408">
        <v>0</v>
      </c>
      <c r="EL510" s="408">
        <v>0</v>
      </c>
      <c r="EM510" s="408">
        <v>0</v>
      </c>
      <c r="EN510" s="408">
        <v>0</v>
      </c>
      <c r="EO510" s="408">
        <v>0</v>
      </c>
      <c r="EP510" s="408">
        <v>0</v>
      </c>
      <c r="EQ510" s="408">
        <v>0</v>
      </c>
      <c r="ER510" s="408">
        <v>0</v>
      </c>
      <c r="ES510" s="408">
        <v>0</v>
      </c>
      <c r="ET510" s="408">
        <v>0</v>
      </c>
      <c r="EU510" s="408">
        <v>0</v>
      </c>
      <c r="EV510" s="408">
        <v>242</v>
      </c>
      <c r="EW510" s="408">
        <v>0</v>
      </c>
      <c r="EX510" s="408">
        <v>0</v>
      </c>
      <c r="EY510" s="408">
        <v>0</v>
      </c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511</v>
      </c>
      <c r="B511" s="408" t="s">
        <v>1036</v>
      </c>
      <c r="C511" s="408" t="s">
        <v>2231</v>
      </c>
      <c r="D511" s="408" t="s">
        <v>1952</v>
      </c>
      <c r="E511" s="408" t="s">
        <v>969</v>
      </c>
      <c r="F511" s="408" t="s">
        <v>2235</v>
      </c>
      <c r="G511" s="408" t="s">
        <v>1322</v>
      </c>
      <c r="H511" s="408" t="s">
        <v>1322</v>
      </c>
      <c r="I511" s="408" t="s">
        <v>1322</v>
      </c>
      <c r="J511" s="408" t="s">
        <v>2232</v>
      </c>
      <c r="K511" s="828">
        <v>44682</v>
      </c>
      <c r="L511" s="408">
        <v>0</v>
      </c>
      <c r="M511" s="408">
        <v>0</v>
      </c>
      <c r="N511" s="408">
        <v>7.35</v>
      </c>
      <c r="O511" s="408">
        <v>7.35</v>
      </c>
      <c r="P511" s="408">
        <v>7.35</v>
      </c>
      <c r="Q511" s="408">
        <v>7.35</v>
      </c>
      <c r="R511" s="408"/>
      <c r="S511" s="408">
        <v>501.89</v>
      </c>
      <c r="T511" s="408">
        <v>216.76</v>
      </c>
      <c r="U511" s="408"/>
      <c r="V511" s="408">
        <v>5282.0774999999994</v>
      </c>
      <c r="W511" s="408">
        <v>5282.0774999999994</v>
      </c>
      <c r="X511" s="408">
        <v>3287.6549999999997</v>
      </c>
      <c r="Y511" s="408">
        <v>0</v>
      </c>
      <c r="Z511" s="408">
        <v>0</v>
      </c>
      <c r="AA511" s="408">
        <v>0</v>
      </c>
      <c r="AB511" s="408">
        <v>0</v>
      </c>
      <c r="AC511" s="408">
        <v>0</v>
      </c>
      <c r="AD511" s="408">
        <v>6.0410656913847696</v>
      </c>
      <c r="AE511" s="408">
        <v>3133.9199655833031</v>
      </c>
      <c r="AF511" s="408">
        <v>1569.9710310537246</v>
      </c>
      <c r="AG511" s="408">
        <v>23.206924812924846</v>
      </c>
      <c r="AH511" s="408">
        <v>0</v>
      </c>
      <c r="AI511" s="408">
        <v>0</v>
      </c>
      <c r="AJ511" s="408">
        <v>0</v>
      </c>
      <c r="AK511" s="408">
        <v>0</v>
      </c>
      <c r="AL511" s="408">
        <v>0</v>
      </c>
      <c r="AM511" s="408"/>
      <c r="AN511" s="408">
        <v>14.100751237740205</v>
      </c>
      <c r="AO511" s="408">
        <v>65.280478455905865</v>
      </c>
      <c r="AP511" s="408">
        <v>204.52922259500448</v>
      </c>
      <c r="AQ511" s="408">
        <v>0</v>
      </c>
      <c r="AR511" s="408">
        <v>0</v>
      </c>
      <c r="AS511" s="408">
        <v>0</v>
      </c>
      <c r="AT511" s="408">
        <v>0</v>
      </c>
      <c r="AU511" s="408">
        <v>0</v>
      </c>
      <c r="AV511" s="408">
        <v>0</v>
      </c>
      <c r="AW511" s="408">
        <v>0</v>
      </c>
      <c r="AX511" s="408">
        <v>0</v>
      </c>
      <c r="AY511" s="408">
        <v>0</v>
      </c>
      <c r="AZ511" s="408">
        <v>0</v>
      </c>
      <c r="BA511" s="408"/>
      <c r="BB511" s="408">
        <v>0</v>
      </c>
      <c r="BC511" s="408">
        <v>0</v>
      </c>
      <c r="BD511" s="408">
        <v>4.3737617208282167</v>
      </c>
      <c r="BE511" s="408">
        <v>0</v>
      </c>
      <c r="BF511" s="408">
        <v>0</v>
      </c>
      <c r="BG511" s="408">
        <v>260.61804537882125</v>
      </c>
      <c r="BH511" s="408">
        <v>0</v>
      </c>
      <c r="BI511" s="408">
        <v>2.4500000000000002</v>
      </c>
      <c r="BJ511" s="408">
        <v>14.71</v>
      </c>
      <c r="BK511" s="408">
        <v>357.97</v>
      </c>
      <c r="BL511" s="408">
        <v>19</v>
      </c>
      <c r="BM511" s="408"/>
      <c r="BN511" s="408"/>
      <c r="BO511" s="408"/>
      <c r="BP511" s="408"/>
      <c r="BQ511" s="408"/>
      <c r="BR511" s="408"/>
      <c r="BS511" s="408"/>
      <c r="BT511" s="408">
        <v>2136.9389999999994</v>
      </c>
      <c r="BU511" s="408"/>
      <c r="BV511" s="408">
        <v>1834.9628381533742</v>
      </c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>
        <v>1150.7159999999999</v>
      </c>
      <c r="CJ511" s="408">
        <v>-698.05950000000007</v>
      </c>
      <c r="CK511" s="408"/>
      <c r="CL511" s="408"/>
      <c r="CM511" s="408"/>
      <c r="CN511" s="408"/>
      <c r="CO511" s="408">
        <v>-2234.2530000000002</v>
      </c>
      <c r="CP511" s="408">
        <v>239.83049999999994</v>
      </c>
      <c r="CQ511" s="408">
        <v>31</v>
      </c>
      <c r="CR511" s="408">
        <v>308.15563326358006</v>
      </c>
      <c r="CS511" s="408">
        <v>6.7337808516313657</v>
      </c>
      <c r="CT511" s="408">
        <v>21.097501049100742</v>
      </c>
      <c r="CU511" s="408">
        <v>0</v>
      </c>
      <c r="CV511" s="408">
        <v>0</v>
      </c>
      <c r="CW511" s="408">
        <v>0</v>
      </c>
      <c r="CX511" s="408">
        <v>0</v>
      </c>
      <c r="CY511" s="408">
        <v>0</v>
      </c>
      <c r="CZ511" s="408">
        <v>0.59066555698609768</v>
      </c>
      <c r="DA511" s="408">
        <v>0</v>
      </c>
      <c r="DB511" s="408">
        <v>0</v>
      </c>
      <c r="DC511" s="408">
        <v>239.86132239687231</v>
      </c>
      <c r="DD511" s="408">
        <v>0</v>
      </c>
      <c r="DE511" s="408">
        <v>0</v>
      </c>
      <c r="DF511" s="408">
        <v>0.66822651466540872</v>
      </c>
      <c r="DG511" s="408">
        <v>39.817415588297251</v>
      </c>
      <c r="DH511" s="408">
        <v>0</v>
      </c>
      <c r="DI511" s="408">
        <v>0</v>
      </c>
      <c r="DJ511" s="408"/>
      <c r="DK511" s="408">
        <v>0</v>
      </c>
      <c r="DL511" s="408">
        <v>0</v>
      </c>
      <c r="DM511" s="408">
        <v>0</v>
      </c>
      <c r="DN511" s="408">
        <v>0</v>
      </c>
      <c r="DO511" s="408">
        <v>0</v>
      </c>
      <c r="DP511" s="408">
        <v>-0.61327869397223189</v>
      </c>
      <c r="DQ511" s="408">
        <v>0</v>
      </c>
      <c r="DR511" s="408">
        <v>0</v>
      </c>
      <c r="DS511" s="408"/>
      <c r="DT511" s="408"/>
      <c r="DU511" s="408"/>
      <c r="DV511" s="408">
        <v>3133.9199655833031</v>
      </c>
      <c r="DW511" s="408">
        <v>0</v>
      </c>
      <c r="DX511" s="408">
        <v>0</v>
      </c>
      <c r="DY511" s="408">
        <v>-2234.2529999999997</v>
      </c>
      <c r="DZ511" s="234">
        <v>239.8304999999998</v>
      </c>
      <c r="EA511" s="408">
        <v>0</v>
      </c>
      <c r="EB511" s="408">
        <v>0</v>
      </c>
      <c r="EC511" s="408">
        <v>-2302.5217657432777</v>
      </c>
      <c r="ED511" s="408">
        <v>0</v>
      </c>
      <c r="EE511" s="408">
        <v>0</v>
      </c>
      <c r="EF511" s="408">
        <v>0</v>
      </c>
      <c r="EG511" s="408">
        <v>0</v>
      </c>
      <c r="EH511" s="408">
        <v>0</v>
      </c>
      <c r="EI511" s="408">
        <v>0</v>
      </c>
      <c r="EJ511" s="408">
        <v>0</v>
      </c>
      <c r="EK511" s="408">
        <v>0</v>
      </c>
      <c r="EL511" s="408">
        <v>0</v>
      </c>
      <c r="EM511" s="408">
        <v>0</v>
      </c>
      <c r="EN511" s="408">
        <v>0</v>
      </c>
      <c r="EO511" s="408">
        <v>0</v>
      </c>
      <c r="EP511" s="408">
        <v>0</v>
      </c>
      <c r="EQ511" s="408">
        <v>0</v>
      </c>
      <c r="ER511" s="408">
        <v>0</v>
      </c>
      <c r="ES511" s="408">
        <v>0</v>
      </c>
      <c r="ET511" s="408">
        <v>0</v>
      </c>
      <c r="EU511" s="408">
        <v>0</v>
      </c>
      <c r="EV511" s="408">
        <v>242</v>
      </c>
      <c r="EW511" s="408">
        <v>0</v>
      </c>
      <c r="EX511" s="408">
        <v>0</v>
      </c>
      <c r="EY511" s="408">
        <v>0</v>
      </c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512</v>
      </c>
      <c r="B512" s="408" t="s">
        <v>2234</v>
      </c>
      <c r="C512" s="408" t="s">
        <v>2231</v>
      </c>
      <c r="D512" s="408" t="s">
        <v>1952</v>
      </c>
      <c r="E512" s="408" t="s">
        <v>969</v>
      </c>
      <c r="F512" s="408" t="s">
        <v>2235</v>
      </c>
      <c r="G512" s="408" t="s">
        <v>1322</v>
      </c>
      <c r="H512" s="408" t="s">
        <v>1322</v>
      </c>
      <c r="I512" s="408" t="s">
        <v>1322</v>
      </c>
      <c r="J512" s="408" t="s">
        <v>2232</v>
      </c>
      <c r="K512" s="828">
        <v>44682</v>
      </c>
      <c r="L512" s="408">
        <v>0</v>
      </c>
      <c r="M512" s="408">
        <v>0</v>
      </c>
      <c r="N512" s="408">
        <v>0</v>
      </c>
      <c r="O512" s="408">
        <v>0</v>
      </c>
      <c r="P512" s="408">
        <v>0</v>
      </c>
      <c r="Q512" s="408">
        <v>0</v>
      </c>
      <c r="R512" s="408"/>
      <c r="S512" s="408"/>
      <c r="T512" s="408"/>
      <c r="U512" s="408"/>
      <c r="V512" s="408"/>
      <c r="W512" s="408"/>
      <c r="X512" s="408"/>
      <c r="Y512" s="408"/>
      <c r="Z512" s="408"/>
      <c r="AA512" s="408">
        <v>0</v>
      </c>
      <c r="AB512" s="408"/>
      <c r="AC512" s="408"/>
      <c r="AD512" s="408"/>
      <c r="AE512" s="408"/>
      <c r="AF512" s="408"/>
      <c r="AG512" s="408"/>
      <c r="AH512" s="408"/>
      <c r="AI512" s="408"/>
      <c r="AJ512" s="408"/>
      <c r="AK512" s="408"/>
      <c r="AL512" s="408"/>
      <c r="AM512" s="408"/>
      <c r="AN512" s="408"/>
      <c r="AO512" s="408"/>
      <c r="AP512" s="408"/>
      <c r="AQ512" s="408"/>
      <c r="AR512" s="408"/>
      <c r="AS512" s="408"/>
      <c r="AT512" s="408"/>
      <c r="AU512" s="408"/>
      <c r="AV512" s="408"/>
      <c r="AW512" s="408"/>
      <c r="AX512" s="408"/>
      <c r="AY512" s="408"/>
      <c r="AZ512" s="408">
        <v>0</v>
      </c>
      <c r="BA512" s="408"/>
      <c r="BB512" s="408"/>
      <c r="BC512" s="408"/>
      <c r="BD512" s="408"/>
      <c r="BE512" s="408"/>
      <c r="BF512" s="408"/>
      <c r="BG512" s="408"/>
      <c r="BH512" s="408"/>
      <c r="BI512" s="408">
        <v>0</v>
      </c>
      <c r="BJ512" s="408">
        <v>0</v>
      </c>
      <c r="BK512" s="408">
        <v>0.69</v>
      </c>
      <c r="BL512" s="408">
        <v>0</v>
      </c>
      <c r="BM512" s="408"/>
      <c r="BN512" s="408"/>
      <c r="BO512" s="408"/>
      <c r="BP512" s="408"/>
      <c r="BQ512" s="408"/>
      <c r="BR512" s="408"/>
      <c r="BS512" s="408"/>
      <c r="BT512" s="408"/>
      <c r="BU512" s="408"/>
      <c r="BV512" s="408"/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/>
      <c r="CJ512" s="408">
        <v>-0.03</v>
      </c>
      <c r="CK512" s="408"/>
      <c r="CL512" s="408"/>
      <c r="CM512" s="408"/>
      <c r="CN512" s="408"/>
      <c r="CO512" s="408">
        <v>0</v>
      </c>
      <c r="CP512" s="408">
        <v>0</v>
      </c>
      <c r="CQ512" s="408">
        <v>31</v>
      </c>
      <c r="CR512" s="408"/>
      <c r="CS512" s="408"/>
      <c r="CT512" s="408"/>
      <c r="CU512" s="408"/>
      <c r="CV512" s="408"/>
      <c r="CW512" s="408"/>
      <c r="CX512" s="408"/>
      <c r="CY512" s="408"/>
      <c r="CZ512" s="408"/>
      <c r="DA512" s="408"/>
      <c r="DB512" s="408"/>
      <c r="DC512" s="408"/>
      <c r="DD512" s="408"/>
      <c r="DE512" s="408"/>
      <c r="DF512" s="408"/>
      <c r="DG512" s="408"/>
      <c r="DH512" s="408"/>
      <c r="DI512" s="408"/>
      <c r="DJ512" s="408"/>
      <c r="DK512" s="408">
        <v>0</v>
      </c>
      <c r="DL512" s="408"/>
      <c r="DM512" s="408"/>
      <c r="DN512" s="408"/>
      <c r="DO512" s="408"/>
      <c r="DP512" s="408"/>
      <c r="DQ512" s="408"/>
      <c r="DR512" s="408"/>
      <c r="DS512" s="408"/>
      <c r="DT512" s="408"/>
      <c r="DU512" s="408"/>
      <c r="DV512" s="408"/>
      <c r="DW512" s="408"/>
      <c r="DX512" s="408"/>
      <c r="DY512" s="408"/>
      <c r="DZ512" s="234"/>
      <c r="EA512" s="408"/>
      <c r="EB512" s="408"/>
      <c r="EC512" s="408"/>
      <c r="ED512" s="408"/>
      <c r="EE512" s="408"/>
      <c r="EF512" s="408"/>
      <c r="EG512" s="408"/>
      <c r="EH512" s="408"/>
      <c r="EI512" s="408"/>
      <c r="EJ512" s="408"/>
      <c r="EK512" s="408"/>
      <c r="EL512" s="408"/>
      <c r="EM512" s="408"/>
      <c r="EN512" s="408"/>
      <c r="EO512" s="408"/>
      <c r="EP512" s="408"/>
      <c r="EQ512" s="408"/>
      <c r="ER512" s="408"/>
      <c r="ES512" s="408"/>
      <c r="ET512" s="408"/>
      <c r="EU512" s="408"/>
      <c r="EV512" s="408">
        <v>242</v>
      </c>
      <c r="EW512" s="408"/>
      <c r="EX512" s="408"/>
      <c r="EY512" s="408"/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513</v>
      </c>
      <c r="B513" s="408" t="s">
        <v>1036</v>
      </c>
      <c r="C513" s="408" t="s">
        <v>2231</v>
      </c>
      <c r="D513" s="408" t="s">
        <v>1952</v>
      </c>
      <c r="E513" s="408" t="s">
        <v>969</v>
      </c>
      <c r="F513" s="408" t="s">
        <v>2236</v>
      </c>
      <c r="G513" s="408" t="s">
        <v>1322</v>
      </c>
      <c r="H513" s="408" t="s">
        <v>1322</v>
      </c>
      <c r="I513" s="408" t="s">
        <v>1322</v>
      </c>
      <c r="J513" s="408" t="s">
        <v>2232</v>
      </c>
      <c r="K513" s="828">
        <v>44682</v>
      </c>
      <c r="L513" s="408">
        <v>0</v>
      </c>
      <c r="M513" s="408">
        <v>0</v>
      </c>
      <c r="N513" s="408">
        <v>14.192</v>
      </c>
      <c r="O513" s="408">
        <v>14.192</v>
      </c>
      <c r="P513" s="408">
        <v>14.192</v>
      </c>
      <c r="Q513" s="408">
        <v>14.192</v>
      </c>
      <c r="R513" s="408"/>
      <c r="S513" s="408">
        <v>501.89</v>
      </c>
      <c r="T513" s="408">
        <v>216.76</v>
      </c>
      <c r="U513" s="408"/>
      <c r="V513" s="408">
        <v>10199.0808</v>
      </c>
      <c r="W513" s="408">
        <v>10199.0808</v>
      </c>
      <c r="X513" s="408">
        <v>6348.0815999999995</v>
      </c>
      <c r="Y513" s="408">
        <v>0</v>
      </c>
      <c r="Z513" s="408">
        <v>0</v>
      </c>
      <c r="AA513" s="408">
        <v>0</v>
      </c>
      <c r="AB513" s="408">
        <v>0</v>
      </c>
      <c r="AC513" s="408">
        <v>0</v>
      </c>
      <c r="AD513" s="408">
        <v>11.66459922341941</v>
      </c>
      <c r="AE513" s="408">
        <v>6051.2370274228897</v>
      </c>
      <c r="AF513" s="408">
        <v>3031.4324996890423</v>
      </c>
      <c r="AG513" s="408">
        <v>44.809888019731893</v>
      </c>
      <c r="AH513" s="408">
        <v>0</v>
      </c>
      <c r="AI513" s="408">
        <v>0</v>
      </c>
      <c r="AJ513" s="408">
        <v>0</v>
      </c>
      <c r="AK513" s="408">
        <v>0</v>
      </c>
      <c r="AL513" s="408">
        <v>0</v>
      </c>
      <c r="AM513" s="408"/>
      <c r="AN513" s="408">
        <v>27.226919940953604</v>
      </c>
      <c r="AO513" s="408">
        <v>126.04905445526749</v>
      </c>
      <c r="AP513" s="408">
        <v>394.92227579160595</v>
      </c>
      <c r="AQ513" s="408">
        <v>0</v>
      </c>
      <c r="AR513" s="408">
        <v>0</v>
      </c>
      <c r="AS513" s="408">
        <v>0</v>
      </c>
      <c r="AT513" s="408">
        <v>0</v>
      </c>
      <c r="AU513" s="408">
        <v>0</v>
      </c>
      <c r="AV513" s="408">
        <v>0</v>
      </c>
      <c r="AW513" s="408">
        <v>0</v>
      </c>
      <c r="AX513" s="408">
        <v>0</v>
      </c>
      <c r="AY513" s="408">
        <v>0</v>
      </c>
      <c r="AZ513" s="408">
        <v>0</v>
      </c>
      <c r="BA513" s="408"/>
      <c r="BB513" s="408">
        <v>0</v>
      </c>
      <c r="BC513" s="408">
        <v>0</v>
      </c>
      <c r="BD513" s="408">
        <v>8.4452280737406866</v>
      </c>
      <c r="BE513" s="408">
        <v>0</v>
      </c>
      <c r="BF513" s="408">
        <v>0</v>
      </c>
      <c r="BG513" s="408">
        <v>503.22330612465737</v>
      </c>
      <c r="BH513" s="408">
        <v>0</v>
      </c>
      <c r="BI513" s="408">
        <v>10.11</v>
      </c>
      <c r="BJ513" s="408">
        <v>48.53</v>
      </c>
      <c r="BK513" s="408">
        <v>1282.8399999999999</v>
      </c>
      <c r="BL513" s="408">
        <v>60</v>
      </c>
      <c r="BM513" s="408"/>
      <c r="BN513" s="408"/>
      <c r="BO513" s="408"/>
      <c r="BP513" s="408"/>
      <c r="BQ513" s="408"/>
      <c r="BR513" s="408"/>
      <c r="BS513" s="408"/>
      <c r="BT513" s="408">
        <v>2539.0907200000001</v>
      </c>
      <c r="BU513" s="408"/>
      <c r="BV513" s="408">
        <v>3543.1010338874403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3808.4540999999999</v>
      </c>
      <c r="CJ513" s="408">
        <v>-2311.0243800000007</v>
      </c>
      <c r="CK513" s="408"/>
      <c r="CL513" s="408"/>
      <c r="CM513" s="408"/>
      <c r="CN513" s="408"/>
      <c r="CO513" s="408">
        <v>-4314.0841600000003</v>
      </c>
      <c r="CP513" s="408">
        <v>463.08495999999997</v>
      </c>
      <c r="CQ513" s="408">
        <v>31</v>
      </c>
      <c r="CR513" s="408">
        <v>595.01289078595073</v>
      </c>
      <c r="CS513" s="408">
        <v>13.002152087939109</v>
      </c>
      <c r="CT513" s="408">
        <v>40.736834678753439</v>
      </c>
      <c r="CU513" s="408">
        <v>0</v>
      </c>
      <c r="CV513" s="408">
        <v>0</v>
      </c>
      <c r="CW513" s="408">
        <v>0</v>
      </c>
      <c r="CX513" s="408">
        <v>0</v>
      </c>
      <c r="CY513" s="408">
        <v>0</v>
      </c>
      <c r="CZ513" s="408">
        <v>1.1405068822784603</v>
      </c>
      <c r="DA513" s="408">
        <v>0</v>
      </c>
      <c r="DB513" s="408">
        <v>0</v>
      </c>
      <c r="DC513" s="408">
        <v>463.14447448386545</v>
      </c>
      <c r="DD513" s="408">
        <v>0</v>
      </c>
      <c r="DE513" s="408">
        <v>0</v>
      </c>
      <c r="DF513" s="408">
        <v>1.2902681219226526</v>
      </c>
      <c r="DG513" s="408">
        <v>76.882824765865962</v>
      </c>
      <c r="DH513" s="408">
        <v>0</v>
      </c>
      <c r="DI513" s="408">
        <v>0</v>
      </c>
      <c r="DJ513" s="408"/>
      <c r="DK513" s="408">
        <v>0</v>
      </c>
      <c r="DL513" s="408">
        <v>0</v>
      </c>
      <c r="DM513" s="408">
        <v>0</v>
      </c>
      <c r="DN513" s="408">
        <v>0</v>
      </c>
      <c r="DO513" s="408">
        <v>0</v>
      </c>
      <c r="DP513" s="408">
        <v>-1.1841702346739993</v>
      </c>
      <c r="DQ513" s="408">
        <v>0</v>
      </c>
      <c r="DR513" s="408">
        <v>0</v>
      </c>
      <c r="DS513" s="408"/>
      <c r="DT513" s="408"/>
      <c r="DU513" s="408"/>
      <c r="DV513" s="408">
        <v>6051.2370274228897</v>
      </c>
      <c r="DW513" s="408">
        <v>0</v>
      </c>
      <c r="DX513" s="408">
        <v>0</v>
      </c>
      <c r="DY513" s="408">
        <v>-4314.0841600000003</v>
      </c>
      <c r="DZ513" s="234">
        <v>463.08495999999968</v>
      </c>
      <c r="EA513" s="408">
        <v>0</v>
      </c>
      <c r="EB513" s="408">
        <v>0</v>
      </c>
      <c r="EC513" s="408">
        <v>-4445.9032516229381</v>
      </c>
      <c r="ED513" s="408">
        <v>0</v>
      </c>
      <c r="EE513" s="408">
        <v>0</v>
      </c>
      <c r="EF513" s="408">
        <v>0</v>
      </c>
      <c r="EG513" s="408">
        <v>0</v>
      </c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>
        <v>0</v>
      </c>
      <c r="EN513" s="408">
        <v>0</v>
      </c>
      <c r="EO513" s="408">
        <v>0</v>
      </c>
      <c r="EP513" s="408">
        <v>0</v>
      </c>
      <c r="EQ513" s="408">
        <v>0</v>
      </c>
      <c r="ER513" s="408">
        <v>0</v>
      </c>
      <c r="ES513" s="408">
        <v>0</v>
      </c>
      <c r="ET513" s="408">
        <v>0</v>
      </c>
      <c r="EU513" s="408">
        <v>0</v>
      </c>
      <c r="EV513" s="408">
        <v>242</v>
      </c>
      <c r="EW513" s="408">
        <v>0</v>
      </c>
      <c r="EX513" s="408">
        <v>0</v>
      </c>
      <c r="EY513" s="408">
        <v>0</v>
      </c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514</v>
      </c>
      <c r="B514" s="408" t="s">
        <v>2234</v>
      </c>
      <c r="C514" s="408" t="s">
        <v>2231</v>
      </c>
      <c r="D514" s="408" t="s">
        <v>1952</v>
      </c>
      <c r="E514" s="408" t="s">
        <v>969</v>
      </c>
      <c r="F514" s="408" t="s">
        <v>2236</v>
      </c>
      <c r="G514" s="408" t="s">
        <v>1322</v>
      </c>
      <c r="H514" s="408" t="s">
        <v>1322</v>
      </c>
      <c r="I514" s="408" t="s">
        <v>1322</v>
      </c>
      <c r="J514" s="408" t="s">
        <v>2232</v>
      </c>
      <c r="K514" s="828">
        <v>44682</v>
      </c>
      <c r="L514" s="408">
        <v>0</v>
      </c>
      <c r="M514" s="408">
        <v>0</v>
      </c>
      <c r="N514" s="408">
        <v>0</v>
      </c>
      <c r="O514" s="408">
        <v>0</v>
      </c>
      <c r="P514" s="408">
        <v>0</v>
      </c>
      <c r="Q514" s="408">
        <v>0</v>
      </c>
      <c r="R514" s="408"/>
      <c r="S514" s="408"/>
      <c r="T514" s="408"/>
      <c r="U514" s="408"/>
      <c r="V514" s="408"/>
      <c r="W514" s="408"/>
      <c r="X514" s="408"/>
      <c r="Y514" s="408"/>
      <c r="Z514" s="408"/>
      <c r="AA514" s="408">
        <v>0</v>
      </c>
      <c r="AB514" s="408"/>
      <c r="AC514" s="408"/>
      <c r="AD514" s="408"/>
      <c r="AE514" s="408"/>
      <c r="AF514" s="408"/>
      <c r="AG514" s="408"/>
      <c r="AH514" s="408"/>
      <c r="AI514" s="408"/>
      <c r="AJ514" s="408"/>
      <c r="AK514" s="408"/>
      <c r="AL514" s="408"/>
      <c r="AM514" s="408"/>
      <c r="AN514" s="408"/>
      <c r="AO514" s="408"/>
      <c r="AP514" s="408"/>
      <c r="AQ514" s="408"/>
      <c r="AR514" s="408"/>
      <c r="AS514" s="408"/>
      <c r="AT514" s="408"/>
      <c r="AU514" s="408"/>
      <c r="AV514" s="408"/>
      <c r="AW514" s="408"/>
      <c r="AX514" s="408"/>
      <c r="AY514" s="408"/>
      <c r="AZ514" s="408">
        <v>0</v>
      </c>
      <c r="BA514" s="408"/>
      <c r="BB514" s="408"/>
      <c r="BC514" s="408"/>
      <c r="BD514" s="408"/>
      <c r="BE514" s="408"/>
      <c r="BF514" s="408"/>
      <c r="BG514" s="408"/>
      <c r="BH514" s="408"/>
      <c r="BI514" s="408">
        <v>0</v>
      </c>
      <c r="BJ514" s="408">
        <v>0</v>
      </c>
      <c r="BK514" s="408">
        <v>2.77</v>
      </c>
      <c r="BL514" s="408">
        <v>0</v>
      </c>
      <c r="BM514" s="408"/>
      <c r="BN514" s="408"/>
      <c r="BO514" s="408"/>
      <c r="BP514" s="408"/>
      <c r="BQ514" s="408"/>
      <c r="BR514" s="408"/>
      <c r="BS514" s="408"/>
      <c r="BT514" s="408"/>
      <c r="BU514" s="408"/>
      <c r="BV514" s="408"/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/>
      <c r="CJ514" s="408">
        <v>-0.03</v>
      </c>
      <c r="CK514" s="408"/>
      <c r="CL514" s="408"/>
      <c r="CM514" s="408"/>
      <c r="CN514" s="408"/>
      <c r="CO514" s="408">
        <v>0</v>
      </c>
      <c r="CP514" s="408">
        <v>0</v>
      </c>
      <c r="CQ514" s="408">
        <v>31</v>
      </c>
      <c r="CR514" s="408"/>
      <c r="CS514" s="408"/>
      <c r="CT514" s="408"/>
      <c r="CU514" s="408"/>
      <c r="CV514" s="408"/>
      <c r="CW514" s="408"/>
      <c r="CX514" s="408"/>
      <c r="CY514" s="408"/>
      <c r="CZ514" s="408"/>
      <c r="DA514" s="408"/>
      <c r="DB514" s="408"/>
      <c r="DC514" s="408"/>
      <c r="DD514" s="408"/>
      <c r="DE514" s="408"/>
      <c r="DF514" s="408"/>
      <c r="DG514" s="408"/>
      <c r="DH514" s="408"/>
      <c r="DI514" s="408"/>
      <c r="DJ514" s="408"/>
      <c r="DK514" s="408">
        <v>0</v>
      </c>
      <c r="DL514" s="408"/>
      <c r="DM514" s="408"/>
      <c r="DN514" s="408"/>
      <c r="DO514" s="408"/>
      <c r="DP514" s="408"/>
      <c r="DQ514" s="408"/>
      <c r="DR514" s="408"/>
      <c r="DS514" s="408"/>
      <c r="DT514" s="408"/>
      <c r="DU514" s="408"/>
      <c r="DV514" s="408"/>
      <c r="DW514" s="408"/>
      <c r="DX514" s="408"/>
      <c r="DY514" s="408"/>
      <c r="DZ514" s="234"/>
      <c r="EA514" s="408"/>
      <c r="EB514" s="408"/>
      <c r="EC514" s="408"/>
      <c r="ED514" s="408"/>
      <c r="EE514" s="408"/>
      <c r="EF514" s="408"/>
      <c r="EG514" s="408"/>
      <c r="EH514" s="408"/>
      <c r="EI514" s="408"/>
      <c r="EJ514" s="408"/>
      <c r="EK514" s="408"/>
      <c r="EL514" s="408"/>
      <c r="EM514" s="408"/>
      <c r="EN514" s="408"/>
      <c r="EO514" s="408"/>
      <c r="EP514" s="408"/>
      <c r="EQ514" s="408"/>
      <c r="ER514" s="408"/>
      <c r="ES514" s="408"/>
      <c r="ET514" s="408"/>
      <c r="EU514" s="408"/>
      <c r="EV514" s="408">
        <v>242</v>
      </c>
      <c r="EW514" s="408"/>
      <c r="EX514" s="408"/>
      <c r="EY514" s="408"/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515</v>
      </c>
      <c r="B515" s="408" t="s">
        <v>1036</v>
      </c>
      <c r="C515" s="408" t="s">
        <v>2231</v>
      </c>
      <c r="D515" s="408" t="s">
        <v>1952</v>
      </c>
      <c r="E515" s="408" t="s">
        <v>969</v>
      </c>
      <c r="F515" s="408" t="s">
        <v>2237</v>
      </c>
      <c r="G515" s="408" t="s">
        <v>1322</v>
      </c>
      <c r="H515" s="408" t="s">
        <v>1322</v>
      </c>
      <c r="I515" s="408" t="s">
        <v>1322</v>
      </c>
      <c r="J515" s="408" t="s">
        <v>2232</v>
      </c>
      <c r="K515" s="828">
        <v>44682</v>
      </c>
      <c r="L515" s="408">
        <v>0</v>
      </c>
      <c r="M515" s="408">
        <v>0</v>
      </c>
      <c r="N515" s="408">
        <v>12.797000000000001</v>
      </c>
      <c r="O515" s="408">
        <v>12.797000000000001</v>
      </c>
      <c r="P515" s="408">
        <v>12.797000000000001</v>
      </c>
      <c r="Q515" s="408">
        <v>12.797000000000001</v>
      </c>
      <c r="R515" s="408"/>
      <c r="S515" s="408">
        <v>501.89</v>
      </c>
      <c r="T515" s="408">
        <v>216.76</v>
      </c>
      <c r="U515" s="408"/>
      <c r="V515" s="408">
        <v>9196.5640500000009</v>
      </c>
      <c r="W515" s="408">
        <v>9196.5640500000009</v>
      </c>
      <c r="X515" s="408">
        <v>5724.0981000000002</v>
      </c>
      <c r="Y515" s="408">
        <v>0</v>
      </c>
      <c r="Z515" s="408">
        <v>0</v>
      </c>
      <c r="AA515" s="408">
        <v>0</v>
      </c>
      <c r="AB515" s="408">
        <v>0</v>
      </c>
      <c r="AC515" s="408">
        <v>0</v>
      </c>
      <c r="AD515" s="408">
        <v>10.518029612605565</v>
      </c>
      <c r="AE515" s="408">
        <v>5456.4318094652426</v>
      </c>
      <c r="AF515" s="408">
        <v>2733.4584060400703</v>
      </c>
      <c r="AG515" s="408">
        <v>40.405308412380855</v>
      </c>
      <c r="AH515" s="408">
        <v>0</v>
      </c>
      <c r="AI515" s="408">
        <v>0</v>
      </c>
      <c r="AJ515" s="408">
        <v>0</v>
      </c>
      <c r="AK515" s="408">
        <v>0</v>
      </c>
      <c r="AL515" s="408">
        <v>0</v>
      </c>
      <c r="AM515" s="408"/>
      <c r="AN515" s="408">
        <v>24.550654910117199</v>
      </c>
      <c r="AO515" s="408">
        <v>113.65908609526905</v>
      </c>
      <c r="AP515" s="408">
        <v>356.10346415622757</v>
      </c>
      <c r="AQ515" s="408">
        <v>0</v>
      </c>
      <c r="AR515" s="408">
        <v>0</v>
      </c>
      <c r="AS515" s="408">
        <v>0</v>
      </c>
      <c r="AT515" s="408">
        <v>0</v>
      </c>
      <c r="AU515" s="408">
        <v>0</v>
      </c>
      <c r="AV515" s="408">
        <v>0</v>
      </c>
      <c r="AW515" s="408">
        <v>0</v>
      </c>
      <c r="AX515" s="408">
        <v>0</v>
      </c>
      <c r="AY515" s="408">
        <v>0</v>
      </c>
      <c r="AZ515" s="408">
        <v>0</v>
      </c>
      <c r="BA515" s="408"/>
      <c r="BB515" s="408">
        <v>0</v>
      </c>
      <c r="BC515" s="408">
        <v>0</v>
      </c>
      <c r="BD515" s="408">
        <v>7.6151059512161483</v>
      </c>
      <c r="BE515" s="408">
        <v>0</v>
      </c>
      <c r="BF515" s="408">
        <v>0</v>
      </c>
      <c r="BG515" s="408">
        <v>453.75906485888112</v>
      </c>
      <c r="BH515" s="408">
        <v>0</v>
      </c>
      <c r="BI515" s="408">
        <v>14.12</v>
      </c>
      <c r="BJ515" s="408">
        <v>64.69</v>
      </c>
      <c r="BK515" s="408">
        <v>1742.44</v>
      </c>
      <c r="BL515" s="408">
        <v>117</v>
      </c>
      <c r="BM515" s="408"/>
      <c r="BN515" s="408"/>
      <c r="BO515" s="408"/>
      <c r="BP515" s="408"/>
      <c r="BQ515" s="408"/>
      <c r="BR515" s="408"/>
      <c r="BS515" s="408"/>
      <c r="BT515" s="408">
        <v>572.40980999999988</v>
      </c>
      <c r="BU515" s="408"/>
      <c r="BV515" s="408">
        <v>3194.8325768501677</v>
      </c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>
        <v>5152.8960000000006</v>
      </c>
      <c r="CJ515" s="408">
        <v>-3123.9776600000005</v>
      </c>
      <c r="CK515" s="408"/>
      <c r="CL515" s="408"/>
      <c r="CM515" s="408"/>
      <c r="CN515" s="408"/>
      <c r="CO515" s="408">
        <v>-3890.0320600000005</v>
      </c>
      <c r="CP515" s="408">
        <v>417.56610999999998</v>
      </c>
      <c r="CQ515" s="408">
        <v>31</v>
      </c>
      <c r="CR515" s="408">
        <v>536.52620937061783</v>
      </c>
      <c r="CS515" s="408">
        <v>11.724107967119252</v>
      </c>
      <c r="CT515" s="408">
        <v>36.732615091883304</v>
      </c>
      <c r="CU515" s="408">
        <v>0</v>
      </c>
      <c r="CV515" s="408">
        <v>0</v>
      </c>
      <c r="CW515" s="408">
        <v>0</v>
      </c>
      <c r="CX515" s="408">
        <v>0</v>
      </c>
      <c r="CY515" s="408">
        <v>0</v>
      </c>
      <c r="CZ515" s="408">
        <v>1.0284009704423251</v>
      </c>
      <c r="DA515" s="408">
        <v>0</v>
      </c>
      <c r="DB515" s="408">
        <v>0</v>
      </c>
      <c r="DC515" s="408">
        <v>417.61977451874463</v>
      </c>
      <c r="DD515" s="408">
        <v>0</v>
      </c>
      <c r="DE515" s="408">
        <v>0</v>
      </c>
      <c r="DF515" s="408">
        <v>1.1634414568943194</v>
      </c>
      <c r="DG515" s="408">
        <v>69.325641807270756</v>
      </c>
      <c r="DH515" s="408">
        <v>0</v>
      </c>
      <c r="DI515" s="408">
        <v>0</v>
      </c>
      <c r="DJ515" s="408"/>
      <c r="DK515" s="408">
        <v>0</v>
      </c>
      <c r="DL515" s="408">
        <v>0</v>
      </c>
      <c r="DM515" s="408">
        <v>0</v>
      </c>
      <c r="DN515" s="408">
        <v>0</v>
      </c>
      <c r="DO515" s="408">
        <v>0</v>
      </c>
      <c r="DP515" s="408">
        <v>-1.0677724417364125</v>
      </c>
      <c r="DQ515" s="408">
        <v>0</v>
      </c>
      <c r="DR515" s="408">
        <v>0</v>
      </c>
      <c r="DS515" s="408"/>
      <c r="DT515" s="408"/>
      <c r="DU515" s="408"/>
      <c r="DV515" s="408">
        <v>5456.4318094652426</v>
      </c>
      <c r="DW515" s="408">
        <v>0</v>
      </c>
      <c r="DX515" s="408">
        <v>0</v>
      </c>
      <c r="DY515" s="408">
        <v>-3890.0320600000005</v>
      </c>
      <c r="DZ515" s="234">
        <v>417.56611000000021</v>
      </c>
      <c r="EA515" s="408">
        <v>0</v>
      </c>
      <c r="EB515" s="408">
        <v>0</v>
      </c>
      <c r="EC515" s="408">
        <v>-4008.8940185328875</v>
      </c>
      <c r="ED515" s="408">
        <v>0</v>
      </c>
      <c r="EE515" s="408">
        <v>0</v>
      </c>
      <c r="EF515" s="408">
        <v>0</v>
      </c>
      <c r="EG515" s="408">
        <v>0</v>
      </c>
      <c r="EH515" s="408">
        <v>0</v>
      </c>
      <c r="EI515" s="408">
        <v>0</v>
      </c>
      <c r="EJ515" s="408">
        <v>0</v>
      </c>
      <c r="EK515" s="408">
        <v>0</v>
      </c>
      <c r="EL515" s="408">
        <v>0</v>
      </c>
      <c r="EM515" s="408">
        <v>0</v>
      </c>
      <c r="EN515" s="408">
        <v>0</v>
      </c>
      <c r="EO515" s="408">
        <v>0</v>
      </c>
      <c r="EP515" s="408">
        <v>0</v>
      </c>
      <c r="EQ515" s="408">
        <v>0</v>
      </c>
      <c r="ER515" s="408">
        <v>0</v>
      </c>
      <c r="ES515" s="408">
        <v>0</v>
      </c>
      <c r="ET515" s="408">
        <v>0</v>
      </c>
      <c r="EU515" s="408">
        <v>0</v>
      </c>
      <c r="EV515" s="408">
        <v>242</v>
      </c>
      <c r="EW515" s="408">
        <v>0</v>
      </c>
      <c r="EX515" s="408">
        <v>0</v>
      </c>
      <c r="EY515" s="408">
        <v>0</v>
      </c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516</v>
      </c>
      <c r="B516" s="408" t="s">
        <v>2234</v>
      </c>
      <c r="C516" s="408" t="s">
        <v>2231</v>
      </c>
      <c r="D516" s="408" t="s">
        <v>1952</v>
      </c>
      <c r="E516" s="408" t="s">
        <v>969</v>
      </c>
      <c r="F516" s="408" t="s">
        <v>2237</v>
      </c>
      <c r="G516" s="408" t="s">
        <v>1322</v>
      </c>
      <c r="H516" s="408" t="s">
        <v>1322</v>
      </c>
      <c r="I516" s="408" t="s">
        <v>1322</v>
      </c>
      <c r="J516" s="408" t="s">
        <v>2232</v>
      </c>
      <c r="K516" s="828">
        <v>44682</v>
      </c>
      <c r="L516" s="408">
        <v>0</v>
      </c>
      <c r="M516" s="408">
        <v>0</v>
      </c>
      <c r="N516" s="408">
        <v>0</v>
      </c>
      <c r="O516" s="408">
        <v>0</v>
      </c>
      <c r="P516" s="408">
        <v>0</v>
      </c>
      <c r="Q516" s="408">
        <v>0</v>
      </c>
      <c r="R516" s="408"/>
      <c r="S516" s="408"/>
      <c r="T516" s="408"/>
      <c r="U516" s="408"/>
      <c r="V516" s="408"/>
      <c r="W516" s="408"/>
      <c r="X516" s="408"/>
      <c r="Y516" s="408"/>
      <c r="Z516" s="408"/>
      <c r="AA516" s="408">
        <v>0</v>
      </c>
      <c r="AB516" s="408"/>
      <c r="AC516" s="408"/>
      <c r="AD516" s="408"/>
      <c r="AE516" s="408"/>
      <c r="AF516" s="408"/>
      <c r="AG516" s="408"/>
      <c r="AH516" s="408"/>
      <c r="AI516" s="408"/>
      <c r="AJ516" s="408"/>
      <c r="AK516" s="408"/>
      <c r="AL516" s="408"/>
      <c r="AM516" s="408"/>
      <c r="AN516" s="408"/>
      <c r="AO516" s="408"/>
      <c r="AP516" s="408"/>
      <c r="AQ516" s="408"/>
      <c r="AR516" s="408"/>
      <c r="AS516" s="408"/>
      <c r="AT516" s="408"/>
      <c r="AU516" s="408"/>
      <c r="AV516" s="408"/>
      <c r="AW516" s="408"/>
      <c r="AX516" s="408"/>
      <c r="AY516" s="408"/>
      <c r="AZ516" s="408">
        <v>0</v>
      </c>
      <c r="BA516" s="408"/>
      <c r="BB516" s="408"/>
      <c r="BC516" s="408"/>
      <c r="BD516" s="408"/>
      <c r="BE516" s="408"/>
      <c r="BF516" s="408"/>
      <c r="BG516" s="408"/>
      <c r="BH516" s="408"/>
      <c r="BI516" s="408">
        <v>0</v>
      </c>
      <c r="BJ516" s="408">
        <v>0</v>
      </c>
      <c r="BK516" s="408">
        <v>7.12</v>
      </c>
      <c r="BL516" s="408">
        <v>0</v>
      </c>
      <c r="BM516" s="408"/>
      <c r="BN516" s="408"/>
      <c r="BO516" s="408"/>
      <c r="BP516" s="408"/>
      <c r="BQ516" s="408"/>
      <c r="BR516" s="408"/>
      <c r="BS516" s="408"/>
      <c r="BT516" s="408"/>
      <c r="BU516" s="408"/>
      <c r="BV516" s="408"/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/>
      <c r="CJ516" s="408">
        <v>-0.03</v>
      </c>
      <c r="CK516" s="408"/>
      <c r="CL516" s="408"/>
      <c r="CM516" s="408"/>
      <c r="CN516" s="408"/>
      <c r="CO516" s="408">
        <v>0</v>
      </c>
      <c r="CP516" s="408">
        <v>0</v>
      </c>
      <c r="CQ516" s="408">
        <v>31</v>
      </c>
      <c r="CR516" s="408"/>
      <c r="CS516" s="408"/>
      <c r="CT516" s="408"/>
      <c r="CU516" s="408"/>
      <c r="CV516" s="408"/>
      <c r="CW516" s="408"/>
      <c r="CX516" s="408"/>
      <c r="CY516" s="408"/>
      <c r="CZ516" s="408"/>
      <c r="DA516" s="408"/>
      <c r="DB516" s="408"/>
      <c r="DC516" s="408"/>
      <c r="DD516" s="408"/>
      <c r="DE516" s="408"/>
      <c r="DF516" s="408"/>
      <c r="DG516" s="408"/>
      <c r="DH516" s="408"/>
      <c r="DI516" s="408"/>
      <c r="DJ516" s="408"/>
      <c r="DK516" s="408">
        <v>0</v>
      </c>
      <c r="DL516" s="408"/>
      <c r="DM516" s="408"/>
      <c r="DN516" s="408"/>
      <c r="DO516" s="408"/>
      <c r="DP516" s="408"/>
      <c r="DQ516" s="408"/>
      <c r="DR516" s="408"/>
      <c r="DS516" s="408"/>
      <c r="DT516" s="408"/>
      <c r="DU516" s="408"/>
      <c r="DV516" s="408"/>
      <c r="DW516" s="408"/>
      <c r="DX516" s="408"/>
      <c r="DY516" s="408"/>
      <c r="DZ516" s="234"/>
      <c r="EA516" s="408"/>
      <c r="EB516" s="408"/>
      <c r="EC516" s="408"/>
      <c r="ED516" s="408"/>
      <c r="EE516" s="408"/>
      <c r="EF516" s="408"/>
      <c r="EG516" s="408"/>
      <c r="EH516" s="408"/>
      <c r="EI516" s="408"/>
      <c r="EJ516" s="408"/>
      <c r="EK516" s="408"/>
      <c r="EL516" s="408"/>
      <c r="EM516" s="408"/>
      <c r="EN516" s="408"/>
      <c r="EO516" s="408"/>
      <c r="EP516" s="408"/>
      <c r="EQ516" s="408"/>
      <c r="ER516" s="408"/>
      <c r="ES516" s="408"/>
      <c r="ET516" s="408"/>
      <c r="EU516" s="408"/>
      <c r="EV516" s="408">
        <v>242</v>
      </c>
      <c r="EW516" s="408"/>
      <c r="EX516" s="408"/>
      <c r="EY516" s="408"/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408">
        <v>517</v>
      </c>
      <c r="B517" s="408" t="s">
        <v>1036</v>
      </c>
      <c r="C517" s="408" t="s">
        <v>2231</v>
      </c>
      <c r="D517" s="408" t="s">
        <v>1952</v>
      </c>
      <c r="E517" s="408" t="s">
        <v>969</v>
      </c>
      <c r="F517" s="408" t="s">
        <v>2238</v>
      </c>
      <c r="G517" s="408" t="s">
        <v>1322</v>
      </c>
      <c r="H517" s="408" t="s">
        <v>1322</v>
      </c>
      <c r="I517" s="408" t="s">
        <v>1322</v>
      </c>
      <c r="J517" s="408" t="s">
        <v>2232</v>
      </c>
      <c r="K517" s="828">
        <v>44682</v>
      </c>
      <c r="L517" s="408">
        <v>0</v>
      </c>
      <c r="M517" s="408">
        <v>0</v>
      </c>
      <c r="N517" s="408">
        <v>3.61</v>
      </c>
      <c r="O517" s="408">
        <v>3.61</v>
      </c>
      <c r="P517" s="408">
        <v>3.61</v>
      </c>
      <c r="Q517" s="408">
        <v>3.61</v>
      </c>
      <c r="R517" s="408"/>
      <c r="S517" s="408">
        <v>501.89</v>
      </c>
      <c r="T517" s="408">
        <v>216.76</v>
      </c>
      <c r="U517" s="408"/>
      <c r="V517" s="408">
        <v>2594.3264999999997</v>
      </c>
      <c r="W517" s="408">
        <v>2594.3264999999997</v>
      </c>
      <c r="X517" s="408">
        <v>1614.7529999999999</v>
      </c>
      <c r="Y517" s="408">
        <v>0</v>
      </c>
      <c r="Z517" s="408">
        <v>0</v>
      </c>
      <c r="AA517" s="408">
        <v>0</v>
      </c>
      <c r="AB517" s="408">
        <v>0</v>
      </c>
      <c r="AC517" s="408">
        <v>0</v>
      </c>
      <c r="AD517" s="408">
        <v>2.9671084552243565</v>
      </c>
      <c r="AE517" s="408">
        <v>1539.2450443205068</v>
      </c>
      <c r="AF517" s="408">
        <v>771.10141797332597</v>
      </c>
      <c r="AG517" s="408">
        <v>11.398231098593019</v>
      </c>
      <c r="AH517" s="408">
        <v>0</v>
      </c>
      <c r="AI517" s="408">
        <v>0</v>
      </c>
      <c r="AJ517" s="408">
        <v>0</v>
      </c>
      <c r="AK517" s="408">
        <v>0</v>
      </c>
      <c r="AL517" s="408">
        <v>0</v>
      </c>
      <c r="AM517" s="408"/>
      <c r="AN517" s="408">
        <v>6.9256750977200188</v>
      </c>
      <c r="AO517" s="408">
        <v>32.062928874261246</v>
      </c>
      <c r="AP517" s="408">
        <v>100.45584946502942</v>
      </c>
      <c r="AQ517" s="408">
        <v>0</v>
      </c>
      <c r="AR517" s="408">
        <v>0</v>
      </c>
      <c r="AS517" s="408">
        <v>0</v>
      </c>
      <c r="AT517" s="408">
        <v>0</v>
      </c>
      <c r="AU517" s="408">
        <v>0</v>
      </c>
      <c r="AV517" s="408">
        <v>0</v>
      </c>
      <c r="AW517" s="408">
        <v>0</v>
      </c>
      <c r="AX517" s="408">
        <v>0</v>
      </c>
      <c r="AY517" s="408">
        <v>0</v>
      </c>
      <c r="AZ517" s="408">
        <v>0</v>
      </c>
      <c r="BA517" s="408"/>
      <c r="BB517" s="408">
        <v>0</v>
      </c>
      <c r="BC517" s="408">
        <v>0</v>
      </c>
      <c r="BD517" s="408">
        <v>2.1482013349918176</v>
      </c>
      <c r="BE517" s="408">
        <v>0</v>
      </c>
      <c r="BF517" s="408">
        <v>0</v>
      </c>
      <c r="BG517" s="408">
        <v>128.00423725408774</v>
      </c>
      <c r="BH517" s="408">
        <v>0</v>
      </c>
      <c r="BI517" s="408">
        <v>4.71</v>
      </c>
      <c r="BJ517" s="408">
        <v>20.239999999999998</v>
      </c>
      <c r="BK517" s="408">
        <v>546.65</v>
      </c>
      <c r="BL517" s="408">
        <v>49</v>
      </c>
      <c r="BM517" s="408"/>
      <c r="BN517" s="408"/>
      <c r="BO517" s="408"/>
      <c r="BP517" s="408"/>
      <c r="BQ517" s="408"/>
      <c r="BR517" s="408"/>
      <c r="BS517" s="408"/>
      <c r="BT517" s="408"/>
      <c r="BU517" s="408"/>
      <c r="BV517" s="408">
        <v>901.25385656240542</v>
      </c>
      <c r="BW517" s="408"/>
      <c r="BX517" s="408"/>
      <c r="BY517" s="408"/>
      <c r="BZ517" s="408"/>
      <c r="CA517" s="408"/>
      <c r="CB517" s="408"/>
      <c r="CC517" s="408"/>
      <c r="CD517" s="408"/>
      <c r="CE517" s="408"/>
      <c r="CF517" s="408"/>
      <c r="CG517" s="408"/>
      <c r="CH517" s="408"/>
      <c r="CI517" s="408">
        <v>1614.7529999999999</v>
      </c>
      <c r="CJ517" s="408">
        <v>-979.60349999999994</v>
      </c>
      <c r="CK517" s="408"/>
      <c r="CL517" s="408"/>
      <c r="CM517" s="408"/>
      <c r="CN517" s="408"/>
      <c r="CO517" s="408">
        <v>-1097.3678</v>
      </c>
      <c r="CP517" s="408">
        <v>117.79429999999998</v>
      </c>
      <c r="CQ517" s="408">
        <v>31</v>
      </c>
      <c r="CR517" s="408">
        <v>151.35263075939133</v>
      </c>
      <c r="CS517" s="408">
        <v>3.3073399829101007</v>
      </c>
      <c r="CT517" s="408">
        <v>10.362173984660373</v>
      </c>
      <c r="CU517" s="408">
        <v>0</v>
      </c>
      <c r="CV517" s="408">
        <v>0</v>
      </c>
      <c r="CW517" s="408">
        <v>0</v>
      </c>
      <c r="CX517" s="408">
        <v>0</v>
      </c>
      <c r="CY517" s="408">
        <v>0</v>
      </c>
      <c r="CZ517" s="408">
        <v>0.29010920554010999</v>
      </c>
      <c r="DA517" s="408">
        <v>0</v>
      </c>
      <c r="DB517" s="408">
        <v>0</v>
      </c>
      <c r="DC517" s="408">
        <v>117.80943861941626</v>
      </c>
      <c r="DD517" s="408">
        <v>0</v>
      </c>
      <c r="DE517" s="408">
        <v>0</v>
      </c>
      <c r="DF517" s="408">
        <v>0.32820377114858923</v>
      </c>
      <c r="DG517" s="408">
        <v>19.556580989626241</v>
      </c>
      <c r="DH517" s="408">
        <v>0</v>
      </c>
      <c r="DI517" s="408">
        <v>0</v>
      </c>
      <c r="DJ517" s="408"/>
      <c r="DK517" s="408">
        <v>0</v>
      </c>
      <c r="DL517" s="408">
        <v>0</v>
      </c>
      <c r="DM517" s="408">
        <v>0</v>
      </c>
      <c r="DN517" s="408">
        <v>0</v>
      </c>
      <c r="DO517" s="408">
        <v>0</v>
      </c>
      <c r="DP517" s="408">
        <v>-0.3012157939101705</v>
      </c>
      <c r="DQ517" s="408">
        <v>0</v>
      </c>
      <c r="DR517" s="408">
        <v>0</v>
      </c>
      <c r="DS517" s="408"/>
      <c r="DT517" s="408"/>
      <c r="DU517" s="408"/>
      <c r="DV517" s="408">
        <v>1539.2450443205068</v>
      </c>
      <c r="DW517" s="408">
        <v>0</v>
      </c>
      <c r="DX517" s="408">
        <v>0</v>
      </c>
      <c r="DY517" s="408">
        <v>-1097.3678</v>
      </c>
      <c r="DZ517" s="234">
        <v>117.79430000000002</v>
      </c>
      <c r="EA517" s="408">
        <v>0</v>
      </c>
      <c r="EB517" s="408">
        <v>0</v>
      </c>
      <c r="EC517" s="408">
        <v>-1130.8984454875147</v>
      </c>
      <c r="ED517" s="408">
        <v>0</v>
      </c>
      <c r="EE517" s="408">
        <v>0</v>
      </c>
      <c r="EF517" s="408">
        <v>0</v>
      </c>
      <c r="EG517" s="408">
        <v>0</v>
      </c>
      <c r="EH517" s="408">
        <v>0</v>
      </c>
      <c r="EI517" s="408">
        <v>0</v>
      </c>
      <c r="EJ517" s="408">
        <v>0</v>
      </c>
      <c r="EK517" s="408">
        <v>0</v>
      </c>
      <c r="EL517" s="408">
        <v>0</v>
      </c>
      <c r="EM517" s="408">
        <v>0</v>
      </c>
      <c r="EN517" s="408">
        <v>0</v>
      </c>
      <c r="EO517" s="408">
        <v>0</v>
      </c>
      <c r="EP517" s="408">
        <v>0</v>
      </c>
      <c r="EQ517" s="408">
        <v>0</v>
      </c>
      <c r="ER517" s="408">
        <v>0</v>
      </c>
      <c r="ES517" s="408">
        <v>0</v>
      </c>
      <c r="ET517" s="408">
        <v>0</v>
      </c>
      <c r="EU517" s="408">
        <v>0</v>
      </c>
      <c r="EV517" s="408">
        <v>242</v>
      </c>
      <c r="EW517" s="408">
        <v>0</v>
      </c>
      <c r="EX517" s="408">
        <v>0</v>
      </c>
      <c r="EY517" s="408">
        <v>0</v>
      </c>
      <c r="EZ517" s="408"/>
      <c r="FA517" s="408">
        <v>0</v>
      </c>
      <c r="FB517" s="408"/>
      <c r="FC517" s="408"/>
      <c r="FD517" s="408"/>
      <c r="FE517" s="408"/>
      <c r="FF517" s="408">
        <v>0</v>
      </c>
      <c r="FG517" s="408">
        <v>0</v>
      </c>
      <c r="FH517" s="408">
        <v>0</v>
      </c>
      <c r="FI517" s="408">
        <v>0</v>
      </c>
    </row>
    <row r="518" spans="1:165">
      <c r="A518" s="408">
        <v>518</v>
      </c>
      <c r="B518" s="408" t="s">
        <v>2234</v>
      </c>
      <c r="C518" s="408" t="s">
        <v>2231</v>
      </c>
      <c r="D518" s="408" t="s">
        <v>1952</v>
      </c>
      <c r="E518" s="408" t="s">
        <v>969</v>
      </c>
      <c r="F518" s="408" t="s">
        <v>2238</v>
      </c>
      <c r="G518" s="408" t="s">
        <v>1322</v>
      </c>
      <c r="H518" s="408" t="s">
        <v>1322</v>
      </c>
      <c r="I518" s="408" t="s">
        <v>1322</v>
      </c>
      <c r="J518" s="408" t="s">
        <v>2232</v>
      </c>
      <c r="K518" s="828">
        <v>44682</v>
      </c>
      <c r="L518" s="408">
        <v>0</v>
      </c>
      <c r="M518" s="408">
        <v>0</v>
      </c>
      <c r="N518" s="408">
        <v>0</v>
      </c>
      <c r="O518" s="408">
        <v>0</v>
      </c>
      <c r="P518" s="408">
        <v>0</v>
      </c>
      <c r="Q518" s="408">
        <v>0</v>
      </c>
      <c r="R518" s="408"/>
      <c r="S518" s="408"/>
      <c r="T518" s="408"/>
      <c r="U518" s="408"/>
      <c r="V518" s="408"/>
      <c r="W518" s="408"/>
      <c r="X518" s="408"/>
      <c r="Y518" s="408"/>
      <c r="Z518" s="408"/>
      <c r="AA518" s="408">
        <v>0</v>
      </c>
      <c r="AB518" s="408"/>
      <c r="AC518" s="408"/>
      <c r="AD518" s="408"/>
      <c r="AE518" s="408"/>
      <c r="AF518" s="408"/>
      <c r="AG518" s="408"/>
      <c r="AH518" s="408"/>
      <c r="AI518" s="408"/>
      <c r="AJ518" s="408"/>
      <c r="AK518" s="408"/>
      <c r="AL518" s="408"/>
      <c r="AM518" s="408"/>
      <c r="AN518" s="408"/>
      <c r="AO518" s="408"/>
      <c r="AP518" s="408"/>
      <c r="AQ518" s="408"/>
      <c r="AR518" s="408"/>
      <c r="AS518" s="408"/>
      <c r="AT518" s="408"/>
      <c r="AU518" s="408"/>
      <c r="AV518" s="408"/>
      <c r="AW518" s="408"/>
      <c r="AX518" s="408"/>
      <c r="AY518" s="408"/>
      <c r="AZ518" s="408">
        <v>0</v>
      </c>
      <c r="BA518" s="408"/>
      <c r="BB518" s="408"/>
      <c r="BC518" s="408"/>
      <c r="BD518" s="408"/>
      <c r="BE518" s="408"/>
      <c r="BF518" s="408"/>
      <c r="BG518" s="408"/>
      <c r="BH518" s="408"/>
      <c r="BI518" s="408">
        <v>0</v>
      </c>
      <c r="BJ518" s="408">
        <v>0</v>
      </c>
      <c r="BK518" s="408">
        <v>0.65</v>
      </c>
      <c r="BL518" s="408">
        <v>1</v>
      </c>
      <c r="BM518" s="408"/>
      <c r="BN518" s="408"/>
      <c r="BO518" s="408"/>
      <c r="BP518" s="408"/>
      <c r="BQ518" s="408"/>
      <c r="BR518" s="408"/>
      <c r="BS518" s="408"/>
      <c r="BT518" s="408"/>
      <c r="BU518" s="408"/>
      <c r="BV518" s="408"/>
      <c r="BW518" s="408"/>
      <c r="BX518" s="408"/>
      <c r="BY518" s="408"/>
      <c r="BZ518" s="408"/>
      <c r="CA518" s="408"/>
      <c r="CB518" s="408"/>
      <c r="CC518" s="408"/>
      <c r="CD518" s="408"/>
      <c r="CE518" s="408"/>
      <c r="CF518" s="408"/>
      <c r="CG518" s="408"/>
      <c r="CH518" s="408"/>
      <c r="CI518" s="408"/>
      <c r="CJ518" s="408">
        <v>-0.03</v>
      </c>
      <c r="CK518" s="408"/>
      <c r="CL518" s="408"/>
      <c r="CM518" s="408"/>
      <c r="CN518" s="408"/>
      <c r="CO518" s="408">
        <v>0</v>
      </c>
      <c r="CP518" s="408">
        <v>0</v>
      </c>
      <c r="CQ518" s="408">
        <v>31</v>
      </c>
      <c r="CR518" s="408"/>
      <c r="CS518" s="408"/>
      <c r="CT518" s="408"/>
      <c r="CU518" s="408"/>
      <c r="CV518" s="408"/>
      <c r="CW518" s="408"/>
      <c r="CX518" s="408"/>
      <c r="CY518" s="408"/>
      <c r="CZ518" s="408"/>
      <c r="DA518" s="408"/>
      <c r="DB518" s="408"/>
      <c r="DC518" s="408"/>
      <c r="DD518" s="408"/>
      <c r="DE518" s="408"/>
      <c r="DF518" s="408"/>
      <c r="DG518" s="408"/>
      <c r="DH518" s="408"/>
      <c r="DI518" s="408"/>
      <c r="DJ518" s="408"/>
      <c r="DK518" s="408">
        <v>0</v>
      </c>
      <c r="DL518" s="408"/>
      <c r="DM518" s="408"/>
      <c r="DN518" s="408"/>
      <c r="DO518" s="408"/>
      <c r="DP518" s="408"/>
      <c r="DQ518" s="408"/>
      <c r="DR518" s="408"/>
      <c r="DS518" s="408"/>
      <c r="DT518" s="408"/>
      <c r="DU518" s="408"/>
      <c r="DV518" s="408"/>
      <c r="DW518" s="408"/>
      <c r="DX518" s="408"/>
      <c r="DY518" s="408"/>
      <c r="DZ518" s="234"/>
      <c r="EA518" s="408"/>
      <c r="EB518" s="408"/>
      <c r="EC518" s="408"/>
      <c r="ED518" s="408"/>
      <c r="EE518" s="408"/>
      <c r="EF518" s="408"/>
      <c r="EG518" s="408"/>
      <c r="EH518" s="408"/>
      <c r="EI518" s="408"/>
      <c r="EJ518" s="408"/>
      <c r="EK518" s="408"/>
      <c r="EL518" s="408"/>
      <c r="EM518" s="408"/>
      <c r="EN518" s="408"/>
      <c r="EO518" s="408"/>
      <c r="EP518" s="408"/>
      <c r="EQ518" s="408"/>
      <c r="ER518" s="408"/>
      <c r="ES518" s="408"/>
      <c r="ET518" s="408"/>
      <c r="EU518" s="408"/>
      <c r="EV518" s="408">
        <v>242</v>
      </c>
      <c r="EW518" s="408"/>
      <c r="EX518" s="408"/>
      <c r="EY518" s="408"/>
      <c r="EZ518" s="408"/>
      <c r="FA518" s="408">
        <v>0</v>
      </c>
      <c r="FB518" s="408"/>
      <c r="FC518" s="408"/>
      <c r="FD518" s="408"/>
      <c r="FE518" s="408"/>
      <c r="FF518" s="408">
        <v>0</v>
      </c>
      <c r="FG518" s="408">
        <v>0</v>
      </c>
      <c r="FH518" s="408">
        <v>0</v>
      </c>
      <c r="FI518" s="408">
        <v>0</v>
      </c>
    </row>
    <row r="519" spans="1:165">
      <c r="A519" s="408">
        <v>519</v>
      </c>
      <c r="B519" s="408" t="s">
        <v>1036</v>
      </c>
      <c r="C519" s="408" t="s">
        <v>2231</v>
      </c>
      <c r="D519" s="408" t="s">
        <v>1955</v>
      </c>
      <c r="E519" s="408" t="s">
        <v>970</v>
      </c>
      <c r="F519" s="408" t="s">
        <v>1322</v>
      </c>
      <c r="G519" s="408" t="s">
        <v>1322</v>
      </c>
      <c r="H519" s="408" t="s">
        <v>1322</v>
      </c>
      <c r="I519" s="408" t="s">
        <v>1322</v>
      </c>
      <c r="J519" s="408" t="s">
        <v>2232</v>
      </c>
      <c r="K519" s="828">
        <v>44682</v>
      </c>
      <c r="L519" s="408">
        <v>0</v>
      </c>
      <c r="M519" s="408">
        <v>0</v>
      </c>
      <c r="N519" s="408">
        <v>28.206</v>
      </c>
      <c r="O519" s="408">
        <v>28.206</v>
      </c>
      <c r="P519" s="408">
        <v>28.206</v>
      </c>
      <c r="Q519" s="408">
        <v>28.206</v>
      </c>
      <c r="R519" s="408"/>
      <c r="S519" s="408">
        <v>571.87</v>
      </c>
      <c r="T519" s="408">
        <v>216.76</v>
      </c>
      <c r="U519" s="408"/>
      <c r="V519" s="408">
        <v>22244.097779999996</v>
      </c>
      <c r="W519" s="408">
        <v>22244.097779999996</v>
      </c>
      <c r="X519" s="408">
        <v>14498.16606</v>
      </c>
      <c r="Y519" s="408">
        <v>0</v>
      </c>
      <c r="Z519" s="408">
        <v>1709.5830643441725</v>
      </c>
      <c r="AA519" s="408">
        <v>0</v>
      </c>
      <c r="AB519" s="408">
        <v>0</v>
      </c>
      <c r="AC519" s="408">
        <v>0</v>
      </c>
      <c r="AD519" s="408">
        <v>23.18289780832637</v>
      </c>
      <c r="AE519" s="408">
        <v>12026.577761801722</v>
      </c>
      <c r="AF519" s="408">
        <v>6024.8439322314771</v>
      </c>
      <c r="AG519" s="408">
        <v>89.057757996375273</v>
      </c>
      <c r="AH519" s="408">
        <v>0</v>
      </c>
      <c r="AI519" s="408">
        <v>0</v>
      </c>
      <c r="AJ519" s="408">
        <v>0</v>
      </c>
      <c r="AK519" s="408">
        <v>0</v>
      </c>
      <c r="AL519" s="408">
        <v>264.39271097361893</v>
      </c>
      <c r="AM519" s="408"/>
      <c r="AN519" s="408">
        <v>54.112352300911596</v>
      </c>
      <c r="AO519" s="408">
        <v>250.51716671119468</v>
      </c>
      <c r="AP519" s="408">
        <v>784.89132687274787</v>
      </c>
      <c r="AQ519" s="408">
        <v>0</v>
      </c>
      <c r="AR519" s="408">
        <v>0</v>
      </c>
      <c r="AS519" s="408">
        <v>0</v>
      </c>
      <c r="AT519" s="408">
        <v>0</v>
      </c>
      <c r="AU519" s="408">
        <v>0</v>
      </c>
      <c r="AV519" s="408">
        <v>0</v>
      </c>
      <c r="AW519" s="408">
        <v>0</v>
      </c>
      <c r="AX519" s="408">
        <v>0</v>
      </c>
      <c r="AY519" s="408">
        <v>0</v>
      </c>
      <c r="AZ519" s="408">
        <v>0</v>
      </c>
      <c r="BA519" s="408"/>
      <c r="BB519" s="408">
        <v>0</v>
      </c>
      <c r="BC519" s="408">
        <v>0</v>
      </c>
      <c r="BD519" s="408">
        <v>16.784533754786487</v>
      </c>
      <c r="BE519" s="408">
        <v>0</v>
      </c>
      <c r="BF519" s="408">
        <v>0</v>
      </c>
      <c r="BG519" s="408">
        <v>1000.1350459802766</v>
      </c>
      <c r="BH519" s="408">
        <v>0</v>
      </c>
      <c r="BI519" s="408">
        <v>46.18</v>
      </c>
      <c r="BJ519" s="408">
        <v>211.45</v>
      </c>
      <c r="BK519" s="408">
        <v>3295.59</v>
      </c>
      <c r="BL519" s="408">
        <v>27</v>
      </c>
      <c r="BM519" s="408"/>
      <c r="BN519" s="408"/>
      <c r="BO519" s="408"/>
      <c r="BP519" s="408"/>
      <c r="BQ519" s="408"/>
      <c r="BR519" s="408"/>
      <c r="BS519" s="408"/>
      <c r="BT519" s="408"/>
      <c r="BU519" s="408"/>
      <c r="BV519" s="408">
        <v>7041.763511966541</v>
      </c>
      <c r="BW519" s="408"/>
      <c r="BX519" s="408"/>
      <c r="BY519" s="408"/>
      <c r="BZ519" s="408"/>
      <c r="CA519" s="408"/>
      <c r="CB519" s="408"/>
      <c r="CC519" s="408"/>
      <c r="CD519" s="408"/>
      <c r="CE519" s="408"/>
      <c r="CF519" s="408"/>
      <c r="CG519" s="408"/>
      <c r="CH519" s="408"/>
      <c r="CI519" s="408">
        <v>14500.222100000001</v>
      </c>
      <c r="CJ519" s="408">
        <v>-7743.905679999998</v>
      </c>
      <c r="CK519" s="408"/>
      <c r="CL519" s="408"/>
      <c r="CM519" s="408"/>
      <c r="CN519" s="408"/>
      <c r="CO519" s="408">
        <v>-8666.2934999999998</v>
      </c>
      <c r="CP519" s="408">
        <v>920.36177999999984</v>
      </c>
      <c r="CQ519" s="408">
        <v>31</v>
      </c>
      <c r="CR519" s="408">
        <v>1090.1705267065154</v>
      </c>
      <c r="CS519" s="408">
        <v>25.841227578382899</v>
      </c>
      <c r="CT519" s="408">
        <v>80.962736679038926</v>
      </c>
      <c r="CU519" s="408">
        <v>0</v>
      </c>
      <c r="CV519" s="408">
        <v>0</v>
      </c>
      <c r="CW519" s="408">
        <v>0</v>
      </c>
      <c r="CX519" s="408">
        <v>0</v>
      </c>
      <c r="CY519" s="408">
        <v>0</v>
      </c>
      <c r="CZ519" s="408">
        <v>2.2667092109319533</v>
      </c>
      <c r="DA519" s="408">
        <v>0</v>
      </c>
      <c r="DB519" s="408">
        <v>0</v>
      </c>
      <c r="DC519" s="408">
        <v>920.48006252056894</v>
      </c>
      <c r="DD519" s="408">
        <v>0</v>
      </c>
      <c r="DE519" s="408">
        <v>0</v>
      </c>
      <c r="DF519" s="408">
        <v>2.5643533432180305</v>
      </c>
      <c r="DG519" s="408">
        <v>152.80136382088608</v>
      </c>
      <c r="DH519" s="408">
        <v>0</v>
      </c>
      <c r="DI519" s="408">
        <v>-81.679084473934836</v>
      </c>
      <c r="DJ519" s="408"/>
      <c r="DK519" s="408">
        <v>0</v>
      </c>
      <c r="DL519" s="408">
        <v>0</v>
      </c>
      <c r="DM519" s="408">
        <v>0</v>
      </c>
      <c r="DN519" s="408">
        <v>0</v>
      </c>
      <c r="DO519" s="408">
        <v>-10.713353694727061</v>
      </c>
      <c r="DP519" s="408">
        <v>-2.3534882778477169</v>
      </c>
      <c r="DQ519" s="408">
        <v>0</v>
      </c>
      <c r="DR519" s="408">
        <v>0</v>
      </c>
      <c r="DS519" s="408"/>
      <c r="DT519" s="408"/>
      <c r="DU519" s="408"/>
      <c r="DV519" s="408">
        <v>12026.577761801722</v>
      </c>
      <c r="DW519" s="408">
        <v>0</v>
      </c>
      <c r="DX519" s="408">
        <v>0</v>
      </c>
      <c r="DY519" s="408">
        <v>-8666.2934999999998</v>
      </c>
      <c r="DZ519" s="234">
        <v>920.36178000000018</v>
      </c>
      <c r="EA519" s="408">
        <v>0</v>
      </c>
      <c r="EB519" s="408">
        <v>0</v>
      </c>
      <c r="EC519" s="408">
        <v>-8836.0447516401218</v>
      </c>
      <c r="ED519" s="408">
        <v>0</v>
      </c>
      <c r="EE519" s="408">
        <v>0</v>
      </c>
      <c r="EF519" s="408">
        <v>0</v>
      </c>
      <c r="EG519" s="408">
        <v>0</v>
      </c>
      <c r="EH519" s="408">
        <v>0</v>
      </c>
      <c r="EI519" s="408">
        <v>0</v>
      </c>
      <c r="EJ519" s="408">
        <v>0</v>
      </c>
      <c r="EK519" s="408">
        <v>0</v>
      </c>
      <c r="EL519" s="408">
        <v>0</v>
      </c>
      <c r="EM519" s="408">
        <v>0</v>
      </c>
      <c r="EN519" s="408">
        <v>0</v>
      </c>
      <c r="EO519" s="408">
        <v>0</v>
      </c>
      <c r="EP519" s="408">
        <v>0</v>
      </c>
      <c r="EQ519" s="408">
        <v>0</v>
      </c>
      <c r="ER519" s="408">
        <v>0</v>
      </c>
      <c r="ES519" s="408">
        <v>0</v>
      </c>
      <c r="ET519" s="408">
        <v>0</v>
      </c>
      <c r="EU519" s="408">
        <v>0</v>
      </c>
      <c r="EV519" s="408">
        <v>242</v>
      </c>
      <c r="EW519" s="408">
        <v>0</v>
      </c>
      <c r="EX519" s="408">
        <v>0</v>
      </c>
      <c r="EY519" s="408">
        <v>0</v>
      </c>
      <c r="EZ519" s="408"/>
      <c r="FA519" s="408">
        <v>0</v>
      </c>
      <c r="FB519" s="408"/>
      <c r="FC519" s="408"/>
      <c r="FD519" s="408"/>
      <c r="FE519" s="408"/>
      <c r="FF519" s="408">
        <v>0</v>
      </c>
      <c r="FG519" s="408">
        <v>0</v>
      </c>
      <c r="FH519" s="408">
        <v>0</v>
      </c>
      <c r="FI519" s="408">
        <v>0</v>
      </c>
    </row>
    <row r="520" spans="1:165">
      <c r="A520" s="408">
        <v>520</v>
      </c>
      <c r="B520" s="408" t="s">
        <v>2234</v>
      </c>
      <c r="C520" s="408" t="s">
        <v>2231</v>
      </c>
      <c r="D520" s="408" t="s">
        <v>1955</v>
      </c>
      <c r="E520" s="408" t="s">
        <v>970</v>
      </c>
      <c r="F520" s="408" t="s">
        <v>1322</v>
      </c>
      <c r="G520" s="408" t="s">
        <v>1322</v>
      </c>
      <c r="H520" s="408" t="s">
        <v>1322</v>
      </c>
      <c r="I520" s="408" t="s">
        <v>1322</v>
      </c>
      <c r="J520" s="408" t="s">
        <v>2232</v>
      </c>
      <c r="K520" s="828">
        <v>44682</v>
      </c>
      <c r="L520" s="408">
        <v>0</v>
      </c>
      <c r="M520" s="408">
        <v>0</v>
      </c>
      <c r="N520" s="408">
        <v>2.895</v>
      </c>
      <c r="O520" s="408">
        <v>2.895</v>
      </c>
      <c r="P520" s="408">
        <v>2.895</v>
      </c>
      <c r="Q520" s="408">
        <v>2.895</v>
      </c>
      <c r="R520" s="408"/>
      <c r="S520" s="408">
        <v>571.87</v>
      </c>
      <c r="T520" s="408">
        <v>216.76</v>
      </c>
      <c r="U520" s="408"/>
      <c r="V520" s="408">
        <v>2283.08385</v>
      </c>
      <c r="W520" s="408">
        <v>2283.08385</v>
      </c>
      <c r="X520" s="408">
        <v>1488.0589500000001</v>
      </c>
      <c r="Y520" s="408">
        <v>0</v>
      </c>
      <c r="Z520" s="408">
        <v>175.46773634249377</v>
      </c>
      <c r="AA520" s="408">
        <v>0</v>
      </c>
      <c r="AB520" s="408">
        <v>0</v>
      </c>
      <c r="AC520" s="408">
        <v>0</v>
      </c>
      <c r="AD520" s="408">
        <v>2.379440160076042</v>
      </c>
      <c r="AE520" s="408">
        <v>1234.3807211379133</v>
      </c>
      <c r="AF520" s="408">
        <v>618.3763448844262</v>
      </c>
      <c r="AG520" s="408">
        <v>9.1406867120295825</v>
      </c>
      <c r="AH520" s="408">
        <v>0</v>
      </c>
      <c r="AI520" s="408">
        <v>0</v>
      </c>
      <c r="AJ520" s="408">
        <v>0</v>
      </c>
      <c r="AK520" s="408">
        <v>0</v>
      </c>
      <c r="AL520" s="408">
        <v>27.136669441559484</v>
      </c>
      <c r="AM520" s="408"/>
      <c r="AN520" s="408">
        <v>5.5539693650691015</v>
      </c>
      <c r="AO520" s="408">
        <v>25.712514983652721</v>
      </c>
      <c r="AP520" s="408">
        <v>80.559469307828309</v>
      </c>
      <c r="AQ520" s="408">
        <v>0</v>
      </c>
      <c r="AR520" s="408">
        <v>0</v>
      </c>
      <c r="AS520" s="408">
        <v>0</v>
      </c>
      <c r="AT520" s="408">
        <v>0</v>
      </c>
      <c r="AU520" s="408">
        <v>0</v>
      </c>
      <c r="AV520" s="408">
        <v>0</v>
      </c>
      <c r="AW520" s="408">
        <v>0</v>
      </c>
      <c r="AX520" s="408">
        <v>0</v>
      </c>
      <c r="AY520" s="408">
        <v>0</v>
      </c>
      <c r="AZ520" s="408">
        <v>0</v>
      </c>
      <c r="BA520" s="408"/>
      <c r="BB520" s="408">
        <v>0</v>
      </c>
      <c r="BC520" s="408">
        <v>0</v>
      </c>
      <c r="BD520" s="408">
        <v>1.722726555346624</v>
      </c>
      <c r="BE520" s="408">
        <v>0</v>
      </c>
      <c r="BF520" s="408">
        <v>0</v>
      </c>
      <c r="BG520" s="408">
        <v>102.65159746553573</v>
      </c>
      <c r="BH520" s="408">
        <v>0</v>
      </c>
      <c r="BI520" s="408">
        <v>4.3899999999999997</v>
      </c>
      <c r="BJ520" s="408">
        <v>20.18</v>
      </c>
      <c r="BK520" s="408">
        <v>1048.74</v>
      </c>
      <c r="BL520" s="408">
        <v>5</v>
      </c>
      <c r="BM520" s="408"/>
      <c r="BN520" s="408"/>
      <c r="BO520" s="408"/>
      <c r="BP520" s="408"/>
      <c r="BQ520" s="408"/>
      <c r="BR520" s="408"/>
      <c r="BS520" s="408"/>
      <c r="BT520" s="408"/>
      <c r="BU520" s="408"/>
      <c r="BV520" s="408">
        <v>722.75066890530854</v>
      </c>
      <c r="BW520" s="408"/>
      <c r="BX520" s="408"/>
      <c r="BY520" s="408"/>
      <c r="BZ520" s="408"/>
      <c r="CA520" s="408"/>
      <c r="CB520" s="408"/>
      <c r="CC520" s="408"/>
      <c r="CD520" s="408"/>
      <c r="CE520" s="408"/>
      <c r="CF520" s="408"/>
      <c r="CG520" s="408"/>
      <c r="CH520" s="408"/>
      <c r="CI520" s="408">
        <v>1490.6289999999999</v>
      </c>
      <c r="CJ520" s="408">
        <v>-792.48485000000028</v>
      </c>
      <c r="CK520" s="408"/>
      <c r="CL520" s="408"/>
      <c r="CM520" s="408"/>
      <c r="CN520" s="408"/>
      <c r="CO520" s="408">
        <v>-889.48874999999998</v>
      </c>
      <c r="CP520" s="408">
        <v>94.463849999999994</v>
      </c>
      <c r="CQ520" s="408">
        <v>31</v>
      </c>
      <c r="CR520" s="408">
        <v>111.89263542563185</v>
      </c>
      <c r="CS520" s="408">
        <v>2.6522851109486787</v>
      </c>
      <c r="CT520" s="408">
        <v>8.3098320458702943</v>
      </c>
      <c r="CU520" s="408">
        <v>0</v>
      </c>
      <c r="CV520" s="408">
        <v>0</v>
      </c>
      <c r="CW520" s="408">
        <v>0</v>
      </c>
      <c r="CX520" s="408">
        <v>0</v>
      </c>
      <c r="CY520" s="408">
        <v>0</v>
      </c>
      <c r="CZ520" s="408">
        <v>0.23264990305778932</v>
      </c>
      <c r="DA520" s="408">
        <v>0</v>
      </c>
      <c r="DB520" s="408">
        <v>0</v>
      </c>
      <c r="DC520" s="408">
        <v>94.475990250196674</v>
      </c>
      <c r="DD520" s="408">
        <v>0</v>
      </c>
      <c r="DE520" s="408">
        <v>0</v>
      </c>
      <c r="DF520" s="408">
        <v>0.26319942312331435</v>
      </c>
      <c r="DG520" s="408">
        <v>15.683186139880348</v>
      </c>
      <c r="DH520" s="408">
        <v>0</v>
      </c>
      <c r="DI520" s="408">
        <v>-8.3833563621938936</v>
      </c>
      <c r="DJ520" s="408"/>
      <c r="DK520" s="408">
        <v>0</v>
      </c>
      <c r="DL520" s="408">
        <v>0</v>
      </c>
      <c r="DM520" s="408">
        <v>0</v>
      </c>
      <c r="DN520" s="408">
        <v>0</v>
      </c>
      <c r="DO520" s="408">
        <v>-1.0995943751767285</v>
      </c>
      <c r="DP520" s="408">
        <v>-0.24155671007477686</v>
      </c>
      <c r="DQ520" s="408">
        <v>0</v>
      </c>
      <c r="DR520" s="408">
        <v>0</v>
      </c>
      <c r="DS520" s="408"/>
      <c r="DT520" s="408"/>
      <c r="DU520" s="408"/>
      <c r="DV520" s="408">
        <v>1234.3807211379133</v>
      </c>
      <c r="DW520" s="408">
        <v>0</v>
      </c>
      <c r="DX520" s="408">
        <v>0</v>
      </c>
      <c r="DY520" s="408">
        <v>-889.48874999999998</v>
      </c>
      <c r="DZ520" s="234">
        <v>94.463849999999979</v>
      </c>
      <c r="EA520" s="408">
        <v>0</v>
      </c>
      <c r="EB520" s="408">
        <v>0</v>
      </c>
      <c r="EC520" s="408">
        <v>-906.91163426214803</v>
      </c>
      <c r="ED520" s="408">
        <v>0</v>
      </c>
      <c r="EE520" s="408">
        <v>0</v>
      </c>
      <c r="EF520" s="408">
        <v>0</v>
      </c>
      <c r="EG520" s="408">
        <v>0</v>
      </c>
      <c r="EH520" s="408">
        <v>0</v>
      </c>
      <c r="EI520" s="408">
        <v>0</v>
      </c>
      <c r="EJ520" s="408">
        <v>0</v>
      </c>
      <c r="EK520" s="408">
        <v>0</v>
      </c>
      <c r="EL520" s="408">
        <v>0</v>
      </c>
      <c r="EM520" s="408">
        <v>0</v>
      </c>
      <c r="EN520" s="408">
        <v>0</v>
      </c>
      <c r="EO520" s="408">
        <v>0</v>
      </c>
      <c r="EP520" s="408">
        <v>0</v>
      </c>
      <c r="EQ520" s="408">
        <v>0</v>
      </c>
      <c r="ER520" s="408">
        <v>0</v>
      </c>
      <c r="ES520" s="408">
        <v>0</v>
      </c>
      <c r="ET520" s="408">
        <v>0</v>
      </c>
      <c r="EU520" s="408">
        <v>0</v>
      </c>
      <c r="EV520" s="408">
        <v>242</v>
      </c>
      <c r="EW520" s="408">
        <v>0</v>
      </c>
      <c r="EX520" s="408">
        <v>0</v>
      </c>
      <c r="EY520" s="408">
        <v>0</v>
      </c>
      <c r="EZ520" s="408"/>
      <c r="FA520" s="408">
        <v>0</v>
      </c>
      <c r="FB520" s="408"/>
      <c r="FC520" s="408"/>
      <c r="FD520" s="408"/>
      <c r="FE520" s="408"/>
      <c r="FF520" s="408">
        <v>0</v>
      </c>
      <c r="FG520" s="408">
        <v>0</v>
      </c>
      <c r="FH520" s="408">
        <v>0</v>
      </c>
      <c r="FI520" s="408">
        <v>0</v>
      </c>
    </row>
    <row r="521" spans="1:165">
      <c r="A521" s="408">
        <v>521</v>
      </c>
      <c r="B521" s="408" t="s">
        <v>1036</v>
      </c>
      <c r="C521" s="408" t="s">
        <v>2239</v>
      </c>
      <c r="D521" s="408" t="s">
        <v>597</v>
      </c>
      <c r="E521" s="408" t="s">
        <v>970</v>
      </c>
      <c r="F521" s="408" t="s">
        <v>1322</v>
      </c>
      <c r="G521" s="408" t="s">
        <v>1322</v>
      </c>
      <c r="H521" s="408" t="s">
        <v>1322</v>
      </c>
      <c r="I521" s="408" t="s">
        <v>973</v>
      </c>
      <c r="J521" s="408" t="s">
        <v>2232</v>
      </c>
      <c r="K521" s="828">
        <v>44682</v>
      </c>
      <c r="L521" s="408">
        <v>0</v>
      </c>
      <c r="M521" s="408">
        <v>0</v>
      </c>
      <c r="N521" s="408">
        <v>0.68100000000000005</v>
      </c>
      <c r="O521" s="408">
        <v>0.68100000000000005</v>
      </c>
      <c r="P521" s="408">
        <v>0.68100000000000005</v>
      </c>
      <c r="Q521" s="408">
        <v>0.68100000000000005</v>
      </c>
      <c r="R521" s="408"/>
      <c r="S521" s="408">
        <v>2592.54</v>
      </c>
      <c r="T521" s="408">
        <v>216.76</v>
      </c>
      <c r="U521" s="408"/>
      <c r="V521" s="408">
        <v>1913.1333000000002</v>
      </c>
      <c r="W521" s="408">
        <v>1913.1333000000002</v>
      </c>
      <c r="X521" s="408">
        <v>804.39720000000011</v>
      </c>
      <c r="Y521" s="408">
        <v>0</v>
      </c>
      <c r="Z521" s="408">
        <v>35.909972280081973</v>
      </c>
      <c r="AA521" s="408">
        <v>0</v>
      </c>
      <c r="AB521" s="408">
        <v>0</v>
      </c>
      <c r="AC521" s="408">
        <v>0</v>
      </c>
      <c r="AD521" s="408">
        <v>3.4435685760124302</v>
      </c>
      <c r="AE521" s="408">
        <v>1560.0971145058181</v>
      </c>
      <c r="AF521" s="408">
        <v>145.46262206089614</v>
      </c>
      <c r="AG521" s="408">
        <v>2.1501926255240575</v>
      </c>
      <c r="AH521" s="408">
        <v>0</v>
      </c>
      <c r="AI521" s="408">
        <v>0</v>
      </c>
      <c r="AJ521" s="408">
        <v>0</v>
      </c>
      <c r="AK521" s="408">
        <v>0</v>
      </c>
      <c r="AL521" s="408">
        <v>6.3834445214860134</v>
      </c>
      <c r="AM521" s="408"/>
      <c r="AN521" s="408">
        <v>0.93516431581748749</v>
      </c>
      <c r="AO521" s="408">
        <v>30.723227519307006</v>
      </c>
      <c r="AP521" s="408">
        <v>116.58770988129326</v>
      </c>
      <c r="AQ521" s="408">
        <v>0</v>
      </c>
      <c r="AR521" s="408">
        <v>0</v>
      </c>
      <c r="AS521" s="408">
        <v>0</v>
      </c>
      <c r="AT521" s="408">
        <v>0</v>
      </c>
      <c r="AU521" s="408">
        <v>0</v>
      </c>
      <c r="AV521" s="408">
        <v>0</v>
      </c>
      <c r="AW521" s="408">
        <v>0</v>
      </c>
      <c r="AX521" s="408">
        <v>0</v>
      </c>
      <c r="AY521" s="408">
        <v>0</v>
      </c>
      <c r="AZ521" s="408">
        <v>0</v>
      </c>
      <c r="BA521" s="408"/>
      <c r="BB521" s="408">
        <v>0</v>
      </c>
      <c r="BC521" s="408">
        <v>0</v>
      </c>
      <c r="BD521" s="408">
        <v>0.31142041364782508</v>
      </c>
      <c r="BE521" s="408">
        <v>0</v>
      </c>
      <c r="BF521" s="408">
        <v>0</v>
      </c>
      <c r="BG521" s="408">
        <v>11.124922799224455</v>
      </c>
      <c r="BH521" s="408">
        <v>0</v>
      </c>
      <c r="BI521" s="408">
        <v>0</v>
      </c>
      <c r="BJ521" s="408">
        <v>0</v>
      </c>
      <c r="BK521" s="408">
        <v>0</v>
      </c>
      <c r="BL521" s="408">
        <v>0</v>
      </c>
      <c r="BM521" s="408"/>
      <c r="BN521" s="408"/>
      <c r="BO521" s="408"/>
      <c r="BP521" s="408"/>
      <c r="BQ521" s="408"/>
      <c r="BR521" s="408"/>
      <c r="BS521" s="408"/>
      <c r="BT521" s="408"/>
      <c r="BU521" s="408"/>
      <c r="BV521" s="408">
        <v>156.89896527376843</v>
      </c>
      <c r="BW521" s="408"/>
      <c r="BX521" s="408"/>
      <c r="BY521" s="408"/>
      <c r="BZ521" s="408"/>
      <c r="CA521" s="408"/>
      <c r="CB521" s="408"/>
      <c r="CC521" s="408"/>
      <c r="CD521" s="408"/>
      <c r="CE521" s="408"/>
      <c r="CF521" s="408"/>
      <c r="CG521" s="408"/>
      <c r="CH521" s="408"/>
      <c r="CI521" s="408">
        <v>803.21600000000001</v>
      </c>
      <c r="CJ521" s="408">
        <v>-1109.9473000000003</v>
      </c>
      <c r="CK521" s="408"/>
      <c r="CL521" s="408"/>
      <c r="CM521" s="408"/>
      <c r="CN521" s="408"/>
      <c r="CO521" s="408">
        <v>-1130.95713</v>
      </c>
      <c r="CP521" s="408">
        <v>22.221029999999999</v>
      </c>
      <c r="CQ521" s="408">
        <v>31</v>
      </c>
      <c r="CR521" s="408">
        <v>37.488169931118023</v>
      </c>
      <c r="CS521" s="408">
        <v>3.1691477462065869</v>
      </c>
      <c r="CT521" s="408">
        <v>12.026199974383573</v>
      </c>
      <c r="CU521" s="408">
        <v>0</v>
      </c>
      <c r="CV521" s="408">
        <v>0</v>
      </c>
      <c r="CW521" s="408">
        <v>0</v>
      </c>
      <c r="CX521" s="408">
        <v>0</v>
      </c>
      <c r="CY521" s="408">
        <v>0</v>
      </c>
      <c r="CZ521" s="408">
        <v>0.33669512216543529</v>
      </c>
      <c r="DA521" s="408">
        <v>0</v>
      </c>
      <c r="DB521" s="408">
        <v>0</v>
      </c>
      <c r="DC521" s="408">
        <v>22.223885789424486</v>
      </c>
      <c r="DD521" s="408">
        <v>0</v>
      </c>
      <c r="DE521" s="408">
        <v>0</v>
      </c>
      <c r="DF521" s="408">
        <v>4.7579038569147691E-2</v>
      </c>
      <c r="DG521" s="408">
        <v>1.6996738420034259</v>
      </c>
      <c r="DH521" s="408">
        <v>0</v>
      </c>
      <c r="DI521" s="408">
        <v>-1.7156777699167236</v>
      </c>
      <c r="DJ521" s="408"/>
      <c r="DK521" s="408">
        <v>0</v>
      </c>
      <c r="DL521" s="408">
        <v>0</v>
      </c>
      <c r="DM521" s="408">
        <v>0</v>
      </c>
      <c r="DN521" s="408">
        <v>0</v>
      </c>
      <c r="DO521" s="408">
        <v>-0.25866106027473279</v>
      </c>
      <c r="DP521" s="408">
        <v>-4.0672751443127875E-2</v>
      </c>
      <c r="DQ521" s="408">
        <v>0</v>
      </c>
      <c r="DR521" s="408">
        <v>0</v>
      </c>
      <c r="DS521" s="408"/>
      <c r="DT521" s="408"/>
      <c r="DU521" s="408"/>
      <c r="DV521" s="408">
        <v>1560.0971145058181</v>
      </c>
      <c r="DW521" s="408">
        <v>0</v>
      </c>
      <c r="DX521" s="408">
        <v>0</v>
      </c>
      <c r="DY521" s="408">
        <v>-1130.9571300000002</v>
      </c>
      <c r="DZ521" s="234">
        <v>22.221029999999985</v>
      </c>
      <c r="EA521" s="408">
        <v>0</v>
      </c>
      <c r="EB521" s="408">
        <v>0</v>
      </c>
      <c r="EC521" s="408">
        <v>-1146.2186661663316</v>
      </c>
      <c r="ED521" s="408">
        <v>0</v>
      </c>
      <c r="EE521" s="408">
        <v>0</v>
      </c>
      <c r="EF521" s="408">
        <v>0</v>
      </c>
      <c r="EG521" s="408">
        <v>0</v>
      </c>
      <c r="EH521" s="408">
        <v>0</v>
      </c>
      <c r="EI521" s="408">
        <v>0</v>
      </c>
      <c r="EJ521" s="408">
        <v>0</v>
      </c>
      <c r="EK521" s="408">
        <v>0</v>
      </c>
      <c r="EL521" s="408">
        <v>0</v>
      </c>
      <c r="EM521" s="408">
        <v>0</v>
      </c>
      <c r="EN521" s="408">
        <v>0</v>
      </c>
      <c r="EO521" s="408">
        <v>0</v>
      </c>
      <c r="EP521" s="408">
        <v>0</v>
      </c>
      <c r="EQ521" s="408">
        <v>0</v>
      </c>
      <c r="ER521" s="408">
        <v>0</v>
      </c>
      <c r="ES521" s="408">
        <v>0</v>
      </c>
      <c r="ET521" s="408">
        <v>0</v>
      </c>
      <c r="EU521" s="408">
        <v>0</v>
      </c>
      <c r="EV521" s="408">
        <v>242</v>
      </c>
      <c r="EW521" s="408">
        <v>0</v>
      </c>
      <c r="EX521" s="408">
        <v>0</v>
      </c>
      <c r="EY521" s="408">
        <v>0</v>
      </c>
      <c r="EZ521" s="408"/>
      <c r="FA521" s="408">
        <v>0</v>
      </c>
      <c r="FB521" s="408"/>
      <c r="FC521" s="408"/>
      <c r="FD521" s="408"/>
      <c r="FE521" s="408"/>
      <c r="FF521" s="408">
        <v>0</v>
      </c>
      <c r="FG521" s="408">
        <v>0</v>
      </c>
      <c r="FH521" s="408">
        <v>0</v>
      </c>
      <c r="FI521" s="408">
        <v>0</v>
      </c>
    </row>
    <row r="522" spans="1:165">
      <c r="A522" s="408">
        <v>522</v>
      </c>
      <c r="B522" s="408" t="s">
        <v>1036</v>
      </c>
      <c r="C522" s="408" t="s">
        <v>2239</v>
      </c>
      <c r="D522" s="408" t="s">
        <v>597</v>
      </c>
      <c r="E522" s="408" t="s">
        <v>970</v>
      </c>
      <c r="F522" s="408" t="s">
        <v>1322</v>
      </c>
      <c r="G522" s="408" t="s">
        <v>1322</v>
      </c>
      <c r="H522" s="408" t="s">
        <v>1322</v>
      </c>
      <c r="I522" s="408" t="s">
        <v>2240</v>
      </c>
      <c r="J522" s="408" t="s">
        <v>2232</v>
      </c>
      <c r="K522" s="828">
        <v>44682</v>
      </c>
      <c r="L522" s="408">
        <v>0</v>
      </c>
      <c r="M522" s="408">
        <v>0</v>
      </c>
      <c r="N522" s="408">
        <v>33.436</v>
      </c>
      <c r="O522" s="408">
        <v>33.436</v>
      </c>
      <c r="P522" s="408">
        <v>33.436</v>
      </c>
      <c r="Q522" s="408">
        <v>33.436</v>
      </c>
      <c r="R522" s="408"/>
      <c r="S522" s="408">
        <v>80.27</v>
      </c>
      <c r="T522" s="408">
        <v>216.76</v>
      </c>
      <c r="U522" s="408"/>
      <c r="V522" s="408">
        <v>9931.4950799999988</v>
      </c>
      <c r="W522" s="408">
        <v>9931.4950799999988</v>
      </c>
      <c r="X522" s="408">
        <v>11009.47172</v>
      </c>
      <c r="Y522" s="408">
        <v>0</v>
      </c>
      <c r="Z522" s="408">
        <v>1763.1216345915136</v>
      </c>
      <c r="AA522" s="408">
        <v>0</v>
      </c>
      <c r="AB522" s="408">
        <v>0</v>
      </c>
      <c r="AC522" s="408">
        <v>0</v>
      </c>
      <c r="AD522" s="408">
        <v>0</v>
      </c>
      <c r="AE522" s="408">
        <v>0</v>
      </c>
      <c r="AF522" s="408">
        <v>7141.979781539093</v>
      </c>
      <c r="AG522" s="408">
        <v>105.57098476802111</v>
      </c>
      <c r="AH522" s="408">
        <v>0</v>
      </c>
      <c r="AI522" s="408">
        <v>0</v>
      </c>
      <c r="AJ522" s="408">
        <v>0</v>
      </c>
      <c r="AK522" s="408">
        <v>0</v>
      </c>
      <c r="AL522" s="408">
        <v>313.41681500793879</v>
      </c>
      <c r="AM522" s="408"/>
      <c r="AN522" s="408">
        <v>45.915057362222477</v>
      </c>
      <c r="AO522" s="408">
        <v>0</v>
      </c>
      <c r="AP522" s="408">
        <v>0</v>
      </c>
      <c r="AQ522" s="408">
        <v>0</v>
      </c>
      <c r="AR522" s="408">
        <v>0</v>
      </c>
      <c r="AS522" s="408">
        <v>0</v>
      </c>
      <c r="AT522" s="408">
        <v>0</v>
      </c>
      <c r="AU522" s="408">
        <v>0</v>
      </c>
      <c r="AV522" s="408">
        <v>0</v>
      </c>
      <c r="AW522" s="408">
        <v>0</v>
      </c>
      <c r="AX522" s="408">
        <v>0</v>
      </c>
      <c r="AY522" s="408">
        <v>0</v>
      </c>
      <c r="AZ522" s="408">
        <v>0</v>
      </c>
      <c r="BA522" s="408"/>
      <c r="BB522" s="408">
        <v>0</v>
      </c>
      <c r="BC522" s="408">
        <v>0</v>
      </c>
      <c r="BD522" s="408">
        <v>15.290239281539909</v>
      </c>
      <c r="BE522" s="408">
        <v>0</v>
      </c>
      <c r="BF522" s="408">
        <v>0</v>
      </c>
      <c r="BG522" s="408">
        <v>546.21573966941094</v>
      </c>
      <c r="BH522" s="408">
        <v>0</v>
      </c>
      <c r="BI522" s="408">
        <v>0</v>
      </c>
      <c r="BJ522" s="408">
        <v>0</v>
      </c>
      <c r="BK522" s="408">
        <v>0</v>
      </c>
      <c r="BL522" s="408">
        <v>0</v>
      </c>
      <c r="BM522" s="408"/>
      <c r="BN522" s="408"/>
      <c r="BO522" s="408"/>
      <c r="BP522" s="408"/>
      <c r="BQ522" s="408"/>
      <c r="BR522" s="408"/>
      <c r="BS522" s="408"/>
      <c r="BT522" s="408"/>
      <c r="BU522" s="408"/>
      <c r="BV522" s="408">
        <v>7703.4857604900435</v>
      </c>
      <c r="BW522" s="408"/>
      <c r="BX522" s="408"/>
      <c r="BY522" s="408"/>
      <c r="BZ522" s="408"/>
      <c r="CA522" s="408"/>
      <c r="CB522" s="408"/>
      <c r="CC522" s="408"/>
      <c r="CD522" s="408"/>
      <c r="CE522" s="408"/>
      <c r="CF522" s="408"/>
      <c r="CG522" s="408"/>
      <c r="CH522" s="408"/>
      <c r="CI522" s="408">
        <v>11010.788799999998</v>
      </c>
      <c r="CJ522" s="408">
        <v>1079.263719999999</v>
      </c>
      <c r="CK522" s="408"/>
      <c r="CL522" s="408"/>
      <c r="CM522" s="408"/>
      <c r="CN522" s="408"/>
      <c r="CO522" s="408">
        <v>-13.040040000000019</v>
      </c>
      <c r="CP522" s="408">
        <v>1091.01668</v>
      </c>
      <c r="CQ522" s="408">
        <v>31</v>
      </c>
      <c r="CR522" s="408">
        <v>1078.0103749287646</v>
      </c>
      <c r="CS522" s="408">
        <v>0</v>
      </c>
      <c r="CT522" s="408">
        <v>0</v>
      </c>
      <c r="CU522" s="408">
        <v>0</v>
      </c>
      <c r="CV522" s="408">
        <v>0</v>
      </c>
      <c r="CW522" s="408">
        <v>0</v>
      </c>
      <c r="CX522" s="408">
        <v>0</v>
      </c>
      <c r="CY522" s="408">
        <v>0</v>
      </c>
      <c r="CZ522" s="408">
        <v>0</v>
      </c>
      <c r="DA522" s="408">
        <v>0</v>
      </c>
      <c r="DB522" s="408">
        <v>0</v>
      </c>
      <c r="DC522" s="408">
        <v>1091.1568946478683</v>
      </c>
      <c r="DD522" s="408">
        <v>0</v>
      </c>
      <c r="DE522" s="408">
        <v>0</v>
      </c>
      <c r="DF522" s="408">
        <v>2.3360539406725724</v>
      </c>
      <c r="DG522" s="408">
        <v>83.451240207381147</v>
      </c>
      <c r="DH522" s="408">
        <v>0</v>
      </c>
      <c r="DI522" s="408">
        <v>-84.237007217232758</v>
      </c>
      <c r="DJ522" s="408"/>
      <c r="DK522" s="408">
        <v>0</v>
      </c>
      <c r="DL522" s="408">
        <v>0</v>
      </c>
      <c r="DM522" s="408">
        <v>0</v>
      </c>
      <c r="DN522" s="408">
        <v>0</v>
      </c>
      <c r="DO522" s="408">
        <v>-12.699840251609317</v>
      </c>
      <c r="DP522" s="408">
        <v>-1.9969663983148607</v>
      </c>
      <c r="DQ522" s="408">
        <v>0</v>
      </c>
      <c r="DR522" s="408">
        <v>0</v>
      </c>
      <c r="DS522" s="408"/>
      <c r="DT522" s="408"/>
      <c r="DU522" s="408"/>
      <c r="DV522" s="408">
        <v>0</v>
      </c>
      <c r="DW522" s="408">
        <v>0</v>
      </c>
      <c r="DX522" s="408">
        <v>0</v>
      </c>
      <c r="DY522" s="408">
        <v>-13.040039999999863</v>
      </c>
      <c r="DZ522" s="234">
        <v>1091.0166800000006</v>
      </c>
      <c r="EA522" s="408">
        <v>0</v>
      </c>
      <c r="EB522" s="408">
        <v>0</v>
      </c>
      <c r="EC522" s="408">
        <v>0</v>
      </c>
      <c r="ED522" s="408">
        <v>0</v>
      </c>
      <c r="EE522" s="408">
        <v>0</v>
      </c>
      <c r="EF522" s="408">
        <v>0</v>
      </c>
      <c r="EG522" s="408">
        <v>0</v>
      </c>
      <c r="EH522" s="408">
        <v>0</v>
      </c>
      <c r="EI522" s="408">
        <v>0</v>
      </c>
      <c r="EJ522" s="408">
        <v>0</v>
      </c>
      <c r="EK522" s="408">
        <v>0</v>
      </c>
      <c r="EL522" s="408">
        <v>0</v>
      </c>
      <c r="EM522" s="408">
        <v>0</v>
      </c>
      <c r="EN522" s="408">
        <v>0</v>
      </c>
      <c r="EO522" s="408">
        <v>0</v>
      </c>
      <c r="EP522" s="408">
        <v>0</v>
      </c>
      <c r="EQ522" s="408">
        <v>0</v>
      </c>
      <c r="ER522" s="408">
        <v>0</v>
      </c>
      <c r="ES522" s="408">
        <v>0</v>
      </c>
      <c r="ET522" s="408">
        <v>0</v>
      </c>
      <c r="EU522" s="408">
        <v>0</v>
      </c>
      <c r="EV522" s="408">
        <v>242</v>
      </c>
      <c r="EW522" s="408">
        <v>0</v>
      </c>
      <c r="EX522" s="408">
        <v>0</v>
      </c>
      <c r="EY522" s="408">
        <v>0</v>
      </c>
      <c r="EZ522" s="408"/>
      <c r="FA522" s="408">
        <v>0</v>
      </c>
      <c r="FB522" s="408"/>
      <c r="FC522" s="408"/>
      <c r="FD522" s="408"/>
      <c r="FE522" s="408"/>
      <c r="FF522" s="408">
        <v>0</v>
      </c>
      <c r="FG522" s="408">
        <v>0</v>
      </c>
      <c r="FH522" s="408">
        <v>0</v>
      </c>
      <c r="FI522" s="408">
        <v>0</v>
      </c>
    </row>
    <row r="523" spans="1:165">
      <c r="A523" s="408">
        <v>523</v>
      </c>
      <c r="B523" s="408" t="s">
        <v>1036</v>
      </c>
      <c r="C523" s="408" t="s">
        <v>2239</v>
      </c>
      <c r="D523" s="408" t="s">
        <v>597</v>
      </c>
      <c r="E523" s="408" t="s">
        <v>970</v>
      </c>
      <c r="F523" s="408" t="s">
        <v>1322</v>
      </c>
      <c r="G523" s="408" t="s">
        <v>1322</v>
      </c>
      <c r="H523" s="408" t="s">
        <v>1322</v>
      </c>
      <c r="I523" s="408" t="s">
        <v>1322</v>
      </c>
      <c r="J523" s="408" t="s">
        <v>2232</v>
      </c>
      <c r="K523" s="828">
        <v>44682</v>
      </c>
      <c r="L523" s="408">
        <v>705</v>
      </c>
      <c r="M523" s="408">
        <v>705</v>
      </c>
      <c r="N523" s="408">
        <v>0</v>
      </c>
      <c r="O523" s="408">
        <v>0</v>
      </c>
      <c r="P523" s="408">
        <v>0</v>
      </c>
      <c r="Q523" s="408">
        <v>0</v>
      </c>
      <c r="R523" s="408">
        <v>32.17</v>
      </c>
      <c r="S523" s="408"/>
      <c r="T523" s="408"/>
      <c r="U523" s="408">
        <v>22679.850000000002</v>
      </c>
      <c r="V523" s="408"/>
      <c r="W523" s="408">
        <v>22679.850000000002</v>
      </c>
      <c r="X523" s="408">
        <v>9115.65</v>
      </c>
      <c r="Y523" s="408">
        <v>0</v>
      </c>
      <c r="Z523" s="408">
        <v>0</v>
      </c>
      <c r="AA523" s="408">
        <v>0</v>
      </c>
      <c r="AB523" s="408">
        <v>0</v>
      </c>
      <c r="AC523" s="408">
        <v>0</v>
      </c>
      <c r="AD523" s="408">
        <v>70.440938717549159</v>
      </c>
      <c r="AE523" s="408">
        <v>18983.348477087566</v>
      </c>
      <c r="AF523" s="408"/>
      <c r="AG523" s="408"/>
      <c r="AH523" s="408"/>
      <c r="AI523" s="408">
        <v>0</v>
      </c>
      <c r="AJ523" s="408">
        <v>0</v>
      </c>
      <c r="AK523" s="408">
        <v>0</v>
      </c>
      <c r="AL523" s="408">
        <v>0</v>
      </c>
      <c r="AM523" s="408"/>
      <c r="AN523" s="408">
        <v>0</v>
      </c>
      <c r="AO523" s="408">
        <v>1243.9168800216796</v>
      </c>
      <c r="AP523" s="408">
        <v>2384.9199416392044</v>
      </c>
      <c r="AQ523" s="408">
        <v>0</v>
      </c>
      <c r="AR523" s="408">
        <v>0</v>
      </c>
      <c r="AS523" s="408"/>
      <c r="AT523" s="408"/>
      <c r="AU523" s="408">
        <v>0</v>
      </c>
      <c r="AV523" s="408">
        <v>0</v>
      </c>
      <c r="AW523" s="408">
        <v>0</v>
      </c>
      <c r="AX523" s="408"/>
      <c r="AY523" s="408"/>
      <c r="AZ523" s="408">
        <v>0</v>
      </c>
      <c r="BA523" s="408"/>
      <c r="BB523" s="408">
        <v>0</v>
      </c>
      <c r="BC523" s="408">
        <v>0</v>
      </c>
      <c r="BD523" s="408">
        <v>0</v>
      </c>
      <c r="BE523" s="408">
        <v>0</v>
      </c>
      <c r="BF523" s="408"/>
      <c r="BG523" s="408">
        <v>0</v>
      </c>
      <c r="BH523" s="408">
        <v>0</v>
      </c>
      <c r="BI523" s="408">
        <v>59.69</v>
      </c>
      <c r="BJ523" s="408">
        <v>272.25</v>
      </c>
      <c r="BK523" s="408">
        <v>3086.24</v>
      </c>
      <c r="BL523" s="408">
        <v>5</v>
      </c>
      <c r="BM523" s="408"/>
      <c r="BN523" s="408"/>
      <c r="BO523" s="408"/>
      <c r="BP523" s="408"/>
      <c r="BQ523" s="408"/>
      <c r="BR523" s="408"/>
      <c r="BS523" s="408"/>
      <c r="BT523" s="408"/>
      <c r="BU523" s="408"/>
      <c r="BV523" s="408">
        <v>0</v>
      </c>
      <c r="BW523" s="408"/>
      <c r="BX523" s="408"/>
      <c r="BY523" s="408"/>
      <c r="BZ523" s="408"/>
      <c r="CA523" s="408"/>
      <c r="CB523" s="408"/>
      <c r="CC523" s="408"/>
      <c r="CD523" s="408"/>
      <c r="CE523" s="408"/>
      <c r="CF523" s="408"/>
      <c r="CG523" s="408"/>
      <c r="CH523" s="408"/>
      <c r="CI523" s="408">
        <v>9115.65</v>
      </c>
      <c r="CJ523" s="408">
        <v>-13564.229999999998</v>
      </c>
      <c r="CK523" s="408"/>
      <c r="CL523" s="408"/>
      <c r="CM523" s="408"/>
      <c r="CN523" s="408"/>
      <c r="CO523" s="408">
        <v>-13564.2</v>
      </c>
      <c r="CP523" s="408">
        <v>0</v>
      </c>
      <c r="CQ523" s="408">
        <v>31</v>
      </c>
      <c r="CR523" s="408">
        <v>381.20741610773166</v>
      </c>
      <c r="CS523" s="408">
        <v>128.31192212184874</v>
      </c>
      <c r="CT523" s="408">
        <v>246.00812701658151</v>
      </c>
      <c r="CU523" s="408">
        <v>0</v>
      </c>
      <c r="CV523" s="408">
        <v>0</v>
      </c>
      <c r="CW523" s="408"/>
      <c r="CX523" s="408"/>
      <c r="CY523" s="408"/>
      <c r="CZ523" s="408">
        <v>6.8873669693018797</v>
      </c>
      <c r="DA523" s="408">
        <v>0</v>
      </c>
      <c r="DB523" s="408">
        <v>0</v>
      </c>
      <c r="DC523" s="408"/>
      <c r="DD523" s="408"/>
      <c r="DE523" s="408">
        <v>0</v>
      </c>
      <c r="DF523" s="408">
        <v>0</v>
      </c>
      <c r="DG523" s="408">
        <v>0</v>
      </c>
      <c r="DH523" s="408">
        <v>0</v>
      </c>
      <c r="DI523" s="408">
        <v>0</v>
      </c>
      <c r="DJ523" s="408"/>
      <c r="DK523" s="408">
        <v>0</v>
      </c>
      <c r="DL523" s="408">
        <v>0</v>
      </c>
      <c r="DM523" s="408"/>
      <c r="DN523" s="408">
        <v>0</v>
      </c>
      <c r="DO523" s="408">
        <v>0</v>
      </c>
      <c r="DP523" s="408">
        <v>0</v>
      </c>
      <c r="DQ523" s="408">
        <v>0</v>
      </c>
      <c r="DR523" s="408">
        <v>0</v>
      </c>
      <c r="DS523" s="408"/>
      <c r="DT523" s="408"/>
      <c r="DU523" s="408">
        <v>18983.348477087566</v>
      </c>
      <c r="DV523" s="408"/>
      <c r="DW523" s="408">
        <v>0</v>
      </c>
      <c r="DX523" s="408">
        <v>0</v>
      </c>
      <c r="DY523" s="408">
        <v>-13564.200000000003</v>
      </c>
      <c r="DZ523" s="234"/>
      <c r="EA523" s="408">
        <v>0</v>
      </c>
      <c r="EB523" s="408"/>
      <c r="EC523" s="408">
        <v>-13947.252493746471</v>
      </c>
      <c r="ED523" s="408"/>
      <c r="EE523" s="408">
        <v>0</v>
      </c>
      <c r="EF523" s="408">
        <v>0</v>
      </c>
      <c r="EG523" s="408"/>
      <c r="EH523" s="408">
        <v>0</v>
      </c>
      <c r="EI523" s="408">
        <v>0</v>
      </c>
      <c r="EJ523" s="408">
        <v>0</v>
      </c>
      <c r="EK523" s="408">
        <v>0</v>
      </c>
      <c r="EL523" s="408">
        <v>0</v>
      </c>
      <c r="EM523" s="408"/>
      <c r="EN523" s="408"/>
      <c r="EO523" s="408">
        <v>0</v>
      </c>
      <c r="EP523" s="408">
        <v>0</v>
      </c>
      <c r="EQ523" s="408"/>
      <c r="ER523" s="408">
        <v>0</v>
      </c>
      <c r="ES523" s="408"/>
      <c r="ET523" s="408">
        <v>0</v>
      </c>
      <c r="EU523" s="408"/>
      <c r="EV523" s="408">
        <v>242</v>
      </c>
      <c r="EW523" s="408"/>
      <c r="EX523" s="408"/>
      <c r="EY523" s="408"/>
      <c r="EZ523" s="408"/>
      <c r="FA523" s="408">
        <v>0</v>
      </c>
      <c r="FB523" s="408"/>
      <c r="FC523" s="408"/>
      <c r="FD523" s="408"/>
      <c r="FE523" s="408"/>
      <c r="FF523" s="408">
        <v>0</v>
      </c>
      <c r="FG523" s="408">
        <v>0</v>
      </c>
      <c r="FH523" s="408">
        <v>0</v>
      </c>
      <c r="FI523" s="408">
        <v>0</v>
      </c>
    </row>
    <row r="524" spans="1:165">
      <c r="A524" s="408">
        <v>524</v>
      </c>
      <c r="B524" s="408" t="s">
        <v>1036</v>
      </c>
      <c r="C524" s="408" t="s">
        <v>2231</v>
      </c>
      <c r="D524" s="408" t="s">
        <v>1955</v>
      </c>
      <c r="E524" s="408" t="s">
        <v>998</v>
      </c>
      <c r="F524" s="408" t="s">
        <v>1322</v>
      </c>
      <c r="G524" s="408" t="s">
        <v>1322</v>
      </c>
      <c r="H524" s="408" t="s">
        <v>1322</v>
      </c>
      <c r="I524" s="408" t="s">
        <v>1322</v>
      </c>
      <c r="J524" s="408" t="s">
        <v>2232</v>
      </c>
      <c r="K524" s="828">
        <v>44682</v>
      </c>
      <c r="L524" s="408">
        <v>0</v>
      </c>
      <c r="M524" s="408">
        <v>0</v>
      </c>
      <c r="N524" s="408">
        <v>214.49</v>
      </c>
      <c r="O524" s="408">
        <v>214.49</v>
      </c>
      <c r="P524" s="408">
        <v>214.49</v>
      </c>
      <c r="Q524" s="408">
        <v>214.49</v>
      </c>
      <c r="R524" s="408"/>
      <c r="S524" s="408">
        <v>571.87</v>
      </c>
      <c r="T524" s="408">
        <v>216.76</v>
      </c>
      <c r="U524" s="408"/>
      <c r="V524" s="408">
        <v>169153.2487</v>
      </c>
      <c r="W524" s="408">
        <v>169153.2487</v>
      </c>
      <c r="X524" s="408">
        <v>110250.0049</v>
      </c>
      <c r="Y524" s="408">
        <v>0</v>
      </c>
      <c r="Z524" s="408">
        <v>13000.37124977599</v>
      </c>
      <c r="AA524" s="408">
        <v>0</v>
      </c>
      <c r="AB524" s="408">
        <v>0</v>
      </c>
      <c r="AC524" s="408">
        <v>0</v>
      </c>
      <c r="AD524" s="408">
        <v>176.29226940749925</v>
      </c>
      <c r="AE524" s="408">
        <v>91455.03311809017</v>
      </c>
      <c r="AF524" s="408">
        <v>45815.385911661688</v>
      </c>
      <c r="AG524" s="408">
        <v>677.23174192166675</v>
      </c>
      <c r="AH524" s="408">
        <v>0</v>
      </c>
      <c r="AI524" s="408">
        <v>0</v>
      </c>
      <c r="AJ524" s="408">
        <v>0</v>
      </c>
      <c r="AK524" s="408">
        <v>0</v>
      </c>
      <c r="AL524" s="408">
        <v>2010.5506834266298</v>
      </c>
      <c r="AM524" s="408"/>
      <c r="AN524" s="408">
        <v>411.49253509971385</v>
      </c>
      <c r="AO524" s="408">
        <v>1905.035350205068</v>
      </c>
      <c r="AP524" s="408">
        <v>5968.6357761091858</v>
      </c>
      <c r="AQ524" s="408">
        <v>0</v>
      </c>
      <c r="AR524" s="408">
        <v>0</v>
      </c>
      <c r="AS524" s="408">
        <v>0</v>
      </c>
      <c r="AT524" s="408">
        <v>0</v>
      </c>
      <c r="AU524" s="408">
        <v>0</v>
      </c>
      <c r="AV524" s="408">
        <v>0</v>
      </c>
      <c r="AW524" s="408">
        <v>0</v>
      </c>
      <c r="AX524" s="408">
        <v>0</v>
      </c>
      <c r="AY524" s="408">
        <v>0</v>
      </c>
      <c r="AZ524" s="408">
        <v>0</v>
      </c>
      <c r="BA524" s="408"/>
      <c r="BB524" s="408">
        <v>0</v>
      </c>
      <c r="BC524" s="408">
        <v>0</v>
      </c>
      <c r="BD524" s="408">
        <v>127.63648319733934</v>
      </c>
      <c r="BE524" s="408">
        <v>0</v>
      </c>
      <c r="BF524" s="408">
        <v>0</v>
      </c>
      <c r="BG524" s="408">
        <v>7605.4373541909363</v>
      </c>
      <c r="BH524" s="408">
        <v>0</v>
      </c>
      <c r="BI524" s="408">
        <v>312.54000000000002</v>
      </c>
      <c r="BJ524" s="408">
        <v>1437.63</v>
      </c>
      <c r="BK524" s="408">
        <v>38242.519999999997</v>
      </c>
      <c r="BL524" s="408">
        <v>701</v>
      </c>
      <c r="BM524" s="408"/>
      <c r="BN524" s="408"/>
      <c r="BO524" s="408"/>
      <c r="BP524" s="408"/>
      <c r="BQ524" s="408"/>
      <c r="BR524" s="408"/>
      <c r="BS524" s="408"/>
      <c r="BT524" s="408"/>
      <c r="BU524" s="408"/>
      <c r="BV524" s="408">
        <v>53548.459749049965</v>
      </c>
      <c r="BW524" s="408"/>
      <c r="BX524" s="408"/>
      <c r="BY524" s="408"/>
      <c r="BZ524" s="408"/>
      <c r="CA524" s="408"/>
      <c r="CB524" s="408"/>
      <c r="CC524" s="408"/>
      <c r="CD524" s="408"/>
      <c r="CE524" s="408"/>
      <c r="CF524" s="408"/>
      <c r="CG524" s="408"/>
      <c r="CH524" s="408"/>
      <c r="CI524" s="408">
        <v>110250.0049</v>
      </c>
      <c r="CJ524" s="408">
        <v>-58903.273800000024</v>
      </c>
      <c r="CK524" s="408"/>
      <c r="CL524" s="408"/>
      <c r="CM524" s="408"/>
      <c r="CN524" s="408"/>
      <c r="CO524" s="408">
        <v>-65902.052500000005</v>
      </c>
      <c r="CP524" s="408">
        <v>6998.8086999999996</v>
      </c>
      <c r="CQ524" s="408">
        <v>31</v>
      </c>
      <c r="CR524" s="408">
        <v>8290.1041010168556</v>
      </c>
      <c r="CS524" s="408">
        <v>196.50729998182487</v>
      </c>
      <c r="CT524" s="408">
        <v>615.67387755396248</v>
      </c>
      <c r="CU524" s="408">
        <v>0</v>
      </c>
      <c r="CV524" s="408">
        <v>0</v>
      </c>
      <c r="CW524" s="408">
        <v>0</v>
      </c>
      <c r="CX524" s="408">
        <v>0</v>
      </c>
      <c r="CY524" s="408">
        <v>0</v>
      </c>
      <c r="CZ524" s="408">
        <v>17.236987118088138</v>
      </c>
      <c r="DA524" s="408">
        <v>0</v>
      </c>
      <c r="DB524" s="408">
        <v>0</v>
      </c>
      <c r="DC524" s="408">
        <v>6999.7081688306353</v>
      </c>
      <c r="DD524" s="408">
        <v>0</v>
      </c>
      <c r="DE524" s="408">
        <v>0</v>
      </c>
      <c r="DF524" s="408">
        <v>19.500395255861719</v>
      </c>
      <c r="DG524" s="408">
        <v>1161.9642815692341</v>
      </c>
      <c r="DH524" s="408">
        <v>0</v>
      </c>
      <c r="DI524" s="408">
        <v>-621.12128018202748</v>
      </c>
      <c r="DJ524" s="408"/>
      <c r="DK524" s="408">
        <v>0</v>
      </c>
      <c r="DL524" s="408">
        <v>0</v>
      </c>
      <c r="DM524" s="408">
        <v>0</v>
      </c>
      <c r="DN524" s="408">
        <v>0</v>
      </c>
      <c r="DO524" s="408">
        <v>-81.468738352903529</v>
      </c>
      <c r="DP524" s="408">
        <v>-17.896890757837241</v>
      </c>
      <c r="DQ524" s="408">
        <v>0</v>
      </c>
      <c r="DR524" s="408">
        <v>0</v>
      </c>
      <c r="DS524" s="408"/>
      <c r="DT524" s="408"/>
      <c r="DU524" s="408"/>
      <c r="DV524" s="408">
        <v>91455.03311809017</v>
      </c>
      <c r="DW524" s="408">
        <v>0</v>
      </c>
      <c r="DX524" s="408">
        <v>0</v>
      </c>
      <c r="DY524" s="408">
        <v>-65902.052500000005</v>
      </c>
      <c r="DZ524" s="234">
        <v>6998.8086999999941</v>
      </c>
      <c r="EA524" s="408">
        <v>0</v>
      </c>
      <c r="EB524" s="408">
        <v>0</v>
      </c>
      <c r="EC524" s="408">
        <v>-67192.910684935458</v>
      </c>
      <c r="ED524" s="408">
        <v>0</v>
      </c>
      <c r="EE524" s="408">
        <v>0</v>
      </c>
      <c r="EF524" s="408">
        <v>0</v>
      </c>
      <c r="EG524" s="408">
        <v>0</v>
      </c>
      <c r="EH524" s="408">
        <v>0</v>
      </c>
      <c r="EI524" s="408">
        <v>0</v>
      </c>
      <c r="EJ524" s="408">
        <v>0</v>
      </c>
      <c r="EK524" s="408">
        <v>0</v>
      </c>
      <c r="EL524" s="408">
        <v>0</v>
      </c>
      <c r="EM524" s="408">
        <v>0</v>
      </c>
      <c r="EN524" s="408">
        <v>0</v>
      </c>
      <c r="EO524" s="408">
        <v>0</v>
      </c>
      <c r="EP524" s="408">
        <v>0</v>
      </c>
      <c r="EQ524" s="408">
        <v>0</v>
      </c>
      <c r="ER524" s="408">
        <v>0</v>
      </c>
      <c r="ES524" s="408">
        <v>0</v>
      </c>
      <c r="ET524" s="408">
        <v>0</v>
      </c>
      <c r="EU524" s="408">
        <v>0</v>
      </c>
      <c r="EV524" s="408">
        <v>242</v>
      </c>
      <c r="EW524" s="408">
        <v>0</v>
      </c>
      <c r="EX524" s="408">
        <v>0</v>
      </c>
      <c r="EY524" s="408">
        <v>0</v>
      </c>
      <c r="EZ524" s="408"/>
      <c r="FA524" s="408">
        <v>0</v>
      </c>
      <c r="FB524" s="408"/>
      <c r="FC524" s="408"/>
      <c r="FD524" s="408"/>
      <c r="FE524" s="408"/>
      <c r="FF524" s="408">
        <v>0</v>
      </c>
      <c r="FG524" s="408">
        <v>0</v>
      </c>
      <c r="FH524" s="408">
        <v>0</v>
      </c>
      <c r="FI524" s="408">
        <v>0</v>
      </c>
    </row>
    <row r="525" spans="1:165">
      <c r="A525" s="408">
        <v>525</v>
      </c>
      <c r="B525" s="408" t="s">
        <v>2233</v>
      </c>
      <c r="C525" s="408" t="s">
        <v>2231</v>
      </c>
      <c r="D525" s="408" t="s">
        <v>1955</v>
      </c>
      <c r="E525" s="408" t="s">
        <v>998</v>
      </c>
      <c r="F525" s="408" t="s">
        <v>1322</v>
      </c>
      <c r="G525" s="408" t="s">
        <v>1322</v>
      </c>
      <c r="H525" s="408" t="s">
        <v>1322</v>
      </c>
      <c r="I525" s="408" t="s">
        <v>1322</v>
      </c>
      <c r="J525" s="408" t="s">
        <v>2232</v>
      </c>
      <c r="K525" s="828">
        <v>44682</v>
      </c>
      <c r="L525" s="408">
        <v>0</v>
      </c>
      <c r="M525" s="408">
        <v>0</v>
      </c>
      <c r="N525" s="408">
        <v>-1.994</v>
      </c>
      <c r="O525" s="408">
        <v>-1.994</v>
      </c>
      <c r="P525" s="408">
        <v>-1.994</v>
      </c>
      <c r="Q525" s="408">
        <v>-1.994</v>
      </c>
      <c r="R525" s="408"/>
      <c r="S525" s="408">
        <v>571.87</v>
      </c>
      <c r="T525" s="408">
        <v>216.76</v>
      </c>
      <c r="U525" s="408"/>
      <c r="V525" s="408">
        <v>-1572.5282200000001</v>
      </c>
      <c r="W525" s="408">
        <v>-1572.5282200000001</v>
      </c>
      <c r="X525" s="408">
        <v>-1024.9359400000001</v>
      </c>
      <c r="Y525" s="408">
        <v>0</v>
      </c>
      <c r="Z525" s="408">
        <v>-120.85757038581437</v>
      </c>
      <c r="AA525" s="408">
        <v>0</v>
      </c>
      <c r="AB525" s="408">
        <v>0</v>
      </c>
      <c r="AC525" s="408">
        <v>0</v>
      </c>
      <c r="AD525" s="408">
        <v>-1.6388959168192152</v>
      </c>
      <c r="AE525" s="408">
        <v>-850.20903556096698</v>
      </c>
      <c r="AF525" s="408">
        <v>-425.9213926423302</v>
      </c>
      <c r="AG525" s="408">
        <v>-6.295865044486006</v>
      </c>
      <c r="AH525" s="408">
        <v>0</v>
      </c>
      <c r="AI525" s="408">
        <v>0</v>
      </c>
      <c r="AJ525" s="408">
        <v>0</v>
      </c>
      <c r="AK525" s="408">
        <v>0</v>
      </c>
      <c r="AL525" s="408">
        <v>-18.691025515188119</v>
      </c>
      <c r="AM525" s="408"/>
      <c r="AN525" s="408">
        <v>-3.8254282949733289</v>
      </c>
      <c r="AO525" s="408">
        <v>-17.710105311711061</v>
      </c>
      <c r="AP525" s="408">
        <v>-55.487247599243396</v>
      </c>
      <c r="AQ525" s="408">
        <v>0</v>
      </c>
      <c r="AR525" s="408">
        <v>0</v>
      </c>
      <c r="AS525" s="408">
        <v>0</v>
      </c>
      <c r="AT525" s="408">
        <v>0</v>
      </c>
      <c r="AU525" s="408">
        <v>0</v>
      </c>
      <c r="AV525" s="408">
        <v>0</v>
      </c>
      <c r="AW525" s="408">
        <v>0</v>
      </c>
      <c r="AX525" s="408">
        <v>0</v>
      </c>
      <c r="AY525" s="408">
        <v>0</v>
      </c>
      <c r="AZ525" s="408">
        <v>0</v>
      </c>
      <c r="BA525" s="408"/>
      <c r="BB525" s="408">
        <v>0</v>
      </c>
      <c r="BC525" s="408">
        <v>0</v>
      </c>
      <c r="BD525" s="408">
        <v>-1.1865688260314917</v>
      </c>
      <c r="BE525" s="408">
        <v>0</v>
      </c>
      <c r="BF525" s="408">
        <v>0</v>
      </c>
      <c r="BG525" s="408">
        <v>-70.703725508213552</v>
      </c>
      <c r="BH525" s="408">
        <v>0</v>
      </c>
      <c r="BI525" s="408">
        <v>-4.26</v>
      </c>
      <c r="BJ525" s="408">
        <v>-19.489999999999998</v>
      </c>
      <c r="BK525" s="408">
        <v>-443.95</v>
      </c>
      <c r="BL525" s="408">
        <v>0</v>
      </c>
      <c r="BM525" s="408"/>
      <c r="BN525" s="408"/>
      <c r="BO525" s="408"/>
      <c r="BP525" s="408"/>
      <c r="BQ525" s="408"/>
      <c r="BR525" s="408"/>
      <c r="BS525" s="408"/>
      <c r="BT525" s="408"/>
      <c r="BU525" s="408"/>
      <c r="BV525" s="408">
        <v>-497.81168697657523</v>
      </c>
      <c r="BW525" s="408"/>
      <c r="BX525" s="408"/>
      <c r="BY525" s="408"/>
      <c r="BZ525" s="408"/>
      <c r="CA525" s="408"/>
      <c r="CB525" s="408"/>
      <c r="CC525" s="408"/>
      <c r="CD525" s="408"/>
      <c r="CE525" s="408"/>
      <c r="CF525" s="408"/>
      <c r="CG525" s="408"/>
      <c r="CH525" s="408"/>
      <c r="CI525" s="408">
        <v>-1022.8798999999999</v>
      </c>
      <c r="CJ525" s="408">
        <v>549.61832000000027</v>
      </c>
      <c r="CK525" s="408"/>
      <c r="CL525" s="408"/>
      <c r="CM525" s="408"/>
      <c r="CN525" s="408"/>
      <c r="CO525" s="408">
        <v>612.65650000000005</v>
      </c>
      <c r="CP525" s="408">
        <v>-65.064219999999992</v>
      </c>
      <c r="CQ525" s="408">
        <v>31</v>
      </c>
      <c r="CR525" s="408">
        <v>-77.068709857930912</v>
      </c>
      <c r="CS525" s="408">
        <v>-1.8268243562112865</v>
      </c>
      <c r="CT525" s="408">
        <v>-5.7235941621642041</v>
      </c>
      <c r="CU525" s="408">
        <v>0</v>
      </c>
      <c r="CV525" s="408">
        <v>0</v>
      </c>
      <c r="CW525" s="408">
        <v>0</v>
      </c>
      <c r="CX525" s="408">
        <v>0</v>
      </c>
      <c r="CY525" s="408">
        <v>0</v>
      </c>
      <c r="CZ525" s="408">
        <v>-0.16024314566398323</v>
      </c>
      <c r="DA525" s="408">
        <v>0</v>
      </c>
      <c r="DB525" s="408">
        <v>0</v>
      </c>
      <c r="DC525" s="408">
        <v>-65.072581885627699</v>
      </c>
      <c r="DD525" s="408">
        <v>0</v>
      </c>
      <c r="DE525" s="408">
        <v>0</v>
      </c>
      <c r="DF525" s="408">
        <v>-0.18128485309426212</v>
      </c>
      <c r="DG525" s="408">
        <v>-10.802166895655063</v>
      </c>
      <c r="DH525" s="408">
        <v>0</v>
      </c>
      <c r="DI525" s="408">
        <v>5.7742357810758733</v>
      </c>
      <c r="DJ525" s="408"/>
      <c r="DK525" s="408">
        <v>0</v>
      </c>
      <c r="DL525" s="408">
        <v>0</v>
      </c>
      <c r="DM525" s="408">
        <v>0</v>
      </c>
      <c r="DN525" s="408">
        <v>0</v>
      </c>
      <c r="DO525" s="408">
        <v>0.75737173889547194</v>
      </c>
      <c r="DP525" s="408">
        <v>0.16637792051437073</v>
      </c>
      <c r="DQ525" s="408">
        <v>0</v>
      </c>
      <c r="DR525" s="408">
        <v>0</v>
      </c>
      <c r="DS525" s="408"/>
      <c r="DT525" s="408"/>
      <c r="DU525" s="408"/>
      <c r="DV525" s="408">
        <v>-850.20903556096698</v>
      </c>
      <c r="DW525" s="408">
        <v>0</v>
      </c>
      <c r="DX525" s="408">
        <v>0</v>
      </c>
      <c r="DY525" s="408">
        <v>612.65650000000005</v>
      </c>
      <c r="DZ525" s="234">
        <v>-65.064220000000034</v>
      </c>
      <c r="EA525" s="408">
        <v>0</v>
      </c>
      <c r="EB525" s="408">
        <v>0</v>
      </c>
      <c r="EC525" s="408">
        <v>624.65692529144167</v>
      </c>
      <c r="ED525" s="408">
        <v>0</v>
      </c>
      <c r="EE525" s="408">
        <v>0</v>
      </c>
      <c r="EF525" s="408">
        <v>0</v>
      </c>
      <c r="EG525" s="408">
        <v>0</v>
      </c>
      <c r="EH525" s="408">
        <v>0</v>
      </c>
      <c r="EI525" s="408">
        <v>0</v>
      </c>
      <c r="EJ525" s="408">
        <v>0</v>
      </c>
      <c r="EK525" s="408">
        <v>0</v>
      </c>
      <c r="EL525" s="408">
        <v>0</v>
      </c>
      <c r="EM525" s="408">
        <v>0</v>
      </c>
      <c r="EN525" s="408">
        <v>0</v>
      </c>
      <c r="EO525" s="408">
        <v>0</v>
      </c>
      <c r="EP525" s="408">
        <v>0</v>
      </c>
      <c r="EQ525" s="408">
        <v>0</v>
      </c>
      <c r="ER525" s="408">
        <v>0</v>
      </c>
      <c r="ES525" s="408">
        <v>0</v>
      </c>
      <c r="ET525" s="408">
        <v>0</v>
      </c>
      <c r="EU525" s="408">
        <v>0</v>
      </c>
      <c r="EV525" s="408">
        <v>242</v>
      </c>
      <c r="EW525" s="408">
        <v>0</v>
      </c>
      <c r="EX525" s="408">
        <v>0</v>
      </c>
      <c r="EY525" s="408">
        <v>0</v>
      </c>
      <c r="EZ525" s="408"/>
      <c r="FA525" s="408">
        <v>0</v>
      </c>
      <c r="FB525" s="408"/>
      <c r="FC525" s="408"/>
      <c r="FD525" s="408"/>
      <c r="FE525" s="408"/>
      <c r="FF525" s="408">
        <v>0</v>
      </c>
      <c r="FG525" s="408">
        <v>0</v>
      </c>
      <c r="FH525" s="408">
        <v>0</v>
      </c>
      <c r="FI525" s="408">
        <v>0</v>
      </c>
    </row>
    <row r="526" spans="1:165">
      <c r="A526" s="408">
        <v>526</v>
      </c>
      <c r="B526" s="408" t="s">
        <v>2234</v>
      </c>
      <c r="C526" s="408" t="s">
        <v>2231</v>
      </c>
      <c r="D526" s="408" t="s">
        <v>1955</v>
      </c>
      <c r="E526" s="408" t="s">
        <v>998</v>
      </c>
      <c r="F526" s="408" t="s">
        <v>1322</v>
      </c>
      <c r="G526" s="408" t="s">
        <v>1322</v>
      </c>
      <c r="H526" s="408" t="s">
        <v>1322</v>
      </c>
      <c r="I526" s="408" t="s">
        <v>1322</v>
      </c>
      <c r="J526" s="408" t="s">
        <v>2232</v>
      </c>
      <c r="K526" s="828">
        <v>44682</v>
      </c>
      <c r="L526" s="408">
        <v>0</v>
      </c>
      <c r="M526" s="408">
        <v>0</v>
      </c>
      <c r="N526" s="408">
        <v>8.2379999999999995</v>
      </c>
      <c r="O526" s="408">
        <v>8.2379999999999995</v>
      </c>
      <c r="P526" s="408">
        <v>8.2379999999999995</v>
      </c>
      <c r="Q526" s="408">
        <v>8.2379999999999995</v>
      </c>
      <c r="R526" s="408"/>
      <c r="S526" s="408">
        <v>571.87</v>
      </c>
      <c r="T526" s="408">
        <v>216.76</v>
      </c>
      <c r="U526" s="408"/>
      <c r="V526" s="408">
        <v>6496.7339400000001</v>
      </c>
      <c r="W526" s="408">
        <v>6496.7339400000001</v>
      </c>
      <c r="X526" s="408">
        <v>4234.4143800000002</v>
      </c>
      <c r="Y526" s="408">
        <v>0</v>
      </c>
      <c r="Z526" s="408">
        <v>499.31026320879573</v>
      </c>
      <c r="AA526" s="408">
        <v>0</v>
      </c>
      <c r="AB526" s="408">
        <v>0</v>
      </c>
      <c r="AC526" s="408">
        <v>0</v>
      </c>
      <c r="AD526" s="408">
        <v>6.7709250565479913</v>
      </c>
      <c r="AE526" s="408">
        <v>3512.5486634660206</v>
      </c>
      <c r="AF526" s="408">
        <v>1759.6491637851134</v>
      </c>
      <c r="AG526" s="408">
        <v>26.010700218894542</v>
      </c>
      <c r="AH526" s="408">
        <v>0</v>
      </c>
      <c r="AI526" s="408">
        <v>0</v>
      </c>
      <c r="AJ526" s="408">
        <v>0</v>
      </c>
      <c r="AK526" s="408">
        <v>0</v>
      </c>
      <c r="AL526" s="408">
        <v>77.219994079297749</v>
      </c>
      <c r="AM526" s="408"/>
      <c r="AN526" s="408">
        <v>15.80435220360596</v>
      </c>
      <c r="AO526" s="408">
        <v>73.167426057109182</v>
      </c>
      <c r="AP526" s="408">
        <v>229.23969193709485</v>
      </c>
      <c r="AQ526" s="408">
        <v>0</v>
      </c>
      <c r="AR526" s="408">
        <v>0</v>
      </c>
      <c r="AS526" s="408">
        <v>0</v>
      </c>
      <c r="AT526" s="408">
        <v>0</v>
      </c>
      <c r="AU526" s="408">
        <v>0</v>
      </c>
      <c r="AV526" s="408">
        <v>0</v>
      </c>
      <c r="AW526" s="408">
        <v>0</v>
      </c>
      <c r="AX526" s="408">
        <v>0</v>
      </c>
      <c r="AY526" s="408">
        <v>0</v>
      </c>
      <c r="AZ526" s="408">
        <v>0</v>
      </c>
      <c r="BA526" s="408"/>
      <c r="BB526" s="408">
        <v>0</v>
      </c>
      <c r="BC526" s="408">
        <v>0</v>
      </c>
      <c r="BD526" s="408">
        <v>4.9021835450588904</v>
      </c>
      <c r="BE526" s="408">
        <v>0</v>
      </c>
      <c r="BF526" s="408">
        <v>0</v>
      </c>
      <c r="BG526" s="408">
        <v>292.10496024907889</v>
      </c>
      <c r="BH526" s="408">
        <v>0</v>
      </c>
      <c r="BI526" s="408">
        <v>11.81</v>
      </c>
      <c r="BJ526" s="408">
        <v>54.26</v>
      </c>
      <c r="BK526" s="408">
        <v>2632.58</v>
      </c>
      <c r="BL526" s="408">
        <v>24</v>
      </c>
      <c r="BM526" s="408"/>
      <c r="BN526" s="408"/>
      <c r="BO526" s="408"/>
      <c r="BP526" s="408"/>
      <c r="BQ526" s="408"/>
      <c r="BR526" s="408"/>
      <c r="BS526" s="408"/>
      <c r="BT526" s="408"/>
      <c r="BU526" s="408"/>
      <c r="BV526" s="408">
        <v>2056.656307579251</v>
      </c>
      <c r="BW526" s="408"/>
      <c r="BX526" s="408"/>
      <c r="BY526" s="408"/>
      <c r="BZ526" s="408"/>
      <c r="CA526" s="408"/>
      <c r="CB526" s="408"/>
      <c r="CC526" s="408"/>
      <c r="CD526" s="408"/>
      <c r="CE526" s="408"/>
      <c r="CF526" s="408"/>
      <c r="CG526" s="408"/>
      <c r="CH526" s="408"/>
      <c r="CI526" s="408">
        <v>4235.4423999999999</v>
      </c>
      <c r="CJ526" s="408">
        <v>-2261.3215400000008</v>
      </c>
      <c r="CK526" s="408"/>
      <c r="CL526" s="408"/>
      <c r="CM526" s="408"/>
      <c r="CN526" s="408"/>
      <c r="CO526" s="408">
        <v>-2531.1254999999996</v>
      </c>
      <c r="CP526" s="408">
        <v>268.80593999999996</v>
      </c>
      <c r="CQ526" s="408">
        <v>31</v>
      </c>
      <c r="CR526" s="408">
        <v>318.40121956350731</v>
      </c>
      <c r="CS526" s="408">
        <v>7.5473315177876543</v>
      </c>
      <c r="CT526" s="408">
        <v>23.646423624828827</v>
      </c>
      <c r="CU526" s="408">
        <v>0</v>
      </c>
      <c r="CV526" s="408">
        <v>0</v>
      </c>
      <c r="CW526" s="408">
        <v>0</v>
      </c>
      <c r="CX526" s="408">
        <v>0</v>
      </c>
      <c r="CY526" s="408">
        <v>0</v>
      </c>
      <c r="CZ526" s="408">
        <v>0.66202759978931525</v>
      </c>
      <c r="DA526" s="408">
        <v>0</v>
      </c>
      <c r="DB526" s="408">
        <v>0</v>
      </c>
      <c r="DC526" s="408">
        <v>268.84048624563729</v>
      </c>
      <c r="DD526" s="408">
        <v>0</v>
      </c>
      <c r="DE526" s="408">
        <v>0</v>
      </c>
      <c r="DF526" s="408">
        <v>0.7489591874576389</v>
      </c>
      <c r="DG526" s="408">
        <v>44.628009471618043</v>
      </c>
      <c r="DH526" s="408">
        <v>0</v>
      </c>
      <c r="DI526" s="408">
        <v>-23.855644114595293</v>
      </c>
      <c r="DJ526" s="408"/>
      <c r="DK526" s="408">
        <v>0</v>
      </c>
      <c r="DL526" s="408">
        <v>0</v>
      </c>
      <c r="DM526" s="408">
        <v>0</v>
      </c>
      <c r="DN526" s="408">
        <v>0</v>
      </c>
      <c r="DO526" s="408">
        <v>-3.1290011960987414</v>
      </c>
      <c r="DP526" s="408">
        <v>-0.68737277291744725</v>
      </c>
      <c r="DQ526" s="408">
        <v>0</v>
      </c>
      <c r="DR526" s="408">
        <v>0</v>
      </c>
      <c r="DS526" s="408"/>
      <c r="DT526" s="408"/>
      <c r="DU526" s="408"/>
      <c r="DV526" s="408">
        <v>3512.5486634660206</v>
      </c>
      <c r="DW526" s="408">
        <v>0</v>
      </c>
      <c r="DX526" s="408">
        <v>0</v>
      </c>
      <c r="DY526" s="408">
        <v>-2531.1255000000001</v>
      </c>
      <c r="DZ526" s="234">
        <v>268.80594000000019</v>
      </c>
      <c r="EA526" s="408">
        <v>0</v>
      </c>
      <c r="EB526" s="408">
        <v>0</v>
      </c>
      <c r="EC526" s="408">
        <v>-2580.7039872371593</v>
      </c>
      <c r="ED526" s="408">
        <v>0</v>
      </c>
      <c r="EE526" s="408">
        <v>0</v>
      </c>
      <c r="EF526" s="408">
        <v>0</v>
      </c>
      <c r="EG526" s="408">
        <v>0</v>
      </c>
      <c r="EH526" s="408">
        <v>0</v>
      </c>
      <c r="EI526" s="408">
        <v>0</v>
      </c>
      <c r="EJ526" s="408">
        <v>0</v>
      </c>
      <c r="EK526" s="408">
        <v>0</v>
      </c>
      <c r="EL526" s="408">
        <v>0</v>
      </c>
      <c r="EM526" s="408">
        <v>0</v>
      </c>
      <c r="EN526" s="408">
        <v>0</v>
      </c>
      <c r="EO526" s="408">
        <v>0</v>
      </c>
      <c r="EP526" s="408">
        <v>0</v>
      </c>
      <c r="EQ526" s="408">
        <v>0</v>
      </c>
      <c r="ER526" s="408">
        <v>0</v>
      </c>
      <c r="ES526" s="408">
        <v>0</v>
      </c>
      <c r="ET526" s="408">
        <v>0</v>
      </c>
      <c r="EU526" s="408">
        <v>0</v>
      </c>
      <c r="EV526" s="408">
        <v>242</v>
      </c>
      <c r="EW526" s="408">
        <v>0</v>
      </c>
      <c r="EX526" s="408">
        <v>0</v>
      </c>
      <c r="EY526" s="408">
        <v>0</v>
      </c>
      <c r="EZ526" s="408"/>
      <c r="FA526" s="408">
        <v>0</v>
      </c>
      <c r="FB526" s="408"/>
      <c r="FC526" s="408"/>
      <c r="FD526" s="408"/>
      <c r="FE526" s="408"/>
      <c r="FF526" s="408">
        <v>0</v>
      </c>
      <c r="FG526" s="408">
        <v>0</v>
      </c>
      <c r="FH526" s="408">
        <v>0</v>
      </c>
      <c r="FI526" s="408">
        <v>0</v>
      </c>
    </row>
    <row r="527" spans="1:165">
      <c r="A527" s="408">
        <v>527</v>
      </c>
      <c r="B527" s="408" t="s">
        <v>1036</v>
      </c>
      <c r="C527" s="408" t="s">
        <v>2239</v>
      </c>
      <c r="D527" s="408" t="s">
        <v>597</v>
      </c>
      <c r="E527" s="408" t="s">
        <v>998</v>
      </c>
      <c r="F527" s="408" t="s">
        <v>1322</v>
      </c>
      <c r="G527" s="408" t="s">
        <v>1322</v>
      </c>
      <c r="H527" s="408" t="s">
        <v>1322</v>
      </c>
      <c r="I527" s="408" t="s">
        <v>973</v>
      </c>
      <c r="J527" s="408" t="s">
        <v>2232</v>
      </c>
      <c r="K527" s="828">
        <v>44682</v>
      </c>
      <c r="L527" s="408">
        <v>0</v>
      </c>
      <c r="M527" s="408">
        <v>0</v>
      </c>
      <c r="N527" s="408">
        <v>6.22</v>
      </c>
      <c r="O527" s="408">
        <v>6.22</v>
      </c>
      <c r="P527" s="408">
        <v>6.22</v>
      </c>
      <c r="Q527" s="408">
        <v>6.22</v>
      </c>
      <c r="R527" s="408"/>
      <c r="S527" s="408">
        <v>2592.54</v>
      </c>
      <c r="T527" s="408">
        <v>216.76</v>
      </c>
      <c r="U527" s="408"/>
      <c r="V527" s="408">
        <v>17473.845999999998</v>
      </c>
      <c r="W527" s="408">
        <v>17473.845999999998</v>
      </c>
      <c r="X527" s="408">
        <v>7347.0639999999994</v>
      </c>
      <c r="Y527" s="408">
        <v>0</v>
      </c>
      <c r="Z527" s="408">
        <v>327.98829307211435</v>
      </c>
      <c r="AA527" s="408">
        <v>0</v>
      </c>
      <c r="AB527" s="408">
        <v>0</v>
      </c>
      <c r="AC527" s="408">
        <v>0</v>
      </c>
      <c r="AD527" s="408">
        <v>31.452270987954936</v>
      </c>
      <c r="AE527" s="408">
        <v>14249.345157454021</v>
      </c>
      <c r="AF527" s="408">
        <v>1328.6013351230158</v>
      </c>
      <c r="AG527" s="408">
        <v>19.639057460733678</v>
      </c>
      <c r="AH527" s="408">
        <v>0</v>
      </c>
      <c r="AI527" s="408">
        <v>0</v>
      </c>
      <c r="AJ527" s="408">
        <v>0</v>
      </c>
      <c r="AK527" s="408">
        <v>0</v>
      </c>
      <c r="AL527" s="408">
        <v>58.304001356303964</v>
      </c>
      <c r="AM527" s="408"/>
      <c r="AN527" s="408">
        <v>8.5414420622390175</v>
      </c>
      <c r="AO527" s="408">
        <v>280.61450098397876</v>
      </c>
      <c r="AP527" s="408">
        <v>1064.8686570655566</v>
      </c>
      <c r="AQ527" s="408">
        <v>0</v>
      </c>
      <c r="AR527" s="408">
        <v>0</v>
      </c>
      <c r="AS527" s="408">
        <v>0</v>
      </c>
      <c r="AT527" s="408">
        <v>0</v>
      </c>
      <c r="AU527" s="408">
        <v>0</v>
      </c>
      <c r="AV527" s="408">
        <v>0</v>
      </c>
      <c r="AW527" s="408">
        <v>0</v>
      </c>
      <c r="AX527" s="408">
        <v>0</v>
      </c>
      <c r="AY527" s="408">
        <v>0</v>
      </c>
      <c r="AZ527" s="408">
        <v>0</v>
      </c>
      <c r="BA527" s="408"/>
      <c r="BB527" s="408">
        <v>0</v>
      </c>
      <c r="BC527" s="408">
        <v>0</v>
      </c>
      <c r="BD527" s="408">
        <v>2.8443979043898264</v>
      </c>
      <c r="BE527" s="408">
        <v>0</v>
      </c>
      <c r="BF527" s="408">
        <v>0</v>
      </c>
      <c r="BG527" s="408">
        <v>101.61089546428209</v>
      </c>
      <c r="BH527" s="408">
        <v>0</v>
      </c>
      <c r="BI527" s="408">
        <v>0</v>
      </c>
      <c r="BJ527" s="408">
        <v>0</v>
      </c>
      <c r="BK527" s="408">
        <v>0</v>
      </c>
      <c r="BL527" s="408">
        <v>0</v>
      </c>
      <c r="BM527" s="408"/>
      <c r="BN527" s="408"/>
      <c r="BO527" s="408"/>
      <c r="BP527" s="408"/>
      <c r="BQ527" s="408"/>
      <c r="BR527" s="408"/>
      <c r="BS527" s="408"/>
      <c r="BT527" s="408"/>
      <c r="BU527" s="408"/>
      <c r="BV527" s="408">
        <v>1433.0566284916877</v>
      </c>
      <c r="BW527" s="408"/>
      <c r="BX527" s="408"/>
      <c r="BY527" s="408"/>
      <c r="BZ527" s="408"/>
      <c r="CA527" s="408"/>
      <c r="CB527" s="408"/>
      <c r="CC527" s="408"/>
      <c r="CD527" s="408"/>
      <c r="CE527" s="408"/>
      <c r="CF527" s="408"/>
      <c r="CG527" s="408"/>
      <c r="CH527" s="408"/>
      <c r="CI527" s="408">
        <v>7347.0639999999994</v>
      </c>
      <c r="CJ527" s="408">
        <v>-10126.812000000002</v>
      </c>
      <c r="CK527" s="408"/>
      <c r="CL527" s="408"/>
      <c r="CM527" s="408"/>
      <c r="CN527" s="408"/>
      <c r="CO527" s="408">
        <v>-10329.740599999999</v>
      </c>
      <c r="CP527" s="408">
        <v>202.95859999999996</v>
      </c>
      <c r="CQ527" s="408">
        <v>31</v>
      </c>
      <c r="CR527" s="408">
        <v>342.40296177908112</v>
      </c>
      <c r="CS527" s="408">
        <v>28.945813482239316</v>
      </c>
      <c r="CT527" s="408">
        <v>109.84282502300402</v>
      </c>
      <c r="CU527" s="408">
        <v>0</v>
      </c>
      <c r="CV527" s="408">
        <v>0</v>
      </c>
      <c r="CW527" s="408">
        <v>0</v>
      </c>
      <c r="CX527" s="408">
        <v>0</v>
      </c>
      <c r="CY527" s="408">
        <v>0</v>
      </c>
      <c r="CZ527" s="408">
        <v>3.075247665005886</v>
      </c>
      <c r="DA527" s="408">
        <v>0</v>
      </c>
      <c r="DB527" s="408">
        <v>0</v>
      </c>
      <c r="DC527" s="408">
        <v>202.98468371544845</v>
      </c>
      <c r="DD527" s="408">
        <v>0</v>
      </c>
      <c r="DE527" s="408">
        <v>0</v>
      </c>
      <c r="DF527" s="408">
        <v>0.43456919221747192</v>
      </c>
      <c r="DG527" s="408">
        <v>15.524186926962273</v>
      </c>
      <c r="DH527" s="408">
        <v>0</v>
      </c>
      <c r="DI527" s="408">
        <v>-15.670360835362715</v>
      </c>
      <c r="DJ527" s="408"/>
      <c r="DK527" s="408">
        <v>0</v>
      </c>
      <c r="DL527" s="408">
        <v>0</v>
      </c>
      <c r="DM527" s="408">
        <v>0</v>
      </c>
      <c r="DN527" s="408">
        <v>0</v>
      </c>
      <c r="DO527" s="408">
        <v>-2.3625136489116585</v>
      </c>
      <c r="DP527" s="408">
        <v>-0.37148974152166581</v>
      </c>
      <c r="DQ527" s="408">
        <v>0</v>
      </c>
      <c r="DR527" s="408">
        <v>0</v>
      </c>
      <c r="DS527" s="408"/>
      <c r="DT527" s="408"/>
      <c r="DU527" s="408"/>
      <c r="DV527" s="408">
        <v>14249.345157454021</v>
      </c>
      <c r="DW527" s="408">
        <v>0</v>
      </c>
      <c r="DX527" s="408">
        <v>0</v>
      </c>
      <c r="DY527" s="408">
        <v>-10329.740600000001</v>
      </c>
      <c r="DZ527" s="234">
        <v>202.95860000000016</v>
      </c>
      <c r="EA527" s="408">
        <v>0</v>
      </c>
      <c r="EB527" s="408">
        <v>0</v>
      </c>
      <c r="EC527" s="408">
        <v>-10469.13377908162</v>
      </c>
      <c r="ED527" s="408">
        <v>0</v>
      </c>
      <c r="EE527" s="408">
        <v>0</v>
      </c>
      <c r="EF527" s="408">
        <v>0</v>
      </c>
      <c r="EG527" s="408">
        <v>0</v>
      </c>
      <c r="EH527" s="408">
        <v>0</v>
      </c>
      <c r="EI527" s="408">
        <v>0</v>
      </c>
      <c r="EJ527" s="408">
        <v>0</v>
      </c>
      <c r="EK527" s="408">
        <v>0</v>
      </c>
      <c r="EL527" s="408">
        <v>0</v>
      </c>
      <c r="EM527" s="408">
        <v>0</v>
      </c>
      <c r="EN527" s="408">
        <v>0</v>
      </c>
      <c r="EO527" s="408">
        <v>0</v>
      </c>
      <c r="EP527" s="408">
        <v>0</v>
      </c>
      <c r="EQ527" s="408">
        <v>0</v>
      </c>
      <c r="ER527" s="408">
        <v>0</v>
      </c>
      <c r="ES527" s="408">
        <v>0</v>
      </c>
      <c r="ET527" s="408">
        <v>0</v>
      </c>
      <c r="EU527" s="408">
        <v>0</v>
      </c>
      <c r="EV527" s="408">
        <v>242</v>
      </c>
      <c r="EW527" s="408">
        <v>0</v>
      </c>
      <c r="EX527" s="408">
        <v>0</v>
      </c>
      <c r="EY527" s="408">
        <v>0</v>
      </c>
      <c r="EZ527" s="408"/>
      <c r="FA527" s="408">
        <v>0</v>
      </c>
      <c r="FB527" s="408"/>
      <c r="FC527" s="408"/>
      <c r="FD527" s="408"/>
      <c r="FE527" s="408"/>
      <c r="FF527" s="408">
        <v>0</v>
      </c>
      <c r="FG527" s="408">
        <v>0</v>
      </c>
      <c r="FH527" s="408">
        <v>0</v>
      </c>
      <c r="FI527" s="408">
        <v>0</v>
      </c>
    </row>
    <row r="528" spans="1:165">
      <c r="A528" s="408">
        <v>528</v>
      </c>
      <c r="B528" s="408" t="s">
        <v>1036</v>
      </c>
      <c r="C528" s="408" t="s">
        <v>2239</v>
      </c>
      <c r="D528" s="408" t="s">
        <v>597</v>
      </c>
      <c r="E528" s="408" t="s">
        <v>998</v>
      </c>
      <c r="F528" s="408" t="s">
        <v>1322</v>
      </c>
      <c r="G528" s="408" t="s">
        <v>1322</v>
      </c>
      <c r="H528" s="408" t="s">
        <v>1322</v>
      </c>
      <c r="I528" s="408" t="s">
        <v>2240</v>
      </c>
      <c r="J528" s="408" t="s">
        <v>2232</v>
      </c>
      <c r="K528" s="828">
        <v>44682</v>
      </c>
      <c r="L528" s="408">
        <v>0</v>
      </c>
      <c r="M528" s="408">
        <v>0</v>
      </c>
      <c r="N528" s="408">
        <v>101.346</v>
      </c>
      <c r="O528" s="408">
        <v>101.346</v>
      </c>
      <c r="P528" s="408">
        <v>101.346</v>
      </c>
      <c r="Q528" s="408">
        <v>101.346</v>
      </c>
      <c r="R528" s="408"/>
      <c r="S528" s="408">
        <v>80.27</v>
      </c>
      <c r="T528" s="408">
        <v>216.76</v>
      </c>
      <c r="U528" s="408"/>
      <c r="V528" s="408">
        <v>30102.802380000001</v>
      </c>
      <c r="W528" s="408">
        <v>30102.802380000001</v>
      </c>
      <c r="X528" s="408">
        <v>33370.197419999997</v>
      </c>
      <c r="Y528" s="408">
        <v>0</v>
      </c>
      <c r="Z528" s="408">
        <v>5344.0999276023313</v>
      </c>
      <c r="AA528" s="408">
        <v>0</v>
      </c>
      <c r="AB528" s="408">
        <v>0</v>
      </c>
      <c r="AC528" s="408">
        <v>0</v>
      </c>
      <c r="AD528" s="408">
        <v>0</v>
      </c>
      <c r="AE528" s="408">
        <v>0</v>
      </c>
      <c r="AF528" s="408">
        <v>21647.657702472214</v>
      </c>
      <c r="AG528" s="408">
        <v>319.9903404205009</v>
      </c>
      <c r="AH528" s="408">
        <v>0</v>
      </c>
      <c r="AI528" s="408">
        <v>0</v>
      </c>
      <c r="AJ528" s="408">
        <v>0</v>
      </c>
      <c r="AK528" s="408">
        <v>0</v>
      </c>
      <c r="AL528" s="408">
        <v>949.98027676141191</v>
      </c>
      <c r="AM528" s="408"/>
      <c r="AN528" s="408">
        <v>139.17057672663594</v>
      </c>
      <c r="AO528" s="408">
        <v>0</v>
      </c>
      <c r="AP528" s="408">
        <v>0</v>
      </c>
      <c r="AQ528" s="408">
        <v>0</v>
      </c>
      <c r="AR528" s="408">
        <v>0</v>
      </c>
      <c r="AS528" s="408">
        <v>0</v>
      </c>
      <c r="AT528" s="408">
        <v>0</v>
      </c>
      <c r="AU528" s="408">
        <v>0</v>
      </c>
      <c r="AV528" s="408">
        <v>0</v>
      </c>
      <c r="AW528" s="408">
        <v>0</v>
      </c>
      <c r="AX528" s="408">
        <v>0</v>
      </c>
      <c r="AY528" s="408">
        <v>0</v>
      </c>
      <c r="AZ528" s="408">
        <v>0</v>
      </c>
      <c r="BA528" s="408"/>
      <c r="BB528" s="408">
        <v>0</v>
      </c>
      <c r="BC528" s="408">
        <v>0</v>
      </c>
      <c r="BD528" s="408">
        <v>46.345393893615977</v>
      </c>
      <c r="BE528" s="408">
        <v>0</v>
      </c>
      <c r="BF528" s="408">
        <v>0</v>
      </c>
      <c r="BG528" s="408">
        <v>1655.604149794716</v>
      </c>
      <c r="BH528" s="408">
        <v>0</v>
      </c>
      <c r="BI528" s="408">
        <v>0</v>
      </c>
      <c r="BJ528" s="408">
        <v>0</v>
      </c>
      <c r="BK528" s="408">
        <v>0</v>
      </c>
      <c r="BL528" s="408">
        <v>0</v>
      </c>
      <c r="BM528" s="408"/>
      <c r="BN528" s="408"/>
      <c r="BO528" s="408"/>
      <c r="BP528" s="408"/>
      <c r="BQ528" s="408"/>
      <c r="BR528" s="408"/>
      <c r="BS528" s="408"/>
      <c r="BT528" s="408"/>
      <c r="BU528" s="408"/>
      <c r="BV528" s="408">
        <v>23349.607246160544</v>
      </c>
      <c r="BW528" s="408"/>
      <c r="BX528" s="408"/>
      <c r="BY528" s="408"/>
      <c r="BZ528" s="408"/>
      <c r="CA528" s="408"/>
      <c r="CB528" s="408"/>
      <c r="CC528" s="408"/>
      <c r="CD528" s="408"/>
      <c r="CE528" s="408"/>
      <c r="CF528" s="408"/>
      <c r="CG528" s="408"/>
      <c r="CH528" s="408"/>
      <c r="CI528" s="408">
        <v>33371.514499999997</v>
      </c>
      <c r="CJ528" s="408">
        <v>3268.6821200000013</v>
      </c>
      <c r="CK528" s="408"/>
      <c r="CL528" s="408"/>
      <c r="CM528" s="408"/>
      <c r="CN528" s="408"/>
      <c r="CO528" s="408">
        <v>-39.524940000000058</v>
      </c>
      <c r="CP528" s="408">
        <v>3306.9199799999997</v>
      </c>
      <c r="CQ528" s="408">
        <v>31</v>
      </c>
      <c r="CR528" s="408">
        <v>3267.4972920663567</v>
      </c>
      <c r="CS528" s="408">
        <v>0</v>
      </c>
      <c r="CT528" s="408">
        <v>0</v>
      </c>
      <c r="CU528" s="408">
        <v>0</v>
      </c>
      <c r="CV528" s="408">
        <v>0</v>
      </c>
      <c r="CW528" s="408">
        <v>0</v>
      </c>
      <c r="CX528" s="408">
        <v>0</v>
      </c>
      <c r="CY528" s="408">
        <v>0</v>
      </c>
      <c r="CZ528" s="408">
        <v>0</v>
      </c>
      <c r="DA528" s="408">
        <v>0</v>
      </c>
      <c r="DB528" s="408">
        <v>0</v>
      </c>
      <c r="DC528" s="408">
        <v>3307.3449768208775</v>
      </c>
      <c r="DD528" s="408">
        <v>0</v>
      </c>
      <c r="DE528" s="408">
        <v>0</v>
      </c>
      <c r="DF528" s="408">
        <v>7.0806831759601181</v>
      </c>
      <c r="DG528" s="408">
        <v>252.94441290995474</v>
      </c>
      <c r="DH528" s="408">
        <v>0</v>
      </c>
      <c r="DI528" s="408">
        <v>-255.32610759174713</v>
      </c>
      <c r="DJ528" s="408"/>
      <c r="DK528" s="408">
        <v>0</v>
      </c>
      <c r="DL528" s="408">
        <v>0</v>
      </c>
      <c r="DM528" s="408">
        <v>0</v>
      </c>
      <c r="DN528" s="408">
        <v>0</v>
      </c>
      <c r="DO528" s="408">
        <v>-38.49377946344066</v>
      </c>
      <c r="DP528" s="408">
        <v>-6.052893785249978</v>
      </c>
      <c r="DQ528" s="408">
        <v>0</v>
      </c>
      <c r="DR528" s="408">
        <v>0</v>
      </c>
      <c r="DS528" s="408"/>
      <c r="DT528" s="408"/>
      <c r="DU528" s="408"/>
      <c r="DV528" s="408">
        <v>0</v>
      </c>
      <c r="DW528" s="408">
        <v>0</v>
      </c>
      <c r="DX528" s="408">
        <v>0</v>
      </c>
      <c r="DY528" s="408">
        <v>-39.524940000000242</v>
      </c>
      <c r="DZ528" s="234">
        <v>3306.9199799999988</v>
      </c>
      <c r="EA528" s="408">
        <v>0</v>
      </c>
      <c r="EB528" s="408">
        <v>0</v>
      </c>
      <c r="EC528" s="408">
        <v>0</v>
      </c>
      <c r="ED528" s="408">
        <v>0</v>
      </c>
      <c r="EE528" s="408">
        <v>0</v>
      </c>
      <c r="EF528" s="408">
        <v>0</v>
      </c>
      <c r="EG528" s="408">
        <v>0</v>
      </c>
      <c r="EH528" s="408">
        <v>0</v>
      </c>
      <c r="EI528" s="408">
        <v>0</v>
      </c>
      <c r="EJ528" s="408">
        <v>0</v>
      </c>
      <c r="EK528" s="408">
        <v>0</v>
      </c>
      <c r="EL528" s="408">
        <v>0</v>
      </c>
      <c r="EM528" s="408">
        <v>0</v>
      </c>
      <c r="EN528" s="408">
        <v>0</v>
      </c>
      <c r="EO528" s="408">
        <v>0</v>
      </c>
      <c r="EP528" s="408">
        <v>0</v>
      </c>
      <c r="EQ528" s="408">
        <v>0</v>
      </c>
      <c r="ER528" s="408">
        <v>0</v>
      </c>
      <c r="ES528" s="408">
        <v>0</v>
      </c>
      <c r="ET528" s="408">
        <v>0</v>
      </c>
      <c r="EU528" s="408">
        <v>0</v>
      </c>
      <c r="EV528" s="408">
        <v>242</v>
      </c>
      <c r="EW528" s="408">
        <v>0</v>
      </c>
      <c r="EX528" s="408">
        <v>0</v>
      </c>
      <c r="EY528" s="408">
        <v>0</v>
      </c>
      <c r="EZ528" s="408"/>
      <c r="FA528" s="408">
        <v>0</v>
      </c>
      <c r="FB528" s="408"/>
      <c r="FC528" s="408"/>
      <c r="FD528" s="408"/>
      <c r="FE528" s="408"/>
      <c r="FF528" s="408">
        <v>0</v>
      </c>
      <c r="FG528" s="408">
        <v>0</v>
      </c>
      <c r="FH528" s="408">
        <v>0</v>
      </c>
      <c r="FI528" s="408">
        <v>0</v>
      </c>
    </row>
    <row r="529" spans="1:165">
      <c r="A529" s="408">
        <v>529</v>
      </c>
      <c r="B529" s="408" t="s">
        <v>1036</v>
      </c>
      <c r="C529" s="408" t="s">
        <v>2239</v>
      </c>
      <c r="D529" s="408" t="s">
        <v>597</v>
      </c>
      <c r="E529" s="408" t="s">
        <v>998</v>
      </c>
      <c r="F529" s="408" t="s">
        <v>1322</v>
      </c>
      <c r="G529" s="408" t="s">
        <v>1322</v>
      </c>
      <c r="H529" s="408" t="s">
        <v>1322</v>
      </c>
      <c r="I529" s="408" t="s">
        <v>1322</v>
      </c>
      <c r="J529" s="408" t="s">
        <v>2232</v>
      </c>
      <c r="K529" s="828">
        <v>44682</v>
      </c>
      <c r="L529" s="408">
        <v>1266</v>
      </c>
      <c r="M529" s="408">
        <v>1266</v>
      </c>
      <c r="N529" s="408">
        <v>0</v>
      </c>
      <c r="O529" s="408">
        <v>0</v>
      </c>
      <c r="P529" s="408">
        <v>0</v>
      </c>
      <c r="Q529" s="408">
        <v>0</v>
      </c>
      <c r="R529" s="408">
        <v>32.17</v>
      </c>
      <c r="S529" s="408"/>
      <c r="T529" s="408"/>
      <c r="U529" s="408">
        <v>40727.22</v>
      </c>
      <c r="V529" s="408"/>
      <c r="W529" s="408">
        <v>40727.22</v>
      </c>
      <c r="X529" s="408">
        <v>16369.38</v>
      </c>
      <c r="Y529" s="408">
        <v>0</v>
      </c>
      <c r="Z529" s="408">
        <v>0</v>
      </c>
      <c r="AA529" s="408">
        <v>0</v>
      </c>
      <c r="AB529" s="408">
        <v>0</v>
      </c>
      <c r="AC529" s="408">
        <v>0</v>
      </c>
      <c r="AD529" s="408">
        <v>126.49394101619467</v>
      </c>
      <c r="AE529" s="408">
        <v>34089.247052472136</v>
      </c>
      <c r="AF529" s="408"/>
      <c r="AG529" s="408"/>
      <c r="AH529" s="408"/>
      <c r="AI529" s="408">
        <v>0</v>
      </c>
      <c r="AJ529" s="408">
        <v>0</v>
      </c>
      <c r="AK529" s="408">
        <v>0</v>
      </c>
      <c r="AL529" s="408">
        <v>0</v>
      </c>
      <c r="AM529" s="408"/>
      <c r="AN529" s="408">
        <v>0</v>
      </c>
      <c r="AO529" s="408">
        <v>2233.7571207197821</v>
      </c>
      <c r="AP529" s="408">
        <v>4282.7072994542314</v>
      </c>
      <c r="AQ529" s="408">
        <v>0</v>
      </c>
      <c r="AR529" s="408">
        <v>0</v>
      </c>
      <c r="AS529" s="408"/>
      <c r="AT529" s="408"/>
      <c r="AU529" s="408">
        <v>0</v>
      </c>
      <c r="AV529" s="408">
        <v>0</v>
      </c>
      <c r="AW529" s="408">
        <v>0</v>
      </c>
      <c r="AX529" s="408"/>
      <c r="AY529" s="408"/>
      <c r="AZ529" s="408">
        <v>0</v>
      </c>
      <c r="BA529" s="408"/>
      <c r="BB529" s="408">
        <v>0</v>
      </c>
      <c r="BC529" s="408">
        <v>0</v>
      </c>
      <c r="BD529" s="408">
        <v>0</v>
      </c>
      <c r="BE529" s="408">
        <v>0</v>
      </c>
      <c r="BF529" s="408"/>
      <c r="BG529" s="408">
        <v>0</v>
      </c>
      <c r="BH529" s="408">
        <v>0</v>
      </c>
      <c r="BI529" s="408">
        <v>159.88</v>
      </c>
      <c r="BJ529" s="408">
        <v>728.21</v>
      </c>
      <c r="BK529" s="408">
        <v>17991.73</v>
      </c>
      <c r="BL529" s="408">
        <v>9</v>
      </c>
      <c r="BM529" s="408"/>
      <c r="BN529" s="408"/>
      <c r="BO529" s="408"/>
      <c r="BP529" s="408"/>
      <c r="BQ529" s="408"/>
      <c r="BR529" s="408"/>
      <c r="BS529" s="408"/>
      <c r="BT529" s="408"/>
      <c r="BU529" s="408"/>
      <c r="BV529" s="408">
        <v>0</v>
      </c>
      <c r="BW529" s="408"/>
      <c r="BX529" s="408"/>
      <c r="BY529" s="408"/>
      <c r="BZ529" s="408"/>
      <c r="CA529" s="408"/>
      <c r="CB529" s="408"/>
      <c r="CC529" s="408"/>
      <c r="CD529" s="408"/>
      <c r="CE529" s="408"/>
      <c r="CF529" s="408"/>
      <c r="CG529" s="408"/>
      <c r="CH529" s="408"/>
      <c r="CI529" s="408">
        <v>16369.38</v>
      </c>
      <c r="CJ529" s="408">
        <v>-24357.87000000001</v>
      </c>
      <c r="CK529" s="408"/>
      <c r="CL529" s="408"/>
      <c r="CM529" s="408"/>
      <c r="CN529" s="408"/>
      <c r="CO529" s="408">
        <v>-24357.840000000004</v>
      </c>
      <c r="CP529" s="408">
        <v>0</v>
      </c>
      <c r="CQ529" s="408">
        <v>31</v>
      </c>
      <c r="CR529" s="408">
        <v>684.55118977643724</v>
      </c>
      <c r="CS529" s="408">
        <v>230.41545164008585</v>
      </c>
      <c r="CT529" s="408">
        <v>441.76778553615804</v>
      </c>
      <c r="CU529" s="408">
        <v>0</v>
      </c>
      <c r="CV529" s="408">
        <v>0</v>
      </c>
      <c r="CW529" s="408"/>
      <c r="CX529" s="408"/>
      <c r="CY529" s="408"/>
      <c r="CZ529" s="408">
        <v>12.367952600193178</v>
      </c>
      <c r="DA529" s="408">
        <v>0</v>
      </c>
      <c r="DB529" s="408">
        <v>0</v>
      </c>
      <c r="DC529" s="408"/>
      <c r="DD529" s="408"/>
      <c r="DE529" s="408">
        <v>0</v>
      </c>
      <c r="DF529" s="408">
        <v>0</v>
      </c>
      <c r="DG529" s="408">
        <v>0</v>
      </c>
      <c r="DH529" s="408">
        <v>0</v>
      </c>
      <c r="DI529" s="408">
        <v>0</v>
      </c>
      <c r="DJ529" s="408"/>
      <c r="DK529" s="408">
        <v>0</v>
      </c>
      <c r="DL529" s="408">
        <v>0</v>
      </c>
      <c r="DM529" s="408"/>
      <c r="DN529" s="408">
        <v>0</v>
      </c>
      <c r="DO529" s="408">
        <v>0</v>
      </c>
      <c r="DP529" s="408">
        <v>0</v>
      </c>
      <c r="DQ529" s="408">
        <v>0</v>
      </c>
      <c r="DR529" s="408">
        <v>0</v>
      </c>
      <c r="DS529" s="408"/>
      <c r="DT529" s="408"/>
      <c r="DU529" s="408">
        <v>34089.247052472136</v>
      </c>
      <c r="DV529" s="408"/>
      <c r="DW529" s="408">
        <v>0</v>
      </c>
      <c r="DX529" s="408">
        <v>0</v>
      </c>
      <c r="DY529" s="408">
        <v>-24357.840000000004</v>
      </c>
      <c r="DZ529" s="234"/>
      <c r="EA529" s="408">
        <v>0</v>
      </c>
      <c r="EB529" s="408"/>
      <c r="EC529" s="408">
        <v>-25045.704478131956</v>
      </c>
      <c r="ED529" s="408"/>
      <c r="EE529" s="408">
        <v>0</v>
      </c>
      <c r="EF529" s="408">
        <v>0</v>
      </c>
      <c r="EG529" s="408"/>
      <c r="EH529" s="408">
        <v>0</v>
      </c>
      <c r="EI529" s="408">
        <v>0</v>
      </c>
      <c r="EJ529" s="408">
        <v>0</v>
      </c>
      <c r="EK529" s="408">
        <v>0</v>
      </c>
      <c r="EL529" s="408">
        <v>0</v>
      </c>
      <c r="EM529" s="408"/>
      <c r="EN529" s="408"/>
      <c r="EO529" s="408">
        <v>0</v>
      </c>
      <c r="EP529" s="408">
        <v>0</v>
      </c>
      <c r="EQ529" s="408"/>
      <c r="ER529" s="408">
        <v>0</v>
      </c>
      <c r="ES529" s="408"/>
      <c r="ET529" s="408">
        <v>0</v>
      </c>
      <c r="EU529" s="408"/>
      <c r="EV529" s="408">
        <v>242</v>
      </c>
      <c r="EW529" s="408"/>
      <c r="EX529" s="408"/>
      <c r="EY529" s="408"/>
      <c r="EZ529" s="408"/>
      <c r="FA529" s="408">
        <v>0</v>
      </c>
      <c r="FB529" s="408"/>
      <c r="FC529" s="408"/>
      <c r="FD529" s="408"/>
      <c r="FE529" s="408"/>
      <c r="FF529" s="408">
        <v>0</v>
      </c>
      <c r="FG529" s="408">
        <v>0</v>
      </c>
      <c r="FH529" s="408">
        <v>0</v>
      </c>
      <c r="FI529" s="408">
        <v>0</v>
      </c>
    </row>
    <row r="530" spans="1:165">
      <c r="A530" s="408">
        <v>530</v>
      </c>
      <c r="B530" s="408" t="s">
        <v>1036</v>
      </c>
      <c r="C530" s="408" t="s">
        <v>2231</v>
      </c>
      <c r="D530" s="408" t="s">
        <v>2241</v>
      </c>
      <c r="E530" s="408" t="s">
        <v>974</v>
      </c>
      <c r="F530" s="408" t="s">
        <v>1322</v>
      </c>
      <c r="G530" s="408" t="s">
        <v>1322</v>
      </c>
      <c r="H530" s="408" t="s">
        <v>1322</v>
      </c>
      <c r="I530" s="408" t="s">
        <v>1322</v>
      </c>
      <c r="J530" s="408" t="s">
        <v>2232</v>
      </c>
      <c r="K530" s="828">
        <v>44682</v>
      </c>
      <c r="L530" s="408">
        <v>0</v>
      </c>
      <c r="M530" s="408">
        <v>0</v>
      </c>
      <c r="N530" s="408">
        <v>3332.48</v>
      </c>
      <c r="O530" s="408">
        <v>3332.48</v>
      </c>
      <c r="P530" s="408">
        <v>3332.48</v>
      </c>
      <c r="Q530" s="408">
        <v>3332.48</v>
      </c>
      <c r="R530" s="408"/>
      <c r="S530" s="408">
        <v>571.87</v>
      </c>
      <c r="T530" s="408">
        <v>216.76</v>
      </c>
      <c r="U530" s="408"/>
      <c r="V530" s="408">
        <v>2628093.7023999998</v>
      </c>
      <c r="W530" s="408">
        <v>2628093.7023999998</v>
      </c>
      <c r="X530" s="408">
        <v>1712928.0447999998</v>
      </c>
      <c r="Y530" s="408">
        <v>0</v>
      </c>
      <c r="Z530" s="408">
        <v>201983.6690869201</v>
      </c>
      <c r="AA530" s="408">
        <v>0</v>
      </c>
      <c r="AB530" s="408">
        <v>0</v>
      </c>
      <c r="AC530" s="408">
        <v>0</v>
      </c>
      <c r="AD530" s="408">
        <v>2739.0109653368595</v>
      </c>
      <c r="AE530" s="408">
        <v>1420915.0485587819</v>
      </c>
      <c r="AF530" s="408">
        <v>711822.7294647505</v>
      </c>
      <c r="AG530" s="408">
        <v>10521.988136132761</v>
      </c>
      <c r="AH530" s="408">
        <v>0</v>
      </c>
      <c r="AI530" s="408">
        <v>0</v>
      </c>
      <c r="AJ530" s="408">
        <v>0</v>
      </c>
      <c r="AK530" s="408">
        <v>0</v>
      </c>
      <c r="AL530" s="408">
        <v>31237.446694510585</v>
      </c>
      <c r="AM530" s="408"/>
      <c r="AN530" s="408">
        <v>6393.2614264958474</v>
      </c>
      <c r="AO530" s="408">
        <v>29598.080114930232</v>
      </c>
      <c r="AP530" s="408">
        <v>92733.271253523897</v>
      </c>
      <c r="AQ530" s="408">
        <v>0</v>
      </c>
      <c r="AR530" s="408">
        <v>0</v>
      </c>
      <c r="AS530" s="408">
        <v>0</v>
      </c>
      <c r="AT530" s="408">
        <v>0</v>
      </c>
      <c r="AU530" s="408">
        <v>0</v>
      </c>
      <c r="AV530" s="408">
        <v>0</v>
      </c>
      <c r="AW530" s="408">
        <v>0</v>
      </c>
      <c r="AX530" s="408">
        <v>0</v>
      </c>
      <c r="AY530" s="408">
        <v>0</v>
      </c>
      <c r="AZ530" s="408">
        <v>0</v>
      </c>
      <c r="BA530" s="408"/>
      <c r="BB530" s="408">
        <v>0</v>
      </c>
      <c r="BC530" s="408">
        <v>0</v>
      </c>
      <c r="BD530" s="408">
        <v>1983.0576135272945</v>
      </c>
      <c r="BE530" s="408">
        <v>0</v>
      </c>
      <c r="BF530" s="408">
        <v>0</v>
      </c>
      <c r="BG530" s="408">
        <v>118163.86719238291</v>
      </c>
      <c r="BH530" s="408">
        <v>0</v>
      </c>
      <c r="BI530" s="408">
        <v>4341.92</v>
      </c>
      <c r="BJ530" s="408">
        <v>20012.36</v>
      </c>
      <c r="BK530" s="408">
        <v>102826.73</v>
      </c>
      <c r="BL530" s="408">
        <v>10362</v>
      </c>
      <c r="BM530" s="408"/>
      <c r="BN530" s="408"/>
      <c r="BO530" s="408"/>
      <c r="BP530" s="408"/>
      <c r="BQ530" s="408"/>
      <c r="BR530" s="408">
        <v>205547.36639999994</v>
      </c>
      <c r="BS530" s="408"/>
      <c r="BT530" s="408"/>
      <c r="BU530" s="408"/>
      <c r="BV530" s="408">
        <v>831969.65427066071</v>
      </c>
      <c r="BW530" s="408"/>
      <c r="BX530" s="408"/>
      <c r="BY530" s="408"/>
      <c r="BZ530" s="408"/>
      <c r="CA530" s="408"/>
      <c r="CB530" s="408"/>
      <c r="CC530" s="408"/>
      <c r="CD530" s="408"/>
      <c r="CE530" s="408"/>
      <c r="CF530" s="408"/>
      <c r="CG530" s="408"/>
      <c r="CH530" s="408"/>
      <c r="CI530" s="408">
        <v>1507380.6784000001</v>
      </c>
      <c r="CJ530" s="408">
        <v>-805360.47159999982</v>
      </c>
      <c r="CK530" s="408"/>
      <c r="CL530" s="408"/>
      <c r="CM530" s="408"/>
      <c r="CN530" s="408"/>
      <c r="CO530" s="408">
        <v>-1023904.48</v>
      </c>
      <c r="CP530" s="408">
        <v>108738.82239999999</v>
      </c>
      <c r="CQ530" s="408">
        <v>31</v>
      </c>
      <c r="CR530" s="408">
        <v>128801.3712273608</v>
      </c>
      <c r="CS530" s="408">
        <v>3053.0870765230611</v>
      </c>
      <c r="CT530" s="408">
        <v>9565.5782715792157</v>
      </c>
      <c r="CU530" s="408">
        <v>0</v>
      </c>
      <c r="CV530" s="408">
        <v>0</v>
      </c>
      <c r="CW530" s="408">
        <v>0</v>
      </c>
      <c r="CX530" s="408">
        <v>0</v>
      </c>
      <c r="CY530" s="408">
        <v>0</v>
      </c>
      <c r="CZ530" s="408">
        <v>267.80695991088851</v>
      </c>
      <c r="DA530" s="408">
        <v>0</v>
      </c>
      <c r="DB530" s="408">
        <v>0</v>
      </c>
      <c r="DC530" s="408">
        <v>108752.79723280668</v>
      </c>
      <c r="DD530" s="408">
        <v>0</v>
      </c>
      <c r="DE530" s="408">
        <v>0</v>
      </c>
      <c r="DF530" s="408">
        <v>302.97299259757619</v>
      </c>
      <c r="DG530" s="408">
        <v>18053.162054379427</v>
      </c>
      <c r="DH530" s="408">
        <v>0</v>
      </c>
      <c r="DI530" s="408">
        <v>-9650.2132676628535</v>
      </c>
      <c r="DJ530" s="408"/>
      <c r="DK530" s="408">
        <v>0</v>
      </c>
      <c r="DL530" s="408">
        <v>0</v>
      </c>
      <c r="DM530" s="408">
        <v>0</v>
      </c>
      <c r="DN530" s="408">
        <v>0</v>
      </c>
      <c r="DO530" s="408">
        <v>-1265.7603673191516</v>
      </c>
      <c r="DP530" s="408">
        <v>-278.0597254542281</v>
      </c>
      <c r="DQ530" s="408">
        <v>0</v>
      </c>
      <c r="DR530" s="408">
        <v>0</v>
      </c>
      <c r="DS530" s="408"/>
      <c r="DT530" s="408"/>
      <c r="DU530" s="408"/>
      <c r="DV530" s="408">
        <v>1420915.0485587819</v>
      </c>
      <c r="DW530" s="408">
        <v>0</v>
      </c>
      <c r="DX530" s="408">
        <v>0</v>
      </c>
      <c r="DY530" s="408">
        <v>-1023904.48</v>
      </c>
      <c r="DZ530" s="234">
        <v>108738.82239999995</v>
      </c>
      <c r="EA530" s="408">
        <v>0</v>
      </c>
      <c r="EB530" s="408">
        <v>0</v>
      </c>
      <c r="EC530" s="408">
        <v>-1043960.2359053276</v>
      </c>
      <c r="ED530" s="408">
        <v>0</v>
      </c>
      <c r="EE530" s="408">
        <v>0</v>
      </c>
      <c r="EF530" s="408">
        <v>0</v>
      </c>
      <c r="EG530" s="408">
        <v>0</v>
      </c>
      <c r="EH530" s="408">
        <v>0</v>
      </c>
      <c r="EI530" s="408">
        <v>0</v>
      </c>
      <c r="EJ530" s="408">
        <v>0</v>
      </c>
      <c r="EK530" s="408">
        <v>0</v>
      </c>
      <c r="EL530" s="408">
        <v>0</v>
      </c>
      <c r="EM530" s="408">
        <v>0</v>
      </c>
      <c r="EN530" s="408">
        <v>0</v>
      </c>
      <c r="EO530" s="408">
        <v>0</v>
      </c>
      <c r="EP530" s="408">
        <v>0</v>
      </c>
      <c r="EQ530" s="408">
        <v>0</v>
      </c>
      <c r="ER530" s="408">
        <v>0</v>
      </c>
      <c r="ES530" s="408">
        <v>0</v>
      </c>
      <c r="ET530" s="408">
        <v>0</v>
      </c>
      <c r="EU530" s="408">
        <v>0</v>
      </c>
      <c r="EV530" s="408">
        <v>242</v>
      </c>
      <c r="EW530" s="408">
        <v>0</v>
      </c>
      <c r="EX530" s="408">
        <v>0</v>
      </c>
      <c r="EY530" s="408">
        <v>0</v>
      </c>
      <c r="EZ530" s="408"/>
      <c r="FA530" s="408">
        <v>0</v>
      </c>
      <c r="FB530" s="408"/>
      <c r="FC530" s="408"/>
      <c r="FD530" s="408"/>
      <c r="FE530" s="408"/>
      <c r="FF530" s="408">
        <v>0</v>
      </c>
      <c r="FG530" s="408">
        <v>0</v>
      </c>
      <c r="FH530" s="408">
        <v>0</v>
      </c>
      <c r="FI530" s="408">
        <v>0</v>
      </c>
    </row>
    <row r="531" spans="1:165">
      <c r="A531" s="408">
        <v>531</v>
      </c>
      <c r="B531" s="408" t="s">
        <v>2233</v>
      </c>
      <c r="C531" s="408" t="s">
        <v>2231</v>
      </c>
      <c r="D531" s="408" t="s">
        <v>2241</v>
      </c>
      <c r="E531" s="408" t="s">
        <v>974</v>
      </c>
      <c r="F531" s="408" t="s">
        <v>1322</v>
      </c>
      <c r="G531" s="408" t="s">
        <v>1322</v>
      </c>
      <c r="H531" s="408" t="s">
        <v>1322</v>
      </c>
      <c r="I531" s="408" t="s">
        <v>1322</v>
      </c>
      <c r="J531" s="408" t="s">
        <v>2232</v>
      </c>
      <c r="K531" s="828">
        <v>44682</v>
      </c>
      <c r="L531" s="408">
        <v>0</v>
      </c>
      <c r="M531" s="408">
        <v>0</v>
      </c>
      <c r="N531" s="408">
        <v>-5.5039999999999996</v>
      </c>
      <c r="O531" s="408">
        <v>-5.5039999999999996</v>
      </c>
      <c r="P531" s="408">
        <v>-5.5039999999999996</v>
      </c>
      <c r="Q531" s="408">
        <v>-5.5039999999999996</v>
      </c>
      <c r="R531" s="408"/>
      <c r="S531" s="408">
        <v>571.87</v>
      </c>
      <c r="T531" s="408">
        <v>216.76</v>
      </c>
      <c r="U531" s="408"/>
      <c r="V531" s="408">
        <v>-4340.6195200000002</v>
      </c>
      <c r="W531" s="408">
        <v>-4340.6195200000002</v>
      </c>
      <c r="X531" s="408">
        <v>-2829.1110399999998</v>
      </c>
      <c r="Y531" s="408">
        <v>0</v>
      </c>
      <c r="Z531" s="408">
        <v>-333.60083621039229</v>
      </c>
      <c r="AA531" s="408">
        <v>0</v>
      </c>
      <c r="AB531" s="408">
        <v>0</v>
      </c>
      <c r="AC531" s="408">
        <v>0</v>
      </c>
      <c r="AD531" s="408">
        <v>-4.5238130020927576</v>
      </c>
      <c r="AE531" s="408">
        <v>-2346.8157130027894</v>
      </c>
      <c r="AF531" s="408">
        <v>-1175.6626605332924</v>
      </c>
      <c r="AG531" s="408">
        <v>-17.378355669433788</v>
      </c>
      <c r="AH531" s="408">
        <v>0</v>
      </c>
      <c r="AI531" s="408">
        <v>0</v>
      </c>
      <c r="AJ531" s="408">
        <v>0</v>
      </c>
      <c r="AK531" s="408">
        <v>0</v>
      </c>
      <c r="AL531" s="408">
        <v>-51.592479656768006</v>
      </c>
      <c r="AM531" s="408"/>
      <c r="AN531" s="408">
        <v>-10.559256437077835</v>
      </c>
      <c r="AO531" s="408">
        <v>-48.884864411062026</v>
      </c>
      <c r="AP531" s="408">
        <v>-153.16038655277615</v>
      </c>
      <c r="AQ531" s="408">
        <v>0</v>
      </c>
      <c r="AR531" s="408">
        <v>0</v>
      </c>
      <c r="AS531" s="408">
        <v>0</v>
      </c>
      <c r="AT531" s="408">
        <v>0</v>
      </c>
      <c r="AU531" s="408">
        <v>0</v>
      </c>
      <c r="AV531" s="408">
        <v>0</v>
      </c>
      <c r="AW531" s="408">
        <v>0</v>
      </c>
      <c r="AX531" s="408">
        <v>0</v>
      </c>
      <c r="AY531" s="408">
        <v>0</v>
      </c>
      <c r="AZ531" s="408">
        <v>0</v>
      </c>
      <c r="BA531" s="408"/>
      <c r="BB531" s="408">
        <v>0</v>
      </c>
      <c r="BC531" s="408">
        <v>0</v>
      </c>
      <c r="BD531" s="408">
        <v>-3.2752631988351704</v>
      </c>
      <c r="BE531" s="408">
        <v>0</v>
      </c>
      <c r="BF531" s="408">
        <v>0</v>
      </c>
      <c r="BG531" s="408">
        <v>-195.16213901565064</v>
      </c>
      <c r="BH531" s="408">
        <v>0</v>
      </c>
      <c r="BI531" s="408">
        <v>-12.42</v>
      </c>
      <c r="BJ531" s="408">
        <v>-56.97</v>
      </c>
      <c r="BK531" s="408">
        <v>-83.21</v>
      </c>
      <c r="BL531" s="408">
        <v>0</v>
      </c>
      <c r="BM531" s="408"/>
      <c r="BN531" s="408"/>
      <c r="BO531" s="408"/>
      <c r="BP531" s="408"/>
      <c r="BQ531" s="408"/>
      <c r="BR531" s="408">
        <v>-339.48671999999988</v>
      </c>
      <c r="BS531" s="408"/>
      <c r="BT531" s="408"/>
      <c r="BU531" s="408"/>
      <c r="BV531" s="408">
        <v>-1374.1000627477781</v>
      </c>
      <c r="BW531" s="408"/>
      <c r="BX531" s="408"/>
      <c r="BY531" s="408"/>
      <c r="BZ531" s="408"/>
      <c r="CA531" s="408"/>
      <c r="CB531" s="408"/>
      <c r="CC531" s="408"/>
      <c r="CD531" s="408"/>
      <c r="CE531" s="408"/>
      <c r="CF531" s="408"/>
      <c r="CG531" s="408"/>
      <c r="CH531" s="408"/>
      <c r="CI531" s="408">
        <v>-2487.8150000000001</v>
      </c>
      <c r="CJ531" s="408">
        <v>1331.9309999999991</v>
      </c>
      <c r="CK531" s="408"/>
      <c r="CL531" s="408"/>
      <c r="CM531" s="408"/>
      <c r="CN531" s="408"/>
      <c r="CO531" s="408">
        <v>1691.1039999999998</v>
      </c>
      <c r="CP531" s="408">
        <v>-179.59551999999996</v>
      </c>
      <c r="CQ531" s="408">
        <v>31</v>
      </c>
      <c r="CR531" s="408">
        <v>-212.73128337916364</v>
      </c>
      <c r="CS531" s="408">
        <v>-5.0425482731127929</v>
      </c>
      <c r="CT531" s="408">
        <v>-15.798727316224557</v>
      </c>
      <c r="CU531" s="408">
        <v>0</v>
      </c>
      <c r="CV531" s="408">
        <v>0</v>
      </c>
      <c r="CW531" s="408">
        <v>0</v>
      </c>
      <c r="CX531" s="408">
        <v>0</v>
      </c>
      <c r="CY531" s="408">
        <v>0</v>
      </c>
      <c r="CZ531" s="408">
        <v>-0.44231608512265019</v>
      </c>
      <c r="DA531" s="408">
        <v>0</v>
      </c>
      <c r="DB531" s="408">
        <v>0</v>
      </c>
      <c r="DC531" s="408">
        <v>-179.61860115270565</v>
      </c>
      <c r="DD531" s="408">
        <v>0</v>
      </c>
      <c r="DE531" s="408">
        <v>0</v>
      </c>
      <c r="DF531" s="408">
        <v>-0.50039710703651874</v>
      </c>
      <c r="DG531" s="408">
        <v>-29.817014339862311</v>
      </c>
      <c r="DH531" s="408">
        <v>0</v>
      </c>
      <c r="DI531" s="408">
        <v>15.938512406740983</v>
      </c>
      <c r="DJ531" s="408"/>
      <c r="DK531" s="408">
        <v>0</v>
      </c>
      <c r="DL531" s="408">
        <v>0</v>
      </c>
      <c r="DM531" s="408">
        <v>0</v>
      </c>
      <c r="DN531" s="408">
        <v>0</v>
      </c>
      <c r="DO531" s="408">
        <v>2.0905587015449782</v>
      </c>
      <c r="DP531" s="408">
        <v>0.45924978661539662</v>
      </c>
      <c r="DQ531" s="408">
        <v>0</v>
      </c>
      <c r="DR531" s="408">
        <v>0</v>
      </c>
      <c r="DS531" s="408"/>
      <c r="DT531" s="408"/>
      <c r="DU531" s="408"/>
      <c r="DV531" s="408">
        <v>-2346.8157130027894</v>
      </c>
      <c r="DW531" s="408">
        <v>0</v>
      </c>
      <c r="DX531" s="408">
        <v>0</v>
      </c>
      <c r="DY531" s="408">
        <v>1691.1039999999998</v>
      </c>
      <c r="DZ531" s="234">
        <v>-179.59551999999985</v>
      </c>
      <c r="EA531" s="408">
        <v>0</v>
      </c>
      <c r="EB531" s="408">
        <v>0</v>
      </c>
      <c r="EC531" s="408">
        <v>1724.2285440341498</v>
      </c>
      <c r="ED531" s="408">
        <v>0</v>
      </c>
      <c r="EE531" s="408">
        <v>0</v>
      </c>
      <c r="EF531" s="408">
        <v>0</v>
      </c>
      <c r="EG531" s="408">
        <v>0</v>
      </c>
      <c r="EH531" s="408">
        <v>0</v>
      </c>
      <c r="EI531" s="408">
        <v>0</v>
      </c>
      <c r="EJ531" s="408">
        <v>0</v>
      </c>
      <c r="EK531" s="408">
        <v>0</v>
      </c>
      <c r="EL531" s="408">
        <v>0</v>
      </c>
      <c r="EM531" s="408">
        <v>0</v>
      </c>
      <c r="EN531" s="408">
        <v>0</v>
      </c>
      <c r="EO531" s="408">
        <v>0</v>
      </c>
      <c r="EP531" s="408">
        <v>0</v>
      </c>
      <c r="EQ531" s="408">
        <v>0</v>
      </c>
      <c r="ER531" s="408">
        <v>0</v>
      </c>
      <c r="ES531" s="408">
        <v>0</v>
      </c>
      <c r="ET531" s="408">
        <v>0</v>
      </c>
      <c r="EU531" s="408">
        <v>0</v>
      </c>
      <c r="EV531" s="408">
        <v>242</v>
      </c>
      <c r="EW531" s="408">
        <v>0</v>
      </c>
      <c r="EX531" s="408">
        <v>0</v>
      </c>
      <c r="EY531" s="408">
        <v>0</v>
      </c>
      <c r="EZ531" s="408"/>
      <c r="FA531" s="408">
        <v>0</v>
      </c>
      <c r="FB531" s="408"/>
      <c r="FC531" s="408"/>
      <c r="FD531" s="408"/>
      <c r="FE531" s="408"/>
      <c r="FF531" s="408">
        <v>0</v>
      </c>
      <c r="FG531" s="408">
        <v>0</v>
      </c>
      <c r="FH531" s="408">
        <v>0</v>
      </c>
      <c r="FI531" s="408">
        <v>0</v>
      </c>
    </row>
    <row r="532" spans="1:165">
      <c r="A532" s="408">
        <v>532</v>
      </c>
      <c r="B532" s="408" t="s">
        <v>2234</v>
      </c>
      <c r="C532" s="408" t="s">
        <v>2231</v>
      </c>
      <c r="D532" s="408" t="s">
        <v>2241</v>
      </c>
      <c r="E532" s="408" t="s">
        <v>974</v>
      </c>
      <c r="F532" s="408" t="s">
        <v>1322</v>
      </c>
      <c r="G532" s="408" t="s">
        <v>1322</v>
      </c>
      <c r="H532" s="408" t="s">
        <v>1322</v>
      </c>
      <c r="I532" s="408" t="s">
        <v>1322</v>
      </c>
      <c r="J532" s="408" t="s">
        <v>2232</v>
      </c>
      <c r="K532" s="828">
        <v>44682</v>
      </c>
      <c r="L532" s="408">
        <v>0</v>
      </c>
      <c r="M532" s="408">
        <v>0</v>
      </c>
      <c r="N532" s="408">
        <v>61.683999999999997</v>
      </c>
      <c r="O532" s="408">
        <v>61.683999999999997</v>
      </c>
      <c r="P532" s="408">
        <v>61.683999999999997</v>
      </c>
      <c r="Q532" s="408">
        <v>61.683999999999997</v>
      </c>
      <c r="R532" s="408"/>
      <c r="S532" s="408">
        <v>571.87</v>
      </c>
      <c r="T532" s="408">
        <v>216.76</v>
      </c>
      <c r="U532" s="408"/>
      <c r="V532" s="408">
        <v>48645.852919999998</v>
      </c>
      <c r="W532" s="408">
        <v>48645.852919999998</v>
      </c>
      <c r="X532" s="408">
        <v>31706.192839999996</v>
      </c>
      <c r="Y532" s="408">
        <v>0</v>
      </c>
      <c r="Z532" s="408">
        <v>3738.7053017445201</v>
      </c>
      <c r="AA532" s="408">
        <v>0</v>
      </c>
      <c r="AB532" s="408">
        <v>0</v>
      </c>
      <c r="AC532" s="408">
        <v>0</v>
      </c>
      <c r="AD532" s="408">
        <v>50.698924640459609</v>
      </c>
      <c r="AE532" s="408">
        <v>26301.050225447685</v>
      </c>
      <c r="AF532" s="408">
        <v>13175.794976805162</v>
      </c>
      <c r="AG532" s="408">
        <v>194.76135376332738</v>
      </c>
      <c r="AH532" s="408">
        <v>0</v>
      </c>
      <c r="AI532" s="408">
        <v>0</v>
      </c>
      <c r="AJ532" s="408">
        <v>0</v>
      </c>
      <c r="AK532" s="408">
        <v>0</v>
      </c>
      <c r="AL532" s="408">
        <v>578.20321859521766</v>
      </c>
      <c r="AM532" s="408"/>
      <c r="AN532" s="408">
        <v>118.33887610187303</v>
      </c>
      <c r="AO532" s="408">
        <v>547.85864395565955</v>
      </c>
      <c r="AP532" s="408">
        <v>1716.4871519115995</v>
      </c>
      <c r="AQ532" s="408">
        <v>0</v>
      </c>
      <c r="AR532" s="408">
        <v>0</v>
      </c>
      <c r="AS532" s="408">
        <v>0</v>
      </c>
      <c r="AT532" s="408">
        <v>0</v>
      </c>
      <c r="AU532" s="408">
        <v>0</v>
      </c>
      <c r="AV532" s="408">
        <v>0</v>
      </c>
      <c r="AW532" s="408">
        <v>0</v>
      </c>
      <c r="AX532" s="408">
        <v>0</v>
      </c>
      <c r="AY532" s="408">
        <v>0</v>
      </c>
      <c r="AZ532" s="408">
        <v>0</v>
      </c>
      <c r="BA532" s="408"/>
      <c r="BB532" s="408">
        <v>0</v>
      </c>
      <c r="BC532" s="408">
        <v>0</v>
      </c>
      <c r="BD532" s="408">
        <v>36.70627455613166</v>
      </c>
      <c r="BE532" s="408">
        <v>0</v>
      </c>
      <c r="BF532" s="408">
        <v>0</v>
      </c>
      <c r="BG532" s="408">
        <v>2187.2059198839743</v>
      </c>
      <c r="BH532" s="408">
        <v>0</v>
      </c>
      <c r="BI532" s="408">
        <v>81.08</v>
      </c>
      <c r="BJ532" s="408">
        <v>375.7</v>
      </c>
      <c r="BK532" s="408">
        <v>2038.68</v>
      </c>
      <c r="BL532" s="408">
        <v>288</v>
      </c>
      <c r="BM532" s="408"/>
      <c r="BN532" s="408"/>
      <c r="BO532" s="408"/>
      <c r="BP532" s="408"/>
      <c r="BQ532" s="408"/>
      <c r="BR532" s="408">
        <v>3804.6691199999987</v>
      </c>
      <c r="BS532" s="408"/>
      <c r="BT532" s="408"/>
      <c r="BU532" s="408"/>
      <c r="BV532" s="408">
        <v>15399.707171245269</v>
      </c>
      <c r="BW532" s="408"/>
      <c r="BX532" s="408"/>
      <c r="BY532" s="408"/>
      <c r="BZ532" s="408"/>
      <c r="CA532" s="408"/>
      <c r="CB532" s="408"/>
      <c r="CC532" s="408"/>
      <c r="CD532" s="408"/>
      <c r="CE532" s="408"/>
      <c r="CF532" s="408"/>
      <c r="CG532" s="408"/>
      <c r="CH532" s="408"/>
      <c r="CI532" s="408">
        <v>27899.714399999997</v>
      </c>
      <c r="CJ532" s="408">
        <v>-14909.011599999998</v>
      </c>
      <c r="CK532" s="408"/>
      <c r="CL532" s="408"/>
      <c r="CM532" s="408"/>
      <c r="CN532" s="408"/>
      <c r="CO532" s="408">
        <v>-18952.409</v>
      </c>
      <c r="CP532" s="408">
        <v>2012.7489199999995</v>
      </c>
      <c r="CQ532" s="408">
        <v>31</v>
      </c>
      <c r="CR532" s="408">
        <v>2384.105465835808</v>
      </c>
      <c r="CS532" s="408">
        <v>56.512454156738613</v>
      </c>
      <c r="CT532" s="408">
        <v>177.05826594731025</v>
      </c>
      <c r="CU532" s="408">
        <v>0</v>
      </c>
      <c r="CV532" s="408">
        <v>0</v>
      </c>
      <c r="CW532" s="408">
        <v>0</v>
      </c>
      <c r="CX532" s="408">
        <v>0</v>
      </c>
      <c r="CY532" s="408">
        <v>0</v>
      </c>
      <c r="CZ532" s="408">
        <v>4.9570903696776085</v>
      </c>
      <c r="DA532" s="408">
        <v>0</v>
      </c>
      <c r="DB532" s="408">
        <v>0</v>
      </c>
      <c r="DC532" s="408">
        <v>2013.0075932964191</v>
      </c>
      <c r="DD532" s="408">
        <v>0</v>
      </c>
      <c r="DE532" s="408">
        <v>0</v>
      </c>
      <c r="DF532" s="408">
        <v>5.6080114735538942</v>
      </c>
      <c r="DG532" s="408">
        <v>334.16292015626232</v>
      </c>
      <c r="DH532" s="408">
        <v>0</v>
      </c>
      <c r="DI532" s="408">
        <v>-178.62485452351211</v>
      </c>
      <c r="DJ532" s="408"/>
      <c r="DK532" s="408">
        <v>0</v>
      </c>
      <c r="DL532" s="408">
        <v>0</v>
      </c>
      <c r="DM532" s="408">
        <v>0</v>
      </c>
      <c r="DN532" s="408">
        <v>0</v>
      </c>
      <c r="DO532" s="408">
        <v>-23.429146610846715</v>
      </c>
      <c r="DP532" s="408">
        <v>-5.1468684297936136</v>
      </c>
      <c r="DQ532" s="408">
        <v>0</v>
      </c>
      <c r="DR532" s="408">
        <v>0</v>
      </c>
      <c r="DS532" s="408"/>
      <c r="DT532" s="408"/>
      <c r="DU532" s="408"/>
      <c r="DV532" s="408">
        <v>26301.050225447685</v>
      </c>
      <c r="DW532" s="408">
        <v>0</v>
      </c>
      <c r="DX532" s="408">
        <v>0</v>
      </c>
      <c r="DY532" s="408">
        <v>-18952.409</v>
      </c>
      <c r="DZ532" s="234">
        <v>2012.74892</v>
      </c>
      <c r="EA532" s="408">
        <v>0</v>
      </c>
      <c r="EB532" s="408">
        <v>0</v>
      </c>
      <c r="EC532" s="408">
        <v>-19323.639809266442</v>
      </c>
      <c r="ED532" s="408">
        <v>0</v>
      </c>
      <c r="EE532" s="408">
        <v>0</v>
      </c>
      <c r="EF532" s="408">
        <v>0</v>
      </c>
      <c r="EG532" s="408">
        <v>0</v>
      </c>
      <c r="EH532" s="408">
        <v>0</v>
      </c>
      <c r="EI532" s="408">
        <v>0</v>
      </c>
      <c r="EJ532" s="408">
        <v>0</v>
      </c>
      <c r="EK532" s="408">
        <v>0</v>
      </c>
      <c r="EL532" s="408">
        <v>0</v>
      </c>
      <c r="EM532" s="408">
        <v>0</v>
      </c>
      <c r="EN532" s="408">
        <v>0</v>
      </c>
      <c r="EO532" s="408">
        <v>0</v>
      </c>
      <c r="EP532" s="408">
        <v>0</v>
      </c>
      <c r="EQ532" s="408">
        <v>0</v>
      </c>
      <c r="ER532" s="408">
        <v>0</v>
      </c>
      <c r="ES532" s="408">
        <v>0</v>
      </c>
      <c r="ET532" s="408">
        <v>0</v>
      </c>
      <c r="EU532" s="408">
        <v>0</v>
      </c>
      <c r="EV532" s="408">
        <v>242</v>
      </c>
      <c r="EW532" s="408">
        <v>0</v>
      </c>
      <c r="EX532" s="408">
        <v>0</v>
      </c>
      <c r="EY532" s="408">
        <v>0</v>
      </c>
      <c r="EZ532" s="408"/>
      <c r="FA532" s="408">
        <v>0</v>
      </c>
      <c r="FB532" s="408"/>
      <c r="FC532" s="408"/>
      <c r="FD532" s="408"/>
      <c r="FE532" s="408"/>
      <c r="FF532" s="408">
        <v>0</v>
      </c>
      <c r="FG532" s="408">
        <v>0</v>
      </c>
      <c r="FH532" s="408">
        <v>0</v>
      </c>
      <c r="FI532" s="408">
        <v>0</v>
      </c>
    </row>
    <row r="533" spans="1:165">
      <c r="A533" s="408">
        <v>533</v>
      </c>
      <c r="B533" s="408" t="s">
        <v>1036</v>
      </c>
      <c r="C533" s="408" t="s">
        <v>2239</v>
      </c>
      <c r="D533" s="408" t="s">
        <v>597</v>
      </c>
      <c r="E533" s="408" t="s">
        <v>974</v>
      </c>
      <c r="F533" s="408" t="s">
        <v>1322</v>
      </c>
      <c r="G533" s="408" t="s">
        <v>1322</v>
      </c>
      <c r="H533" s="408" t="s">
        <v>1322</v>
      </c>
      <c r="I533" s="408" t="s">
        <v>973</v>
      </c>
      <c r="J533" s="408" t="s">
        <v>2232</v>
      </c>
      <c r="K533" s="828">
        <v>44682</v>
      </c>
      <c r="L533" s="408">
        <v>0</v>
      </c>
      <c r="M533" s="408">
        <v>0</v>
      </c>
      <c r="N533" s="408">
        <v>0.124</v>
      </c>
      <c r="O533" s="408">
        <v>0.11904000000000001</v>
      </c>
      <c r="P533" s="408">
        <v>0.124</v>
      </c>
      <c r="Q533" s="408">
        <v>0.11904000000000001</v>
      </c>
      <c r="R533" s="408"/>
      <c r="S533" s="408">
        <v>2592.54</v>
      </c>
      <c r="T533" s="408">
        <v>216.76</v>
      </c>
      <c r="U533" s="408"/>
      <c r="V533" s="408">
        <v>348.35320000000002</v>
      </c>
      <c r="W533" s="408">
        <v>348.35320000000002</v>
      </c>
      <c r="X533" s="408">
        <v>146.46879999999999</v>
      </c>
      <c r="Y533" s="408">
        <v>0</v>
      </c>
      <c r="Z533" s="408">
        <v>6.5386733667109613</v>
      </c>
      <c r="AA533" s="408">
        <v>0</v>
      </c>
      <c r="AB533" s="408">
        <v>0</v>
      </c>
      <c r="AC533" s="408">
        <v>0</v>
      </c>
      <c r="AD533" s="408">
        <v>0.62702276567627213</v>
      </c>
      <c r="AE533" s="408">
        <v>284.0705465473149</v>
      </c>
      <c r="AF533" s="408">
        <v>26.486586102130865</v>
      </c>
      <c r="AG533" s="408">
        <v>0.39151818732009264</v>
      </c>
      <c r="AH533" s="408">
        <v>0</v>
      </c>
      <c r="AI533" s="408">
        <v>0</v>
      </c>
      <c r="AJ533" s="408">
        <v>0</v>
      </c>
      <c r="AK533" s="408">
        <v>0</v>
      </c>
      <c r="AL533" s="408">
        <v>1.1623305736626515</v>
      </c>
      <c r="AM533" s="408"/>
      <c r="AN533" s="408">
        <v>0.17027955236617978</v>
      </c>
      <c r="AO533" s="408">
        <v>5.5942440710632431</v>
      </c>
      <c r="AP533" s="408">
        <v>21.228892841821384</v>
      </c>
      <c r="AQ533" s="408">
        <v>0</v>
      </c>
      <c r="AR533" s="408">
        <v>0</v>
      </c>
      <c r="AS533" s="408">
        <v>0</v>
      </c>
      <c r="AT533" s="408">
        <v>0</v>
      </c>
      <c r="AU533" s="408">
        <v>0</v>
      </c>
      <c r="AV533" s="408">
        <v>0</v>
      </c>
      <c r="AW533" s="408">
        <v>0</v>
      </c>
      <c r="AX533" s="408">
        <v>0</v>
      </c>
      <c r="AY533" s="408">
        <v>0</v>
      </c>
      <c r="AZ533" s="408">
        <v>0</v>
      </c>
      <c r="BA533" s="408"/>
      <c r="BB533" s="408">
        <v>0</v>
      </c>
      <c r="BC533" s="408">
        <v>0</v>
      </c>
      <c r="BD533" s="408">
        <v>5.6705038608414547E-2</v>
      </c>
      <c r="BE533" s="408">
        <v>0</v>
      </c>
      <c r="BF533" s="408">
        <v>0</v>
      </c>
      <c r="BG533" s="408">
        <v>2.0256834465548201</v>
      </c>
      <c r="BH533" s="408">
        <v>0</v>
      </c>
      <c r="BI533" s="408">
        <v>0</v>
      </c>
      <c r="BJ533" s="408">
        <v>0</v>
      </c>
      <c r="BK533" s="408">
        <v>0</v>
      </c>
      <c r="BL533" s="408">
        <v>0</v>
      </c>
      <c r="BM533" s="408"/>
      <c r="BN533" s="408"/>
      <c r="BO533" s="408"/>
      <c r="BP533" s="408"/>
      <c r="BQ533" s="408"/>
      <c r="BR533" s="408">
        <v>5.8587519999999902</v>
      </c>
      <c r="BS533" s="408"/>
      <c r="BT533" s="408"/>
      <c r="BU533" s="408"/>
      <c r="BV533" s="408">
        <v>28.568974587294097</v>
      </c>
      <c r="BW533" s="408"/>
      <c r="BX533" s="408"/>
      <c r="BY533" s="408"/>
      <c r="BZ533" s="408"/>
      <c r="CA533" s="408"/>
      <c r="CB533" s="408"/>
      <c r="CC533" s="408"/>
      <c r="CD533" s="408"/>
      <c r="CE533" s="408"/>
      <c r="CF533" s="408"/>
      <c r="CG533" s="408"/>
      <c r="CH533" s="408"/>
      <c r="CI533" s="408">
        <v>141.74399999999997</v>
      </c>
      <c r="CJ533" s="408">
        <v>-192.70507199999997</v>
      </c>
      <c r="CK533" s="408"/>
      <c r="CL533" s="408"/>
      <c r="CM533" s="408"/>
      <c r="CN533" s="408"/>
      <c r="CO533" s="408">
        <v>-205.93052</v>
      </c>
      <c r="CP533" s="408">
        <v>4.0461199999999993</v>
      </c>
      <c r="CQ533" s="408">
        <v>31</v>
      </c>
      <c r="CR533" s="408">
        <v>6.8260397525090326</v>
      </c>
      <c r="CS533" s="408">
        <v>0.577054802539819</v>
      </c>
      <c r="CT533" s="408">
        <v>2.1897926531917236</v>
      </c>
      <c r="CU533" s="408">
        <v>0</v>
      </c>
      <c r="CV533" s="408">
        <v>0</v>
      </c>
      <c r="CW533" s="408">
        <v>0</v>
      </c>
      <c r="CX533" s="408">
        <v>0</v>
      </c>
      <c r="CY533" s="408">
        <v>0</v>
      </c>
      <c r="CZ533" s="408">
        <v>6.1307188176966232E-2</v>
      </c>
      <c r="DA533" s="408">
        <v>0</v>
      </c>
      <c r="DB533" s="408">
        <v>0</v>
      </c>
      <c r="DC533" s="408">
        <v>4.0466399968996143</v>
      </c>
      <c r="DD533" s="408">
        <v>0</v>
      </c>
      <c r="DE533" s="408">
        <v>0</v>
      </c>
      <c r="DF533" s="408">
        <v>8.6634372725026623E-3</v>
      </c>
      <c r="DG533" s="408">
        <v>0.3094853985439423</v>
      </c>
      <c r="DH533" s="408">
        <v>0</v>
      </c>
      <c r="DI533" s="408">
        <v>-0.31239947646060706</v>
      </c>
      <c r="DJ533" s="408"/>
      <c r="DK533" s="408">
        <v>0</v>
      </c>
      <c r="DL533" s="408">
        <v>0</v>
      </c>
      <c r="DM533" s="408">
        <v>0</v>
      </c>
      <c r="DN533" s="408">
        <v>0</v>
      </c>
      <c r="DO533" s="408">
        <v>-4.7098342840039553E-2</v>
      </c>
      <c r="DP533" s="408">
        <v>-7.4059048149013873E-3</v>
      </c>
      <c r="DQ533" s="408">
        <v>0</v>
      </c>
      <c r="DR533" s="408">
        <v>0</v>
      </c>
      <c r="DS533" s="408"/>
      <c r="DT533" s="408"/>
      <c r="DU533" s="408"/>
      <c r="DV533" s="408">
        <v>284.0705465473149</v>
      </c>
      <c r="DW533" s="408">
        <v>0</v>
      </c>
      <c r="DX533" s="408">
        <v>0</v>
      </c>
      <c r="DY533" s="408">
        <v>-205.93052</v>
      </c>
      <c r="DZ533" s="234">
        <v>4.0461199999999984</v>
      </c>
      <c r="EA533" s="408">
        <v>0</v>
      </c>
      <c r="EB533" s="408">
        <v>0</v>
      </c>
      <c r="EC533" s="408">
        <v>-208.70941939005158</v>
      </c>
      <c r="ED533" s="408">
        <v>0</v>
      </c>
      <c r="EE533" s="408">
        <v>0</v>
      </c>
      <c r="EF533" s="408">
        <v>0</v>
      </c>
      <c r="EG533" s="408">
        <v>0</v>
      </c>
      <c r="EH533" s="408">
        <v>0</v>
      </c>
      <c r="EI533" s="408">
        <v>0</v>
      </c>
      <c r="EJ533" s="408">
        <v>0</v>
      </c>
      <c r="EK533" s="408">
        <v>0</v>
      </c>
      <c r="EL533" s="408">
        <v>0</v>
      </c>
      <c r="EM533" s="408">
        <v>0</v>
      </c>
      <c r="EN533" s="408">
        <v>0</v>
      </c>
      <c r="EO533" s="408">
        <v>0</v>
      </c>
      <c r="EP533" s="408">
        <v>0</v>
      </c>
      <c r="EQ533" s="408">
        <v>0</v>
      </c>
      <c r="ER533" s="408">
        <v>0</v>
      </c>
      <c r="ES533" s="408">
        <v>0</v>
      </c>
      <c r="ET533" s="408">
        <v>0</v>
      </c>
      <c r="EU533" s="408">
        <v>0</v>
      </c>
      <c r="EV533" s="408">
        <v>242</v>
      </c>
      <c r="EW533" s="408">
        <v>0</v>
      </c>
      <c r="EX533" s="408">
        <v>0</v>
      </c>
      <c r="EY533" s="408">
        <v>0</v>
      </c>
      <c r="EZ533" s="408"/>
      <c r="FA533" s="408">
        <v>0</v>
      </c>
      <c r="FB533" s="408"/>
      <c r="FC533" s="408"/>
      <c r="FD533" s="408"/>
      <c r="FE533" s="408"/>
      <c r="FF533" s="408">
        <v>0</v>
      </c>
      <c r="FG533" s="408">
        <v>0</v>
      </c>
      <c r="FH533" s="408">
        <v>0</v>
      </c>
      <c r="FI533" s="408">
        <v>0</v>
      </c>
    </row>
    <row r="534" spans="1:165">
      <c r="A534" s="408">
        <v>534</v>
      </c>
      <c r="B534" s="408" t="s">
        <v>1036</v>
      </c>
      <c r="C534" s="408" t="s">
        <v>2239</v>
      </c>
      <c r="D534" s="408" t="s">
        <v>597</v>
      </c>
      <c r="E534" s="408" t="s">
        <v>974</v>
      </c>
      <c r="F534" s="408" t="s">
        <v>1322</v>
      </c>
      <c r="G534" s="408" t="s">
        <v>1322</v>
      </c>
      <c r="H534" s="408" t="s">
        <v>1322</v>
      </c>
      <c r="I534" s="408" t="s">
        <v>2240</v>
      </c>
      <c r="J534" s="408" t="s">
        <v>2232</v>
      </c>
      <c r="K534" s="828">
        <v>44682</v>
      </c>
      <c r="L534" s="408">
        <v>0</v>
      </c>
      <c r="M534" s="408">
        <v>0</v>
      </c>
      <c r="N534" s="408">
        <v>27.204000000000001</v>
      </c>
      <c r="O534" s="408">
        <v>26.115839999999999</v>
      </c>
      <c r="P534" s="408">
        <v>27.204000000000001</v>
      </c>
      <c r="Q534" s="408">
        <v>26.115839999999999</v>
      </c>
      <c r="R534" s="408"/>
      <c r="S534" s="408">
        <v>80.27</v>
      </c>
      <c r="T534" s="408">
        <v>216.76</v>
      </c>
      <c r="U534" s="408"/>
      <c r="V534" s="408">
        <v>8080.4041199999992</v>
      </c>
      <c r="W534" s="408">
        <v>8080.4041199999992</v>
      </c>
      <c r="X534" s="408">
        <v>8957.4610800000009</v>
      </c>
      <c r="Y534" s="408">
        <v>0</v>
      </c>
      <c r="Z534" s="408">
        <v>1434.5005666774596</v>
      </c>
      <c r="AA534" s="408">
        <v>0</v>
      </c>
      <c r="AB534" s="408">
        <v>0</v>
      </c>
      <c r="AC534" s="408">
        <v>0</v>
      </c>
      <c r="AD534" s="408">
        <v>0</v>
      </c>
      <c r="AE534" s="408">
        <v>0</v>
      </c>
      <c r="AF534" s="408">
        <v>5810.8152284061944</v>
      </c>
      <c r="AG534" s="408">
        <v>85.894038450450012</v>
      </c>
      <c r="AH534" s="408">
        <v>0</v>
      </c>
      <c r="AI534" s="408">
        <v>0</v>
      </c>
      <c r="AJ534" s="408">
        <v>0</v>
      </c>
      <c r="AK534" s="408">
        <v>0</v>
      </c>
      <c r="AL534" s="408">
        <v>255.00033004773201</v>
      </c>
      <c r="AM534" s="408"/>
      <c r="AN534" s="408">
        <v>37.357136633625444</v>
      </c>
      <c r="AO534" s="408">
        <v>0</v>
      </c>
      <c r="AP534" s="408">
        <v>0</v>
      </c>
      <c r="AQ534" s="408">
        <v>0</v>
      </c>
      <c r="AR534" s="408">
        <v>0</v>
      </c>
      <c r="AS534" s="408">
        <v>0</v>
      </c>
      <c r="AT534" s="408">
        <v>0</v>
      </c>
      <c r="AU534" s="408">
        <v>0</v>
      </c>
      <c r="AV534" s="408">
        <v>0</v>
      </c>
      <c r="AW534" s="408">
        <v>0</v>
      </c>
      <c r="AX534" s="408">
        <v>0</v>
      </c>
      <c r="AY534" s="408">
        <v>0</v>
      </c>
      <c r="AZ534" s="408">
        <v>0</v>
      </c>
      <c r="BA534" s="408"/>
      <c r="BB534" s="408">
        <v>0</v>
      </c>
      <c r="BC534" s="408">
        <v>0</v>
      </c>
      <c r="BD534" s="408">
        <v>12.440353792768624</v>
      </c>
      <c r="BE534" s="408">
        <v>0</v>
      </c>
      <c r="BF534" s="408">
        <v>0</v>
      </c>
      <c r="BG534" s="408">
        <v>444.40881032320419</v>
      </c>
      <c r="BH534" s="408">
        <v>0</v>
      </c>
      <c r="BI534" s="408">
        <v>0</v>
      </c>
      <c r="BJ534" s="408">
        <v>0</v>
      </c>
      <c r="BK534" s="408">
        <v>0</v>
      </c>
      <c r="BL534" s="408">
        <v>0</v>
      </c>
      <c r="BM534" s="408"/>
      <c r="BN534" s="408"/>
      <c r="BO534" s="408"/>
      <c r="BP534" s="408"/>
      <c r="BQ534" s="408"/>
      <c r="BR534" s="408">
        <v>358.29844320000063</v>
      </c>
      <c r="BS534" s="408"/>
      <c r="BT534" s="408"/>
      <c r="BU534" s="408"/>
      <c r="BV534" s="408">
        <v>6267.664392522167</v>
      </c>
      <c r="BW534" s="408"/>
      <c r="BX534" s="408"/>
      <c r="BY534" s="408"/>
      <c r="BZ534" s="408"/>
      <c r="CA534" s="408"/>
      <c r="CB534" s="408"/>
      <c r="CC534" s="408"/>
      <c r="CD534" s="408"/>
      <c r="CE534" s="408"/>
      <c r="CF534" s="408"/>
      <c r="CG534" s="408"/>
      <c r="CH534" s="408"/>
      <c r="CI534" s="408">
        <v>8600.5324000000001</v>
      </c>
      <c r="CJ534" s="408">
        <v>843.31444480000027</v>
      </c>
      <c r="CK534" s="408"/>
      <c r="CL534" s="408"/>
      <c r="CM534" s="408"/>
      <c r="CN534" s="408"/>
      <c r="CO534" s="408">
        <v>-10.609560000000016</v>
      </c>
      <c r="CP534" s="408">
        <v>887.66651999999988</v>
      </c>
      <c r="CQ534" s="408">
        <v>31</v>
      </c>
      <c r="CR534" s="408">
        <v>877.08440721264742</v>
      </c>
      <c r="CS534" s="408">
        <v>0</v>
      </c>
      <c r="CT534" s="408">
        <v>0</v>
      </c>
      <c r="CU534" s="408">
        <v>0</v>
      </c>
      <c r="CV534" s="408">
        <v>0</v>
      </c>
      <c r="CW534" s="408">
        <v>0</v>
      </c>
      <c r="CX534" s="408">
        <v>0</v>
      </c>
      <c r="CY534" s="408">
        <v>0</v>
      </c>
      <c r="CZ534" s="408">
        <v>0</v>
      </c>
      <c r="DA534" s="408">
        <v>0</v>
      </c>
      <c r="DB534" s="408">
        <v>0</v>
      </c>
      <c r="DC534" s="408">
        <v>887.78060061013821</v>
      </c>
      <c r="DD534" s="408">
        <v>0</v>
      </c>
      <c r="DE534" s="408">
        <v>0</v>
      </c>
      <c r="DF534" s="408">
        <v>1.9006463512996969</v>
      </c>
      <c r="DG534" s="408">
        <v>67.897103080559759</v>
      </c>
      <c r="DH534" s="408">
        <v>0</v>
      </c>
      <c r="DI534" s="408">
        <v>-68.536414174470565</v>
      </c>
      <c r="DJ534" s="408"/>
      <c r="DK534" s="408">
        <v>0</v>
      </c>
      <c r="DL534" s="408">
        <v>0</v>
      </c>
      <c r="DM534" s="408">
        <v>0</v>
      </c>
      <c r="DN534" s="408">
        <v>0</v>
      </c>
      <c r="DO534" s="408">
        <v>-10.332768698551888</v>
      </c>
      <c r="DP534" s="408">
        <v>-1.6247599563272388</v>
      </c>
      <c r="DQ534" s="408">
        <v>0</v>
      </c>
      <c r="DR534" s="408">
        <v>0</v>
      </c>
      <c r="DS534" s="408"/>
      <c r="DT534" s="408"/>
      <c r="DU534" s="408"/>
      <c r="DV534" s="408">
        <v>0</v>
      </c>
      <c r="DW534" s="408">
        <v>0</v>
      </c>
      <c r="DX534" s="408">
        <v>0</v>
      </c>
      <c r="DY534" s="408">
        <v>-10.609559999999874</v>
      </c>
      <c r="DZ534" s="234">
        <v>887.66652000000067</v>
      </c>
      <c r="EA534" s="408">
        <v>0</v>
      </c>
      <c r="EB534" s="408">
        <v>0</v>
      </c>
      <c r="EC534" s="408">
        <v>0</v>
      </c>
      <c r="ED534" s="408">
        <v>0</v>
      </c>
      <c r="EE534" s="408">
        <v>0</v>
      </c>
      <c r="EF534" s="408">
        <v>0</v>
      </c>
      <c r="EG534" s="408">
        <v>0</v>
      </c>
      <c r="EH534" s="408">
        <v>0</v>
      </c>
      <c r="EI534" s="408">
        <v>0</v>
      </c>
      <c r="EJ534" s="408">
        <v>0</v>
      </c>
      <c r="EK534" s="408">
        <v>0</v>
      </c>
      <c r="EL534" s="408">
        <v>0</v>
      </c>
      <c r="EM534" s="408">
        <v>0</v>
      </c>
      <c r="EN534" s="408">
        <v>0</v>
      </c>
      <c r="EO534" s="408">
        <v>0</v>
      </c>
      <c r="EP534" s="408">
        <v>0</v>
      </c>
      <c r="EQ534" s="408">
        <v>0</v>
      </c>
      <c r="ER534" s="408">
        <v>0</v>
      </c>
      <c r="ES534" s="408">
        <v>0</v>
      </c>
      <c r="ET534" s="408">
        <v>0</v>
      </c>
      <c r="EU534" s="408">
        <v>0</v>
      </c>
      <c r="EV534" s="408">
        <v>242</v>
      </c>
      <c r="EW534" s="408">
        <v>0</v>
      </c>
      <c r="EX534" s="408">
        <v>0</v>
      </c>
      <c r="EY534" s="408">
        <v>0</v>
      </c>
      <c r="EZ534" s="408"/>
      <c r="FA534" s="408">
        <v>0</v>
      </c>
      <c r="FB534" s="408"/>
      <c r="FC534" s="408"/>
      <c r="FD534" s="408"/>
      <c r="FE534" s="408"/>
      <c r="FF534" s="408">
        <v>0</v>
      </c>
      <c r="FG534" s="408">
        <v>0</v>
      </c>
      <c r="FH534" s="408">
        <v>0</v>
      </c>
      <c r="FI534" s="408">
        <v>0</v>
      </c>
    </row>
    <row r="535" spans="1:165">
      <c r="A535" s="408">
        <v>535</v>
      </c>
      <c r="B535" s="408" t="s">
        <v>1036</v>
      </c>
      <c r="C535" s="408" t="s">
        <v>2239</v>
      </c>
      <c r="D535" s="408" t="s">
        <v>597</v>
      </c>
      <c r="E535" s="408" t="s">
        <v>974</v>
      </c>
      <c r="F535" s="408" t="s">
        <v>1322</v>
      </c>
      <c r="G535" s="408" t="s">
        <v>1322</v>
      </c>
      <c r="H535" s="408" t="s">
        <v>1322</v>
      </c>
      <c r="I535" s="408" t="s">
        <v>1322</v>
      </c>
      <c r="J535" s="408" t="s">
        <v>2232</v>
      </c>
      <c r="K535" s="828">
        <v>44682</v>
      </c>
      <c r="L535" s="408">
        <v>96</v>
      </c>
      <c r="M535" s="408">
        <v>92.16</v>
      </c>
      <c r="N535" s="408">
        <v>0</v>
      </c>
      <c r="O535" s="408">
        <v>0</v>
      </c>
      <c r="P535" s="408">
        <v>0</v>
      </c>
      <c r="Q535" s="408">
        <v>0</v>
      </c>
      <c r="R535" s="408">
        <v>32.17</v>
      </c>
      <c r="S535" s="408"/>
      <c r="T535" s="408"/>
      <c r="U535" s="408">
        <v>3088.32</v>
      </c>
      <c r="V535" s="408"/>
      <c r="W535" s="408">
        <v>3088.32</v>
      </c>
      <c r="X535" s="408">
        <v>1241.28</v>
      </c>
      <c r="Y535" s="408">
        <v>0</v>
      </c>
      <c r="Z535" s="408">
        <v>0</v>
      </c>
      <c r="AA535" s="408">
        <v>0</v>
      </c>
      <c r="AB535" s="408">
        <v>0</v>
      </c>
      <c r="AC535" s="408">
        <v>0</v>
      </c>
      <c r="AD535" s="408">
        <v>9.5919576126024388</v>
      </c>
      <c r="AE535" s="408">
        <v>2584.9666011353279</v>
      </c>
      <c r="AF535" s="408"/>
      <c r="AG535" s="408"/>
      <c r="AH535" s="408"/>
      <c r="AI535" s="408">
        <v>0</v>
      </c>
      <c r="AJ535" s="408">
        <v>0</v>
      </c>
      <c r="AK535" s="408">
        <v>0</v>
      </c>
      <c r="AL535" s="408">
        <v>0</v>
      </c>
      <c r="AM535" s="408"/>
      <c r="AN535" s="408">
        <v>0</v>
      </c>
      <c r="AO535" s="408">
        <v>169.38442621571809</v>
      </c>
      <c r="AP535" s="408">
        <v>324.75505588278531</v>
      </c>
      <c r="AQ535" s="408">
        <v>0</v>
      </c>
      <c r="AR535" s="408">
        <v>0</v>
      </c>
      <c r="AS535" s="408"/>
      <c r="AT535" s="408"/>
      <c r="AU535" s="408">
        <v>0</v>
      </c>
      <c r="AV535" s="408">
        <v>0</v>
      </c>
      <c r="AW535" s="408">
        <v>0</v>
      </c>
      <c r="AX535" s="408"/>
      <c r="AY535" s="408"/>
      <c r="AZ535" s="408">
        <v>0</v>
      </c>
      <c r="BA535" s="408"/>
      <c r="BB535" s="408">
        <v>0</v>
      </c>
      <c r="BC535" s="408">
        <v>0</v>
      </c>
      <c r="BD535" s="408">
        <v>0</v>
      </c>
      <c r="BE535" s="408">
        <v>0</v>
      </c>
      <c r="BF535" s="408"/>
      <c r="BG535" s="408">
        <v>0</v>
      </c>
      <c r="BH535" s="408">
        <v>0</v>
      </c>
      <c r="BI535" s="408">
        <v>27.57</v>
      </c>
      <c r="BJ535" s="408">
        <v>125.55</v>
      </c>
      <c r="BK535" s="408">
        <v>4.55</v>
      </c>
      <c r="BL535" s="408">
        <v>1</v>
      </c>
      <c r="BM535" s="408"/>
      <c r="BN535" s="408"/>
      <c r="BO535" s="408"/>
      <c r="BP535" s="408"/>
      <c r="BQ535" s="408"/>
      <c r="BR535" s="408">
        <v>49.651200000000046</v>
      </c>
      <c r="BS535" s="408"/>
      <c r="BT535" s="408"/>
      <c r="BU535" s="408"/>
      <c r="BV535" s="408">
        <v>0</v>
      </c>
      <c r="BW535" s="408"/>
      <c r="BX535" s="408"/>
      <c r="BY535" s="408"/>
      <c r="BZ535" s="408"/>
      <c r="CA535" s="408"/>
      <c r="CB535" s="408"/>
      <c r="CC535" s="408"/>
      <c r="CD535" s="408"/>
      <c r="CE535" s="408"/>
      <c r="CF535" s="408"/>
      <c r="CG535" s="408"/>
      <c r="CH535" s="408"/>
      <c r="CI535" s="408">
        <v>1191.6288</v>
      </c>
      <c r="CJ535" s="408">
        <v>-1773.1884000000009</v>
      </c>
      <c r="CK535" s="408"/>
      <c r="CL535" s="408"/>
      <c r="CM535" s="408"/>
      <c r="CN535" s="408"/>
      <c r="CO535" s="408">
        <v>-1847.0400000000002</v>
      </c>
      <c r="CP535" s="408">
        <v>0</v>
      </c>
      <c r="CQ535" s="408">
        <v>31</v>
      </c>
      <c r="CR535" s="408">
        <v>51.909094959350682</v>
      </c>
      <c r="CS535" s="408">
        <v>17.472261735741114</v>
      </c>
      <c r="CT535" s="408">
        <v>33.498978998002542</v>
      </c>
      <c r="CU535" s="408">
        <v>0</v>
      </c>
      <c r="CV535" s="408">
        <v>0</v>
      </c>
      <c r="CW535" s="408"/>
      <c r="CX535" s="408"/>
      <c r="CY535" s="408"/>
      <c r="CZ535" s="408">
        <v>0.93785422560706522</v>
      </c>
      <c r="DA535" s="408">
        <v>0</v>
      </c>
      <c r="DB535" s="408">
        <v>0</v>
      </c>
      <c r="DC535" s="408"/>
      <c r="DD535" s="408"/>
      <c r="DE535" s="408">
        <v>0</v>
      </c>
      <c r="DF535" s="408">
        <v>0</v>
      </c>
      <c r="DG535" s="408">
        <v>0</v>
      </c>
      <c r="DH535" s="408">
        <v>0</v>
      </c>
      <c r="DI535" s="408">
        <v>0</v>
      </c>
      <c r="DJ535" s="408"/>
      <c r="DK535" s="408">
        <v>0</v>
      </c>
      <c r="DL535" s="408">
        <v>0</v>
      </c>
      <c r="DM535" s="408"/>
      <c r="DN535" s="408">
        <v>0</v>
      </c>
      <c r="DO535" s="408">
        <v>0</v>
      </c>
      <c r="DP535" s="408">
        <v>0</v>
      </c>
      <c r="DQ535" s="408">
        <v>0</v>
      </c>
      <c r="DR535" s="408">
        <v>0</v>
      </c>
      <c r="DS535" s="408"/>
      <c r="DT535" s="408"/>
      <c r="DU535" s="408">
        <v>2584.9666011353279</v>
      </c>
      <c r="DV535" s="408"/>
      <c r="DW535" s="408">
        <v>0</v>
      </c>
      <c r="DX535" s="408">
        <v>0</v>
      </c>
      <c r="DY535" s="408">
        <v>-1847.0400000000002</v>
      </c>
      <c r="DZ535" s="234"/>
      <c r="EA535" s="408">
        <v>0</v>
      </c>
      <c r="EB535" s="408"/>
      <c r="EC535" s="408">
        <v>-1899.2003395739875</v>
      </c>
      <c r="ED535" s="408"/>
      <c r="EE535" s="408">
        <v>0</v>
      </c>
      <c r="EF535" s="408">
        <v>0</v>
      </c>
      <c r="EG535" s="408"/>
      <c r="EH535" s="408">
        <v>0</v>
      </c>
      <c r="EI535" s="408">
        <v>0</v>
      </c>
      <c r="EJ535" s="408">
        <v>0</v>
      </c>
      <c r="EK535" s="408">
        <v>0</v>
      </c>
      <c r="EL535" s="408">
        <v>0</v>
      </c>
      <c r="EM535" s="408"/>
      <c r="EN535" s="408"/>
      <c r="EO535" s="408">
        <v>0</v>
      </c>
      <c r="EP535" s="408">
        <v>0</v>
      </c>
      <c r="EQ535" s="408"/>
      <c r="ER535" s="408">
        <v>0</v>
      </c>
      <c r="ES535" s="408"/>
      <c r="ET535" s="408">
        <v>0</v>
      </c>
      <c r="EU535" s="408"/>
      <c r="EV535" s="408">
        <v>242</v>
      </c>
      <c r="EW535" s="408"/>
      <c r="EX535" s="408"/>
      <c r="EY535" s="408"/>
      <c r="EZ535" s="408"/>
      <c r="FA535" s="408">
        <v>0</v>
      </c>
      <c r="FB535" s="408"/>
      <c r="FC535" s="408"/>
      <c r="FD535" s="408"/>
      <c r="FE535" s="408"/>
      <c r="FF535" s="408">
        <v>0</v>
      </c>
      <c r="FG535" s="408">
        <v>0</v>
      </c>
      <c r="FH535" s="408">
        <v>0</v>
      </c>
      <c r="FI535" s="408">
        <v>0</v>
      </c>
    </row>
    <row r="536" spans="1:165">
      <c r="A536" s="408">
        <v>536</v>
      </c>
      <c r="B536" s="408" t="s">
        <v>1036</v>
      </c>
      <c r="C536" s="408" t="s">
        <v>2231</v>
      </c>
      <c r="D536" s="408" t="s">
        <v>1955</v>
      </c>
      <c r="E536" s="408" t="s">
        <v>2242</v>
      </c>
      <c r="F536" s="408" t="s">
        <v>1322</v>
      </c>
      <c r="G536" s="408" t="s">
        <v>1322</v>
      </c>
      <c r="H536" s="408" t="s">
        <v>1322</v>
      </c>
      <c r="I536" s="408" t="s">
        <v>1322</v>
      </c>
      <c r="J536" s="408" t="s">
        <v>2232</v>
      </c>
      <c r="K536" s="828">
        <v>44682</v>
      </c>
      <c r="L536" s="408">
        <v>0</v>
      </c>
      <c r="M536" s="408">
        <v>0</v>
      </c>
      <c r="N536" s="408">
        <v>42.14</v>
      </c>
      <c r="O536" s="408">
        <v>42.14</v>
      </c>
      <c r="P536" s="408">
        <v>42.14</v>
      </c>
      <c r="Q536" s="408">
        <v>42.14</v>
      </c>
      <c r="R536" s="408"/>
      <c r="S536" s="408">
        <v>571.87</v>
      </c>
      <c r="T536" s="408">
        <v>216.76</v>
      </c>
      <c r="U536" s="408"/>
      <c r="V536" s="408">
        <v>33232.868199999997</v>
      </c>
      <c r="W536" s="408">
        <v>33232.868199999997</v>
      </c>
      <c r="X536" s="408">
        <v>21660.381399999998</v>
      </c>
      <c r="Y536" s="408">
        <v>0</v>
      </c>
      <c r="Z536" s="408">
        <v>2554.131402235816</v>
      </c>
      <c r="AA536" s="408">
        <v>0</v>
      </c>
      <c r="AB536" s="408">
        <v>0</v>
      </c>
      <c r="AC536" s="408">
        <v>0</v>
      </c>
      <c r="AD536" s="408">
        <v>34.63544329727268</v>
      </c>
      <c r="AE536" s="408">
        <v>17967.807802677606</v>
      </c>
      <c r="AF536" s="408">
        <v>9001.1672447080218</v>
      </c>
      <c r="AG536" s="408">
        <v>133.05303559410245</v>
      </c>
      <c r="AH536" s="408">
        <v>0</v>
      </c>
      <c r="AI536" s="408">
        <v>0</v>
      </c>
      <c r="AJ536" s="408">
        <v>0</v>
      </c>
      <c r="AK536" s="408">
        <v>0</v>
      </c>
      <c r="AL536" s="408">
        <v>395.00492237213007</v>
      </c>
      <c r="AM536" s="408"/>
      <c r="AN536" s="408">
        <v>80.844307096377179</v>
      </c>
      <c r="AO536" s="408">
        <v>374.27474314719365</v>
      </c>
      <c r="AP536" s="408">
        <v>1172.6342095446926</v>
      </c>
      <c r="AQ536" s="408">
        <v>0</v>
      </c>
      <c r="AR536" s="408">
        <v>0</v>
      </c>
      <c r="AS536" s="408">
        <v>0</v>
      </c>
      <c r="AT536" s="408">
        <v>0</v>
      </c>
      <c r="AU536" s="408">
        <v>0</v>
      </c>
      <c r="AV536" s="408">
        <v>0</v>
      </c>
      <c r="AW536" s="408">
        <v>0</v>
      </c>
      <c r="AX536" s="408">
        <v>0</v>
      </c>
      <c r="AY536" s="408">
        <v>0</v>
      </c>
      <c r="AZ536" s="408">
        <v>0</v>
      </c>
      <c r="BA536" s="408"/>
      <c r="BB536" s="408">
        <v>0</v>
      </c>
      <c r="BC536" s="408">
        <v>0</v>
      </c>
      <c r="BD536" s="408">
        <v>25.076233866081775</v>
      </c>
      <c r="BE536" s="408">
        <v>0</v>
      </c>
      <c r="BF536" s="408">
        <v>0</v>
      </c>
      <c r="BG536" s="408">
        <v>1494.2101268385754</v>
      </c>
      <c r="BH536" s="408">
        <v>0</v>
      </c>
      <c r="BI536" s="408">
        <v>62.03</v>
      </c>
      <c r="BJ536" s="408">
        <v>284.61</v>
      </c>
      <c r="BK536" s="408">
        <v>7219.98</v>
      </c>
      <c r="BL536" s="408">
        <v>105</v>
      </c>
      <c r="BM536" s="408"/>
      <c r="BN536" s="408"/>
      <c r="BO536" s="408"/>
      <c r="BP536" s="408"/>
      <c r="BQ536" s="408"/>
      <c r="BR536" s="408"/>
      <c r="BS536" s="408"/>
      <c r="BT536" s="408"/>
      <c r="BU536" s="408"/>
      <c r="BV536" s="408">
        <v>10520.45360541268</v>
      </c>
      <c r="BW536" s="408"/>
      <c r="BX536" s="408"/>
      <c r="BY536" s="408"/>
      <c r="BZ536" s="408"/>
      <c r="CA536" s="408"/>
      <c r="CB536" s="408"/>
      <c r="CC536" s="408"/>
      <c r="CD536" s="408"/>
      <c r="CE536" s="408"/>
      <c r="CF536" s="408"/>
      <c r="CG536" s="408"/>
      <c r="CH536" s="408"/>
      <c r="CI536" s="408">
        <v>21660.381399999998</v>
      </c>
      <c r="CJ536" s="408">
        <v>-11572.516800000005</v>
      </c>
      <c r="CK536" s="408"/>
      <c r="CL536" s="408"/>
      <c r="CM536" s="408"/>
      <c r="CN536" s="408"/>
      <c r="CO536" s="408">
        <v>-12947.514999999999</v>
      </c>
      <c r="CP536" s="408">
        <v>1375.0281999999997</v>
      </c>
      <c r="CQ536" s="408">
        <v>31</v>
      </c>
      <c r="CR536" s="408">
        <v>1628.7238883717146</v>
      </c>
      <c r="CS536" s="408">
        <v>38.60701021601983</v>
      </c>
      <c r="CT536" s="408">
        <v>120.95900601484414</v>
      </c>
      <c r="CU536" s="408">
        <v>0</v>
      </c>
      <c r="CV536" s="408">
        <v>0</v>
      </c>
      <c r="CW536" s="408">
        <v>0</v>
      </c>
      <c r="CX536" s="408">
        <v>0</v>
      </c>
      <c r="CY536" s="408">
        <v>0</v>
      </c>
      <c r="CZ536" s="408">
        <v>3.3864825267202932</v>
      </c>
      <c r="DA536" s="408">
        <v>0</v>
      </c>
      <c r="DB536" s="408">
        <v>0</v>
      </c>
      <c r="DC536" s="408">
        <v>1375.204915075401</v>
      </c>
      <c r="DD536" s="408">
        <v>0</v>
      </c>
      <c r="DE536" s="408">
        <v>0</v>
      </c>
      <c r="DF536" s="408">
        <v>3.8311653507483463</v>
      </c>
      <c r="DG536" s="408">
        <v>228.28651603957087</v>
      </c>
      <c r="DH536" s="408">
        <v>0</v>
      </c>
      <c r="DI536" s="408">
        <v>-122.0292356141108</v>
      </c>
      <c r="DJ536" s="408"/>
      <c r="DK536" s="408">
        <v>0</v>
      </c>
      <c r="DL536" s="408">
        <v>0</v>
      </c>
      <c r="DM536" s="408">
        <v>0</v>
      </c>
      <c r="DN536" s="408">
        <v>0</v>
      </c>
      <c r="DO536" s="408">
        <v>-16.005840058703711</v>
      </c>
      <c r="DP536" s="408">
        <v>-3.516131178774117</v>
      </c>
      <c r="DQ536" s="408">
        <v>0</v>
      </c>
      <c r="DR536" s="408">
        <v>0</v>
      </c>
      <c r="DS536" s="408"/>
      <c r="DT536" s="408"/>
      <c r="DU536" s="408"/>
      <c r="DV536" s="408">
        <v>17967.807802677606</v>
      </c>
      <c r="DW536" s="408">
        <v>0</v>
      </c>
      <c r="DX536" s="408">
        <v>0</v>
      </c>
      <c r="DY536" s="408">
        <v>-12947.514999999999</v>
      </c>
      <c r="DZ536" s="234">
        <v>1375.0281999999988</v>
      </c>
      <c r="EA536" s="408">
        <v>0</v>
      </c>
      <c r="EB536" s="408">
        <v>0</v>
      </c>
      <c r="EC536" s="408">
        <v>-13201.12479026146</v>
      </c>
      <c r="ED536" s="408">
        <v>0</v>
      </c>
      <c r="EE536" s="408">
        <v>0</v>
      </c>
      <c r="EF536" s="408">
        <v>0</v>
      </c>
      <c r="EG536" s="408">
        <v>0</v>
      </c>
      <c r="EH536" s="408">
        <v>0</v>
      </c>
      <c r="EI536" s="408">
        <v>0</v>
      </c>
      <c r="EJ536" s="408">
        <v>0</v>
      </c>
      <c r="EK536" s="408">
        <v>0</v>
      </c>
      <c r="EL536" s="408">
        <v>0</v>
      </c>
      <c r="EM536" s="408">
        <v>0</v>
      </c>
      <c r="EN536" s="408">
        <v>0</v>
      </c>
      <c r="EO536" s="408">
        <v>0</v>
      </c>
      <c r="EP536" s="408">
        <v>0</v>
      </c>
      <c r="EQ536" s="408">
        <v>0</v>
      </c>
      <c r="ER536" s="408">
        <v>0</v>
      </c>
      <c r="ES536" s="408">
        <v>0</v>
      </c>
      <c r="ET536" s="408">
        <v>0</v>
      </c>
      <c r="EU536" s="408">
        <v>0</v>
      </c>
      <c r="EV536" s="408">
        <v>242</v>
      </c>
      <c r="EW536" s="408">
        <v>0</v>
      </c>
      <c r="EX536" s="408">
        <v>0</v>
      </c>
      <c r="EY536" s="408">
        <v>0</v>
      </c>
      <c r="EZ536" s="408"/>
      <c r="FA536" s="408">
        <v>0</v>
      </c>
      <c r="FB536" s="408"/>
      <c r="FC536" s="408"/>
      <c r="FD536" s="408"/>
      <c r="FE536" s="408"/>
      <c r="FF536" s="408">
        <v>0</v>
      </c>
      <c r="FG536" s="408">
        <v>0</v>
      </c>
      <c r="FH536" s="408">
        <v>0</v>
      </c>
      <c r="FI536" s="408">
        <v>0</v>
      </c>
    </row>
    <row r="537" spans="1:165">
      <c r="A537" s="408">
        <v>537</v>
      </c>
      <c r="B537" s="408" t="s">
        <v>2234</v>
      </c>
      <c r="C537" s="408" t="s">
        <v>2231</v>
      </c>
      <c r="D537" s="408" t="s">
        <v>1955</v>
      </c>
      <c r="E537" s="408" t="s">
        <v>2242</v>
      </c>
      <c r="F537" s="408" t="s">
        <v>1322</v>
      </c>
      <c r="G537" s="408" t="s">
        <v>1322</v>
      </c>
      <c r="H537" s="408" t="s">
        <v>1322</v>
      </c>
      <c r="I537" s="408" t="s">
        <v>1322</v>
      </c>
      <c r="J537" s="408" t="s">
        <v>2232</v>
      </c>
      <c r="K537" s="828">
        <v>44682</v>
      </c>
      <c r="L537" s="408">
        <v>0</v>
      </c>
      <c r="M537" s="408">
        <v>0</v>
      </c>
      <c r="N537" s="408">
        <v>0.1</v>
      </c>
      <c r="O537" s="408">
        <v>0.1</v>
      </c>
      <c r="P537" s="408">
        <v>0.1</v>
      </c>
      <c r="Q537" s="408">
        <v>0.1</v>
      </c>
      <c r="R537" s="408"/>
      <c r="S537" s="408">
        <v>571.87</v>
      </c>
      <c r="T537" s="408">
        <v>216.76</v>
      </c>
      <c r="U537" s="408"/>
      <c r="V537" s="408">
        <v>78.863</v>
      </c>
      <c r="W537" s="408">
        <v>78.863</v>
      </c>
      <c r="X537" s="408">
        <v>51.401000000000003</v>
      </c>
      <c r="Y537" s="408">
        <v>0</v>
      </c>
      <c r="Z537" s="408">
        <v>6.0610617044039303</v>
      </c>
      <c r="AA537" s="408">
        <v>0</v>
      </c>
      <c r="AB537" s="408">
        <v>0</v>
      </c>
      <c r="AC537" s="408">
        <v>0</v>
      </c>
      <c r="AD537" s="408">
        <v>8.2191369950813206E-2</v>
      </c>
      <c r="AE537" s="408">
        <v>42.638366878684401</v>
      </c>
      <c r="AF537" s="408">
        <v>21.360150082363603</v>
      </c>
      <c r="AG537" s="408">
        <v>0.31574047364523605</v>
      </c>
      <c r="AH537" s="408">
        <v>0</v>
      </c>
      <c r="AI537" s="408">
        <v>0</v>
      </c>
      <c r="AJ537" s="408">
        <v>0</v>
      </c>
      <c r="AK537" s="408">
        <v>0</v>
      </c>
      <c r="AL537" s="408">
        <v>0.93736336585697699</v>
      </c>
      <c r="AM537" s="408"/>
      <c r="AN537" s="408">
        <v>0.19184695561551302</v>
      </c>
      <c r="AO537" s="408">
        <v>0.88816977491028393</v>
      </c>
      <c r="AP537" s="408">
        <v>2.7827105114966599</v>
      </c>
      <c r="AQ537" s="408">
        <v>0</v>
      </c>
      <c r="AR537" s="408">
        <v>0</v>
      </c>
      <c r="AS537" s="408">
        <v>0</v>
      </c>
      <c r="AT537" s="408">
        <v>0</v>
      </c>
      <c r="AU537" s="408">
        <v>0</v>
      </c>
      <c r="AV537" s="408">
        <v>0</v>
      </c>
      <c r="AW537" s="408">
        <v>0</v>
      </c>
      <c r="AX537" s="408">
        <v>0</v>
      </c>
      <c r="AY537" s="408">
        <v>0</v>
      </c>
      <c r="AZ537" s="408">
        <v>0</v>
      </c>
      <c r="BA537" s="408"/>
      <c r="BB537" s="408">
        <v>0</v>
      </c>
      <c r="BC537" s="408">
        <v>0</v>
      </c>
      <c r="BD537" s="408">
        <v>5.9506962188139001E-2</v>
      </c>
      <c r="BE537" s="408">
        <v>0</v>
      </c>
      <c r="BF537" s="408">
        <v>0</v>
      </c>
      <c r="BG537" s="408">
        <v>3.5458237466506297</v>
      </c>
      <c r="BH537" s="408">
        <v>0</v>
      </c>
      <c r="BI537" s="408">
        <v>0.14000000000000001</v>
      </c>
      <c r="BJ537" s="408">
        <v>0.65</v>
      </c>
      <c r="BK537" s="408">
        <v>73.58</v>
      </c>
      <c r="BL537" s="408">
        <v>1</v>
      </c>
      <c r="BM537" s="408"/>
      <c r="BN537" s="408"/>
      <c r="BO537" s="408"/>
      <c r="BP537" s="408"/>
      <c r="BQ537" s="408"/>
      <c r="BR537" s="408"/>
      <c r="BS537" s="408"/>
      <c r="BT537" s="408"/>
      <c r="BU537" s="408"/>
      <c r="BV537" s="408">
        <v>24.965480791202371</v>
      </c>
      <c r="BW537" s="408"/>
      <c r="BX537" s="408"/>
      <c r="BY537" s="408"/>
      <c r="BZ537" s="408"/>
      <c r="CA537" s="408"/>
      <c r="CB537" s="408"/>
      <c r="CC537" s="408"/>
      <c r="CD537" s="408"/>
      <c r="CE537" s="408"/>
      <c r="CF537" s="408"/>
      <c r="CG537" s="408"/>
      <c r="CH537" s="408"/>
      <c r="CI537" s="408">
        <v>51.401000000000003</v>
      </c>
      <c r="CJ537" s="408">
        <v>-27.492000000000012</v>
      </c>
      <c r="CK537" s="408"/>
      <c r="CL537" s="408"/>
      <c r="CM537" s="408"/>
      <c r="CN537" s="408"/>
      <c r="CO537" s="408">
        <v>-30.725000000000001</v>
      </c>
      <c r="CP537" s="408">
        <v>3.2629999999999999</v>
      </c>
      <c r="CQ537" s="408">
        <v>31</v>
      </c>
      <c r="CR537" s="408">
        <v>3.8650305846504907</v>
      </c>
      <c r="CS537" s="408">
        <v>9.1616066008590069E-2</v>
      </c>
      <c r="CT537" s="408">
        <v>0.28704083060001029</v>
      </c>
      <c r="CU537" s="408">
        <v>0</v>
      </c>
      <c r="CV537" s="408">
        <v>0</v>
      </c>
      <c r="CW537" s="408">
        <v>0</v>
      </c>
      <c r="CX537" s="408">
        <v>0</v>
      </c>
      <c r="CY537" s="408">
        <v>0</v>
      </c>
      <c r="CZ537" s="408">
        <v>8.0362660814434911E-3</v>
      </c>
      <c r="DA537" s="408">
        <v>0</v>
      </c>
      <c r="DB537" s="408">
        <v>0</v>
      </c>
      <c r="DC537" s="408">
        <v>3.2634193523383992</v>
      </c>
      <c r="DD537" s="408">
        <v>0</v>
      </c>
      <c r="DE537" s="408">
        <v>0</v>
      </c>
      <c r="DF537" s="408">
        <v>9.0915172063320976E-3</v>
      </c>
      <c r="DG537" s="408">
        <v>0.5417335454190102</v>
      </c>
      <c r="DH537" s="408">
        <v>0</v>
      </c>
      <c r="DI537" s="408">
        <v>-0.28958053064572997</v>
      </c>
      <c r="DJ537" s="408"/>
      <c r="DK537" s="408">
        <v>0</v>
      </c>
      <c r="DL537" s="408">
        <v>0</v>
      </c>
      <c r="DM537" s="408">
        <v>0</v>
      </c>
      <c r="DN537" s="408">
        <v>0</v>
      </c>
      <c r="DO537" s="408">
        <v>-3.7982534548418934E-2</v>
      </c>
      <c r="DP537" s="408">
        <v>-8.3439278091460012E-3</v>
      </c>
      <c r="DQ537" s="408">
        <v>0</v>
      </c>
      <c r="DR537" s="408">
        <v>0</v>
      </c>
      <c r="DS537" s="408"/>
      <c r="DT537" s="408"/>
      <c r="DU537" s="408"/>
      <c r="DV537" s="408">
        <v>42.638366878684401</v>
      </c>
      <c r="DW537" s="408">
        <v>0</v>
      </c>
      <c r="DX537" s="408">
        <v>0</v>
      </c>
      <c r="DY537" s="408">
        <v>-30.725000000000001</v>
      </c>
      <c r="DZ537" s="234">
        <v>3.2629999999999981</v>
      </c>
      <c r="EA537" s="408">
        <v>0</v>
      </c>
      <c r="EB537" s="408">
        <v>0</v>
      </c>
      <c r="EC537" s="408">
        <v>-31.326826744806503</v>
      </c>
      <c r="ED537" s="408">
        <v>0</v>
      </c>
      <c r="EE537" s="408">
        <v>0</v>
      </c>
      <c r="EF537" s="408">
        <v>0</v>
      </c>
      <c r="EG537" s="408">
        <v>0</v>
      </c>
      <c r="EH537" s="408">
        <v>0</v>
      </c>
      <c r="EI537" s="408">
        <v>0</v>
      </c>
      <c r="EJ537" s="408">
        <v>0</v>
      </c>
      <c r="EK537" s="408">
        <v>0</v>
      </c>
      <c r="EL537" s="408">
        <v>0</v>
      </c>
      <c r="EM537" s="408">
        <v>0</v>
      </c>
      <c r="EN537" s="408">
        <v>0</v>
      </c>
      <c r="EO537" s="408">
        <v>0</v>
      </c>
      <c r="EP537" s="408">
        <v>0</v>
      </c>
      <c r="EQ537" s="408">
        <v>0</v>
      </c>
      <c r="ER537" s="408">
        <v>0</v>
      </c>
      <c r="ES537" s="408">
        <v>0</v>
      </c>
      <c r="ET537" s="408">
        <v>0</v>
      </c>
      <c r="EU537" s="408">
        <v>0</v>
      </c>
      <c r="EV537" s="408">
        <v>242</v>
      </c>
      <c r="EW537" s="408">
        <v>0</v>
      </c>
      <c r="EX537" s="408">
        <v>0</v>
      </c>
      <c r="EY537" s="408">
        <v>0</v>
      </c>
      <c r="EZ537" s="408"/>
      <c r="FA537" s="408">
        <v>0</v>
      </c>
      <c r="FB537" s="408"/>
      <c r="FC537" s="408"/>
      <c r="FD537" s="408"/>
      <c r="FE537" s="408"/>
      <c r="FF537" s="408">
        <v>0</v>
      </c>
      <c r="FG537" s="408">
        <v>0</v>
      </c>
      <c r="FH537" s="408">
        <v>0</v>
      </c>
      <c r="FI537" s="408">
        <v>0</v>
      </c>
    </row>
    <row r="538" spans="1:165">
      <c r="A538" s="408">
        <v>538</v>
      </c>
      <c r="B538" s="408" t="s">
        <v>2234</v>
      </c>
      <c r="C538" s="408" t="s">
        <v>2239</v>
      </c>
      <c r="D538" s="408" t="s">
        <v>597</v>
      </c>
      <c r="E538" s="408" t="s">
        <v>2242</v>
      </c>
      <c r="F538" s="408" t="s">
        <v>1322</v>
      </c>
      <c r="G538" s="408" t="s">
        <v>1322</v>
      </c>
      <c r="H538" s="408" t="s">
        <v>1322</v>
      </c>
      <c r="I538" s="408" t="s">
        <v>973</v>
      </c>
      <c r="J538" s="408" t="s">
        <v>2232</v>
      </c>
      <c r="K538" s="828">
        <v>44682</v>
      </c>
      <c r="L538" s="408">
        <v>0</v>
      </c>
      <c r="M538" s="408">
        <v>0</v>
      </c>
      <c r="N538" s="408">
        <v>2.698</v>
      </c>
      <c r="O538" s="408">
        <v>2.698</v>
      </c>
      <c r="P538" s="408">
        <v>2.698</v>
      </c>
      <c r="Q538" s="408">
        <v>2.698</v>
      </c>
      <c r="R538" s="408"/>
      <c r="S538" s="408">
        <v>2592.54</v>
      </c>
      <c r="T538" s="408">
        <v>216.76</v>
      </c>
      <c r="U538" s="408"/>
      <c r="V538" s="408">
        <v>7579.4913999999999</v>
      </c>
      <c r="W538" s="408">
        <v>7579.4913999999999</v>
      </c>
      <c r="X538" s="408">
        <v>3186.8775999999998</v>
      </c>
      <c r="Y538" s="408">
        <v>0</v>
      </c>
      <c r="Z538" s="408">
        <v>142.26887696279172</v>
      </c>
      <c r="AA538" s="408">
        <v>0</v>
      </c>
      <c r="AB538" s="408">
        <v>0</v>
      </c>
      <c r="AC538" s="408">
        <v>0</v>
      </c>
      <c r="AD538" s="408">
        <v>13.642801788665984</v>
      </c>
      <c r="AE538" s="408">
        <v>6180.8252789085127</v>
      </c>
      <c r="AF538" s="408">
        <v>576.29684922216995</v>
      </c>
      <c r="AG538" s="408">
        <v>8.5186779789484675</v>
      </c>
      <c r="AH538" s="408">
        <v>0</v>
      </c>
      <c r="AI538" s="408">
        <v>0</v>
      </c>
      <c r="AJ538" s="408">
        <v>0</v>
      </c>
      <c r="AK538" s="408">
        <v>0</v>
      </c>
      <c r="AL538" s="408">
        <v>25.290063610821235</v>
      </c>
      <c r="AM538" s="408"/>
      <c r="AN538" s="408">
        <v>3.7049534861609117</v>
      </c>
      <c r="AO538" s="408">
        <v>121.71992341716636</v>
      </c>
      <c r="AP538" s="408">
        <v>461.89962005833951</v>
      </c>
      <c r="AQ538" s="408">
        <v>0</v>
      </c>
      <c r="AR538" s="408">
        <v>0</v>
      </c>
      <c r="AS538" s="408">
        <v>0</v>
      </c>
      <c r="AT538" s="408">
        <v>0</v>
      </c>
      <c r="AU538" s="408">
        <v>0</v>
      </c>
      <c r="AV538" s="408">
        <v>0</v>
      </c>
      <c r="AW538" s="408">
        <v>0</v>
      </c>
      <c r="AX538" s="408">
        <v>0</v>
      </c>
      <c r="AY538" s="408">
        <v>0</v>
      </c>
      <c r="AZ538" s="408">
        <v>0</v>
      </c>
      <c r="BA538" s="408"/>
      <c r="BB538" s="408">
        <v>0</v>
      </c>
      <c r="BC538" s="408">
        <v>0</v>
      </c>
      <c r="BD538" s="408">
        <v>1.2337918884314714</v>
      </c>
      <c r="BE538" s="408">
        <v>0</v>
      </c>
      <c r="BF538" s="408">
        <v>0</v>
      </c>
      <c r="BG538" s="408">
        <v>44.074951119394385</v>
      </c>
      <c r="BH538" s="408">
        <v>0</v>
      </c>
      <c r="BI538" s="408">
        <v>0</v>
      </c>
      <c r="BJ538" s="408">
        <v>0</v>
      </c>
      <c r="BK538" s="408">
        <v>0</v>
      </c>
      <c r="BL538" s="408">
        <v>0</v>
      </c>
      <c r="BM538" s="408"/>
      <c r="BN538" s="408"/>
      <c r="BO538" s="408"/>
      <c r="BP538" s="408"/>
      <c r="BQ538" s="408"/>
      <c r="BR538" s="408"/>
      <c r="BS538" s="408"/>
      <c r="BT538" s="408"/>
      <c r="BU538" s="408"/>
      <c r="BV538" s="408">
        <v>621.60559222999586</v>
      </c>
      <c r="BW538" s="408"/>
      <c r="BX538" s="408"/>
      <c r="BY538" s="408"/>
      <c r="BZ538" s="408"/>
      <c r="CA538" s="408"/>
      <c r="CB538" s="408"/>
      <c r="CC538" s="408"/>
      <c r="CD538" s="408"/>
      <c r="CE538" s="408"/>
      <c r="CF538" s="408"/>
      <c r="CG538" s="408"/>
      <c r="CH538" s="408"/>
      <c r="CI538" s="408">
        <v>3189.2400000000002</v>
      </c>
      <c r="CJ538" s="408">
        <v>-4390.2813999999998</v>
      </c>
      <c r="CK538" s="408"/>
      <c r="CL538" s="408"/>
      <c r="CM538" s="408"/>
      <c r="CN538" s="408"/>
      <c r="CO538" s="408">
        <v>-4480.6495400000003</v>
      </c>
      <c r="CP538" s="408">
        <v>88.03573999999999</v>
      </c>
      <c r="CQ538" s="408">
        <v>31</v>
      </c>
      <c r="CR538" s="408">
        <v>148.52141332475276</v>
      </c>
      <c r="CS538" s="408">
        <v>12.555595623003498</v>
      </c>
      <c r="CT538" s="408">
        <v>47.6456498250908</v>
      </c>
      <c r="CU538" s="408">
        <v>0</v>
      </c>
      <c r="CV538" s="408">
        <v>0</v>
      </c>
      <c r="CW538" s="408">
        <v>0</v>
      </c>
      <c r="CX538" s="408">
        <v>0</v>
      </c>
      <c r="CY538" s="408">
        <v>0</v>
      </c>
      <c r="CZ538" s="408">
        <v>1.3339257556568942</v>
      </c>
      <c r="DA538" s="408">
        <v>0</v>
      </c>
      <c r="DB538" s="408">
        <v>0</v>
      </c>
      <c r="DC538" s="408">
        <v>88.047054126089961</v>
      </c>
      <c r="DD538" s="408">
        <v>0</v>
      </c>
      <c r="DE538" s="408">
        <v>0</v>
      </c>
      <c r="DF538" s="408">
        <v>0.18849962710654977</v>
      </c>
      <c r="DG538" s="408">
        <v>6.7338032683190079</v>
      </c>
      <c r="DH538" s="408">
        <v>0</v>
      </c>
      <c r="DI538" s="408">
        <v>-6.7972079636348326</v>
      </c>
      <c r="DJ538" s="408"/>
      <c r="DK538" s="408">
        <v>0</v>
      </c>
      <c r="DL538" s="408">
        <v>0</v>
      </c>
      <c r="DM538" s="408">
        <v>0</v>
      </c>
      <c r="DN538" s="408">
        <v>0</v>
      </c>
      <c r="DO538" s="408">
        <v>-1.0247687821163396</v>
      </c>
      <c r="DP538" s="408">
        <v>-0.16113815476293514</v>
      </c>
      <c r="DQ538" s="408">
        <v>0</v>
      </c>
      <c r="DR538" s="408">
        <v>0</v>
      </c>
      <c r="DS538" s="408"/>
      <c r="DT538" s="408"/>
      <c r="DU538" s="408"/>
      <c r="DV538" s="408">
        <v>6180.8252789085127</v>
      </c>
      <c r="DW538" s="408">
        <v>0</v>
      </c>
      <c r="DX538" s="408">
        <v>0</v>
      </c>
      <c r="DY538" s="408">
        <v>-4480.6495400000003</v>
      </c>
      <c r="DZ538" s="234">
        <v>88.035740000000033</v>
      </c>
      <c r="EA538" s="408">
        <v>0</v>
      </c>
      <c r="EB538" s="408">
        <v>0</v>
      </c>
      <c r="EC538" s="408">
        <v>-4541.1130122125742</v>
      </c>
      <c r="ED538" s="408">
        <v>0</v>
      </c>
      <c r="EE538" s="408">
        <v>0</v>
      </c>
      <c r="EF538" s="408">
        <v>0</v>
      </c>
      <c r="EG538" s="408">
        <v>0</v>
      </c>
      <c r="EH538" s="408">
        <v>0</v>
      </c>
      <c r="EI538" s="408">
        <v>0</v>
      </c>
      <c r="EJ538" s="408">
        <v>0</v>
      </c>
      <c r="EK538" s="408">
        <v>0</v>
      </c>
      <c r="EL538" s="408">
        <v>0</v>
      </c>
      <c r="EM538" s="408">
        <v>0</v>
      </c>
      <c r="EN538" s="408">
        <v>0</v>
      </c>
      <c r="EO538" s="408">
        <v>0</v>
      </c>
      <c r="EP538" s="408">
        <v>0</v>
      </c>
      <c r="EQ538" s="408">
        <v>0</v>
      </c>
      <c r="ER538" s="408">
        <v>0</v>
      </c>
      <c r="ES538" s="408">
        <v>0</v>
      </c>
      <c r="ET538" s="408">
        <v>0</v>
      </c>
      <c r="EU538" s="408">
        <v>0</v>
      </c>
      <c r="EV538" s="408">
        <v>242</v>
      </c>
      <c r="EW538" s="408">
        <v>0</v>
      </c>
      <c r="EX538" s="408">
        <v>0</v>
      </c>
      <c r="EY538" s="408">
        <v>0</v>
      </c>
      <c r="EZ538" s="408"/>
      <c r="FA538" s="408">
        <v>0</v>
      </c>
      <c r="FB538" s="408"/>
      <c r="FC538" s="408"/>
      <c r="FD538" s="408"/>
      <c r="FE538" s="408"/>
      <c r="FF538" s="408">
        <v>0</v>
      </c>
      <c r="FG538" s="408">
        <v>0</v>
      </c>
      <c r="FH538" s="408">
        <v>0</v>
      </c>
      <c r="FI538" s="408">
        <v>0</v>
      </c>
    </row>
    <row r="539" spans="1:165">
      <c r="A539" s="408">
        <v>539</v>
      </c>
      <c r="B539" s="408" t="s">
        <v>2234</v>
      </c>
      <c r="C539" s="408" t="s">
        <v>2239</v>
      </c>
      <c r="D539" s="408" t="s">
        <v>597</v>
      </c>
      <c r="E539" s="408" t="s">
        <v>2242</v>
      </c>
      <c r="F539" s="408" t="s">
        <v>1322</v>
      </c>
      <c r="G539" s="408" t="s">
        <v>1322</v>
      </c>
      <c r="H539" s="408" t="s">
        <v>1322</v>
      </c>
      <c r="I539" s="408" t="s">
        <v>2240</v>
      </c>
      <c r="J539" s="408" t="s">
        <v>2232</v>
      </c>
      <c r="K539" s="828">
        <v>44682</v>
      </c>
      <c r="L539" s="408">
        <v>0</v>
      </c>
      <c r="M539" s="408">
        <v>0</v>
      </c>
      <c r="N539" s="408">
        <v>9.6379999999999999</v>
      </c>
      <c r="O539" s="408">
        <v>9.6379999999999999</v>
      </c>
      <c r="P539" s="408">
        <v>9.6379999999999999</v>
      </c>
      <c r="Q539" s="408">
        <v>9.6379999999999999</v>
      </c>
      <c r="R539" s="408"/>
      <c r="S539" s="408">
        <v>80.27</v>
      </c>
      <c r="T539" s="408">
        <v>216.76</v>
      </c>
      <c r="U539" s="408"/>
      <c r="V539" s="408">
        <v>2862.7751400000002</v>
      </c>
      <c r="W539" s="408">
        <v>2862.7751400000002</v>
      </c>
      <c r="X539" s="408">
        <v>3173.5042599999997</v>
      </c>
      <c r="Y539" s="408">
        <v>0</v>
      </c>
      <c r="Z539" s="408">
        <v>508.22366055129226</v>
      </c>
      <c r="AA539" s="408">
        <v>0</v>
      </c>
      <c r="AB539" s="408">
        <v>0</v>
      </c>
      <c r="AC539" s="408">
        <v>0</v>
      </c>
      <c r="AD539" s="408">
        <v>0</v>
      </c>
      <c r="AE539" s="408">
        <v>0</v>
      </c>
      <c r="AF539" s="408">
        <v>2058.6912649382039</v>
      </c>
      <c r="AG539" s="408">
        <v>30.431066849927845</v>
      </c>
      <c r="AH539" s="408">
        <v>0</v>
      </c>
      <c r="AI539" s="408">
        <v>0</v>
      </c>
      <c r="AJ539" s="408">
        <v>0</v>
      </c>
      <c r="AK539" s="408">
        <v>0</v>
      </c>
      <c r="AL539" s="408">
        <v>90.343081201295433</v>
      </c>
      <c r="AM539" s="408"/>
      <c r="AN539" s="408">
        <v>13.235115529880975</v>
      </c>
      <c r="AO539" s="408">
        <v>0</v>
      </c>
      <c r="AP539" s="408">
        <v>0</v>
      </c>
      <c r="AQ539" s="408">
        <v>0</v>
      </c>
      <c r="AR539" s="408">
        <v>0</v>
      </c>
      <c r="AS539" s="408">
        <v>0</v>
      </c>
      <c r="AT539" s="408">
        <v>0</v>
      </c>
      <c r="AU539" s="408">
        <v>0</v>
      </c>
      <c r="AV539" s="408">
        <v>0</v>
      </c>
      <c r="AW539" s="408">
        <v>0</v>
      </c>
      <c r="AX539" s="408">
        <v>0</v>
      </c>
      <c r="AY539" s="408">
        <v>0</v>
      </c>
      <c r="AZ539" s="408">
        <v>0</v>
      </c>
      <c r="BA539" s="408"/>
      <c r="BB539" s="408">
        <v>0</v>
      </c>
      <c r="BC539" s="408">
        <v>0</v>
      </c>
      <c r="BD539" s="408">
        <v>4.4074448557088663</v>
      </c>
      <c r="BE539" s="408">
        <v>0</v>
      </c>
      <c r="BF539" s="408">
        <v>0</v>
      </c>
      <c r="BG539" s="408">
        <v>157.44787949915607</v>
      </c>
      <c r="BH539" s="408">
        <v>0</v>
      </c>
      <c r="BI539" s="408">
        <v>0</v>
      </c>
      <c r="BJ539" s="408">
        <v>0</v>
      </c>
      <c r="BK539" s="408">
        <v>0</v>
      </c>
      <c r="BL539" s="408">
        <v>0</v>
      </c>
      <c r="BM539" s="408"/>
      <c r="BN539" s="408"/>
      <c r="BO539" s="408"/>
      <c r="BP539" s="408"/>
      <c r="BQ539" s="408"/>
      <c r="BR539" s="408"/>
      <c r="BS539" s="408"/>
      <c r="BT539" s="408"/>
      <c r="BU539" s="408"/>
      <c r="BV539" s="408">
        <v>2220.5465892930688</v>
      </c>
      <c r="BW539" s="408"/>
      <c r="BX539" s="408"/>
      <c r="BY539" s="408"/>
      <c r="BZ539" s="408"/>
      <c r="CA539" s="408"/>
      <c r="CB539" s="408"/>
      <c r="CC539" s="408"/>
      <c r="CD539" s="408"/>
      <c r="CE539" s="408"/>
      <c r="CF539" s="408"/>
      <c r="CG539" s="408"/>
      <c r="CH539" s="408"/>
      <c r="CI539" s="408">
        <v>3174.1628000000001</v>
      </c>
      <c r="CJ539" s="408">
        <v>311.35765999999967</v>
      </c>
      <c r="CK539" s="408"/>
      <c r="CL539" s="408"/>
      <c r="CM539" s="408"/>
      <c r="CN539" s="408"/>
      <c r="CO539" s="408">
        <v>-3.7588200000000054</v>
      </c>
      <c r="CP539" s="408">
        <v>314.48793999999998</v>
      </c>
      <c r="CQ539" s="408">
        <v>31</v>
      </c>
      <c r="CR539" s="408">
        <v>310.7388441668686</v>
      </c>
      <c r="CS539" s="408">
        <v>0</v>
      </c>
      <c r="CT539" s="408">
        <v>0</v>
      </c>
      <c r="CU539" s="408">
        <v>0</v>
      </c>
      <c r="CV539" s="408">
        <v>0</v>
      </c>
      <c r="CW539" s="408">
        <v>0</v>
      </c>
      <c r="CX539" s="408">
        <v>0</v>
      </c>
      <c r="CY539" s="408">
        <v>0</v>
      </c>
      <c r="CZ539" s="408">
        <v>0</v>
      </c>
      <c r="DA539" s="408">
        <v>0</v>
      </c>
      <c r="DB539" s="408">
        <v>0</v>
      </c>
      <c r="DC539" s="408">
        <v>314.52835717837479</v>
      </c>
      <c r="DD539" s="408">
        <v>0</v>
      </c>
      <c r="DE539" s="408">
        <v>0</v>
      </c>
      <c r="DF539" s="408">
        <v>0.67337264864823076</v>
      </c>
      <c r="DG539" s="408">
        <v>24.055002186826755</v>
      </c>
      <c r="DH539" s="408">
        <v>0</v>
      </c>
      <c r="DI539" s="408">
        <v>-24.281501242962349</v>
      </c>
      <c r="DJ539" s="408"/>
      <c r="DK539" s="408">
        <v>0</v>
      </c>
      <c r="DL539" s="408">
        <v>0</v>
      </c>
      <c r="DM539" s="408">
        <v>0</v>
      </c>
      <c r="DN539" s="408">
        <v>0</v>
      </c>
      <c r="DO539" s="408">
        <v>-3.6607566797766111</v>
      </c>
      <c r="DP539" s="408">
        <v>-0.57562992424209547</v>
      </c>
      <c r="DQ539" s="408">
        <v>0</v>
      </c>
      <c r="DR539" s="408">
        <v>0</v>
      </c>
      <c r="DS539" s="408"/>
      <c r="DT539" s="408"/>
      <c r="DU539" s="408"/>
      <c r="DV539" s="408">
        <v>0</v>
      </c>
      <c r="DW539" s="408">
        <v>0</v>
      </c>
      <c r="DX539" s="408">
        <v>0</v>
      </c>
      <c r="DY539" s="408">
        <v>-3.7588200000000143</v>
      </c>
      <c r="DZ539" s="234">
        <v>314.48793999999953</v>
      </c>
      <c r="EA539" s="408">
        <v>0</v>
      </c>
      <c r="EB539" s="408">
        <v>0</v>
      </c>
      <c r="EC539" s="408">
        <v>0</v>
      </c>
      <c r="ED539" s="408">
        <v>0</v>
      </c>
      <c r="EE539" s="408">
        <v>0</v>
      </c>
      <c r="EF539" s="408">
        <v>0</v>
      </c>
      <c r="EG539" s="408">
        <v>0</v>
      </c>
      <c r="EH539" s="408">
        <v>0</v>
      </c>
      <c r="EI539" s="408">
        <v>0</v>
      </c>
      <c r="EJ539" s="408">
        <v>0</v>
      </c>
      <c r="EK539" s="408">
        <v>0</v>
      </c>
      <c r="EL539" s="408">
        <v>0</v>
      </c>
      <c r="EM539" s="408">
        <v>0</v>
      </c>
      <c r="EN539" s="408">
        <v>0</v>
      </c>
      <c r="EO539" s="408">
        <v>0</v>
      </c>
      <c r="EP539" s="408">
        <v>0</v>
      </c>
      <c r="EQ539" s="408">
        <v>0</v>
      </c>
      <c r="ER539" s="408">
        <v>0</v>
      </c>
      <c r="ES539" s="408">
        <v>0</v>
      </c>
      <c r="ET539" s="408">
        <v>0</v>
      </c>
      <c r="EU539" s="408">
        <v>0</v>
      </c>
      <c r="EV539" s="408">
        <v>242</v>
      </c>
      <c r="EW539" s="408">
        <v>0</v>
      </c>
      <c r="EX539" s="408">
        <v>0</v>
      </c>
      <c r="EY539" s="408">
        <v>0</v>
      </c>
      <c r="EZ539" s="408"/>
      <c r="FA539" s="408">
        <v>0</v>
      </c>
      <c r="FB539" s="408"/>
      <c r="FC539" s="408"/>
      <c r="FD539" s="408"/>
      <c r="FE539" s="408"/>
      <c r="FF539" s="408">
        <v>0</v>
      </c>
      <c r="FG539" s="408">
        <v>0</v>
      </c>
      <c r="FH539" s="408">
        <v>0</v>
      </c>
      <c r="FI539" s="408">
        <v>0</v>
      </c>
    </row>
    <row r="540" spans="1:165">
      <c r="A540" s="408">
        <v>540</v>
      </c>
      <c r="B540" s="408" t="s">
        <v>2234</v>
      </c>
      <c r="C540" s="408" t="s">
        <v>2239</v>
      </c>
      <c r="D540" s="408" t="s">
        <v>597</v>
      </c>
      <c r="E540" s="408" t="s">
        <v>2242</v>
      </c>
      <c r="F540" s="408" t="s">
        <v>1322</v>
      </c>
      <c r="G540" s="408" t="s">
        <v>1322</v>
      </c>
      <c r="H540" s="408" t="s">
        <v>1322</v>
      </c>
      <c r="I540" s="408" t="s">
        <v>1322</v>
      </c>
      <c r="J540" s="408" t="s">
        <v>2232</v>
      </c>
      <c r="K540" s="828">
        <v>44682</v>
      </c>
      <c r="L540" s="408">
        <v>70</v>
      </c>
      <c r="M540" s="408">
        <v>70</v>
      </c>
      <c r="N540" s="408">
        <v>0</v>
      </c>
      <c r="O540" s="408">
        <v>0</v>
      </c>
      <c r="P540" s="408">
        <v>0</v>
      </c>
      <c r="Q540" s="408">
        <v>0</v>
      </c>
      <c r="R540" s="408">
        <v>32.17</v>
      </c>
      <c r="S540" s="408"/>
      <c r="T540" s="408"/>
      <c r="U540" s="408">
        <v>2251.9</v>
      </c>
      <c r="V540" s="408"/>
      <c r="W540" s="408">
        <v>2251.9</v>
      </c>
      <c r="X540" s="408">
        <v>905.1</v>
      </c>
      <c r="Y540" s="408">
        <v>0</v>
      </c>
      <c r="Z540" s="408">
        <v>0</v>
      </c>
      <c r="AA540" s="408">
        <v>0</v>
      </c>
      <c r="AB540" s="408">
        <v>0</v>
      </c>
      <c r="AC540" s="408">
        <v>0</v>
      </c>
      <c r="AD540" s="408">
        <v>6.9941357591892785</v>
      </c>
      <c r="AE540" s="408">
        <v>1884.8714799945101</v>
      </c>
      <c r="AF540" s="408"/>
      <c r="AG540" s="408"/>
      <c r="AH540" s="408"/>
      <c r="AI540" s="408">
        <v>0</v>
      </c>
      <c r="AJ540" s="408">
        <v>0</v>
      </c>
      <c r="AK540" s="408">
        <v>0</v>
      </c>
      <c r="AL540" s="408">
        <v>0</v>
      </c>
      <c r="AM540" s="408"/>
      <c r="AN540" s="408">
        <v>0</v>
      </c>
      <c r="AO540" s="408">
        <v>123.50947744896111</v>
      </c>
      <c r="AP540" s="408">
        <v>236.8005615811976</v>
      </c>
      <c r="AQ540" s="408">
        <v>0</v>
      </c>
      <c r="AR540" s="408">
        <v>0</v>
      </c>
      <c r="AS540" s="408"/>
      <c r="AT540" s="408"/>
      <c r="AU540" s="408">
        <v>0</v>
      </c>
      <c r="AV540" s="408">
        <v>0</v>
      </c>
      <c r="AW540" s="408">
        <v>0</v>
      </c>
      <c r="AX540" s="408"/>
      <c r="AY540" s="408"/>
      <c r="AZ540" s="408">
        <v>0</v>
      </c>
      <c r="BA540" s="408"/>
      <c r="BB540" s="408">
        <v>0</v>
      </c>
      <c r="BC540" s="408">
        <v>0</v>
      </c>
      <c r="BD540" s="408">
        <v>0</v>
      </c>
      <c r="BE540" s="408">
        <v>0</v>
      </c>
      <c r="BF540" s="408"/>
      <c r="BG540" s="408">
        <v>0</v>
      </c>
      <c r="BH540" s="408">
        <v>0</v>
      </c>
      <c r="BI540" s="408">
        <v>20.66</v>
      </c>
      <c r="BJ540" s="408">
        <v>94.11</v>
      </c>
      <c r="BK540" s="408">
        <v>2532.0500000000002</v>
      </c>
      <c r="BL540" s="408">
        <v>1</v>
      </c>
      <c r="BM540" s="408"/>
      <c r="BN540" s="408"/>
      <c r="BO540" s="408"/>
      <c r="BP540" s="408"/>
      <c r="BQ540" s="408"/>
      <c r="BR540" s="408"/>
      <c r="BS540" s="408"/>
      <c r="BT540" s="408"/>
      <c r="BU540" s="408"/>
      <c r="BV540" s="408">
        <v>0</v>
      </c>
      <c r="BW540" s="408"/>
      <c r="BX540" s="408"/>
      <c r="BY540" s="408"/>
      <c r="BZ540" s="408"/>
      <c r="CA540" s="408"/>
      <c r="CB540" s="408"/>
      <c r="CC540" s="408"/>
      <c r="CD540" s="408"/>
      <c r="CE540" s="408"/>
      <c r="CF540" s="408"/>
      <c r="CG540" s="408"/>
      <c r="CH540" s="408"/>
      <c r="CI540" s="408">
        <v>905.1</v>
      </c>
      <c r="CJ540" s="408">
        <v>-1346.8300000000008</v>
      </c>
      <c r="CK540" s="408"/>
      <c r="CL540" s="408"/>
      <c r="CM540" s="408"/>
      <c r="CN540" s="408"/>
      <c r="CO540" s="408">
        <v>-1346.8000000000002</v>
      </c>
      <c r="CP540" s="408">
        <v>0</v>
      </c>
      <c r="CQ540" s="408">
        <v>31</v>
      </c>
      <c r="CR540" s="408">
        <v>37.850381741193246</v>
      </c>
      <c r="CS540" s="408">
        <v>12.740190848977889</v>
      </c>
      <c r="CT540" s="408">
        <v>24.426338852710217</v>
      </c>
      <c r="CU540" s="408">
        <v>0</v>
      </c>
      <c r="CV540" s="408">
        <v>0</v>
      </c>
      <c r="CW540" s="408"/>
      <c r="CX540" s="408"/>
      <c r="CY540" s="408"/>
      <c r="CZ540" s="408">
        <v>0.68385203950515105</v>
      </c>
      <c r="DA540" s="408">
        <v>0</v>
      </c>
      <c r="DB540" s="408">
        <v>0</v>
      </c>
      <c r="DC540" s="408"/>
      <c r="DD540" s="408"/>
      <c r="DE540" s="408">
        <v>0</v>
      </c>
      <c r="DF540" s="408">
        <v>0</v>
      </c>
      <c r="DG540" s="408">
        <v>0</v>
      </c>
      <c r="DH540" s="408">
        <v>0</v>
      </c>
      <c r="DI540" s="408">
        <v>0</v>
      </c>
      <c r="DJ540" s="408"/>
      <c r="DK540" s="408">
        <v>0</v>
      </c>
      <c r="DL540" s="408">
        <v>0</v>
      </c>
      <c r="DM540" s="408"/>
      <c r="DN540" s="408">
        <v>0</v>
      </c>
      <c r="DO540" s="408">
        <v>0</v>
      </c>
      <c r="DP540" s="408">
        <v>0</v>
      </c>
      <c r="DQ540" s="408">
        <v>0</v>
      </c>
      <c r="DR540" s="408">
        <v>0</v>
      </c>
      <c r="DS540" s="408"/>
      <c r="DT540" s="408"/>
      <c r="DU540" s="408">
        <v>1884.8714799945101</v>
      </c>
      <c r="DV540" s="408"/>
      <c r="DW540" s="408">
        <v>0</v>
      </c>
      <c r="DX540" s="408">
        <v>0</v>
      </c>
      <c r="DY540" s="408">
        <v>-1346.8000000000002</v>
      </c>
      <c r="DZ540" s="234"/>
      <c r="EA540" s="408">
        <v>0</v>
      </c>
      <c r="EB540" s="408"/>
      <c r="EC540" s="408">
        <v>-1384.8335809393659</v>
      </c>
      <c r="ED540" s="408"/>
      <c r="EE540" s="408">
        <v>0</v>
      </c>
      <c r="EF540" s="408">
        <v>0</v>
      </c>
      <c r="EG540" s="408"/>
      <c r="EH540" s="408">
        <v>0</v>
      </c>
      <c r="EI540" s="408">
        <v>0</v>
      </c>
      <c r="EJ540" s="408">
        <v>0</v>
      </c>
      <c r="EK540" s="408">
        <v>0</v>
      </c>
      <c r="EL540" s="408">
        <v>0</v>
      </c>
      <c r="EM540" s="408"/>
      <c r="EN540" s="408"/>
      <c r="EO540" s="408">
        <v>0</v>
      </c>
      <c r="EP540" s="408">
        <v>0</v>
      </c>
      <c r="EQ540" s="408"/>
      <c r="ER540" s="408">
        <v>0</v>
      </c>
      <c r="ES540" s="408"/>
      <c r="ET540" s="408">
        <v>0</v>
      </c>
      <c r="EU540" s="408"/>
      <c r="EV540" s="408">
        <v>242</v>
      </c>
      <c r="EW540" s="408"/>
      <c r="EX540" s="408"/>
      <c r="EY540" s="408"/>
      <c r="EZ540" s="408"/>
      <c r="FA540" s="408">
        <v>0</v>
      </c>
      <c r="FB540" s="408"/>
      <c r="FC540" s="408"/>
      <c r="FD540" s="408"/>
      <c r="FE540" s="408"/>
      <c r="FF540" s="408">
        <v>0</v>
      </c>
      <c r="FG540" s="408">
        <v>0</v>
      </c>
      <c r="FH540" s="408">
        <v>0</v>
      </c>
      <c r="FI540" s="408">
        <v>0</v>
      </c>
    </row>
    <row r="541" spans="1:165">
      <c r="A541" s="408">
        <v>541</v>
      </c>
      <c r="B541" s="408" t="s">
        <v>1036</v>
      </c>
      <c r="C541" s="408" t="s">
        <v>2231</v>
      </c>
      <c r="D541" s="408" t="s">
        <v>2243</v>
      </c>
      <c r="E541" s="408" t="s">
        <v>2244</v>
      </c>
      <c r="F541" s="408" t="s">
        <v>2245</v>
      </c>
      <c r="G541" s="408" t="s">
        <v>1322</v>
      </c>
      <c r="H541" s="408" t="s">
        <v>1322</v>
      </c>
      <c r="I541" s="408" t="s">
        <v>1322</v>
      </c>
      <c r="J541" s="408" t="s">
        <v>2232</v>
      </c>
      <c r="K541" s="828">
        <v>44682</v>
      </c>
      <c r="L541" s="408">
        <v>0</v>
      </c>
      <c r="M541" s="408">
        <v>0</v>
      </c>
      <c r="N541" s="408">
        <v>75.971999999999994</v>
      </c>
      <c r="O541" s="408">
        <v>75.971999999999994</v>
      </c>
      <c r="P541" s="408">
        <v>75.971999999999994</v>
      </c>
      <c r="Q541" s="408">
        <v>75.971999999999994</v>
      </c>
      <c r="R541" s="408"/>
      <c r="S541" s="408">
        <v>314.52999999999997</v>
      </c>
      <c r="T541" s="408">
        <v>119.22</v>
      </c>
      <c r="U541" s="408"/>
      <c r="V541" s="408">
        <v>32952.854999999996</v>
      </c>
      <c r="W541" s="408">
        <v>32952.854999999996</v>
      </c>
      <c r="X541" s="408">
        <v>21478.044119999999</v>
      </c>
      <c r="Y541" s="408">
        <v>0</v>
      </c>
      <c r="Z541" s="408">
        <v>2532.590388938363</v>
      </c>
      <c r="AA541" s="408">
        <v>0</v>
      </c>
      <c r="AB541" s="408">
        <v>0</v>
      </c>
      <c r="AC541" s="408">
        <v>0</v>
      </c>
      <c r="AD541" s="408">
        <v>34.343335168467519</v>
      </c>
      <c r="AE541" s="408">
        <v>17816.271046790745</v>
      </c>
      <c r="AF541" s="408">
        <v>8925.2532713153141</v>
      </c>
      <c r="AG541" s="408">
        <v>131.93089395076743</v>
      </c>
      <c r="AH541" s="408">
        <v>0</v>
      </c>
      <c r="AI541" s="408">
        <v>0</v>
      </c>
      <c r="AJ541" s="408">
        <v>0</v>
      </c>
      <c r="AK541" s="408">
        <v>0</v>
      </c>
      <c r="AL541" s="408">
        <v>391.67353296987415</v>
      </c>
      <c r="AM541" s="408"/>
      <c r="AN541" s="408">
        <v>80.162483016119538</v>
      </c>
      <c r="AO541" s="408">
        <v>371.1181877671624</v>
      </c>
      <c r="AP541" s="408">
        <v>1162.744456386831</v>
      </c>
      <c r="AQ541" s="408">
        <v>0</v>
      </c>
      <c r="AR541" s="408">
        <v>0</v>
      </c>
      <c r="AS541" s="408">
        <v>0</v>
      </c>
      <c r="AT541" s="408">
        <v>0</v>
      </c>
      <c r="AU541" s="408">
        <v>0</v>
      </c>
      <c r="AV541" s="408">
        <v>0</v>
      </c>
      <c r="AW541" s="408">
        <v>0</v>
      </c>
      <c r="AX541" s="408">
        <v>0</v>
      </c>
      <c r="AY541" s="408">
        <v>0</v>
      </c>
      <c r="AZ541" s="408">
        <v>0</v>
      </c>
      <c r="BA541" s="408"/>
      <c r="BB541" s="408">
        <v>0</v>
      </c>
      <c r="BC541" s="408">
        <v>0</v>
      </c>
      <c r="BD541" s="408">
        <v>24.864746122465164</v>
      </c>
      <c r="BE541" s="408">
        <v>0</v>
      </c>
      <c r="BF541" s="408">
        <v>0</v>
      </c>
      <c r="BG541" s="408">
        <v>1481.6082692429818</v>
      </c>
      <c r="BH541" s="408">
        <v>0</v>
      </c>
      <c r="BI541" s="408">
        <v>59.59</v>
      </c>
      <c r="BJ541" s="408">
        <v>271.51</v>
      </c>
      <c r="BK541" s="408">
        <v>5452.23</v>
      </c>
      <c r="BL541" s="408">
        <v>10</v>
      </c>
      <c r="BM541" s="408"/>
      <c r="BN541" s="408"/>
      <c r="BO541" s="408"/>
      <c r="BP541" s="408"/>
      <c r="BQ541" s="408"/>
      <c r="BR541" s="408"/>
      <c r="BS541" s="408"/>
      <c r="BT541" s="408"/>
      <c r="BU541" s="408"/>
      <c r="BV541" s="408">
        <v>10431.726286680761</v>
      </c>
      <c r="BW541" s="408"/>
      <c r="BX541" s="408"/>
      <c r="BY541" s="408"/>
      <c r="BZ541" s="408"/>
      <c r="CA541" s="408"/>
      <c r="CB541" s="408"/>
      <c r="CC541" s="408"/>
      <c r="CD541" s="408"/>
      <c r="CE541" s="408"/>
      <c r="CF541" s="408"/>
      <c r="CG541" s="408"/>
      <c r="CH541" s="408"/>
      <c r="CI541" s="408">
        <v>21477.4787</v>
      </c>
      <c r="CJ541" s="408">
        <v>-11475.406299999995</v>
      </c>
      <c r="CK541" s="408"/>
      <c r="CL541" s="408"/>
      <c r="CM541" s="408"/>
      <c r="CN541" s="408"/>
      <c r="CO541" s="408">
        <v>-12838.508279999998</v>
      </c>
      <c r="CP541" s="408">
        <v>1363.6973999999991</v>
      </c>
      <c r="CQ541" s="408">
        <v>31</v>
      </c>
      <c r="CR541" s="408">
        <v>1614.9875696738545</v>
      </c>
      <c r="CS541" s="408">
        <v>38.281406717425625</v>
      </c>
      <c r="CT541" s="408">
        <v>119.93886290289538</v>
      </c>
      <c r="CU541" s="408">
        <v>0</v>
      </c>
      <c r="CV541" s="408">
        <v>0</v>
      </c>
      <c r="CW541" s="408">
        <v>0</v>
      </c>
      <c r="CX541" s="408">
        <v>0</v>
      </c>
      <c r="CY541" s="408">
        <v>0</v>
      </c>
      <c r="CZ541" s="408">
        <v>3.3579216370668235</v>
      </c>
      <c r="DA541" s="408">
        <v>0</v>
      </c>
      <c r="DB541" s="408">
        <v>0</v>
      </c>
      <c r="DC541" s="408">
        <v>1363.6067226971772</v>
      </c>
      <c r="DD541" s="408">
        <v>0</v>
      </c>
      <c r="DE541" s="408">
        <v>0</v>
      </c>
      <c r="DF541" s="408">
        <v>3.7988540985970012</v>
      </c>
      <c r="DG541" s="408">
        <v>226.36119501914754</v>
      </c>
      <c r="DH541" s="408">
        <v>0</v>
      </c>
      <c r="DI541" s="408">
        <v>-121.00006640819447</v>
      </c>
      <c r="DJ541" s="408"/>
      <c r="DK541" s="408">
        <v>0</v>
      </c>
      <c r="DL541" s="408">
        <v>0</v>
      </c>
      <c r="DM541" s="408">
        <v>0</v>
      </c>
      <c r="DN541" s="408">
        <v>0</v>
      </c>
      <c r="DO541" s="408">
        <v>-15.87085013091837</v>
      </c>
      <c r="DP541" s="408">
        <v>-3.4864768593402005</v>
      </c>
      <c r="DQ541" s="408">
        <v>0</v>
      </c>
      <c r="DR541" s="408">
        <v>0</v>
      </c>
      <c r="DS541" s="408"/>
      <c r="DT541" s="408"/>
      <c r="DU541" s="408"/>
      <c r="DV541" s="408">
        <v>17816.271046790745</v>
      </c>
      <c r="DW541" s="408">
        <v>0</v>
      </c>
      <c r="DX541" s="408">
        <v>0</v>
      </c>
      <c r="DY541" s="408">
        <v>-12838.50828</v>
      </c>
      <c r="DZ541" s="234">
        <v>1363.6973999999991</v>
      </c>
      <c r="EA541" s="408">
        <v>0</v>
      </c>
      <c r="EB541" s="408">
        <v>0</v>
      </c>
      <c r="EC541" s="408">
        <v>-13089.789248010389</v>
      </c>
      <c r="ED541" s="408">
        <v>0</v>
      </c>
      <c r="EE541" s="408">
        <v>0</v>
      </c>
      <c r="EF541" s="408">
        <v>0</v>
      </c>
      <c r="EG541" s="408">
        <v>0</v>
      </c>
      <c r="EH541" s="408">
        <v>0</v>
      </c>
      <c r="EI541" s="408">
        <v>0</v>
      </c>
      <c r="EJ541" s="408">
        <v>0</v>
      </c>
      <c r="EK541" s="408">
        <v>0</v>
      </c>
      <c r="EL541" s="408">
        <v>0</v>
      </c>
      <c r="EM541" s="408">
        <v>0</v>
      </c>
      <c r="EN541" s="408">
        <v>0</v>
      </c>
      <c r="EO541" s="408">
        <v>0</v>
      </c>
      <c r="EP541" s="408">
        <v>0</v>
      </c>
      <c r="EQ541" s="408">
        <v>0</v>
      </c>
      <c r="ER541" s="408">
        <v>0</v>
      </c>
      <c r="ES541" s="408">
        <v>0</v>
      </c>
      <c r="ET541" s="408">
        <v>0</v>
      </c>
      <c r="EU541" s="408">
        <v>0</v>
      </c>
      <c r="EV541" s="408">
        <v>242</v>
      </c>
      <c r="EW541" s="408">
        <v>0</v>
      </c>
      <c r="EX541" s="408">
        <v>0</v>
      </c>
      <c r="EY541" s="408">
        <v>0</v>
      </c>
      <c r="EZ541" s="408"/>
      <c r="FA541" s="408">
        <v>0</v>
      </c>
      <c r="FB541" s="408"/>
      <c r="FC541" s="408"/>
      <c r="FD541" s="408"/>
      <c r="FE541" s="408"/>
      <c r="FF541" s="408">
        <v>0</v>
      </c>
      <c r="FG541" s="408">
        <v>0</v>
      </c>
      <c r="FH541" s="408">
        <v>0</v>
      </c>
      <c r="FI541" s="408">
        <v>0</v>
      </c>
    </row>
    <row r="542" spans="1:165">
      <c r="A542" s="408">
        <v>542</v>
      </c>
      <c r="B542" s="408" t="s">
        <v>1036</v>
      </c>
      <c r="C542" s="408" t="s">
        <v>2231</v>
      </c>
      <c r="D542" s="408" t="s">
        <v>1955</v>
      </c>
      <c r="E542" s="408" t="s">
        <v>1001</v>
      </c>
      <c r="F542" s="408" t="s">
        <v>2246</v>
      </c>
      <c r="G542" s="408" t="s">
        <v>1322</v>
      </c>
      <c r="H542" s="408" t="s">
        <v>1322</v>
      </c>
      <c r="I542" s="408" t="s">
        <v>1322</v>
      </c>
      <c r="J542" s="408" t="s">
        <v>2232</v>
      </c>
      <c r="K542" s="828">
        <v>44682</v>
      </c>
      <c r="L542" s="408">
        <v>0</v>
      </c>
      <c r="M542" s="408">
        <v>0</v>
      </c>
      <c r="N542" s="408">
        <v>140.00200000000001</v>
      </c>
      <c r="O542" s="408">
        <v>131.60187999999999</v>
      </c>
      <c r="P542" s="408">
        <v>140.00200000000001</v>
      </c>
      <c r="Q542" s="408">
        <v>131.60187999999999</v>
      </c>
      <c r="R542" s="408"/>
      <c r="S542" s="408">
        <v>571.87</v>
      </c>
      <c r="T542" s="408">
        <v>216.76</v>
      </c>
      <c r="U542" s="408"/>
      <c r="V542" s="408">
        <v>110409.77726</v>
      </c>
      <c r="W542" s="408">
        <v>110409.77726</v>
      </c>
      <c r="X542" s="408">
        <v>71962.428020000007</v>
      </c>
      <c r="Y542" s="408">
        <v>0</v>
      </c>
      <c r="Z542" s="408">
        <v>8485.6076073995901</v>
      </c>
      <c r="AA542" s="408">
        <v>0</v>
      </c>
      <c r="AB542" s="408">
        <v>0</v>
      </c>
      <c r="AC542" s="408">
        <v>0</v>
      </c>
      <c r="AD542" s="408">
        <v>115.0695617585375</v>
      </c>
      <c r="AE542" s="408">
        <v>59694.566397495735</v>
      </c>
      <c r="AF542" s="408">
        <v>29904.637318310688</v>
      </c>
      <c r="AG542" s="408">
        <v>442.04297791280334</v>
      </c>
      <c r="AH542" s="408">
        <v>0</v>
      </c>
      <c r="AI542" s="408">
        <v>0</v>
      </c>
      <c r="AJ542" s="408">
        <v>0</v>
      </c>
      <c r="AK542" s="408">
        <v>0</v>
      </c>
      <c r="AL542" s="408">
        <v>1312.327459467085</v>
      </c>
      <c r="AM542" s="408"/>
      <c r="AN542" s="408">
        <v>268.58957480083052</v>
      </c>
      <c r="AO542" s="408">
        <v>1243.4554482698959</v>
      </c>
      <c r="AP542" s="408">
        <v>3895.850370305554</v>
      </c>
      <c r="AQ542" s="408">
        <v>0</v>
      </c>
      <c r="AR542" s="408">
        <v>0</v>
      </c>
      <c r="AS542" s="408">
        <v>0</v>
      </c>
      <c r="AT542" s="408">
        <v>0</v>
      </c>
      <c r="AU542" s="408">
        <v>0</v>
      </c>
      <c r="AV542" s="408">
        <v>0</v>
      </c>
      <c r="AW542" s="408">
        <v>0</v>
      </c>
      <c r="AX542" s="408">
        <v>0</v>
      </c>
      <c r="AY542" s="408">
        <v>0</v>
      </c>
      <c r="AZ542" s="408">
        <v>0</v>
      </c>
      <c r="BA542" s="408"/>
      <c r="BB542" s="408">
        <v>0</v>
      </c>
      <c r="BC542" s="408">
        <v>0</v>
      </c>
      <c r="BD542" s="408">
        <v>83.310937202638371</v>
      </c>
      <c r="BE542" s="408">
        <v>0</v>
      </c>
      <c r="BF542" s="408">
        <v>0</v>
      </c>
      <c r="BG542" s="408">
        <v>4964.2241617858153</v>
      </c>
      <c r="BH542" s="408">
        <v>0</v>
      </c>
      <c r="BI542" s="408">
        <v>201.3</v>
      </c>
      <c r="BJ542" s="408">
        <v>919.1</v>
      </c>
      <c r="BK542" s="408">
        <v>25912.68</v>
      </c>
      <c r="BL542" s="408">
        <v>97</v>
      </c>
      <c r="BM542" s="408"/>
      <c r="BN542" s="408"/>
      <c r="BO542" s="408"/>
      <c r="BP542" s="408"/>
      <c r="BQ542" s="408">
        <v>4317.7456812000073</v>
      </c>
      <c r="BR542" s="408"/>
      <c r="BS542" s="408"/>
      <c r="BT542" s="408"/>
      <c r="BU542" s="408"/>
      <c r="BV542" s="408">
        <v>34952.172417299138</v>
      </c>
      <c r="BW542" s="408"/>
      <c r="BX542" s="408"/>
      <c r="BY542" s="408"/>
      <c r="BZ542" s="408"/>
      <c r="CA542" s="408"/>
      <c r="CB542" s="408"/>
      <c r="CC542" s="408"/>
      <c r="CD542" s="408"/>
      <c r="CE542" s="408"/>
      <c r="CF542" s="408"/>
      <c r="CG542" s="408"/>
      <c r="CH542" s="408"/>
      <c r="CI542" s="408">
        <v>67643.715999999986</v>
      </c>
      <c r="CJ542" s="408">
        <v>-36141.504624399982</v>
      </c>
      <c r="CK542" s="408"/>
      <c r="CL542" s="408"/>
      <c r="CM542" s="408"/>
      <c r="CN542" s="408"/>
      <c r="CO542" s="408">
        <v>-43015.614500000003</v>
      </c>
      <c r="CP542" s="408">
        <v>4568.2652600000001</v>
      </c>
      <c r="CQ542" s="408">
        <v>31</v>
      </c>
      <c r="CR542" s="408">
        <v>5411.1201191223881</v>
      </c>
      <c r="CS542" s="408">
        <v>128.26432473334603</v>
      </c>
      <c r="CT542" s="408">
        <v>401.86290365662626</v>
      </c>
      <c r="CU542" s="408">
        <v>0</v>
      </c>
      <c r="CV542" s="408">
        <v>0</v>
      </c>
      <c r="CW542" s="408">
        <v>0</v>
      </c>
      <c r="CX542" s="408">
        <v>0</v>
      </c>
      <c r="CY542" s="408">
        <v>0</v>
      </c>
      <c r="CZ542" s="408">
        <v>11.25093323934253</v>
      </c>
      <c r="DA542" s="408">
        <v>0</v>
      </c>
      <c r="DB542" s="408">
        <v>0</v>
      </c>
      <c r="DC542" s="408">
        <v>4568.8523616608109</v>
      </c>
      <c r="DD542" s="408">
        <v>0</v>
      </c>
      <c r="DE542" s="408">
        <v>0</v>
      </c>
      <c r="DF542" s="408">
        <v>12.728305919209063</v>
      </c>
      <c r="DG542" s="408">
        <v>758.43779825752245</v>
      </c>
      <c r="DH542" s="408">
        <v>0</v>
      </c>
      <c r="DI542" s="408">
        <v>-405.41853451463521</v>
      </c>
      <c r="DJ542" s="408"/>
      <c r="DK542" s="408">
        <v>0</v>
      </c>
      <c r="DL542" s="408">
        <v>0</v>
      </c>
      <c r="DM542" s="408">
        <v>0</v>
      </c>
      <c r="DN542" s="408">
        <v>0</v>
      </c>
      <c r="DO542" s="408">
        <v>-53.176308018477584</v>
      </c>
      <c r="DP542" s="408">
        <v>-11.681665811360574</v>
      </c>
      <c r="DQ542" s="408">
        <v>0</v>
      </c>
      <c r="DR542" s="408">
        <v>0</v>
      </c>
      <c r="DS542" s="408"/>
      <c r="DT542" s="408"/>
      <c r="DU542" s="408"/>
      <c r="DV542" s="408">
        <v>59694.566397495735</v>
      </c>
      <c r="DW542" s="408">
        <v>0</v>
      </c>
      <c r="DX542" s="408">
        <v>0</v>
      </c>
      <c r="DY542" s="408">
        <v>-43015.614499999996</v>
      </c>
      <c r="DZ542" s="234">
        <v>4568.2652600000001</v>
      </c>
      <c r="EA542" s="408">
        <v>0</v>
      </c>
      <c r="EB542" s="408">
        <v>0</v>
      </c>
      <c r="EC542" s="408">
        <v>-43858.183979263995</v>
      </c>
      <c r="ED542" s="408">
        <v>0</v>
      </c>
      <c r="EE542" s="408">
        <v>0</v>
      </c>
      <c r="EF542" s="408">
        <v>0</v>
      </c>
      <c r="EG542" s="408">
        <v>0</v>
      </c>
      <c r="EH542" s="408">
        <v>0</v>
      </c>
      <c r="EI542" s="408">
        <v>0</v>
      </c>
      <c r="EJ542" s="408">
        <v>0</v>
      </c>
      <c r="EK542" s="408">
        <v>0</v>
      </c>
      <c r="EL542" s="408">
        <v>0</v>
      </c>
      <c r="EM542" s="408">
        <v>0</v>
      </c>
      <c r="EN542" s="408">
        <v>0</v>
      </c>
      <c r="EO542" s="408">
        <v>0</v>
      </c>
      <c r="EP542" s="408">
        <v>0</v>
      </c>
      <c r="EQ542" s="408">
        <v>0</v>
      </c>
      <c r="ER542" s="408">
        <v>0</v>
      </c>
      <c r="ES542" s="408">
        <v>0</v>
      </c>
      <c r="ET542" s="408">
        <v>0</v>
      </c>
      <c r="EU542" s="408">
        <v>0</v>
      </c>
      <c r="EV542" s="408">
        <v>242</v>
      </c>
      <c r="EW542" s="408">
        <v>0</v>
      </c>
      <c r="EX542" s="408">
        <v>0</v>
      </c>
      <c r="EY542" s="408">
        <v>0</v>
      </c>
      <c r="EZ542" s="408"/>
      <c r="FA542" s="408">
        <v>0</v>
      </c>
      <c r="FB542" s="408"/>
      <c r="FC542" s="408"/>
      <c r="FD542" s="408"/>
      <c r="FE542" s="408"/>
      <c r="FF542" s="408">
        <v>0</v>
      </c>
      <c r="FG542" s="408">
        <v>0</v>
      </c>
      <c r="FH542" s="408">
        <v>0</v>
      </c>
      <c r="FI542" s="408">
        <v>0</v>
      </c>
    </row>
    <row r="543" spans="1:165">
      <c r="A543" s="408">
        <v>543</v>
      </c>
      <c r="B543" s="408" t="s">
        <v>1036</v>
      </c>
      <c r="C543" s="408" t="s">
        <v>2239</v>
      </c>
      <c r="D543" s="408" t="s">
        <v>597</v>
      </c>
      <c r="E543" s="408" t="s">
        <v>1001</v>
      </c>
      <c r="F543" s="408" t="s">
        <v>2246</v>
      </c>
      <c r="G543" s="408" t="s">
        <v>1322</v>
      </c>
      <c r="H543" s="408" t="s">
        <v>1322</v>
      </c>
      <c r="I543" s="408" t="s">
        <v>973</v>
      </c>
      <c r="J543" s="408" t="s">
        <v>2232</v>
      </c>
      <c r="K543" s="828">
        <v>44682</v>
      </c>
      <c r="L543" s="408">
        <v>0</v>
      </c>
      <c r="M543" s="408">
        <v>0</v>
      </c>
      <c r="N543" s="408">
        <v>5.26</v>
      </c>
      <c r="O543" s="408">
        <v>4.9443999999999999</v>
      </c>
      <c r="P543" s="408">
        <v>5.26</v>
      </c>
      <c r="Q543" s="408">
        <v>4.9443999999999999</v>
      </c>
      <c r="R543" s="408"/>
      <c r="S543" s="408">
        <v>2592.54</v>
      </c>
      <c r="T543" s="408">
        <v>216.76</v>
      </c>
      <c r="U543" s="408"/>
      <c r="V543" s="408">
        <v>14776.918</v>
      </c>
      <c r="W543" s="408">
        <v>14776.918</v>
      </c>
      <c r="X543" s="408">
        <v>6213.1119999999992</v>
      </c>
      <c r="Y543" s="408">
        <v>0</v>
      </c>
      <c r="Z543" s="408">
        <v>277.36630571693269</v>
      </c>
      <c r="AA543" s="408">
        <v>0</v>
      </c>
      <c r="AB543" s="408">
        <v>0</v>
      </c>
      <c r="AC543" s="408">
        <v>0</v>
      </c>
      <c r="AD543" s="408">
        <v>26.597901189170894</v>
      </c>
      <c r="AE543" s="408">
        <v>12050.089313216744</v>
      </c>
      <c r="AF543" s="408">
        <v>1123.5438943323254</v>
      </c>
      <c r="AG543" s="408">
        <v>16.607948913739413</v>
      </c>
      <c r="AH543" s="408">
        <v>0</v>
      </c>
      <c r="AI543" s="408">
        <v>0</v>
      </c>
      <c r="AJ543" s="408">
        <v>0</v>
      </c>
      <c r="AK543" s="408">
        <v>0</v>
      </c>
      <c r="AL543" s="408">
        <v>49.305313044076982</v>
      </c>
      <c r="AM543" s="408"/>
      <c r="AN543" s="408">
        <v>7.2231487535976262</v>
      </c>
      <c r="AO543" s="408">
        <v>237.30422430477947</v>
      </c>
      <c r="AP543" s="408">
        <v>900.5159382901652</v>
      </c>
      <c r="AQ543" s="408">
        <v>0</v>
      </c>
      <c r="AR543" s="408">
        <v>0</v>
      </c>
      <c r="AS543" s="408">
        <v>0</v>
      </c>
      <c r="AT543" s="408">
        <v>0</v>
      </c>
      <c r="AU543" s="408">
        <v>0</v>
      </c>
      <c r="AV543" s="408">
        <v>0</v>
      </c>
      <c r="AW543" s="408">
        <v>0</v>
      </c>
      <c r="AX543" s="408">
        <v>0</v>
      </c>
      <c r="AY543" s="408">
        <v>0</v>
      </c>
      <c r="AZ543" s="408">
        <v>0</v>
      </c>
      <c r="BA543" s="408"/>
      <c r="BB543" s="408">
        <v>0</v>
      </c>
      <c r="BC543" s="408">
        <v>0</v>
      </c>
      <c r="BD543" s="408">
        <v>2.4053911538730688</v>
      </c>
      <c r="BE543" s="408">
        <v>0</v>
      </c>
      <c r="BF543" s="408">
        <v>0</v>
      </c>
      <c r="BG543" s="408">
        <v>85.928184910309298</v>
      </c>
      <c r="BH543" s="408">
        <v>0</v>
      </c>
      <c r="BI543" s="408">
        <v>0</v>
      </c>
      <c r="BJ543" s="408">
        <v>0</v>
      </c>
      <c r="BK543" s="408">
        <v>0</v>
      </c>
      <c r="BL543" s="408">
        <v>0</v>
      </c>
      <c r="BM543" s="408"/>
      <c r="BN543" s="408"/>
      <c r="BO543" s="408"/>
      <c r="BP543" s="408"/>
      <c r="BQ543" s="408">
        <v>372.78671999999983</v>
      </c>
      <c r="BR543" s="408"/>
      <c r="BS543" s="408"/>
      <c r="BT543" s="408"/>
      <c r="BU543" s="408"/>
      <c r="BV543" s="408">
        <v>1211.8774703965078</v>
      </c>
      <c r="BW543" s="408"/>
      <c r="BX543" s="408"/>
      <c r="BY543" s="408"/>
      <c r="BZ543" s="408"/>
      <c r="CA543" s="408"/>
      <c r="CB543" s="408"/>
      <c r="CC543" s="408"/>
      <c r="CD543" s="408"/>
      <c r="CE543" s="408"/>
      <c r="CF543" s="408"/>
      <c r="CG543" s="408"/>
      <c r="CH543" s="408"/>
      <c r="CI543" s="408">
        <v>5835.1280000000006</v>
      </c>
      <c r="CJ543" s="408">
        <v>-8055.2049199999983</v>
      </c>
      <c r="CK543" s="408"/>
      <c r="CL543" s="408"/>
      <c r="CM543" s="408"/>
      <c r="CN543" s="408"/>
      <c r="CO543" s="408">
        <v>-8735.4398000000001</v>
      </c>
      <c r="CP543" s="408">
        <v>171.63379999999998</v>
      </c>
      <c r="CQ543" s="408">
        <v>31</v>
      </c>
      <c r="CR543" s="408">
        <v>289.55620240481812</v>
      </c>
      <c r="CS543" s="408">
        <v>24.478292430318135</v>
      </c>
      <c r="CT543" s="408">
        <v>92.889591578939189</v>
      </c>
      <c r="CU543" s="408">
        <v>0</v>
      </c>
      <c r="CV543" s="408">
        <v>0</v>
      </c>
      <c r="CW543" s="408">
        <v>0</v>
      </c>
      <c r="CX543" s="408">
        <v>0</v>
      </c>
      <c r="CY543" s="408">
        <v>0</v>
      </c>
      <c r="CZ543" s="408">
        <v>2.6006113694422801</v>
      </c>
      <c r="DA543" s="408">
        <v>0</v>
      </c>
      <c r="DB543" s="408">
        <v>0</v>
      </c>
      <c r="DC543" s="408">
        <v>171.65585793299965</v>
      </c>
      <c r="DD543" s="408">
        <v>0</v>
      </c>
      <c r="DE543" s="408">
        <v>0</v>
      </c>
      <c r="DF543" s="408">
        <v>0.36749741978519346</v>
      </c>
      <c r="DG543" s="408">
        <v>13.128170938234973</v>
      </c>
      <c r="DH543" s="408">
        <v>0</v>
      </c>
      <c r="DI543" s="408">
        <v>-13.251784243409645</v>
      </c>
      <c r="DJ543" s="408"/>
      <c r="DK543" s="408">
        <v>0</v>
      </c>
      <c r="DL543" s="408">
        <v>0</v>
      </c>
      <c r="DM543" s="408">
        <v>0</v>
      </c>
      <c r="DN543" s="408">
        <v>0</v>
      </c>
      <c r="DO543" s="408">
        <v>-1.9978813172468293</v>
      </c>
      <c r="DP543" s="408">
        <v>-0.31415370424501088</v>
      </c>
      <c r="DQ543" s="408">
        <v>0</v>
      </c>
      <c r="DR543" s="408">
        <v>0</v>
      </c>
      <c r="DS543" s="408"/>
      <c r="DT543" s="408"/>
      <c r="DU543" s="408"/>
      <c r="DV543" s="408">
        <v>12050.089313216744</v>
      </c>
      <c r="DW543" s="408">
        <v>0</v>
      </c>
      <c r="DX543" s="408">
        <v>0</v>
      </c>
      <c r="DY543" s="408">
        <v>-8735.4398000000001</v>
      </c>
      <c r="DZ543" s="234">
        <v>171.63379999999984</v>
      </c>
      <c r="EA543" s="408">
        <v>0</v>
      </c>
      <c r="EB543" s="408">
        <v>0</v>
      </c>
      <c r="EC543" s="408">
        <v>-8853.3189192876707</v>
      </c>
      <c r="ED543" s="408">
        <v>0</v>
      </c>
      <c r="EE543" s="408">
        <v>0</v>
      </c>
      <c r="EF543" s="408">
        <v>0</v>
      </c>
      <c r="EG543" s="408">
        <v>0</v>
      </c>
      <c r="EH543" s="408">
        <v>0</v>
      </c>
      <c r="EI543" s="408">
        <v>0</v>
      </c>
      <c r="EJ543" s="408">
        <v>0</v>
      </c>
      <c r="EK543" s="408">
        <v>0</v>
      </c>
      <c r="EL543" s="408">
        <v>0</v>
      </c>
      <c r="EM543" s="408">
        <v>0</v>
      </c>
      <c r="EN543" s="408">
        <v>0</v>
      </c>
      <c r="EO543" s="408">
        <v>0</v>
      </c>
      <c r="EP543" s="408">
        <v>0</v>
      </c>
      <c r="EQ543" s="408">
        <v>0</v>
      </c>
      <c r="ER543" s="408">
        <v>0</v>
      </c>
      <c r="ES543" s="408">
        <v>0</v>
      </c>
      <c r="ET543" s="408">
        <v>0</v>
      </c>
      <c r="EU543" s="408">
        <v>0</v>
      </c>
      <c r="EV543" s="408">
        <v>242</v>
      </c>
      <c r="EW543" s="408">
        <v>0</v>
      </c>
      <c r="EX543" s="408">
        <v>0</v>
      </c>
      <c r="EY543" s="408">
        <v>0</v>
      </c>
      <c r="EZ543" s="408"/>
      <c r="FA543" s="408">
        <v>0</v>
      </c>
      <c r="FB543" s="408"/>
      <c r="FC543" s="408"/>
      <c r="FD543" s="408"/>
      <c r="FE543" s="408"/>
      <c r="FF543" s="408">
        <v>0</v>
      </c>
      <c r="FG543" s="408">
        <v>0</v>
      </c>
      <c r="FH543" s="408">
        <v>0</v>
      </c>
      <c r="FI543" s="408">
        <v>0</v>
      </c>
    </row>
    <row r="544" spans="1:165">
      <c r="A544" s="408">
        <v>544</v>
      </c>
      <c r="B544" s="408" t="s">
        <v>1036</v>
      </c>
      <c r="C544" s="408" t="s">
        <v>2239</v>
      </c>
      <c r="D544" s="408" t="s">
        <v>597</v>
      </c>
      <c r="E544" s="408" t="s">
        <v>1001</v>
      </c>
      <c r="F544" s="408" t="s">
        <v>2246</v>
      </c>
      <c r="G544" s="408" t="s">
        <v>1322</v>
      </c>
      <c r="H544" s="408" t="s">
        <v>1322</v>
      </c>
      <c r="I544" s="408" t="s">
        <v>2240</v>
      </c>
      <c r="J544" s="408" t="s">
        <v>2232</v>
      </c>
      <c r="K544" s="828">
        <v>44682</v>
      </c>
      <c r="L544" s="408">
        <v>0</v>
      </c>
      <c r="M544" s="408">
        <v>0</v>
      </c>
      <c r="N544" s="408">
        <v>99.287999999999997</v>
      </c>
      <c r="O544" s="408">
        <v>93.330719999999999</v>
      </c>
      <c r="P544" s="408">
        <v>99.287999999999997</v>
      </c>
      <c r="Q544" s="408">
        <v>93.330719999999999</v>
      </c>
      <c r="R544" s="408"/>
      <c r="S544" s="408">
        <v>80.27</v>
      </c>
      <c r="T544" s="408">
        <v>216.76</v>
      </c>
      <c r="U544" s="408"/>
      <c r="V544" s="408">
        <v>29491.514639999998</v>
      </c>
      <c r="W544" s="408">
        <v>29491.514639999998</v>
      </c>
      <c r="X544" s="408">
        <v>32692.559759999996</v>
      </c>
      <c r="Y544" s="408">
        <v>0</v>
      </c>
      <c r="Z544" s="408">
        <v>5235.5790422096607</v>
      </c>
      <c r="AA544" s="408">
        <v>0</v>
      </c>
      <c r="AB544" s="408">
        <v>0</v>
      </c>
      <c r="AC544" s="408">
        <v>0</v>
      </c>
      <c r="AD544" s="408">
        <v>0</v>
      </c>
      <c r="AE544" s="408">
        <v>0</v>
      </c>
      <c r="AF544" s="408">
        <v>21208.065813777172</v>
      </c>
      <c r="AG544" s="408">
        <v>313.49240147288191</v>
      </c>
      <c r="AH544" s="408">
        <v>0</v>
      </c>
      <c r="AI544" s="408">
        <v>0</v>
      </c>
      <c r="AJ544" s="408">
        <v>0</v>
      </c>
      <c r="AK544" s="408">
        <v>0</v>
      </c>
      <c r="AL544" s="408">
        <v>930.68933869207524</v>
      </c>
      <c r="AM544" s="408"/>
      <c r="AN544" s="408">
        <v>136.34448544623595</v>
      </c>
      <c r="AO544" s="408">
        <v>0</v>
      </c>
      <c r="AP544" s="408">
        <v>0</v>
      </c>
      <c r="AQ544" s="408">
        <v>0</v>
      </c>
      <c r="AR544" s="408">
        <v>0</v>
      </c>
      <c r="AS544" s="408">
        <v>0</v>
      </c>
      <c r="AT544" s="408">
        <v>0</v>
      </c>
      <c r="AU544" s="408">
        <v>0</v>
      </c>
      <c r="AV544" s="408">
        <v>0</v>
      </c>
      <c r="AW544" s="408">
        <v>0</v>
      </c>
      <c r="AX544" s="408">
        <v>0</v>
      </c>
      <c r="AY544" s="408">
        <v>0</v>
      </c>
      <c r="AZ544" s="408">
        <v>0</v>
      </c>
      <c r="BA544" s="408"/>
      <c r="BB544" s="408">
        <v>0</v>
      </c>
      <c r="BC544" s="408">
        <v>0</v>
      </c>
      <c r="BD544" s="408">
        <v>45.404273172195673</v>
      </c>
      <c r="BE544" s="408">
        <v>0</v>
      </c>
      <c r="BF544" s="408">
        <v>0</v>
      </c>
      <c r="BG544" s="408">
        <v>1621.9843390446367</v>
      </c>
      <c r="BH544" s="408">
        <v>0</v>
      </c>
      <c r="BI544" s="408">
        <v>0</v>
      </c>
      <c r="BJ544" s="408">
        <v>0</v>
      </c>
      <c r="BK544" s="408">
        <v>0</v>
      </c>
      <c r="BL544" s="408">
        <v>0</v>
      </c>
      <c r="BM544" s="408"/>
      <c r="BN544" s="408"/>
      <c r="BO544" s="408"/>
      <c r="BP544" s="408"/>
      <c r="BQ544" s="408">
        <v>1961.5535855999988</v>
      </c>
      <c r="BR544" s="408"/>
      <c r="BS544" s="408"/>
      <c r="BT544" s="408"/>
      <c r="BU544" s="408"/>
      <c r="BV544" s="408">
        <v>22875.454425994005</v>
      </c>
      <c r="BW544" s="408"/>
      <c r="BX544" s="408"/>
      <c r="BY544" s="408"/>
      <c r="BZ544" s="408"/>
      <c r="CA544" s="408"/>
      <c r="CB544" s="408"/>
      <c r="CC544" s="408"/>
      <c r="CD544" s="408"/>
      <c r="CE544" s="408"/>
      <c r="CF544" s="408"/>
      <c r="CG544" s="408"/>
      <c r="CH544" s="408"/>
      <c r="CI544" s="408">
        <v>30730.769099999998</v>
      </c>
      <c r="CJ544" s="408">
        <v>3008.7153384000012</v>
      </c>
      <c r="CK544" s="408"/>
      <c r="CL544" s="408"/>
      <c r="CM544" s="408"/>
      <c r="CN544" s="408"/>
      <c r="CO544" s="408">
        <v>-38.722320000000053</v>
      </c>
      <c r="CP544" s="408">
        <v>3239.7674399999996</v>
      </c>
      <c r="CQ544" s="408">
        <v>31</v>
      </c>
      <c r="CR544" s="408">
        <v>3201.1452956671565</v>
      </c>
      <c r="CS544" s="408">
        <v>0</v>
      </c>
      <c r="CT544" s="408">
        <v>0</v>
      </c>
      <c r="CU544" s="408">
        <v>0</v>
      </c>
      <c r="CV544" s="408">
        <v>0</v>
      </c>
      <c r="CW544" s="408">
        <v>0</v>
      </c>
      <c r="CX544" s="408">
        <v>0</v>
      </c>
      <c r="CY544" s="408">
        <v>0</v>
      </c>
      <c r="CZ544" s="408">
        <v>0</v>
      </c>
      <c r="DA544" s="408">
        <v>0</v>
      </c>
      <c r="DB544" s="408">
        <v>0</v>
      </c>
      <c r="DC544" s="408">
        <v>3240.1838065497504</v>
      </c>
      <c r="DD544" s="408">
        <v>0</v>
      </c>
      <c r="DE544" s="408">
        <v>0</v>
      </c>
      <c r="DF544" s="408">
        <v>6.936898063808421</v>
      </c>
      <c r="DG544" s="408">
        <v>247.80795363412062</v>
      </c>
      <c r="DH544" s="408">
        <v>0</v>
      </c>
      <c r="DI544" s="408">
        <v>-250.14128402274855</v>
      </c>
      <c r="DJ544" s="408"/>
      <c r="DK544" s="408">
        <v>0</v>
      </c>
      <c r="DL544" s="408">
        <v>0</v>
      </c>
      <c r="DM544" s="408">
        <v>0</v>
      </c>
      <c r="DN544" s="408">
        <v>0</v>
      </c>
      <c r="DO544" s="408">
        <v>-37.71209890243415</v>
      </c>
      <c r="DP544" s="408">
        <v>-5.9299796553381441</v>
      </c>
      <c r="DQ544" s="408">
        <v>0</v>
      </c>
      <c r="DR544" s="408">
        <v>0</v>
      </c>
      <c r="DS544" s="408"/>
      <c r="DT544" s="408"/>
      <c r="DU544" s="408"/>
      <c r="DV544" s="408">
        <v>0</v>
      </c>
      <c r="DW544" s="408">
        <v>0</v>
      </c>
      <c r="DX544" s="408">
        <v>0</v>
      </c>
      <c r="DY544" s="408">
        <v>-38.722320000000764</v>
      </c>
      <c r="DZ544" s="234">
        <v>3239.7674399999996</v>
      </c>
      <c r="EA544" s="408">
        <v>0</v>
      </c>
      <c r="EB544" s="408">
        <v>0</v>
      </c>
      <c r="EC544" s="408">
        <v>0</v>
      </c>
      <c r="ED544" s="408">
        <v>0</v>
      </c>
      <c r="EE544" s="408">
        <v>0</v>
      </c>
      <c r="EF544" s="408">
        <v>0</v>
      </c>
      <c r="EG544" s="408">
        <v>0</v>
      </c>
      <c r="EH544" s="408">
        <v>0</v>
      </c>
      <c r="EI544" s="408">
        <v>0</v>
      </c>
      <c r="EJ544" s="408">
        <v>0</v>
      </c>
      <c r="EK544" s="408">
        <v>0</v>
      </c>
      <c r="EL544" s="408">
        <v>0</v>
      </c>
      <c r="EM544" s="408">
        <v>0</v>
      </c>
      <c r="EN544" s="408">
        <v>0</v>
      </c>
      <c r="EO544" s="408">
        <v>0</v>
      </c>
      <c r="EP544" s="408">
        <v>0</v>
      </c>
      <c r="EQ544" s="408">
        <v>0</v>
      </c>
      <c r="ER544" s="408">
        <v>0</v>
      </c>
      <c r="ES544" s="408">
        <v>0</v>
      </c>
      <c r="ET544" s="408">
        <v>0</v>
      </c>
      <c r="EU544" s="408">
        <v>0</v>
      </c>
      <c r="EV544" s="408">
        <v>242</v>
      </c>
      <c r="EW544" s="408">
        <v>0</v>
      </c>
      <c r="EX544" s="408">
        <v>0</v>
      </c>
      <c r="EY544" s="408">
        <v>0</v>
      </c>
      <c r="EZ544" s="408"/>
      <c r="FA544" s="408">
        <v>0</v>
      </c>
      <c r="FB544" s="408"/>
      <c r="FC544" s="408"/>
      <c r="FD544" s="408"/>
      <c r="FE544" s="408"/>
      <c r="FF544" s="408">
        <v>0</v>
      </c>
      <c r="FG544" s="408">
        <v>0</v>
      </c>
      <c r="FH544" s="408">
        <v>0</v>
      </c>
      <c r="FI544" s="408">
        <v>0</v>
      </c>
    </row>
    <row r="545" spans="1:165">
      <c r="A545" s="408">
        <v>545</v>
      </c>
      <c r="B545" s="408" t="s">
        <v>1036</v>
      </c>
      <c r="C545" s="408" t="s">
        <v>2239</v>
      </c>
      <c r="D545" s="408" t="s">
        <v>597</v>
      </c>
      <c r="E545" s="408" t="s">
        <v>1001</v>
      </c>
      <c r="F545" s="408" t="s">
        <v>2246</v>
      </c>
      <c r="G545" s="408" t="s">
        <v>1322</v>
      </c>
      <c r="H545" s="408" t="s">
        <v>1322</v>
      </c>
      <c r="I545" s="408" t="s">
        <v>1322</v>
      </c>
      <c r="J545" s="408" t="s">
        <v>2232</v>
      </c>
      <c r="K545" s="828">
        <v>44682</v>
      </c>
      <c r="L545" s="408">
        <v>399</v>
      </c>
      <c r="M545" s="408">
        <v>375.06</v>
      </c>
      <c r="N545" s="408">
        <v>0</v>
      </c>
      <c r="O545" s="408">
        <v>0</v>
      </c>
      <c r="P545" s="408">
        <v>0</v>
      </c>
      <c r="Q545" s="408">
        <v>0</v>
      </c>
      <c r="R545" s="408">
        <v>32.17</v>
      </c>
      <c r="S545" s="408"/>
      <c r="T545" s="408"/>
      <c r="U545" s="408">
        <v>12835.83</v>
      </c>
      <c r="V545" s="408"/>
      <c r="W545" s="408">
        <v>12835.83</v>
      </c>
      <c r="X545" s="408">
        <v>5159.07</v>
      </c>
      <c r="Y545" s="408">
        <v>0</v>
      </c>
      <c r="Z545" s="408">
        <v>0</v>
      </c>
      <c r="AA545" s="408">
        <v>0</v>
      </c>
      <c r="AB545" s="408">
        <v>0</v>
      </c>
      <c r="AC545" s="408">
        <v>0</v>
      </c>
      <c r="AD545" s="408">
        <v>39.866573827378886</v>
      </c>
      <c r="AE545" s="408">
        <v>10743.767435968706</v>
      </c>
      <c r="AF545" s="408"/>
      <c r="AG545" s="408"/>
      <c r="AH545" s="408"/>
      <c r="AI545" s="408">
        <v>0</v>
      </c>
      <c r="AJ545" s="408">
        <v>0</v>
      </c>
      <c r="AK545" s="408">
        <v>0</v>
      </c>
      <c r="AL545" s="408">
        <v>0</v>
      </c>
      <c r="AM545" s="408"/>
      <c r="AN545" s="408">
        <v>0</v>
      </c>
      <c r="AO545" s="408">
        <v>704.00402145907833</v>
      </c>
      <c r="AP545" s="408">
        <v>1349.7632010128264</v>
      </c>
      <c r="AQ545" s="408">
        <v>0</v>
      </c>
      <c r="AR545" s="408">
        <v>0</v>
      </c>
      <c r="AS545" s="408"/>
      <c r="AT545" s="408"/>
      <c r="AU545" s="408">
        <v>0</v>
      </c>
      <c r="AV545" s="408">
        <v>0</v>
      </c>
      <c r="AW545" s="408">
        <v>0</v>
      </c>
      <c r="AX545" s="408"/>
      <c r="AY545" s="408"/>
      <c r="AZ545" s="408">
        <v>0</v>
      </c>
      <c r="BA545" s="408"/>
      <c r="BB545" s="408">
        <v>0</v>
      </c>
      <c r="BC545" s="408">
        <v>0</v>
      </c>
      <c r="BD545" s="408">
        <v>0</v>
      </c>
      <c r="BE545" s="408">
        <v>0</v>
      </c>
      <c r="BF545" s="408"/>
      <c r="BG545" s="408">
        <v>0</v>
      </c>
      <c r="BH545" s="408">
        <v>0</v>
      </c>
      <c r="BI545" s="408">
        <v>114.99</v>
      </c>
      <c r="BJ545" s="408">
        <v>523.63</v>
      </c>
      <c r="BK545" s="408">
        <v>14857.79</v>
      </c>
      <c r="BL545" s="408">
        <v>2</v>
      </c>
      <c r="BM545" s="408"/>
      <c r="BN545" s="408"/>
      <c r="BO545" s="408"/>
      <c r="BP545" s="408"/>
      <c r="BQ545" s="408">
        <v>309.54419999999999</v>
      </c>
      <c r="BR545" s="408"/>
      <c r="BS545" s="408"/>
      <c r="BT545" s="408"/>
      <c r="BU545" s="408"/>
      <c r="BV545" s="408">
        <v>0</v>
      </c>
      <c r="BW545" s="408"/>
      <c r="BX545" s="408"/>
      <c r="BY545" s="408"/>
      <c r="BZ545" s="408"/>
      <c r="CA545" s="408"/>
      <c r="CB545" s="408"/>
      <c r="CC545" s="408"/>
      <c r="CD545" s="408"/>
      <c r="CE545" s="408"/>
      <c r="CF545" s="408"/>
      <c r="CG545" s="408"/>
      <c r="CH545" s="408"/>
      <c r="CI545" s="408">
        <v>4849.5258000000003</v>
      </c>
      <c r="CJ545" s="408">
        <v>-7216.184400000001</v>
      </c>
      <c r="CK545" s="408"/>
      <c r="CL545" s="408"/>
      <c r="CM545" s="408"/>
      <c r="CN545" s="408"/>
      <c r="CO545" s="408">
        <v>-7676.7600000000011</v>
      </c>
      <c r="CP545" s="408">
        <v>0</v>
      </c>
      <c r="CQ545" s="408">
        <v>31</v>
      </c>
      <c r="CR545" s="408">
        <v>215.74717592480101</v>
      </c>
      <c r="CS545" s="408">
        <v>72.619087839173972</v>
      </c>
      <c r="CT545" s="408">
        <v>139.23013146044809</v>
      </c>
      <c r="CU545" s="408">
        <v>0</v>
      </c>
      <c r="CV545" s="408">
        <v>0</v>
      </c>
      <c r="CW545" s="408"/>
      <c r="CX545" s="408"/>
      <c r="CY545" s="408"/>
      <c r="CZ545" s="408">
        <v>3.8979566251793685</v>
      </c>
      <c r="DA545" s="408">
        <v>0</v>
      </c>
      <c r="DB545" s="408">
        <v>0</v>
      </c>
      <c r="DC545" s="408"/>
      <c r="DD545" s="408"/>
      <c r="DE545" s="408">
        <v>0</v>
      </c>
      <c r="DF545" s="408">
        <v>0</v>
      </c>
      <c r="DG545" s="408">
        <v>0</v>
      </c>
      <c r="DH545" s="408">
        <v>0</v>
      </c>
      <c r="DI545" s="408">
        <v>0</v>
      </c>
      <c r="DJ545" s="408"/>
      <c r="DK545" s="408">
        <v>0</v>
      </c>
      <c r="DL545" s="408">
        <v>0</v>
      </c>
      <c r="DM545" s="408"/>
      <c r="DN545" s="408">
        <v>0</v>
      </c>
      <c r="DO545" s="408">
        <v>0</v>
      </c>
      <c r="DP545" s="408">
        <v>0</v>
      </c>
      <c r="DQ545" s="408">
        <v>0</v>
      </c>
      <c r="DR545" s="408">
        <v>0</v>
      </c>
      <c r="DS545" s="408"/>
      <c r="DT545" s="408"/>
      <c r="DU545" s="408">
        <v>10743.767435968706</v>
      </c>
      <c r="DV545" s="408"/>
      <c r="DW545" s="408">
        <v>0</v>
      </c>
      <c r="DX545" s="408">
        <v>0</v>
      </c>
      <c r="DY545" s="408">
        <v>-7676.76</v>
      </c>
      <c r="DZ545" s="234"/>
      <c r="EA545" s="408">
        <v>0</v>
      </c>
      <c r="EB545" s="408"/>
      <c r="EC545" s="408">
        <v>-7893.551411354385</v>
      </c>
      <c r="ED545" s="408"/>
      <c r="EE545" s="408">
        <v>0</v>
      </c>
      <c r="EF545" s="408">
        <v>0</v>
      </c>
      <c r="EG545" s="408"/>
      <c r="EH545" s="408">
        <v>0</v>
      </c>
      <c r="EI545" s="408">
        <v>0</v>
      </c>
      <c r="EJ545" s="408">
        <v>0</v>
      </c>
      <c r="EK545" s="408">
        <v>0</v>
      </c>
      <c r="EL545" s="408">
        <v>0</v>
      </c>
      <c r="EM545" s="408"/>
      <c r="EN545" s="408"/>
      <c r="EO545" s="408">
        <v>0</v>
      </c>
      <c r="EP545" s="408">
        <v>0</v>
      </c>
      <c r="EQ545" s="408"/>
      <c r="ER545" s="408">
        <v>0</v>
      </c>
      <c r="ES545" s="408"/>
      <c r="ET545" s="408">
        <v>0</v>
      </c>
      <c r="EU545" s="408"/>
      <c r="EV545" s="408">
        <v>242</v>
      </c>
      <c r="EW545" s="408"/>
      <c r="EX545" s="408"/>
      <c r="EY545" s="408"/>
      <c r="EZ545" s="408"/>
      <c r="FA545" s="408">
        <v>0</v>
      </c>
      <c r="FB545" s="408"/>
      <c r="FC545" s="408"/>
      <c r="FD545" s="408"/>
      <c r="FE545" s="408"/>
      <c r="FF545" s="408">
        <v>0</v>
      </c>
      <c r="FG545" s="408">
        <v>0</v>
      </c>
      <c r="FH545" s="408">
        <v>0</v>
      </c>
      <c r="FI545" s="408">
        <v>0</v>
      </c>
    </row>
    <row r="546" spans="1:165">
      <c r="A546" s="408">
        <v>546</v>
      </c>
      <c r="B546" s="408" t="s">
        <v>1036</v>
      </c>
      <c r="C546" s="408" t="s">
        <v>2231</v>
      </c>
      <c r="D546" s="408" t="s">
        <v>1955</v>
      </c>
      <c r="E546" s="408" t="s">
        <v>2247</v>
      </c>
      <c r="F546" s="408" t="s">
        <v>1322</v>
      </c>
      <c r="G546" s="408" t="s">
        <v>1322</v>
      </c>
      <c r="H546" s="408" t="s">
        <v>1322</v>
      </c>
      <c r="I546" s="408" t="s">
        <v>1322</v>
      </c>
      <c r="J546" s="408" t="s">
        <v>2232</v>
      </c>
      <c r="K546" s="828">
        <v>44682</v>
      </c>
      <c r="L546" s="408">
        <v>0</v>
      </c>
      <c r="M546" s="408">
        <v>0</v>
      </c>
      <c r="N546" s="408">
        <v>0.441</v>
      </c>
      <c r="O546" s="408">
        <v>0.441</v>
      </c>
      <c r="P546" s="408">
        <v>0.441</v>
      </c>
      <c r="Q546" s="408">
        <v>0.441</v>
      </c>
      <c r="R546" s="408"/>
      <c r="S546" s="408">
        <v>571.87</v>
      </c>
      <c r="T546" s="408">
        <v>216.76</v>
      </c>
      <c r="U546" s="408"/>
      <c r="V546" s="408">
        <v>347.78583000000003</v>
      </c>
      <c r="W546" s="408">
        <v>347.78583000000003</v>
      </c>
      <c r="X546" s="408">
        <v>226.67840999999999</v>
      </c>
      <c r="Y546" s="408">
        <v>0</v>
      </c>
      <c r="Z546" s="408">
        <v>26.729282116421331</v>
      </c>
      <c r="AA546" s="408">
        <v>0</v>
      </c>
      <c r="AB546" s="408">
        <v>0</v>
      </c>
      <c r="AC546" s="408">
        <v>0</v>
      </c>
      <c r="AD546" s="408">
        <v>0.36246394148308619</v>
      </c>
      <c r="AE546" s="408">
        <v>188.03519793499819</v>
      </c>
      <c r="AF546" s="408">
        <v>94.198261863223479</v>
      </c>
      <c r="AG546" s="408">
        <v>1.3924154887754907</v>
      </c>
      <c r="AH546" s="408">
        <v>0</v>
      </c>
      <c r="AI546" s="408">
        <v>0</v>
      </c>
      <c r="AJ546" s="408">
        <v>0</v>
      </c>
      <c r="AK546" s="408">
        <v>0</v>
      </c>
      <c r="AL546" s="408">
        <v>4.133772443429268</v>
      </c>
      <c r="AM546" s="408"/>
      <c r="AN546" s="408">
        <v>0.84604507426441233</v>
      </c>
      <c r="AO546" s="408">
        <v>3.9168287073543522</v>
      </c>
      <c r="AP546" s="408">
        <v>12.27175335570027</v>
      </c>
      <c r="AQ546" s="408">
        <v>0</v>
      </c>
      <c r="AR546" s="408">
        <v>0</v>
      </c>
      <c r="AS546" s="408">
        <v>0</v>
      </c>
      <c r="AT546" s="408">
        <v>0</v>
      </c>
      <c r="AU546" s="408">
        <v>0</v>
      </c>
      <c r="AV546" s="408">
        <v>0</v>
      </c>
      <c r="AW546" s="408">
        <v>0</v>
      </c>
      <c r="AX546" s="408">
        <v>0</v>
      </c>
      <c r="AY546" s="408">
        <v>0</v>
      </c>
      <c r="AZ546" s="408">
        <v>0</v>
      </c>
      <c r="BA546" s="408"/>
      <c r="BB546" s="408">
        <v>0</v>
      </c>
      <c r="BC546" s="408">
        <v>0</v>
      </c>
      <c r="BD546" s="408">
        <v>0.262425703249693</v>
      </c>
      <c r="BE546" s="408">
        <v>0</v>
      </c>
      <c r="BF546" s="408">
        <v>0</v>
      </c>
      <c r="BG546" s="408">
        <v>15.637082722729277</v>
      </c>
      <c r="BH546" s="408">
        <v>0</v>
      </c>
      <c r="BI546" s="408">
        <v>0.64</v>
      </c>
      <c r="BJ546" s="408">
        <v>3.03</v>
      </c>
      <c r="BK546" s="408">
        <v>80.78</v>
      </c>
      <c r="BL546" s="408">
        <v>3</v>
      </c>
      <c r="BM546" s="408"/>
      <c r="BN546" s="408"/>
      <c r="BO546" s="408"/>
      <c r="BP546" s="408"/>
      <c r="BQ546" s="408"/>
      <c r="BR546" s="408"/>
      <c r="BS546" s="408"/>
      <c r="BT546" s="408"/>
      <c r="BU546" s="408"/>
      <c r="BV546" s="408">
        <v>110.09777028920244</v>
      </c>
      <c r="BW546" s="408"/>
      <c r="BX546" s="408"/>
      <c r="BY546" s="408"/>
      <c r="BZ546" s="408"/>
      <c r="CA546" s="408"/>
      <c r="CB546" s="408"/>
      <c r="CC546" s="408"/>
      <c r="CD546" s="408"/>
      <c r="CE546" s="408"/>
      <c r="CF546" s="408"/>
      <c r="CG546" s="408"/>
      <c r="CH546" s="408"/>
      <c r="CI546" s="408">
        <v>226.1644</v>
      </c>
      <c r="CJ546" s="408">
        <v>-121.65143</v>
      </c>
      <c r="CK546" s="408"/>
      <c r="CL546" s="408"/>
      <c r="CM546" s="408"/>
      <c r="CN546" s="408"/>
      <c r="CO546" s="408">
        <v>-135.49725000000001</v>
      </c>
      <c r="CP546" s="408">
        <v>14.389829999999998</v>
      </c>
      <c r="CQ546" s="408">
        <v>31</v>
      </c>
      <c r="CR546" s="408">
        <v>17.044784878308604</v>
      </c>
      <c r="CS546" s="408">
        <v>0.40402685109788239</v>
      </c>
      <c r="CT546" s="408">
        <v>1.2658500629460452</v>
      </c>
      <c r="CU546" s="408">
        <v>0</v>
      </c>
      <c r="CV546" s="408">
        <v>0</v>
      </c>
      <c r="CW546" s="408">
        <v>0</v>
      </c>
      <c r="CX546" s="408">
        <v>0</v>
      </c>
      <c r="CY546" s="408">
        <v>0</v>
      </c>
      <c r="CZ546" s="408">
        <v>3.5439933419165848E-2</v>
      </c>
      <c r="DA546" s="408">
        <v>0</v>
      </c>
      <c r="DB546" s="408">
        <v>0</v>
      </c>
      <c r="DC546" s="408">
        <v>14.391679343812342</v>
      </c>
      <c r="DD546" s="408">
        <v>0</v>
      </c>
      <c r="DE546" s="408">
        <v>0</v>
      </c>
      <c r="DF546" s="408">
        <v>4.0093590879924534E-2</v>
      </c>
      <c r="DG546" s="408">
        <v>2.389044935297834</v>
      </c>
      <c r="DH546" s="408">
        <v>0</v>
      </c>
      <c r="DI546" s="408">
        <v>-1.2770501401476686</v>
      </c>
      <c r="DJ546" s="408"/>
      <c r="DK546" s="408">
        <v>0</v>
      </c>
      <c r="DL546" s="408">
        <v>0</v>
      </c>
      <c r="DM546" s="408">
        <v>0</v>
      </c>
      <c r="DN546" s="408">
        <v>0</v>
      </c>
      <c r="DO546" s="408">
        <v>-0.16750297735852726</v>
      </c>
      <c r="DP546" s="408">
        <v>-3.6796721638333807E-2</v>
      </c>
      <c r="DQ546" s="408">
        <v>0</v>
      </c>
      <c r="DR546" s="408">
        <v>0</v>
      </c>
      <c r="DS546" s="408"/>
      <c r="DT546" s="408"/>
      <c r="DU546" s="408"/>
      <c r="DV546" s="408">
        <v>188.03519793499819</v>
      </c>
      <c r="DW546" s="408">
        <v>0</v>
      </c>
      <c r="DX546" s="408">
        <v>0</v>
      </c>
      <c r="DY546" s="408">
        <v>-135.49725000000001</v>
      </c>
      <c r="DZ546" s="234">
        <v>14.389829999999989</v>
      </c>
      <c r="EA546" s="408">
        <v>0</v>
      </c>
      <c r="EB546" s="408">
        <v>0</v>
      </c>
      <c r="EC546" s="408">
        <v>-138.15130594459666</v>
      </c>
      <c r="ED546" s="408">
        <v>0</v>
      </c>
      <c r="EE546" s="408">
        <v>0</v>
      </c>
      <c r="EF546" s="408">
        <v>0</v>
      </c>
      <c r="EG546" s="408">
        <v>0</v>
      </c>
      <c r="EH546" s="408">
        <v>0</v>
      </c>
      <c r="EI546" s="408">
        <v>0</v>
      </c>
      <c r="EJ546" s="408">
        <v>0</v>
      </c>
      <c r="EK546" s="408">
        <v>0</v>
      </c>
      <c r="EL546" s="408">
        <v>0</v>
      </c>
      <c r="EM546" s="408">
        <v>0</v>
      </c>
      <c r="EN546" s="408">
        <v>0</v>
      </c>
      <c r="EO546" s="408">
        <v>0</v>
      </c>
      <c r="EP546" s="408">
        <v>0</v>
      </c>
      <c r="EQ546" s="408">
        <v>0</v>
      </c>
      <c r="ER546" s="408">
        <v>0</v>
      </c>
      <c r="ES546" s="408">
        <v>0</v>
      </c>
      <c r="ET546" s="408">
        <v>0</v>
      </c>
      <c r="EU546" s="408">
        <v>0</v>
      </c>
      <c r="EV546" s="408">
        <v>242</v>
      </c>
      <c r="EW546" s="408">
        <v>0</v>
      </c>
      <c r="EX546" s="408">
        <v>0</v>
      </c>
      <c r="EY546" s="408">
        <v>0</v>
      </c>
      <c r="EZ546" s="408"/>
      <c r="FA546" s="408">
        <v>0</v>
      </c>
      <c r="FB546" s="408"/>
      <c r="FC546" s="408"/>
      <c r="FD546" s="408"/>
      <c r="FE546" s="408"/>
      <c r="FF546" s="408">
        <v>0</v>
      </c>
      <c r="FG546" s="408">
        <v>0</v>
      </c>
      <c r="FH546" s="408">
        <v>0</v>
      </c>
      <c r="FI546" s="408">
        <v>0</v>
      </c>
    </row>
    <row r="547" spans="1:165">
      <c r="A547" s="408">
        <v>547</v>
      </c>
      <c r="B547" s="408" t="s">
        <v>1036</v>
      </c>
      <c r="C547" s="408" t="s">
        <v>2231</v>
      </c>
      <c r="D547" s="408" t="s">
        <v>2241</v>
      </c>
      <c r="E547" s="408" t="s">
        <v>974</v>
      </c>
      <c r="F547" s="408" t="s">
        <v>2248</v>
      </c>
      <c r="G547" s="408" t="s">
        <v>2249</v>
      </c>
      <c r="H547" s="408" t="s">
        <v>1322</v>
      </c>
      <c r="I547" s="408" t="s">
        <v>1322</v>
      </c>
      <c r="J547" s="408" t="s">
        <v>2232</v>
      </c>
      <c r="K547" s="828">
        <v>44682</v>
      </c>
      <c r="L547" s="408">
        <v>0</v>
      </c>
      <c r="M547" s="408">
        <v>0</v>
      </c>
      <c r="N547" s="408">
        <v>0</v>
      </c>
      <c r="O547" s="408">
        <v>0</v>
      </c>
      <c r="P547" s="408">
        <v>0</v>
      </c>
      <c r="Q547" s="408">
        <v>0</v>
      </c>
      <c r="R547" s="408"/>
      <c r="S547" s="408"/>
      <c r="T547" s="408"/>
      <c r="U547" s="408"/>
      <c r="V547" s="408"/>
      <c r="W547" s="408"/>
      <c r="X547" s="408"/>
      <c r="Y547" s="408"/>
      <c r="Z547" s="408"/>
      <c r="AA547" s="408">
        <v>0</v>
      </c>
      <c r="AB547" s="408"/>
      <c r="AC547" s="408"/>
      <c r="AD547" s="408"/>
      <c r="AE547" s="408"/>
      <c r="AF547" s="408"/>
      <c r="AG547" s="408"/>
      <c r="AH547" s="408"/>
      <c r="AI547" s="408"/>
      <c r="AJ547" s="408"/>
      <c r="AK547" s="408"/>
      <c r="AL547" s="408"/>
      <c r="AM547" s="408"/>
      <c r="AN547" s="408"/>
      <c r="AO547" s="408"/>
      <c r="AP547" s="408"/>
      <c r="AQ547" s="408"/>
      <c r="AR547" s="408"/>
      <c r="AS547" s="408"/>
      <c r="AT547" s="408"/>
      <c r="AU547" s="408"/>
      <c r="AV547" s="408"/>
      <c r="AW547" s="408"/>
      <c r="AX547" s="408"/>
      <c r="AY547" s="408"/>
      <c r="AZ547" s="408">
        <v>0</v>
      </c>
      <c r="BA547" s="408"/>
      <c r="BB547" s="408"/>
      <c r="BC547" s="408"/>
      <c r="BD547" s="408"/>
      <c r="BE547" s="408"/>
      <c r="BF547" s="408"/>
      <c r="BG547" s="408"/>
      <c r="BH547" s="408"/>
      <c r="BI547" s="408">
        <v>22.73</v>
      </c>
      <c r="BJ547" s="408">
        <v>106.41</v>
      </c>
      <c r="BK547" s="408">
        <v>775.75</v>
      </c>
      <c r="BL547" s="408">
        <v>132</v>
      </c>
      <c r="BM547" s="408"/>
      <c r="BN547" s="408"/>
      <c r="BO547" s="408"/>
      <c r="BP547" s="408"/>
      <c r="BQ547" s="408"/>
      <c r="BR547" s="408"/>
      <c r="BS547" s="408"/>
      <c r="BT547" s="408"/>
      <c r="BU547" s="408"/>
      <c r="BV547" s="408"/>
      <c r="BW547" s="408"/>
      <c r="BX547" s="408"/>
      <c r="BY547" s="408"/>
      <c r="BZ547" s="408"/>
      <c r="CA547" s="408"/>
      <c r="CB547" s="408"/>
      <c r="CC547" s="408"/>
      <c r="CD547" s="408"/>
      <c r="CE547" s="408"/>
      <c r="CF547" s="408"/>
      <c r="CG547" s="408"/>
      <c r="CH547" s="408"/>
      <c r="CI547" s="408"/>
      <c r="CJ547" s="408">
        <v>-0.03</v>
      </c>
      <c r="CK547" s="408"/>
      <c r="CL547" s="408"/>
      <c r="CM547" s="408"/>
      <c r="CN547" s="408"/>
      <c r="CO547" s="408">
        <v>0</v>
      </c>
      <c r="CP547" s="408">
        <v>0</v>
      </c>
      <c r="CQ547" s="408">
        <v>31</v>
      </c>
      <c r="CR547" s="408"/>
      <c r="CS547" s="408"/>
      <c r="CT547" s="408"/>
      <c r="CU547" s="408"/>
      <c r="CV547" s="408"/>
      <c r="CW547" s="408"/>
      <c r="CX547" s="408"/>
      <c r="CY547" s="408"/>
      <c r="CZ547" s="408"/>
      <c r="DA547" s="408"/>
      <c r="DB547" s="408"/>
      <c r="DC547" s="408"/>
      <c r="DD547" s="408"/>
      <c r="DE547" s="408"/>
      <c r="DF547" s="408"/>
      <c r="DG547" s="408"/>
      <c r="DH547" s="408"/>
      <c r="DI547" s="408"/>
      <c r="DJ547" s="408"/>
      <c r="DK547" s="408">
        <v>0</v>
      </c>
      <c r="DL547" s="408"/>
      <c r="DM547" s="408"/>
      <c r="DN547" s="408"/>
      <c r="DO547" s="408"/>
      <c r="DP547" s="408"/>
      <c r="DQ547" s="408"/>
      <c r="DR547" s="408"/>
      <c r="DS547" s="408"/>
      <c r="DT547" s="408"/>
      <c r="DU547" s="408"/>
      <c r="DV547" s="408"/>
      <c r="DW547" s="408"/>
      <c r="DX547" s="408"/>
      <c r="DY547" s="408"/>
      <c r="DZ547" s="234"/>
      <c r="EA547" s="408"/>
      <c r="EB547" s="408"/>
      <c r="EC547" s="408"/>
      <c r="ED547" s="408"/>
      <c r="EE547" s="408"/>
      <c r="EF547" s="408"/>
      <c r="EG547" s="408"/>
      <c r="EH547" s="408"/>
      <c r="EI547" s="408"/>
      <c r="EJ547" s="408"/>
      <c r="EK547" s="408"/>
      <c r="EL547" s="408"/>
      <c r="EM547" s="408"/>
      <c r="EN547" s="408"/>
      <c r="EO547" s="408"/>
      <c r="EP547" s="408"/>
      <c r="EQ547" s="408"/>
      <c r="ER547" s="408"/>
      <c r="ES547" s="408"/>
      <c r="ET547" s="408"/>
      <c r="EU547" s="408"/>
      <c r="EV547" s="408">
        <v>242</v>
      </c>
      <c r="EW547" s="408"/>
      <c r="EX547" s="408"/>
      <c r="EY547" s="408"/>
      <c r="EZ547" s="408"/>
      <c r="FA547" s="408">
        <v>0</v>
      </c>
      <c r="FB547" s="408"/>
      <c r="FC547" s="408"/>
      <c r="FD547" s="408"/>
      <c r="FE547" s="408"/>
      <c r="FF547" s="408">
        <v>0</v>
      </c>
      <c r="FG547" s="408">
        <v>0</v>
      </c>
      <c r="FH547" s="408">
        <v>0</v>
      </c>
      <c r="FI547" s="408">
        <v>0</v>
      </c>
    </row>
    <row r="548" spans="1:165">
      <c r="A548" s="408">
        <v>548</v>
      </c>
      <c r="B548" s="408" t="s">
        <v>2234</v>
      </c>
      <c r="C548" s="408" t="s">
        <v>2231</v>
      </c>
      <c r="D548" s="408" t="s">
        <v>2241</v>
      </c>
      <c r="E548" s="408" t="s">
        <v>974</v>
      </c>
      <c r="F548" s="408" t="s">
        <v>2248</v>
      </c>
      <c r="G548" s="408" t="s">
        <v>2249</v>
      </c>
      <c r="H548" s="408" t="s">
        <v>1322</v>
      </c>
      <c r="I548" s="408" t="s">
        <v>1322</v>
      </c>
      <c r="J548" s="408" t="s">
        <v>2232</v>
      </c>
      <c r="K548" s="828">
        <v>44682</v>
      </c>
      <c r="L548" s="408">
        <v>0</v>
      </c>
      <c r="M548" s="408">
        <v>0</v>
      </c>
      <c r="N548" s="408">
        <v>0</v>
      </c>
      <c r="O548" s="408">
        <v>0</v>
      </c>
      <c r="P548" s="408">
        <v>0</v>
      </c>
      <c r="Q548" s="408">
        <v>0</v>
      </c>
      <c r="R548" s="408"/>
      <c r="S548" s="408"/>
      <c r="T548" s="408"/>
      <c r="U548" s="408"/>
      <c r="V548" s="408"/>
      <c r="W548" s="408"/>
      <c r="X548" s="408"/>
      <c r="Y548" s="408"/>
      <c r="Z548" s="408"/>
      <c r="AA548" s="408">
        <v>0</v>
      </c>
      <c r="AB548" s="408"/>
      <c r="AC548" s="408"/>
      <c r="AD548" s="408"/>
      <c r="AE548" s="408"/>
      <c r="AF548" s="408"/>
      <c r="AG548" s="408"/>
      <c r="AH548" s="408"/>
      <c r="AI548" s="408"/>
      <c r="AJ548" s="408"/>
      <c r="AK548" s="408"/>
      <c r="AL548" s="408"/>
      <c r="AM548" s="408"/>
      <c r="AN548" s="408"/>
      <c r="AO548" s="408"/>
      <c r="AP548" s="408"/>
      <c r="AQ548" s="408"/>
      <c r="AR548" s="408"/>
      <c r="AS548" s="408"/>
      <c r="AT548" s="408"/>
      <c r="AU548" s="408"/>
      <c r="AV548" s="408"/>
      <c r="AW548" s="408"/>
      <c r="AX548" s="408"/>
      <c r="AY548" s="408"/>
      <c r="AZ548" s="408">
        <v>0</v>
      </c>
      <c r="BA548" s="408"/>
      <c r="BB548" s="408"/>
      <c r="BC548" s="408"/>
      <c r="BD548" s="408"/>
      <c r="BE548" s="408"/>
      <c r="BF548" s="408"/>
      <c r="BG548" s="408"/>
      <c r="BH548" s="408"/>
      <c r="BI548" s="408">
        <v>0.18</v>
      </c>
      <c r="BJ548" s="408">
        <v>0.86</v>
      </c>
      <c r="BK548" s="408">
        <v>10.9</v>
      </c>
      <c r="BL548" s="408">
        <v>2</v>
      </c>
      <c r="BM548" s="408"/>
      <c r="BN548" s="408"/>
      <c r="BO548" s="408"/>
      <c r="BP548" s="408"/>
      <c r="BQ548" s="408"/>
      <c r="BR548" s="408"/>
      <c r="BS548" s="408"/>
      <c r="BT548" s="408"/>
      <c r="BU548" s="408"/>
      <c r="BV548" s="408"/>
      <c r="BW548" s="408"/>
      <c r="BX548" s="408"/>
      <c r="BY548" s="408"/>
      <c r="BZ548" s="408"/>
      <c r="CA548" s="408"/>
      <c r="CB548" s="408"/>
      <c r="CC548" s="408"/>
      <c r="CD548" s="408"/>
      <c r="CE548" s="408"/>
      <c r="CF548" s="408"/>
      <c r="CG548" s="408"/>
      <c r="CH548" s="408"/>
      <c r="CI548" s="408"/>
      <c r="CJ548" s="408">
        <v>-0.03</v>
      </c>
      <c r="CK548" s="408"/>
      <c r="CL548" s="408"/>
      <c r="CM548" s="408"/>
      <c r="CN548" s="408"/>
      <c r="CO548" s="408">
        <v>0</v>
      </c>
      <c r="CP548" s="408">
        <v>0</v>
      </c>
      <c r="CQ548" s="408">
        <v>31</v>
      </c>
      <c r="CR548" s="408"/>
      <c r="CS548" s="408"/>
      <c r="CT548" s="408"/>
      <c r="CU548" s="408"/>
      <c r="CV548" s="408"/>
      <c r="CW548" s="408"/>
      <c r="CX548" s="408"/>
      <c r="CY548" s="408"/>
      <c r="CZ548" s="408"/>
      <c r="DA548" s="408"/>
      <c r="DB548" s="408"/>
      <c r="DC548" s="408"/>
      <c r="DD548" s="408"/>
      <c r="DE548" s="408"/>
      <c r="DF548" s="408"/>
      <c r="DG548" s="408"/>
      <c r="DH548" s="408"/>
      <c r="DI548" s="408"/>
      <c r="DJ548" s="408"/>
      <c r="DK548" s="408">
        <v>0</v>
      </c>
      <c r="DL548" s="408"/>
      <c r="DM548" s="408"/>
      <c r="DN548" s="408"/>
      <c r="DO548" s="408"/>
      <c r="DP548" s="408"/>
      <c r="DQ548" s="408"/>
      <c r="DR548" s="408"/>
      <c r="DS548" s="408"/>
      <c r="DT548" s="408"/>
      <c r="DU548" s="408"/>
      <c r="DV548" s="408"/>
      <c r="DW548" s="408"/>
      <c r="DX548" s="408"/>
      <c r="DY548" s="408"/>
      <c r="DZ548" s="234"/>
      <c r="EA548" s="408"/>
      <c r="EB548" s="408"/>
      <c r="EC548" s="408"/>
      <c r="ED548" s="408"/>
      <c r="EE548" s="408"/>
      <c r="EF548" s="408"/>
      <c r="EG548" s="408"/>
      <c r="EH548" s="408"/>
      <c r="EI548" s="408"/>
      <c r="EJ548" s="408"/>
      <c r="EK548" s="408"/>
      <c r="EL548" s="408"/>
      <c r="EM548" s="408"/>
      <c r="EN548" s="408"/>
      <c r="EO548" s="408"/>
      <c r="EP548" s="408"/>
      <c r="EQ548" s="408"/>
      <c r="ER548" s="408"/>
      <c r="ES548" s="408"/>
      <c r="ET548" s="408"/>
      <c r="EU548" s="408"/>
      <c r="EV548" s="408">
        <v>242</v>
      </c>
      <c r="EW548" s="408"/>
      <c r="EX548" s="408"/>
      <c r="EY548" s="408"/>
      <c r="EZ548" s="408"/>
      <c r="FA548" s="408">
        <v>0</v>
      </c>
      <c r="FB548" s="408"/>
      <c r="FC548" s="408"/>
      <c r="FD548" s="408"/>
      <c r="FE548" s="408"/>
      <c r="FF548" s="408">
        <v>0</v>
      </c>
      <c r="FG548" s="408">
        <v>0</v>
      </c>
      <c r="FH548" s="408">
        <v>0</v>
      </c>
      <c r="FI548" s="408">
        <v>0</v>
      </c>
    </row>
    <row r="549" spans="1:165">
      <c r="A549" s="408">
        <v>549</v>
      </c>
      <c r="B549" s="408" t="s">
        <v>1036</v>
      </c>
      <c r="C549" s="408" t="s">
        <v>2231</v>
      </c>
      <c r="D549" s="408" t="s">
        <v>2241</v>
      </c>
      <c r="E549" s="408" t="s">
        <v>974</v>
      </c>
      <c r="F549" s="408" t="s">
        <v>2248</v>
      </c>
      <c r="G549" s="408" t="s">
        <v>2249</v>
      </c>
      <c r="H549" s="408" t="s">
        <v>1322</v>
      </c>
      <c r="I549" s="408" t="s">
        <v>1322</v>
      </c>
      <c r="J549" s="408" t="s">
        <v>2232</v>
      </c>
      <c r="K549" s="828">
        <v>44682</v>
      </c>
      <c r="L549" s="408">
        <v>0</v>
      </c>
      <c r="M549" s="408">
        <v>0</v>
      </c>
      <c r="N549" s="408">
        <v>14.932</v>
      </c>
      <c r="O549" s="408">
        <v>14.932</v>
      </c>
      <c r="P549" s="408">
        <v>14.932</v>
      </c>
      <c r="Q549" s="408">
        <v>14.932</v>
      </c>
      <c r="R549" s="408"/>
      <c r="S549" s="408">
        <v>571.87</v>
      </c>
      <c r="T549" s="408">
        <v>216.76</v>
      </c>
      <c r="U549" s="408"/>
      <c r="V549" s="408">
        <v>11775.82316</v>
      </c>
      <c r="W549" s="408">
        <v>11775.82316</v>
      </c>
      <c r="X549" s="408">
        <v>7675.1973199999993</v>
      </c>
      <c r="Y549" s="408">
        <v>0</v>
      </c>
      <c r="Z549" s="408">
        <v>905.0377337015949</v>
      </c>
      <c r="AA549" s="408">
        <v>0</v>
      </c>
      <c r="AB549" s="408">
        <v>0</v>
      </c>
      <c r="AC549" s="408">
        <v>0</v>
      </c>
      <c r="AD549" s="408">
        <v>12.272815361055427</v>
      </c>
      <c r="AE549" s="408">
        <v>6366.7609423251552</v>
      </c>
      <c r="AF549" s="408">
        <v>3189.4976102985329</v>
      </c>
      <c r="AG549" s="408">
        <v>47.14636752470664</v>
      </c>
      <c r="AH549" s="408">
        <v>0</v>
      </c>
      <c r="AI549" s="408">
        <v>0</v>
      </c>
      <c r="AJ549" s="408">
        <v>0</v>
      </c>
      <c r="AK549" s="408">
        <v>0</v>
      </c>
      <c r="AL549" s="408">
        <v>139.96709778976381</v>
      </c>
      <c r="AM549" s="408"/>
      <c r="AN549" s="408">
        <v>28.646587412508399</v>
      </c>
      <c r="AO549" s="408">
        <v>132.6215107896036</v>
      </c>
      <c r="AP549" s="408">
        <v>415.51433357668128</v>
      </c>
      <c r="AQ549" s="408">
        <v>0</v>
      </c>
      <c r="AR549" s="408">
        <v>0</v>
      </c>
      <c r="AS549" s="408">
        <v>0</v>
      </c>
      <c r="AT549" s="408">
        <v>0</v>
      </c>
      <c r="AU549" s="408">
        <v>0</v>
      </c>
      <c r="AV549" s="408">
        <v>0</v>
      </c>
      <c r="AW549" s="408">
        <v>0</v>
      </c>
      <c r="AX549" s="408">
        <v>0</v>
      </c>
      <c r="AY549" s="408">
        <v>0</v>
      </c>
      <c r="AZ549" s="408">
        <v>0</v>
      </c>
      <c r="BA549" s="408"/>
      <c r="BB549" s="408">
        <v>0</v>
      </c>
      <c r="BC549" s="408">
        <v>0</v>
      </c>
      <c r="BD549" s="408">
        <v>8.8855795939329152</v>
      </c>
      <c r="BE549" s="408">
        <v>0</v>
      </c>
      <c r="BF549" s="408">
        <v>0</v>
      </c>
      <c r="BG549" s="408">
        <v>529.46240184987209</v>
      </c>
      <c r="BH549" s="408">
        <v>0</v>
      </c>
      <c r="BI549" s="408">
        <v>0</v>
      </c>
      <c r="BJ549" s="408">
        <v>0</v>
      </c>
      <c r="BK549" s="408">
        <v>0</v>
      </c>
      <c r="BL549" s="408">
        <v>0</v>
      </c>
      <c r="BM549" s="408"/>
      <c r="BN549" s="408"/>
      <c r="BO549" s="408"/>
      <c r="BP549" s="408"/>
      <c r="BQ549" s="408"/>
      <c r="BR549" s="408">
        <v>921.00575999999978</v>
      </c>
      <c r="BS549" s="408"/>
      <c r="BT549" s="408"/>
      <c r="BU549" s="408"/>
      <c r="BV549" s="408">
        <v>3727.845591742338</v>
      </c>
      <c r="BW549" s="408"/>
      <c r="BX549" s="408"/>
      <c r="BY549" s="408"/>
      <c r="BZ549" s="408"/>
      <c r="CA549" s="408"/>
      <c r="CB549" s="408"/>
      <c r="CC549" s="408"/>
      <c r="CD549" s="408"/>
      <c r="CE549" s="408"/>
      <c r="CF549" s="408"/>
      <c r="CG549" s="408"/>
      <c r="CH549" s="408"/>
      <c r="CI549" s="408">
        <v>6753.2869000000001</v>
      </c>
      <c r="CJ549" s="408">
        <v>-3609.5511000000015</v>
      </c>
      <c r="CK549" s="408"/>
      <c r="CL549" s="408"/>
      <c r="CM549" s="408"/>
      <c r="CN549" s="408"/>
      <c r="CO549" s="408">
        <v>-4587.857</v>
      </c>
      <c r="CP549" s="408">
        <v>487.23115999999993</v>
      </c>
      <c r="CQ549" s="408">
        <v>31</v>
      </c>
      <c r="CR549" s="408">
        <v>577.12636690001</v>
      </c>
      <c r="CS549" s="408">
        <v>13.680110976402659</v>
      </c>
      <c r="CT549" s="408">
        <v>42.860936825193505</v>
      </c>
      <c r="CU549" s="408">
        <v>0</v>
      </c>
      <c r="CV549" s="408">
        <v>0</v>
      </c>
      <c r="CW549" s="408">
        <v>0</v>
      </c>
      <c r="CX549" s="408">
        <v>0</v>
      </c>
      <c r="CY549" s="408">
        <v>0</v>
      </c>
      <c r="CZ549" s="408">
        <v>1.1999752512811437</v>
      </c>
      <c r="DA549" s="408">
        <v>0</v>
      </c>
      <c r="DB549" s="408">
        <v>0</v>
      </c>
      <c r="DC549" s="408">
        <v>487.29377769116991</v>
      </c>
      <c r="DD549" s="408">
        <v>0</v>
      </c>
      <c r="DE549" s="408">
        <v>0</v>
      </c>
      <c r="DF549" s="408">
        <v>1.3575453492495093</v>
      </c>
      <c r="DG549" s="408">
        <v>80.891653001966574</v>
      </c>
      <c r="DH549" s="408">
        <v>0</v>
      </c>
      <c r="DI549" s="408">
        <v>-43.24016483602054</v>
      </c>
      <c r="DJ549" s="408"/>
      <c r="DK549" s="408">
        <v>0</v>
      </c>
      <c r="DL549" s="408">
        <v>0</v>
      </c>
      <c r="DM549" s="408">
        <v>0</v>
      </c>
      <c r="DN549" s="408">
        <v>0</v>
      </c>
      <c r="DO549" s="408">
        <v>-5.6715520587699189</v>
      </c>
      <c r="DP549" s="408">
        <v>-1.2459153004616788</v>
      </c>
      <c r="DQ549" s="408">
        <v>0</v>
      </c>
      <c r="DR549" s="408">
        <v>0</v>
      </c>
      <c r="DS549" s="408"/>
      <c r="DT549" s="408"/>
      <c r="DU549" s="408"/>
      <c r="DV549" s="408">
        <v>6366.7609423251552</v>
      </c>
      <c r="DW549" s="408">
        <v>0</v>
      </c>
      <c r="DX549" s="408">
        <v>0</v>
      </c>
      <c r="DY549" s="408">
        <v>-4587.8570000000009</v>
      </c>
      <c r="DZ549" s="234">
        <v>487.23115999999982</v>
      </c>
      <c r="EA549" s="408">
        <v>0</v>
      </c>
      <c r="EB549" s="408">
        <v>0</v>
      </c>
      <c r="EC549" s="408">
        <v>-4677.7217695345071</v>
      </c>
      <c r="ED549" s="408">
        <v>0</v>
      </c>
      <c r="EE549" s="408">
        <v>0</v>
      </c>
      <c r="EF549" s="408">
        <v>0</v>
      </c>
      <c r="EG549" s="408">
        <v>0</v>
      </c>
      <c r="EH549" s="408">
        <v>0</v>
      </c>
      <c r="EI549" s="408">
        <v>0</v>
      </c>
      <c r="EJ549" s="408">
        <v>0</v>
      </c>
      <c r="EK549" s="408">
        <v>0</v>
      </c>
      <c r="EL549" s="408">
        <v>0</v>
      </c>
      <c r="EM549" s="408">
        <v>0</v>
      </c>
      <c r="EN549" s="408">
        <v>0</v>
      </c>
      <c r="EO549" s="408">
        <v>0</v>
      </c>
      <c r="EP549" s="408">
        <v>0</v>
      </c>
      <c r="EQ549" s="408">
        <v>0</v>
      </c>
      <c r="ER549" s="408">
        <v>0</v>
      </c>
      <c r="ES549" s="408">
        <v>0</v>
      </c>
      <c r="ET549" s="408">
        <v>0</v>
      </c>
      <c r="EU549" s="408">
        <v>0</v>
      </c>
      <c r="EV549" s="408">
        <v>242</v>
      </c>
      <c r="EW549" s="408">
        <v>0</v>
      </c>
      <c r="EX549" s="408">
        <v>0</v>
      </c>
      <c r="EY549" s="408">
        <v>0</v>
      </c>
      <c r="EZ549" s="408"/>
      <c r="FA549" s="408">
        <v>0</v>
      </c>
      <c r="FB549" s="408"/>
      <c r="FC549" s="408"/>
      <c r="FD549" s="408"/>
      <c r="FE549" s="408"/>
      <c r="FF549" s="408">
        <v>0</v>
      </c>
      <c r="FG549" s="408">
        <v>0</v>
      </c>
      <c r="FH549" s="408">
        <v>0</v>
      </c>
      <c r="FI549" s="408">
        <v>0</v>
      </c>
    </row>
    <row r="550" spans="1:165">
      <c r="A550" s="408">
        <v>550</v>
      </c>
      <c r="B550" s="408" t="s">
        <v>2234</v>
      </c>
      <c r="C550" s="408" t="s">
        <v>2231</v>
      </c>
      <c r="D550" s="408" t="s">
        <v>2241</v>
      </c>
      <c r="E550" s="408" t="s">
        <v>974</v>
      </c>
      <c r="F550" s="408" t="s">
        <v>2248</v>
      </c>
      <c r="G550" s="408" t="s">
        <v>2249</v>
      </c>
      <c r="H550" s="408" t="s">
        <v>1322</v>
      </c>
      <c r="I550" s="408" t="s">
        <v>1322</v>
      </c>
      <c r="J550" s="408" t="s">
        <v>2232</v>
      </c>
      <c r="K550" s="828">
        <v>44682</v>
      </c>
      <c r="L550" s="408">
        <v>0</v>
      </c>
      <c r="M550" s="408">
        <v>0</v>
      </c>
      <c r="N550" s="408">
        <v>0.15</v>
      </c>
      <c r="O550" s="408">
        <v>0.15</v>
      </c>
      <c r="P550" s="408">
        <v>0.15</v>
      </c>
      <c r="Q550" s="408">
        <v>0.15</v>
      </c>
      <c r="R550" s="408"/>
      <c r="S550" s="408">
        <v>571.87</v>
      </c>
      <c r="T550" s="408">
        <v>216.76</v>
      </c>
      <c r="U550" s="408"/>
      <c r="V550" s="408">
        <v>118.2945</v>
      </c>
      <c r="W550" s="408">
        <v>118.2945</v>
      </c>
      <c r="X550" s="408">
        <v>77.101499999999987</v>
      </c>
      <c r="Y550" s="408">
        <v>0</v>
      </c>
      <c r="Z550" s="408">
        <v>9.0915925566058942</v>
      </c>
      <c r="AA550" s="408">
        <v>0</v>
      </c>
      <c r="AB550" s="408">
        <v>0</v>
      </c>
      <c r="AC550" s="408">
        <v>0</v>
      </c>
      <c r="AD550" s="408">
        <v>0.12328705492621979</v>
      </c>
      <c r="AE550" s="408">
        <v>63.957550318026598</v>
      </c>
      <c r="AF550" s="408">
        <v>32.040225123545397</v>
      </c>
      <c r="AG550" s="408">
        <v>0.47361071046785397</v>
      </c>
      <c r="AH550" s="408">
        <v>0</v>
      </c>
      <c r="AI550" s="408">
        <v>0</v>
      </c>
      <c r="AJ550" s="408">
        <v>0</v>
      </c>
      <c r="AK550" s="408">
        <v>0</v>
      </c>
      <c r="AL550" s="408">
        <v>1.4060450487854654</v>
      </c>
      <c r="AM550" s="408"/>
      <c r="AN550" s="408">
        <v>0.28777043342326947</v>
      </c>
      <c r="AO550" s="408">
        <v>1.3322546623654259</v>
      </c>
      <c r="AP550" s="408">
        <v>4.1740657672449899</v>
      </c>
      <c r="AQ550" s="408">
        <v>0</v>
      </c>
      <c r="AR550" s="408">
        <v>0</v>
      </c>
      <c r="AS550" s="408">
        <v>0</v>
      </c>
      <c r="AT550" s="408">
        <v>0</v>
      </c>
      <c r="AU550" s="408">
        <v>0</v>
      </c>
      <c r="AV550" s="408">
        <v>0</v>
      </c>
      <c r="AW550" s="408">
        <v>0</v>
      </c>
      <c r="AX550" s="408">
        <v>0</v>
      </c>
      <c r="AY550" s="408">
        <v>0</v>
      </c>
      <c r="AZ550" s="408">
        <v>0</v>
      </c>
      <c r="BA550" s="408"/>
      <c r="BB550" s="408">
        <v>0</v>
      </c>
      <c r="BC550" s="408">
        <v>0</v>
      </c>
      <c r="BD550" s="408">
        <v>8.9260443282208501E-2</v>
      </c>
      <c r="BE550" s="408">
        <v>0</v>
      </c>
      <c r="BF550" s="408">
        <v>0</v>
      </c>
      <c r="BG550" s="408">
        <v>5.3187356199759446</v>
      </c>
      <c r="BH550" s="408">
        <v>0</v>
      </c>
      <c r="BI550" s="408">
        <v>0</v>
      </c>
      <c r="BJ550" s="408">
        <v>0</v>
      </c>
      <c r="BK550" s="408">
        <v>0</v>
      </c>
      <c r="BL550" s="408">
        <v>0</v>
      </c>
      <c r="BM550" s="408"/>
      <c r="BN550" s="408"/>
      <c r="BO550" s="408"/>
      <c r="BP550" s="408"/>
      <c r="BQ550" s="408"/>
      <c r="BR550" s="408">
        <v>9.2519999999999953</v>
      </c>
      <c r="BS550" s="408"/>
      <c r="BT550" s="408"/>
      <c r="BU550" s="408"/>
      <c r="BV550" s="408">
        <v>37.448221186803551</v>
      </c>
      <c r="BW550" s="408"/>
      <c r="BX550" s="408"/>
      <c r="BY550" s="408"/>
      <c r="BZ550" s="408"/>
      <c r="CA550" s="408"/>
      <c r="CB550" s="408"/>
      <c r="CC550" s="408"/>
      <c r="CD550" s="408"/>
      <c r="CE550" s="408"/>
      <c r="CF550" s="408"/>
      <c r="CG550" s="408"/>
      <c r="CH550" s="408"/>
      <c r="CI550" s="408">
        <v>67.849500000000006</v>
      </c>
      <c r="CJ550" s="408">
        <v>-36.280500000000004</v>
      </c>
      <c r="CK550" s="408"/>
      <c r="CL550" s="408"/>
      <c r="CM550" s="408"/>
      <c r="CN550" s="408"/>
      <c r="CO550" s="408">
        <v>-46.087499999999999</v>
      </c>
      <c r="CP550" s="408">
        <v>4.894499999999999</v>
      </c>
      <c r="CQ550" s="408">
        <v>31</v>
      </c>
      <c r="CR550" s="408">
        <v>5.7975458769757324</v>
      </c>
      <c r="CS550" s="408">
        <v>0.13742409901288499</v>
      </c>
      <c r="CT550" s="408">
        <v>0.43056124590001499</v>
      </c>
      <c r="CU550" s="408">
        <v>0</v>
      </c>
      <c r="CV550" s="408">
        <v>0</v>
      </c>
      <c r="CW550" s="408">
        <v>0</v>
      </c>
      <c r="CX550" s="408">
        <v>0</v>
      </c>
      <c r="CY550" s="408">
        <v>0</v>
      </c>
      <c r="CZ550" s="408">
        <v>1.2054399122165257E-2</v>
      </c>
      <c r="DA550" s="408">
        <v>0</v>
      </c>
      <c r="DB550" s="408">
        <v>0</v>
      </c>
      <c r="DC550" s="408">
        <v>4.8951290285076041</v>
      </c>
      <c r="DD550" s="408">
        <v>0</v>
      </c>
      <c r="DE550" s="408">
        <v>0</v>
      </c>
      <c r="DF550" s="408">
        <v>1.3637275809498153E-2</v>
      </c>
      <c r="DG550" s="408">
        <v>0.8126003181285153</v>
      </c>
      <c r="DH550" s="408">
        <v>0</v>
      </c>
      <c r="DI550" s="408">
        <v>-0.4343707959685954</v>
      </c>
      <c r="DJ550" s="408"/>
      <c r="DK550" s="408">
        <v>0</v>
      </c>
      <c r="DL550" s="408">
        <v>0</v>
      </c>
      <c r="DM550" s="408">
        <v>0</v>
      </c>
      <c r="DN550" s="408">
        <v>0</v>
      </c>
      <c r="DO550" s="408">
        <v>-5.6973801822628456E-2</v>
      </c>
      <c r="DP550" s="408">
        <v>-1.2515891713718974E-2</v>
      </c>
      <c r="DQ550" s="408">
        <v>0</v>
      </c>
      <c r="DR550" s="408">
        <v>0</v>
      </c>
      <c r="DS550" s="408"/>
      <c r="DT550" s="408"/>
      <c r="DU550" s="408"/>
      <c r="DV550" s="408">
        <v>63.957550318026598</v>
      </c>
      <c r="DW550" s="408">
        <v>0</v>
      </c>
      <c r="DX550" s="408">
        <v>0</v>
      </c>
      <c r="DY550" s="408">
        <v>-46.087500000000006</v>
      </c>
      <c r="DZ550" s="234">
        <v>4.8945000000000007</v>
      </c>
      <c r="EA550" s="408">
        <v>0</v>
      </c>
      <c r="EB550" s="408">
        <v>0</v>
      </c>
      <c r="EC550" s="408">
        <v>-46.990240117209751</v>
      </c>
      <c r="ED550" s="408">
        <v>0</v>
      </c>
      <c r="EE550" s="408">
        <v>0</v>
      </c>
      <c r="EF550" s="408">
        <v>0</v>
      </c>
      <c r="EG550" s="408">
        <v>0</v>
      </c>
      <c r="EH550" s="408">
        <v>0</v>
      </c>
      <c r="EI550" s="408">
        <v>0</v>
      </c>
      <c r="EJ550" s="408">
        <v>0</v>
      </c>
      <c r="EK550" s="408">
        <v>0</v>
      </c>
      <c r="EL550" s="408">
        <v>0</v>
      </c>
      <c r="EM550" s="408">
        <v>0</v>
      </c>
      <c r="EN550" s="408">
        <v>0</v>
      </c>
      <c r="EO550" s="408">
        <v>0</v>
      </c>
      <c r="EP550" s="408">
        <v>0</v>
      </c>
      <c r="EQ550" s="408">
        <v>0</v>
      </c>
      <c r="ER550" s="408">
        <v>0</v>
      </c>
      <c r="ES550" s="408">
        <v>0</v>
      </c>
      <c r="ET550" s="408">
        <v>0</v>
      </c>
      <c r="EU550" s="408">
        <v>0</v>
      </c>
      <c r="EV550" s="408">
        <v>242</v>
      </c>
      <c r="EW550" s="408">
        <v>0</v>
      </c>
      <c r="EX550" s="408">
        <v>0</v>
      </c>
      <c r="EY550" s="408">
        <v>0</v>
      </c>
      <c r="EZ550" s="408"/>
      <c r="FA550" s="408">
        <v>0</v>
      </c>
      <c r="FB550" s="408"/>
      <c r="FC550" s="408"/>
      <c r="FD550" s="408"/>
      <c r="FE550" s="408"/>
      <c r="FF550" s="408">
        <v>0</v>
      </c>
      <c r="FG550" s="408">
        <v>0</v>
      </c>
      <c r="FH550" s="408">
        <v>0</v>
      </c>
      <c r="FI550" s="408">
        <v>0</v>
      </c>
    </row>
    <row r="551" spans="1:165">
      <c r="A551" s="408">
        <v>551</v>
      </c>
      <c r="B551" s="408" t="s">
        <v>1036</v>
      </c>
      <c r="C551" s="408" t="s">
        <v>2231</v>
      </c>
      <c r="D551" s="408" t="s">
        <v>2241</v>
      </c>
      <c r="E551" s="408" t="s">
        <v>974</v>
      </c>
      <c r="F551" s="408" t="s">
        <v>2248</v>
      </c>
      <c r="G551" s="408" t="s">
        <v>2250</v>
      </c>
      <c r="H551" s="408" t="s">
        <v>1322</v>
      </c>
      <c r="I551" s="408" t="s">
        <v>1322</v>
      </c>
      <c r="J551" s="408" t="s">
        <v>2232</v>
      </c>
      <c r="K551" s="828">
        <v>44682</v>
      </c>
      <c r="L551" s="408">
        <v>0</v>
      </c>
      <c r="M551" s="408">
        <v>0</v>
      </c>
      <c r="N551" s="408">
        <v>6.8250000000000002</v>
      </c>
      <c r="O551" s="408">
        <v>2.73</v>
      </c>
      <c r="P551" s="408">
        <v>6.8250000000000002</v>
      </c>
      <c r="Q551" s="408">
        <v>2.73</v>
      </c>
      <c r="R551" s="408"/>
      <c r="S551" s="408">
        <v>571.87</v>
      </c>
      <c r="T551" s="408">
        <v>216.76</v>
      </c>
      <c r="U551" s="408"/>
      <c r="V551" s="408">
        <v>5382.3997500000005</v>
      </c>
      <c r="W551" s="408">
        <v>5382.3997500000005</v>
      </c>
      <c r="X551" s="408">
        <v>3508.11825</v>
      </c>
      <c r="Y551" s="408">
        <v>0</v>
      </c>
      <c r="Z551" s="408">
        <v>413.66746132556824</v>
      </c>
      <c r="AA551" s="408">
        <v>0</v>
      </c>
      <c r="AB551" s="408">
        <v>0</v>
      </c>
      <c r="AC551" s="408">
        <v>0</v>
      </c>
      <c r="AD551" s="408">
        <v>5.6095609991430013</v>
      </c>
      <c r="AE551" s="408">
        <v>2910.0685394702105</v>
      </c>
      <c r="AF551" s="408">
        <v>1457.8302431213158</v>
      </c>
      <c r="AG551" s="408">
        <v>21.549287326287359</v>
      </c>
      <c r="AH551" s="408">
        <v>0</v>
      </c>
      <c r="AI551" s="408">
        <v>0</v>
      </c>
      <c r="AJ551" s="408">
        <v>0</v>
      </c>
      <c r="AK551" s="408">
        <v>0</v>
      </c>
      <c r="AL551" s="408">
        <v>63.975049719738678</v>
      </c>
      <c r="AM551" s="408"/>
      <c r="AN551" s="408">
        <v>13.093554720758762</v>
      </c>
      <c r="AO551" s="408">
        <v>60.617587137626877</v>
      </c>
      <c r="AP551" s="408">
        <v>189.91999240964705</v>
      </c>
      <c r="AQ551" s="408">
        <v>0</v>
      </c>
      <c r="AR551" s="408">
        <v>0</v>
      </c>
      <c r="AS551" s="408">
        <v>0</v>
      </c>
      <c r="AT551" s="408">
        <v>0</v>
      </c>
      <c r="AU551" s="408">
        <v>0</v>
      </c>
      <c r="AV551" s="408">
        <v>0</v>
      </c>
      <c r="AW551" s="408">
        <v>0</v>
      </c>
      <c r="AX551" s="408">
        <v>0</v>
      </c>
      <c r="AY551" s="408">
        <v>0</v>
      </c>
      <c r="AZ551" s="408">
        <v>0</v>
      </c>
      <c r="BA551" s="408"/>
      <c r="BB551" s="408">
        <v>0</v>
      </c>
      <c r="BC551" s="408">
        <v>0</v>
      </c>
      <c r="BD551" s="408">
        <v>4.0613501693404865</v>
      </c>
      <c r="BE551" s="408">
        <v>0</v>
      </c>
      <c r="BF551" s="408">
        <v>0</v>
      </c>
      <c r="BG551" s="408">
        <v>242.00247070890549</v>
      </c>
      <c r="BH551" s="408">
        <v>0</v>
      </c>
      <c r="BI551" s="408">
        <v>0</v>
      </c>
      <c r="BJ551" s="408">
        <v>0</v>
      </c>
      <c r="BK551" s="408">
        <v>0</v>
      </c>
      <c r="BL551" s="408">
        <v>0</v>
      </c>
      <c r="BM551" s="408"/>
      <c r="BN551" s="408"/>
      <c r="BO551" s="408"/>
      <c r="BP551" s="408"/>
      <c r="BQ551" s="408"/>
      <c r="BR551" s="408"/>
      <c r="BS551" s="408">
        <v>2273.2573499999999</v>
      </c>
      <c r="BT551" s="408"/>
      <c r="BU551" s="408"/>
      <c r="BV551" s="408">
        <v>1703.8940639995619</v>
      </c>
      <c r="BW551" s="408"/>
      <c r="BX551" s="408"/>
      <c r="BY551" s="408"/>
      <c r="BZ551" s="408"/>
      <c r="CA551" s="408"/>
      <c r="CB551" s="408"/>
      <c r="CC551" s="408"/>
      <c r="CD551" s="408"/>
      <c r="CE551" s="408"/>
      <c r="CF551" s="408"/>
      <c r="CG551" s="408"/>
      <c r="CH551" s="408"/>
      <c r="CI551" s="408">
        <v>1234.8609000000001</v>
      </c>
      <c r="CJ551" s="408">
        <v>-659.78909999999973</v>
      </c>
      <c r="CK551" s="408"/>
      <c r="CL551" s="408"/>
      <c r="CM551" s="408"/>
      <c r="CN551" s="408"/>
      <c r="CO551" s="408">
        <v>-2096.9812500000003</v>
      </c>
      <c r="CP551" s="408">
        <v>222.69974999999997</v>
      </c>
      <c r="CQ551" s="408">
        <v>31</v>
      </c>
      <c r="CR551" s="408">
        <v>263.78833740239634</v>
      </c>
      <c r="CS551" s="408">
        <v>6.2527965050862733</v>
      </c>
      <c r="CT551" s="408">
        <v>19.590536688450698</v>
      </c>
      <c r="CU551" s="408">
        <v>0</v>
      </c>
      <c r="CV551" s="408">
        <v>0</v>
      </c>
      <c r="CW551" s="408">
        <v>0</v>
      </c>
      <c r="CX551" s="408">
        <v>0</v>
      </c>
      <c r="CY551" s="408">
        <v>0</v>
      </c>
      <c r="CZ551" s="408">
        <v>0.54847516005851826</v>
      </c>
      <c r="DA551" s="408">
        <v>0</v>
      </c>
      <c r="DB551" s="408">
        <v>0</v>
      </c>
      <c r="DC551" s="408">
        <v>222.72837079709575</v>
      </c>
      <c r="DD551" s="408">
        <v>0</v>
      </c>
      <c r="DE551" s="408">
        <v>0</v>
      </c>
      <c r="DF551" s="408">
        <v>0.62049604933216607</v>
      </c>
      <c r="DG551" s="408">
        <v>36.973314474847427</v>
      </c>
      <c r="DH551" s="408">
        <v>0</v>
      </c>
      <c r="DI551" s="408">
        <v>-19.76387121657109</v>
      </c>
      <c r="DJ551" s="408"/>
      <c r="DK551" s="408">
        <v>0</v>
      </c>
      <c r="DL551" s="408">
        <v>0</v>
      </c>
      <c r="DM551" s="408">
        <v>0</v>
      </c>
      <c r="DN551" s="408">
        <v>0</v>
      </c>
      <c r="DO551" s="408">
        <v>-2.5923079829295901</v>
      </c>
      <c r="DP551" s="408">
        <v>-0.56947307297421368</v>
      </c>
      <c r="DQ551" s="408">
        <v>0</v>
      </c>
      <c r="DR551" s="408">
        <v>0</v>
      </c>
      <c r="DS551" s="408"/>
      <c r="DT551" s="408"/>
      <c r="DU551" s="408"/>
      <c r="DV551" s="408">
        <v>2910.0685394702105</v>
      </c>
      <c r="DW551" s="408">
        <v>0</v>
      </c>
      <c r="DX551" s="408">
        <v>0</v>
      </c>
      <c r="DY551" s="408">
        <v>-2096.9812500000003</v>
      </c>
      <c r="DZ551" s="234">
        <v>222.69974999999999</v>
      </c>
      <c r="EA551" s="408">
        <v>0</v>
      </c>
      <c r="EB551" s="408">
        <v>0</v>
      </c>
      <c r="EC551" s="408">
        <v>-2138.0559253330439</v>
      </c>
      <c r="ED551" s="408">
        <v>0</v>
      </c>
      <c r="EE551" s="408">
        <v>0</v>
      </c>
      <c r="EF551" s="408">
        <v>0</v>
      </c>
      <c r="EG551" s="408">
        <v>0</v>
      </c>
      <c r="EH551" s="408">
        <v>0</v>
      </c>
      <c r="EI551" s="408">
        <v>0</v>
      </c>
      <c r="EJ551" s="408">
        <v>0</v>
      </c>
      <c r="EK551" s="408">
        <v>0</v>
      </c>
      <c r="EL551" s="408">
        <v>0</v>
      </c>
      <c r="EM551" s="408">
        <v>0</v>
      </c>
      <c r="EN551" s="408">
        <v>0</v>
      </c>
      <c r="EO551" s="408">
        <v>0</v>
      </c>
      <c r="EP551" s="408">
        <v>0</v>
      </c>
      <c r="EQ551" s="408">
        <v>0</v>
      </c>
      <c r="ER551" s="408">
        <v>0</v>
      </c>
      <c r="ES551" s="408">
        <v>0</v>
      </c>
      <c r="ET551" s="408">
        <v>0</v>
      </c>
      <c r="EU551" s="408">
        <v>0</v>
      </c>
      <c r="EV551" s="408">
        <v>242</v>
      </c>
      <c r="EW551" s="408">
        <v>0</v>
      </c>
      <c r="EX551" s="408">
        <v>0</v>
      </c>
      <c r="EY551" s="408">
        <v>0</v>
      </c>
      <c r="EZ551" s="408"/>
      <c r="FA551" s="408">
        <v>0</v>
      </c>
      <c r="FB551" s="408"/>
      <c r="FC551" s="408"/>
      <c r="FD551" s="408"/>
      <c r="FE551" s="408"/>
      <c r="FF551" s="408">
        <v>0</v>
      </c>
      <c r="FG551" s="408">
        <v>0</v>
      </c>
      <c r="FH551" s="408">
        <v>0</v>
      </c>
      <c r="FI551" s="408">
        <v>0</v>
      </c>
    </row>
    <row r="552" spans="1:165">
      <c r="A552" s="408">
        <v>553</v>
      </c>
      <c r="B552" s="408" t="s">
        <v>1036</v>
      </c>
      <c r="C552" s="408" t="s">
        <v>2239</v>
      </c>
      <c r="D552" s="408" t="s">
        <v>597</v>
      </c>
      <c r="E552" s="408" t="s">
        <v>974</v>
      </c>
      <c r="F552" s="408" t="s">
        <v>2248</v>
      </c>
      <c r="G552" s="408" t="s">
        <v>1322</v>
      </c>
      <c r="H552" s="408" t="s">
        <v>1322</v>
      </c>
      <c r="I552" s="408" t="s">
        <v>973</v>
      </c>
      <c r="J552" s="408" t="s">
        <v>2232</v>
      </c>
      <c r="K552" s="828">
        <v>44682</v>
      </c>
      <c r="L552" s="408">
        <v>0</v>
      </c>
      <c r="M552" s="408">
        <v>0</v>
      </c>
      <c r="N552" s="408">
        <v>0.54400000000000004</v>
      </c>
      <c r="O552" s="408">
        <v>0.52224000000000004</v>
      </c>
      <c r="P552" s="408">
        <v>0.54400000000000004</v>
      </c>
      <c r="Q552" s="408">
        <v>0.52224000000000004</v>
      </c>
      <c r="R552" s="408"/>
      <c r="S552" s="408">
        <v>2592.54</v>
      </c>
      <c r="T552" s="408">
        <v>216.76</v>
      </c>
      <c r="U552" s="408"/>
      <c r="V552" s="408">
        <v>1528.2592</v>
      </c>
      <c r="W552" s="408">
        <v>1528.2592</v>
      </c>
      <c r="X552" s="408">
        <v>642.57280000000003</v>
      </c>
      <c r="Y552" s="408">
        <v>0</v>
      </c>
      <c r="Z552" s="408">
        <v>28.685792834602928</v>
      </c>
      <c r="AA552" s="408">
        <v>0</v>
      </c>
      <c r="AB552" s="408">
        <v>0</v>
      </c>
      <c r="AC552" s="408">
        <v>0</v>
      </c>
      <c r="AD552" s="408">
        <v>2.7508095526442906</v>
      </c>
      <c r="AE552" s="408">
        <v>1246.2449784011235</v>
      </c>
      <c r="AF552" s="408">
        <v>116.199216448058</v>
      </c>
      <c r="AG552" s="408">
        <v>1.717628176630084</v>
      </c>
      <c r="AH552" s="408">
        <v>0</v>
      </c>
      <c r="AI552" s="408">
        <v>0</v>
      </c>
      <c r="AJ552" s="408">
        <v>0</v>
      </c>
      <c r="AK552" s="408">
        <v>0</v>
      </c>
      <c r="AL552" s="408">
        <v>5.0992567102619546</v>
      </c>
      <c r="AM552" s="408"/>
      <c r="AN552" s="408">
        <v>0.74703287489678882</v>
      </c>
      <c r="AO552" s="408">
        <v>24.542490118212939</v>
      </c>
      <c r="AP552" s="408">
        <v>93.133207306055112</v>
      </c>
      <c r="AQ552" s="408">
        <v>0</v>
      </c>
      <c r="AR552" s="408">
        <v>0</v>
      </c>
      <c r="AS552" s="408">
        <v>0</v>
      </c>
      <c r="AT552" s="408">
        <v>0</v>
      </c>
      <c r="AU552" s="408">
        <v>0</v>
      </c>
      <c r="AV552" s="408">
        <v>0</v>
      </c>
      <c r="AW552" s="408">
        <v>0</v>
      </c>
      <c r="AX552" s="408">
        <v>0</v>
      </c>
      <c r="AY552" s="408">
        <v>0</v>
      </c>
      <c r="AZ552" s="408">
        <v>0</v>
      </c>
      <c r="BA552" s="408"/>
      <c r="BB552" s="408">
        <v>0</v>
      </c>
      <c r="BC552" s="408">
        <v>0</v>
      </c>
      <c r="BD552" s="408">
        <v>0.2487704919594961</v>
      </c>
      <c r="BE552" s="408">
        <v>0</v>
      </c>
      <c r="BF552" s="408">
        <v>0</v>
      </c>
      <c r="BG552" s="408">
        <v>8.88686931391792</v>
      </c>
      <c r="BH552" s="408">
        <v>0</v>
      </c>
      <c r="BI552" s="408">
        <v>0</v>
      </c>
      <c r="BJ552" s="408">
        <v>0</v>
      </c>
      <c r="BK552" s="408">
        <v>0</v>
      </c>
      <c r="BL552" s="408">
        <v>0</v>
      </c>
      <c r="BM552" s="408"/>
      <c r="BN552" s="408"/>
      <c r="BO552" s="408"/>
      <c r="BP552" s="408"/>
      <c r="BQ552" s="408"/>
      <c r="BR552" s="408">
        <v>25.702912000000001</v>
      </c>
      <c r="BS552" s="408"/>
      <c r="BT552" s="408"/>
      <c r="BU552" s="408"/>
      <c r="BV552" s="408">
        <v>125.33485625393541</v>
      </c>
      <c r="BW552" s="408"/>
      <c r="BX552" s="408"/>
      <c r="BY552" s="408"/>
      <c r="BZ552" s="408"/>
      <c r="CA552" s="408"/>
      <c r="CB552" s="408"/>
      <c r="CC552" s="408"/>
      <c r="CD552" s="408"/>
      <c r="CE552" s="408"/>
      <c r="CF552" s="408"/>
      <c r="CG552" s="408"/>
      <c r="CH552" s="408"/>
      <c r="CI552" s="408">
        <v>614.22399999999993</v>
      </c>
      <c r="CJ552" s="408">
        <v>-852.93483200000014</v>
      </c>
      <c r="CK552" s="408"/>
      <c r="CL552" s="408"/>
      <c r="CM552" s="408"/>
      <c r="CN552" s="408"/>
      <c r="CO552" s="408">
        <v>-903.43712000000005</v>
      </c>
      <c r="CP552" s="408">
        <v>17.750719999999998</v>
      </c>
      <c r="CQ552" s="408">
        <v>31</v>
      </c>
      <c r="CR552" s="408">
        <v>29.946496978749281</v>
      </c>
      <c r="CS552" s="408">
        <v>2.5315952627553351</v>
      </c>
      <c r="CT552" s="408">
        <v>9.6068322849701389</v>
      </c>
      <c r="CU552" s="408">
        <v>0</v>
      </c>
      <c r="CV552" s="408">
        <v>0</v>
      </c>
      <c r="CW552" s="408">
        <v>0</v>
      </c>
      <c r="CX552" s="408">
        <v>0</v>
      </c>
      <c r="CY552" s="408">
        <v>0</v>
      </c>
      <c r="CZ552" s="408">
        <v>0.26896056748604558</v>
      </c>
      <c r="DA552" s="408">
        <v>0</v>
      </c>
      <c r="DB552" s="408">
        <v>0</v>
      </c>
      <c r="DC552" s="408">
        <v>17.75300127672088</v>
      </c>
      <c r="DD552" s="408">
        <v>0</v>
      </c>
      <c r="DE552" s="408">
        <v>0</v>
      </c>
      <c r="DF552" s="408">
        <v>3.8007337711624539E-2</v>
      </c>
      <c r="DG552" s="408">
        <v>1.3577423936121349</v>
      </c>
      <c r="DH552" s="408">
        <v>0</v>
      </c>
      <c r="DI552" s="408">
        <v>-1.3705267354400839</v>
      </c>
      <c r="DJ552" s="408"/>
      <c r="DK552" s="408">
        <v>0</v>
      </c>
      <c r="DL552" s="408">
        <v>0</v>
      </c>
      <c r="DM552" s="408">
        <v>0</v>
      </c>
      <c r="DN552" s="408">
        <v>0</v>
      </c>
      <c r="DO552" s="408">
        <v>-0.20662498794339879</v>
      </c>
      <c r="DP552" s="408">
        <v>-3.2490421123438473E-2</v>
      </c>
      <c r="DQ552" s="408">
        <v>0</v>
      </c>
      <c r="DR552" s="408">
        <v>0</v>
      </c>
      <c r="DS552" s="408"/>
      <c r="DT552" s="408"/>
      <c r="DU552" s="408"/>
      <c r="DV552" s="408">
        <v>1246.2449784011235</v>
      </c>
      <c r="DW552" s="408">
        <v>0</v>
      </c>
      <c r="DX552" s="408">
        <v>0</v>
      </c>
      <c r="DY552" s="408">
        <v>-903.43712000000005</v>
      </c>
      <c r="DZ552" s="234">
        <v>17.750720000000001</v>
      </c>
      <c r="EA552" s="408">
        <v>0</v>
      </c>
      <c r="EB552" s="408">
        <v>0</v>
      </c>
      <c r="EC552" s="408">
        <v>-915.62842054990369</v>
      </c>
      <c r="ED552" s="408">
        <v>0</v>
      </c>
      <c r="EE552" s="408">
        <v>0</v>
      </c>
      <c r="EF552" s="408">
        <v>0</v>
      </c>
      <c r="EG552" s="408">
        <v>0</v>
      </c>
      <c r="EH552" s="408">
        <v>0</v>
      </c>
      <c r="EI552" s="408">
        <v>0</v>
      </c>
      <c r="EJ552" s="408">
        <v>0</v>
      </c>
      <c r="EK552" s="408">
        <v>0</v>
      </c>
      <c r="EL552" s="408">
        <v>0</v>
      </c>
      <c r="EM552" s="408">
        <v>0</v>
      </c>
      <c r="EN552" s="408">
        <v>0</v>
      </c>
      <c r="EO552" s="408">
        <v>0</v>
      </c>
      <c r="EP552" s="408">
        <v>0</v>
      </c>
      <c r="EQ552" s="408">
        <v>0</v>
      </c>
      <c r="ER552" s="408">
        <v>0</v>
      </c>
      <c r="ES552" s="408">
        <v>0</v>
      </c>
      <c r="ET552" s="408">
        <v>0</v>
      </c>
      <c r="EU552" s="408">
        <v>0</v>
      </c>
      <c r="EV552" s="408">
        <v>242</v>
      </c>
      <c r="EW552" s="408">
        <v>0</v>
      </c>
      <c r="EX552" s="408">
        <v>0</v>
      </c>
      <c r="EY552" s="408">
        <v>0</v>
      </c>
      <c r="EZ552" s="408"/>
      <c r="FA552" s="408">
        <v>0</v>
      </c>
      <c r="FB552" s="408"/>
      <c r="FC552" s="408"/>
      <c r="FD552" s="408"/>
      <c r="FE552" s="408"/>
      <c r="FF552" s="408">
        <v>0</v>
      </c>
      <c r="FG552" s="408">
        <v>0</v>
      </c>
      <c r="FH552" s="408">
        <v>0</v>
      </c>
      <c r="FI552" s="408">
        <v>0</v>
      </c>
    </row>
    <row r="553" spans="1:165">
      <c r="A553" s="408">
        <v>554</v>
      </c>
      <c r="B553" s="408" t="s">
        <v>1036</v>
      </c>
      <c r="C553" s="408" t="s">
        <v>2239</v>
      </c>
      <c r="D553" s="408" t="s">
        <v>597</v>
      </c>
      <c r="E553" s="408" t="s">
        <v>974</v>
      </c>
      <c r="F553" s="408" t="s">
        <v>2248</v>
      </c>
      <c r="G553" s="408" t="s">
        <v>1322</v>
      </c>
      <c r="H553" s="408" t="s">
        <v>1322</v>
      </c>
      <c r="I553" s="408" t="s">
        <v>2240</v>
      </c>
      <c r="J553" s="408" t="s">
        <v>2232</v>
      </c>
      <c r="K553" s="828">
        <v>44682</v>
      </c>
      <c r="L553" s="408">
        <v>0</v>
      </c>
      <c r="M553" s="408">
        <v>0</v>
      </c>
      <c r="N553" s="408">
        <v>3.3559999999999999</v>
      </c>
      <c r="O553" s="408">
        <v>3.2217600000000002</v>
      </c>
      <c r="P553" s="408">
        <v>3.3559999999999999</v>
      </c>
      <c r="Q553" s="408">
        <v>3.2217600000000002</v>
      </c>
      <c r="R553" s="408"/>
      <c r="S553" s="408">
        <v>80.27</v>
      </c>
      <c r="T553" s="408">
        <v>216.76</v>
      </c>
      <c r="U553" s="408"/>
      <c r="V553" s="408">
        <v>996.83267999999998</v>
      </c>
      <c r="W553" s="408">
        <v>996.83267999999998</v>
      </c>
      <c r="X553" s="408">
        <v>1105.0301199999999</v>
      </c>
      <c r="Y553" s="408">
        <v>0</v>
      </c>
      <c r="Z553" s="408">
        <v>176.96603079582246</v>
      </c>
      <c r="AA553" s="408">
        <v>0</v>
      </c>
      <c r="AB553" s="408">
        <v>0</v>
      </c>
      <c r="AC553" s="408">
        <v>0</v>
      </c>
      <c r="AD553" s="408">
        <v>0</v>
      </c>
      <c r="AE553" s="408">
        <v>0</v>
      </c>
      <c r="AF553" s="408">
        <v>716.84663676412242</v>
      </c>
      <c r="AG553" s="408">
        <v>10.596250295534119</v>
      </c>
      <c r="AH553" s="408">
        <v>0</v>
      </c>
      <c r="AI553" s="408">
        <v>0</v>
      </c>
      <c r="AJ553" s="408">
        <v>0</v>
      </c>
      <c r="AK553" s="408">
        <v>0</v>
      </c>
      <c r="AL553" s="408">
        <v>31.457914558160144</v>
      </c>
      <c r="AM553" s="408"/>
      <c r="AN553" s="408">
        <v>4.6085336914588657</v>
      </c>
      <c r="AO553" s="408">
        <v>0</v>
      </c>
      <c r="AP553" s="408">
        <v>0</v>
      </c>
      <c r="AQ553" s="408">
        <v>0</v>
      </c>
      <c r="AR553" s="408">
        <v>0</v>
      </c>
      <c r="AS553" s="408">
        <v>0</v>
      </c>
      <c r="AT553" s="408">
        <v>0</v>
      </c>
      <c r="AU553" s="408">
        <v>0</v>
      </c>
      <c r="AV553" s="408">
        <v>0</v>
      </c>
      <c r="AW553" s="408">
        <v>0</v>
      </c>
      <c r="AX553" s="408">
        <v>0</v>
      </c>
      <c r="AY553" s="408">
        <v>0</v>
      </c>
      <c r="AZ553" s="408">
        <v>0</v>
      </c>
      <c r="BA553" s="408"/>
      <c r="BB553" s="408">
        <v>0</v>
      </c>
      <c r="BC553" s="408">
        <v>0</v>
      </c>
      <c r="BD553" s="408">
        <v>1.5346944320148324</v>
      </c>
      <c r="BE553" s="408">
        <v>0</v>
      </c>
      <c r="BF553" s="408">
        <v>0</v>
      </c>
      <c r="BG553" s="408">
        <v>54.824142311596574</v>
      </c>
      <c r="BH553" s="408">
        <v>0</v>
      </c>
      <c r="BI553" s="408">
        <v>0</v>
      </c>
      <c r="BJ553" s="408">
        <v>0</v>
      </c>
      <c r="BK553" s="408">
        <v>0</v>
      </c>
      <c r="BL553" s="408">
        <v>0</v>
      </c>
      <c r="BM553" s="408"/>
      <c r="BN553" s="408"/>
      <c r="BO553" s="408"/>
      <c r="BP553" s="408"/>
      <c r="BQ553" s="408"/>
      <c r="BR553" s="408">
        <v>44.2012047999999</v>
      </c>
      <c r="BS553" s="408"/>
      <c r="BT553" s="408"/>
      <c r="BU553" s="408"/>
      <c r="BV553" s="408">
        <v>773.20547350773381</v>
      </c>
      <c r="BW553" s="408"/>
      <c r="BX553" s="408"/>
      <c r="BY553" s="408"/>
      <c r="BZ553" s="408"/>
      <c r="CA553" s="408"/>
      <c r="CB553" s="408"/>
      <c r="CC553" s="408"/>
      <c r="CD553" s="408"/>
      <c r="CE553" s="408"/>
      <c r="CF553" s="408"/>
      <c r="CG553" s="408"/>
      <c r="CH553" s="408"/>
      <c r="CI553" s="408">
        <v>1060.2493999999999</v>
      </c>
      <c r="CJ553" s="408">
        <v>103.26002719999997</v>
      </c>
      <c r="CK553" s="408"/>
      <c r="CL553" s="408"/>
      <c r="CM553" s="408"/>
      <c r="CN553" s="408"/>
      <c r="CO553" s="408">
        <v>-1.3088400000000018</v>
      </c>
      <c r="CP553" s="408">
        <v>109.50627999999998</v>
      </c>
      <c r="CQ553" s="408">
        <v>31</v>
      </c>
      <c r="CR553" s="408">
        <v>108.20082600373655</v>
      </c>
      <c r="CS553" s="408">
        <v>0</v>
      </c>
      <c r="CT553" s="408">
        <v>0</v>
      </c>
      <c r="CU553" s="408">
        <v>0</v>
      </c>
      <c r="CV553" s="408">
        <v>0</v>
      </c>
      <c r="CW553" s="408">
        <v>0</v>
      </c>
      <c r="CX553" s="408">
        <v>0</v>
      </c>
      <c r="CY553" s="408">
        <v>0</v>
      </c>
      <c r="CZ553" s="408">
        <v>0</v>
      </c>
      <c r="DA553" s="408">
        <v>0</v>
      </c>
      <c r="DB553" s="408">
        <v>0</v>
      </c>
      <c r="DC553" s="408">
        <v>109.52035346447667</v>
      </c>
      <c r="DD553" s="408">
        <v>0</v>
      </c>
      <c r="DE553" s="408">
        <v>0</v>
      </c>
      <c r="DF553" s="408">
        <v>0.23447173779450736</v>
      </c>
      <c r="DG553" s="408">
        <v>8.3760725605925046</v>
      </c>
      <c r="DH553" s="408">
        <v>0</v>
      </c>
      <c r="DI553" s="408">
        <v>-8.4549406693693356</v>
      </c>
      <c r="DJ553" s="408"/>
      <c r="DK553" s="408">
        <v>0</v>
      </c>
      <c r="DL553" s="408">
        <v>0</v>
      </c>
      <c r="DM553" s="408">
        <v>0</v>
      </c>
      <c r="DN553" s="408">
        <v>0</v>
      </c>
      <c r="DO553" s="408">
        <v>-1.2746938594449375</v>
      </c>
      <c r="DP553" s="408">
        <v>-0.20043723031297667</v>
      </c>
      <c r="DQ553" s="408">
        <v>0</v>
      </c>
      <c r="DR553" s="408">
        <v>0</v>
      </c>
      <c r="DS553" s="408"/>
      <c r="DT553" s="408"/>
      <c r="DU553" s="408"/>
      <c r="DV553" s="408">
        <v>0</v>
      </c>
      <c r="DW553" s="408">
        <v>0</v>
      </c>
      <c r="DX553" s="408">
        <v>0</v>
      </c>
      <c r="DY553" s="408">
        <v>-1.3088399999999751</v>
      </c>
      <c r="DZ553" s="234">
        <v>109.50627999999995</v>
      </c>
      <c r="EA553" s="408">
        <v>0</v>
      </c>
      <c r="EB553" s="408">
        <v>0</v>
      </c>
      <c r="EC553" s="408">
        <v>0</v>
      </c>
      <c r="ED553" s="408">
        <v>0</v>
      </c>
      <c r="EE553" s="408">
        <v>0</v>
      </c>
      <c r="EF553" s="408">
        <v>0</v>
      </c>
      <c r="EG553" s="408">
        <v>0</v>
      </c>
      <c r="EH553" s="408">
        <v>0</v>
      </c>
      <c r="EI553" s="408">
        <v>0</v>
      </c>
      <c r="EJ553" s="408">
        <v>0</v>
      </c>
      <c r="EK553" s="408">
        <v>0</v>
      </c>
      <c r="EL553" s="408">
        <v>0</v>
      </c>
      <c r="EM553" s="408">
        <v>0</v>
      </c>
      <c r="EN553" s="408">
        <v>0</v>
      </c>
      <c r="EO553" s="408">
        <v>0</v>
      </c>
      <c r="EP553" s="408">
        <v>0</v>
      </c>
      <c r="EQ553" s="408">
        <v>0</v>
      </c>
      <c r="ER553" s="408">
        <v>0</v>
      </c>
      <c r="ES553" s="408">
        <v>0</v>
      </c>
      <c r="ET553" s="408">
        <v>0</v>
      </c>
      <c r="EU553" s="408">
        <v>0</v>
      </c>
      <c r="EV553" s="408">
        <v>242</v>
      </c>
      <c r="EW553" s="408">
        <v>0</v>
      </c>
      <c r="EX553" s="408">
        <v>0</v>
      </c>
      <c r="EY553" s="408">
        <v>0</v>
      </c>
      <c r="EZ553" s="408"/>
      <c r="FA553" s="408">
        <v>0</v>
      </c>
      <c r="FB553" s="408"/>
      <c r="FC553" s="408"/>
      <c r="FD553" s="408"/>
      <c r="FE553" s="408"/>
      <c r="FF553" s="408">
        <v>0</v>
      </c>
      <c r="FG553" s="408">
        <v>0</v>
      </c>
      <c r="FH553" s="408">
        <v>0</v>
      </c>
      <c r="FI553" s="408">
        <v>0</v>
      </c>
    </row>
    <row r="554" spans="1:165">
      <c r="A554" s="408">
        <v>555</v>
      </c>
      <c r="B554" s="408" t="s">
        <v>1036</v>
      </c>
      <c r="C554" s="408" t="s">
        <v>2239</v>
      </c>
      <c r="D554" s="408" t="s">
        <v>597</v>
      </c>
      <c r="E554" s="408" t="s">
        <v>974</v>
      </c>
      <c r="F554" s="408" t="s">
        <v>2248</v>
      </c>
      <c r="G554" s="408" t="s">
        <v>1322</v>
      </c>
      <c r="H554" s="408" t="s">
        <v>1322</v>
      </c>
      <c r="I554" s="408" t="s">
        <v>1322</v>
      </c>
      <c r="J554" s="408" t="s">
        <v>2232</v>
      </c>
      <c r="K554" s="828">
        <v>44682</v>
      </c>
      <c r="L554" s="408">
        <v>228</v>
      </c>
      <c r="M554" s="408">
        <v>218.88</v>
      </c>
      <c r="N554" s="408">
        <v>0</v>
      </c>
      <c r="O554" s="408">
        <v>0</v>
      </c>
      <c r="P554" s="408">
        <v>0</v>
      </c>
      <c r="Q554" s="408">
        <v>0</v>
      </c>
      <c r="R554" s="408">
        <v>32.17</v>
      </c>
      <c r="S554" s="408"/>
      <c r="T554" s="408"/>
      <c r="U554" s="408">
        <v>7334.76</v>
      </c>
      <c r="V554" s="408"/>
      <c r="W554" s="408">
        <v>7334.76</v>
      </c>
      <c r="X554" s="408">
        <v>2948.04</v>
      </c>
      <c r="Y554" s="408">
        <v>0</v>
      </c>
      <c r="Z554" s="408">
        <v>0</v>
      </c>
      <c r="AA554" s="408">
        <v>0</v>
      </c>
      <c r="AB554" s="408">
        <v>0</v>
      </c>
      <c r="AC554" s="408">
        <v>0</v>
      </c>
      <c r="AD554" s="408">
        <v>22.780899329930794</v>
      </c>
      <c r="AE554" s="408">
        <v>6139.2956776964038</v>
      </c>
      <c r="AF554" s="408"/>
      <c r="AG554" s="408"/>
      <c r="AH554" s="408"/>
      <c r="AI554" s="408">
        <v>0</v>
      </c>
      <c r="AJ554" s="408">
        <v>0</v>
      </c>
      <c r="AK554" s="408">
        <v>0</v>
      </c>
      <c r="AL554" s="408">
        <v>0</v>
      </c>
      <c r="AM554" s="408"/>
      <c r="AN554" s="408">
        <v>0</v>
      </c>
      <c r="AO554" s="408">
        <v>402.28801226233048</v>
      </c>
      <c r="AP554" s="408">
        <v>771.29325772161508</v>
      </c>
      <c r="AQ554" s="408">
        <v>0</v>
      </c>
      <c r="AR554" s="408">
        <v>0</v>
      </c>
      <c r="AS554" s="408"/>
      <c r="AT554" s="408"/>
      <c r="AU554" s="408">
        <v>0</v>
      </c>
      <c r="AV554" s="408">
        <v>0</v>
      </c>
      <c r="AW554" s="408">
        <v>0</v>
      </c>
      <c r="AX554" s="408"/>
      <c r="AY554" s="408"/>
      <c r="AZ554" s="408">
        <v>0</v>
      </c>
      <c r="BA554" s="408"/>
      <c r="BB554" s="408">
        <v>0</v>
      </c>
      <c r="BC554" s="408">
        <v>0</v>
      </c>
      <c r="BD554" s="408">
        <v>0</v>
      </c>
      <c r="BE554" s="408">
        <v>0</v>
      </c>
      <c r="BF554" s="408"/>
      <c r="BG554" s="408">
        <v>0</v>
      </c>
      <c r="BH554" s="408">
        <v>0</v>
      </c>
      <c r="BI554" s="408">
        <v>13.03</v>
      </c>
      <c r="BJ554" s="408">
        <v>59.73</v>
      </c>
      <c r="BK554" s="408">
        <v>58.62</v>
      </c>
      <c r="BL554" s="408">
        <v>12</v>
      </c>
      <c r="BM554" s="408"/>
      <c r="BN554" s="408"/>
      <c r="BO554" s="408"/>
      <c r="BP554" s="408"/>
      <c r="BQ554" s="408"/>
      <c r="BR554" s="408">
        <v>117.92160000000005</v>
      </c>
      <c r="BS554" s="408"/>
      <c r="BT554" s="408"/>
      <c r="BU554" s="408"/>
      <c r="BV554" s="408">
        <v>0</v>
      </c>
      <c r="BW554" s="408"/>
      <c r="BX554" s="408"/>
      <c r="BY554" s="408"/>
      <c r="BZ554" s="408"/>
      <c r="CA554" s="408"/>
      <c r="CB554" s="408"/>
      <c r="CC554" s="408"/>
      <c r="CD554" s="408"/>
      <c r="CE554" s="408"/>
      <c r="CF554" s="408"/>
      <c r="CG554" s="408"/>
      <c r="CH554" s="408"/>
      <c r="CI554" s="408">
        <v>2830.1183999999998</v>
      </c>
      <c r="CJ554" s="408">
        <v>-4211.2812000000013</v>
      </c>
      <c r="CK554" s="408"/>
      <c r="CL554" s="408"/>
      <c r="CM554" s="408"/>
      <c r="CN554" s="408"/>
      <c r="CO554" s="408">
        <v>-4386.72</v>
      </c>
      <c r="CP554" s="408">
        <v>0</v>
      </c>
      <c r="CQ554" s="408">
        <v>31</v>
      </c>
      <c r="CR554" s="408">
        <v>123.28410052845788</v>
      </c>
      <c r="CS554" s="408">
        <v>41.496621622385078</v>
      </c>
      <c r="CT554" s="408">
        <v>79.560075120256101</v>
      </c>
      <c r="CU554" s="408">
        <v>0</v>
      </c>
      <c r="CV554" s="408">
        <v>0</v>
      </c>
      <c r="CW554" s="408"/>
      <c r="CX554" s="408"/>
      <c r="CY554" s="408"/>
      <c r="CZ554" s="408">
        <v>2.2274037858167794</v>
      </c>
      <c r="DA554" s="408">
        <v>0</v>
      </c>
      <c r="DB554" s="408">
        <v>0</v>
      </c>
      <c r="DC554" s="408"/>
      <c r="DD554" s="408"/>
      <c r="DE554" s="408">
        <v>0</v>
      </c>
      <c r="DF554" s="408">
        <v>0</v>
      </c>
      <c r="DG554" s="408">
        <v>0</v>
      </c>
      <c r="DH554" s="408">
        <v>0</v>
      </c>
      <c r="DI554" s="408">
        <v>0</v>
      </c>
      <c r="DJ554" s="408"/>
      <c r="DK554" s="408">
        <v>0</v>
      </c>
      <c r="DL554" s="408">
        <v>0</v>
      </c>
      <c r="DM554" s="408"/>
      <c r="DN554" s="408">
        <v>0</v>
      </c>
      <c r="DO554" s="408">
        <v>0</v>
      </c>
      <c r="DP554" s="408">
        <v>0</v>
      </c>
      <c r="DQ554" s="408">
        <v>0</v>
      </c>
      <c r="DR554" s="408">
        <v>0</v>
      </c>
      <c r="DS554" s="408"/>
      <c r="DT554" s="408"/>
      <c r="DU554" s="408">
        <v>6139.2956776964038</v>
      </c>
      <c r="DV554" s="408"/>
      <c r="DW554" s="408">
        <v>0</v>
      </c>
      <c r="DX554" s="408">
        <v>0</v>
      </c>
      <c r="DY554" s="408">
        <v>-4386.72</v>
      </c>
      <c r="DZ554" s="234"/>
      <c r="EA554" s="408">
        <v>0</v>
      </c>
      <c r="EB554" s="408"/>
      <c r="EC554" s="408">
        <v>-4510.6008064882199</v>
      </c>
      <c r="ED554" s="408"/>
      <c r="EE554" s="408">
        <v>0</v>
      </c>
      <c r="EF554" s="408">
        <v>0</v>
      </c>
      <c r="EG554" s="408"/>
      <c r="EH554" s="408">
        <v>0</v>
      </c>
      <c r="EI554" s="408">
        <v>0</v>
      </c>
      <c r="EJ554" s="408">
        <v>0</v>
      </c>
      <c r="EK554" s="408">
        <v>0</v>
      </c>
      <c r="EL554" s="408">
        <v>0</v>
      </c>
      <c r="EM554" s="408"/>
      <c r="EN554" s="408"/>
      <c r="EO554" s="408">
        <v>0</v>
      </c>
      <c r="EP554" s="408">
        <v>0</v>
      </c>
      <c r="EQ554" s="408"/>
      <c r="ER554" s="408">
        <v>0</v>
      </c>
      <c r="ES554" s="408"/>
      <c r="ET554" s="408">
        <v>0</v>
      </c>
      <c r="EU554" s="408"/>
      <c r="EV554" s="408">
        <v>242</v>
      </c>
      <c r="EW554" s="408"/>
      <c r="EX554" s="408"/>
      <c r="EY554" s="408"/>
      <c r="EZ554" s="408"/>
      <c r="FA554" s="408">
        <v>0</v>
      </c>
      <c r="FB554" s="408"/>
      <c r="FC554" s="408"/>
      <c r="FD554" s="408"/>
      <c r="FE554" s="408"/>
      <c r="FF554" s="408">
        <v>0</v>
      </c>
      <c r="FG554" s="408">
        <v>0</v>
      </c>
      <c r="FH554" s="408">
        <v>0</v>
      </c>
      <c r="FI554" s="408">
        <v>0</v>
      </c>
    </row>
    <row r="555" spans="1:165">
      <c r="A555" s="408">
        <v>556</v>
      </c>
      <c r="B555" s="408" t="s">
        <v>2234</v>
      </c>
      <c r="C555" s="408" t="s">
        <v>2239</v>
      </c>
      <c r="D555" s="408" t="s">
        <v>597</v>
      </c>
      <c r="E555" s="408" t="s">
        <v>974</v>
      </c>
      <c r="F555" s="408" t="s">
        <v>2248</v>
      </c>
      <c r="G555" s="408" t="s">
        <v>1322</v>
      </c>
      <c r="H555" s="408" t="s">
        <v>1322</v>
      </c>
      <c r="I555" s="408" t="s">
        <v>1322</v>
      </c>
      <c r="J555" s="408" t="s">
        <v>2232</v>
      </c>
      <c r="K555" s="828">
        <v>44682</v>
      </c>
      <c r="L555" s="408">
        <v>33</v>
      </c>
      <c r="M555" s="408">
        <v>31.68</v>
      </c>
      <c r="N555" s="408">
        <v>0</v>
      </c>
      <c r="O555" s="408">
        <v>0</v>
      </c>
      <c r="P555" s="408">
        <v>0</v>
      </c>
      <c r="Q555" s="408">
        <v>0</v>
      </c>
      <c r="R555" s="408">
        <v>32.17</v>
      </c>
      <c r="S555" s="408"/>
      <c r="T555" s="408"/>
      <c r="U555" s="408">
        <v>1061.6100000000001</v>
      </c>
      <c r="V555" s="408"/>
      <c r="W555" s="408">
        <v>1061.6100000000001</v>
      </c>
      <c r="X555" s="408">
        <v>426.69</v>
      </c>
      <c r="Y555" s="408">
        <v>0</v>
      </c>
      <c r="Z555" s="408">
        <v>0</v>
      </c>
      <c r="AA555" s="408">
        <v>0</v>
      </c>
      <c r="AB555" s="408">
        <v>0</v>
      </c>
      <c r="AC555" s="408">
        <v>0</v>
      </c>
      <c r="AD555" s="408">
        <v>3.2972354293320882</v>
      </c>
      <c r="AE555" s="408">
        <v>888.58226914026898</v>
      </c>
      <c r="AF555" s="408"/>
      <c r="AG555" s="408"/>
      <c r="AH555" s="408"/>
      <c r="AI555" s="408">
        <v>0</v>
      </c>
      <c r="AJ555" s="408">
        <v>0</v>
      </c>
      <c r="AK555" s="408">
        <v>0</v>
      </c>
      <c r="AL555" s="408">
        <v>0</v>
      </c>
      <c r="AM555" s="408"/>
      <c r="AN555" s="408">
        <v>0</v>
      </c>
      <c r="AO555" s="408">
        <v>58.22589651165309</v>
      </c>
      <c r="AP555" s="408">
        <v>111.63455045970744</v>
      </c>
      <c r="AQ555" s="408">
        <v>0</v>
      </c>
      <c r="AR555" s="408">
        <v>0</v>
      </c>
      <c r="AS555" s="408"/>
      <c r="AT555" s="408"/>
      <c r="AU555" s="408">
        <v>0</v>
      </c>
      <c r="AV555" s="408">
        <v>0</v>
      </c>
      <c r="AW555" s="408">
        <v>0</v>
      </c>
      <c r="AX555" s="408"/>
      <c r="AY555" s="408"/>
      <c r="AZ555" s="408">
        <v>0</v>
      </c>
      <c r="BA555" s="408"/>
      <c r="BB555" s="408">
        <v>0</v>
      </c>
      <c r="BC555" s="408">
        <v>0</v>
      </c>
      <c r="BD555" s="408">
        <v>0</v>
      </c>
      <c r="BE555" s="408">
        <v>0</v>
      </c>
      <c r="BF555" s="408"/>
      <c r="BG555" s="408">
        <v>0</v>
      </c>
      <c r="BH555" s="408">
        <v>0</v>
      </c>
      <c r="BI555" s="408">
        <v>2.0699999999999998</v>
      </c>
      <c r="BJ555" s="408">
        <v>9.44</v>
      </c>
      <c r="BK555" s="408">
        <v>1.67</v>
      </c>
      <c r="BL555" s="408">
        <v>1</v>
      </c>
      <c r="BM555" s="408"/>
      <c r="BN555" s="408"/>
      <c r="BO555" s="408"/>
      <c r="BP555" s="408"/>
      <c r="BQ555" s="408"/>
      <c r="BR555" s="408">
        <v>17.067600000000002</v>
      </c>
      <c r="BS555" s="408"/>
      <c r="BT555" s="408"/>
      <c r="BU555" s="408"/>
      <c r="BV555" s="408">
        <v>0</v>
      </c>
      <c r="BW555" s="408"/>
      <c r="BX555" s="408"/>
      <c r="BY555" s="408"/>
      <c r="BZ555" s="408"/>
      <c r="CA555" s="408"/>
      <c r="CB555" s="408"/>
      <c r="CC555" s="408"/>
      <c r="CD555" s="408"/>
      <c r="CE555" s="408"/>
      <c r="CF555" s="408"/>
      <c r="CG555" s="408"/>
      <c r="CH555" s="408"/>
      <c r="CI555" s="408">
        <v>409.62239999999997</v>
      </c>
      <c r="CJ555" s="408">
        <v>-609.55320000000006</v>
      </c>
      <c r="CK555" s="408"/>
      <c r="CL555" s="408"/>
      <c r="CM555" s="408"/>
      <c r="CN555" s="408"/>
      <c r="CO555" s="408">
        <v>-634.92000000000007</v>
      </c>
      <c r="CP555" s="408">
        <v>0</v>
      </c>
      <c r="CQ555" s="408">
        <v>31</v>
      </c>
      <c r="CR555" s="408">
        <v>17.843751392276829</v>
      </c>
      <c r="CS555" s="408">
        <v>6.0060899716610123</v>
      </c>
      <c r="CT555" s="408">
        <v>11.51527403056339</v>
      </c>
      <c r="CU555" s="408">
        <v>0</v>
      </c>
      <c r="CV555" s="408">
        <v>0</v>
      </c>
      <c r="CW555" s="408"/>
      <c r="CX555" s="408"/>
      <c r="CY555" s="408"/>
      <c r="CZ555" s="408">
        <v>0.322387390052429</v>
      </c>
      <c r="DA555" s="408">
        <v>0</v>
      </c>
      <c r="DB555" s="408">
        <v>0</v>
      </c>
      <c r="DC555" s="408"/>
      <c r="DD555" s="408"/>
      <c r="DE555" s="408">
        <v>0</v>
      </c>
      <c r="DF555" s="408">
        <v>0</v>
      </c>
      <c r="DG555" s="408">
        <v>0</v>
      </c>
      <c r="DH555" s="408">
        <v>0</v>
      </c>
      <c r="DI555" s="408">
        <v>0</v>
      </c>
      <c r="DJ555" s="408"/>
      <c r="DK555" s="408">
        <v>0</v>
      </c>
      <c r="DL555" s="408">
        <v>0</v>
      </c>
      <c r="DM555" s="408"/>
      <c r="DN555" s="408">
        <v>0</v>
      </c>
      <c r="DO555" s="408">
        <v>0</v>
      </c>
      <c r="DP555" s="408">
        <v>0</v>
      </c>
      <c r="DQ555" s="408">
        <v>0</v>
      </c>
      <c r="DR555" s="408">
        <v>0</v>
      </c>
      <c r="DS555" s="408"/>
      <c r="DT555" s="408"/>
      <c r="DU555" s="408">
        <v>888.58226914026898</v>
      </c>
      <c r="DV555" s="408"/>
      <c r="DW555" s="408">
        <v>0</v>
      </c>
      <c r="DX555" s="408">
        <v>0</v>
      </c>
      <c r="DY555" s="408">
        <v>-634.92000000000007</v>
      </c>
      <c r="DZ555" s="234"/>
      <c r="EA555" s="408">
        <v>0</v>
      </c>
      <c r="EB555" s="408"/>
      <c r="EC555" s="408">
        <v>-652.85011672855819</v>
      </c>
      <c r="ED555" s="408"/>
      <c r="EE555" s="408">
        <v>0</v>
      </c>
      <c r="EF555" s="408">
        <v>0</v>
      </c>
      <c r="EG555" s="408"/>
      <c r="EH555" s="408">
        <v>0</v>
      </c>
      <c r="EI555" s="408">
        <v>0</v>
      </c>
      <c r="EJ555" s="408">
        <v>0</v>
      </c>
      <c r="EK555" s="408">
        <v>0</v>
      </c>
      <c r="EL555" s="408">
        <v>0</v>
      </c>
      <c r="EM555" s="408"/>
      <c r="EN555" s="408"/>
      <c r="EO555" s="408">
        <v>0</v>
      </c>
      <c r="EP555" s="408">
        <v>0</v>
      </c>
      <c r="EQ555" s="408"/>
      <c r="ER555" s="408">
        <v>0</v>
      </c>
      <c r="ES555" s="408"/>
      <c r="ET555" s="408">
        <v>0</v>
      </c>
      <c r="EU555" s="408"/>
      <c r="EV555" s="408">
        <v>242</v>
      </c>
      <c r="EW555" s="408"/>
      <c r="EX555" s="408"/>
      <c r="EY555" s="408"/>
      <c r="EZ555" s="408"/>
      <c r="FA555" s="408">
        <v>0</v>
      </c>
      <c r="FB555" s="408"/>
      <c r="FC555" s="408"/>
      <c r="FD555" s="408"/>
      <c r="FE555" s="408"/>
      <c r="FF555" s="408">
        <v>0</v>
      </c>
      <c r="FG555" s="408">
        <v>0</v>
      </c>
      <c r="FH555" s="408">
        <v>0</v>
      </c>
      <c r="FI555" s="408">
        <v>0</v>
      </c>
    </row>
    <row r="556" spans="1:165">
      <c r="A556" s="408">
        <v>557</v>
      </c>
      <c r="B556" s="408" t="s">
        <v>1036</v>
      </c>
      <c r="C556" s="408" t="s">
        <v>2239</v>
      </c>
      <c r="D556" s="408" t="s">
        <v>597</v>
      </c>
      <c r="E556" s="408" t="s">
        <v>974</v>
      </c>
      <c r="F556" s="408" t="s">
        <v>2248</v>
      </c>
      <c r="G556" s="408" t="s">
        <v>2250</v>
      </c>
      <c r="H556" s="408" t="s">
        <v>1322</v>
      </c>
      <c r="I556" s="408" t="s">
        <v>2240</v>
      </c>
      <c r="J556" s="408" t="s">
        <v>2232</v>
      </c>
      <c r="K556" s="828">
        <v>44682</v>
      </c>
      <c r="L556" s="408">
        <v>0</v>
      </c>
      <c r="M556" s="408">
        <v>0</v>
      </c>
      <c r="N556" s="408">
        <v>2.1850000000000001</v>
      </c>
      <c r="O556" s="408">
        <v>0.65549999999999997</v>
      </c>
      <c r="P556" s="408">
        <v>2.1850000000000001</v>
      </c>
      <c r="Q556" s="408">
        <v>0.65549999999999997</v>
      </c>
      <c r="R556" s="408"/>
      <c r="S556" s="408">
        <v>80.27</v>
      </c>
      <c r="T556" s="408">
        <v>216.76</v>
      </c>
      <c r="U556" s="408"/>
      <c r="V556" s="408">
        <v>649.01054999999997</v>
      </c>
      <c r="W556" s="408">
        <v>649.01054999999997</v>
      </c>
      <c r="X556" s="408">
        <v>719.45495000000005</v>
      </c>
      <c r="Y556" s="408">
        <v>0</v>
      </c>
      <c r="Z556" s="408">
        <v>115.21775246986654</v>
      </c>
      <c r="AA556" s="408">
        <v>0</v>
      </c>
      <c r="AB556" s="408">
        <v>0</v>
      </c>
      <c r="AC556" s="408">
        <v>0</v>
      </c>
      <c r="AD556" s="408">
        <v>0</v>
      </c>
      <c r="AE556" s="408">
        <v>0</v>
      </c>
      <c r="AF556" s="408">
        <v>466.71927929964465</v>
      </c>
      <c r="AG556" s="408">
        <v>6.8989293491484069</v>
      </c>
      <c r="AH556" s="408">
        <v>0</v>
      </c>
      <c r="AI556" s="408">
        <v>0</v>
      </c>
      <c r="AJ556" s="408">
        <v>0</v>
      </c>
      <c r="AK556" s="408">
        <v>0</v>
      </c>
      <c r="AL556" s="408">
        <v>20.481389543974945</v>
      </c>
      <c r="AM556" s="408"/>
      <c r="AN556" s="408">
        <v>3.000490499355668</v>
      </c>
      <c r="AO556" s="408">
        <v>0</v>
      </c>
      <c r="AP556" s="408">
        <v>0</v>
      </c>
      <c r="AQ556" s="408">
        <v>0</v>
      </c>
      <c r="AR556" s="408">
        <v>0</v>
      </c>
      <c r="AS556" s="408">
        <v>0</v>
      </c>
      <c r="AT556" s="408">
        <v>0</v>
      </c>
      <c r="AU556" s="408">
        <v>0</v>
      </c>
      <c r="AV556" s="408">
        <v>0</v>
      </c>
      <c r="AW556" s="408">
        <v>0</v>
      </c>
      <c r="AX556" s="408">
        <v>0</v>
      </c>
      <c r="AY556" s="408">
        <v>0</v>
      </c>
      <c r="AZ556" s="408">
        <v>0</v>
      </c>
      <c r="BA556" s="408"/>
      <c r="BB556" s="408">
        <v>0</v>
      </c>
      <c r="BC556" s="408">
        <v>0</v>
      </c>
      <c r="BD556" s="408">
        <v>0.99919765612407896</v>
      </c>
      <c r="BE556" s="408">
        <v>0</v>
      </c>
      <c r="BF556" s="408">
        <v>0</v>
      </c>
      <c r="BG556" s="408">
        <v>35.694502667115174</v>
      </c>
      <c r="BH556" s="408">
        <v>0</v>
      </c>
      <c r="BI556" s="408">
        <v>0</v>
      </c>
      <c r="BJ556" s="408">
        <v>0</v>
      </c>
      <c r="BK556" s="408">
        <v>0</v>
      </c>
      <c r="BL556" s="408">
        <v>0</v>
      </c>
      <c r="BM556" s="408"/>
      <c r="BN556" s="408"/>
      <c r="BO556" s="408"/>
      <c r="BP556" s="408"/>
      <c r="BQ556" s="408"/>
      <c r="BR556" s="408"/>
      <c r="BS556" s="408">
        <v>503.61846500000001</v>
      </c>
      <c r="BT556" s="408"/>
      <c r="BU556" s="408"/>
      <c r="BV556" s="408">
        <v>503.41297962288388</v>
      </c>
      <c r="BW556" s="408"/>
      <c r="BX556" s="408"/>
      <c r="BY556" s="408"/>
      <c r="BZ556" s="408"/>
      <c r="CA556" s="408"/>
      <c r="CB556" s="408"/>
      <c r="CC556" s="408"/>
      <c r="CD556" s="408"/>
      <c r="CE556" s="408"/>
      <c r="CF556" s="408"/>
      <c r="CG556" s="408"/>
      <c r="CH556" s="408"/>
      <c r="CI556" s="408">
        <v>217.31819999999999</v>
      </c>
      <c r="CJ556" s="408">
        <v>22.585035000000033</v>
      </c>
      <c r="CK556" s="408"/>
      <c r="CL556" s="408"/>
      <c r="CM556" s="408"/>
      <c r="CN556" s="408"/>
      <c r="CO556" s="408">
        <v>-0.8521500000000013</v>
      </c>
      <c r="CP556" s="408">
        <v>71.296549999999996</v>
      </c>
      <c r="CQ556" s="408">
        <v>31</v>
      </c>
      <c r="CR556" s="408">
        <v>70.446604534613698</v>
      </c>
      <c r="CS556" s="408">
        <v>0</v>
      </c>
      <c r="CT556" s="408">
        <v>0</v>
      </c>
      <c r="CU556" s="408">
        <v>0</v>
      </c>
      <c r="CV556" s="408">
        <v>0</v>
      </c>
      <c r="CW556" s="408">
        <v>0</v>
      </c>
      <c r="CX556" s="408">
        <v>0</v>
      </c>
      <c r="CY556" s="408">
        <v>0</v>
      </c>
      <c r="CZ556" s="408">
        <v>0</v>
      </c>
      <c r="DA556" s="408">
        <v>0</v>
      </c>
      <c r="DB556" s="408">
        <v>0</v>
      </c>
      <c r="DC556" s="408">
        <v>71.305712848594112</v>
      </c>
      <c r="DD556" s="408">
        <v>0</v>
      </c>
      <c r="DE556" s="408">
        <v>0</v>
      </c>
      <c r="DF556" s="408">
        <v>0.15265814871305095</v>
      </c>
      <c r="DG556" s="408">
        <v>5.4534322243428548</v>
      </c>
      <c r="DH556" s="408">
        <v>0</v>
      </c>
      <c r="DI556" s="408">
        <v>-5.5047810973099018</v>
      </c>
      <c r="DJ556" s="408"/>
      <c r="DK556" s="408">
        <v>0</v>
      </c>
      <c r="DL556" s="408">
        <v>0</v>
      </c>
      <c r="DM556" s="408">
        <v>0</v>
      </c>
      <c r="DN556" s="408">
        <v>0</v>
      </c>
      <c r="DO556" s="408">
        <v>-0.82991837988295103</v>
      </c>
      <c r="DP556" s="408">
        <v>-0.13049920984322227</v>
      </c>
      <c r="DQ556" s="408">
        <v>0</v>
      </c>
      <c r="DR556" s="408">
        <v>0</v>
      </c>
      <c r="DS556" s="408"/>
      <c r="DT556" s="408"/>
      <c r="DU556" s="408"/>
      <c r="DV556" s="408">
        <v>0</v>
      </c>
      <c r="DW556" s="408">
        <v>0</v>
      </c>
      <c r="DX556" s="408">
        <v>0</v>
      </c>
      <c r="DY556" s="408">
        <v>-0.85214999999999463</v>
      </c>
      <c r="DZ556" s="234">
        <v>71.296550000000025</v>
      </c>
      <c r="EA556" s="408">
        <v>0</v>
      </c>
      <c r="EB556" s="408">
        <v>0</v>
      </c>
      <c r="EC556" s="408">
        <v>0</v>
      </c>
      <c r="ED556" s="408">
        <v>0</v>
      </c>
      <c r="EE556" s="408">
        <v>0</v>
      </c>
      <c r="EF556" s="408">
        <v>0</v>
      </c>
      <c r="EG556" s="408">
        <v>0</v>
      </c>
      <c r="EH556" s="408">
        <v>0</v>
      </c>
      <c r="EI556" s="408">
        <v>0</v>
      </c>
      <c r="EJ556" s="408">
        <v>0</v>
      </c>
      <c r="EK556" s="408">
        <v>0</v>
      </c>
      <c r="EL556" s="408">
        <v>0</v>
      </c>
      <c r="EM556" s="408">
        <v>0</v>
      </c>
      <c r="EN556" s="408">
        <v>0</v>
      </c>
      <c r="EO556" s="408">
        <v>0</v>
      </c>
      <c r="EP556" s="408">
        <v>0</v>
      </c>
      <c r="EQ556" s="408">
        <v>0</v>
      </c>
      <c r="ER556" s="408">
        <v>0</v>
      </c>
      <c r="ES556" s="408">
        <v>0</v>
      </c>
      <c r="ET556" s="408">
        <v>0</v>
      </c>
      <c r="EU556" s="408">
        <v>0</v>
      </c>
      <c r="EV556" s="408">
        <v>242</v>
      </c>
      <c r="EW556" s="408">
        <v>0</v>
      </c>
      <c r="EX556" s="408">
        <v>0</v>
      </c>
      <c r="EY556" s="408">
        <v>0</v>
      </c>
      <c r="EZ556" s="408"/>
      <c r="FA556" s="408">
        <v>0</v>
      </c>
      <c r="FB556" s="408"/>
      <c r="FC556" s="408"/>
      <c r="FD556" s="408"/>
      <c r="FE556" s="408"/>
      <c r="FF556" s="408">
        <v>0</v>
      </c>
      <c r="FG556" s="408">
        <v>0</v>
      </c>
      <c r="FH556" s="408">
        <v>0</v>
      </c>
      <c r="FI556" s="408">
        <v>0</v>
      </c>
    </row>
    <row r="557" spans="1:165">
      <c r="A557" s="408">
        <v>558</v>
      </c>
      <c r="B557" s="408" t="s">
        <v>1036</v>
      </c>
      <c r="C557" s="408" t="s">
        <v>2231</v>
      </c>
      <c r="D557" s="408" t="s">
        <v>2241</v>
      </c>
      <c r="E557" s="408" t="s">
        <v>974</v>
      </c>
      <c r="F557" s="408" t="s">
        <v>2251</v>
      </c>
      <c r="G557" s="408" t="s">
        <v>2249</v>
      </c>
      <c r="H557" s="408" t="s">
        <v>1322</v>
      </c>
      <c r="I557" s="408" t="s">
        <v>1322</v>
      </c>
      <c r="J557" s="408" t="s">
        <v>2232</v>
      </c>
      <c r="K557" s="828">
        <v>44682</v>
      </c>
      <c r="L557" s="408">
        <v>0</v>
      </c>
      <c r="M557" s="408">
        <v>0</v>
      </c>
      <c r="N557" s="408">
        <v>0</v>
      </c>
      <c r="O557" s="408">
        <v>0</v>
      </c>
      <c r="P557" s="408">
        <v>0</v>
      </c>
      <c r="Q557" s="408">
        <v>0</v>
      </c>
      <c r="R557" s="408"/>
      <c r="S557" s="408"/>
      <c r="T557" s="408"/>
      <c r="U557" s="408"/>
      <c r="V557" s="408"/>
      <c r="W557" s="408"/>
      <c r="X557" s="408"/>
      <c r="Y557" s="408"/>
      <c r="Z557" s="408"/>
      <c r="AA557" s="408">
        <v>0</v>
      </c>
      <c r="AB557" s="408"/>
      <c r="AC557" s="408"/>
      <c r="AD557" s="408"/>
      <c r="AE557" s="408"/>
      <c r="AF557" s="408"/>
      <c r="AG557" s="408"/>
      <c r="AH557" s="408"/>
      <c r="AI557" s="408"/>
      <c r="AJ557" s="408"/>
      <c r="AK557" s="408"/>
      <c r="AL557" s="408"/>
      <c r="AM557" s="408"/>
      <c r="AN557" s="408"/>
      <c r="AO557" s="408"/>
      <c r="AP557" s="408"/>
      <c r="AQ557" s="408"/>
      <c r="AR557" s="408"/>
      <c r="AS557" s="408"/>
      <c r="AT557" s="408"/>
      <c r="AU557" s="408"/>
      <c r="AV557" s="408"/>
      <c r="AW557" s="408"/>
      <c r="AX557" s="408"/>
      <c r="AY557" s="408"/>
      <c r="AZ557" s="408">
        <v>0</v>
      </c>
      <c r="BA557" s="408"/>
      <c r="BB557" s="408"/>
      <c r="BC557" s="408"/>
      <c r="BD557" s="408"/>
      <c r="BE557" s="408"/>
      <c r="BF557" s="408"/>
      <c r="BG557" s="408"/>
      <c r="BH557" s="408"/>
      <c r="BI557" s="408">
        <v>2.58</v>
      </c>
      <c r="BJ557" s="408">
        <v>11.96</v>
      </c>
      <c r="BK557" s="408">
        <v>51.92</v>
      </c>
      <c r="BL557" s="408">
        <v>10</v>
      </c>
      <c r="BM557" s="408"/>
      <c r="BN557" s="408"/>
      <c r="BO557" s="408"/>
      <c r="BP557" s="408"/>
      <c r="BQ557" s="408"/>
      <c r="BR557" s="408"/>
      <c r="BS557" s="408"/>
      <c r="BT557" s="408"/>
      <c r="BU557" s="408"/>
      <c r="BV557" s="408"/>
      <c r="BW557" s="408"/>
      <c r="BX557" s="408"/>
      <c r="BY557" s="408"/>
      <c r="BZ557" s="408"/>
      <c r="CA557" s="408"/>
      <c r="CB557" s="408"/>
      <c r="CC557" s="408"/>
      <c r="CD557" s="408"/>
      <c r="CE557" s="408"/>
      <c r="CF557" s="408"/>
      <c r="CG557" s="408"/>
      <c r="CH557" s="408"/>
      <c r="CI557" s="408"/>
      <c r="CJ557" s="408">
        <v>-0.03</v>
      </c>
      <c r="CK557" s="408"/>
      <c r="CL557" s="408"/>
      <c r="CM557" s="408"/>
      <c r="CN557" s="408"/>
      <c r="CO557" s="408">
        <v>0</v>
      </c>
      <c r="CP557" s="408">
        <v>0</v>
      </c>
      <c r="CQ557" s="408">
        <v>31</v>
      </c>
      <c r="CR557" s="408"/>
      <c r="CS557" s="408"/>
      <c r="CT557" s="408"/>
      <c r="CU557" s="408"/>
      <c r="CV557" s="408"/>
      <c r="CW557" s="408"/>
      <c r="CX557" s="408"/>
      <c r="CY557" s="408"/>
      <c r="CZ557" s="408"/>
      <c r="DA557" s="408"/>
      <c r="DB557" s="408"/>
      <c r="DC557" s="408"/>
      <c r="DD557" s="408"/>
      <c r="DE557" s="408"/>
      <c r="DF557" s="408"/>
      <c r="DG557" s="408"/>
      <c r="DH557" s="408"/>
      <c r="DI557" s="408"/>
      <c r="DJ557" s="408"/>
      <c r="DK557" s="408">
        <v>0</v>
      </c>
      <c r="DL557" s="408"/>
      <c r="DM557" s="408"/>
      <c r="DN557" s="408"/>
      <c r="DO557" s="408"/>
      <c r="DP557" s="408"/>
      <c r="DQ557" s="408"/>
      <c r="DR557" s="408"/>
      <c r="DS557" s="408"/>
      <c r="DT557" s="408"/>
      <c r="DU557" s="408"/>
      <c r="DV557" s="408"/>
      <c r="DW557" s="408"/>
      <c r="DX557" s="408"/>
      <c r="DY557" s="408"/>
      <c r="DZ557" s="234"/>
      <c r="EA557" s="408"/>
      <c r="EB557" s="408"/>
      <c r="EC557" s="408"/>
      <c r="ED557" s="408"/>
      <c r="EE557" s="408"/>
      <c r="EF557" s="408"/>
      <c r="EG557" s="408"/>
      <c r="EH557" s="408"/>
      <c r="EI557" s="408"/>
      <c r="EJ557" s="408"/>
      <c r="EK557" s="408"/>
      <c r="EL557" s="408"/>
      <c r="EM557" s="408"/>
      <c r="EN557" s="408"/>
      <c r="EO557" s="408"/>
      <c r="EP557" s="408"/>
      <c r="EQ557" s="408"/>
      <c r="ER557" s="408"/>
      <c r="ES557" s="408"/>
      <c r="ET557" s="408"/>
      <c r="EU557" s="408"/>
      <c r="EV557" s="408">
        <v>242</v>
      </c>
      <c r="EW557" s="408"/>
      <c r="EX557" s="408"/>
      <c r="EY557" s="408"/>
      <c r="EZ557" s="408"/>
      <c r="FA557" s="408">
        <v>0</v>
      </c>
      <c r="FB557" s="408"/>
      <c r="FC557" s="408"/>
      <c r="FD557" s="408"/>
      <c r="FE557" s="408"/>
      <c r="FF557" s="408">
        <v>0</v>
      </c>
      <c r="FG557" s="408">
        <v>0</v>
      </c>
      <c r="FH557" s="408">
        <v>0</v>
      </c>
      <c r="FI557" s="408">
        <v>0</v>
      </c>
    </row>
    <row r="558" spans="1:165">
      <c r="A558" s="408">
        <v>559</v>
      </c>
      <c r="B558" s="408" t="s">
        <v>1036</v>
      </c>
      <c r="C558" s="408" t="s">
        <v>2231</v>
      </c>
      <c r="D558" s="408" t="s">
        <v>2241</v>
      </c>
      <c r="E558" s="408" t="s">
        <v>974</v>
      </c>
      <c r="F558" s="408" t="s">
        <v>2251</v>
      </c>
      <c r="G558" s="408" t="s">
        <v>2249</v>
      </c>
      <c r="H558" s="408" t="s">
        <v>1322</v>
      </c>
      <c r="I558" s="408" t="s">
        <v>1322</v>
      </c>
      <c r="J558" s="408" t="s">
        <v>2232</v>
      </c>
      <c r="K558" s="828">
        <v>44682</v>
      </c>
      <c r="L558" s="408">
        <v>0</v>
      </c>
      <c r="M558" s="408">
        <v>0</v>
      </c>
      <c r="N558" s="408">
        <v>1.294</v>
      </c>
      <c r="O558" s="408">
        <v>1.294</v>
      </c>
      <c r="P558" s="408">
        <v>1.294</v>
      </c>
      <c r="Q558" s="408">
        <v>1.294</v>
      </c>
      <c r="R558" s="408"/>
      <c r="S558" s="408">
        <v>571.87</v>
      </c>
      <c r="T558" s="408">
        <v>216.76</v>
      </c>
      <c r="U558" s="408"/>
      <c r="V558" s="408">
        <v>1020.48722</v>
      </c>
      <c r="W558" s="408">
        <v>1020.48722</v>
      </c>
      <c r="X558" s="408">
        <v>665.12894000000006</v>
      </c>
      <c r="Y558" s="408">
        <v>0</v>
      </c>
      <c r="Z558" s="408">
        <v>78.43013845498686</v>
      </c>
      <c r="AA558" s="408">
        <v>0</v>
      </c>
      <c r="AB558" s="408">
        <v>0</v>
      </c>
      <c r="AC558" s="408">
        <v>0</v>
      </c>
      <c r="AD558" s="408">
        <v>1.0635563271635229</v>
      </c>
      <c r="AE558" s="408">
        <v>551.74046741017617</v>
      </c>
      <c r="AF558" s="408">
        <v>276.40034206578497</v>
      </c>
      <c r="AG558" s="408">
        <v>4.0856817289693543</v>
      </c>
      <c r="AH558" s="408">
        <v>0</v>
      </c>
      <c r="AI558" s="408">
        <v>0</v>
      </c>
      <c r="AJ558" s="408">
        <v>0</v>
      </c>
      <c r="AK558" s="408">
        <v>0</v>
      </c>
      <c r="AL558" s="408">
        <v>12.129481954189282</v>
      </c>
      <c r="AM558" s="408"/>
      <c r="AN558" s="408">
        <v>2.4824996056647382</v>
      </c>
      <c r="AO558" s="408">
        <v>11.492916887339074</v>
      </c>
      <c r="AP558" s="408">
        <v>36.008274018766784</v>
      </c>
      <c r="AQ558" s="408">
        <v>0</v>
      </c>
      <c r="AR558" s="408">
        <v>0</v>
      </c>
      <c r="AS558" s="408">
        <v>0</v>
      </c>
      <c r="AT558" s="408">
        <v>0</v>
      </c>
      <c r="AU558" s="408">
        <v>0</v>
      </c>
      <c r="AV558" s="408">
        <v>0</v>
      </c>
      <c r="AW558" s="408">
        <v>0</v>
      </c>
      <c r="AX558" s="408">
        <v>0</v>
      </c>
      <c r="AY558" s="408">
        <v>0</v>
      </c>
      <c r="AZ558" s="408">
        <v>0</v>
      </c>
      <c r="BA558" s="408"/>
      <c r="BB558" s="408">
        <v>0</v>
      </c>
      <c r="BC558" s="408">
        <v>0</v>
      </c>
      <c r="BD558" s="408">
        <v>0.77002009071451871</v>
      </c>
      <c r="BE558" s="408">
        <v>0</v>
      </c>
      <c r="BF558" s="408">
        <v>0</v>
      </c>
      <c r="BG558" s="408">
        <v>45.882959281659147</v>
      </c>
      <c r="BH558" s="408">
        <v>0</v>
      </c>
      <c r="BI558" s="408">
        <v>0</v>
      </c>
      <c r="BJ558" s="408">
        <v>0</v>
      </c>
      <c r="BK558" s="408">
        <v>0</v>
      </c>
      <c r="BL558" s="408">
        <v>0</v>
      </c>
      <c r="BM558" s="408"/>
      <c r="BN558" s="408"/>
      <c r="BO558" s="408"/>
      <c r="BP558" s="408"/>
      <c r="BQ558" s="408"/>
      <c r="BR558" s="408">
        <v>79.813919999999968</v>
      </c>
      <c r="BS558" s="408"/>
      <c r="BT558" s="408"/>
      <c r="BU558" s="408"/>
      <c r="BV558" s="408">
        <v>323.05332143815866</v>
      </c>
      <c r="BW558" s="408"/>
      <c r="BX558" s="408"/>
      <c r="BY558" s="408"/>
      <c r="BZ558" s="408"/>
      <c r="CA558" s="408"/>
      <c r="CB558" s="408"/>
      <c r="CC558" s="408"/>
      <c r="CD558" s="408"/>
      <c r="CE558" s="408"/>
      <c r="CF558" s="408"/>
      <c r="CG558" s="408"/>
      <c r="CH558" s="408"/>
      <c r="CI558" s="408">
        <v>583.50570000000005</v>
      </c>
      <c r="CJ558" s="408">
        <v>-314.56029999999998</v>
      </c>
      <c r="CK558" s="408"/>
      <c r="CL558" s="408"/>
      <c r="CM558" s="408"/>
      <c r="CN558" s="408"/>
      <c r="CO558" s="408">
        <v>-397.58150000000001</v>
      </c>
      <c r="CP558" s="408">
        <v>42.223219999999998</v>
      </c>
      <c r="CQ558" s="408">
        <v>31</v>
      </c>
      <c r="CR558" s="408">
        <v>50.013495765377343</v>
      </c>
      <c r="CS558" s="408">
        <v>1.1855118941511549</v>
      </c>
      <c r="CT558" s="408">
        <v>3.7143083479641277</v>
      </c>
      <c r="CU558" s="408">
        <v>0</v>
      </c>
      <c r="CV558" s="408">
        <v>0</v>
      </c>
      <c r="CW558" s="408">
        <v>0</v>
      </c>
      <c r="CX558" s="408">
        <v>0</v>
      </c>
      <c r="CY558" s="408">
        <v>0</v>
      </c>
      <c r="CZ558" s="408">
        <v>0.10398928309387889</v>
      </c>
      <c r="DA558" s="408">
        <v>0</v>
      </c>
      <c r="DB558" s="408">
        <v>0</v>
      </c>
      <c r="DC558" s="408">
        <v>42.228646419258894</v>
      </c>
      <c r="DD558" s="408">
        <v>0</v>
      </c>
      <c r="DE558" s="408">
        <v>0</v>
      </c>
      <c r="DF558" s="408">
        <v>0.1176442326499374</v>
      </c>
      <c r="DG558" s="408">
        <v>7.0100320777219949</v>
      </c>
      <c r="DH558" s="408">
        <v>0</v>
      </c>
      <c r="DI558" s="408">
        <v>-3.7471720665557484</v>
      </c>
      <c r="DJ558" s="408"/>
      <c r="DK558" s="408">
        <v>0</v>
      </c>
      <c r="DL558" s="408">
        <v>0</v>
      </c>
      <c r="DM558" s="408">
        <v>0</v>
      </c>
      <c r="DN558" s="408">
        <v>0</v>
      </c>
      <c r="DO558" s="408">
        <v>-0.49149399705654062</v>
      </c>
      <c r="DP558" s="408">
        <v>-0.10797042585034911</v>
      </c>
      <c r="DQ558" s="408">
        <v>0</v>
      </c>
      <c r="DR558" s="408">
        <v>0</v>
      </c>
      <c r="DS558" s="408"/>
      <c r="DT558" s="408"/>
      <c r="DU558" s="408"/>
      <c r="DV558" s="408">
        <v>551.74046741017617</v>
      </c>
      <c r="DW558" s="408">
        <v>0</v>
      </c>
      <c r="DX558" s="408">
        <v>0</v>
      </c>
      <c r="DY558" s="408">
        <v>-397.58149999999995</v>
      </c>
      <c r="DZ558" s="234">
        <v>42.223220000000026</v>
      </c>
      <c r="EA558" s="408">
        <v>0</v>
      </c>
      <c r="EB558" s="408">
        <v>0</v>
      </c>
      <c r="EC558" s="408">
        <v>-405.36913807779615</v>
      </c>
      <c r="ED558" s="408">
        <v>0</v>
      </c>
      <c r="EE558" s="408">
        <v>0</v>
      </c>
      <c r="EF558" s="408">
        <v>0</v>
      </c>
      <c r="EG558" s="408">
        <v>0</v>
      </c>
      <c r="EH558" s="408">
        <v>0</v>
      </c>
      <c r="EI558" s="408">
        <v>0</v>
      </c>
      <c r="EJ558" s="408">
        <v>0</v>
      </c>
      <c r="EK558" s="408">
        <v>0</v>
      </c>
      <c r="EL558" s="408">
        <v>0</v>
      </c>
      <c r="EM558" s="408">
        <v>0</v>
      </c>
      <c r="EN558" s="408">
        <v>0</v>
      </c>
      <c r="EO558" s="408">
        <v>0</v>
      </c>
      <c r="EP558" s="408">
        <v>0</v>
      </c>
      <c r="EQ558" s="408">
        <v>0</v>
      </c>
      <c r="ER558" s="408">
        <v>0</v>
      </c>
      <c r="ES558" s="408">
        <v>0</v>
      </c>
      <c r="ET558" s="408">
        <v>0</v>
      </c>
      <c r="EU558" s="408">
        <v>0</v>
      </c>
      <c r="EV558" s="408">
        <v>242</v>
      </c>
      <c r="EW558" s="408">
        <v>0</v>
      </c>
      <c r="EX558" s="408">
        <v>0</v>
      </c>
      <c r="EY558" s="408">
        <v>0</v>
      </c>
      <c r="EZ558" s="408"/>
      <c r="FA558" s="408">
        <v>0</v>
      </c>
      <c r="FB558" s="408"/>
      <c r="FC558" s="408"/>
      <c r="FD558" s="408"/>
      <c r="FE558" s="408"/>
      <c r="FF558" s="408">
        <v>0</v>
      </c>
      <c r="FG558" s="408">
        <v>0</v>
      </c>
      <c r="FH558" s="408">
        <v>0</v>
      </c>
      <c r="FI558" s="408">
        <v>0</v>
      </c>
    </row>
    <row r="559" spans="1:165">
      <c r="A559" s="408">
        <v>560</v>
      </c>
      <c r="B559" s="408" t="s">
        <v>1036</v>
      </c>
      <c r="C559" s="408" t="s">
        <v>2231</v>
      </c>
      <c r="D559" s="408" t="s">
        <v>2241</v>
      </c>
      <c r="E559" s="408" t="s">
        <v>974</v>
      </c>
      <c r="F559" s="408" t="s">
        <v>2251</v>
      </c>
      <c r="G559" s="408" t="s">
        <v>2250</v>
      </c>
      <c r="H559" s="408" t="s">
        <v>1322</v>
      </c>
      <c r="I559" s="408" t="s">
        <v>1322</v>
      </c>
      <c r="J559" s="408" t="s">
        <v>2232</v>
      </c>
      <c r="K559" s="828">
        <v>44682</v>
      </c>
      <c r="L559" s="408">
        <v>0</v>
      </c>
      <c r="M559" s="408">
        <v>0</v>
      </c>
      <c r="N559" s="408">
        <v>1.8440000000000001</v>
      </c>
      <c r="O559" s="408">
        <v>0.73760000000000003</v>
      </c>
      <c r="P559" s="408">
        <v>1.8440000000000001</v>
      </c>
      <c r="Q559" s="408">
        <v>0.73760000000000003</v>
      </c>
      <c r="R559" s="408"/>
      <c r="S559" s="408">
        <v>571.87</v>
      </c>
      <c r="T559" s="408">
        <v>216.76</v>
      </c>
      <c r="U559" s="408"/>
      <c r="V559" s="408">
        <v>1454.2337199999999</v>
      </c>
      <c r="W559" s="408">
        <v>1454.2337199999999</v>
      </c>
      <c r="X559" s="408">
        <v>947.83444000000009</v>
      </c>
      <c r="Y559" s="408">
        <v>0</v>
      </c>
      <c r="Z559" s="408">
        <v>111.76597782920848</v>
      </c>
      <c r="AA559" s="408">
        <v>0</v>
      </c>
      <c r="AB559" s="408">
        <v>0</v>
      </c>
      <c r="AC559" s="408">
        <v>0</v>
      </c>
      <c r="AD559" s="408">
        <v>1.5156088618929955</v>
      </c>
      <c r="AE559" s="408">
        <v>786.25148524294036</v>
      </c>
      <c r="AF559" s="408">
        <v>393.88116751878482</v>
      </c>
      <c r="AG559" s="408">
        <v>5.8222543340181518</v>
      </c>
      <c r="AH559" s="408">
        <v>0</v>
      </c>
      <c r="AI559" s="408">
        <v>0</v>
      </c>
      <c r="AJ559" s="408">
        <v>0</v>
      </c>
      <c r="AK559" s="408">
        <v>0</v>
      </c>
      <c r="AL559" s="408">
        <v>17.284980466402654</v>
      </c>
      <c r="AM559" s="408"/>
      <c r="AN559" s="408">
        <v>3.5376578615500596</v>
      </c>
      <c r="AO559" s="408">
        <v>16.377850649345636</v>
      </c>
      <c r="AP559" s="408">
        <v>51.313181831998413</v>
      </c>
      <c r="AQ559" s="408">
        <v>0</v>
      </c>
      <c r="AR559" s="408">
        <v>0</v>
      </c>
      <c r="AS559" s="408">
        <v>0</v>
      </c>
      <c r="AT559" s="408">
        <v>0</v>
      </c>
      <c r="AU559" s="408">
        <v>0</v>
      </c>
      <c r="AV559" s="408">
        <v>0</v>
      </c>
      <c r="AW559" s="408">
        <v>0</v>
      </c>
      <c r="AX559" s="408">
        <v>0</v>
      </c>
      <c r="AY559" s="408">
        <v>0</v>
      </c>
      <c r="AZ559" s="408">
        <v>0</v>
      </c>
      <c r="BA559" s="408"/>
      <c r="BB559" s="408">
        <v>0</v>
      </c>
      <c r="BC559" s="408">
        <v>0</v>
      </c>
      <c r="BD559" s="408">
        <v>1.0973083827492833</v>
      </c>
      <c r="BE559" s="408">
        <v>0</v>
      </c>
      <c r="BF559" s="408">
        <v>0</v>
      </c>
      <c r="BG559" s="408">
        <v>65.384989888237612</v>
      </c>
      <c r="BH559" s="408">
        <v>0</v>
      </c>
      <c r="BI559" s="408">
        <v>0</v>
      </c>
      <c r="BJ559" s="408">
        <v>0</v>
      </c>
      <c r="BK559" s="408">
        <v>0</v>
      </c>
      <c r="BL559" s="408">
        <v>0</v>
      </c>
      <c r="BM559" s="408"/>
      <c r="BN559" s="408"/>
      <c r="BO559" s="408"/>
      <c r="BP559" s="408"/>
      <c r="BQ559" s="408"/>
      <c r="BR559" s="408"/>
      <c r="BS559" s="408">
        <v>614.195832</v>
      </c>
      <c r="BT559" s="408"/>
      <c r="BU559" s="408"/>
      <c r="BV559" s="408">
        <v>460.36346578977174</v>
      </c>
      <c r="BW559" s="408"/>
      <c r="BX559" s="408"/>
      <c r="BY559" s="408"/>
      <c r="BZ559" s="408"/>
      <c r="CA559" s="408"/>
      <c r="CB559" s="408"/>
      <c r="CC559" s="408"/>
      <c r="CD559" s="408"/>
      <c r="CE559" s="408"/>
      <c r="CF559" s="408"/>
      <c r="CG559" s="408"/>
      <c r="CH559" s="408"/>
      <c r="CI559" s="408">
        <v>334.7242</v>
      </c>
      <c r="CJ559" s="408">
        <v>-177.2002</v>
      </c>
      <c r="CK559" s="408"/>
      <c r="CL559" s="408"/>
      <c r="CM559" s="408"/>
      <c r="CN559" s="408"/>
      <c r="CO559" s="408">
        <v>-566.56900000000007</v>
      </c>
      <c r="CP559" s="408">
        <v>60.169719999999991</v>
      </c>
      <c r="CQ559" s="408">
        <v>31</v>
      </c>
      <c r="CR559" s="408">
        <v>71.271163980954952</v>
      </c>
      <c r="CS559" s="408">
        <v>1.6894002571984004</v>
      </c>
      <c r="CT559" s="408">
        <v>5.2930329162641883</v>
      </c>
      <c r="CU559" s="408">
        <v>0</v>
      </c>
      <c r="CV559" s="408">
        <v>0</v>
      </c>
      <c r="CW559" s="408">
        <v>0</v>
      </c>
      <c r="CX559" s="408">
        <v>0</v>
      </c>
      <c r="CY559" s="408">
        <v>0</v>
      </c>
      <c r="CZ559" s="408">
        <v>0.14818874654181813</v>
      </c>
      <c r="DA559" s="408">
        <v>0</v>
      </c>
      <c r="DB559" s="408">
        <v>0</v>
      </c>
      <c r="DC559" s="408">
        <v>60.177452857120102</v>
      </c>
      <c r="DD559" s="408">
        <v>0</v>
      </c>
      <c r="DE559" s="408">
        <v>0</v>
      </c>
      <c r="DF559" s="408">
        <v>0.16764757728476387</v>
      </c>
      <c r="DG559" s="408">
        <v>9.9895665775265456</v>
      </c>
      <c r="DH559" s="408">
        <v>0</v>
      </c>
      <c r="DI559" s="408">
        <v>-5.339864985107269</v>
      </c>
      <c r="DJ559" s="408"/>
      <c r="DK559" s="408">
        <v>0</v>
      </c>
      <c r="DL559" s="408">
        <v>0</v>
      </c>
      <c r="DM559" s="408">
        <v>0</v>
      </c>
      <c r="DN559" s="408">
        <v>0</v>
      </c>
      <c r="DO559" s="408">
        <v>-0.70039793707284304</v>
      </c>
      <c r="DP559" s="408">
        <v>-0.15386202880065181</v>
      </c>
      <c r="DQ559" s="408">
        <v>0</v>
      </c>
      <c r="DR559" s="408">
        <v>0</v>
      </c>
      <c r="DS559" s="408"/>
      <c r="DT559" s="408"/>
      <c r="DU559" s="408"/>
      <c r="DV559" s="408">
        <v>786.25148524294036</v>
      </c>
      <c r="DW559" s="408">
        <v>0</v>
      </c>
      <c r="DX559" s="408">
        <v>0</v>
      </c>
      <c r="DY559" s="408">
        <v>-566.56899999999996</v>
      </c>
      <c r="DZ559" s="234">
        <v>60.169719999999984</v>
      </c>
      <c r="EA559" s="408">
        <v>0</v>
      </c>
      <c r="EB559" s="408">
        <v>0</v>
      </c>
      <c r="EC559" s="408">
        <v>-577.66668517423182</v>
      </c>
      <c r="ED559" s="408">
        <v>0</v>
      </c>
      <c r="EE559" s="408">
        <v>0</v>
      </c>
      <c r="EF559" s="408">
        <v>0</v>
      </c>
      <c r="EG559" s="408">
        <v>0</v>
      </c>
      <c r="EH559" s="408">
        <v>0</v>
      </c>
      <c r="EI559" s="408">
        <v>0</v>
      </c>
      <c r="EJ559" s="408">
        <v>0</v>
      </c>
      <c r="EK559" s="408">
        <v>0</v>
      </c>
      <c r="EL559" s="408">
        <v>0</v>
      </c>
      <c r="EM559" s="408">
        <v>0</v>
      </c>
      <c r="EN559" s="408">
        <v>0</v>
      </c>
      <c r="EO559" s="408">
        <v>0</v>
      </c>
      <c r="EP559" s="408">
        <v>0</v>
      </c>
      <c r="EQ559" s="408">
        <v>0</v>
      </c>
      <c r="ER559" s="408">
        <v>0</v>
      </c>
      <c r="ES559" s="408">
        <v>0</v>
      </c>
      <c r="ET559" s="408">
        <v>0</v>
      </c>
      <c r="EU559" s="408">
        <v>0</v>
      </c>
      <c r="EV559" s="408">
        <v>242</v>
      </c>
      <c r="EW559" s="408">
        <v>0</v>
      </c>
      <c r="EX559" s="408">
        <v>0</v>
      </c>
      <c r="EY559" s="408">
        <v>0</v>
      </c>
      <c r="EZ559" s="408"/>
      <c r="FA559" s="408">
        <v>0</v>
      </c>
      <c r="FB559" s="408"/>
      <c r="FC559" s="408"/>
      <c r="FD559" s="408"/>
      <c r="FE559" s="408"/>
      <c r="FF559" s="408">
        <v>0</v>
      </c>
      <c r="FG559" s="408">
        <v>0</v>
      </c>
      <c r="FH559" s="408">
        <v>0</v>
      </c>
      <c r="FI559" s="408">
        <v>0</v>
      </c>
    </row>
    <row r="560" spans="1:165">
      <c r="A560" s="408">
        <v>561</v>
      </c>
      <c r="B560" s="408" t="s">
        <v>1036</v>
      </c>
      <c r="C560" s="408" t="s">
        <v>2231</v>
      </c>
      <c r="D560" s="408" t="s">
        <v>1952</v>
      </c>
      <c r="E560" s="408" t="s">
        <v>969</v>
      </c>
      <c r="F560" s="408" t="s">
        <v>969</v>
      </c>
      <c r="G560" s="408" t="s">
        <v>1322</v>
      </c>
      <c r="H560" s="408" t="s">
        <v>1322</v>
      </c>
      <c r="I560" s="408" t="s">
        <v>1322</v>
      </c>
      <c r="J560" s="408" t="s">
        <v>2232</v>
      </c>
      <c r="K560" s="828">
        <v>44713</v>
      </c>
      <c r="L560" s="408">
        <v>0</v>
      </c>
      <c r="M560" s="408">
        <v>0</v>
      </c>
      <c r="N560" s="408">
        <v>712.39300000000003</v>
      </c>
      <c r="O560" s="408">
        <v>712.39300000000003</v>
      </c>
      <c r="P560" s="408">
        <v>712.39300000000003</v>
      </c>
      <c r="Q560" s="408">
        <v>712.39300000000003</v>
      </c>
      <c r="R560" s="408"/>
      <c r="S560" s="408">
        <v>571.87</v>
      </c>
      <c r="T560" s="408">
        <v>216.76</v>
      </c>
      <c r="U560" s="408"/>
      <c r="V560" s="408">
        <v>561814.49158999999</v>
      </c>
      <c r="W560" s="408">
        <v>561814.49158999999</v>
      </c>
      <c r="X560" s="408">
        <v>366177.12592999998</v>
      </c>
      <c r="Y560" s="408">
        <v>0</v>
      </c>
      <c r="Z560" s="408">
        <v>43178.579307854292</v>
      </c>
      <c r="AA560" s="408">
        <v>0</v>
      </c>
      <c r="AB560" s="408">
        <v>0</v>
      </c>
      <c r="AC560" s="408">
        <v>0</v>
      </c>
      <c r="AD560" s="408">
        <v>585.52556613369666</v>
      </c>
      <c r="AE560" s="408">
        <v>303752.74095806619</v>
      </c>
      <c r="AF560" s="408">
        <v>152168.21397625253</v>
      </c>
      <c r="AG560" s="408">
        <v>2249.3130324155063</v>
      </c>
      <c r="AH560" s="408">
        <v>0</v>
      </c>
      <c r="AI560" s="408">
        <v>0</v>
      </c>
      <c r="AJ560" s="408">
        <v>0</v>
      </c>
      <c r="AK560" s="408">
        <v>0</v>
      </c>
      <c r="AL560" s="408">
        <v>6677.7110029294936</v>
      </c>
      <c r="AM560" s="408"/>
      <c r="AN560" s="408">
        <v>1366.7042825180215</v>
      </c>
      <c r="AO560" s="408">
        <v>6327.2593045766189</v>
      </c>
      <c r="AP560" s="408">
        <v>19823.834894166401</v>
      </c>
      <c r="AQ560" s="408">
        <v>0</v>
      </c>
      <c r="AR560" s="408">
        <v>0</v>
      </c>
      <c r="AS560" s="408">
        <v>0</v>
      </c>
      <c r="AT560" s="408">
        <v>0</v>
      </c>
      <c r="AU560" s="408">
        <v>0</v>
      </c>
      <c r="AV560" s="408">
        <v>0</v>
      </c>
      <c r="AW560" s="408">
        <v>0</v>
      </c>
      <c r="AX560" s="408">
        <v>0</v>
      </c>
      <c r="AY560" s="408">
        <v>0</v>
      </c>
      <c r="AZ560" s="408">
        <v>0</v>
      </c>
      <c r="BA560" s="408"/>
      <c r="BB560" s="408">
        <v>0</v>
      </c>
      <c r="BC560" s="408">
        <v>0</v>
      </c>
      <c r="BD560" s="408">
        <v>423.9234331409491</v>
      </c>
      <c r="BE560" s="408">
        <v>0</v>
      </c>
      <c r="BF560" s="408">
        <v>0</v>
      </c>
      <c r="BG560" s="408">
        <v>25260.20016347682</v>
      </c>
      <c r="BH560" s="408">
        <v>0</v>
      </c>
      <c r="BI560" s="408">
        <v>1150.25</v>
      </c>
      <c r="BJ560" s="408">
        <v>5361.53</v>
      </c>
      <c r="BK560" s="408">
        <v>120440.57</v>
      </c>
      <c r="BL560" s="408">
        <v>4459</v>
      </c>
      <c r="BM560" s="408"/>
      <c r="BN560" s="408"/>
      <c r="BO560" s="408"/>
      <c r="BP560" s="408"/>
      <c r="BQ560" s="408"/>
      <c r="BR560" s="408"/>
      <c r="BS560" s="408"/>
      <c r="BT560" s="408"/>
      <c r="BU560" s="408"/>
      <c r="BV560" s="408">
        <v>177852.33757287028</v>
      </c>
      <c r="BW560" s="408"/>
      <c r="BX560" s="408"/>
      <c r="BY560" s="408"/>
      <c r="BZ560" s="408"/>
      <c r="CA560" s="408"/>
      <c r="CB560" s="408"/>
      <c r="CC560" s="408"/>
      <c r="CD560" s="408"/>
      <c r="CE560" s="408"/>
      <c r="CF560" s="408"/>
      <c r="CG560" s="408"/>
      <c r="CH560" s="408"/>
      <c r="CI560" s="408">
        <v>366175.58389999997</v>
      </c>
      <c r="CJ560" s="408">
        <v>-195638.93769000005</v>
      </c>
      <c r="CK560" s="408"/>
      <c r="CL560" s="408"/>
      <c r="CM560" s="408"/>
      <c r="CN560" s="408"/>
      <c r="CO560" s="408">
        <v>-218882.74925000002</v>
      </c>
      <c r="CP560" s="408">
        <v>23245.383589999998</v>
      </c>
      <c r="CQ560" s="408">
        <v>30</v>
      </c>
      <c r="CR560" s="408">
        <v>27534.207332909224</v>
      </c>
      <c r="CS560" s="408">
        <v>652.66644112057475</v>
      </c>
      <c r="CT560" s="408">
        <v>2044.8587843363312</v>
      </c>
      <c r="CU560" s="408">
        <v>0</v>
      </c>
      <c r="CV560" s="408">
        <v>0</v>
      </c>
      <c r="CW560" s="408">
        <v>0</v>
      </c>
      <c r="CX560" s="408">
        <v>0</v>
      </c>
      <c r="CY560" s="408">
        <v>0</v>
      </c>
      <c r="CZ560" s="408">
        <v>57.249797025577777</v>
      </c>
      <c r="DA560" s="408">
        <v>0</v>
      </c>
      <c r="DB560" s="408">
        <v>0</v>
      </c>
      <c r="DC560" s="408">
        <v>23248.371026704088</v>
      </c>
      <c r="DD560" s="408">
        <v>0</v>
      </c>
      <c r="DE560" s="408">
        <v>0</v>
      </c>
      <c r="DF560" s="408">
        <v>64.767332171705448</v>
      </c>
      <c r="DG560" s="408">
        <v>3859.271856216852</v>
      </c>
      <c r="DH560" s="408">
        <v>0</v>
      </c>
      <c r="DI560" s="408">
        <v>-2062.9514296830384</v>
      </c>
      <c r="DJ560" s="408"/>
      <c r="DK560" s="408">
        <v>0</v>
      </c>
      <c r="DL560" s="408">
        <v>0</v>
      </c>
      <c r="DM560" s="408">
        <v>0</v>
      </c>
      <c r="DN560" s="408">
        <v>0</v>
      </c>
      <c r="DO560" s="408">
        <v>-270.58491734551808</v>
      </c>
      <c r="DP560" s="408">
        <v>-59.44155763740946</v>
      </c>
      <c r="DQ560" s="408">
        <v>0</v>
      </c>
      <c r="DR560" s="408">
        <v>0</v>
      </c>
      <c r="DS560" s="408"/>
      <c r="DT560" s="408"/>
      <c r="DU560" s="408"/>
      <c r="DV560" s="408">
        <v>303752.74095806619</v>
      </c>
      <c r="DW560" s="408">
        <v>0</v>
      </c>
      <c r="DX560" s="408">
        <v>0</v>
      </c>
      <c r="DY560" s="408">
        <v>-218882.74924999999</v>
      </c>
      <c r="DZ560" s="234">
        <v>23245.383589999983</v>
      </c>
      <c r="EA560" s="408">
        <v>0</v>
      </c>
      <c r="EB560" s="408">
        <v>0</v>
      </c>
      <c r="EC560" s="408">
        <v>-223170.12085212942</v>
      </c>
      <c r="ED560" s="408">
        <v>0</v>
      </c>
      <c r="EE560" s="408">
        <v>0</v>
      </c>
      <c r="EF560" s="408">
        <v>0</v>
      </c>
      <c r="EG560" s="408">
        <v>0</v>
      </c>
      <c r="EH560" s="408">
        <v>0</v>
      </c>
      <c r="EI560" s="408">
        <v>0</v>
      </c>
      <c r="EJ560" s="408">
        <v>0</v>
      </c>
      <c r="EK560" s="408">
        <v>0</v>
      </c>
      <c r="EL560" s="408">
        <v>0</v>
      </c>
      <c r="EM560" s="408">
        <v>0</v>
      </c>
      <c r="EN560" s="408">
        <v>0</v>
      </c>
      <c r="EO560" s="408">
        <v>0</v>
      </c>
      <c r="EP560" s="408">
        <v>0</v>
      </c>
      <c r="EQ560" s="408">
        <v>0</v>
      </c>
      <c r="ER560" s="408">
        <v>0</v>
      </c>
      <c r="ES560" s="408">
        <v>0</v>
      </c>
      <c r="ET560" s="408">
        <v>0</v>
      </c>
      <c r="EU560" s="408">
        <v>0</v>
      </c>
      <c r="EV560" s="408">
        <v>242</v>
      </c>
      <c r="EW560" s="408">
        <v>0</v>
      </c>
      <c r="EX560" s="408">
        <v>0</v>
      </c>
      <c r="EY560" s="408">
        <v>0</v>
      </c>
      <c r="EZ560" s="408"/>
      <c r="FA560" s="408">
        <v>0</v>
      </c>
      <c r="FB560" s="408"/>
      <c r="FC560" s="408"/>
      <c r="FD560" s="408"/>
      <c r="FE560" s="408"/>
      <c r="FF560" s="408">
        <v>0</v>
      </c>
      <c r="FG560" s="408">
        <v>0</v>
      </c>
      <c r="FH560" s="408">
        <v>0</v>
      </c>
      <c r="FI560" s="408">
        <v>0</v>
      </c>
    </row>
    <row r="561" spans="1:165">
      <c r="A561" s="408">
        <v>562</v>
      </c>
      <c r="B561" s="408" t="s">
        <v>2233</v>
      </c>
      <c r="C561" s="408" t="s">
        <v>2231</v>
      </c>
      <c r="D561" s="408" t="s">
        <v>1952</v>
      </c>
      <c r="E561" s="408" t="s">
        <v>969</v>
      </c>
      <c r="F561" s="408" t="s">
        <v>969</v>
      </c>
      <c r="G561" s="408" t="s">
        <v>1322</v>
      </c>
      <c r="H561" s="408" t="s">
        <v>1322</v>
      </c>
      <c r="I561" s="408" t="s">
        <v>1322</v>
      </c>
      <c r="J561" s="408" t="s">
        <v>2232</v>
      </c>
      <c r="K561" s="828">
        <v>44713</v>
      </c>
      <c r="L561" s="408">
        <v>0</v>
      </c>
      <c r="M561" s="408">
        <v>0</v>
      </c>
      <c r="N561" s="408">
        <v>-0.66300000000000003</v>
      </c>
      <c r="O561" s="408">
        <v>-0.66300000000000003</v>
      </c>
      <c r="P561" s="408">
        <v>-0.66300000000000003</v>
      </c>
      <c r="Q561" s="408">
        <v>-0.66300000000000003</v>
      </c>
      <c r="R561" s="408"/>
      <c r="S561" s="408">
        <v>571.87</v>
      </c>
      <c r="T561" s="408">
        <v>216.76</v>
      </c>
      <c r="U561" s="408"/>
      <c r="V561" s="408">
        <v>-522.86168999999995</v>
      </c>
      <c r="W561" s="408">
        <v>-522.86168999999995</v>
      </c>
      <c r="X561" s="408">
        <v>-340.78863000000001</v>
      </c>
      <c r="Y561" s="408">
        <v>0</v>
      </c>
      <c r="Z561" s="408">
        <v>-40.184839100198062</v>
      </c>
      <c r="AA561" s="408">
        <v>0</v>
      </c>
      <c r="AB561" s="408">
        <v>0</v>
      </c>
      <c r="AC561" s="408">
        <v>0</v>
      </c>
      <c r="AD561" s="408">
        <v>-0.54492878277389156</v>
      </c>
      <c r="AE561" s="408">
        <v>-282.69237240567759</v>
      </c>
      <c r="AF561" s="408">
        <v>-141.61779504607068</v>
      </c>
      <c r="AG561" s="408">
        <v>-2.0933593402679147</v>
      </c>
      <c r="AH561" s="408">
        <v>0</v>
      </c>
      <c r="AI561" s="408">
        <v>0</v>
      </c>
      <c r="AJ561" s="408">
        <v>0</v>
      </c>
      <c r="AK561" s="408">
        <v>0</v>
      </c>
      <c r="AL561" s="408">
        <v>-6.2147191156317572</v>
      </c>
      <c r="AM561" s="408"/>
      <c r="AN561" s="408">
        <v>-1.2719453157308511</v>
      </c>
      <c r="AO561" s="408">
        <v>-5.8885656076551829</v>
      </c>
      <c r="AP561" s="408">
        <v>-18.449370691222857</v>
      </c>
      <c r="AQ561" s="408">
        <v>0</v>
      </c>
      <c r="AR561" s="408">
        <v>0</v>
      </c>
      <c r="AS561" s="408">
        <v>0</v>
      </c>
      <c r="AT561" s="408">
        <v>0</v>
      </c>
      <c r="AU561" s="408">
        <v>0</v>
      </c>
      <c r="AV561" s="408">
        <v>0</v>
      </c>
      <c r="AW561" s="408">
        <v>0</v>
      </c>
      <c r="AX561" s="408">
        <v>0</v>
      </c>
      <c r="AY561" s="408">
        <v>0</v>
      </c>
      <c r="AZ561" s="408">
        <v>0</v>
      </c>
      <c r="BA561" s="408"/>
      <c r="BB561" s="408">
        <v>0</v>
      </c>
      <c r="BC561" s="408">
        <v>0</v>
      </c>
      <c r="BD561" s="408">
        <v>-0.3945311593073616</v>
      </c>
      <c r="BE561" s="408">
        <v>0</v>
      </c>
      <c r="BF561" s="408">
        <v>0</v>
      </c>
      <c r="BG561" s="408">
        <v>-23.508811440293677</v>
      </c>
      <c r="BH561" s="408">
        <v>0</v>
      </c>
      <c r="BI561" s="408">
        <v>-1.03</v>
      </c>
      <c r="BJ561" s="408">
        <v>-4.72</v>
      </c>
      <c r="BK561" s="408">
        <v>-145.13</v>
      </c>
      <c r="BL561" s="408">
        <v>0</v>
      </c>
      <c r="BM561" s="408"/>
      <c r="BN561" s="408"/>
      <c r="BO561" s="408"/>
      <c r="BP561" s="408"/>
      <c r="BQ561" s="408"/>
      <c r="BR561" s="408"/>
      <c r="BS561" s="408"/>
      <c r="BT561" s="408"/>
      <c r="BU561" s="408"/>
      <c r="BV561" s="408">
        <v>-165.5211376456717</v>
      </c>
      <c r="BW561" s="408"/>
      <c r="BX561" s="408"/>
      <c r="BY561" s="408"/>
      <c r="BZ561" s="408"/>
      <c r="CA561" s="408"/>
      <c r="CB561" s="408"/>
      <c r="CC561" s="408"/>
      <c r="CD561" s="408"/>
      <c r="CE561" s="408"/>
      <c r="CF561" s="408"/>
      <c r="CG561" s="408"/>
      <c r="CH561" s="408"/>
      <c r="CI561" s="408">
        <v>-339.2466</v>
      </c>
      <c r="CJ561" s="408">
        <v>183.58508999999998</v>
      </c>
      <c r="CK561" s="408"/>
      <c r="CL561" s="408"/>
      <c r="CM561" s="408"/>
      <c r="CN561" s="408"/>
      <c r="CO561" s="408">
        <v>203.70675</v>
      </c>
      <c r="CP561" s="408">
        <v>-21.633689999999998</v>
      </c>
      <c r="CQ561" s="408">
        <v>30</v>
      </c>
      <c r="CR561" s="408">
        <v>-25.625152776232767</v>
      </c>
      <c r="CS561" s="408">
        <v>-0.60741451763695142</v>
      </c>
      <c r="CT561" s="408">
        <v>-1.9030807068780682</v>
      </c>
      <c r="CU561" s="408">
        <v>0</v>
      </c>
      <c r="CV561" s="408">
        <v>0</v>
      </c>
      <c r="CW561" s="408">
        <v>0</v>
      </c>
      <c r="CX561" s="408">
        <v>0</v>
      </c>
      <c r="CY561" s="408">
        <v>0</v>
      </c>
      <c r="CZ561" s="408">
        <v>-5.3280444119970349E-2</v>
      </c>
      <c r="DA561" s="408">
        <v>0</v>
      </c>
      <c r="DB561" s="408">
        <v>0</v>
      </c>
      <c r="DC561" s="408">
        <v>-21.636470306003588</v>
      </c>
      <c r="DD561" s="408">
        <v>0</v>
      </c>
      <c r="DE561" s="408">
        <v>0</v>
      </c>
      <c r="DF561" s="408">
        <v>-6.0276759077981801E-2</v>
      </c>
      <c r="DG561" s="408">
        <v>-3.5916934061280372</v>
      </c>
      <c r="DH561" s="408">
        <v>0</v>
      </c>
      <c r="DI561" s="408">
        <v>1.919918918181196</v>
      </c>
      <c r="DJ561" s="408"/>
      <c r="DK561" s="408">
        <v>0</v>
      </c>
      <c r="DL561" s="408">
        <v>0</v>
      </c>
      <c r="DM561" s="408">
        <v>0</v>
      </c>
      <c r="DN561" s="408">
        <v>0</v>
      </c>
      <c r="DO561" s="408">
        <v>0.25182420405601746</v>
      </c>
      <c r="DP561" s="408">
        <v>5.5320241374637869E-2</v>
      </c>
      <c r="DQ561" s="408">
        <v>0</v>
      </c>
      <c r="DR561" s="408">
        <v>0</v>
      </c>
      <c r="DS561" s="408"/>
      <c r="DT561" s="408"/>
      <c r="DU561" s="408"/>
      <c r="DV561" s="408">
        <v>-282.69237240567759</v>
      </c>
      <c r="DW561" s="408">
        <v>0</v>
      </c>
      <c r="DX561" s="408">
        <v>0</v>
      </c>
      <c r="DY561" s="408">
        <v>203.70675</v>
      </c>
      <c r="DZ561" s="234">
        <v>-21.633690000000001</v>
      </c>
      <c r="EA561" s="408">
        <v>0</v>
      </c>
      <c r="EB561" s="408">
        <v>0</v>
      </c>
      <c r="EC561" s="408">
        <v>207.69686131806711</v>
      </c>
      <c r="ED561" s="408">
        <v>0</v>
      </c>
      <c r="EE561" s="408">
        <v>0</v>
      </c>
      <c r="EF561" s="408">
        <v>0</v>
      </c>
      <c r="EG561" s="408">
        <v>0</v>
      </c>
      <c r="EH561" s="408">
        <v>0</v>
      </c>
      <c r="EI561" s="408">
        <v>0</v>
      </c>
      <c r="EJ561" s="408">
        <v>0</v>
      </c>
      <c r="EK561" s="408">
        <v>0</v>
      </c>
      <c r="EL561" s="408">
        <v>0</v>
      </c>
      <c r="EM561" s="408">
        <v>0</v>
      </c>
      <c r="EN561" s="408">
        <v>0</v>
      </c>
      <c r="EO561" s="408">
        <v>0</v>
      </c>
      <c r="EP561" s="408">
        <v>0</v>
      </c>
      <c r="EQ561" s="408">
        <v>0</v>
      </c>
      <c r="ER561" s="408">
        <v>0</v>
      </c>
      <c r="ES561" s="408">
        <v>0</v>
      </c>
      <c r="ET561" s="408">
        <v>0</v>
      </c>
      <c r="EU561" s="408">
        <v>0</v>
      </c>
      <c r="EV561" s="408">
        <v>242</v>
      </c>
      <c r="EW561" s="408">
        <v>0</v>
      </c>
      <c r="EX561" s="408">
        <v>0</v>
      </c>
      <c r="EY561" s="408">
        <v>0</v>
      </c>
      <c r="EZ561" s="408"/>
      <c r="FA561" s="408">
        <v>0</v>
      </c>
      <c r="FB561" s="408"/>
      <c r="FC561" s="408"/>
      <c r="FD561" s="408"/>
      <c r="FE561" s="408"/>
      <c r="FF561" s="408">
        <v>0</v>
      </c>
      <c r="FG561" s="408">
        <v>0</v>
      </c>
      <c r="FH561" s="408">
        <v>0</v>
      </c>
      <c r="FI561" s="408">
        <v>0</v>
      </c>
    </row>
    <row r="562" spans="1:165">
      <c r="A562" s="408">
        <v>563</v>
      </c>
      <c r="B562" s="408" t="s">
        <v>2234</v>
      </c>
      <c r="C562" s="408" t="s">
        <v>2231</v>
      </c>
      <c r="D562" s="408" t="s">
        <v>1952</v>
      </c>
      <c r="E562" s="408" t="s">
        <v>969</v>
      </c>
      <c r="F562" s="408" t="s">
        <v>969</v>
      </c>
      <c r="G562" s="408" t="s">
        <v>1322</v>
      </c>
      <c r="H562" s="408" t="s">
        <v>1322</v>
      </c>
      <c r="I562" s="408" t="s">
        <v>1322</v>
      </c>
      <c r="J562" s="408" t="s">
        <v>2232</v>
      </c>
      <c r="K562" s="828">
        <v>44713</v>
      </c>
      <c r="L562" s="408">
        <v>0</v>
      </c>
      <c r="M562" s="408">
        <v>0</v>
      </c>
      <c r="N562" s="408">
        <v>28.244</v>
      </c>
      <c r="O562" s="408">
        <v>28.244</v>
      </c>
      <c r="P562" s="408">
        <v>28.244</v>
      </c>
      <c r="Q562" s="408">
        <v>28.244</v>
      </c>
      <c r="R562" s="408"/>
      <c r="S562" s="408">
        <v>571.87</v>
      </c>
      <c r="T562" s="408">
        <v>216.76</v>
      </c>
      <c r="U562" s="408"/>
      <c r="V562" s="408">
        <v>22274.065719999999</v>
      </c>
      <c r="W562" s="408">
        <v>22274.065719999999</v>
      </c>
      <c r="X562" s="408">
        <v>14517.69844</v>
      </c>
      <c r="Y562" s="408">
        <v>0</v>
      </c>
      <c r="Z562" s="408">
        <v>1711.886267791846</v>
      </c>
      <c r="AA562" s="408">
        <v>0</v>
      </c>
      <c r="AB562" s="408">
        <v>0</v>
      </c>
      <c r="AC562" s="408">
        <v>0</v>
      </c>
      <c r="AD562" s="408">
        <v>23.214130528907681</v>
      </c>
      <c r="AE562" s="408">
        <v>12042.780341215623</v>
      </c>
      <c r="AF562" s="408">
        <v>6032.9607892627755</v>
      </c>
      <c r="AG562" s="408">
        <v>89.177739376360464</v>
      </c>
      <c r="AH562" s="408">
        <v>0</v>
      </c>
      <c r="AI562" s="408">
        <v>0</v>
      </c>
      <c r="AJ562" s="408">
        <v>0</v>
      </c>
      <c r="AK562" s="408">
        <v>0</v>
      </c>
      <c r="AL562" s="408">
        <v>264.74890905264454</v>
      </c>
      <c r="AM562" s="408"/>
      <c r="AN562" s="408">
        <v>54.185254144045487</v>
      </c>
      <c r="AO562" s="408">
        <v>250.85467122566058</v>
      </c>
      <c r="AP562" s="408">
        <v>785.94875686711657</v>
      </c>
      <c r="AQ562" s="408">
        <v>0</v>
      </c>
      <c r="AR562" s="408">
        <v>0</v>
      </c>
      <c r="AS562" s="408">
        <v>0</v>
      </c>
      <c r="AT562" s="408">
        <v>0</v>
      </c>
      <c r="AU562" s="408">
        <v>0</v>
      </c>
      <c r="AV562" s="408">
        <v>0</v>
      </c>
      <c r="AW562" s="408">
        <v>0</v>
      </c>
      <c r="AX562" s="408">
        <v>0</v>
      </c>
      <c r="AY562" s="408">
        <v>0</v>
      </c>
      <c r="AZ562" s="408">
        <v>0</v>
      </c>
      <c r="BA562" s="408"/>
      <c r="BB562" s="408">
        <v>0</v>
      </c>
      <c r="BC562" s="408">
        <v>0</v>
      </c>
      <c r="BD562" s="408">
        <v>16.807146400417981</v>
      </c>
      <c r="BE562" s="408">
        <v>0</v>
      </c>
      <c r="BF562" s="408">
        <v>0</v>
      </c>
      <c r="BG562" s="408">
        <v>1001.4824590040039</v>
      </c>
      <c r="BH562" s="408">
        <v>0</v>
      </c>
      <c r="BI562" s="408">
        <v>46.44</v>
      </c>
      <c r="BJ562" s="408">
        <v>217.64</v>
      </c>
      <c r="BK562" s="408">
        <v>9445.89</v>
      </c>
      <c r="BL562" s="408">
        <v>218</v>
      </c>
      <c r="BM562" s="408"/>
      <c r="BN562" s="408"/>
      <c r="BO562" s="408"/>
      <c r="BP562" s="408"/>
      <c r="BQ562" s="408"/>
      <c r="BR562" s="408"/>
      <c r="BS562" s="408"/>
      <c r="BT562" s="408"/>
      <c r="BU562" s="408"/>
      <c r="BV562" s="408">
        <v>7051.2503946671968</v>
      </c>
      <c r="BW562" s="408"/>
      <c r="BX562" s="408"/>
      <c r="BY562" s="408"/>
      <c r="BZ562" s="408"/>
      <c r="CA562" s="408"/>
      <c r="CB562" s="408"/>
      <c r="CC562" s="408"/>
      <c r="CD562" s="408"/>
      <c r="CE562" s="408"/>
      <c r="CF562" s="408"/>
      <c r="CG562" s="408"/>
      <c r="CH562" s="408"/>
      <c r="CI562" s="408">
        <v>14515.642399999999</v>
      </c>
      <c r="CJ562" s="408">
        <v>-7758.4533200000023</v>
      </c>
      <c r="CK562" s="408"/>
      <c r="CL562" s="408"/>
      <c r="CM562" s="408"/>
      <c r="CN562" s="408"/>
      <c r="CO562" s="408">
        <v>-8677.9689999999991</v>
      </c>
      <c r="CP562" s="408">
        <v>921.60171999999989</v>
      </c>
      <c r="CQ562" s="408">
        <v>30</v>
      </c>
      <c r="CR562" s="408">
        <v>1091.6392383286839</v>
      </c>
      <c r="CS562" s="408">
        <v>25.876041683466156</v>
      </c>
      <c r="CT562" s="408">
        <v>81.071812194666904</v>
      </c>
      <c r="CU562" s="408">
        <v>0</v>
      </c>
      <c r="CV562" s="408">
        <v>0</v>
      </c>
      <c r="CW562" s="408">
        <v>0</v>
      </c>
      <c r="CX562" s="408">
        <v>0</v>
      </c>
      <c r="CY562" s="408">
        <v>0</v>
      </c>
      <c r="CZ562" s="408">
        <v>2.2697629920428994</v>
      </c>
      <c r="DA562" s="408">
        <v>0</v>
      </c>
      <c r="DB562" s="408">
        <v>0</v>
      </c>
      <c r="DC562" s="408">
        <v>921.72016187445752</v>
      </c>
      <c r="DD562" s="408">
        <v>0</v>
      </c>
      <c r="DE562" s="408">
        <v>0</v>
      </c>
      <c r="DF562" s="408">
        <v>2.5678081197564353</v>
      </c>
      <c r="DG562" s="408">
        <v>153.00722256814515</v>
      </c>
      <c r="DH562" s="408">
        <v>0</v>
      </c>
      <c r="DI562" s="408">
        <v>-81.789125075580159</v>
      </c>
      <c r="DJ562" s="408"/>
      <c r="DK562" s="408">
        <v>0</v>
      </c>
      <c r="DL562" s="408">
        <v>0</v>
      </c>
      <c r="DM562" s="408">
        <v>0</v>
      </c>
      <c r="DN562" s="408">
        <v>0</v>
      </c>
      <c r="DO562" s="408">
        <v>-10.727787057855409</v>
      </c>
      <c r="DP562" s="408">
        <v>-2.3566589704151895</v>
      </c>
      <c r="DQ562" s="408">
        <v>0</v>
      </c>
      <c r="DR562" s="408">
        <v>0</v>
      </c>
      <c r="DS562" s="408"/>
      <c r="DT562" s="408"/>
      <c r="DU562" s="408"/>
      <c r="DV562" s="408">
        <v>12042.780341215623</v>
      </c>
      <c r="DW562" s="408">
        <v>0</v>
      </c>
      <c r="DX562" s="408">
        <v>0</v>
      </c>
      <c r="DY562" s="408">
        <v>-8677.969000000001</v>
      </c>
      <c r="DZ562" s="234">
        <v>921.60171999999966</v>
      </c>
      <c r="EA562" s="408">
        <v>0</v>
      </c>
      <c r="EB562" s="408">
        <v>0</v>
      </c>
      <c r="EC562" s="408">
        <v>-8847.9489458031494</v>
      </c>
      <c r="ED562" s="408">
        <v>0</v>
      </c>
      <c r="EE562" s="408">
        <v>0</v>
      </c>
      <c r="EF562" s="408">
        <v>0</v>
      </c>
      <c r="EG562" s="408">
        <v>0</v>
      </c>
      <c r="EH562" s="408">
        <v>0</v>
      </c>
      <c r="EI562" s="408">
        <v>0</v>
      </c>
      <c r="EJ562" s="408">
        <v>0</v>
      </c>
      <c r="EK562" s="408">
        <v>0</v>
      </c>
      <c r="EL562" s="408">
        <v>0</v>
      </c>
      <c r="EM562" s="408">
        <v>0</v>
      </c>
      <c r="EN562" s="408">
        <v>0</v>
      </c>
      <c r="EO562" s="408">
        <v>0</v>
      </c>
      <c r="EP562" s="408">
        <v>0</v>
      </c>
      <c r="EQ562" s="408">
        <v>0</v>
      </c>
      <c r="ER562" s="408">
        <v>0</v>
      </c>
      <c r="ES562" s="408">
        <v>0</v>
      </c>
      <c r="ET562" s="408">
        <v>0</v>
      </c>
      <c r="EU562" s="408">
        <v>0</v>
      </c>
      <c r="EV562" s="408">
        <v>242</v>
      </c>
      <c r="EW562" s="408">
        <v>0</v>
      </c>
      <c r="EX562" s="408">
        <v>0</v>
      </c>
      <c r="EY562" s="408">
        <v>0</v>
      </c>
      <c r="EZ562" s="408"/>
      <c r="FA562" s="408">
        <v>0</v>
      </c>
      <c r="FB562" s="408"/>
      <c r="FC562" s="408"/>
      <c r="FD562" s="408"/>
      <c r="FE562" s="408"/>
      <c r="FF562" s="408">
        <v>0</v>
      </c>
      <c r="FG562" s="408">
        <v>0</v>
      </c>
      <c r="FH562" s="408">
        <v>0</v>
      </c>
      <c r="FI562" s="408">
        <v>0</v>
      </c>
    </row>
    <row r="563" spans="1:165">
      <c r="A563" s="408">
        <v>564</v>
      </c>
      <c r="B563" s="408" t="s">
        <v>1036</v>
      </c>
      <c r="C563" s="408" t="s">
        <v>2231</v>
      </c>
      <c r="D563" s="408" t="s">
        <v>1952</v>
      </c>
      <c r="E563" s="408" t="s">
        <v>969</v>
      </c>
      <c r="F563" s="408" t="s">
        <v>2235</v>
      </c>
      <c r="G563" s="408" t="s">
        <v>1322</v>
      </c>
      <c r="H563" s="408" t="s">
        <v>1322</v>
      </c>
      <c r="I563" s="408" t="s">
        <v>1322</v>
      </c>
      <c r="J563" s="408" t="s">
        <v>2232</v>
      </c>
      <c r="K563" s="828">
        <v>44713</v>
      </c>
      <c r="L563" s="408">
        <v>0</v>
      </c>
      <c r="M563" s="408">
        <v>0</v>
      </c>
      <c r="N563" s="408">
        <v>7.32</v>
      </c>
      <c r="O563" s="408">
        <v>7.32</v>
      </c>
      <c r="P563" s="408">
        <v>7.32</v>
      </c>
      <c r="Q563" s="408">
        <v>7.32</v>
      </c>
      <c r="R563" s="408"/>
      <c r="S563" s="408">
        <v>501.89</v>
      </c>
      <c r="T563" s="408">
        <v>216.76</v>
      </c>
      <c r="U563" s="408"/>
      <c r="V563" s="408">
        <v>5260.518</v>
      </c>
      <c r="W563" s="408">
        <v>5260.518</v>
      </c>
      <c r="X563" s="408">
        <v>3274.2359999999999</v>
      </c>
      <c r="Y563" s="408">
        <v>0</v>
      </c>
      <c r="Z563" s="408">
        <v>0</v>
      </c>
      <c r="AA563" s="408">
        <v>0</v>
      </c>
      <c r="AB563" s="408">
        <v>0</v>
      </c>
      <c r="AC563" s="408">
        <v>0</v>
      </c>
      <c r="AD563" s="408">
        <v>6.016408280399526</v>
      </c>
      <c r="AE563" s="408">
        <v>3121.128455519698</v>
      </c>
      <c r="AF563" s="408">
        <v>1563.5629860290155</v>
      </c>
      <c r="AG563" s="408">
        <v>23.112202670831277</v>
      </c>
      <c r="AH563" s="408">
        <v>0</v>
      </c>
      <c r="AI563" s="408">
        <v>0</v>
      </c>
      <c r="AJ563" s="408">
        <v>0</v>
      </c>
      <c r="AK563" s="408">
        <v>0</v>
      </c>
      <c r="AL563" s="408">
        <v>0</v>
      </c>
      <c r="AM563" s="408"/>
      <c r="AN563" s="408">
        <v>14.043197151055551</v>
      </c>
      <c r="AO563" s="408">
        <v>65.014027523432787</v>
      </c>
      <c r="AP563" s="408">
        <v>203.69440944155551</v>
      </c>
      <c r="AQ563" s="408">
        <v>0</v>
      </c>
      <c r="AR563" s="408">
        <v>0</v>
      </c>
      <c r="AS563" s="408">
        <v>0</v>
      </c>
      <c r="AT563" s="408">
        <v>0</v>
      </c>
      <c r="AU563" s="408">
        <v>0</v>
      </c>
      <c r="AV563" s="408">
        <v>0</v>
      </c>
      <c r="AW563" s="408">
        <v>0</v>
      </c>
      <c r="AX563" s="408">
        <v>0</v>
      </c>
      <c r="AY563" s="408">
        <v>0</v>
      </c>
      <c r="AZ563" s="408">
        <v>0</v>
      </c>
      <c r="BA563" s="408"/>
      <c r="BB563" s="408">
        <v>0</v>
      </c>
      <c r="BC563" s="408">
        <v>0</v>
      </c>
      <c r="BD563" s="408">
        <v>4.355909632171775</v>
      </c>
      <c r="BE563" s="408">
        <v>0</v>
      </c>
      <c r="BF563" s="408">
        <v>0</v>
      </c>
      <c r="BG563" s="408">
        <v>259.55429825482611</v>
      </c>
      <c r="BH563" s="408">
        <v>0</v>
      </c>
      <c r="BI563" s="408">
        <v>2.46</v>
      </c>
      <c r="BJ563" s="408">
        <v>17.059999999999999</v>
      </c>
      <c r="BK563" s="408">
        <v>358.82</v>
      </c>
      <c r="BL563" s="408">
        <v>16</v>
      </c>
      <c r="BM563" s="408"/>
      <c r="BN563" s="408"/>
      <c r="BO563" s="408"/>
      <c r="BP563" s="408"/>
      <c r="BQ563" s="408"/>
      <c r="BR563" s="408"/>
      <c r="BS563" s="408"/>
      <c r="BT563" s="408">
        <v>2128.2167999999997</v>
      </c>
      <c r="BU563" s="408"/>
      <c r="BV563" s="408">
        <v>1827.4731939160133</v>
      </c>
      <c r="BW563" s="408"/>
      <c r="BX563" s="408"/>
      <c r="BY563" s="408"/>
      <c r="BZ563" s="408"/>
      <c r="CA563" s="408"/>
      <c r="CB563" s="408"/>
      <c r="CC563" s="408"/>
      <c r="CD563" s="408"/>
      <c r="CE563" s="408"/>
      <c r="CF563" s="408"/>
      <c r="CG563" s="408"/>
      <c r="CH563" s="408"/>
      <c r="CI563" s="408">
        <v>1146.0192</v>
      </c>
      <c r="CJ563" s="408">
        <v>-695.21040000000016</v>
      </c>
      <c r="CK563" s="408"/>
      <c r="CL563" s="408"/>
      <c r="CM563" s="408"/>
      <c r="CN563" s="408"/>
      <c r="CO563" s="408">
        <v>-2225.1336000000001</v>
      </c>
      <c r="CP563" s="408">
        <v>238.85159999999996</v>
      </c>
      <c r="CQ563" s="408">
        <v>30</v>
      </c>
      <c r="CR563" s="408">
        <v>306.89785516862776</v>
      </c>
      <c r="CS563" s="408">
        <v>6.706296031828785</v>
      </c>
      <c r="CT563" s="408">
        <v>21.011388799920752</v>
      </c>
      <c r="CU563" s="408">
        <v>0</v>
      </c>
      <c r="CV563" s="408">
        <v>0</v>
      </c>
      <c r="CW563" s="408">
        <v>0</v>
      </c>
      <c r="CX563" s="408">
        <v>0</v>
      </c>
      <c r="CY563" s="408">
        <v>0</v>
      </c>
      <c r="CZ563" s="408">
        <v>0.58825467716166457</v>
      </c>
      <c r="DA563" s="408">
        <v>0</v>
      </c>
      <c r="DB563" s="408">
        <v>0</v>
      </c>
      <c r="DC563" s="408">
        <v>238.88229659117087</v>
      </c>
      <c r="DD563" s="408">
        <v>0</v>
      </c>
      <c r="DE563" s="408">
        <v>0</v>
      </c>
      <c r="DF563" s="408">
        <v>0.66549905950351018</v>
      </c>
      <c r="DG563" s="408">
        <v>39.654895524671531</v>
      </c>
      <c r="DH563" s="408">
        <v>0</v>
      </c>
      <c r="DI563" s="408">
        <v>0</v>
      </c>
      <c r="DJ563" s="408"/>
      <c r="DK563" s="408">
        <v>0</v>
      </c>
      <c r="DL563" s="408">
        <v>0</v>
      </c>
      <c r="DM563" s="408">
        <v>0</v>
      </c>
      <c r="DN563" s="408">
        <v>0</v>
      </c>
      <c r="DO563" s="408">
        <v>0</v>
      </c>
      <c r="DP563" s="408">
        <v>-0.61077551562948607</v>
      </c>
      <c r="DQ563" s="408">
        <v>0</v>
      </c>
      <c r="DR563" s="408">
        <v>0</v>
      </c>
      <c r="DS563" s="408"/>
      <c r="DT563" s="408"/>
      <c r="DU563" s="408"/>
      <c r="DV563" s="408">
        <v>3121.128455519698</v>
      </c>
      <c r="DW563" s="408">
        <v>0</v>
      </c>
      <c r="DX563" s="408">
        <v>0</v>
      </c>
      <c r="DY563" s="408">
        <v>-2225.1336000000001</v>
      </c>
      <c r="DZ563" s="234">
        <v>238.85159999999996</v>
      </c>
      <c r="EA563" s="408">
        <v>0</v>
      </c>
      <c r="EB563" s="408">
        <v>0</v>
      </c>
      <c r="EC563" s="408">
        <v>-2293.1237177198359</v>
      </c>
      <c r="ED563" s="408">
        <v>0</v>
      </c>
      <c r="EE563" s="408">
        <v>0</v>
      </c>
      <c r="EF563" s="408">
        <v>0</v>
      </c>
      <c r="EG563" s="408">
        <v>0</v>
      </c>
      <c r="EH563" s="408">
        <v>0</v>
      </c>
      <c r="EI563" s="408">
        <v>0</v>
      </c>
      <c r="EJ563" s="408">
        <v>0</v>
      </c>
      <c r="EK563" s="408">
        <v>0</v>
      </c>
      <c r="EL563" s="408">
        <v>0</v>
      </c>
      <c r="EM563" s="408">
        <v>0</v>
      </c>
      <c r="EN563" s="408">
        <v>0</v>
      </c>
      <c r="EO563" s="408">
        <v>0</v>
      </c>
      <c r="EP563" s="408">
        <v>0</v>
      </c>
      <c r="EQ563" s="408">
        <v>0</v>
      </c>
      <c r="ER563" s="408">
        <v>0</v>
      </c>
      <c r="ES563" s="408">
        <v>0</v>
      </c>
      <c r="ET563" s="408">
        <v>0</v>
      </c>
      <c r="EU563" s="408">
        <v>0</v>
      </c>
      <c r="EV563" s="408">
        <v>242</v>
      </c>
      <c r="EW563" s="408">
        <v>0</v>
      </c>
      <c r="EX563" s="408">
        <v>0</v>
      </c>
      <c r="EY563" s="408">
        <v>0</v>
      </c>
      <c r="EZ563" s="408"/>
      <c r="FA563" s="408">
        <v>0</v>
      </c>
      <c r="FB563" s="408"/>
      <c r="FC563" s="408"/>
      <c r="FD563" s="408"/>
      <c r="FE563" s="408"/>
      <c r="FF563" s="408">
        <v>0</v>
      </c>
      <c r="FG563" s="408">
        <v>0</v>
      </c>
      <c r="FH563" s="408">
        <v>0</v>
      </c>
      <c r="FI563" s="408">
        <v>0</v>
      </c>
    </row>
    <row r="564" spans="1:165">
      <c r="A564" s="408">
        <v>565</v>
      </c>
      <c r="B564" s="408" t="s">
        <v>1036</v>
      </c>
      <c r="C564" s="408" t="s">
        <v>2231</v>
      </c>
      <c r="D564" s="408" t="s">
        <v>1952</v>
      </c>
      <c r="E564" s="408" t="s">
        <v>969</v>
      </c>
      <c r="F564" s="408" t="s">
        <v>2236</v>
      </c>
      <c r="G564" s="408" t="s">
        <v>1322</v>
      </c>
      <c r="H564" s="408" t="s">
        <v>1322</v>
      </c>
      <c r="I564" s="408" t="s">
        <v>1322</v>
      </c>
      <c r="J564" s="408" t="s">
        <v>2232</v>
      </c>
      <c r="K564" s="828">
        <v>44713</v>
      </c>
      <c r="L564" s="408">
        <v>0</v>
      </c>
      <c r="M564" s="408">
        <v>0</v>
      </c>
      <c r="N564" s="408">
        <v>14.297000000000001</v>
      </c>
      <c r="O564" s="408">
        <v>14.297000000000001</v>
      </c>
      <c r="P564" s="408">
        <v>14.297000000000001</v>
      </c>
      <c r="Q564" s="408">
        <v>14.297000000000001</v>
      </c>
      <c r="R564" s="408"/>
      <c r="S564" s="408">
        <v>501.89</v>
      </c>
      <c r="T564" s="408">
        <v>216.76</v>
      </c>
      <c r="U564" s="408"/>
      <c r="V564" s="408">
        <v>10274.539049999999</v>
      </c>
      <c r="W564" s="408">
        <v>10274.539049999999</v>
      </c>
      <c r="X564" s="408">
        <v>6395.0481</v>
      </c>
      <c r="Y564" s="408">
        <v>0</v>
      </c>
      <c r="Z564" s="408">
        <v>0</v>
      </c>
      <c r="AA564" s="408">
        <v>0</v>
      </c>
      <c r="AB564" s="408">
        <v>0</v>
      </c>
      <c r="AC564" s="408">
        <v>0</v>
      </c>
      <c r="AD564" s="408">
        <v>11.750900161867763</v>
      </c>
      <c r="AE564" s="408">
        <v>6096.007312645509</v>
      </c>
      <c r="AF564" s="408">
        <v>3053.8606572755239</v>
      </c>
      <c r="AG564" s="408">
        <v>45.141415517059393</v>
      </c>
      <c r="AH564" s="408">
        <v>0</v>
      </c>
      <c r="AI564" s="408">
        <v>0</v>
      </c>
      <c r="AJ564" s="408">
        <v>0</v>
      </c>
      <c r="AK564" s="408">
        <v>0</v>
      </c>
      <c r="AL564" s="408">
        <v>0</v>
      </c>
      <c r="AM564" s="408"/>
      <c r="AN564" s="408">
        <v>27.428359244349895</v>
      </c>
      <c r="AO564" s="408">
        <v>126.98163271892329</v>
      </c>
      <c r="AP564" s="408">
        <v>397.84412182867749</v>
      </c>
      <c r="AQ564" s="408">
        <v>0</v>
      </c>
      <c r="AR564" s="408">
        <v>0</v>
      </c>
      <c r="AS564" s="408">
        <v>0</v>
      </c>
      <c r="AT564" s="408">
        <v>0</v>
      </c>
      <c r="AU564" s="408">
        <v>0</v>
      </c>
      <c r="AV564" s="408">
        <v>0</v>
      </c>
      <c r="AW564" s="408">
        <v>0</v>
      </c>
      <c r="AX564" s="408">
        <v>0</v>
      </c>
      <c r="AY564" s="408">
        <v>0</v>
      </c>
      <c r="AZ564" s="408">
        <v>0</v>
      </c>
      <c r="BA564" s="408"/>
      <c r="BB564" s="408">
        <v>0</v>
      </c>
      <c r="BC564" s="408">
        <v>0</v>
      </c>
      <c r="BD564" s="408">
        <v>8.5077103840382335</v>
      </c>
      <c r="BE564" s="408">
        <v>0</v>
      </c>
      <c r="BF564" s="408">
        <v>0</v>
      </c>
      <c r="BG564" s="408">
        <v>506.94642105864057</v>
      </c>
      <c r="BH564" s="408">
        <v>0</v>
      </c>
      <c r="BI564" s="408">
        <v>12.24</v>
      </c>
      <c r="BJ564" s="408">
        <v>55.26</v>
      </c>
      <c r="BK564" s="408">
        <v>1290.51</v>
      </c>
      <c r="BL564" s="408">
        <v>49</v>
      </c>
      <c r="BM564" s="408"/>
      <c r="BN564" s="408"/>
      <c r="BO564" s="408"/>
      <c r="BP564" s="408"/>
      <c r="BQ564" s="408"/>
      <c r="BR564" s="408"/>
      <c r="BS564" s="408"/>
      <c r="BT564" s="408">
        <v>2557.8762700000002</v>
      </c>
      <c r="BU564" s="408"/>
      <c r="BV564" s="408">
        <v>3569.3147887182026</v>
      </c>
      <c r="BW564" s="408"/>
      <c r="BX564" s="408"/>
      <c r="BY564" s="408"/>
      <c r="BZ564" s="408"/>
      <c r="CA564" s="408"/>
      <c r="CB564" s="408"/>
      <c r="CC564" s="408"/>
      <c r="CD564" s="408"/>
      <c r="CE564" s="408"/>
      <c r="CF564" s="408"/>
      <c r="CG564" s="408"/>
      <c r="CH564" s="408"/>
      <c r="CI564" s="408">
        <v>3837.9769999999999</v>
      </c>
      <c r="CJ564" s="408">
        <v>-2326.7764300000008</v>
      </c>
      <c r="CK564" s="408"/>
      <c r="CL564" s="408"/>
      <c r="CM564" s="408"/>
      <c r="CN564" s="408"/>
      <c r="CO564" s="408">
        <v>-4346.0020600000007</v>
      </c>
      <c r="CP564" s="408">
        <v>466.51110999999997</v>
      </c>
      <c r="CQ564" s="408">
        <v>30</v>
      </c>
      <c r="CR564" s="408">
        <v>599.41511411828833</v>
      </c>
      <c r="CS564" s="408">
        <v>13.098348957248135</v>
      </c>
      <c r="CT564" s="408">
        <v>41.038227550883448</v>
      </c>
      <c r="CU564" s="408">
        <v>0</v>
      </c>
      <c r="CV564" s="408">
        <v>0</v>
      </c>
      <c r="CW564" s="408">
        <v>0</v>
      </c>
      <c r="CX564" s="408">
        <v>0</v>
      </c>
      <c r="CY564" s="408">
        <v>0</v>
      </c>
      <c r="CZ564" s="408">
        <v>1.1489449616639771</v>
      </c>
      <c r="DA564" s="408">
        <v>0</v>
      </c>
      <c r="DB564" s="408">
        <v>0</v>
      </c>
      <c r="DC564" s="408">
        <v>466.57106480382117</v>
      </c>
      <c r="DD564" s="408">
        <v>0</v>
      </c>
      <c r="DE564" s="408">
        <v>0</v>
      </c>
      <c r="DF564" s="408">
        <v>1.2998142149893006</v>
      </c>
      <c r="DG564" s="408">
        <v>77.451644988555927</v>
      </c>
      <c r="DH564" s="408">
        <v>0</v>
      </c>
      <c r="DI564" s="408">
        <v>0</v>
      </c>
      <c r="DJ564" s="408"/>
      <c r="DK564" s="408">
        <v>0</v>
      </c>
      <c r="DL564" s="408">
        <v>0</v>
      </c>
      <c r="DM564" s="408">
        <v>0</v>
      </c>
      <c r="DN564" s="408">
        <v>0</v>
      </c>
      <c r="DO564" s="408">
        <v>0</v>
      </c>
      <c r="DP564" s="408">
        <v>-1.1929313588736044</v>
      </c>
      <c r="DQ564" s="408">
        <v>0</v>
      </c>
      <c r="DR564" s="408">
        <v>0</v>
      </c>
      <c r="DS564" s="408"/>
      <c r="DT564" s="408"/>
      <c r="DU564" s="408"/>
      <c r="DV564" s="408">
        <v>6096.007312645509</v>
      </c>
      <c r="DW564" s="408">
        <v>0</v>
      </c>
      <c r="DX564" s="408">
        <v>0</v>
      </c>
      <c r="DY564" s="408">
        <v>-4346.0020600000007</v>
      </c>
      <c r="DZ564" s="234">
        <v>466.51110999999992</v>
      </c>
      <c r="EA564" s="408">
        <v>0</v>
      </c>
      <c r="EB564" s="408">
        <v>0</v>
      </c>
      <c r="EC564" s="408">
        <v>-4478.796419704986</v>
      </c>
      <c r="ED564" s="408">
        <v>0</v>
      </c>
      <c r="EE564" s="408">
        <v>0</v>
      </c>
      <c r="EF564" s="408">
        <v>0</v>
      </c>
      <c r="EG564" s="408">
        <v>0</v>
      </c>
      <c r="EH564" s="408">
        <v>0</v>
      </c>
      <c r="EI564" s="408">
        <v>0</v>
      </c>
      <c r="EJ564" s="408">
        <v>0</v>
      </c>
      <c r="EK564" s="408">
        <v>0</v>
      </c>
      <c r="EL564" s="408">
        <v>0</v>
      </c>
      <c r="EM564" s="408">
        <v>0</v>
      </c>
      <c r="EN564" s="408">
        <v>0</v>
      </c>
      <c r="EO564" s="408">
        <v>0</v>
      </c>
      <c r="EP564" s="408">
        <v>0</v>
      </c>
      <c r="EQ564" s="408">
        <v>0</v>
      </c>
      <c r="ER564" s="408">
        <v>0</v>
      </c>
      <c r="ES564" s="408">
        <v>0</v>
      </c>
      <c r="ET564" s="408">
        <v>0</v>
      </c>
      <c r="EU564" s="408">
        <v>0</v>
      </c>
      <c r="EV564" s="408">
        <v>242</v>
      </c>
      <c r="EW564" s="408">
        <v>0</v>
      </c>
      <c r="EX564" s="408">
        <v>0</v>
      </c>
      <c r="EY564" s="408">
        <v>0</v>
      </c>
      <c r="EZ564" s="408"/>
      <c r="FA564" s="408">
        <v>0</v>
      </c>
      <c r="FB564" s="408"/>
      <c r="FC564" s="408"/>
      <c r="FD564" s="408"/>
      <c r="FE564" s="408"/>
      <c r="FF564" s="408">
        <v>0</v>
      </c>
      <c r="FG564" s="408">
        <v>0</v>
      </c>
      <c r="FH564" s="408">
        <v>0</v>
      </c>
      <c r="FI564" s="408">
        <v>0</v>
      </c>
    </row>
    <row r="565" spans="1:165">
      <c r="A565" s="408">
        <v>566</v>
      </c>
      <c r="B565" s="408" t="s">
        <v>1036</v>
      </c>
      <c r="C565" s="408" t="s">
        <v>2231</v>
      </c>
      <c r="D565" s="408" t="s">
        <v>1952</v>
      </c>
      <c r="E565" s="408" t="s">
        <v>969</v>
      </c>
      <c r="F565" s="408" t="s">
        <v>2237</v>
      </c>
      <c r="G565" s="408" t="s">
        <v>1322</v>
      </c>
      <c r="H565" s="408" t="s">
        <v>1322</v>
      </c>
      <c r="I565" s="408" t="s">
        <v>1322</v>
      </c>
      <c r="J565" s="408" t="s">
        <v>2232</v>
      </c>
      <c r="K565" s="828">
        <v>44713</v>
      </c>
      <c r="L565" s="408">
        <v>0</v>
      </c>
      <c r="M565" s="408">
        <v>0</v>
      </c>
      <c r="N565" s="408">
        <v>13.989000000000001</v>
      </c>
      <c r="O565" s="408">
        <v>13.989000000000001</v>
      </c>
      <c r="P565" s="408">
        <v>13.989000000000001</v>
      </c>
      <c r="Q565" s="408">
        <v>13.989000000000001</v>
      </c>
      <c r="R565" s="408"/>
      <c r="S565" s="408">
        <v>501.89</v>
      </c>
      <c r="T565" s="408">
        <v>216.76</v>
      </c>
      <c r="U565" s="408"/>
      <c r="V565" s="408">
        <v>10053.19485</v>
      </c>
      <c r="W565" s="408">
        <v>10053.19485</v>
      </c>
      <c r="X565" s="408">
        <v>6257.2797</v>
      </c>
      <c r="Y565" s="408">
        <v>0</v>
      </c>
      <c r="Z565" s="408">
        <v>0</v>
      </c>
      <c r="AA565" s="408">
        <v>0</v>
      </c>
      <c r="AB565" s="408">
        <v>0</v>
      </c>
      <c r="AC565" s="408">
        <v>0</v>
      </c>
      <c r="AD565" s="408">
        <v>11.497750742419258</v>
      </c>
      <c r="AE565" s="408">
        <v>5964.6811426591612</v>
      </c>
      <c r="AF565" s="408">
        <v>2988.0713950218442</v>
      </c>
      <c r="AG565" s="408">
        <v>44.16893485823207</v>
      </c>
      <c r="AH565" s="408">
        <v>0</v>
      </c>
      <c r="AI565" s="408">
        <v>0</v>
      </c>
      <c r="AJ565" s="408">
        <v>0</v>
      </c>
      <c r="AK565" s="408">
        <v>0</v>
      </c>
      <c r="AL565" s="408">
        <v>0</v>
      </c>
      <c r="AM565" s="408"/>
      <c r="AN565" s="408">
        <v>26.837470621054113</v>
      </c>
      <c r="AO565" s="408">
        <v>124.24606981219962</v>
      </c>
      <c r="AP565" s="408">
        <v>389.27337345326777</v>
      </c>
      <c r="AQ565" s="408">
        <v>0</v>
      </c>
      <c r="AR565" s="408">
        <v>0</v>
      </c>
      <c r="AS565" s="408">
        <v>0</v>
      </c>
      <c r="AT565" s="408">
        <v>0</v>
      </c>
      <c r="AU565" s="408">
        <v>0</v>
      </c>
      <c r="AV565" s="408">
        <v>0</v>
      </c>
      <c r="AW565" s="408">
        <v>0</v>
      </c>
      <c r="AX565" s="408">
        <v>0</v>
      </c>
      <c r="AY565" s="408">
        <v>0</v>
      </c>
      <c r="AZ565" s="408">
        <v>0</v>
      </c>
      <c r="BA565" s="408"/>
      <c r="BB565" s="408">
        <v>0</v>
      </c>
      <c r="BC565" s="408">
        <v>0</v>
      </c>
      <c r="BD565" s="408">
        <v>8.3244289404987661</v>
      </c>
      <c r="BE565" s="408">
        <v>0</v>
      </c>
      <c r="BF565" s="408">
        <v>0</v>
      </c>
      <c r="BG565" s="408">
        <v>496.02528391895663</v>
      </c>
      <c r="BH565" s="408">
        <v>0</v>
      </c>
      <c r="BI565" s="408">
        <v>18.16</v>
      </c>
      <c r="BJ565" s="408">
        <v>83.23</v>
      </c>
      <c r="BK565" s="408">
        <v>1910.25</v>
      </c>
      <c r="BL565" s="408">
        <v>123</v>
      </c>
      <c r="BM565" s="408"/>
      <c r="BN565" s="408"/>
      <c r="BO565" s="408"/>
      <c r="BP565" s="408"/>
      <c r="BQ565" s="408"/>
      <c r="BR565" s="408"/>
      <c r="BS565" s="408"/>
      <c r="BT565" s="408">
        <v>625.72796999999991</v>
      </c>
      <c r="BU565" s="408"/>
      <c r="BV565" s="408">
        <v>3492.4211078812996</v>
      </c>
      <c r="BW565" s="408"/>
      <c r="BX565" s="408"/>
      <c r="BY565" s="408"/>
      <c r="BZ565" s="408"/>
      <c r="CA565" s="408"/>
      <c r="CB565" s="408"/>
      <c r="CC565" s="408"/>
      <c r="CD565" s="408"/>
      <c r="CE565" s="408"/>
      <c r="CF565" s="408"/>
      <c r="CG565" s="408"/>
      <c r="CH565" s="408"/>
      <c r="CI565" s="408">
        <v>5631.9542999999994</v>
      </c>
      <c r="CJ565" s="408">
        <v>-3415.8811200000018</v>
      </c>
      <c r="CK565" s="408"/>
      <c r="CL565" s="408"/>
      <c r="CM565" s="408"/>
      <c r="CN565" s="408"/>
      <c r="CO565" s="408">
        <v>-4252.3762200000001</v>
      </c>
      <c r="CP565" s="408">
        <v>456.46106999999995</v>
      </c>
      <c r="CQ565" s="408">
        <v>30</v>
      </c>
      <c r="CR565" s="408">
        <v>586.5019256767664</v>
      </c>
      <c r="CS565" s="408">
        <v>12.816171473941651</v>
      </c>
      <c r="CT565" s="408">
        <v>40.154141792635414</v>
      </c>
      <c r="CU565" s="408">
        <v>0</v>
      </c>
      <c r="CV565" s="408">
        <v>0</v>
      </c>
      <c r="CW565" s="408">
        <v>0</v>
      </c>
      <c r="CX565" s="408">
        <v>0</v>
      </c>
      <c r="CY565" s="408">
        <v>0</v>
      </c>
      <c r="CZ565" s="408">
        <v>1.1241932621331312</v>
      </c>
      <c r="DA565" s="408">
        <v>0</v>
      </c>
      <c r="DB565" s="408">
        <v>0</v>
      </c>
      <c r="DC565" s="408">
        <v>456.51973319861872</v>
      </c>
      <c r="DD565" s="408">
        <v>0</v>
      </c>
      <c r="DE565" s="408">
        <v>0</v>
      </c>
      <c r="DF565" s="408">
        <v>1.2718123419937974</v>
      </c>
      <c r="DG565" s="408">
        <v>75.783105668665314</v>
      </c>
      <c r="DH565" s="408">
        <v>0</v>
      </c>
      <c r="DI565" s="408">
        <v>0</v>
      </c>
      <c r="DJ565" s="408"/>
      <c r="DK565" s="408">
        <v>0</v>
      </c>
      <c r="DL565" s="408">
        <v>0</v>
      </c>
      <c r="DM565" s="408">
        <v>0</v>
      </c>
      <c r="DN565" s="408">
        <v>0</v>
      </c>
      <c r="DO565" s="408">
        <v>0</v>
      </c>
      <c r="DP565" s="408">
        <v>-1.16723206122143</v>
      </c>
      <c r="DQ565" s="408">
        <v>0</v>
      </c>
      <c r="DR565" s="408">
        <v>0</v>
      </c>
      <c r="DS565" s="408"/>
      <c r="DT565" s="408"/>
      <c r="DU565" s="408"/>
      <c r="DV565" s="408">
        <v>5964.6811426591612</v>
      </c>
      <c r="DW565" s="408">
        <v>0</v>
      </c>
      <c r="DX565" s="408">
        <v>0</v>
      </c>
      <c r="DY565" s="408">
        <v>-4252.3762200000001</v>
      </c>
      <c r="DZ565" s="234">
        <v>456.46107000000029</v>
      </c>
      <c r="EA565" s="408">
        <v>0</v>
      </c>
      <c r="EB565" s="408">
        <v>0</v>
      </c>
      <c r="EC565" s="408">
        <v>-4382.3097933309818</v>
      </c>
      <c r="ED565" s="408">
        <v>0</v>
      </c>
      <c r="EE565" s="408">
        <v>0</v>
      </c>
      <c r="EF565" s="408">
        <v>0</v>
      </c>
      <c r="EG565" s="408">
        <v>0</v>
      </c>
      <c r="EH565" s="408">
        <v>0</v>
      </c>
      <c r="EI565" s="408">
        <v>0</v>
      </c>
      <c r="EJ565" s="408">
        <v>0</v>
      </c>
      <c r="EK565" s="408">
        <v>0</v>
      </c>
      <c r="EL565" s="408">
        <v>0</v>
      </c>
      <c r="EM565" s="408">
        <v>0</v>
      </c>
      <c r="EN565" s="408">
        <v>0</v>
      </c>
      <c r="EO565" s="408">
        <v>0</v>
      </c>
      <c r="EP565" s="408">
        <v>0</v>
      </c>
      <c r="EQ565" s="408">
        <v>0</v>
      </c>
      <c r="ER565" s="408">
        <v>0</v>
      </c>
      <c r="ES565" s="408">
        <v>0</v>
      </c>
      <c r="ET565" s="408">
        <v>0</v>
      </c>
      <c r="EU565" s="408">
        <v>0</v>
      </c>
      <c r="EV565" s="408">
        <v>242</v>
      </c>
      <c r="EW565" s="408">
        <v>0</v>
      </c>
      <c r="EX565" s="408">
        <v>0</v>
      </c>
      <c r="EY565" s="408">
        <v>0</v>
      </c>
      <c r="EZ565" s="408"/>
      <c r="FA565" s="408">
        <v>0</v>
      </c>
      <c r="FB565" s="408"/>
      <c r="FC565" s="408"/>
      <c r="FD565" s="408"/>
      <c r="FE565" s="408"/>
      <c r="FF565" s="408">
        <v>0</v>
      </c>
      <c r="FG565" s="408">
        <v>0</v>
      </c>
      <c r="FH565" s="408">
        <v>0</v>
      </c>
      <c r="FI565" s="408">
        <v>0</v>
      </c>
    </row>
    <row r="566" spans="1:165">
      <c r="A566" s="408">
        <v>567</v>
      </c>
      <c r="B566" s="408" t="s">
        <v>1036</v>
      </c>
      <c r="C566" s="408" t="s">
        <v>2231</v>
      </c>
      <c r="D566" s="408" t="s">
        <v>1952</v>
      </c>
      <c r="E566" s="408" t="s">
        <v>969</v>
      </c>
      <c r="F566" s="408" t="s">
        <v>2238</v>
      </c>
      <c r="G566" s="408" t="s">
        <v>1322</v>
      </c>
      <c r="H566" s="408" t="s">
        <v>1322</v>
      </c>
      <c r="I566" s="408" t="s">
        <v>1322</v>
      </c>
      <c r="J566" s="408" t="s">
        <v>2232</v>
      </c>
      <c r="K566" s="828">
        <v>44713</v>
      </c>
      <c r="L566" s="408">
        <v>0</v>
      </c>
      <c r="M566" s="408">
        <v>0</v>
      </c>
      <c r="N566" s="408">
        <v>4.8220000000000001</v>
      </c>
      <c r="O566" s="408">
        <v>4.8220000000000001</v>
      </c>
      <c r="P566" s="408">
        <v>4.8220000000000001</v>
      </c>
      <c r="Q566" s="408">
        <v>4.8220000000000001</v>
      </c>
      <c r="R566" s="408"/>
      <c r="S566" s="408">
        <v>501.89</v>
      </c>
      <c r="T566" s="408">
        <v>216.76</v>
      </c>
      <c r="U566" s="408"/>
      <c r="V566" s="408">
        <v>3465.3303000000001</v>
      </c>
      <c r="W566" s="408">
        <v>3465.3303000000001</v>
      </c>
      <c r="X566" s="408">
        <v>2156.8806</v>
      </c>
      <c r="Y566" s="408">
        <v>0</v>
      </c>
      <c r="Z566" s="408">
        <v>0</v>
      </c>
      <c r="AA566" s="408">
        <v>0</v>
      </c>
      <c r="AB566" s="408">
        <v>0</v>
      </c>
      <c r="AC566" s="408">
        <v>0</v>
      </c>
      <c r="AD566" s="408">
        <v>3.9632678590282127</v>
      </c>
      <c r="AE566" s="408">
        <v>2056.0220508901616</v>
      </c>
      <c r="AF566" s="408">
        <v>1029.9864369715729</v>
      </c>
      <c r="AG566" s="408">
        <v>15.225005639173281</v>
      </c>
      <c r="AH566" s="408">
        <v>0</v>
      </c>
      <c r="AI566" s="408">
        <v>0</v>
      </c>
      <c r="AJ566" s="408">
        <v>0</v>
      </c>
      <c r="AK566" s="408">
        <v>0</v>
      </c>
      <c r="AL566" s="408">
        <v>0</v>
      </c>
      <c r="AM566" s="408"/>
      <c r="AN566" s="408">
        <v>9.2508601997800373</v>
      </c>
      <c r="AO566" s="408">
        <v>42.827546546173892</v>
      </c>
      <c r="AP566" s="408">
        <v>134.18230086436895</v>
      </c>
      <c r="AQ566" s="408">
        <v>0</v>
      </c>
      <c r="AR566" s="408">
        <v>0</v>
      </c>
      <c r="AS566" s="408">
        <v>0</v>
      </c>
      <c r="AT566" s="408">
        <v>0</v>
      </c>
      <c r="AU566" s="408">
        <v>0</v>
      </c>
      <c r="AV566" s="408">
        <v>0</v>
      </c>
      <c r="AW566" s="408">
        <v>0</v>
      </c>
      <c r="AX566" s="408">
        <v>0</v>
      </c>
      <c r="AY566" s="408">
        <v>0</v>
      </c>
      <c r="AZ566" s="408">
        <v>0</v>
      </c>
      <c r="BA566" s="408"/>
      <c r="BB566" s="408">
        <v>0</v>
      </c>
      <c r="BC566" s="408">
        <v>0</v>
      </c>
      <c r="BD566" s="408">
        <v>2.8694257167120627</v>
      </c>
      <c r="BE566" s="408">
        <v>0</v>
      </c>
      <c r="BF566" s="408">
        <v>0</v>
      </c>
      <c r="BG566" s="408">
        <v>170.97962106349337</v>
      </c>
      <c r="BH566" s="408">
        <v>0</v>
      </c>
      <c r="BI566" s="408">
        <v>7</v>
      </c>
      <c r="BJ566" s="408">
        <v>31.26</v>
      </c>
      <c r="BK566" s="408">
        <v>731.43</v>
      </c>
      <c r="BL566" s="408">
        <v>56</v>
      </c>
      <c r="BM566" s="408"/>
      <c r="BN566" s="408"/>
      <c r="BO566" s="408"/>
      <c r="BP566" s="408"/>
      <c r="BQ566" s="408"/>
      <c r="BR566" s="408"/>
      <c r="BS566" s="408"/>
      <c r="BT566" s="408"/>
      <c r="BU566" s="408"/>
      <c r="BV566" s="408">
        <v>1203.8354837517784</v>
      </c>
      <c r="BW566" s="408"/>
      <c r="BX566" s="408"/>
      <c r="BY566" s="408"/>
      <c r="BZ566" s="408"/>
      <c r="CA566" s="408"/>
      <c r="CB566" s="408"/>
      <c r="CC566" s="408"/>
      <c r="CD566" s="408"/>
      <c r="CE566" s="408"/>
      <c r="CF566" s="408"/>
      <c r="CG566" s="408"/>
      <c r="CH566" s="408"/>
      <c r="CI566" s="408">
        <v>2155.9859999999999</v>
      </c>
      <c r="CJ566" s="408">
        <v>-1309.3743000000009</v>
      </c>
      <c r="CK566" s="408"/>
      <c r="CL566" s="408"/>
      <c r="CM566" s="408"/>
      <c r="CN566" s="408"/>
      <c r="CO566" s="408">
        <v>-1465.7915600000001</v>
      </c>
      <c r="CP566" s="408">
        <v>157.34185999999997</v>
      </c>
      <c r="CQ566" s="408">
        <v>30</v>
      </c>
      <c r="CR566" s="408">
        <v>202.16686579550856</v>
      </c>
      <c r="CS566" s="408">
        <v>4.4177267029342104</v>
      </c>
      <c r="CT566" s="408">
        <v>13.841108851532482</v>
      </c>
      <c r="CU566" s="408">
        <v>0</v>
      </c>
      <c r="CV566" s="408">
        <v>0</v>
      </c>
      <c r="CW566" s="408">
        <v>0</v>
      </c>
      <c r="CX566" s="408">
        <v>0</v>
      </c>
      <c r="CY566" s="408">
        <v>0</v>
      </c>
      <c r="CZ566" s="408">
        <v>0.38750875044720567</v>
      </c>
      <c r="DA566" s="408">
        <v>0</v>
      </c>
      <c r="DB566" s="408">
        <v>0</v>
      </c>
      <c r="DC566" s="408">
        <v>157.36208116975763</v>
      </c>
      <c r="DD566" s="408">
        <v>0</v>
      </c>
      <c r="DE566" s="408">
        <v>0</v>
      </c>
      <c r="DF566" s="408">
        <v>0.43839295968933367</v>
      </c>
      <c r="DG566" s="408">
        <v>26.12239156010466</v>
      </c>
      <c r="DH566" s="408">
        <v>0</v>
      </c>
      <c r="DI566" s="408">
        <v>0</v>
      </c>
      <c r="DJ566" s="408"/>
      <c r="DK566" s="408">
        <v>0</v>
      </c>
      <c r="DL566" s="408">
        <v>0</v>
      </c>
      <c r="DM566" s="408">
        <v>0</v>
      </c>
      <c r="DN566" s="408">
        <v>0</v>
      </c>
      <c r="DO566" s="408">
        <v>0</v>
      </c>
      <c r="DP566" s="408">
        <v>-0.40234419895702089</v>
      </c>
      <c r="DQ566" s="408">
        <v>0</v>
      </c>
      <c r="DR566" s="408">
        <v>0</v>
      </c>
      <c r="DS566" s="408"/>
      <c r="DT566" s="408"/>
      <c r="DU566" s="408"/>
      <c r="DV566" s="408">
        <v>2056.0220508901616</v>
      </c>
      <c r="DW566" s="408">
        <v>0</v>
      </c>
      <c r="DX566" s="408">
        <v>0</v>
      </c>
      <c r="DY566" s="408">
        <v>-1465.7915600000001</v>
      </c>
      <c r="DZ566" s="234">
        <v>157.34186</v>
      </c>
      <c r="EA566" s="408">
        <v>0</v>
      </c>
      <c r="EB566" s="408">
        <v>0</v>
      </c>
      <c r="EC566" s="408">
        <v>-1510.5795856345694</v>
      </c>
      <c r="ED566" s="408">
        <v>0</v>
      </c>
      <c r="EE566" s="408">
        <v>0</v>
      </c>
      <c r="EF566" s="408">
        <v>0</v>
      </c>
      <c r="EG566" s="408">
        <v>0</v>
      </c>
      <c r="EH566" s="408">
        <v>0</v>
      </c>
      <c r="EI566" s="408">
        <v>0</v>
      </c>
      <c r="EJ566" s="408">
        <v>0</v>
      </c>
      <c r="EK566" s="408">
        <v>0</v>
      </c>
      <c r="EL566" s="408">
        <v>0</v>
      </c>
      <c r="EM566" s="408">
        <v>0</v>
      </c>
      <c r="EN566" s="408">
        <v>0</v>
      </c>
      <c r="EO566" s="408">
        <v>0</v>
      </c>
      <c r="EP566" s="408">
        <v>0</v>
      </c>
      <c r="EQ566" s="408">
        <v>0</v>
      </c>
      <c r="ER566" s="408">
        <v>0</v>
      </c>
      <c r="ES566" s="408">
        <v>0</v>
      </c>
      <c r="ET566" s="408">
        <v>0</v>
      </c>
      <c r="EU566" s="408">
        <v>0</v>
      </c>
      <c r="EV566" s="408">
        <v>242</v>
      </c>
      <c r="EW566" s="408">
        <v>0</v>
      </c>
      <c r="EX566" s="408">
        <v>0</v>
      </c>
      <c r="EY566" s="408">
        <v>0</v>
      </c>
      <c r="EZ566" s="408"/>
      <c r="FA566" s="408">
        <v>0</v>
      </c>
      <c r="FB566" s="408"/>
      <c r="FC566" s="408"/>
      <c r="FD566" s="408"/>
      <c r="FE566" s="408"/>
      <c r="FF566" s="408">
        <v>0</v>
      </c>
      <c r="FG566" s="408">
        <v>0</v>
      </c>
      <c r="FH566" s="408">
        <v>0</v>
      </c>
      <c r="FI566" s="408">
        <v>0</v>
      </c>
    </row>
    <row r="567" spans="1:165">
      <c r="A567" s="408">
        <v>568</v>
      </c>
      <c r="B567" s="408" t="s">
        <v>2234</v>
      </c>
      <c r="C567" s="408" t="s">
        <v>2231</v>
      </c>
      <c r="D567" s="408" t="s">
        <v>1952</v>
      </c>
      <c r="E567" s="408" t="s">
        <v>969</v>
      </c>
      <c r="F567" s="408" t="s">
        <v>2238</v>
      </c>
      <c r="G567" s="408" t="s">
        <v>1322</v>
      </c>
      <c r="H567" s="408" t="s">
        <v>1322</v>
      </c>
      <c r="I567" s="408" t="s">
        <v>1322</v>
      </c>
      <c r="J567" s="408" t="s">
        <v>2232</v>
      </c>
      <c r="K567" s="828">
        <v>44713</v>
      </c>
      <c r="L567" s="408">
        <v>0</v>
      </c>
      <c r="M567" s="408">
        <v>0</v>
      </c>
      <c r="N567" s="408">
        <v>0.03</v>
      </c>
      <c r="O567" s="408">
        <v>0.03</v>
      </c>
      <c r="P567" s="408">
        <v>0.03</v>
      </c>
      <c r="Q567" s="408">
        <v>0.03</v>
      </c>
      <c r="R567" s="408"/>
      <c r="S567" s="408">
        <v>501.89</v>
      </c>
      <c r="T567" s="408">
        <v>216.76</v>
      </c>
      <c r="U567" s="408"/>
      <c r="V567" s="408">
        <v>21.5595</v>
      </c>
      <c r="W567" s="408">
        <v>21.5595</v>
      </c>
      <c r="X567" s="408">
        <v>13.418999999999999</v>
      </c>
      <c r="Y567" s="408">
        <v>0</v>
      </c>
      <c r="Z567" s="408">
        <v>0</v>
      </c>
      <c r="AA567" s="408">
        <v>0</v>
      </c>
      <c r="AB567" s="408">
        <v>0</v>
      </c>
      <c r="AC567" s="408">
        <v>0</v>
      </c>
      <c r="AD567" s="408">
        <v>2.4657410985243957E-2</v>
      </c>
      <c r="AE567" s="408">
        <v>12.791510063605319</v>
      </c>
      <c r="AF567" s="408">
        <v>6.4080450247090797</v>
      </c>
      <c r="AG567" s="408">
        <v>9.4722142093570799E-2</v>
      </c>
      <c r="AH567" s="408">
        <v>0</v>
      </c>
      <c r="AI567" s="408">
        <v>0</v>
      </c>
      <c r="AJ567" s="408">
        <v>0</v>
      </c>
      <c r="AK567" s="408">
        <v>0</v>
      </c>
      <c r="AL567" s="408">
        <v>0</v>
      </c>
      <c r="AM567" s="408"/>
      <c r="AN567" s="408">
        <v>5.7554086684653893E-2</v>
      </c>
      <c r="AO567" s="408">
        <v>0.26645093247308516</v>
      </c>
      <c r="AP567" s="408">
        <v>0.83481315344899798</v>
      </c>
      <c r="AQ567" s="408">
        <v>0</v>
      </c>
      <c r="AR567" s="408">
        <v>0</v>
      </c>
      <c r="AS567" s="408">
        <v>0</v>
      </c>
      <c r="AT567" s="408">
        <v>0</v>
      </c>
      <c r="AU567" s="408">
        <v>0</v>
      </c>
      <c r="AV567" s="408">
        <v>0</v>
      </c>
      <c r="AW567" s="408">
        <v>0</v>
      </c>
      <c r="AX567" s="408">
        <v>0</v>
      </c>
      <c r="AY567" s="408">
        <v>0</v>
      </c>
      <c r="AZ567" s="408">
        <v>0</v>
      </c>
      <c r="BA567" s="408"/>
      <c r="BB567" s="408">
        <v>0</v>
      </c>
      <c r="BC567" s="408">
        <v>0</v>
      </c>
      <c r="BD567" s="408">
        <v>1.7852088656441698E-2</v>
      </c>
      <c r="BE567" s="408">
        <v>0</v>
      </c>
      <c r="BF567" s="408">
        <v>0</v>
      </c>
      <c r="BG567" s="408">
        <v>1.0637471239951888</v>
      </c>
      <c r="BH567" s="408">
        <v>0</v>
      </c>
      <c r="BI567" s="408">
        <v>0.01</v>
      </c>
      <c r="BJ567" s="408">
        <v>7.0000000000000007E-2</v>
      </c>
      <c r="BK567" s="408">
        <v>19.72</v>
      </c>
      <c r="BL567" s="408">
        <v>1</v>
      </c>
      <c r="BM567" s="408"/>
      <c r="BN567" s="408"/>
      <c r="BO567" s="408"/>
      <c r="BP567" s="408"/>
      <c r="BQ567" s="408"/>
      <c r="BR567" s="408"/>
      <c r="BS567" s="408"/>
      <c r="BT567" s="408"/>
      <c r="BU567" s="408"/>
      <c r="BV567" s="408">
        <v>7.4896442373607099</v>
      </c>
      <c r="BW567" s="408"/>
      <c r="BX567" s="408"/>
      <c r="BY567" s="408"/>
      <c r="BZ567" s="408"/>
      <c r="CA567" s="408"/>
      <c r="CB567" s="408"/>
      <c r="CC567" s="408"/>
      <c r="CD567" s="408"/>
      <c r="CE567" s="408"/>
      <c r="CF567" s="408"/>
      <c r="CG567" s="408"/>
      <c r="CH567" s="408"/>
      <c r="CI567" s="408">
        <v>13.418999999999999</v>
      </c>
      <c r="CJ567" s="408">
        <v>-8.1705000000000023</v>
      </c>
      <c r="CK567" s="408"/>
      <c r="CL567" s="408"/>
      <c r="CM567" s="408"/>
      <c r="CN567" s="408"/>
      <c r="CO567" s="408">
        <v>-9.1194000000000006</v>
      </c>
      <c r="CP567" s="408">
        <v>0.97889999999999988</v>
      </c>
      <c r="CQ567" s="408">
        <v>30</v>
      </c>
      <c r="CR567" s="408">
        <v>1.257778094953391</v>
      </c>
      <c r="CS567" s="408">
        <v>2.7484819802576999E-2</v>
      </c>
      <c r="CT567" s="408">
        <v>8.6112249180003042E-2</v>
      </c>
      <c r="CU567" s="408">
        <v>0</v>
      </c>
      <c r="CV567" s="408">
        <v>0</v>
      </c>
      <c r="CW567" s="408">
        <v>0</v>
      </c>
      <c r="CX567" s="408">
        <v>0</v>
      </c>
      <c r="CY567" s="408">
        <v>0</v>
      </c>
      <c r="CZ567" s="408">
        <v>2.4108798244330508E-3</v>
      </c>
      <c r="DA567" s="408">
        <v>0</v>
      </c>
      <c r="DB567" s="408">
        <v>0</v>
      </c>
      <c r="DC567" s="408">
        <v>0.97902580570151976</v>
      </c>
      <c r="DD567" s="408">
        <v>0</v>
      </c>
      <c r="DE567" s="408">
        <v>0</v>
      </c>
      <c r="DF567" s="408">
        <v>2.7274551618996327E-3</v>
      </c>
      <c r="DG567" s="408">
        <v>0.16252006362570315</v>
      </c>
      <c r="DH567" s="408">
        <v>0</v>
      </c>
      <c r="DI567" s="408">
        <v>0</v>
      </c>
      <c r="DJ567" s="408"/>
      <c r="DK567" s="408">
        <v>0</v>
      </c>
      <c r="DL567" s="408">
        <v>0</v>
      </c>
      <c r="DM567" s="408">
        <v>0</v>
      </c>
      <c r="DN567" s="408">
        <v>0</v>
      </c>
      <c r="DO567" s="408">
        <v>0</v>
      </c>
      <c r="DP567" s="408">
        <v>-2.5031783427437934E-3</v>
      </c>
      <c r="DQ567" s="408">
        <v>0</v>
      </c>
      <c r="DR567" s="408">
        <v>0</v>
      </c>
      <c r="DS567" s="408"/>
      <c r="DT567" s="408"/>
      <c r="DU567" s="408"/>
      <c r="DV567" s="408">
        <v>12.791510063605319</v>
      </c>
      <c r="DW567" s="408">
        <v>0</v>
      </c>
      <c r="DX567" s="408">
        <v>0</v>
      </c>
      <c r="DY567" s="408">
        <v>-9.1193999999999988</v>
      </c>
      <c r="DZ567" s="234">
        <v>0.97889999999999944</v>
      </c>
      <c r="EA567" s="408">
        <v>0</v>
      </c>
      <c r="EB567" s="408">
        <v>0</v>
      </c>
      <c r="EC567" s="408">
        <v>-9.3980480234419499</v>
      </c>
      <c r="ED567" s="408">
        <v>0</v>
      </c>
      <c r="EE567" s="408">
        <v>0</v>
      </c>
      <c r="EF567" s="408">
        <v>0</v>
      </c>
      <c r="EG567" s="408">
        <v>0</v>
      </c>
      <c r="EH567" s="408">
        <v>0</v>
      </c>
      <c r="EI567" s="408">
        <v>0</v>
      </c>
      <c r="EJ567" s="408">
        <v>0</v>
      </c>
      <c r="EK567" s="408">
        <v>0</v>
      </c>
      <c r="EL567" s="408">
        <v>0</v>
      </c>
      <c r="EM567" s="408">
        <v>0</v>
      </c>
      <c r="EN567" s="408">
        <v>0</v>
      </c>
      <c r="EO567" s="408">
        <v>0</v>
      </c>
      <c r="EP567" s="408">
        <v>0</v>
      </c>
      <c r="EQ567" s="408">
        <v>0</v>
      </c>
      <c r="ER567" s="408">
        <v>0</v>
      </c>
      <c r="ES567" s="408">
        <v>0</v>
      </c>
      <c r="ET567" s="408">
        <v>0</v>
      </c>
      <c r="EU567" s="408">
        <v>0</v>
      </c>
      <c r="EV567" s="408">
        <v>242</v>
      </c>
      <c r="EW567" s="408">
        <v>0</v>
      </c>
      <c r="EX567" s="408">
        <v>0</v>
      </c>
      <c r="EY567" s="408">
        <v>0</v>
      </c>
      <c r="EZ567" s="408"/>
      <c r="FA567" s="408">
        <v>0</v>
      </c>
      <c r="FB567" s="408"/>
      <c r="FC567" s="408"/>
      <c r="FD567" s="408"/>
      <c r="FE567" s="408"/>
      <c r="FF567" s="408">
        <v>0</v>
      </c>
      <c r="FG567" s="408">
        <v>0</v>
      </c>
      <c r="FH567" s="408">
        <v>0</v>
      </c>
      <c r="FI567" s="408">
        <v>0</v>
      </c>
    </row>
    <row r="568" spans="1:165">
      <c r="A568" s="408">
        <v>569</v>
      </c>
      <c r="B568" s="408" t="s">
        <v>1036</v>
      </c>
      <c r="C568" s="408" t="s">
        <v>2231</v>
      </c>
      <c r="D568" s="408" t="s">
        <v>1955</v>
      </c>
      <c r="E568" s="408" t="s">
        <v>970</v>
      </c>
      <c r="F568" s="408" t="s">
        <v>1322</v>
      </c>
      <c r="G568" s="408" t="s">
        <v>1322</v>
      </c>
      <c r="H568" s="408" t="s">
        <v>1322</v>
      </c>
      <c r="I568" s="408" t="s">
        <v>1322</v>
      </c>
      <c r="J568" s="408" t="s">
        <v>2232</v>
      </c>
      <c r="K568" s="828">
        <v>44713</v>
      </c>
      <c r="L568" s="408">
        <v>0</v>
      </c>
      <c r="M568" s="408">
        <v>0</v>
      </c>
      <c r="N568" s="408">
        <v>34.091999999999999</v>
      </c>
      <c r="O568" s="408">
        <v>34.091999999999999</v>
      </c>
      <c r="P568" s="408">
        <v>34.091999999999999</v>
      </c>
      <c r="Q568" s="408">
        <v>34.091999999999999</v>
      </c>
      <c r="R568" s="408"/>
      <c r="S568" s="408">
        <v>571.87</v>
      </c>
      <c r="T568" s="408">
        <v>216.76</v>
      </c>
      <c r="U568" s="408"/>
      <c r="V568" s="408">
        <v>26885.973959999996</v>
      </c>
      <c r="W568" s="408">
        <v>26885.973959999996</v>
      </c>
      <c r="X568" s="408">
        <v>17523.628919999999</v>
      </c>
      <c r="Y568" s="408">
        <v>0</v>
      </c>
      <c r="Z568" s="408">
        <v>2066.3371562653879</v>
      </c>
      <c r="AA568" s="408">
        <v>0</v>
      </c>
      <c r="AB568" s="408">
        <v>0</v>
      </c>
      <c r="AC568" s="408">
        <v>0</v>
      </c>
      <c r="AD568" s="408">
        <v>28.020681843631234</v>
      </c>
      <c r="AE568" s="408">
        <v>14536.272036281085</v>
      </c>
      <c r="AF568" s="408">
        <v>7282.1023660793981</v>
      </c>
      <c r="AG568" s="408">
        <v>107.64224227513385</v>
      </c>
      <c r="AH568" s="408">
        <v>0</v>
      </c>
      <c r="AI568" s="408">
        <v>0</v>
      </c>
      <c r="AJ568" s="408">
        <v>0</v>
      </c>
      <c r="AK568" s="408">
        <v>0</v>
      </c>
      <c r="AL568" s="408">
        <v>319.56591868796056</v>
      </c>
      <c r="AM568" s="408"/>
      <c r="AN568" s="408">
        <v>65.404464108440692</v>
      </c>
      <c r="AO568" s="408">
        <v>302.79483966241401</v>
      </c>
      <c r="AP568" s="408">
        <v>948.6816675794413</v>
      </c>
      <c r="AQ568" s="408">
        <v>0</v>
      </c>
      <c r="AR568" s="408">
        <v>0</v>
      </c>
      <c r="AS568" s="408">
        <v>0</v>
      </c>
      <c r="AT568" s="408">
        <v>0</v>
      </c>
      <c r="AU568" s="408">
        <v>0</v>
      </c>
      <c r="AV568" s="408">
        <v>0</v>
      </c>
      <c r="AW568" s="408">
        <v>0</v>
      </c>
      <c r="AX568" s="408">
        <v>0</v>
      </c>
      <c r="AY568" s="408">
        <v>0</v>
      </c>
      <c r="AZ568" s="408">
        <v>0</v>
      </c>
      <c r="BA568" s="408"/>
      <c r="BB568" s="408">
        <v>0</v>
      </c>
      <c r="BC568" s="408">
        <v>0</v>
      </c>
      <c r="BD568" s="408">
        <v>20.287113549180347</v>
      </c>
      <c r="BE568" s="408">
        <v>0</v>
      </c>
      <c r="BF568" s="408">
        <v>0</v>
      </c>
      <c r="BG568" s="408">
        <v>1208.8422317081327</v>
      </c>
      <c r="BH568" s="408">
        <v>0</v>
      </c>
      <c r="BI568" s="408">
        <v>51.57</v>
      </c>
      <c r="BJ568" s="408">
        <v>235.68</v>
      </c>
      <c r="BK568" s="408">
        <v>3671.85</v>
      </c>
      <c r="BL568" s="408">
        <v>27</v>
      </c>
      <c r="BM568" s="408"/>
      <c r="BN568" s="408"/>
      <c r="BO568" s="408"/>
      <c r="BP568" s="408"/>
      <c r="BQ568" s="408"/>
      <c r="BR568" s="408"/>
      <c r="BS568" s="408"/>
      <c r="BT568" s="408"/>
      <c r="BU568" s="408"/>
      <c r="BV568" s="408">
        <v>8511.2317113367117</v>
      </c>
      <c r="BW568" s="408"/>
      <c r="BX568" s="408"/>
      <c r="BY568" s="408"/>
      <c r="BZ568" s="408"/>
      <c r="CA568" s="408"/>
      <c r="CB568" s="408"/>
      <c r="CC568" s="408"/>
      <c r="CD568" s="408"/>
      <c r="CE568" s="408"/>
      <c r="CF568" s="408"/>
      <c r="CG568" s="408"/>
      <c r="CH568" s="408"/>
      <c r="CI568" s="408">
        <v>17522.600900000001</v>
      </c>
      <c r="CJ568" s="408">
        <v>-9363.4030599999896</v>
      </c>
      <c r="CK568" s="408"/>
      <c r="CL568" s="408"/>
      <c r="CM568" s="408"/>
      <c r="CN568" s="408"/>
      <c r="CO568" s="408">
        <v>-10474.767</v>
      </c>
      <c r="CP568" s="408">
        <v>1112.4219599999999</v>
      </c>
      <c r="CQ568" s="408">
        <v>30</v>
      </c>
      <c r="CR568" s="408">
        <v>1317.6662269190419</v>
      </c>
      <c r="CS568" s="408">
        <v>31.233749223648488</v>
      </c>
      <c r="CT568" s="408">
        <v>97.857959968155342</v>
      </c>
      <c r="CU568" s="408">
        <v>0</v>
      </c>
      <c r="CV568" s="408">
        <v>0</v>
      </c>
      <c r="CW568" s="408">
        <v>0</v>
      </c>
      <c r="CX568" s="408">
        <v>0</v>
      </c>
      <c r="CY568" s="408">
        <v>0</v>
      </c>
      <c r="CZ568" s="408">
        <v>2.7397238324857192</v>
      </c>
      <c r="DA568" s="408">
        <v>0</v>
      </c>
      <c r="DB568" s="408">
        <v>0</v>
      </c>
      <c r="DC568" s="408">
        <v>1112.5649255992066</v>
      </c>
      <c r="DD568" s="408">
        <v>0</v>
      </c>
      <c r="DE568" s="408">
        <v>0</v>
      </c>
      <c r="DF568" s="408">
        <v>3.099480045982741</v>
      </c>
      <c r="DG568" s="408">
        <v>184.68780030424887</v>
      </c>
      <c r="DH568" s="408">
        <v>0</v>
      </c>
      <c r="DI568" s="408">
        <v>-98.723794507742468</v>
      </c>
      <c r="DJ568" s="408"/>
      <c r="DK568" s="408">
        <v>0</v>
      </c>
      <c r="DL568" s="408">
        <v>0</v>
      </c>
      <c r="DM568" s="408">
        <v>0</v>
      </c>
      <c r="DN568" s="408">
        <v>0</v>
      </c>
      <c r="DO568" s="408">
        <v>-12.949005678246976</v>
      </c>
      <c r="DP568" s="408">
        <v>-2.8446118686940522</v>
      </c>
      <c r="DQ568" s="408">
        <v>0</v>
      </c>
      <c r="DR568" s="408">
        <v>0</v>
      </c>
      <c r="DS568" s="408"/>
      <c r="DT568" s="408"/>
      <c r="DU568" s="408"/>
      <c r="DV568" s="408">
        <v>14536.272036281085</v>
      </c>
      <c r="DW568" s="408">
        <v>0</v>
      </c>
      <c r="DX568" s="408">
        <v>0</v>
      </c>
      <c r="DY568" s="408">
        <v>-10474.766999999998</v>
      </c>
      <c r="DZ568" s="234">
        <v>1112.4219599999997</v>
      </c>
      <c r="EA568" s="408">
        <v>0</v>
      </c>
      <c r="EB568" s="408">
        <v>0</v>
      </c>
      <c r="EC568" s="408">
        <v>-10679.941773839431</v>
      </c>
      <c r="ED568" s="408">
        <v>0</v>
      </c>
      <c r="EE568" s="408">
        <v>0</v>
      </c>
      <c r="EF568" s="408">
        <v>0</v>
      </c>
      <c r="EG568" s="408">
        <v>0</v>
      </c>
      <c r="EH568" s="408">
        <v>0</v>
      </c>
      <c r="EI568" s="408">
        <v>0</v>
      </c>
      <c r="EJ568" s="408">
        <v>0</v>
      </c>
      <c r="EK568" s="408">
        <v>0</v>
      </c>
      <c r="EL568" s="408">
        <v>0</v>
      </c>
      <c r="EM568" s="408">
        <v>0</v>
      </c>
      <c r="EN568" s="408">
        <v>0</v>
      </c>
      <c r="EO568" s="408">
        <v>0</v>
      </c>
      <c r="EP568" s="408">
        <v>0</v>
      </c>
      <c r="EQ568" s="408">
        <v>0</v>
      </c>
      <c r="ER568" s="408">
        <v>0</v>
      </c>
      <c r="ES568" s="408">
        <v>0</v>
      </c>
      <c r="ET568" s="408">
        <v>0</v>
      </c>
      <c r="EU568" s="408">
        <v>0</v>
      </c>
      <c r="EV568" s="408">
        <v>242</v>
      </c>
      <c r="EW568" s="408">
        <v>0</v>
      </c>
      <c r="EX568" s="408">
        <v>0</v>
      </c>
      <c r="EY568" s="408">
        <v>0</v>
      </c>
      <c r="EZ568" s="408"/>
      <c r="FA568" s="408">
        <v>0</v>
      </c>
      <c r="FB568" s="408"/>
      <c r="FC568" s="408"/>
      <c r="FD568" s="408"/>
      <c r="FE568" s="408"/>
      <c r="FF568" s="408">
        <v>0</v>
      </c>
      <c r="FG568" s="408">
        <v>0</v>
      </c>
      <c r="FH568" s="408">
        <v>0</v>
      </c>
      <c r="FI568" s="408">
        <v>0</v>
      </c>
    </row>
    <row r="569" spans="1:165">
      <c r="A569" s="408">
        <v>570</v>
      </c>
      <c r="B569" s="408" t="s">
        <v>2233</v>
      </c>
      <c r="C569" s="408" t="s">
        <v>2231</v>
      </c>
      <c r="D569" s="408" t="s">
        <v>1955</v>
      </c>
      <c r="E569" s="408" t="s">
        <v>970</v>
      </c>
      <c r="F569" s="408" t="s">
        <v>1322</v>
      </c>
      <c r="G569" s="408" t="s">
        <v>1322</v>
      </c>
      <c r="H569" s="408" t="s">
        <v>1322</v>
      </c>
      <c r="I569" s="408" t="s">
        <v>1322</v>
      </c>
      <c r="J569" s="408" t="s">
        <v>2232</v>
      </c>
      <c r="K569" s="828">
        <v>44713</v>
      </c>
      <c r="L569" s="408">
        <v>0</v>
      </c>
      <c r="M569" s="408">
        <v>0</v>
      </c>
      <c r="N569" s="408">
        <v>-0.376</v>
      </c>
      <c r="O569" s="408">
        <v>-0.376</v>
      </c>
      <c r="P569" s="408">
        <v>-0.376</v>
      </c>
      <c r="Q569" s="408">
        <v>-0.376</v>
      </c>
      <c r="R569" s="408"/>
      <c r="S569" s="408">
        <v>571.87</v>
      </c>
      <c r="T569" s="408">
        <v>216.76</v>
      </c>
      <c r="U569" s="408"/>
      <c r="V569" s="408">
        <v>-296.52488</v>
      </c>
      <c r="W569" s="408">
        <v>-296.52488</v>
      </c>
      <c r="X569" s="408">
        <v>-193.26776000000001</v>
      </c>
      <c r="Y569" s="408">
        <v>0</v>
      </c>
      <c r="Z569" s="408">
        <v>-22.789592008558778</v>
      </c>
      <c r="AA569" s="408">
        <v>0</v>
      </c>
      <c r="AB569" s="408">
        <v>0</v>
      </c>
      <c r="AC569" s="408">
        <v>0</v>
      </c>
      <c r="AD569" s="408">
        <v>-0.30903955101505765</v>
      </c>
      <c r="AE569" s="408">
        <v>-160.32025946385335</v>
      </c>
      <c r="AF569" s="408">
        <v>-80.314164309687143</v>
      </c>
      <c r="AG569" s="408">
        <v>-1.1871841809060875</v>
      </c>
      <c r="AH569" s="408">
        <v>0</v>
      </c>
      <c r="AI569" s="408">
        <v>0</v>
      </c>
      <c r="AJ569" s="408">
        <v>0</v>
      </c>
      <c r="AK569" s="408">
        <v>0</v>
      </c>
      <c r="AL569" s="408">
        <v>-3.5244862556222332</v>
      </c>
      <c r="AM569" s="408"/>
      <c r="AN569" s="408">
        <v>-0.72134455311432888</v>
      </c>
      <c r="AO569" s="408">
        <v>-3.3395183536626676</v>
      </c>
      <c r="AP569" s="408">
        <v>-10.462991523227441</v>
      </c>
      <c r="AQ569" s="408">
        <v>0</v>
      </c>
      <c r="AR569" s="408">
        <v>0</v>
      </c>
      <c r="AS569" s="408">
        <v>0</v>
      </c>
      <c r="AT569" s="408">
        <v>0</v>
      </c>
      <c r="AU569" s="408">
        <v>0</v>
      </c>
      <c r="AV569" s="408">
        <v>0</v>
      </c>
      <c r="AW569" s="408">
        <v>0</v>
      </c>
      <c r="AX569" s="408">
        <v>0</v>
      </c>
      <c r="AY569" s="408">
        <v>0</v>
      </c>
      <c r="AZ569" s="408">
        <v>0</v>
      </c>
      <c r="BA569" s="408"/>
      <c r="BB569" s="408">
        <v>0</v>
      </c>
      <c r="BC569" s="408">
        <v>0</v>
      </c>
      <c r="BD569" s="408">
        <v>-0.22374617782740264</v>
      </c>
      <c r="BE569" s="408">
        <v>0</v>
      </c>
      <c r="BF569" s="408">
        <v>0</v>
      </c>
      <c r="BG569" s="408">
        <v>-13.332297287406368</v>
      </c>
      <c r="BH569" s="408">
        <v>0</v>
      </c>
      <c r="BI569" s="408">
        <v>-0.54</v>
      </c>
      <c r="BJ569" s="408">
        <v>-2.46</v>
      </c>
      <c r="BK569" s="408">
        <v>-40.549999999999997</v>
      </c>
      <c r="BL569" s="408">
        <v>0</v>
      </c>
      <c r="BM569" s="408"/>
      <c r="BN569" s="408"/>
      <c r="BO569" s="408"/>
      <c r="BP569" s="408"/>
      <c r="BQ569" s="408"/>
      <c r="BR569" s="408"/>
      <c r="BS569" s="408"/>
      <c r="BT569" s="408"/>
      <c r="BU569" s="408"/>
      <c r="BV569" s="408">
        <v>-93.870207774920914</v>
      </c>
      <c r="BW569" s="408"/>
      <c r="BX569" s="408"/>
      <c r="BY569" s="408"/>
      <c r="BZ569" s="408"/>
      <c r="CA569" s="408"/>
      <c r="CB569" s="408"/>
      <c r="CC569" s="408"/>
      <c r="CD569" s="408"/>
      <c r="CE569" s="408"/>
      <c r="CF569" s="408"/>
      <c r="CG569" s="408"/>
      <c r="CH569" s="408"/>
      <c r="CI569" s="408">
        <v>-195.32380000000001</v>
      </c>
      <c r="CJ569" s="408">
        <v>101.17108000000002</v>
      </c>
      <c r="CK569" s="408"/>
      <c r="CL569" s="408"/>
      <c r="CM569" s="408"/>
      <c r="CN569" s="408"/>
      <c r="CO569" s="408">
        <v>115.526</v>
      </c>
      <c r="CP569" s="408">
        <v>-12.268879999999998</v>
      </c>
      <c r="CQ569" s="408">
        <v>30</v>
      </c>
      <c r="CR569" s="408">
        <v>-14.532514998285819</v>
      </c>
      <c r="CS569" s="408">
        <v>-0.34447640819229841</v>
      </c>
      <c r="CT569" s="408">
        <v>-1.0792735230560382</v>
      </c>
      <c r="CU569" s="408">
        <v>0</v>
      </c>
      <c r="CV569" s="408">
        <v>0</v>
      </c>
      <c r="CW569" s="408">
        <v>0</v>
      </c>
      <c r="CX569" s="408">
        <v>0</v>
      </c>
      <c r="CY569" s="408">
        <v>0</v>
      </c>
      <c r="CZ569" s="408">
        <v>-3.0216360466227554E-2</v>
      </c>
      <c r="DA569" s="408">
        <v>0</v>
      </c>
      <c r="DB569" s="408">
        <v>0</v>
      </c>
      <c r="DC569" s="408">
        <v>-12.270456764792371</v>
      </c>
      <c r="DD569" s="408">
        <v>0</v>
      </c>
      <c r="DE569" s="408">
        <v>0</v>
      </c>
      <c r="DF569" s="408">
        <v>-3.4184104695808681E-2</v>
      </c>
      <c r="DG569" s="408">
        <v>-2.0369181307754793</v>
      </c>
      <c r="DH569" s="408">
        <v>0</v>
      </c>
      <c r="DI569" s="408">
        <v>1.0888227952279479</v>
      </c>
      <c r="DJ569" s="408"/>
      <c r="DK569" s="408">
        <v>0</v>
      </c>
      <c r="DL569" s="408">
        <v>0</v>
      </c>
      <c r="DM569" s="408">
        <v>0</v>
      </c>
      <c r="DN569" s="408">
        <v>0</v>
      </c>
      <c r="DO569" s="408">
        <v>0.142814329902055</v>
      </c>
      <c r="DP569" s="408">
        <v>3.137316856238892E-2</v>
      </c>
      <c r="DQ569" s="408">
        <v>0</v>
      </c>
      <c r="DR569" s="408">
        <v>0</v>
      </c>
      <c r="DS569" s="408"/>
      <c r="DT569" s="408"/>
      <c r="DU569" s="408"/>
      <c r="DV569" s="408">
        <v>-160.32025946385335</v>
      </c>
      <c r="DW569" s="408">
        <v>0</v>
      </c>
      <c r="DX569" s="408">
        <v>0</v>
      </c>
      <c r="DY569" s="408">
        <v>115.52600000000001</v>
      </c>
      <c r="DZ569" s="234">
        <v>-12.26888000000001</v>
      </c>
      <c r="EA569" s="408">
        <v>0</v>
      </c>
      <c r="EB569" s="408">
        <v>0</v>
      </c>
      <c r="EC569" s="408">
        <v>117.78886856047245</v>
      </c>
      <c r="ED569" s="408">
        <v>0</v>
      </c>
      <c r="EE569" s="408">
        <v>0</v>
      </c>
      <c r="EF569" s="408">
        <v>0</v>
      </c>
      <c r="EG569" s="408">
        <v>0</v>
      </c>
      <c r="EH569" s="408">
        <v>0</v>
      </c>
      <c r="EI569" s="408">
        <v>0</v>
      </c>
      <c r="EJ569" s="408">
        <v>0</v>
      </c>
      <c r="EK569" s="408">
        <v>0</v>
      </c>
      <c r="EL569" s="408">
        <v>0</v>
      </c>
      <c r="EM569" s="408">
        <v>0</v>
      </c>
      <c r="EN569" s="408">
        <v>0</v>
      </c>
      <c r="EO569" s="408">
        <v>0</v>
      </c>
      <c r="EP569" s="408">
        <v>0</v>
      </c>
      <c r="EQ569" s="408">
        <v>0</v>
      </c>
      <c r="ER569" s="408">
        <v>0</v>
      </c>
      <c r="ES569" s="408">
        <v>0</v>
      </c>
      <c r="ET569" s="408">
        <v>0</v>
      </c>
      <c r="EU569" s="408">
        <v>0</v>
      </c>
      <c r="EV569" s="408">
        <v>242</v>
      </c>
      <c r="EW569" s="408">
        <v>0</v>
      </c>
      <c r="EX569" s="408">
        <v>0</v>
      </c>
      <c r="EY569" s="408">
        <v>0</v>
      </c>
      <c r="EZ569" s="408"/>
      <c r="FA569" s="408">
        <v>0</v>
      </c>
      <c r="FB569" s="408"/>
      <c r="FC569" s="408"/>
      <c r="FD569" s="408"/>
      <c r="FE569" s="408"/>
      <c r="FF569" s="408">
        <v>0</v>
      </c>
      <c r="FG569" s="408">
        <v>0</v>
      </c>
      <c r="FH569" s="408">
        <v>0</v>
      </c>
      <c r="FI569" s="408">
        <v>0</v>
      </c>
    </row>
    <row r="570" spans="1:165">
      <c r="A570" s="408">
        <v>571</v>
      </c>
      <c r="B570" s="408" t="s">
        <v>2234</v>
      </c>
      <c r="C570" s="408" t="s">
        <v>2231</v>
      </c>
      <c r="D570" s="408" t="s">
        <v>1955</v>
      </c>
      <c r="E570" s="408" t="s">
        <v>970</v>
      </c>
      <c r="F570" s="408" t="s">
        <v>1322</v>
      </c>
      <c r="G570" s="408" t="s">
        <v>1322</v>
      </c>
      <c r="H570" s="408" t="s">
        <v>1322</v>
      </c>
      <c r="I570" s="408" t="s">
        <v>1322</v>
      </c>
      <c r="J570" s="408" t="s">
        <v>2232</v>
      </c>
      <c r="K570" s="828">
        <v>44713</v>
      </c>
      <c r="L570" s="408">
        <v>0</v>
      </c>
      <c r="M570" s="408">
        <v>0</v>
      </c>
      <c r="N570" s="408">
        <v>5.4009999999999998</v>
      </c>
      <c r="O570" s="408">
        <v>5.4009999999999998</v>
      </c>
      <c r="P570" s="408">
        <v>5.4009999999999998</v>
      </c>
      <c r="Q570" s="408">
        <v>5.4009999999999998</v>
      </c>
      <c r="R570" s="408"/>
      <c r="S570" s="408">
        <v>571.87</v>
      </c>
      <c r="T570" s="408">
        <v>216.76</v>
      </c>
      <c r="U570" s="408"/>
      <c r="V570" s="408">
        <v>4259.3906299999999</v>
      </c>
      <c r="W570" s="408">
        <v>4259.3906299999999</v>
      </c>
      <c r="X570" s="408">
        <v>2776.1680099999999</v>
      </c>
      <c r="Y570" s="408">
        <v>0</v>
      </c>
      <c r="Z570" s="408">
        <v>327.35794265485623</v>
      </c>
      <c r="AA570" s="408">
        <v>0</v>
      </c>
      <c r="AB570" s="408">
        <v>0</v>
      </c>
      <c r="AC570" s="408">
        <v>0</v>
      </c>
      <c r="AD570" s="408">
        <v>4.4391558910434208</v>
      </c>
      <c r="AE570" s="408">
        <v>2302.8981951177443</v>
      </c>
      <c r="AF570" s="408">
        <v>1153.6617059484579</v>
      </c>
      <c r="AG570" s="408">
        <v>17.053142981579196</v>
      </c>
      <c r="AH570" s="408">
        <v>0</v>
      </c>
      <c r="AI570" s="408">
        <v>0</v>
      </c>
      <c r="AJ570" s="408">
        <v>0</v>
      </c>
      <c r="AK570" s="408">
        <v>0</v>
      </c>
      <c r="AL570" s="408">
        <v>50.626995389935324</v>
      </c>
      <c r="AM570" s="408"/>
      <c r="AN570" s="408">
        <v>10.361654072793856</v>
      </c>
      <c r="AO570" s="408">
        <v>47.970049542904434</v>
      </c>
      <c r="AP570" s="408">
        <v>150.2941947259346</v>
      </c>
      <c r="AQ570" s="408">
        <v>0</v>
      </c>
      <c r="AR570" s="408">
        <v>0</v>
      </c>
      <c r="AS570" s="408">
        <v>0</v>
      </c>
      <c r="AT570" s="408">
        <v>0</v>
      </c>
      <c r="AU570" s="408">
        <v>0</v>
      </c>
      <c r="AV570" s="408">
        <v>0</v>
      </c>
      <c r="AW570" s="408">
        <v>0</v>
      </c>
      <c r="AX570" s="408">
        <v>0</v>
      </c>
      <c r="AY570" s="408">
        <v>0</v>
      </c>
      <c r="AZ570" s="408">
        <v>0</v>
      </c>
      <c r="BA570" s="408"/>
      <c r="BB570" s="408">
        <v>0</v>
      </c>
      <c r="BC570" s="408">
        <v>0</v>
      </c>
      <c r="BD570" s="408">
        <v>3.2139710277813873</v>
      </c>
      <c r="BE570" s="408">
        <v>0</v>
      </c>
      <c r="BF570" s="408">
        <v>0</v>
      </c>
      <c r="BG570" s="408">
        <v>191.5099405566005</v>
      </c>
      <c r="BH570" s="408">
        <v>0</v>
      </c>
      <c r="BI570" s="408">
        <v>8.17</v>
      </c>
      <c r="BJ570" s="408">
        <v>37.29</v>
      </c>
      <c r="BK570" s="408">
        <v>1175.44</v>
      </c>
      <c r="BL570" s="408">
        <v>5</v>
      </c>
      <c r="BM570" s="408"/>
      <c r="BN570" s="408"/>
      <c r="BO570" s="408"/>
      <c r="BP570" s="408"/>
      <c r="BQ570" s="408"/>
      <c r="BR570" s="408"/>
      <c r="BS570" s="408"/>
      <c r="BT570" s="408"/>
      <c r="BU570" s="408"/>
      <c r="BV570" s="408">
        <v>1348.3856175328397</v>
      </c>
      <c r="BW570" s="408"/>
      <c r="BX570" s="408"/>
      <c r="BY570" s="408"/>
      <c r="BZ570" s="408"/>
      <c r="CA570" s="408"/>
      <c r="CB570" s="408"/>
      <c r="CC570" s="408"/>
      <c r="CD570" s="408"/>
      <c r="CE570" s="408"/>
      <c r="CF570" s="408"/>
      <c r="CG570" s="408"/>
      <c r="CH570" s="408"/>
      <c r="CI570" s="408">
        <v>2775.654</v>
      </c>
      <c r="CJ570" s="408">
        <v>-1483.7666300000005</v>
      </c>
      <c r="CK570" s="408"/>
      <c r="CL570" s="408"/>
      <c r="CM570" s="408"/>
      <c r="CN570" s="408"/>
      <c r="CO570" s="408">
        <v>-1659.4572499999999</v>
      </c>
      <c r="CP570" s="408">
        <v>176.23462999999998</v>
      </c>
      <c r="CQ570" s="408">
        <v>30</v>
      </c>
      <c r="CR570" s="408">
        <v>208.75030187697348</v>
      </c>
      <c r="CS570" s="408">
        <v>4.9481837251239469</v>
      </c>
      <c r="CT570" s="408">
        <v>15.503075260706538</v>
      </c>
      <c r="CU570" s="408">
        <v>0</v>
      </c>
      <c r="CV570" s="408">
        <v>0</v>
      </c>
      <c r="CW570" s="408">
        <v>0</v>
      </c>
      <c r="CX570" s="408">
        <v>0</v>
      </c>
      <c r="CY570" s="408">
        <v>0</v>
      </c>
      <c r="CZ570" s="408">
        <v>0.43403873105876301</v>
      </c>
      <c r="DA570" s="408">
        <v>0</v>
      </c>
      <c r="DB570" s="408">
        <v>0</v>
      </c>
      <c r="DC570" s="408">
        <v>176.25727921979706</v>
      </c>
      <c r="DD570" s="408">
        <v>0</v>
      </c>
      <c r="DE570" s="408">
        <v>0</v>
      </c>
      <c r="DF570" s="408">
        <v>0.49103284431399663</v>
      </c>
      <c r="DG570" s="408">
        <v>29.259028788080741</v>
      </c>
      <c r="DH570" s="408">
        <v>0</v>
      </c>
      <c r="DI570" s="408">
        <v>-15.640244460175893</v>
      </c>
      <c r="DJ570" s="408"/>
      <c r="DK570" s="408">
        <v>0</v>
      </c>
      <c r="DL570" s="408">
        <v>0</v>
      </c>
      <c r="DM570" s="408">
        <v>0</v>
      </c>
      <c r="DN570" s="408">
        <v>0</v>
      </c>
      <c r="DO570" s="408">
        <v>-2.0514366909601094</v>
      </c>
      <c r="DP570" s="408">
        <v>-0.45065554097197413</v>
      </c>
      <c r="DQ570" s="408">
        <v>0</v>
      </c>
      <c r="DR570" s="408">
        <v>0</v>
      </c>
      <c r="DS570" s="408"/>
      <c r="DT570" s="408"/>
      <c r="DU570" s="408"/>
      <c r="DV570" s="408">
        <v>2302.8981951177443</v>
      </c>
      <c r="DW570" s="408">
        <v>0</v>
      </c>
      <c r="DX570" s="408">
        <v>0</v>
      </c>
      <c r="DY570" s="408">
        <v>-1659.4572499999997</v>
      </c>
      <c r="DZ570" s="234">
        <v>176.23462999999992</v>
      </c>
      <c r="EA570" s="408">
        <v>0</v>
      </c>
      <c r="EB570" s="408">
        <v>0</v>
      </c>
      <c r="EC570" s="408">
        <v>-1691.9619124869989</v>
      </c>
      <c r="ED570" s="408">
        <v>0</v>
      </c>
      <c r="EE570" s="408">
        <v>0</v>
      </c>
      <c r="EF570" s="408">
        <v>0</v>
      </c>
      <c r="EG570" s="408">
        <v>0</v>
      </c>
      <c r="EH570" s="408">
        <v>0</v>
      </c>
      <c r="EI570" s="408">
        <v>0</v>
      </c>
      <c r="EJ570" s="408">
        <v>0</v>
      </c>
      <c r="EK570" s="408">
        <v>0</v>
      </c>
      <c r="EL570" s="408">
        <v>0</v>
      </c>
      <c r="EM570" s="408">
        <v>0</v>
      </c>
      <c r="EN570" s="408">
        <v>0</v>
      </c>
      <c r="EO570" s="408">
        <v>0</v>
      </c>
      <c r="EP570" s="408">
        <v>0</v>
      </c>
      <c r="EQ570" s="408">
        <v>0</v>
      </c>
      <c r="ER570" s="408">
        <v>0</v>
      </c>
      <c r="ES570" s="408">
        <v>0</v>
      </c>
      <c r="ET570" s="408">
        <v>0</v>
      </c>
      <c r="EU570" s="408">
        <v>0</v>
      </c>
      <c r="EV570" s="408">
        <v>242</v>
      </c>
      <c r="EW570" s="408">
        <v>0</v>
      </c>
      <c r="EX570" s="408">
        <v>0</v>
      </c>
      <c r="EY570" s="408">
        <v>0</v>
      </c>
      <c r="EZ570" s="408"/>
      <c r="FA570" s="408">
        <v>0</v>
      </c>
      <c r="FB570" s="408"/>
      <c r="FC570" s="408"/>
      <c r="FD570" s="408"/>
      <c r="FE570" s="408"/>
      <c r="FF570" s="408">
        <v>0</v>
      </c>
      <c r="FG570" s="408">
        <v>0</v>
      </c>
      <c r="FH570" s="408">
        <v>0</v>
      </c>
      <c r="FI570" s="408">
        <v>0</v>
      </c>
    </row>
    <row r="571" spans="1:165">
      <c r="A571" s="408">
        <v>572</v>
      </c>
      <c r="B571" s="408" t="s">
        <v>1036</v>
      </c>
      <c r="C571" s="408" t="s">
        <v>2239</v>
      </c>
      <c r="D571" s="408" t="s">
        <v>597</v>
      </c>
      <c r="E571" s="408" t="s">
        <v>970</v>
      </c>
      <c r="F571" s="408" t="s">
        <v>1322</v>
      </c>
      <c r="G571" s="408" t="s">
        <v>1322</v>
      </c>
      <c r="H571" s="408" t="s">
        <v>1322</v>
      </c>
      <c r="I571" s="408" t="s">
        <v>973</v>
      </c>
      <c r="J571" s="408" t="s">
        <v>2232</v>
      </c>
      <c r="K571" s="828">
        <v>44713</v>
      </c>
      <c r="L571" s="408">
        <v>0</v>
      </c>
      <c r="M571" s="408">
        <v>0</v>
      </c>
      <c r="N571" s="408">
        <v>0.71599999999999997</v>
      </c>
      <c r="O571" s="408">
        <v>0.71599999999999997</v>
      </c>
      <c r="P571" s="408">
        <v>0.71599999999999997</v>
      </c>
      <c r="Q571" s="408">
        <v>0.71599999999999997</v>
      </c>
      <c r="R571" s="408"/>
      <c r="S571" s="408">
        <v>2592.54</v>
      </c>
      <c r="T571" s="408">
        <v>216.76</v>
      </c>
      <c r="U571" s="408"/>
      <c r="V571" s="408">
        <v>2011.4587999999999</v>
      </c>
      <c r="W571" s="408">
        <v>2011.4587999999999</v>
      </c>
      <c r="X571" s="408">
        <v>845.73919999999987</v>
      </c>
      <c r="Y571" s="408">
        <v>0</v>
      </c>
      <c r="Z571" s="408">
        <v>37.755565569072964</v>
      </c>
      <c r="AA571" s="408">
        <v>0</v>
      </c>
      <c r="AB571" s="408">
        <v>0</v>
      </c>
      <c r="AC571" s="408">
        <v>0</v>
      </c>
      <c r="AD571" s="408">
        <v>3.6205508082597646</v>
      </c>
      <c r="AE571" s="408">
        <v>1640.2783171603021</v>
      </c>
      <c r="AF571" s="408">
        <v>152.93867458972338</v>
      </c>
      <c r="AG571" s="408">
        <v>2.2607017912998897</v>
      </c>
      <c r="AH571" s="408">
        <v>0</v>
      </c>
      <c r="AI571" s="408">
        <v>0</v>
      </c>
      <c r="AJ571" s="408">
        <v>0</v>
      </c>
      <c r="AK571" s="408">
        <v>0</v>
      </c>
      <c r="AL571" s="408">
        <v>6.7115216995359548</v>
      </c>
      <c r="AM571" s="408"/>
      <c r="AN571" s="408">
        <v>0.98322709269503816</v>
      </c>
      <c r="AO571" s="408">
        <v>32.302248023236139</v>
      </c>
      <c r="AP571" s="408">
        <v>122.57973608664605</v>
      </c>
      <c r="AQ571" s="408">
        <v>0</v>
      </c>
      <c r="AR571" s="408">
        <v>0</v>
      </c>
      <c r="AS571" s="408">
        <v>0</v>
      </c>
      <c r="AT571" s="408">
        <v>0</v>
      </c>
      <c r="AU571" s="408">
        <v>0</v>
      </c>
      <c r="AV571" s="408">
        <v>0</v>
      </c>
      <c r="AW571" s="408">
        <v>0</v>
      </c>
      <c r="AX571" s="408">
        <v>0</v>
      </c>
      <c r="AY571" s="408">
        <v>0</v>
      </c>
      <c r="AZ571" s="408">
        <v>0</v>
      </c>
      <c r="BA571" s="408"/>
      <c r="BB571" s="408">
        <v>0</v>
      </c>
      <c r="BC571" s="408">
        <v>0</v>
      </c>
      <c r="BD571" s="408">
        <v>0.32742586809374852</v>
      </c>
      <c r="BE571" s="408">
        <v>0</v>
      </c>
      <c r="BF571" s="408">
        <v>0</v>
      </c>
      <c r="BG571" s="408">
        <v>11.696688288171378</v>
      </c>
      <c r="BH571" s="408">
        <v>0</v>
      </c>
      <c r="BI571" s="408">
        <v>0</v>
      </c>
      <c r="BJ571" s="408">
        <v>0</v>
      </c>
      <c r="BK571" s="408">
        <v>0</v>
      </c>
      <c r="BL571" s="408">
        <v>0</v>
      </c>
      <c r="BM571" s="408"/>
      <c r="BN571" s="408"/>
      <c r="BO571" s="408"/>
      <c r="BP571" s="408"/>
      <c r="BQ571" s="408"/>
      <c r="BR571" s="408"/>
      <c r="BS571" s="408"/>
      <c r="BT571" s="408"/>
      <c r="BU571" s="408"/>
      <c r="BV571" s="408">
        <v>164.96278874598849</v>
      </c>
      <c r="BW571" s="408"/>
      <c r="BX571" s="408"/>
      <c r="BY571" s="408"/>
      <c r="BZ571" s="408"/>
      <c r="CA571" s="408"/>
      <c r="CB571" s="408"/>
      <c r="CC571" s="408"/>
      <c r="CD571" s="408"/>
      <c r="CE571" s="408"/>
      <c r="CF571" s="408"/>
      <c r="CG571" s="408"/>
      <c r="CH571" s="408"/>
      <c r="CI571" s="408">
        <v>850.46399999999994</v>
      </c>
      <c r="CJ571" s="408">
        <v>-1161.0247999999999</v>
      </c>
      <c r="CK571" s="408"/>
      <c r="CL571" s="408"/>
      <c r="CM571" s="408"/>
      <c r="CN571" s="408"/>
      <c r="CO571" s="408">
        <v>-1189.08268</v>
      </c>
      <c r="CP571" s="408">
        <v>23.363079999999997</v>
      </c>
      <c r="CQ571" s="408">
        <v>30</v>
      </c>
      <c r="CR571" s="408">
        <v>39.414874699971449</v>
      </c>
      <c r="CS571" s="408">
        <v>3.3320261178912176</v>
      </c>
      <c r="CT571" s="408">
        <v>12.6442866103651</v>
      </c>
      <c r="CU571" s="408">
        <v>0</v>
      </c>
      <c r="CV571" s="408">
        <v>0</v>
      </c>
      <c r="CW571" s="408">
        <v>0</v>
      </c>
      <c r="CX571" s="408">
        <v>0</v>
      </c>
      <c r="CY571" s="408">
        <v>0</v>
      </c>
      <c r="CZ571" s="408">
        <v>0.35399957044119201</v>
      </c>
      <c r="DA571" s="408">
        <v>0</v>
      </c>
      <c r="DB571" s="408">
        <v>0</v>
      </c>
      <c r="DC571" s="408">
        <v>23.366082562742946</v>
      </c>
      <c r="DD571" s="408">
        <v>0</v>
      </c>
      <c r="DE571" s="408">
        <v>0</v>
      </c>
      <c r="DF571" s="408">
        <v>5.002436360574114E-2</v>
      </c>
      <c r="DG571" s="408">
        <v>1.787028591592442</v>
      </c>
      <c r="DH571" s="408">
        <v>0</v>
      </c>
      <c r="DI571" s="408">
        <v>-1.8038550414983376</v>
      </c>
      <c r="DJ571" s="408"/>
      <c r="DK571" s="408">
        <v>0</v>
      </c>
      <c r="DL571" s="408">
        <v>0</v>
      </c>
      <c r="DM571" s="408">
        <v>0</v>
      </c>
      <c r="DN571" s="408">
        <v>0</v>
      </c>
      <c r="DO571" s="408">
        <v>-0.27195494736667936</v>
      </c>
      <c r="DP571" s="408">
        <v>-4.2763127802172618E-2</v>
      </c>
      <c r="DQ571" s="408">
        <v>0</v>
      </c>
      <c r="DR571" s="408">
        <v>0</v>
      </c>
      <c r="DS571" s="408"/>
      <c r="DT571" s="408"/>
      <c r="DU571" s="408"/>
      <c r="DV571" s="408">
        <v>1640.2783171603021</v>
      </c>
      <c r="DW571" s="408">
        <v>0</v>
      </c>
      <c r="DX571" s="408">
        <v>0</v>
      </c>
      <c r="DY571" s="408">
        <v>-1189.08268</v>
      </c>
      <c r="DZ571" s="234">
        <v>23.363079999999997</v>
      </c>
      <c r="EA571" s="408">
        <v>0</v>
      </c>
      <c r="EB571" s="408">
        <v>0</v>
      </c>
      <c r="EC571" s="408">
        <v>-1205.1285829296526</v>
      </c>
      <c r="ED571" s="408">
        <v>0</v>
      </c>
      <c r="EE571" s="408">
        <v>0</v>
      </c>
      <c r="EF571" s="408">
        <v>0</v>
      </c>
      <c r="EG571" s="408">
        <v>0</v>
      </c>
      <c r="EH571" s="408">
        <v>0</v>
      </c>
      <c r="EI571" s="408">
        <v>0</v>
      </c>
      <c r="EJ571" s="408">
        <v>0</v>
      </c>
      <c r="EK571" s="408">
        <v>0</v>
      </c>
      <c r="EL571" s="408">
        <v>0</v>
      </c>
      <c r="EM571" s="408">
        <v>0</v>
      </c>
      <c r="EN571" s="408">
        <v>0</v>
      </c>
      <c r="EO571" s="408">
        <v>0</v>
      </c>
      <c r="EP571" s="408">
        <v>0</v>
      </c>
      <c r="EQ571" s="408">
        <v>0</v>
      </c>
      <c r="ER571" s="408">
        <v>0</v>
      </c>
      <c r="ES571" s="408">
        <v>0</v>
      </c>
      <c r="ET571" s="408">
        <v>0</v>
      </c>
      <c r="EU571" s="408">
        <v>0</v>
      </c>
      <c r="EV571" s="408">
        <v>242</v>
      </c>
      <c r="EW571" s="408">
        <v>0</v>
      </c>
      <c r="EX571" s="408">
        <v>0</v>
      </c>
      <c r="EY571" s="408">
        <v>0</v>
      </c>
      <c r="EZ571" s="408"/>
      <c r="FA571" s="408">
        <v>0</v>
      </c>
      <c r="FB571" s="408"/>
      <c r="FC571" s="408"/>
      <c r="FD571" s="408"/>
      <c r="FE571" s="408"/>
      <c r="FF571" s="408">
        <v>0</v>
      </c>
      <c r="FG571" s="408">
        <v>0</v>
      </c>
      <c r="FH571" s="408">
        <v>0</v>
      </c>
      <c r="FI571" s="408">
        <v>0</v>
      </c>
    </row>
    <row r="572" spans="1:165">
      <c r="A572" s="408">
        <v>573</v>
      </c>
      <c r="B572" s="408" t="s">
        <v>1036</v>
      </c>
      <c r="C572" s="408" t="s">
        <v>2239</v>
      </c>
      <c r="D572" s="408" t="s">
        <v>597</v>
      </c>
      <c r="E572" s="408" t="s">
        <v>970</v>
      </c>
      <c r="F572" s="408" t="s">
        <v>1322</v>
      </c>
      <c r="G572" s="408" t="s">
        <v>1322</v>
      </c>
      <c r="H572" s="408" t="s">
        <v>1322</v>
      </c>
      <c r="I572" s="408" t="s">
        <v>2240</v>
      </c>
      <c r="J572" s="408" t="s">
        <v>2232</v>
      </c>
      <c r="K572" s="828">
        <v>44713</v>
      </c>
      <c r="L572" s="408">
        <v>0</v>
      </c>
      <c r="M572" s="408">
        <v>0</v>
      </c>
      <c r="N572" s="408">
        <v>30.968</v>
      </c>
      <c r="O572" s="408">
        <v>30.968</v>
      </c>
      <c r="P572" s="408">
        <v>30.968</v>
      </c>
      <c r="Q572" s="408">
        <v>30.968</v>
      </c>
      <c r="R572" s="408"/>
      <c r="S572" s="408">
        <v>80.27</v>
      </c>
      <c r="T572" s="408">
        <v>216.76</v>
      </c>
      <c r="U572" s="408"/>
      <c r="V572" s="408">
        <v>9198.4250400000001</v>
      </c>
      <c r="W572" s="408">
        <v>9198.4250400000001</v>
      </c>
      <c r="X572" s="408">
        <v>10196.833360000001</v>
      </c>
      <c r="Y572" s="408">
        <v>0</v>
      </c>
      <c r="Z572" s="408">
        <v>1632.9809420992342</v>
      </c>
      <c r="AA572" s="408">
        <v>0</v>
      </c>
      <c r="AB572" s="408">
        <v>0</v>
      </c>
      <c r="AC572" s="408">
        <v>0</v>
      </c>
      <c r="AD572" s="408">
        <v>0</v>
      </c>
      <c r="AE572" s="408">
        <v>0</v>
      </c>
      <c r="AF572" s="408">
        <v>6614.8112775063601</v>
      </c>
      <c r="AG572" s="408">
        <v>97.778509878456688</v>
      </c>
      <c r="AH572" s="408">
        <v>0</v>
      </c>
      <c r="AI572" s="408">
        <v>0</v>
      </c>
      <c r="AJ572" s="408">
        <v>0</v>
      </c>
      <c r="AK572" s="408">
        <v>0</v>
      </c>
      <c r="AL572" s="408">
        <v>290.28268713858864</v>
      </c>
      <c r="AM572" s="408"/>
      <c r="AN572" s="408">
        <v>42.525944981256899</v>
      </c>
      <c r="AO572" s="408">
        <v>0</v>
      </c>
      <c r="AP572" s="408">
        <v>0</v>
      </c>
      <c r="AQ572" s="408">
        <v>0</v>
      </c>
      <c r="AR572" s="408">
        <v>0</v>
      </c>
      <c r="AS572" s="408">
        <v>0</v>
      </c>
      <c r="AT572" s="408">
        <v>0</v>
      </c>
      <c r="AU572" s="408">
        <v>0</v>
      </c>
      <c r="AV572" s="408">
        <v>0</v>
      </c>
      <c r="AW572" s="408">
        <v>0</v>
      </c>
      <c r="AX572" s="408">
        <v>0</v>
      </c>
      <c r="AY572" s="408">
        <v>0</v>
      </c>
      <c r="AZ572" s="408">
        <v>0</v>
      </c>
      <c r="BA572" s="408"/>
      <c r="BB572" s="408">
        <v>0</v>
      </c>
      <c r="BC572" s="408">
        <v>0</v>
      </c>
      <c r="BD572" s="408">
        <v>14.161626093753078</v>
      </c>
      <c r="BE572" s="408">
        <v>0</v>
      </c>
      <c r="BF572" s="408">
        <v>0</v>
      </c>
      <c r="BG572" s="408">
        <v>505.89810462023922</v>
      </c>
      <c r="BH572" s="408">
        <v>0</v>
      </c>
      <c r="BI572" s="408">
        <v>0</v>
      </c>
      <c r="BJ572" s="408">
        <v>0</v>
      </c>
      <c r="BK572" s="408">
        <v>0</v>
      </c>
      <c r="BL572" s="408">
        <v>0</v>
      </c>
      <c r="BM572" s="408"/>
      <c r="BN572" s="408"/>
      <c r="BO572" s="408"/>
      <c r="BP572" s="408"/>
      <c r="BQ572" s="408"/>
      <c r="BR572" s="408"/>
      <c r="BS572" s="408"/>
      <c r="BT572" s="408"/>
      <c r="BU572" s="408"/>
      <c r="BV572" s="408">
        <v>7134.8710082203525</v>
      </c>
      <c r="BW572" s="408"/>
      <c r="BX572" s="408"/>
      <c r="BY572" s="408"/>
      <c r="BZ572" s="408"/>
      <c r="CA572" s="408"/>
      <c r="CB572" s="408"/>
      <c r="CC572" s="408"/>
      <c r="CD572" s="408"/>
      <c r="CE572" s="408"/>
      <c r="CF572" s="408"/>
      <c r="CG572" s="408"/>
      <c r="CH572" s="408"/>
      <c r="CI572" s="408">
        <v>10197.491899999999</v>
      </c>
      <c r="CJ572" s="408">
        <v>999.03685999999834</v>
      </c>
      <c r="CK572" s="408"/>
      <c r="CL572" s="408"/>
      <c r="CM572" s="408"/>
      <c r="CN572" s="408"/>
      <c r="CO572" s="408">
        <v>-12.077520000000018</v>
      </c>
      <c r="CP572" s="408">
        <v>1010.4858399999998</v>
      </c>
      <c r="CQ572" s="408">
        <v>30</v>
      </c>
      <c r="CR572" s="408">
        <v>998.4395648640384</v>
      </c>
      <c r="CS572" s="408">
        <v>0</v>
      </c>
      <c r="CT572" s="408">
        <v>0</v>
      </c>
      <c r="CU572" s="408">
        <v>0</v>
      </c>
      <c r="CV572" s="408">
        <v>0</v>
      </c>
      <c r="CW572" s="408">
        <v>0</v>
      </c>
      <c r="CX572" s="408">
        <v>0</v>
      </c>
      <c r="CY572" s="408">
        <v>0</v>
      </c>
      <c r="CZ572" s="408">
        <v>0</v>
      </c>
      <c r="DA572" s="408">
        <v>0</v>
      </c>
      <c r="DB572" s="408">
        <v>0</v>
      </c>
      <c r="DC572" s="408">
        <v>1010.6157050321553</v>
      </c>
      <c r="DD572" s="408">
        <v>0</v>
      </c>
      <c r="DE572" s="408">
        <v>0</v>
      </c>
      <c r="DF572" s="408">
        <v>2.1636235923779239</v>
      </c>
      <c r="DG572" s="408">
        <v>77.291482436361321</v>
      </c>
      <c r="DH572" s="408">
        <v>0</v>
      </c>
      <c r="DI572" s="408">
        <v>-78.019249895419989</v>
      </c>
      <c r="DJ572" s="408"/>
      <c r="DK572" s="408">
        <v>0</v>
      </c>
      <c r="DL572" s="408">
        <v>0</v>
      </c>
      <c r="DM572" s="408">
        <v>0</v>
      </c>
      <c r="DN572" s="408">
        <v>0</v>
      </c>
      <c r="DO572" s="408">
        <v>-11.762431298954368</v>
      </c>
      <c r="DP572" s="408">
        <v>-1.849565002482791</v>
      </c>
      <c r="DQ572" s="408">
        <v>0</v>
      </c>
      <c r="DR572" s="408">
        <v>0</v>
      </c>
      <c r="DS572" s="408"/>
      <c r="DT572" s="408"/>
      <c r="DU572" s="408"/>
      <c r="DV572" s="408">
        <v>0</v>
      </c>
      <c r="DW572" s="408">
        <v>0</v>
      </c>
      <c r="DX572" s="408">
        <v>0</v>
      </c>
      <c r="DY572" s="408">
        <v>-12.077520000000277</v>
      </c>
      <c r="DZ572" s="234">
        <v>1010.4858400000003</v>
      </c>
      <c r="EA572" s="408">
        <v>0</v>
      </c>
      <c r="EB572" s="408">
        <v>0</v>
      </c>
      <c r="EC572" s="408">
        <v>0</v>
      </c>
      <c r="ED572" s="408">
        <v>0</v>
      </c>
      <c r="EE572" s="408">
        <v>0</v>
      </c>
      <c r="EF572" s="408">
        <v>0</v>
      </c>
      <c r="EG572" s="408">
        <v>0</v>
      </c>
      <c r="EH572" s="408">
        <v>0</v>
      </c>
      <c r="EI572" s="408">
        <v>0</v>
      </c>
      <c r="EJ572" s="408">
        <v>0</v>
      </c>
      <c r="EK572" s="408">
        <v>0</v>
      </c>
      <c r="EL572" s="408">
        <v>0</v>
      </c>
      <c r="EM572" s="408">
        <v>0</v>
      </c>
      <c r="EN572" s="408">
        <v>0</v>
      </c>
      <c r="EO572" s="408">
        <v>0</v>
      </c>
      <c r="EP572" s="408">
        <v>0</v>
      </c>
      <c r="EQ572" s="408">
        <v>0</v>
      </c>
      <c r="ER572" s="408">
        <v>0</v>
      </c>
      <c r="ES572" s="408">
        <v>0</v>
      </c>
      <c r="ET572" s="408">
        <v>0</v>
      </c>
      <c r="EU572" s="408">
        <v>0</v>
      </c>
      <c r="EV572" s="408">
        <v>242</v>
      </c>
      <c r="EW572" s="408">
        <v>0</v>
      </c>
      <c r="EX572" s="408">
        <v>0</v>
      </c>
      <c r="EY572" s="408">
        <v>0</v>
      </c>
      <c r="EZ572" s="408"/>
      <c r="FA572" s="408">
        <v>0</v>
      </c>
      <c r="FB572" s="408"/>
      <c r="FC572" s="408"/>
      <c r="FD572" s="408"/>
      <c r="FE572" s="408"/>
      <c r="FF572" s="408">
        <v>0</v>
      </c>
      <c r="FG572" s="408">
        <v>0</v>
      </c>
      <c r="FH572" s="408">
        <v>0</v>
      </c>
      <c r="FI572" s="408">
        <v>0</v>
      </c>
    </row>
    <row r="573" spans="1:165">
      <c r="A573" s="408">
        <v>574</v>
      </c>
      <c r="B573" s="408" t="s">
        <v>1036</v>
      </c>
      <c r="C573" s="408" t="s">
        <v>2239</v>
      </c>
      <c r="D573" s="408" t="s">
        <v>597</v>
      </c>
      <c r="E573" s="408" t="s">
        <v>970</v>
      </c>
      <c r="F573" s="408" t="s">
        <v>1322</v>
      </c>
      <c r="G573" s="408" t="s">
        <v>1322</v>
      </c>
      <c r="H573" s="408" t="s">
        <v>1322</v>
      </c>
      <c r="I573" s="408" t="s">
        <v>1322</v>
      </c>
      <c r="J573" s="408" t="s">
        <v>2232</v>
      </c>
      <c r="K573" s="828">
        <v>44713</v>
      </c>
      <c r="L573" s="408">
        <v>293</v>
      </c>
      <c r="M573" s="408">
        <v>293</v>
      </c>
      <c r="N573" s="408">
        <v>0</v>
      </c>
      <c r="O573" s="408">
        <v>0</v>
      </c>
      <c r="P573" s="408">
        <v>0</v>
      </c>
      <c r="Q573" s="408">
        <v>0</v>
      </c>
      <c r="R573" s="408">
        <v>32.17</v>
      </c>
      <c r="S573" s="408"/>
      <c r="T573" s="408"/>
      <c r="U573" s="408">
        <v>9425.8100000000013</v>
      </c>
      <c r="V573" s="408"/>
      <c r="W573" s="408">
        <v>9425.8100000000013</v>
      </c>
      <c r="X573" s="408">
        <v>3788.49</v>
      </c>
      <c r="Y573" s="408">
        <v>0</v>
      </c>
      <c r="Z573" s="408">
        <v>0</v>
      </c>
      <c r="AA573" s="408">
        <v>0</v>
      </c>
      <c r="AB573" s="408">
        <v>0</v>
      </c>
      <c r="AC573" s="408">
        <v>0</v>
      </c>
      <c r="AD573" s="408">
        <v>29.275453963463693</v>
      </c>
      <c r="AE573" s="408">
        <v>7889.533480548449</v>
      </c>
      <c r="AF573" s="408"/>
      <c r="AG573" s="408"/>
      <c r="AH573" s="408"/>
      <c r="AI573" s="408">
        <v>0</v>
      </c>
      <c r="AJ573" s="408">
        <v>0</v>
      </c>
      <c r="AK573" s="408">
        <v>0</v>
      </c>
      <c r="AL573" s="408">
        <v>0</v>
      </c>
      <c r="AM573" s="408"/>
      <c r="AN573" s="408">
        <v>0</v>
      </c>
      <c r="AO573" s="408">
        <v>516.97538417922294</v>
      </c>
      <c r="AP573" s="408">
        <v>991.17949347558431</v>
      </c>
      <c r="AQ573" s="408">
        <v>0</v>
      </c>
      <c r="AR573" s="408">
        <v>0</v>
      </c>
      <c r="AS573" s="408"/>
      <c r="AT573" s="408"/>
      <c r="AU573" s="408">
        <v>0</v>
      </c>
      <c r="AV573" s="408">
        <v>0</v>
      </c>
      <c r="AW573" s="408">
        <v>0</v>
      </c>
      <c r="AX573" s="408"/>
      <c r="AY573" s="408"/>
      <c r="AZ573" s="408">
        <v>0</v>
      </c>
      <c r="BA573" s="408"/>
      <c r="BB573" s="408">
        <v>0</v>
      </c>
      <c r="BC573" s="408">
        <v>0</v>
      </c>
      <c r="BD573" s="408">
        <v>0</v>
      </c>
      <c r="BE573" s="408">
        <v>0</v>
      </c>
      <c r="BF573" s="408"/>
      <c r="BG573" s="408">
        <v>0</v>
      </c>
      <c r="BH573" s="408">
        <v>0</v>
      </c>
      <c r="BI573" s="408">
        <v>48.26</v>
      </c>
      <c r="BJ573" s="408">
        <v>220.17</v>
      </c>
      <c r="BK573" s="408">
        <v>2959.82</v>
      </c>
      <c r="BL573" s="408">
        <v>4</v>
      </c>
      <c r="BM573" s="408"/>
      <c r="BN573" s="408"/>
      <c r="BO573" s="408"/>
      <c r="BP573" s="408"/>
      <c r="BQ573" s="408"/>
      <c r="BR573" s="408"/>
      <c r="BS573" s="408"/>
      <c r="BT573" s="408"/>
      <c r="BU573" s="408"/>
      <c r="BV573" s="408">
        <v>0</v>
      </c>
      <c r="BW573" s="408"/>
      <c r="BX573" s="408"/>
      <c r="BY573" s="408"/>
      <c r="BZ573" s="408"/>
      <c r="CA573" s="408"/>
      <c r="CB573" s="408"/>
      <c r="CC573" s="408"/>
      <c r="CD573" s="408"/>
      <c r="CE573" s="408"/>
      <c r="CF573" s="408"/>
      <c r="CG573" s="408"/>
      <c r="CH573" s="408"/>
      <c r="CI573" s="408">
        <v>3788.49</v>
      </c>
      <c r="CJ573" s="408">
        <v>-5637.3500000000022</v>
      </c>
      <c r="CK573" s="408"/>
      <c r="CL573" s="408"/>
      <c r="CM573" s="408"/>
      <c r="CN573" s="408"/>
      <c r="CO573" s="408">
        <v>-5637.3200000000006</v>
      </c>
      <c r="CP573" s="408">
        <v>0</v>
      </c>
      <c r="CQ573" s="408">
        <v>30</v>
      </c>
      <c r="CR573" s="408">
        <v>158.43088357385182</v>
      </c>
      <c r="CS573" s="408">
        <v>53.326798839293133</v>
      </c>
      <c r="CT573" s="408">
        <v>102.24167548348703</v>
      </c>
      <c r="CU573" s="408">
        <v>0</v>
      </c>
      <c r="CV573" s="408">
        <v>0</v>
      </c>
      <c r="CW573" s="408"/>
      <c r="CX573" s="408"/>
      <c r="CY573" s="408"/>
      <c r="CZ573" s="408">
        <v>2.8624092510715649</v>
      </c>
      <c r="DA573" s="408">
        <v>0</v>
      </c>
      <c r="DB573" s="408">
        <v>0</v>
      </c>
      <c r="DC573" s="408"/>
      <c r="DD573" s="408"/>
      <c r="DE573" s="408">
        <v>0</v>
      </c>
      <c r="DF573" s="408">
        <v>0</v>
      </c>
      <c r="DG573" s="408">
        <v>0</v>
      </c>
      <c r="DH573" s="408">
        <v>0</v>
      </c>
      <c r="DI573" s="408">
        <v>0</v>
      </c>
      <c r="DJ573" s="408"/>
      <c r="DK573" s="408">
        <v>0</v>
      </c>
      <c r="DL573" s="408">
        <v>0</v>
      </c>
      <c r="DM573" s="408"/>
      <c r="DN573" s="408">
        <v>0</v>
      </c>
      <c r="DO573" s="408">
        <v>0</v>
      </c>
      <c r="DP573" s="408">
        <v>0</v>
      </c>
      <c r="DQ573" s="408">
        <v>0</v>
      </c>
      <c r="DR573" s="408">
        <v>0</v>
      </c>
      <c r="DS573" s="408"/>
      <c r="DT573" s="408"/>
      <c r="DU573" s="408">
        <v>7889.533480548449</v>
      </c>
      <c r="DV573" s="408"/>
      <c r="DW573" s="408">
        <v>0</v>
      </c>
      <c r="DX573" s="408">
        <v>0</v>
      </c>
      <c r="DY573" s="408">
        <v>-5637.3200000000015</v>
      </c>
      <c r="DZ573" s="234"/>
      <c r="EA573" s="408">
        <v>0</v>
      </c>
      <c r="EB573" s="408"/>
      <c r="EC573" s="408">
        <v>-5796.5177030747745</v>
      </c>
      <c r="ED573" s="408"/>
      <c r="EE573" s="408">
        <v>0</v>
      </c>
      <c r="EF573" s="408">
        <v>0</v>
      </c>
      <c r="EG573" s="408"/>
      <c r="EH573" s="408">
        <v>0</v>
      </c>
      <c r="EI573" s="408">
        <v>0</v>
      </c>
      <c r="EJ573" s="408">
        <v>0</v>
      </c>
      <c r="EK573" s="408">
        <v>0</v>
      </c>
      <c r="EL573" s="408">
        <v>0</v>
      </c>
      <c r="EM573" s="408"/>
      <c r="EN573" s="408"/>
      <c r="EO573" s="408">
        <v>0</v>
      </c>
      <c r="EP573" s="408">
        <v>0</v>
      </c>
      <c r="EQ573" s="408"/>
      <c r="ER573" s="408">
        <v>0</v>
      </c>
      <c r="ES573" s="408"/>
      <c r="ET573" s="408">
        <v>0</v>
      </c>
      <c r="EU573" s="408"/>
      <c r="EV573" s="408">
        <v>242</v>
      </c>
      <c r="EW573" s="408"/>
      <c r="EX573" s="408"/>
      <c r="EY573" s="408"/>
      <c r="EZ573" s="408"/>
      <c r="FA573" s="408">
        <v>0</v>
      </c>
      <c r="FB573" s="408"/>
      <c r="FC573" s="408"/>
      <c r="FD573" s="408"/>
      <c r="FE573" s="408"/>
      <c r="FF573" s="408">
        <v>0</v>
      </c>
      <c r="FG573" s="408">
        <v>0</v>
      </c>
      <c r="FH573" s="408">
        <v>0</v>
      </c>
      <c r="FI573" s="408">
        <v>0</v>
      </c>
    </row>
    <row r="574" spans="1:165">
      <c r="A574" s="408">
        <v>575</v>
      </c>
      <c r="B574" s="408" t="s">
        <v>1036</v>
      </c>
      <c r="C574" s="408" t="s">
        <v>2231</v>
      </c>
      <c r="D574" s="408" t="s">
        <v>1955</v>
      </c>
      <c r="E574" s="408" t="s">
        <v>998</v>
      </c>
      <c r="F574" s="408" t="s">
        <v>1322</v>
      </c>
      <c r="G574" s="408" t="s">
        <v>1322</v>
      </c>
      <c r="H574" s="408" t="s">
        <v>1322</v>
      </c>
      <c r="I574" s="408" t="s">
        <v>1322</v>
      </c>
      <c r="J574" s="408" t="s">
        <v>2232</v>
      </c>
      <c r="K574" s="828">
        <v>44713</v>
      </c>
      <c r="L574" s="408">
        <v>0</v>
      </c>
      <c r="M574" s="408">
        <v>0</v>
      </c>
      <c r="N574" s="408">
        <v>199.26400000000001</v>
      </c>
      <c r="O574" s="408">
        <v>199.26400000000001</v>
      </c>
      <c r="P574" s="408">
        <v>199.26400000000001</v>
      </c>
      <c r="Q574" s="408">
        <v>199.26400000000001</v>
      </c>
      <c r="R574" s="408"/>
      <c r="S574" s="408">
        <v>571.87</v>
      </c>
      <c r="T574" s="408">
        <v>216.76</v>
      </c>
      <c r="U574" s="408"/>
      <c r="V574" s="408">
        <v>157145.56831999999</v>
      </c>
      <c r="W574" s="408">
        <v>157145.56831999999</v>
      </c>
      <c r="X574" s="408">
        <v>102423.68864000001</v>
      </c>
      <c r="Y574" s="408">
        <v>0</v>
      </c>
      <c r="Z574" s="408">
        <v>12077.513994663448</v>
      </c>
      <c r="AA574" s="408">
        <v>0</v>
      </c>
      <c r="AB574" s="408">
        <v>0</v>
      </c>
      <c r="AC574" s="408">
        <v>0</v>
      </c>
      <c r="AD574" s="408">
        <v>163.77781141878842</v>
      </c>
      <c r="AE574" s="408">
        <v>84962.91537714169</v>
      </c>
      <c r="AF574" s="408">
        <v>42563.089460121009</v>
      </c>
      <c r="AG574" s="408">
        <v>629.15709740444311</v>
      </c>
      <c r="AH574" s="408">
        <v>0</v>
      </c>
      <c r="AI574" s="408">
        <v>0</v>
      </c>
      <c r="AJ574" s="408">
        <v>0</v>
      </c>
      <c r="AK574" s="408">
        <v>0</v>
      </c>
      <c r="AL574" s="408">
        <v>1867.8277373412466</v>
      </c>
      <c r="AM574" s="408"/>
      <c r="AN574" s="408">
        <v>382.28191763769581</v>
      </c>
      <c r="AO574" s="408">
        <v>1769.8026202772282</v>
      </c>
      <c r="AP574" s="408">
        <v>5544.9402736287047</v>
      </c>
      <c r="AQ574" s="408">
        <v>0</v>
      </c>
      <c r="AR574" s="408">
        <v>0</v>
      </c>
      <c r="AS574" s="408">
        <v>0</v>
      </c>
      <c r="AT574" s="408">
        <v>0</v>
      </c>
      <c r="AU574" s="408">
        <v>0</v>
      </c>
      <c r="AV574" s="408">
        <v>0</v>
      </c>
      <c r="AW574" s="408">
        <v>0</v>
      </c>
      <c r="AX574" s="408">
        <v>0</v>
      </c>
      <c r="AY574" s="408">
        <v>0</v>
      </c>
      <c r="AZ574" s="408">
        <v>0</v>
      </c>
      <c r="BA574" s="408"/>
      <c r="BB574" s="408">
        <v>0</v>
      </c>
      <c r="BC574" s="408">
        <v>0</v>
      </c>
      <c r="BD574" s="408">
        <v>118.57595313457331</v>
      </c>
      <c r="BE574" s="408">
        <v>0</v>
      </c>
      <c r="BF574" s="408">
        <v>0</v>
      </c>
      <c r="BG574" s="408">
        <v>7065.5502305259115</v>
      </c>
      <c r="BH574" s="408">
        <v>0</v>
      </c>
      <c r="BI574" s="408">
        <v>322.16000000000003</v>
      </c>
      <c r="BJ574" s="408">
        <v>1489.36</v>
      </c>
      <c r="BK574" s="408">
        <v>34742.32</v>
      </c>
      <c r="BL574" s="408">
        <v>699</v>
      </c>
      <c r="BM574" s="408"/>
      <c r="BN574" s="408"/>
      <c r="BO574" s="408"/>
      <c r="BP574" s="408"/>
      <c r="BQ574" s="408"/>
      <c r="BR574" s="408"/>
      <c r="BS574" s="408"/>
      <c r="BT574" s="408"/>
      <c r="BU574" s="408"/>
      <c r="BV574" s="408">
        <v>49747.215643781499</v>
      </c>
      <c r="BW574" s="408"/>
      <c r="BX574" s="408"/>
      <c r="BY574" s="408"/>
      <c r="BZ574" s="408"/>
      <c r="CA574" s="408"/>
      <c r="CB574" s="408"/>
      <c r="CC574" s="408"/>
      <c r="CD574" s="408"/>
      <c r="CE574" s="408"/>
      <c r="CF574" s="408"/>
      <c r="CG574" s="408"/>
      <c r="CH574" s="408"/>
      <c r="CI574" s="408">
        <v>102421.6326</v>
      </c>
      <c r="CJ574" s="408">
        <v>-54723.965719999993</v>
      </c>
      <c r="CK574" s="408"/>
      <c r="CL574" s="408"/>
      <c r="CM574" s="408"/>
      <c r="CN574" s="408"/>
      <c r="CO574" s="408">
        <v>-61223.864000000001</v>
      </c>
      <c r="CP574" s="408">
        <v>6501.9843199999996</v>
      </c>
      <c r="CQ574" s="408">
        <v>30</v>
      </c>
      <c r="CR574" s="408">
        <v>7701.6145441979315</v>
      </c>
      <c r="CS574" s="408">
        <v>182.55783777135684</v>
      </c>
      <c r="CT574" s="408">
        <v>571.96904068680396</v>
      </c>
      <c r="CU574" s="408">
        <v>0</v>
      </c>
      <c r="CV574" s="408">
        <v>0</v>
      </c>
      <c r="CW574" s="408">
        <v>0</v>
      </c>
      <c r="CX574" s="408">
        <v>0</v>
      </c>
      <c r="CY574" s="408">
        <v>0</v>
      </c>
      <c r="CZ574" s="408">
        <v>16.013385244527569</v>
      </c>
      <c r="DA574" s="408">
        <v>0</v>
      </c>
      <c r="DB574" s="408">
        <v>0</v>
      </c>
      <c r="DC574" s="408">
        <v>6502.8199382435851</v>
      </c>
      <c r="DD574" s="408">
        <v>0</v>
      </c>
      <c r="DE574" s="408">
        <v>0</v>
      </c>
      <c r="DF574" s="408">
        <v>18.116120846025595</v>
      </c>
      <c r="DG574" s="408">
        <v>1079.4799319437361</v>
      </c>
      <c r="DH574" s="408">
        <v>0</v>
      </c>
      <c r="DI574" s="408">
        <v>-577.02974858590824</v>
      </c>
      <c r="DJ574" s="408"/>
      <c r="DK574" s="408">
        <v>0</v>
      </c>
      <c r="DL574" s="408">
        <v>0</v>
      </c>
      <c r="DM574" s="408">
        <v>0</v>
      </c>
      <c r="DN574" s="408">
        <v>0</v>
      </c>
      <c r="DO574" s="408">
        <v>-75.685517642561535</v>
      </c>
      <c r="DP574" s="408">
        <v>-16.626444309616659</v>
      </c>
      <c r="DQ574" s="408">
        <v>0</v>
      </c>
      <c r="DR574" s="408">
        <v>0</v>
      </c>
      <c r="DS574" s="408"/>
      <c r="DT574" s="408"/>
      <c r="DU574" s="408"/>
      <c r="DV574" s="408">
        <v>84962.91537714169</v>
      </c>
      <c r="DW574" s="408">
        <v>0</v>
      </c>
      <c r="DX574" s="408">
        <v>0</v>
      </c>
      <c r="DY574" s="408">
        <v>-61223.863999999994</v>
      </c>
      <c r="DZ574" s="234">
        <v>6501.9843200000032</v>
      </c>
      <c r="EA574" s="408">
        <v>0</v>
      </c>
      <c r="EB574" s="408">
        <v>0</v>
      </c>
      <c r="EC574" s="408">
        <v>-62423.088044771226</v>
      </c>
      <c r="ED574" s="408">
        <v>0</v>
      </c>
      <c r="EE574" s="408">
        <v>0</v>
      </c>
      <c r="EF574" s="408">
        <v>0</v>
      </c>
      <c r="EG574" s="408">
        <v>0</v>
      </c>
      <c r="EH574" s="408">
        <v>0</v>
      </c>
      <c r="EI574" s="408">
        <v>0</v>
      </c>
      <c r="EJ574" s="408">
        <v>0</v>
      </c>
      <c r="EK574" s="408">
        <v>0</v>
      </c>
      <c r="EL574" s="408">
        <v>0</v>
      </c>
      <c r="EM574" s="408">
        <v>0</v>
      </c>
      <c r="EN574" s="408">
        <v>0</v>
      </c>
      <c r="EO574" s="408">
        <v>0</v>
      </c>
      <c r="EP574" s="408">
        <v>0</v>
      </c>
      <c r="EQ574" s="408">
        <v>0</v>
      </c>
      <c r="ER574" s="408">
        <v>0</v>
      </c>
      <c r="ES574" s="408">
        <v>0</v>
      </c>
      <c r="ET574" s="408">
        <v>0</v>
      </c>
      <c r="EU574" s="408">
        <v>0</v>
      </c>
      <c r="EV574" s="408">
        <v>242</v>
      </c>
      <c r="EW574" s="408">
        <v>0</v>
      </c>
      <c r="EX574" s="408">
        <v>0</v>
      </c>
      <c r="EY574" s="408">
        <v>0</v>
      </c>
      <c r="EZ574" s="408"/>
      <c r="FA574" s="408">
        <v>0</v>
      </c>
      <c r="FB574" s="408"/>
      <c r="FC574" s="408"/>
      <c r="FD574" s="408"/>
      <c r="FE574" s="408"/>
      <c r="FF574" s="408">
        <v>0</v>
      </c>
      <c r="FG574" s="408">
        <v>0</v>
      </c>
      <c r="FH574" s="408">
        <v>0</v>
      </c>
      <c r="FI574" s="408">
        <v>0</v>
      </c>
    </row>
    <row r="575" spans="1:165">
      <c r="A575" s="408">
        <v>576</v>
      </c>
      <c r="B575" s="408" t="s">
        <v>2233</v>
      </c>
      <c r="C575" s="408" t="s">
        <v>2231</v>
      </c>
      <c r="D575" s="408" t="s">
        <v>1955</v>
      </c>
      <c r="E575" s="408" t="s">
        <v>998</v>
      </c>
      <c r="F575" s="408" t="s">
        <v>1322</v>
      </c>
      <c r="G575" s="408" t="s">
        <v>1322</v>
      </c>
      <c r="H575" s="408" t="s">
        <v>1322</v>
      </c>
      <c r="I575" s="408" t="s">
        <v>1322</v>
      </c>
      <c r="J575" s="408" t="s">
        <v>2232</v>
      </c>
      <c r="K575" s="828">
        <v>44713</v>
      </c>
      <c r="L575" s="408">
        <v>0</v>
      </c>
      <c r="M575" s="408">
        <v>0</v>
      </c>
      <c r="N575" s="408">
        <v>-1.0529999999999999</v>
      </c>
      <c r="O575" s="408">
        <v>-1.0529999999999999</v>
      </c>
      <c r="P575" s="408">
        <v>-1.0529999999999999</v>
      </c>
      <c r="Q575" s="408">
        <v>-1.0529999999999999</v>
      </c>
      <c r="R575" s="408"/>
      <c r="S575" s="408">
        <v>571.87</v>
      </c>
      <c r="T575" s="408">
        <v>216.76</v>
      </c>
      <c r="U575" s="408"/>
      <c r="V575" s="408">
        <v>-830.42738999999983</v>
      </c>
      <c r="W575" s="408">
        <v>-830.42738999999983</v>
      </c>
      <c r="X575" s="408">
        <v>-541.25252999999998</v>
      </c>
      <c r="Y575" s="408">
        <v>0</v>
      </c>
      <c r="Z575" s="408">
        <v>-63.822979747373381</v>
      </c>
      <c r="AA575" s="408">
        <v>0</v>
      </c>
      <c r="AB575" s="408">
        <v>0</v>
      </c>
      <c r="AC575" s="408">
        <v>0</v>
      </c>
      <c r="AD575" s="408">
        <v>-0.86547512558206297</v>
      </c>
      <c r="AE575" s="408">
        <v>-448.98200323254673</v>
      </c>
      <c r="AF575" s="408">
        <v>-224.9223803672887</v>
      </c>
      <c r="AG575" s="408">
        <v>-3.3247471874843351</v>
      </c>
      <c r="AH575" s="408">
        <v>0</v>
      </c>
      <c r="AI575" s="408">
        <v>0</v>
      </c>
      <c r="AJ575" s="408">
        <v>0</v>
      </c>
      <c r="AK575" s="408">
        <v>0</v>
      </c>
      <c r="AL575" s="408">
        <v>-9.870436242473966</v>
      </c>
      <c r="AM575" s="408"/>
      <c r="AN575" s="408">
        <v>-2.0201484426313518</v>
      </c>
      <c r="AO575" s="408">
        <v>-9.3524277298052887</v>
      </c>
      <c r="AP575" s="408">
        <v>-29.301941686059827</v>
      </c>
      <c r="AQ575" s="408">
        <v>0</v>
      </c>
      <c r="AR575" s="408">
        <v>0</v>
      </c>
      <c r="AS575" s="408">
        <v>0</v>
      </c>
      <c r="AT575" s="408">
        <v>0</v>
      </c>
      <c r="AU575" s="408">
        <v>0</v>
      </c>
      <c r="AV575" s="408">
        <v>0</v>
      </c>
      <c r="AW575" s="408">
        <v>0</v>
      </c>
      <c r="AX575" s="408">
        <v>0</v>
      </c>
      <c r="AY575" s="408">
        <v>0</v>
      </c>
      <c r="AZ575" s="408">
        <v>0</v>
      </c>
      <c r="BA575" s="408"/>
      <c r="BB575" s="408">
        <v>0</v>
      </c>
      <c r="BC575" s="408">
        <v>0</v>
      </c>
      <c r="BD575" s="408">
        <v>-0.62660831184110366</v>
      </c>
      <c r="BE575" s="408">
        <v>0</v>
      </c>
      <c r="BF575" s="408">
        <v>0</v>
      </c>
      <c r="BG575" s="408">
        <v>-37.337524052231132</v>
      </c>
      <c r="BH575" s="408">
        <v>0</v>
      </c>
      <c r="BI575" s="408">
        <v>-1.51</v>
      </c>
      <c r="BJ575" s="408">
        <v>-6.86</v>
      </c>
      <c r="BK575" s="408">
        <v>-183.82</v>
      </c>
      <c r="BL575" s="408">
        <v>0</v>
      </c>
      <c r="BM575" s="408"/>
      <c r="BN575" s="408"/>
      <c r="BO575" s="408"/>
      <c r="BP575" s="408"/>
      <c r="BQ575" s="408"/>
      <c r="BR575" s="408"/>
      <c r="BS575" s="408"/>
      <c r="BT575" s="408"/>
      <c r="BU575" s="408"/>
      <c r="BV575" s="408">
        <v>-262.88651273136094</v>
      </c>
      <c r="BW575" s="408"/>
      <c r="BX575" s="408"/>
      <c r="BY575" s="408"/>
      <c r="BZ575" s="408"/>
      <c r="CA575" s="408"/>
      <c r="CB575" s="408"/>
      <c r="CC575" s="408"/>
      <c r="CD575" s="408"/>
      <c r="CE575" s="408"/>
      <c r="CF575" s="408"/>
      <c r="CG575" s="408"/>
      <c r="CH575" s="408"/>
      <c r="CI575" s="408">
        <v>-539.71049999999991</v>
      </c>
      <c r="CJ575" s="408">
        <v>290.68688999999995</v>
      </c>
      <c r="CK575" s="408"/>
      <c r="CL575" s="408"/>
      <c r="CM575" s="408"/>
      <c r="CN575" s="408"/>
      <c r="CO575" s="408">
        <v>323.53424999999999</v>
      </c>
      <c r="CP575" s="408">
        <v>-34.359389999999991</v>
      </c>
      <c r="CQ575" s="408">
        <v>30</v>
      </c>
      <c r="CR575" s="408">
        <v>-40.698772056369762</v>
      </c>
      <c r="CS575" s="408">
        <v>-0.96471717507045263</v>
      </c>
      <c r="CT575" s="408">
        <v>-3.0225399462181102</v>
      </c>
      <c r="CU575" s="408">
        <v>0</v>
      </c>
      <c r="CV575" s="408">
        <v>0</v>
      </c>
      <c r="CW575" s="408">
        <v>0</v>
      </c>
      <c r="CX575" s="408">
        <v>0</v>
      </c>
      <c r="CY575" s="408">
        <v>0</v>
      </c>
      <c r="CZ575" s="408">
        <v>-8.4621881837599999E-2</v>
      </c>
      <c r="DA575" s="408">
        <v>0</v>
      </c>
      <c r="DB575" s="408">
        <v>0</v>
      </c>
      <c r="DC575" s="408">
        <v>-34.363805780123329</v>
      </c>
      <c r="DD575" s="408">
        <v>0</v>
      </c>
      <c r="DE575" s="408">
        <v>0</v>
      </c>
      <c r="DF575" s="408">
        <v>-9.573367618267703E-2</v>
      </c>
      <c r="DG575" s="408">
        <v>-5.7044542332621759</v>
      </c>
      <c r="DH575" s="408">
        <v>0</v>
      </c>
      <c r="DI575" s="408">
        <v>3.0492829876995415</v>
      </c>
      <c r="DJ575" s="408"/>
      <c r="DK575" s="408">
        <v>0</v>
      </c>
      <c r="DL575" s="408">
        <v>0</v>
      </c>
      <c r="DM575" s="408">
        <v>0</v>
      </c>
      <c r="DN575" s="408">
        <v>0</v>
      </c>
      <c r="DO575" s="408">
        <v>0.39995608879485012</v>
      </c>
      <c r="DP575" s="408">
        <v>8.7861559830307412E-2</v>
      </c>
      <c r="DQ575" s="408">
        <v>0</v>
      </c>
      <c r="DR575" s="408">
        <v>0</v>
      </c>
      <c r="DS575" s="408"/>
      <c r="DT575" s="408"/>
      <c r="DU575" s="408"/>
      <c r="DV575" s="408">
        <v>-448.98200323254673</v>
      </c>
      <c r="DW575" s="408">
        <v>0</v>
      </c>
      <c r="DX575" s="408">
        <v>0</v>
      </c>
      <c r="DY575" s="408">
        <v>323.53424999999993</v>
      </c>
      <c r="DZ575" s="234">
        <v>-34.359390000000019</v>
      </c>
      <c r="EA575" s="408">
        <v>0</v>
      </c>
      <c r="EB575" s="408">
        <v>0</v>
      </c>
      <c r="EC575" s="408">
        <v>329.87148562281243</v>
      </c>
      <c r="ED575" s="408">
        <v>0</v>
      </c>
      <c r="EE575" s="408">
        <v>0</v>
      </c>
      <c r="EF575" s="408">
        <v>0</v>
      </c>
      <c r="EG575" s="408">
        <v>0</v>
      </c>
      <c r="EH575" s="408">
        <v>0</v>
      </c>
      <c r="EI575" s="408">
        <v>0</v>
      </c>
      <c r="EJ575" s="408">
        <v>0</v>
      </c>
      <c r="EK575" s="408">
        <v>0</v>
      </c>
      <c r="EL575" s="408">
        <v>0</v>
      </c>
      <c r="EM575" s="408">
        <v>0</v>
      </c>
      <c r="EN575" s="408">
        <v>0</v>
      </c>
      <c r="EO575" s="408">
        <v>0</v>
      </c>
      <c r="EP575" s="408">
        <v>0</v>
      </c>
      <c r="EQ575" s="408">
        <v>0</v>
      </c>
      <c r="ER575" s="408">
        <v>0</v>
      </c>
      <c r="ES575" s="408">
        <v>0</v>
      </c>
      <c r="ET575" s="408">
        <v>0</v>
      </c>
      <c r="EU575" s="408">
        <v>0</v>
      </c>
      <c r="EV575" s="408">
        <v>242</v>
      </c>
      <c r="EW575" s="408">
        <v>0</v>
      </c>
      <c r="EX575" s="408">
        <v>0</v>
      </c>
      <c r="EY575" s="408">
        <v>0</v>
      </c>
      <c r="EZ575" s="408"/>
      <c r="FA575" s="408">
        <v>0</v>
      </c>
      <c r="FB575" s="408"/>
      <c r="FC575" s="408"/>
      <c r="FD575" s="408"/>
      <c r="FE575" s="408"/>
      <c r="FF575" s="408">
        <v>0</v>
      </c>
      <c r="FG575" s="408">
        <v>0</v>
      </c>
      <c r="FH575" s="408">
        <v>0</v>
      </c>
      <c r="FI575" s="408">
        <v>0</v>
      </c>
    </row>
    <row r="576" spans="1:165">
      <c r="A576" s="408">
        <v>577</v>
      </c>
      <c r="B576" s="408" t="s">
        <v>2234</v>
      </c>
      <c r="C576" s="408" t="s">
        <v>2231</v>
      </c>
      <c r="D576" s="408" t="s">
        <v>1955</v>
      </c>
      <c r="E576" s="408" t="s">
        <v>998</v>
      </c>
      <c r="F576" s="408" t="s">
        <v>1322</v>
      </c>
      <c r="G576" s="408" t="s">
        <v>1322</v>
      </c>
      <c r="H576" s="408" t="s">
        <v>1322</v>
      </c>
      <c r="I576" s="408" t="s">
        <v>1322</v>
      </c>
      <c r="J576" s="408" t="s">
        <v>2232</v>
      </c>
      <c r="K576" s="828">
        <v>44713</v>
      </c>
      <c r="L576" s="408">
        <v>0</v>
      </c>
      <c r="M576" s="408">
        <v>0</v>
      </c>
      <c r="N576" s="408">
        <v>15.537000000000001</v>
      </c>
      <c r="O576" s="408">
        <v>15.537000000000001</v>
      </c>
      <c r="P576" s="408">
        <v>15.537000000000001</v>
      </c>
      <c r="Q576" s="408">
        <v>15.537000000000001</v>
      </c>
      <c r="R576" s="408"/>
      <c r="S576" s="408">
        <v>571.87</v>
      </c>
      <c r="T576" s="408">
        <v>216.76</v>
      </c>
      <c r="U576" s="408"/>
      <c r="V576" s="408">
        <v>12252.944310000001</v>
      </c>
      <c r="W576" s="408">
        <v>12252.944310000001</v>
      </c>
      <c r="X576" s="408">
        <v>7986.1733700000004</v>
      </c>
      <c r="Y576" s="408">
        <v>0</v>
      </c>
      <c r="Z576" s="408">
        <v>941.70715701323866</v>
      </c>
      <c r="AA576" s="408">
        <v>0</v>
      </c>
      <c r="AB576" s="408">
        <v>0</v>
      </c>
      <c r="AC576" s="408">
        <v>0</v>
      </c>
      <c r="AD576" s="408">
        <v>12.770073149257847</v>
      </c>
      <c r="AE576" s="408">
        <v>6624.7230619411957</v>
      </c>
      <c r="AF576" s="408">
        <v>3318.7265182968326</v>
      </c>
      <c r="AG576" s="408">
        <v>49.056597390260322</v>
      </c>
      <c r="AH576" s="408">
        <v>0</v>
      </c>
      <c r="AI576" s="408">
        <v>0</v>
      </c>
      <c r="AJ576" s="408">
        <v>0</v>
      </c>
      <c r="AK576" s="408">
        <v>0</v>
      </c>
      <c r="AL576" s="408">
        <v>145.63814615319851</v>
      </c>
      <c r="AM576" s="408"/>
      <c r="AN576" s="408">
        <v>29.807261493982256</v>
      </c>
      <c r="AO576" s="408">
        <v>137.99493792781081</v>
      </c>
      <c r="AP576" s="408">
        <v>432.3497321712361</v>
      </c>
      <c r="AQ576" s="408">
        <v>0</v>
      </c>
      <c r="AR576" s="408">
        <v>0</v>
      </c>
      <c r="AS576" s="408">
        <v>0</v>
      </c>
      <c r="AT576" s="408">
        <v>0</v>
      </c>
      <c r="AU576" s="408">
        <v>0</v>
      </c>
      <c r="AV576" s="408">
        <v>0</v>
      </c>
      <c r="AW576" s="408">
        <v>0</v>
      </c>
      <c r="AX576" s="408">
        <v>0</v>
      </c>
      <c r="AY576" s="408">
        <v>0</v>
      </c>
      <c r="AZ576" s="408">
        <v>0</v>
      </c>
      <c r="BA576" s="408"/>
      <c r="BB576" s="408">
        <v>0</v>
      </c>
      <c r="BC576" s="408">
        <v>0</v>
      </c>
      <c r="BD576" s="408">
        <v>9.2455967151711569</v>
      </c>
      <c r="BE576" s="408">
        <v>0</v>
      </c>
      <c r="BF576" s="408">
        <v>0</v>
      </c>
      <c r="BG576" s="408">
        <v>550.91463551710842</v>
      </c>
      <c r="BH576" s="408">
        <v>0</v>
      </c>
      <c r="BI576" s="408">
        <v>25.51</v>
      </c>
      <c r="BJ576" s="408">
        <v>116.9</v>
      </c>
      <c r="BK576" s="408">
        <v>3836.13</v>
      </c>
      <c r="BL576" s="408">
        <v>26</v>
      </c>
      <c r="BM576" s="408"/>
      <c r="BN576" s="408"/>
      <c r="BO576" s="408"/>
      <c r="BP576" s="408"/>
      <c r="BQ576" s="408"/>
      <c r="BR576" s="408"/>
      <c r="BS576" s="408"/>
      <c r="BT576" s="408"/>
      <c r="BU576" s="408"/>
      <c r="BV576" s="408">
        <v>3878.8867505291123</v>
      </c>
      <c r="BW576" s="408"/>
      <c r="BX576" s="408"/>
      <c r="BY576" s="408"/>
      <c r="BZ576" s="408"/>
      <c r="CA576" s="408"/>
      <c r="CB576" s="408"/>
      <c r="CC576" s="408"/>
      <c r="CD576" s="408"/>
      <c r="CE576" s="408"/>
      <c r="CF576" s="408"/>
      <c r="CG576" s="408"/>
      <c r="CH576" s="408"/>
      <c r="CI576" s="408">
        <v>7987.7153999999991</v>
      </c>
      <c r="CJ576" s="408">
        <v>-4265.2589100000023</v>
      </c>
      <c r="CK576" s="408"/>
      <c r="CL576" s="408"/>
      <c r="CM576" s="408"/>
      <c r="CN576" s="408"/>
      <c r="CO576" s="408">
        <v>-4773.7432500000004</v>
      </c>
      <c r="CP576" s="408">
        <v>506.97230999999994</v>
      </c>
      <c r="CQ576" s="408">
        <v>30</v>
      </c>
      <c r="CR576" s="408">
        <v>600.50980193714804</v>
      </c>
      <c r="CS576" s="408">
        <v>14.234388175754646</v>
      </c>
      <c r="CT576" s="408">
        <v>44.597533850323543</v>
      </c>
      <c r="CU576" s="408">
        <v>0</v>
      </c>
      <c r="CV576" s="408">
        <v>0</v>
      </c>
      <c r="CW576" s="408">
        <v>0</v>
      </c>
      <c r="CX576" s="408">
        <v>0</v>
      </c>
      <c r="CY576" s="408">
        <v>0</v>
      </c>
      <c r="CZ576" s="408">
        <v>1.2485946610738772</v>
      </c>
      <c r="DA576" s="408">
        <v>0</v>
      </c>
      <c r="DB576" s="408">
        <v>0</v>
      </c>
      <c r="DC576" s="408">
        <v>507.0374647728172</v>
      </c>
      <c r="DD576" s="408">
        <v>0</v>
      </c>
      <c r="DE576" s="408">
        <v>0</v>
      </c>
      <c r="DF576" s="408">
        <v>1.4125490283478186</v>
      </c>
      <c r="DG576" s="408">
        <v>84.169140951751615</v>
      </c>
      <c r="DH576" s="408">
        <v>0</v>
      </c>
      <c r="DI576" s="408">
        <v>-44.992127046427186</v>
      </c>
      <c r="DJ576" s="408"/>
      <c r="DK576" s="408">
        <v>0</v>
      </c>
      <c r="DL576" s="408">
        <v>0</v>
      </c>
      <c r="DM576" s="408">
        <v>0</v>
      </c>
      <c r="DN576" s="408">
        <v>0</v>
      </c>
      <c r="DO576" s="408">
        <v>-5.9013463927878433</v>
      </c>
      <c r="DP576" s="408">
        <v>-1.2963960637070144</v>
      </c>
      <c r="DQ576" s="408">
        <v>0</v>
      </c>
      <c r="DR576" s="408">
        <v>0</v>
      </c>
      <c r="DS576" s="408"/>
      <c r="DT576" s="408"/>
      <c r="DU576" s="408"/>
      <c r="DV576" s="408">
        <v>6624.7230619411957</v>
      </c>
      <c r="DW576" s="408">
        <v>0</v>
      </c>
      <c r="DX576" s="408">
        <v>0</v>
      </c>
      <c r="DY576" s="408">
        <v>-4773.7432500000004</v>
      </c>
      <c r="DZ576" s="234">
        <v>506.97231000000011</v>
      </c>
      <c r="EA576" s="408">
        <v>0</v>
      </c>
      <c r="EB576" s="408">
        <v>0</v>
      </c>
      <c r="EC576" s="408">
        <v>-4867.2490713405859</v>
      </c>
      <c r="ED576" s="408">
        <v>0</v>
      </c>
      <c r="EE576" s="408">
        <v>0</v>
      </c>
      <c r="EF576" s="408">
        <v>0</v>
      </c>
      <c r="EG576" s="408">
        <v>0</v>
      </c>
      <c r="EH576" s="408">
        <v>0</v>
      </c>
      <c r="EI576" s="408">
        <v>0</v>
      </c>
      <c r="EJ576" s="408">
        <v>0</v>
      </c>
      <c r="EK576" s="408">
        <v>0</v>
      </c>
      <c r="EL576" s="408">
        <v>0</v>
      </c>
      <c r="EM576" s="408">
        <v>0</v>
      </c>
      <c r="EN576" s="408">
        <v>0</v>
      </c>
      <c r="EO576" s="408">
        <v>0</v>
      </c>
      <c r="EP576" s="408">
        <v>0</v>
      </c>
      <c r="EQ576" s="408">
        <v>0</v>
      </c>
      <c r="ER576" s="408">
        <v>0</v>
      </c>
      <c r="ES576" s="408">
        <v>0</v>
      </c>
      <c r="ET576" s="408">
        <v>0</v>
      </c>
      <c r="EU576" s="408">
        <v>0</v>
      </c>
      <c r="EV576" s="408">
        <v>242</v>
      </c>
      <c r="EW576" s="408">
        <v>0</v>
      </c>
      <c r="EX576" s="408">
        <v>0</v>
      </c>
      <c r="EY576" s="408">
        <v>0</v>
      </c>
      <c r="EZ576" s="408"/>
      <c r="FA576" s="408">
        <v>0</v>
      </c>
      <c r="FB576" s="408"/>
      <c r="FC576" s="408"/>
      <c r="FD576" s="408"/>
      <c r="FE576" s="408"/>
      <c r="FF576" s="408">
        <v>0</v>
      </c>
      <c r="FG576" s="408">
        <v>0</v>
      </c>
      <c r="FH576" s="408">
        <v>0</v>
      </c>
      <c r="FI576" s="408">
        <v>0</v>
      </c>
    </row>
    <row r="577" spans="1:165">
      <c r="A577" s="408">
        <v>578</v>
      </c>
      <c r="B577" s="408" t="s">
        <v>1036</v>
      </c>
      <c r="C577" s="408" t="s">
        <v>2239</v>
      </c>
      <c r="D577" s="408" t="s">
        <v>597</v>
      </c>
      <c r="E577" s="408" t="s">
        <v>998</v>
      </c>
      <c r="F577" s="408" t="s">
        <v>1322</v>
      </c>
      <c r="G577" s="408" t="s">
        <v>1322</v>
      </c>
      <c r="H577" s="408" t="s">
        <v>1322</v>
      </c>
      <c r="I577" s="408" t="s">
        <v>973</v>
      </c>
      <c r="J577" s="408" t="s">
        <v>2232</v>
      </c>
      <c r="K577" s="828">
        <v>44713</v>
      </c>
      <c r="L577" s="408">
        <v>0</v>
      </c>
      <c r="M577" s="408">
        <v>0</v>
      </c>
      <c r="N577" s="408">
        <v>5.9370000000000003</v>
      </c>
      <c r="O577" s="408">
        <v>5.9370000000000003</v>
      </c>
      <c r="P577" s="408">
        <v>5.9370000000000003</v>
      </c>
      <c r="Q577" s="408">
        <v>5.9370000000000003</v>
      </c>
      <c r="R577" s="408"/>
      <c r="S577" s="408">
        <v>2592.54</v>
      </c>
      <c r="T577" s="408">
        <v>216.76</v>
      </c>
      <c r="U577" s="408"/>
      <c r="V577" s="408">
        <v>16678.8141</v>
      </c>
      <c r="W577" s="408">
        <v>16678.8141</v>
      </c>
      <c r="X577" s="408">
        <v>7012.7843999999996</v>
      </c>
      <c r="Y577" s="408">
        <v>0</v>
      </c>
      <c r="Z577" s="408">
        <v>313.06535304970146</v>
      </c>
      <c r="AA577" s="408">
        <v>0</v>
      </c>
      <c r="AB577" s="408">
        <v>0</v>
      </c>
      <c r="AC577" s="408">
        <v>0</v>
      </c>
      <c r="AD577" s="408">
        <v>30.021243224355061</v>
      </c>
      <c r="AE577" s="408">
        <v>13601.022861704909</v>
      </c>
      <c r="AF577" s="408">
        <v>1268.152110389927</v>
      </c>
      <c r="AG577" s="408">
        <v>18.745511920317664</v>
      </c>
      <c r="AH577" s="408">
        <v>0</v>
      </c>
      <c r="AI577" s="408">
        <v>0</v>
      </c>
      <c r="AJ577" s="408">
        <v>0</v>
      </c>
      <c r="AK577" s="408">
        <v>0</v>
      </c>
      <c r="AL577" s="408">
        <v>55.651263030928725</v>
      </c>
      <c r="AM577" s="408"/>
      <c r="AN577" s="408">
        <v>8.1528201806291083</v>
      </c>
      <c r="AO577" s="408">
        <v>267.84699233792315</v>
      </c>
      <c r="AP577" s="408">
        <v>1016.418845176561</v>
      </c>
      <c r="AQ577" s="408">
        <v>0</v>
      </c>
      <c r="AR577" s="408">
        <v>0</v>
      </c>
      <c r="AS577" s="408">
        <v>0</v>
      </c>
      <c r="AT577" s="408">
        <v>0</v>
      </c>
      <c r="AU577" s="408">
        <v>0</v>
      </c>
      <c r="AV577" s="408">
        <v>0</v>
      </c>
      <c r="AW577" s="408">
        <v>0</v>
      </c>
      <c r="AX577" s="408">
        <v>0</v>
      </c>
      <c r="AY577" s="408">
        <v>0</v>
      </c>
      <c r="AZ577" s="408">
        <v>0</v>
      </c>
      <c r="BA577" s="408"/>
      <c r="BB577" s="408">
        <v>0</v>
      </c>
      <c r="BC577" s="408">
        <v>0</v>
      </c>
      <c r="BD577" s="408">
        <v>2.7149823727270741</v>
      </c>
      <c r="BE577" s="408">
        <v>0</v>
      </c>
      <c r="BF577" s="408">
        <v>0</v>
      </c>
      <c r="BG577" s="408">
        <v>96.987763082225541</v>
      </c>
      <c r="BH577" s="408">
        <v>0</v>
      </c>
      <c r="BI577" s="408">
        <v>0</v>
      </c>
      <c r="BJ577" s="408">
        <v>0</v>
      </c>
      <c r="BK577" s="408">
        <v>0</v>
      </c>
      <c r="BL577" s="408">
        <v>0</v>
      </c>
      <c r="BM577" s="408"/>
      <c r="BN577" s="408"/>
      <c r="BO577" s="408"/>
      <c r="BP577" s="408"/>
      <c r="BQ577" s="408"/>
      <c r="BR577" s="408"/>
      <c r="BS577" s="408"/>
      <c r="BT577" s="408"/>
      <c r="BU577" s="408"/>
      <c r="BV577" s="408">
        <v>1367.8548558448795</v>
      </c>
      <c r="BW577" s="408"/>
      <c r="BX577" s="408"/>
      <c r="BY577" s="408"/>
      <c r="BZ577" s="408"/>
      <c r="CA577" s="408"/>
      <c r="CB577" s="408"/>
      <c r="CC577" s="408"/>
      <c r="CD577" s="408"/>
      <c r="CE577" s="408"/>
      <c r="CF577" s="408"/>
      <c r="CG577" s="408"/>
      <c r="CH577" s="408"/>
      <c r="CI577" s="408">
        <v>7016.3279999999995</v>
      </c>
      <c r="CJ577" s="408">
        <v>-9662.5160999999989</v>
      </c>
      <c r="CK577" s="408"/>
      <c r="CL577" s="408"/>
      <c r="CM577" s="408"/>
      <c r="CN577" s="408"/>
      <c r="CO577" s="408">
        <v>-9859.7540100000006</v>
      </c>
      <c r="CP577" s="408">
        <v>193.72430999999997</v>
      </c>
      <c r="CQ577" s="408">
        <v>30</v>
      </c>
      <c r="CR577" s="408">
        <v>326.82417750521017</v>
      </c>
      <c r="CS577" s="408">
        <v>27.628825505475049</v>
      </c>
      <c r="CT577" s="408">
        <v>104.84515308063919</v>
      </c>
      <c r="CU577" s="408">
        <v>0</v>
      </c>
      <c r="CV577" s="408">
        <v>0</v>
      </c>
      <c r="CW577" s="408">
        <v>0</v>
      </c>
      <c r="CX577" s="408">
        <v>0</v>
      </c>
      <c r="CY577" s="408">
        <v>0</v>
      </c>
      <c r="CZ577" s="408">
        <v>2.9353288403762008</v>
      </c>
      <c r="DA577" s="408">
        <v>0</v>
      </c>
      <c r="DB577" s="408">
        <v>0</v>
      </c>
      <c r="DC577" s="408">
        <v>193.74920694833077</v>
      </c>
      <c r="DD577" s="408">
        <v>0</v>
      </c>
      <c r="DE577" s="408">
        <v>0</v>
      </c>
      <c r="DF577" s="408">
        <v>0.41479699263587344</v>
      </c>
      <c r="DG577" s="408">
        <v>14.817861380285365</v>
      </c>
      <c r="DH577" s="408">
        <v>0</v>
      </c>
      <c r="DI577" s="408">
        <v>-14.95738461085989</v>
      </c>
      <c r="DJ577" s="408"/>
      <c r="DK577" s="408">
        <v>0</v>
      </c>
      <c r="DL577" s="408">
        <v>0</v>
      </c>
      <c r="DM577" s="408">
        <v>0</v>
      </c>
      <c r="DN577" s="408">
        <v>0</v>
      </c>
      <c r="DO577" s="408">
        <v>-2.2550230761396293</v>
      </c>
      <c r="DP577" s="408">
        <v>-0.35458755553281929</v>
      </c>
      <c r="DQ577" s="408">
        <v>0</v>
      </c>
      <c r="DR577" s="408">
        <v>0</v>
      </c>
      <c r="DS577" s="408"/>
      <c r="DT577" s="408"/>
      <c r="DU577" s="408"/>
      <c r="DV577" s="408">
        <v>13601.022861704909</v>
      </c>
      <c r="DW577" s="408">
        <v>0</v>
      </c>
      <c r="DX577" s="408">
        <v>0</v>
      </c>
      <c r="DY577" s="408">
        <v>-9859.7540100000006</v>
      </c>
      <c r="DZ577" s="234">
        <v>193.72431000000006</v>
      </c>
      <c r="EA577" s="408">
        <v>0</v>
      </c>
      <c r="EB577" s="408">
        <v>0</v>
      </c>
      <c r="EC577" s="408">
        <v>-9992.8050235381961</v>
      </c>
      <c r="ED577" s="408">
        <v>0</v>
      </c>
      <c r="EE577" s="408">
        <v>0</v>
      </c>
      <c r="EF577" s="408">
        <v>0</v>
      </c>
      <c r="EG577" s="408">
        <v>0</v>
      </c>
      <c r="EH577" s="408">
        <v>0</v>
      </c>
      <c r="EI577" s="408">
        <v>0</v>
      </c>
      <c r="EJ577" s="408">
        <v>0</v>
      </c>
      <c r="EK577" s="408">
        <v>0</v>
      </c>
      <c r="EL577" s="408">
        <v>0</v>
      </c>
      <c r="EM577" s="408">
        <v>0</v>
      </c>
      <c r="EN577" s="408">
        <v>0</v>
      </c>
      <c r="EO577" s="408">
        <v>0</v>
      </c>
      <c r="EP577" s="408">
        <v>0</v>
      </c>
      <c r="EQ577" s="408">
        <v>0</v>
      </c>
      <c r="ER577" s="408">
        <v>0</v>
      </c>
      <c r="ES577" s="408">
        <v>0</v>
      </c>
      <c r="ET577" s="408">
        <v>0</v>
      </c>
      <c r="EU577" s="408">
        <v>0</v>
      </c>
      <c r="EV577" s="408">
        <v>242</v>
      </c>
      <c r="EW577" s="408">
        <v>0</v>
      </c>
      <c r="EX577" s="408">
        <v>0</v>
      </c>
      <c r="EY577" s="408">
        <v>0</v>
      </c>
      <c r="EZ577" s="408"/>
      <c r="FA577" s="408">
        <v>0</v>
      </c>
      <c r="FB577" s="408"/>
      <c r="FC577" s="408"/>
      <c r="FD577" s="408"/>
      <c r="FE577" s="408"/>
      <c r="FF577" s="408">
        <v>0</v>
      </c>
      <c r="FG577" s="408">
        <v>0</v>
      </c>
      <c r="FH577" s="408">
        <v>0</v>
      </c>
      <c r="FI577" s="408">
        <v>0</v>
      </c>
    </row>
    <row r="578" spans="1:165">
      <c r="A578" s="408">
        <v>579</v>
      </c>
      <c r="B578" s="408" t="s">
        <v>1036</v>
      </c>
      <c r="C578" s="408" t="s">
        <v>2239</v>
      </c>
      <c r="D578" s="408" t="s">
        <v>597</v>
      </c>
      <c r="E578" s="408" t="s">
        <v>998</v>
      </c>
      <c r="F578" s="408" t="s">
        <v>1322</v>
      </c>
      <c r="G578" s="408" t="s">
        <v>1322</v>
      </c>
      <c r="H578" s="408" t="s">
        <v>1322</v>
      </c>
      <c r="I578" s="408" t="s">
        <v>2240</v>
      </c>
      <c r="J578" s="408" t="s">
        <v>2232</v>
      </c>
      <c r="K578" s="828">
        <v>44713</v>
      </c>
      <c r="L578" s="408">
        <v>0</v>
      </c>
      <c r="M578" s="408">
        <v>0</v>
      </c>
      <c r="N578" s="408">
        <v>98.998999999999995</v>
      </c>
      <c r="O578" s="408">
        <v>98.998999999999995</v>
      </c>
      <c r="P578" s="408">
        <v>98.998999999999995</v>
      </c>
      <c r="Q578" s="408">
        <v>98.998999999999995</v>
      </c>
      <c r="R578" s="408"/>
      <c r="S578" s="408">
        <v>80.27</v>
      </c>
      <c r="T578" s="408">
        <v>216.76</v>
      </c>
      <c r="U578" s="408"/>
      <c r="V578" s="408">
        <v>29405.67297</v>
      </c>
      <c r="W578" s="408">
        <v>29405.67297</v>
      </c>
      <c r="X578" s="408">
        <v>32597.400729999994</v>
      </c>
      <c r="Y578" s="408">
        <v>0</v>
      </c>
      <c r="Z578" s="408">
        <v>5220.3397147662772</v>
      </c>
      <c r="AA578" s="408">
        <v>0</v>
      </c>
      <c r="AB578" s="408">
        <v>0</v>
      </c>
      <c r="AC578" s="408">
        <v>0</v>
      </c>
      <c r="AD578" s="408">
        <v>0</v>
      </c>
      <c r="AE578" s="408">
        <v>0</v>
      </c>
      <c r="AF578" s="408">
        <v>21146.334980039141</v>
      </c>
      <c r="AG578" s="408">
        <v>312.57991150404717</v>
      </c>
      <c r="AH578" s="408">
        <v>0</v>
      </c>
      <c r="AI578" s="408">
        <v>0</v>
      </c>
      <c r="AJ578" s="408">
        <v>0</v>
      </c>
      <c r="AK578" s="408">
        <v>0</v>
      </c>
      <c r="AL578" s="408">
        <v>927.9803585647486</v>
      </c>
      <c r="AM578" s="408"/>
      <c r="AN578" s="408">
        <v>135.94762423144704</v>
      </c>
      <c r="AO578" s="408">
        <v>0</v>
      </c>
      <c r="AP578" s="408">
        <v>0</v>
      </c>
      <c r="AQ578" s="408">
        <v>0</v>
      </c>
      <c r="AR578" s="408">
        <v>0</v>
      </c>
      <c r="AS578" s="408">
        <v>0</v>
      </c>
      <c r="AT578" s="408">
        <v>0</v>
      </c>
      <c r="AU578" s="408">
        <v>0</v>
      </c>
      <c r="AV578" s="408">
        <v>0</v>
      </c>
      <c r="AW578" s="408">
        <v>0</v>
      </c>
      <c r="AX578" s="408">
        <v>0</v>
      </c>
      <c r="AY578" s="408">
        <v>0</v>
      </c>
      <c r="AZ578" s="408">
        <v>0</v>
      </c>
      <c r="BA578" s="408"/>
      <c r="BB578" s="408">
        <v>0</v>
      </c>
      <c r="BC578" s="408">
        <v>0</v>
      </c>
      <c r="BD578" s="408">
        <v>45.272113848342187</v>
      </c>
      <c r="BE578" s="408">
        <v>0</v>
      </c>
      <c r="BF578" s="408">
        <v>0</v>
      </c>
      <c r="BG578" s="408">
        <v>1617.2631897216179</v>
      </c>
      <c r="BH578" s="408">
        <v>0</v>
      </c>
      <c r="BI578" s="408">
        <v>0</v>
      </c>
      <c r="BJ578" s="408">
        <v>0</v>
      </c>
      <c r="BK578" s="408">
        <v>0</v>
      </c>
      <c r="BL578" s="408">
        <v>0</v>
      </c>
      <c r="BM578" s="408"/>
      <c r="BN578" s="408"/>
      <c r="BO578" s="408"/>
      <c r="BP578" s="408"/>
      <c r="BQ578" s="408"/>
      <c r="BR578" s="408"/>
      <c r="BS578" s="408"/>
      <c r="BT578" s="408"/>
      <c r="BU578" s="408"/>
      <c r="BV578" s="408">
        <v>22808.870283609103</v>
      </c>
      <c r="BW578" s="408"/>
      <c r="BX578" s="408"/>
      <c r="BY578" s="408"/>
      <c r="BZ578" s="408"/>
      <c r="CA578" s="408"/>
      <c r="CB578" s="408"/>
      <c r="CC578" s="408"/>
      <c r="CD578" s="408"/>
      <c r="CE578" s="408"/>
      <c r="CF578" s="408"/>
      <c r="CG578" s="408"/>
      <c r="CH578" s="408"/>
      <c r="CI578" s="408">
        <v>32597.729999999996</v>
      </c>
      <c r="CJ578" s="408">
        <v>3192.0270300000011</v>
      </c>
      <c r="CK578" s="408"/>
      <c r="CL578" s="408"/>
      <c r="CM578" s="408"/>
      <c r="CN578" s="408"/>
      <c r="CO578" s="408">
        <v>-38.609610000000053</v>
      </c>
      <c r="CP578" s="408">
        <v>3230.3373699999993</v>
      </c>
      <c r="CQ578" s="408">
        <v>30</v>
      </c>
      <c r="CR578" s="408">
        <v>3191.8276440833979</v>
      </c>
      <c r="CS578" s="408">
        <v>0</v>
      </c>
      <c r="CT578" s="408">
        <v>0</v>
      </c>
      <c r="CU578" s="408">
        <v>0</v>
      </c>
      <c r="CV578" s="408">
        <v>0</v>
      </c>
      <c r="CW578" s="408">
        <v>0</v>
      </c>
      <c r="CX578" s="408">
        <v>0</v>
      </c>
      <c r="CY578" s="408">
        <v>0</v>
      </c>
      <c r="CZ578" s="408">
        <v>0</v>
      </c>
      <c r="DA578" s="408">
        <v>0</v>
      </c>
      <c r="DB578" s="408">
        <v>0</v>
      </c>
      <c r="DC578" s="408">
        <v>3230.75252462149</v>
      </c>
      <c r="DD578" s="408">
        <v>0</v>
      </c>
      <c r="DE578" s="408">
        <v>0</v>
      </c>
      <c r="DF578" s="408">
        <v>6.916706665649123</v>
      </c>
      <c r="DG578" s="408">
        <v>247.08665298751407</v>
      </c>
      <c r="DH578" s="408">
        <v>0</v>
      </c>
      <c r="DI578" s="408">
        <v>-249.41319169454528</v>
      </c>
      <c r="DJ578" s="408"/>
      <c r="DK578" s="408">
        <v>0</v>
      </c>
      <c r="DL578" s="408">
        <v>0</v>
      </c>
      <c r="DM578" s="408">
        <v>0</v>
      </c>
      <c r="DN578" s="408">
        <v>0</v>
      </c>
      <c r="DO578" s="408">
        <v>-37.602329377589285</v>
      </c>
      <c r="DP578" s="408">
        <v>-5.912719119116332</v>
      </c>
      <c r="DQ578" s="408">
        <v>0</v>
      </c>
      <c r="DR578" s="408">
        <v>0</v>
      </c>
      <c r="DS578" s="408"/>
      <c r="DT578" s="408"/>
      <c r="DU578" s="408"/>
      <c r="DV578" s="408">
        <v>0</v>
      </c>
      <c r="DW578" s="408">
        <v>0</v>
      </c>
      <c r="DX578" s="408">
        <v>0</v>
      </c>
      <c r="DY578" s="408">
        <v>-38.60961000000043</v>
      </c>
      <c r="DZ578" s="234">
        <v>3230.3373699999975</v>
      </c>
      <c r="EA578" s="408">
        <v>0</v>
      </c>
      <c r="EB578" s="408">
        <v>0</v>
      </c>
      <c r="EC578" s="408">
        <v>0</v>
      </c>
      <c r="ED578" s="408">
        <v>0</v>
      </c>
      <c r="EE578" s="408">
        <v>0</v>
      </c>
      <c r="EF578" s="408">
        <v>0</v>
      </c>
      <c r="EG578" s="408">
        <v>0</v>
      </c>
      <c r="EH578" s="408">
        <v>0</v>
      </c>
      <c r="EI578" s="408">
        <v>0</v>
      </c>
      <c r="EJ578" s="408">
        <v>0</v>
      </c>
      <c r="EK578" s="408">
        <v>0</v>
      </c>
      <c r="EL578" s="408">
        <v>0</v>
      </c>
      <c r="EM578" s="408">
        <v>0</v>
      </c>
      <c r="EN578" s="408">
        <v>0</v>
      </c>
      <c r="EO578" s="408">
        <v>0</v>
      </c>
      <c r="EP578" s="408">
        <v>0</v>
      </c>
      <c r="EQ578" s="408">
        <v>0</v>
      </c>
      <c r="ER578" s="408">
        <v>0</v>
      </c>
      <c r="ES578" s="408">
        <v>0</v>
      </c>
      <c r="ET578" s="408">
        <v>0</v>
      </c>
      <c r="EU578" s="408">
        <v>0</v>
      </c>
      <c r="EV578" s="408">
        <v>242</v>
      </c>
      <c r="EW578" s="408">
        <v>0</v>
      </c>
      <c r="EX578" s="408">
        <v>0</v>
      </c>
      <c r="EY578" s="408">
        <v>0</v>
      </c>
      <c r="EZ578" s="408"/>
      <c r="FA578" s="408">
        <v>0</v>
      </c>
      <c r="FB578" s="408"/>
      <c r="FC578" s="408"/>
      <c r="FD578" s="408"/>
      <c r="FE578" s="408"/>
      <c r="FF578" s="408">
        <v>0</v>
      </c>
      <c r="FG578" s="408">
        <v>0</v>
      </c>
      <c r="FH578" s="408">
        <v>0</v>
      </c>
      <c r="FI578" s="408">
        <v>0</v>
      </c>
    </row>
    <row r="579" spans="1:165">
      <c r="A579" s="408">
        <v>580</v>
      </c>
      <c r="B579" s="408" t="s">
        <v>1036</v>
      </c>
      <c r="C579" s="408" t="s">
        <v>2239</v>
      </c>
      <c r="D579" s="408" t="s">
        <v>597</v>
      </c>
      <c r="E579" s="408" t="s">
        <v>998</v>
      </c>
      <c r="F579" s="408" t="s">
        <v>1322</v>
      </c>
      <c r="G579" s="408" t="s">
        <v>1322</v>
      </c>
      <c r="H579" s="408" t="s">
        <v>1322</v>
      </c>
      <c r="I579" s="408" t="s">
        <v>1322</v>
      </c>
      <c r="J579" s="408" t="s">
        <v>2232</v>
      </c>
      <c r="K579" s="828">
        <v>44713</v>
      </c>
      <c r="L579" s="408">
        <v>1292</v>
      </c>
      <c r="M579" s="408">
        <v>1292</v>
      </c>
      <c r="N579" s="408">
        <v>0</v>
      </c>
      <c r="O579" s="408">
        <v>0</v>
      </c>
      <c r="P579" s="408">
        <v>0</v>
      </c>
      <c r="Q579" s="408">
        <v>0</v>
      </c>
      <c r="R579" s="408">
        <v>32.17</v>
      </c>
      <c r="S579" s="408"/>
      <c r="T579" s="408"/>
      <c r="U579" s="408">
        <v>41563.64</v>
      </c>
      <c r="V579" s="408"/>
      <c r="W579" s="408">
        <v>41563.64</v>
      </c>
      <c r="X579" s="408">
        <v>16705.560000000001</v>
      </c>
      <c r="Y579" s="408">
        <v>0</v>
      </c>
      <c r="Z579" s="408">
        <v>0</v>
      </c>
      <c r="AA579" s="408">
        <v>0</v>
      </c>
      <c r="AB579" s="408">
        <v>0</v>
      </c>
      <c r="AC579" s="408">
        <v>0</v>
      </c>
      <c r="AD579" s="408">
        <v>129.09176286960783</v>
      </c>
      <c r="AE579" s="408">
        <v>34789.342173612953</v>
      </c>
      <c r="AF579" s="408"/>
      <c r="AG579" s="408"/>
      <c r="AH579" s="408"/>
      <c r="AI579" s="408">
        <v>0</v>
      </c>
      <c r="AJ579" s="408">
        <v>0</v>
      </c>
      <c r="AK579" s="408">
        <v>0</v>
      </c>
      <c r="AL579" s="408">
        <v>0</v>
      </c>
      <c r="AM579" s="408"/>
      <c r="AN579" s="408">
        <v>0</v>
      </c>
      <c r="AO579" s="408">
        <v>2279.6320694865394</v>
      </c>
      <c r="AP579" s="408">
        <v>4370.6617937558185</v>
      </c>
      <c r="AQ579" s="408">
        <v>0</v>
      </c>
      <c r="AR579" s="408">
        <v>0</v>
      </c>
      <c r="AS579" s="408"/>
      <c r="AT579" s="408"/>
      <c r="AU579" s="408">
        <v>0</v>
      </c>
      <c r="AV579" s="408">
        <v>0</v>
      </c>
      <c r="AW579" s="408">
        <v>0</v>
      </c>
      <c r="AX579" s="408"/>
      <c r="AY579" s="408"/>
      <c r="AZ579" s="408">
        <v>0</v>
      </c>
      <c r="BA579" s="408"/>
      <c r="BB579" s="408">
        <v>0</v>
      </c>
      <c r="BC579" s="408">
        <v>0</v>
      </c>
      <c r="BD579" s="408">
        <v>0</v>
      </c>
      <c r="BE579" s="408">
        <v>0</v>
      </c>
      <c r="BF579" s="408"/>
      <c r="BG579" s="408">
        <v>0</v>
      </c>
      <c r="BH579" s="408">
        <v>0</v>
      </c>
      <c r="BI579" s="408">
        <v>180.78</v>
      </c>
      <c r="BJ579" s="408">
        <v>824.46</v>
      </c>
      <c r="BK579" s="408">
        <v>17571.57</v>
      </c>
      <c r="BL579" s="408">
        <v>10</v>
      </c>
      <c r="BM579" s="408"/>
      <c r="BN579" s="408"/>
      <c r="BO579" s="408"/>
      <c r="BP579" s="408"/>
      <c r="BQ579" s="408"/>
      <c r="BR579" s="408"/>
      <c r="BS579" s="408"/>
      <c r="BT579" s="408"/>
      <c r="BU579" s="408"/>
      <c r="BV579" s="408">
        <v>0</v>
      </c>
      <c r="BW579" s="408"/>
      <c r="BX579" s="408"/>
      <c r="BY579" s="408"/>
      <c r="BZ579" s="408"/>
      <c r="CA579" s="408"/>
      <c r="CB579" s="408"/>
      <c r="CC579" s="408"/>
      <c r="CD579" s="408"/>
      <c r="CE579" s="408"/>
      <c r="CF579" s="408"/>
      <c r="CG579" s="408"/>
      <c r="CH579" s="408"/>
      <c r="CI579" s="408">
        <v>16705.560000000001</v>
      </c>
      <c r="CJ579" s="408">
        <v>-24858.110000000004</v>
      </c>
      <c r="CK579" s="408"/>
      <c r="CL579" s="408"/>
      <c r="CM579" s="408"/>
      <c r="CN579" s="408"/>
      <c r="CO579" s="408">
        <v>-24858.080000000002</v>
      </c>
      <c r="CP579" s="408">
        <v>0</v>
      </c>
      <c r="CQ579" s="408">
        <v>30</v>
      </c>
      <c r="CR579" s="408">
        <v>698.60990299459536</v>
      </c>
      <c r="CS579" s="408">
        <v>235.14752252684866</v>
      </c>
      <c r="CT579" s="408">
        <v>450.84042568145105</v>
      </c>
      <c r="CU579" s="408">
        <v>0</v>
      </c>
      <c r="CV579" s="408">
        <v>0</v>
      </c>
      <c r="CW579" s="408"/>
      <c r="CX579" s="408"/>
      <c r="CY579" s="408"/>
      <c r="CZ579" s="408">
        <v>12.621954786295078</v>
      </c>
      <c r="DA579" s="408">
        <v>0</v>
      </c>
      <c r="DB579" s="408">
        <v>0</v>
      </c>
      <c r="DC579" s="408"/>
      <c r="DD579" s="408"/>
      <c r="DE579" s="408">
        <v>0</v>
      </c>
      <c r="DF579" s="408">
        <v>0</v>
      </c>
      <c r="DG579" s="408">
        <v>0</v>
      </c>
      <c r="DH579" s="408">
        <v>0</v>
      </c>
      <c r="DI579" s="408">
        <v>0</v>
      </c>
      <c r="DJ579" s="408"/>
      <c r="DK579" s="408">
        <v>0</v>
      </c>
      <c r="DL579" s="408">
        <v>0</v>
      </c>
      <c r="DM579" s="408"/>
      <c r="DN579" s="408">
        <v>0</v>
      </c>
      <c r="DO579" s="408">
        <v>0</v>
      </c>
      <c r="DP579" s="408">
        <v>0</v>
      </c>
      <c r="DQ579" s="408">
        <v>0</v>
      </c>
      <c r="DR579" s="408">
        <v>0</v>
      </c>
      <c r="DS579" s="408"/>
      <c r="DT579" s="408"/>
      <c r="DU579" s="408">
        <v>34789.342173612953</v>
      </c>
      <c r="DV579" s="408"/>
      <c r="DW579" s="408">
        <v>0</v>
      </c>
      <c r="DX579" s="408">
        <v>0</v>
      </c>
      <c r="DY579" s="408">
        <v>-24858.079999999998</v>
      </c>
      <c r="DZ579" s="234"/>
      <c r="EA579" s="408">
        <v>0</v>
      </c>
      <c r="EB579" s="408"/>
      <c r="EC579" s="408">
        <v>-25560.071236766576</v>
      </c>
      <c r="ED579" s="408"/>
      <c r="EE579" s="408">
        <v>0</v>
      </c>
      <c r="EF579" s="408">
        <v>0</v>
      </c>
      <c r="EG579" s="408"/>
      <c r="EH579" s="408">
        <v>0</v>
      </c>
      <c r="EI579" s="408">
        <v>0</v>
      </c>
      <c r="EJ579" s="408">
        <v>0</v>
      </c>
      <c r="EK579" s="408">
        <v>0</v>
      </c>
      <c r="EL579" s="408">
        <v>0</v>
      </c>
      <c r="EM579" s="408"/>
      <c r="EN579" s="408"/>
      <c r="EO579" s="408">
        <v>0</v>
      </c>
      <c r="EP579" s="408">
        <v>0</v>
      </c>
      <c r="EQ579" s="408"/>
      <c r="ER579" s="408">
        <v>0</v>
      </c>
      <c r="ES579" s="408"/>
      <c r="ET579" s="408">
        <v>0</v>
      </c>
      <c r="EU579" s="408"/>
      <c r="EV579" s="408">
        <v>242</v>
      </c>
      <c r="EW579" s="408"/>
      <c r="EX579" s="408"/>
      <c r="EY579" s="408"/>
      <c r="EZ579" s="408"/>
      <c r="FA579" s="408">
        <v>0</v>
      </c>
      <c r="FB579" s="408"/>
      <c r="FC579" s="408"/>
      <c r="FD579" s="408"/>
      <c r="FE579" s="408"/>
      <c r="FF579" s="408">
        <v>0</v>
      </c>
      <c r="FG579" s="408">
        <v>0</v>
      </c>
      <c r="FH579" s="408">
        <v>0</v>
      </c>
      <c r="FI579" s="408">
        <v>0</v>
      </c>
    </row>
    <row r="580" spans="1:165">
      <c r="A580" s="408">
        <v>581</v>
      </c>
      <c r="B580" s="408" t="s">
        <v>1036</v>
      </c>
      <c r="C580" s="408" t="s">
        <v>2231</v>
      </c>
      <c r="D580" s="408" t="s">
        <v>2241</v>
      </c>
      <c r="E580" s="408" t="s">
        <v>974</v>
      </c>
      <c r="F580" s="408" t="s">
        <v>1322</v>
      </c>
      <c r="G580" s="408" t="s">
        <v>1322</v>
      </c>
      <c r="H580" s="408" t="s">
        <v>1322</v>
      </c>
      <c r="I580" s="408" t="s">
        <v>1322</v>
      </c>
      <c r="J580" s="408" t="s">
        <v>2232</v>
      </c>
      <c r="K580" s="828">
        <v>44713</v>
      </c>
      <c r="L580" s="408">
        <v>0</v>
      </c>
      <c r="M580" s="408">
        <v>0</v>
      </c>
      <c r="N580" s="408">
        <v>3427.027</v>
      </c>
      <c r="O580" s="408">
        <v>3427.027</v>
      </c>
      <c r="P580" s="408">
        <v>3427.027</v>
      </c>
      <c r="Q580" s="408">
        <v>3427.027</v>
      </c>
      <c r="R580" s="408"/>
      <c r="S580" s="408">
        <v>571.87</v>
      </c>
      <c r="T580" s="408">
        <v>216.76</v>
      </c>
      <c r="U580" s="408"/>
      <c r="V580" s="408">
        <v>2702656.3030099999</v>
      </c>
      <c r="W580" s="408">
        <v>2702656.3030099999</v>
      </c>
      <c r="X580" s="408">
        <v>1761526.14827</v>
      </c>
      <c r="Y580" s="408">
        <v>0</v>
      </c>
      <c r="Z580" s="408">
        <v>207714.22109658289</v>
      </c>
      <c r="AA580" s="408">
        <v>0</v>
      </c>
      <c r="AB580" s="408">
        <v>0</v>
      </c>
      <c r="AC580" s="408">
        <v>0</v>
      </c>
      <c r="AD580" s="408">
        <v>2816.720439884255</v>
      </c>
      <c r="AE580" s="408">
        <v>1461228.3452915717</v>
      </c>
      <c r="AF580" s="408">
        <v>732018.11056312278</v>
      </c>
      <c r="AG580" s="408">
        <v>10820.511281750123</v>
      </c>
      <c r="AH580" s="408">
        <v>0</v>
      </c>
      <c r="AI580" s="408">
        <v>0</v>
      </c>
      <c r="AJ580" s="408">
        <v>0</v>
      </c>
      <c r="AK580" s="408">
        <v>0</v>
      </c>
      <c r="AL580" s="408">
        <v>32123.69563602738</v>
      </c>
      <c r="AM580" s="408"/>
      <c r="AN580" s="408">
        <v>6574.6469676216466</v>
      </c>
      <c r="AO580" s="408">
        <v>30437.817992014658</v>
      </c>
      <c r="AP580" s="408">
        <v>95364.240560828635</v>
      </c>
      <c r="AQ580" s="408">
        <v>0</v>
      </c>
      <c r="AR580" s="408">
        <v>0</v>
      </c>
      <c r="AS580" s="408">
        <v>0</v>
      </c>
      <c r="AT580" s="408">
        <v>0</v>
      </c>
      <c r="AU580" s="408">
        <v>0</v>
      </c>
      <c r="AV580" s="408">
        <v>0</v>
      </c>
      <c r="AW580" s="408">
        <v>0</v>
      </c>
      <c r="AX580" s="408">
        <v>0</v>
      </c>
      <c r="AY580" s="408">
        <v>0</v>
      </c>
      <c r="AZ580" s="408">
        <v>0</v>
      </c>
      <c r="BA580" s="408"/>
      <c r="BB580" s="408">
        <v>0</v>
      </c>
      <c r="BC580" s="408">
        <v>0</v>
      </c>
      <c r="BD580" s="408">
        <v>2039.3196610673144</v>
      </c>
      <c r="BE580" s="408">
        <v>0</v>
      </c>
      <c r="BF580" s="408">
        <v>0</v>
      </c>
      <c r="BG580" s="408">
        <v>121516.33717012868</v>
      </c>
      <c r="BH580" s="408">
        <v>0</v>
      </c>
      <c r="BI580" s="408">
        <v>4891.84</v>
      </c>
      <c r="BJ580" s="408">
        <v>22533.1</v>
      </c>
      <c r="BK580" s="408">
        <v>97519.75</v>
      </c>
      <c r="BL580" s="408">
        <v>10352</v>
      </c>
      <c r="BM580" s="408"/>
      <c r="BN580" s="408"/>
      <c r="BO580" s="408"/>
      <c r="BP580" s="408"/>
      <c r="BQ580" s="408"/>
      <c r="BR580" s="408">
        <v>211379.02535999991</v>
      </c>
      <c r="BS580" s="408"/>
      <c r="BT580" s="408"/>
      <c r="BU580" s="408"/>
      <c r="BV580" s="408">
        <v>855573.76739431883</v>
      </c>
      <c r="BW580" s="408"/>
      <c r="BX580" s="408"/>
      <c r="BY580" s="408"/>
      <c r="BZ580" s="408"/>
      <c r="CA580" s="408"/>
      <c r="CB580" s="408"/>
      <c r="CC580" s="408"/>
      <c r="CD580" s="408"/>
      <c r="CE580" s="408"/>
      <c r="CF580" s="408"/>
      <c r="CG580" s="408"/>
      <c r="CH580" s="408"/>
      <c r="CI580" s="408">
        <v>1550148.4799000002</v>
      </c>
      <c r="CJ580" s="408">
        <v>-828208.28809999954</v>
      </c>
      <c r="CK580" s="408"/>
      <c r="CL580" s="408"/>
      <c r="CM580" s="408"/>
      <c r="CN580" s="408"/>
      <c r="CO580" s="408">
        <v>-1052954.04575</v>
      </c>
      <c r="CP580" s="408">
        <v>111823.89100999999</v>
      </c>
      <c r="CQ580" s="408">
        <v>30</v>
      </c>
      <c r="CR580" s="408">
        <v>132455.64169422979</v>
      </c>
      <c r="CS580" s="408">
        <v>3139.7073184522014</v>
      </c>
      <c r="CT580" s="408">
        <v>9836.9667656866077</v>
      </c>
      <c r="CU580" s="408">
        <v>0</v>
      </c>
      <c r="CV580" s="408">
        <v>0</v>
      </c>
      <c r="CW580" s="408">
        <v>0</v>
      </c>
      <c r="CX580" s="408">
        <v>0</v>
      </c>
      <c r="CY580" s="408">
        <v>0</v>
      </c>
      <c r="CZ580" s="408">
        <v>275.40500840291088</v>
      </c>
      <c r="DA580" s="408">
        <v>0</v>
      </c>
      <c r="DB580" s="408">
        <v>0</v>
      </c>
      <c r="DC580" s="408">
        <v>111838.26232786209</v>
      </c>
      <c r="DD580" s="408">
        <v>0</v>
      </c>
      <c r="DE580" s="408">
        <v>0</v>
      </c>
      <c r="DF580" s="408">
        <v>311.56874937064686</v>
      </c>
      <c r="DG580" s="408">
        <v>18565.354869566741</v>
      </c>
      <c r="DH580" s="408">
        <v>0</v>
      </c>
      <c r="DI580" s="408">
        <v>-9924.0029719724553</v>
      </c>
      <c r="DJ580" s="408"/>
      <c r="DK580" s="408">
        <v>0</v>
      </c>
      <c r="DL580" s="408">
        <v>0</v>
      </c>
      <c r="DM580" s="408">
        <v>0</v>
      </c>
      <c r="DN580" s="408">
        <v>0</v>
      </c>
      <c r="DO580" s="408">
        <v>-1301.6717142586422</v>
      </c>
      <c r="DP580" s="408">
        <v>-285.94865887994183</v>
      </c>
      <c r="DQ580" s="408">
        <v>0</v>
      </c>
      <c r="DR580" s="408">
        <v>0</v>
      </c>
      <c r="DS580" s="408"/>
      <c r="DT580" s="408"/>
      <c r="DU580" s="408"/>
      <c r="DV580" s="408">
        <v>1461228.3452915717</v>
      </c>
      <c r="DW580" s="408">
        <v>0</v>
      </c>
      <c r="DX580" s="408">
        <v>0</v>
      </c>
      <c r="DY580" s="408">
        <v>-1052954.04575</v>
      </c>
      <c r="DZ580" s="234">
        <v>111823.89101000002</v>
      </c>
      <c r="EA580" s="408">
        <v>0</v>
      </c>
      <c r="EB580" s="408">
        <v>0</v>
      </c>
      <c r="EC580" s="408">
        <v>-1073578.8107877399</v>
      </c>
      <c r="ED580" s="408">
        <v>0</v>
      </c>
      <c r="EE580" s="408">
        <v>0</v>
      </c>
      <c r="EF580" s="408">
        <v>0</v>
      </c>
      <c r="EG580" s="408">
        <v>0</v>
      </c>
      <c r="EH580" s="408">
        <v>0</v>
      </c>
      <c r="EI580" s="408">
        <v>0</v>
      </c>
      <c r="EJ580" s="408">
        <v>0</v>
      </c>
      <c r="EK580" s="408">
        <v>0</v>
      </c>
      <c r="EL580" s="408">
        <v>0</v>
      </c>
      <c r="EM580" s="408">
        <v>0</v>
      </c>
      <c r="EN580" s="408">
        <v>0</v>
      </c>
      <c r="EO580" s="408">
        <v>0</v>
      </c>
      <c r="EP580" s="408">
        <v>0</v>
      </c>
      <c r="EQ580" s="408">
        <v>0</v>
      </c>
      <c r="ER580" s="408">
        <v>0</v>
      </c>
      <c r="ES580" s="408">
        <v>0</v>
      </c>
      <c r="ET580" s="408">
        <v>0</v>
      </c>
      <c r="EU580" s="408">
        <v>0</v>
      </c>
      <c r="EV580" s="408">
        <v>242</v>
      </c>
      <c r="EW580" s="408">
        <v>0</v>
      </c>
      <c r="EX580" s="408">
        <v>0</v>
      </c>
      <c r="EY580" s="408">
        <v>0</v>
      </c>
      <c r="EZ580" s="408"/>
      <c r="FA580" s="408">
        <v>0</v>
      </c>
      <c r="FB580" s="408"/>
      <c r="FC580" s="408"/>
      <c r="FD580" s="408"/>
      <c r="FE580" s="408"/>
      <c r="FF580" s="408">
        <v>0</v>
      </c>
      <c r="FG580" s="408">
        <v>0</v>
      </c>
      <c r="FH580" s="408">
        <v>0</v>
      </c>
      <c r="FI580" s="408">
        <v>0</v>
      </c>
    </row>
    <row r="581" spans="1:165">
      <c r="A581" s="408">
        <v>582</v>
      </c>
      <c r="B581" s="408" t="s">
        <v>2233</v>
      </c>
      <c r="C581" s="408" t="s">
        <v>2231</v>
      </c>
      <c r="D581" s="408" t="s">
        <v>2241</v>
      </c>
      <c r="E581" s="408" t="s">
        <v>974</v>
      </c>
      <c r="F581" s="408" t="s">
        <v>1322</v>
      </c>
      <c r="G581" s="408" t="s">
        <v>1322</v>
      </c>
      <c r="H581" s="408" t="s">
        <v>1322</v>
      </c>
      <c r="I581" s="408" t="s">
        <v>1322</v>
      </c>
      <c r="J581" s="408" t="s">
        <v>2232</v>
      </c>
      <c r="K581" s="828">
        <v>44713</v>
      </c>
      <c r="L581" s="408">
        <v>0</v>
      </c>
      <c r="M581" s="408">
        <v>0</v>
      </c>
      <c r="N581" s="408">
        <v>-11.170999999999999</v>
      </c>
      <c r="O581" s="408">
        <v>-11.170999999999999</v>
      </c>
      <c r="P581" s="408">
        <v>-11.170999999999999</v>
      </c>
      <c r="Q581" s="408">
        <v>-11.170999999999999</v>
      </c>
      <c r="R581" s="408"/>
      <c r="S581" s="408">
        <v>571.87</v>
      </c>
      <c r="T581" s="408">
        <v>216.76</v>
      </c>
      <c r="U581" s="408"/>
      <c r="V581" s="408">
        <v>-8809.7857299999996</v>
      </c>
      <c r="W581" s="408">
        <v>-8809.7857299999996</v>
      </c>
      <c r="X581" s="408">
        <v>-5742.0057099999995</v>
      </c>
      <c r="Y581" s="408">
        <v>0</v>
      </c>
      <c r="Z581" s="408">
        <v>-677.08120299896302</v>
      </c>
      <c r="AA581" s="408">
        <v>0</v>
      </c>
      <c r="AB581" s="408">
        <v>0</v>
      </c>
      <c r="AC581" s="408">
        <v>0</v>
      </c>
      <c r="AD581" s="408">
        <v>-9.1815979372053427</v>
      </c>
      <c r="AE581" s="408">
        <v>-4763.1319640178344</v>
      </c>
      <c r="AF581" s="408">
        <v>-2386.1423657008377</v>
      </c>
      <c r="AG581" s="408">
        <v>-35.27136831090931</v>
      </c>
      <c r="AH581" s="408">
        <v>0</v>
      </c>
      <c r="AI581" s="408">
        <v>0</v>
      </c>
      <c r="AJ581" s="408">
        <v>0</v>
      </c>
      <c r="AK581" s="408">
        <v>0</v>
      </c>
      <c r="AL581" s="408">
        <v>-104.71286159988288</v>
      </c>
      <c r="AM581" s="408"/>
      <c r="AN581" s="408">
        <v>-21.431223411808954</v>
      </c>
      <c r="AO581" s="408">
        <v>-99.217445555227812</v>
      </c>
      <c r="AP581" s="408">
        <v>-310.85659123929184</v>
      </c>
      <c r="AQ581" s="408">
        <v>0</v>
      </c>
      <c r="AR581" s="408">
        <v>0</v>
      </c>
      <c r="AS581" s="408">
        <v>0</v>
      </c>
      <c r="AT581" s="408">
        <v>0</v>
      </c>
      <c r="AU581" s="408">
        <v>0</v>
      </c>
      <c r="AV581" s="408">
        <v>0</v>
      </c>
      <c r="AW581" s="408">
        <v>0</v>
      </c>
      <c r="AX581" s="408">
        <v>0</v>
      </c>
      <c r="AY581" s="408">
        <v>0</v>
      </c>
      <c r="AZ581" s="408">
        <v>0</v>
      </c>
      <c r="BA581" s="408"/>
      <c r="BB581" s="408">
        <v>0</v>
      </c>
      <c r="BC581" s="408">
        <v>0</v>
      </c>
      <c r="BD581" s="408">
        <v>-6.6475227460370077</v>
      </c>
      <c r="BE581" s="408">
        <v>0</v>
      </c>
      <c r="BF581" s="408">
        <v>0</v>
      </c>
      <c r="BG581" s="408">
        <v>-396.10397073834184</v>
      </c>
      <c r="BH581" s="408">
        <v>0</v>
      </c>
      <c r="BI581" s="408">
        <v>-15.82</v>
      </c>
      <c r="BJ581" s="408">
        <v>-71.98</v>
      </c>
      <c r="BK581" s="408">
        <v>-1047.6199999999999</v>
      </c>
      <c r="BL581" s="408">
        <v>0</v>
      </c>
      <c r="BM581" s="408"/>
      <c r="BN581" s="408"/>
      <c r="BO581" s="408"/>
      <c r="BP581" s="408"/>
      <c r="BQ581" s="408"/>
      <c r="BR581" s="408">
        <v>-689.02727999999979</v>
      </c>
      <c r="BS581" s="408"/>
      <c r="BT581" s="408"/>
      <c r="BU581" s="408"/>
      <c r="BV581" s="408">
        <v>-2788.8938591852166</v>
      </c>
      <c r="BW581" s="408"/>
      <c r="BX581" s="408"/>
      <c r="BY581" s="408"/>
      <c r="BZ581" s="408"/>
      <c r="CA581" s="408"/>
      <c r="CB581" s="408"/>
      <c r="CC581" s="408"/>
      <c r="CD581" s="408"/>
      <c r="CE581" s="408"/>
      <c r="CF581" s="408"/>
      <c r="CG581" s="408"/>
      <c r="CH581" s="408"/>
      <c r="CI581" s="408">
        <v>-5052.5261</v>
      </c>
      <c r="CJ581" s="408">
        <v>2700.1178999999984</v>
      </c>
      <c r="CK581" s="408"/>
      <c r="CL581" s="408"/>
      <c r="CM581" s="408"/>
      <c r="CN581" s="408"/>
      <c r="CO581" s="408">
        <v>3432.2897499999999</v>
      </c>
      <c r="CP581" s="408">
        <v>-364.50972999999993</v>
      </c>
      <c r="CQ581" s="408">
        <v>30</v>
      </c>
      <c r="CR581" s="408">
        <v>-431.76256661130674</v>
      </c>
      <c r="CS581" s="408">
        <v>-10.234430733819593</v>
      </c>
      <c r="CT581" s="408">
        <v>-32.065331186327171</v>
      </c>
      <c r="CU581" s="408">
        <v>0</v>
      </c>
      <c r="CV581" s="408">
        <v>0</v>
      </c>
      <c r="CW581" s="408">
        <v>0</v>
      </c>
      <c r="CX581" s="408">
        <v>0</v>
      </c>
      <c r="CY581" s="408">
        <v>0</v>
      </c>
      <c r="CZ581" s="408">
        <v>-0.89773128395805202</v>
      </c>
      <c r="DA581" s="408">
        <v>0</v>
      </c>
      <c r="DB581" s="408">
        <v>0</v>
      </c>
      <c r="DC581" s="408">
        <v>-364.55657584972278</v>
      </c>
      <c r="DD581" s="408">
        <v>0</v>
      </c>
      <c r="DE581" s="408">
        <v>0</v>
      </c>
      <c r="DF581" s="408">
        <v>-1.0156133871193589</v>
      </c>
      <c r="DG581" s="408">
        <v>-60.517054358757605</v>
      </c>
      <c r="DH581" s="408">
        <v>0</v>
      </c>
      <c r="DI581" s="408">
        <v>32.349041078434539</v>
      </c>
      <c r="DJ581" s="408"/>
      <c r="DK581" s="408">
        <v>0</v>
      </c>
      <c r="DL581" s="408">
        <v>0</v>
      </c>
      <c r="DM581" s="408">
        <v>0</v>
      </c>
      <c r="DN581" s="408">
        <v>0</v>
      </c>
      <c r="DO581" s="408">
        <v>4.2430289344038812</v>
      </c>
      <c r="DP581" s="408">
        <v>0.93210017555969671</v>
      </c>
      <c r="DQ581" s="408">
        <v>0</v>
      </c>
      <c r="DR581" s="408">
        <v>0</v>
      </c>
      <c r="DS581" s="408"/>
      <c r="DT581" s="408"/>
      <c r="DU581" s="408"/>
      <c r="DV581" s="408">
        <v>-4763.1319640178344</v>
      </c>
      <c r="DW581" s="408">
        <v>0</v>
      </c>
      <c r="DX581" s="408">
        <v>0</v>
      </c>
      <c r="DY581" s="408">
        <v>3432.2897500000004</v>
      </c>
      <c r="DZ581" s="234">
        <v>-364.50973000000022</v>
      </c>
      <c r="EA581" s="408">
        <v>0</v>
      </c>
      <c r="EB581" s="408">
        <v>0</v>
      </c>
      <c r="EC581" s="408">
        <v>3499.5198156623346</v>
      </c>
      <c r="ED581" s="408">
        <v>0</v>
      </c>
      <c r="EE581" s="408">
        <v>0</v>
      </c>
      <c r="EF581" s="408">
        <v>0</v>
      </c>
      <c r="EG581" s="408">
        <v>0</v>
      </c>
      <c r="EH581" s="408">
        <v>0</v>
      </c>
      <c r="EI581" s="408">
        <v>0</v>
      </c>
      <c r="EJ581" s="408">
        <v>0</v>
      </c>
      <c r="EK581" s="408">
        <v>0</v>
      </c>
      <c r="EL581" s="408">
        <v>0</v>
      </c>
      <c r="EM581" s="408">
        <v>0</v>
      </c>
      <c r="EN581" s="408">
        <v>0</v>
      </c>
      <c r="EO581" s="408">
        <v>0</v>
      </c>
      <c r="EP581" s="408">
        <v>0</v>
      </c>
      <c r="EQ581" s="408">
        <v>0</v>
      </c>
      <c r="ER581" s="408">
        <v>0</v>
      </c>
      <c r="ES581" s="408">
        <v>0</v>
      </c>
      <c r="ET581" s="408">
        <v>0</v>
      </c>
      <c r="EU581" s="408">
        <v>0</v>
      </c>
      <c r="EV581" s="408">
        <v>242</v>
      </c>
      <c r="EW581" s="408">
        <v>0</v>
      </c>
      <c r="EX581" s="408">
        <v>0</v>
      </c>
      <c r="EY581" s="408">
        <v>0</v>
      </c>
      <c r="EZ581" s="408"/>
      <c r="FA581" s="408">
        <v>0</v>
      </c>
      <c r="FB581" s="408"/>
      <c r="FC581" s="408"/>
      <c r="FD581" s="408"/>
      <c r="FE581" s="408"/>
      <c r="FF581" s="408">
        <v>0</v>
      </c>
      <c r="FG581" s="408">
        <v>0</v>
      </c>
      <c r="FH581" s="408">
        <v>0</v>
      </c>
      <c r="FI581" s="408">
        <v>0</v>
      </c>
    </row>
    <row r="582" spans="1:165">
      <c r="A582" s="408">
        <v>583</v>
      </c>
      <c r="B582" s="408" t="s">
        <v>2234</v>
      </c>
      <c r="C582" s="408" t="s">
        <v>2231</v>
      </c>
      <c r="D582" s="408" t="s">
        <v>2241</v>
      </c>
      <c r="E582" s="408" t="s">
        <v>974</v>
      </c>
      <c r="F582" s="408" t="s">
        <v>1322</v>
      </c>
      <c r="G582" s="408" t="s">
        <v>1322</v>
      </c>
      <c r="H582" s="408" t="s">
        <v>1322</v>
      </c>
      <c r="I582" s="408" t="s">
        <v>1322</v>
      </c>
      <c r="J582" s="408" t="s">
        <v>2232</v>
      </c>
      <c r="K582" s="828">
        <v>44713</v>
      </c>
      <c r="L582" s="408">
        <v>0</v>
      </c>
      <c r="M582" s="408">
        <v>0</v>
      </c>
      <c r="N582" s="408">
        <v>84.25</v>
      </c>
      <c r="O582" s="408">
        <v>84.25</v>
      </c>
      <c r="P582" s="408">
        <v>84.25</v>
      </c>
      <c r="Q582" s="408">
        <v>84.25</v>
      </c>
      <c r="R582" s="408"/>
      <c r="S582" s="408">
        <v>571.87</v>
      </c>
      <c r="T582" s="408">
        <v>216.76</v>
      </c>
      <c r="U582" s="408"/>
      <c r="V582" s="408">
        <v>66442.077499999999</v>
      </c>
      <c r="W582" s="408">
        <v>66442.077499999999</v>
      </c>
      <c r="X582" s="408">
        <v>43305.342499999999</v>
      </c>
      <c r="Y582" s="408">
        <v>0</v>
      </c>
      <c r="Z582" s="408">
        <v>5106.4444859603109</v>
      </c>
      <c r="AA582" s="408">
        <v>0</v>
      </c>
      <c r="AB582" s="408">
        <v>0</v>
      </c>
      <c r="AC582" s="408">
        <v>0</v>
      </c>
      <c r="AD582" s="408">
        <v>69.246229183560118</v>
      </c>
      <c r="AE582" s="408">
        <v>35922.824095291609</v>
      </c>
      <c r="AF582" s="408">
        <v>17995.926444391334</v>
      </c>
      <c r="AG582" s="408">
        <v>266.01134904611132</v>
      </c>
      <c r="AH582" s="408">
        <v>0</v>
      </c>
      <c r="AI582" s="408">
        <v>0</v>
      </c>
      <c r="AJ582" s="408">
        <v>0</v>
      </c>
      <c r="AK582" s="408">
        <v>0</v>
      </c>
      <c r="AL582" s="408">
        <v>789.72863573450309</v>
      </c>
      <c r="AM582" s="408"/>
      <c r="AN582" s="408">
        <v>161.6310601060697</v>
      </c>
      <c r="AO582" s="408">
        <v>748.28303536191424</v>
      </c>
      <c r="AP582" s="408">
        <v>2344.4336059359362</v>
      </c>
      <c r="AQ582" s="408">
        <v>0</v>
      </c>
      <c r="AR582" s="408">
        <v>0</v>
      </c>
      <c r="AS582" s="408">
        <v>0</v>
      </c>
      <c r="AT582" s="408">
        <v>0</v>
      </c>
      <c r="AU582" s="408">
        <v>0</v>
      </c>
      <c r="AV582" s="408">
        <v>0</v>
      </c>
      <c r="AW582" s="408">
        <v>0</v>
      </c>
      <c r="AX582" s="408">
        <v>0</v>
      </c>
      <c r="AY582" s="408">
        <v>0</v>
      </c>
      <c r="AZ582" s="408">
        <v>0</v>
      </c>
      <c r="BA582" s="408"/>
      <c r="BB582" s="408">
        <v>0</v>
      </c>
      <c r="BC582" s="408">
        <v>0</v>
      </c>
      <c r="BD582" s="408">
        <v>50.134615643507111</v>
      </c>
      <c r="BE582" s="408">
        <v>0</v>
      </c>
      <c r="BF582" s="408">
        <v>0</v>
      </c>
      <c r="BG582" s="408">
        <v>2987.3565065531557</v>
      </c>
      <c r="BH582" s="408">
        <v>0</v>
      </c>
      <c r="BI582" s="408">
        <v>121.15</v>
      </c>
      <c r="BJ582" s="408">
        <v>557.78</v>
      </c>
      <c r="BK582" s="408">
        <v>1931.88</v>
      </c>
      <c r="BL582" s="408">
        <v>285</v>
      </c>
      <c r="BM582" s="408"/>
      <c r="BN582" s="408"/>
      <c r="BO582" s="408"/>
      <c r="BP582" s="408"/>
      <c r="BQ582" s="408"/>
      <c r="BR582" s="408">
        <v>5196.5399999999981</v>
      </c>
      <c r="BS582" s="408"/>
      <c r="BT582" s="408"/>
      <c r="BU582" s="408"/>
      <c r="BV582" s="408">
        <v>21033.417566587996</v>
      </c>
      <c r="BW582" s="408"/>
      <c r="BX582" s="408"/>
      <c r="BY582" s="408"/>
      <c r="BZ582" s="408"/>
      <c r="CA582" s="408"/>
      <c r="CB582" s="408"/>
      <c r="CC582" s="408"/>
      <c r="CD582" s="408"/>
      <c r="CE582" s="408"/>
      <c r="CF582" s="408"/>
      <c r="CG582" s="408"/>
      <c r="CH582" s="408"/>
      <c r="CI582" s="408">
        <v>38108.802500000005</v>
      </c>
      <c r="CJ582" s="408">
        <v>-20360.727500000001</v>
      </c>
      <c r="CK582" s="408"/>
      <c r="CL582" s="408"/>
      <c r="CM582" s="408"/>
      <c r="CN582" s="408"/>
      <c r="CO582" s="408">
        <v>-25885.8125</v>
      </c>
      <c r="CP582" s="408">
        <v>2749.0774999999994</v>
      </c>
      <c r="CQ582" s="408">
        <v>30</v>
      </c>
      <c r="CR582" s="408">
        <v>3256.2882675680339</v>
      </c>
      <c r="CS582" s="408">
        <v>77.186535612237094</v>
      </c>
      <c r="CT582" s="408">
        <v>241.83189978050814</v>
      </c>
      <c r="CU582" s="408">
        <v>0</v>
      </c>
      <c r="CV582" s="408">
        <v>0</v>
      </c>
      <c r="CW582" s="408">
        <v>0</v>
      </c>
      <c r="CX582" s="408">
        <v>0</v>
      </c>
      <c r="CY582" s="408">
        <v>0</v>
      </c>
      <c r="CZ582" s="408">
        <v>6.7705541736161479</v>
      </c>
      <c r="DA582" s="408">
        <v>0</v>
      </c>
      <c r="DB582" s="408">
        <v>0</v>
      </c>
      <c r="DC582" s="408">
        <v>2749.4308043451019</v>
      </c>
      <c r="DD582" s="408">
        <v>0</v>
      </c>
      <c r="DE582" s="408">
        <v>0</v>
      </c>
      <c r="DF582" s="408">
        <v>7.6596032463347896</v>
      </c>
      <c r="DG582" s="408">
        <v>456.41051201551591</v>
      </c>
      <c r="DH582" s="408">
        <v>0</v>
      </c>
      <c r="DI582" s="408">
        <v>-243.97159706902767</v>
      </c>
      <c r="DJ582" s="408"/>
      <c r="DK582" s="408">
        <v>0</v>
      </c>
      <c r="DL582" s="408">
        <v>0</v>
      </c>
      <c r="DM582" s="408">
        <v>0</v>
      </c>
      <c r="DN582" s="408">
        <v>0</v>
      </c>
      <c r="DO582" s="408">
        <v>-32.000285357042912</v>
      </c>
      <c r="DP582" s="408">
        <v>-7.0297591792054845</v>
      </c>
      <c r="DQ582" s="408">
        <v>0</v>
      </c>
      <c r="DR582" s="408">
        <v>0</v>
      </c>
      <c r="DS582" s="408"/>
      <c r="DT582" s="408"/>
      <c r="DU582" s="408"/>
      <c r="DV582" s="408">
        <v>35922.824095291609</v>
      </c>
      <c r="DW582" s="408">
        <v>0</v>
      </c>
      <c r="DX582" s="408">
        <v>0</v>
      </c>
      <c r="DY582" s="408">
        <v>-25885.8125</v>
      </c>
      <c r="DZ582" s="234">
        <v>2749.0774999999994</v>
      </c>
      <c r="EA582" s="408">
        <v>0</v>
      </c>
      <c r="EB582" s="408">
        <v>0</v>
      </c>
      <c r="EC582" s="408">
        <v>-26392.851532499481</v>
      </c>
      <c r="ED582" s="408">
        <v>0</v>
      </c>
      <c r="EE582" s="408">
        <v>0</v>
      </c>
      <c r="EF582" s="408">
        <v>0</v>
      </c>
      <c r="EG582" s="408">
        <v>0</v>
      </c>
      <c r="EH582" s="408">
        <v>0</v>
      </c>
      <c r="EI582" s="408">
        <v>0</v>
      </c>
      <c r="EJ582" s="408">
        <v>0</v>
      </c>
      <c r="EK582" s="408">
        <v>0</v>
      </c>
      <c r="EL582" s="408">
        <v>0</v>
      </c>
      <c r="EM582" s="408">
        <v>0</v>
      </c>
      <c r="EN582" s="408">
        <v>0</v>
      </c>
      <c r="EO582" s="408">
        <v>0</v>
      </c>
      <c r="EP582" s="408">
        <v>0</v>
      </c>
      <c r="EQ582" s="408">
        <v>0</v>
      </c>
      <c r="ER582" s="408">
        <v>0</v>
      </c>
      <c r="ES582" s="408">
        <v>0</v>
      </c>
      <c r="ET582" s="408">
        <v>0</v>
      </c>
      <c r="EU582" s="408">
        <v>0</v>
      </c>
      <c r="EV582" s="408">
        <v>242</v>
      </c>
      <c r="EW582" s="408">
        <v>0</v>
      </c>
      <c r="EX582" s="408">
        <v>0</v>
      </c>
      <c r="EY582" s="408">
        <v>0</v>
      </c>
      <c r="EZ582" s="408"/>
      <c r="FA582" s="408">
        <v>0</v>
      </c>
      <c r="FB582" s="408"/>
      <c r="FC582" s="408"/>
      <c r="FD582" s="408"/>
      <c r="FE582" s="408"/>
      <c r="FF582" s="408">
        <v>0</v>
      </c>
      <c r="FG582" s="408">
        <v>0</v>
      </c>
      <c r="FH582" s="408">
        <v>0</v>
      </c>
      <c r="FI582" s="408">
        <v>0</v>
      </c>
    </row>
    <row r="583" spans="1:165">
      <c r="A583" s="408">
        <v>584</v>
      </c>
      <c r="B583" s="408" t="s">
        <v>1036</v>
      </c>
      <c r="C583" s="408" t="s">
        <v>2239</v>
      </c>
      <c r="D583" s="408" t="s">
        <v>597</v>
      </c>
      <c r="E583" s="408" t="s">
        <v>974</v>
      </c>
      <c r="F583" s="408" t="s">
        <v>1322</v>
      </c>
      <c r="G583" s="408" t="s">
        <v>1322</v>
      </c>
      <c r="H583" s="408" t="s">
        <v>1322</v>
      </c>
      <c r="I583" s="408" t="s">
        <v>973</v>
      </c>
      <c r="J583" s="408" t="s">
        <v>2232</v>
      </c>
      <c r="K583" s="828">
        <v>44713</v>
      </c>
      <c r="L583" s="408">
        <v>0</v>
      </c>
      <c r="M583" s="408">
        <v>0</v>
      </c>
      <c r="N583" s="408">
        <v>0.09</v>
      </c>
      <c r="O583" s="408">
        <v>8.6400000000000005E-2</v>
      </c>
      <c r="P583" s="408">
        <v>0.09</v>
      </c>
      <c r="Q583" s="408">
        <v>8.6400000000000005E-2</v>
      </c>
      <c r="R583" s="408"/>
      <c r="S583" s="408">
        <v>2592.54</v>
      </c>
      <c r="T583" s="408">
        <v>216.76</v>
      </c>
      <c r="U583" s="408"/>
      <c r="V583" s="408">
        <v>252.83699999999999</v>
      </c>
      <c r="W583" s="408">
        <v>252.83699999999999</v>
      </c>
      <c r="X583" s="408">
        <v>106.30799999999999</v>
      </c>
      <c r="Y583" s="408">
        <v>0</v>
      </c>
      <c r="Z583" s="408">
        <v>4.7458113145482779</v>
      </c>
      <c r="AA583" s="408">
        <v>0</v>
      </c>
      <c r="AB583" s="408">
        <v>0</v>
      </c>
      <c r="AC583" s="408">
        <v>0</v>
      </c>
      <c r="AD583" s="408">
        <v>0.45509716863600391</v>
      </c>
      <c r="AE583" s="408">
        <v>206.18023539724467</v>
      </c>
      <c r="AF583" s="408">
        <v>19.22413507412724</v>
      </c>
      <c r="AG583" s="408">
        <v>0.28416642628071237</v>
      </c>
      <c r="AH583" s="408">
        <v>0</v>
      </c>
      <c r="AI583" s="408">
        <v>0</v>
      </c>
      <c r="AJ583" s="408">
        <v>0</v>
      </c>
      <c r="AK583" s="408">
        <v>0</v>
      </c>
      <c r="AL583" s="408">
        <v>0.84362702927127919</v>
      </c>
      <c r="AM583" s="408"/>
      <c r="AN583" s="408">
        <v>0.12358999768513049</v>
      </c>
      <c r="AO583" s="408">
        <v>4.0603384386749344</v>
      </c>
      <c r="AP583" s="408">
        <v>15.40806738519294</v>
      </c>
      <c r="AQ583" s="408">
        <v>0</v>
      </c>
      <c r="AR583" s="408">
        <v>0</v>
      </c>
      <c r="AS583" s="408">
        <v>0</v>
      </c>
      <c r="AT583" s="408">
        <v>0</v>
      </c>
      <c r="AU583" s="408">
        <v>0</v>
      </c>
      <c r="AV583" s="408">
        <v>0</v>
      </c>
      <c r="AW583" s="408">
        <v>0</v>
      </c>
      <c r="AX583" s="408">
        <v>0</v>
      </c>
      <c r="AY583" s="408">
        <v>0</v>
      </c>
      <c r="AZ583" s="408">
        <v>0</v>
      </c>
      <c r="BA583" s="408"/>
      <c r="BB583" s="408">
        <v>0</v>
      </c>
      <c r="BC583" s="408">
        <v>0</v>
      </c>
      <c r="BD583" s="408">
        <v>4.1156882860946042E-2</v>
      </c>
      <c r="BE583" s="408">
        <v>0</v>
      </c>
      <c r="BF583" s="408">
        <v>0</v>
      </c>
      <c r="BG583" s="408">
        <v>1.4702541144349499</v>
      </c>
      <c r="BH583" s="408">
        <v>0</v>
      </c>
      <c r="BI583" s="408">
        <v>0</v>
      </c>
      <c r="BJ583" s="408">
        <v>0</v>
      </c>
      <c r="BK583" s="408">
        <v>0</v>
      </c>
      <c r="BL583" s="408">
        <v>0</v>
      </c>
      <c r="BM583" s="408"/>
      <c r="BN583" s="408"/>
      <c r="BO583" s="408"/>
      <c r="BP583" s="408"/>
      <c r="BQ583" s="408"/>
      <c r="BR583" s="408">
        <v>4.2523199999999903</v>
      </c>
      <c r="BS583" s="408"/>
      <c r="BT583" s="408"/>
      <c r="BU583" s="408"/>
      <c r="BV583" s="408">
        <v>20.735546071423137</v>
      </c>
      <c r="BW583" s="408"/>
      <c r="BX583" s="408"/>
      <c r="BY583" s="408"/>
      <c r="BZ583" s="408"/>
      <c r="CA583" s="408"/>
      <c r="CB583" s="408"/>
      <c r="CC583" s="408"/>
      <c r="CD583" s="408"/>
      <c r="CE583" s="408"/>
      <c r="CF583" s="408"/>
      <c r="CG583" s="408"/>
      <c r="CH583" s="408"/>
      <c r="CI583" s="408">
        <v>106.30799999999999</v>
      </c>
      <c r="CJ583" s="408">
        <v>-136.44551999999999</v>
      </c>
      <c r="CK583" s="408"/>
      <c r="CL583" s="408"/>
      <c r="CM583" s="408"/>
      <c r="CN583" s="408"/>
      <c r="CO583" s="408">
        <v>-149.4657</v>
      </c>
      <c r="CP583" s="408">
        <v>2.9366999999999996</v>
      </c>
      <c r="CQ583" s="408">
        <v>30</v>
      </c>
      <c r="CR583" s="408">
        <v>4.9543836913371919</v>
      </c>
      <c r="CS583" s="408">
        <v>0.41883009861761078</v>
      </c>
      <c r="CT583" s="408">
        <v>1.589365635381089</v>
      </c>
      <c r="CU583" s="408">
        <v>0</v>
      </c>
      <c r="CV583" s="408">
        <v>0</v>
      </c>
      <c r="CW583" s="408">
        <v>0</v>
      </c>
      <c r="CX583" s="408">
        <v>0</v>
      </c>
      <c r="CY583" s="408">
        <v>0</v>
      </c>
      <c r="CZ583" s="408">
        <v>4.4497152709088383E-2</v>
      </c>
      <c r="DA583" s="408">
        <v>0</v>
      </c>
      <c r="DB583" s="408">
        <v>0</v>
      </c>
      <c r="DC583" s="408">
        <v>2.9370774171045611</v>
      </c>
      <c r="DD583" s="408">
        <v>0</v>
      </c>
      <c r="DE583" s="408">
        <v>0</v>
      </c>
      <c r="DF583" s="408">
        <v>6.2879786655261199E-3</v>
      </c>
      <c r="DG583" s="408">
        <v>0.22462649894318387</v>
      </c>
      <c r="DH583" s="408">
        <v>0</v>
      </c>
      <c r="DI583" s="408">
        <v>-0.22674155549560204</v>
      </c>
      <c r="DJ583" s="408"/>
      <c r="DK583" s="408">
        <v>0</v>
      </c>
      <c r="DL583" s="408">
        <v>0</v>
      </c>
      <c r="DM583" s="408">
        <v>0</v>
      </c>
      <c r="DN583" s="408">
        <v>0</v>
      </c>
      <c r="DO583" s="408">
        <v>-3.4184281093576963E-2</v>
      </c>
      <c r="DP583" s="408">
        <v>-5.3752534946864966E-3</v>
      </c>
      <c r="DQ583" s="408">
        <v>0</v>
      </c>
      <c r="DR583" s="408">
        <v>0</v>
      </c>
      <c r="DS583" s="408"/>
      <c r="DT583" s="408"/>
      <c r="DU583" s="408"/>
      <c r="DV583" s="408">
        <v>206.18023539724467</v>
      </c>
      <c r="DW583" s="408">
        <v>0</v>
      </c>
      <c r="DX583" s="408">
        <v>0</v>
      </c>
      <c r="DY583" s="408">
        <v>-149.4657</v>
      </c>
      <c r="DZ583" s="234">
        <v>2.9366999999999983</v>
      </c>
      <c r="EA583" s="408">
        <v>0</v>
      </c>
      <c r="EB583" s="408">
        <v>0</v>
      </c>
      <c r="EC583" s="408">
        <v>-151.4826431056826</v>
      </c>
      <c r="ED583" s="408">
        <v>0</v>
      </c>
      <c r="EE583" s="408">
        <v>0</v>
      </c>
      <c r="EF583" s="408">
        <v>0</v>
      </c>
      <c r="EG583" s="408">
        <v>0</v>
      </c>
      <c r="EH583" s="408">
        <v>0</v>
      </c>
      <c r="EI583" s="408">
        <v>0</v>
      </c>
      <c r="EJ583" s="408">
        <v>0</v>
      </c>
      <c r="EK583" s="408">
        <v>0</v>
      </c>
      <c r="EL583" s="408">
        <v>0</v>
      </c>
      <c r="EM583" s="408">
        <v>0</v>
      </c>
      <c r="EN583" s="408">
        <v>0</v>
      </c>
      <c r="EO583" s="408">
        <v>0</v>
      </c>
      <c r="EP583" s="408">
        <v>0</v>
      </c>
      <c r="EQ583" s="408">
        <v>0</v>
      </c>
      <c r="ER583" s="408">
        <v>0</v>
      </c>
      <c r="ES583" s="408">
        <v>0</v>
      </c>
      <c r="ET583" s="408">
        <v>0</v>
      </c>
      <c r="EU583" s="408">
        <v>0</v>
      </c>
      <c r="EV583" s="408">
        <v>242</v>
      </c>
      <c r="EW583" s="408">
        <v>0</v>
      </c>
      <c r="EX583" s="408">
        <v>0</v>
      </c>
      <c r="EY583" s="408">
        <v>0</v>
      </c>
      <c r="EZ583" s="408"/>
      <c r="FA583" s="408">
        <v>0</v>
      </c>
      <c r="FB583" s="408"/>
      <c r="FC583" s="408"/>
      <c r="FD583" s="408"/>
      <c r="FE583" s="408"/>
      <c r="FF583" s="408">
        <v>0</v>
      </c>
      <c r="FG583" s="408">
        <v>0</v>
      </c>
      <c r="FH583" s="408">
        <v>0</v>
      </c>
      <c r="FI583" s="408">
        <v>0</v>
      </c>
    </row>
    <row r="584" spans="1:165">
      <c r="A584" s="408">
        <v>585</v>
      </c>
      <c r="B584" s="408" t="s">
        <v>1036</v>
      </c>
      <c r="C584" s="408" t="s">
        <v>2239</v>
      </c>
      <c r="D584" s="408" t="s">
        <v>597</v>
      </c>
      <c r="E584" s="408" t="s">
        <v>974</v>
      </c>
      <c r="F584" s="408" t="s">
        <v>1322</v>
      </c>
      <c r="G584" s="408" t="s">
        <v>1322</v>
      </c>
      <c r="H584" s="408" t="s">
        <v>1322</v>
      </c>
      <c r="I584" s="408" t="s">
        <v>2240</v>
      </c>
      <c r="J584" s="408" t="s">
        <v>2232</v>
      </c>
      <c r="K584" s="828">
        <v>44713</v>
      </c>
      <c r="L584" s="408">
        <v>0</v>
      </c>
      <c r="M584" s="408">
        <v>0</v>
      </c>
      <c r="N584" s="408">
        <v>24.283000000000001</v>
      </c>
      <c r="O584" s="408">
        <v>23.311679999999999</v>
      </c>
      <c r="P584" s="408">
        <v>24.283000000000001</v>
      </c>
      <c r="Q584" s="408">
        <v>23.311679999999999</v>
      </c>
      <c r="R584" s="408"/>
      <c r="S584" s="408">
        <v>80.27</v>
      </c>
      <c r="T584" s="408">
        <v>216.76</v>
      </c>
      <c r="U584" s="408"/>
      <c r="V584" s="408">
        <v>7212.7794900000008</v>
      </c>
      <c r="W584" s="408">
        <v>7212.7794900000008</v>
      </c>
      <c r="X584" s="408">
        <v>7995.6634099999992</v>
      </c>
      <c r="Y584" s="408">
        <v>0</v>
      </c>
      <c r="Z584" s="408">
        <v>1280.4726239019537</v>
      </c>
      <c r="AA584" s="408">
        <v>0</v>
      </c>
      <c r="AB584" s="408">
        <v>0</v>
      </c>
      <c r="AC584" s="408">
        <v>0</v>
      </c>
      <c r="AD584" s="408">
        <v>0</v>
      </c>
      <c r="AE584" s="408">
        <v>0</v>
      </c>
      <c r="AF584" s="408">
        <v>5186.8852445003531</v>
      </c>
      <c r="AG584" s="408">
        <v>76.67125921527267</v>
      </c>
      <c r="AH584" s="408">
        <v>0</v>
      </c>
      <c r="AI584" s="408">
        <v>0</v>
      </c>
      <c r="AJ584" s="408">
        <v>0</v>
      </c>
      <c r="AK584" s="408">
        <v>0</v>
      </c>
      <c r="AL584" s="408">
        <v>227.61994613104972</v>
      </c>
      <c r="AM584" s="408"/>
      <c r="AN584" s="408">
        <v>33.345954597644713</v>
      </c>
      <c r="AO584" s="408">
        <v>0</v>
      </c>
      <c r="AP584" s="408">
        <v>0</v>
      </c>
      <c r="AQ584" s="408">
        <v>0</v>
      </c>
      <c r="AR584" s="408">
        <v>0</v>
      </c>
      <c r="AS584" s="408">
        <v>0</v>
      </c>
      <c r="AT584" s="408">
        <v>0</v>
      </c>
      <c r="AU584" s="408">
        <v>0</v>
      </c>
      <c r="AV584" s="408">
        <v>0</v>
      </c>
      <c r="AW584" s="408">
        <v>0</v>
      </c>
      <c r="AX584" s="408">
        <v>0</v>
      </c>
      <c r="AY584" s="408">
        <v>0</v>
      </c>
      <c r="AZ584" s="408">
        <v>0</v>
      </c>
      <c r="BA584" s="408"/>
      <c r="BB584" s="408">
        <v>0</v>
      </c>
      <c r="BC584" s="408">
        <v>0</v>
      </c>
      <c r="BD584" s="408">
        <v>11.104584294581697</v>
      </c>
      <c r="BE584" s="408">
        <v>0</v>
      </c>
      <c r="BF584" s="408">
        <v>0</v>
      </c>
      <c r="BG584" s="408">
        <v>396.6908962313766</v>
      </c>
      <c r="BH584" s="408">
        <v>0</v>
      </c>
      <c r="BI584" s="408">
        <v>0</v>
      </c>
      <c r="BJ584" s="408">
        <v>0</v>
      </c>
      <c r="BK584" s="408">
        <v>0</v>
      </c>
      <c r="BL584" s="408">
        <v>0</v>
      </c>
      <c r="BM584" s="408"/>
      <c r="BN584" s="408"/>
      <c r="BO584" s="408"/>
      <c r="BP584" s="408"/>
      <c r="BQ584" s="408"/>
      <c r="BR584" s="408">
        <v>319.82653640000069</v>
      </c>
      <c r="BS584" s="408"/>
      <c r="BT584" s="408"/>
      <c r="BU584" s="408"/>
      <c r="BV584" s="408">
        <v>5594.6807250263109</v>
      </c>
      <c r="BW584" s="408"/>
      <c r="BX584" s="408"/>
      <c r="BY584" s="408"/>
      <c r="BZ584" s="408"/>
      <c r="CA584" s="408"/>
      <c r="CB584" s="408"/>
      <c r="CC584" s="408"/>
      <c r="CD584" s="408"/>
      <c r="CE584" s="408"/>
      <c r="CF584" s="408"/>
      <c r="CG584" s="408"/>
      <c r="CH584" s="408"/>
      <c r="CI584" s="408">
        <v>7675.2837</v>
      </c>
      <c r="CJ584" s="408">
        <v>750.98538960000042</v>
      </c>
      <c r="CK584" s="408"/>
      <c r="CL584" s="408"/>
      <c r="CM584" s="408"/>
      <c r="CN584" s="408"/>
      <c r="CO584" s="408">
        <v>-9.4703700000000151</v>
      </c>
      <c r="CP584" s="408">
        <v>792.35428999999988</v>
      </c>
      <c r="CQ584" s="408">
        <v>30</v>
      </c>
      <c r="CR584" s="408">
        <v>782.90842009795415</v>
      </c>
      <c r="CS584" s="408">
        <v>0</v>
      </c>
      <c r="CT584" s="408">
        <v>0</v>
      </c>
      <c r="CU584" s="408">
        <v>0</v>
      </c>
      <c r="CV584" s="408">
        <v>0</v>
      </c>
      <c r="CW584" s="408">
        <v>0</v>
      </c>
      <c r="CX584" s="408">
        <v>0</v>
      </c>
      <c r="CY584" s="408">
        <v>0</v>
      </c>
      <c r="CZ584" s="408">
        <v>0</v>
      </c>
      <c r="DA584" s="408">
        <v>0</v>
      </c>
      <c r="DB584" s="408">
        <v>0</v>
      </c>
      <c r="DC584" s="408">
        <v>792.45612132833412</v>
      </c>
      <c r="DD584" s="408">
        <v>0</v>
      </c>
      <c r="DE584" s="408">
        <v>0</v>
      </c>
      <c r="DF584" s="408">
        <v>1.6965665103885659</v>
      </c>
      <c r="DG584" s="408">
        <v>60.606725264859278</v>
      </c>
      <c r="DH584" s="408">
        <v>0</v>
      </c>
      <c r="DI584" s="408">
        <v>-61.177391023329847</v>
      </c>
      <c r="DJ584" s="408"/>
      <c r="DK584" s="408">
        <v>0</v>
      </c>
      <c r="DL584" s="408">
        <v>0</v>
      </c>
      <c r="DM584" s="408">
        <v>0</v>
      </c>
      <c r="DN584" s="408">
        <v>0</v>
      </c>
      <c r="DO584" s="408">
        <v>-9.2232988643925751</v>
      </c>
      <c r="DP584" s="408">
        <v>-1.4503031179052499</v>
      </c>
      <c r="DQ584" s="408">
        <v>0</v>
      </c>
      <c r="DR584" s="408">
        <v>0</v>
      </c>
      <c r="DS584" s="408"/>
      <c r="DT584" s="408"/>
      <c r="DU584" s="408"/>
      <c r="DV584" s="408">
        <v>0</v>
      </c>
      <c r="DW584" s="408">
        <v>0</v>
      </c>
      <c r="DX584" s="408">
        <v>0</v>
      </c>
      <c r="DY584" s="408">
        <v>-9.4703700000000026</v>
      </c>
      <c r="DZ584" s="234">
        <v>792.35428999999931</v>
      </c>
      <c r="EA584" s="408">
        <v>0</v>
      </c>
      <c r="EB584" s="408">
        <v>0</v>
      </c>
      <c r="EC584" s="408">
        <v>0</v>
      </c>
      <c r="ED584" s="408">
        <v>0</v>
      </c>
      <c r="EE584" s="408">
        <v>0</v>
      </c>
      <c r="EF584" s="408">
        <v>0</v>
      </c>
      <c r="EG584" s="408">
        <v>0</v>
      </c>
      <c r="EH584" s="408">
        <v>0</v>
      </c>
      <c r="EI584" s="408">
        <v>0</v>
      </c>
      <c r="EJ584" s="408">
        <v>0</v>
      </c>
      <c r="EK584" s="408">
        <v>0</v>
      </c>
      <c r="EL584" s="408">
        <v>0</v>
      </c>
      <c r="EM584" s="408">
        <v>0</v>
      </c>
      <c r="EN584" s="408">
        <v>0</v>
      </c>
      <c r="EO584" s="408">
        <v>0</v>
      </c>
      <c r="EP584" s="408">
        <v>0</v>
      </c>
      <c r="EQ584" s="408">
        <v>0</v>
      </c>
      <c r="ER584" s="408">
        <v>0</v>
      </c>
      <c r="ES584" s="408">
        <v>0</v>
      </c>
      <c r="ET584" s="408">
        <v>0</v>
      </c>
      <c r="EU584" s="408">
        <v>0</v>
      </c>
      <c r="EV584" s="408">
        <v>242</v>
      </c>
      <c r="EW584" s="408">
        <v>0</v>
      </c>
      <c r="EX584" s="408">
        <v>0</v>
      </c>
      <c r="EY584" s="408">
        <v>0</v>
      </c>
      <c r="EZ584" s="408"/>
      <c r="FA584" s="408">
        <v>0</v>
      </c>
      <c r="FB584" s="408"/>
      <c r="FC584" s="408"/>
      <c r="FD584" s="408"/>
      <c r="FE584" s="408"/>
      <c r="FF584" s="408">
        <v>0</v>
      </c>
      <c r="FG584" s="408">
        <v>0</v>
      </c>
      <c r="FH584" s="408">
        <v>0</v>
      </c>
      <c r="FI584" s="408">
        <v>0</v>
      </c>
    </row>
    <row r="585" spans="1:165">
      <c r="A585" s="408">
        <v>586</v>
      </c>
      <c r="B585" s="408" t="s">
        <v>1036</v>
      </c>
      <c r="C585" s="408" t="s">
        <v>2239</v>
      </c>
      <c r="D585" s="408" t="s">
        <v>597</v>
      </c>
      <c r="E585" s="408" t="s">
        <v>974</v>
      </c>
      <c r="F585" s="408" t="s">
        <v>1322</v>
      </c>
      <c r="G585" s="408" t="s">
        <v>1322</v>
      </c>
      <c r="H585" s="408" t="s">
        <v>1322</v>
      </c>
      <c r="I585" s="408" t="s">
        <v>1322</v>
      </c>
      <c r="J585" s="408" t="s">
        <v>2232</v>
      </c>
      <c r="K585" s="828">
        <v>44713</v>
      </c>
      <c r="L585" s="408">
        <v>92</v>
      </c>
      <c r="M585" s="408">
        <v>88.32</v>
      </c>
      <c r="N585" s="408">
        <v>0</v>
      </c>
      <c r="O585" s="408">
        <v>0</v>
      </c>
      <c r="P585" s="408">
        <v>0</v>
      </c>
      <c r="Q585" s="408">
        <v>0</v>
      </c>
      <c r="R585" s="408">
        <v>32.17</v>
      </c>
      <c r="S585" s="408"/>
      <c r="T585" s="408"/>
      <c r="U585" s="408">
        <v>2959.6400000000003</v>
      </c>
      <c r="V585" s="408"/>
      <c r="W585" s="408">
        <v>2959.6400000000003</v>
      </c>
      <c r="X585" s="408">
        <v>1189.56</v>
      </c>
      <c r="Y585" s="408">
        <v>0</v>
      </c>
      <c r="Z585" s="408">
        <v>0</v>
      </c>
      <c r="AA585" s="408">
        <v>0</v>
      </c>
      <c r="AB585" s="408">
        <v>0</v>
      </c>
      <c r="AC585" s="408">
        <v>0</v>
      </c>
      <c r="AD585" s="408">
        <v>9.1922927120773377</v>
      </c>
      <c r="AE585" s="408">
        <v>2477.259659421356</v>
      </c>
      <c r="AF585" s="408"/>
      <c r="AG585" s="408"/>
      <c r="AH585" s="408"/>
      <c r="AI585" s="408">
        <v>0</v>
      </c>
      <c r="AJ585" s="408">
        <v>0</v>
      </c>
      <c r="AK585" s="408">
        <v>0</v>
      </c>
      <c r="AL585" s="408">
        <v>0</v>
      </c>
      <c r="AM585" s="408"/>
      <c r="AN585" s="408">
        <v>0</v>
      </c>
      <c r="AO585" s="408">
        <v>162.32674179006315</v>
      </c>
      <c r="AP585" s="408">
        <v>311.22359522100254</v>
      </c>
      <c r="AQ585" s="408">
        <v>0</v>
      </c>
      <c r="AR585" s="408">
        <v>0</v>
      </c>
      <c r="AS585" s="408"/>
      <c r="AT585" s="408"/>
      <c r="AU585" s="408">
        <v>0</v>
      </c>
      <c r="AV585" s="408">
        <v>0</v>
      </c>
      <c r="AW585" s="408">
        <v>0</v>
      </c>
      <c r="AX585" s="408"/>
      <c r="AY585" s="408"/>
      <c r="AZ585" s="408">
        <v>0</v>
      </c>
      <c r="BA585" s="408"/>
      <c r="BB585" s="408">
        <v>0</v>
      </c>
      <c r="BC585" s="408">
        <v>0</v>
      </c>
      <c r="BD585" s="408">
        <v>0</v>
      </c>
      <c r="BE585" s="408">
        <v>0</v>
      </c>
      <c r="BF585" s="408"/>
      <c r="BG585" s="408">
        <v>0</v>
      </c>
      <c r="BH585" s="408">
        <v>0</v>
      </c>
      <c r="BI585" s="408">
        <v>28.64</v>
      </c>
      <c r="BJ585" s="408">
        <v>130.58000000000001</v>
      </c>
      <c r="BK585" s="408">
        <v>4.57</v>
      </c>
      <c r="BL585" s="408">
        <v>1</v>
      </c>
      <c r="BM585" s="408"/>
      <c r="BN585" s="408"/>
      <c r="BO585" s="408"/>
      <c r="BP585" s="408"/>
      <c r="BQ585" s="408"/>
      <c r="BR585" s="408">
        <v>47.582400000000085</v>
      </c>
      <c r="BS585" s="408"/>
      <c r="BT585" s="408"/>
      <c r="BU585" s="408"/>
      <c r="BV585" s="408">
        <v>0</v>
      </c>
      <c r="BW585" s="408"/>
      <c r="BX585" s="408"/>
      <c r="BY585" s="408"/>
      <c r="BZ585" s="408"/>
      <c r="CA585" s="408"/>
      <c r="CB585" s="408"/>
      <c r="CC585" s="408"/>
      <c r="CD585" s="408"/>
      <c r="CE585" s="408"/>
      <c r="CF585" s="408"/>
      <c r="CG585" s="408"/>
      <c r="CH585" s="408"/>
      <c r="CI585" s="408">
        <v>1141.9775999999999</v>
      </c>
      <c r="CJ585" s="408">
        <v>-1699.3068000000005</v>
      </c>
      <c r="CK585" s="408"/>
      <c r="CL585" s="408"/>
      <c r="CM585" s="408"/>
      <c r="CN585" s="408"/>
      <c r="CO585" s="408">
        <v>-1770.0800000000002</v>
      </c>
      <c r="CP585" s="408">
        <v>0</v>
      </c>
      <c r="CQ585" s="408">
        <v>30</v>
      </c>
      <c r="CR585" s="408">
        <v>49.746216002711094</v>
      </c>
      <c r="CS585" s="408">
        <v>16.744250830085235</v>
      </c>
      <c r="CT585" s="408">
        <v>32.103188206419134</v>
      </c>
      <c r="CU585" s="408">
        <v>0</v>
      </c>
      <c r="CV585" s="408">
        <v>0</v>
      </c>
      <c r="CW585" s="408"/>
      <c r="CX585" s="408"/>
      <c r="CY585" s="408"/>
      <c r="CZ585" s="408">
        <v>0.8987769662067695</v>
      </c>
      <c r="DA585" s="408">
        <v>0</v>
      </c>
      <c r="DB585" s="408">
        <v>0</v>
      </c>
      <c r="DC585" s="408"/>
      <c r="DD585" s="408"/>
      <c r="DE585" s="408">
        <v>0</v>
      </c>
      <c r="DF585" s="408">
        <v>0</v>
      </c>
      <c r="DG585" s="408">
        <v>0</v>
      </c>
      <c r="DH585" s="408">
        <v>0</v>
      </c>
      <c r="DI585" s="408">
        <v>0</v>
      </c>
      <c r="DJ585" s="408"/>
      <c r="DK585" s="408">
        <v>0</v>
      </c>
      <c r="DL585" s="408">
        <v>0</v>
      </c>
      <c r="DM585" s="408"/>
      <c r="DN585" s="408">
        <v>0</v>
      </c>
      <c r="DO585" s="408">
        <v>0</v>
      </c>
      <c r="DP585" s="408">
        <v>0</v>
      </c>
      <c r="DQ585" s="408">
        <v>0</v>
      </c>
      <c r="DR585" s="408">
        <v>0</v>
      </c>
      <c r="DS585" s="408"/>
      <c r="DT585" s="408"/>
      <c r="DU585" s="408">
        <v>2477.259659421356</v>
      </c>
      <c r="DV585" s="408"/>
      <c r="DW585" s="408">
        <v>0</v>
      </c>
      <c r="DX585" s="408">
        <v>0</v>
      </c>
      <c r="DY585" s="408">
        <v>-1770.0800000000004</v>
      </c>
      <c r="DZ585" s="234"/>
      <c r="EA585" s="408">
        <v>0</v>
      </c>
      <c r="EB585" s="408"/>
      <c r="EC585" s="408">
        <v>-1820.066992091738</v>
      </c>
      <c r="ED585" s="408"/>
      <c r="EE585" s="408">
        <v>0</v>
      </c>
      <c r="EF585" s="408">
        <v>0</v>
      </c>
      <c r="EG585" s="408"/>
      <c r="EH585" s="408">
        <v>0</v>
      </c>
      <c r="EI585" s="408">
        <v>0</v>
      </c>
      <c r="EJ585" s="408">
        <v>0</v>
      </c>
      <c r="EK585" s="408">
        <v>0</v>
      </c>
      <c r="EL585" s="408">
        <v>0</v>
      </c>
      <c r="EM585" s="408"/>
      <c r="EN585" s="408"/>
      <c r="EO585" s="408">
        <v>0</v>
      </c>
      <c r="EP585" s="408">
        <v>0</v>
      </c>
      <c r="EQ585" s="408"/>
      <c r="ER585" s="408">
        <v>0</v>
      </c>
      <c r="ES585" s="408"/>
      <c r="ET585" s="408">
        <v>0</v>
      </c>
      <c r="EU585" s="408"/>
      <c r="EV585" s="408">
        <v>242</v>
      </c>
      <c r="EW585" s="408"/>
      <c r="EX585" s="408"/>
      <c r="EY585" s="408"/>
      <c r="EZ585" s="408"/>
      <c r="FA585" s="408">
        <v>0</v>
      </c>
      <c r="FB585" s="408"/>
      <c r="FC585" s="408"/>
      <c r="FD585" s="408"/>
      <c r="FE585" s="408"/>
      <c r="FF585" s="408">
        <v>0</v>
      </c>
      <c r="FG585" s="408">
        <v>0</v>
      </c>
      <c r="FH585" s="408">
        <v>0</v>
      </c>
      <c r="FI585" s="408">
        <v>0</v>
      </c>
    </row>
    <row r="586" spans="1:165">
      <c r="A586" s="408">
        <v>587</v>
      </c>
      <c r="B586" s="408" t="s">
        <v>1036</v>
      </c>
      <c r="C586" s="408" t="s">
        <v>2231</v>
      </c>
      <c r="D586" s="408" t="s">
        <v>1955</v>
      </c>
      <c r="E586" s="408" t="s">
        <v>2242</v>
      </c>
      <c r="F586" s="408" t="s">
        <v>1322</v>
      </c>
      <c r="G586" s="408" t="s">
        <v>1322</v>
      </c>
      <c r="H586" s="408" t="s">
        <v>1322</v>
      </c>
      <c r="I586" s="408" t="s">
        <v>1322</v>
      </c>
      <c r="J586" s="408" t="s">
        <v>2232</v>
      </c>
      <c r="K586" s="828">
        <v>44713</v>
      </c>
      <c r="L586" s="408">
        <v>0</v>
      </c>
      <c r="M586" s="408">
        <v>0</v>
      </c>
      <c r="N586" s="408">
        <v>40.003999999999998</v>
      </c>
      <c r="O586" s="408">
        <v>40.003999999999998</v>
      </c>
      <c r="P586" s="408">
        <v>40.003999999999998</v>
      </c>
      <c r="Q586" s="408">
        <v>40.003999999999998</v>
      </c>
      <c r="R586" s="408"/>
      <c r="S586" s="408">
        <v>571.87</v>
      </c>
      <c r="T586" s="408">
        <v>216.76</v>
      </c>
      <c r="U586" s="408"/>
      <c r="V586" s="408">
        <v>31548.354519999997</v>
      </c>
      <c r="W586" s="408">
        <v>31548.354519999997</v>
      </c>
      <c r="X586" s="408">
        <v>20562.456039999997</v>
      </c>
      <c r="Y586" s="408">
        <v>0</v>
      </c>
      <c r="Z586" s="408">
        <v>2424.667124229748</v>
      </c>
      <c r="AA586" s="408">
        <v>0</v>
      </c>
      <c r="AB586" s="408">
        <v>0</v>
      </c>
      <c r="AC586" s="408">
        <v>0</v>
      </c>
      <c r="AD586" s="408">
        <v>32.879835635123307</v>
      </c>
      <c r="AE586" s="408">
        <v>17057.052286148908</v>
      </c>
      <c r="AF586" s="408">
        <v>8544.9144389487337</v>
      </c>
      <c r="AG586" s="408">
        <v>126.30881907704021</v>
      </c>
      <c r="AH586" s="408">
        <v>0</v>
      </c>
      <c r="AI586" s="408">
        <v>0</v>
      </c>
      <c r="AJ586" s="408">
        <v>0</v>
      </c>
      <c r="AK586" s="408">
        <v>0</v>
      </c>
      <c r="AL586" s="408">
        <v>374.98284087742502</v>
      </c>
      <c r="AM586" s="408"/>
      <c r="AN586" s="408">
        <v>76.746456124429812</v>
      </c>
      <c r="AO586" s="408">
        <v>355.30343675510994</v>
      </c>
      <c r="AP586" s="408">
        <v>1113.1955130191238</v>
      </c>
      <c r="AQ586" s="408">
        <v>0</v>
      </c>
      <c r="AR586" s="408">
        <v>0</v>
      </c>
      <c r="AS586" s="408">
        <v>0</v>
      </c>
      <c r="AT586" s="408">
        <v>0</v>
      </c>
      <c r="AU586" s="408">
        <v>0</v>
      </c>
      <c r="AV586" s="408">
        <v>0</v>
      </c>
      <c r="AW586" s="408">
        <v>0</v>
      </c>
      <c r="AX586" s="408">
        <v>0</v>
      </c>
      <c r="AY586" s="408">
        <v>0</v>
      </c>
      <c r="AZ586" s="408">
        <v>0</v>
      </c>
      <c r="BA586" s="408"/>
      <c r="BB586" s="408">
        <v>0</v>
      </c>
      <c r="BC586" s="408">
        <v>0</v>
      </c>
      <c r="BD586" s="408">
        <v>23.805165153743125</v>
      </c>
      <c r="BE586" s="408">
        <v>0</v>
      </c>
      <c r="BF586" s="408">
        <v>0</v>
      </c>
      <c r="BG586" s="408">
        <v>1418.4713316101179</v>
      </c>
      <c r="BH586" s="408">
        <v>0</v>
      </c>
      <c r="BI586" s="408">
        <v>65.260000000000005</v>
      </c>
      <c r="BJ586" s="408">
        <v>301.14999999999998</v>
      </c>
      <c r="BK586" s="408">
        <v>6513.24</v>
      </c>
      <c r="BL586" s="408">
        <v>113</v>
      </c>
      <c r="BM586" s="408"/>
      <c r="BN586" s="408"/>
      <c r="BO586" s="408"/>
      <c r="BP586" s="408"/>
      <c r="BQ586" s="408"/>
      <c r="BR586" s="408"/>
      <c r="BS586" s="408"/>
      <c r="BT586" s="408"/>
      <c r="BU586" s="408"/>
      <c r="BV586" s="408">
        <v>9987.1909357125951</v>
      </c>
      <c r="BW586" s="408"/>
      <c r="BX586" s="408"/>
      <c r="BY586" s="408"/>
      <c r="BZ586" s="408"/>
      <c r="CA586" s="408"/>
      <c r="CB586" s="408"/>
      <c r="CC586" s="408"/>
      <c r="CD586" s="408"/>
      <c r="CE586" s="408"/>
      <c r="CF586" s="408"/>
      <c r="CG586" s="408"/>
      <c r="CH586" s="408"/>
      <c r="CI586" s="408">
        <v>20560.399999999998</v>
      </c>
      <c r="CJ586" s="408">
        <v>-10987.984519999995</v>
      </c>
      <c r="CK586" s="408"/>
      <c r="CL586" s="408"/>
      <c r="CM586" s="408"/>
      <c r="CN586" s="408"/>
      <c r="CO586" s="408">
        <v>-12291.228999999999</v>
      </c>
      <c r="CP586" s="408">
        <v>1305.3305199999998</v>
      </c>
      <c r="CQ586" s="408">
        <v>30</v>
      </c>
      <c r="CR586" s="408">
        <v>1546.1668350835807</v>
      </c>
      <c r="CS586" s="408">
        <v>36.650091046076398</v>
      </c>
      <c r="CT586" s="408">
        <v>114.82781387322802</v>
      </c>
      <c r="CU586" s="408">
        <v>0</v>
      </c>
      <c r="CV586" s="408">
        <v>0</v>
      </c>
      <c r="CW586" s="408">
        <v>0</v>
      </c>
      <c r="CX586" s="408">
        <v>0</v>
      </c>
      <c r="CY586" s="408">
        <v>0</v>
      </c>
      <c r="CZ586" s="408">
        <v>3.2148278832206572</v>
      </c>
      <c r="DA586" s="408">
        <v>0</v>
      </c>
      <c r="DB586" s="408">
        <v>0</v>
      </c>
      <c r="DC586" s="408">
        <v>1305.4982777094538</v>
      </c>
      <c r="DD586" s="408">
        <v>0</v>
      </c>
      <c r="DE586" s="408">
        <v>0</v>
      </c>
      <c r="DF586" s="408">
        <v>3.6369705432210928</v>
      </c>
      <c r="DG586" s="408">
        <v>216.71508750942075</v>
      </c>
      <c r="DH586" s="408">
        <v>0</v>
      </c>
      <c r="DI586" s="408">
        <v>-115.84379547951812</v>
      </c>
      <c r="DJ586" s="408"/>
      <c r="DK586" s="408">
        <v>0</v>
      </c>
      <c r="DL586" s="408">
        <v>0</v>
      </c>
      <c r="DM586" s="408">
        <v>0</v>
      </c>
      <c r="DN586" s="408">
        <v>0</v>
      </c>
      <c r="DO586" s="408">
        <v>-15.194533120749497</v>
      </c>
      <c r="DP586" s="408">
        <v>-3.3379048807707647</v>
      </c>
      <c r="DQ586" s="408">
        <v>0</v>
      </c>
      <c r="DR586" s="408">
        <v>0</v>
      </c>
      <c r="DS586" s="408"/>
      <c r="DT586" s="408"/>
      <c r="DU586" s="408"/>
      <c r="DV586" s="408">
        <v>17057.052286148908</v>
      </c>
      <c r="DW586" s="408">
        <v>0</v>
      </c>
      <c r="DX586" s="408">
        <v>0</v>
      </c>
      <c r="DY586" s="408">
        <v>-12291.228999999999</v>
      </c>
      <c r="DZ586" s="234">
        <v>1305.3305199999995</v>
      </c>
      <c r="EA586" s="408">
        <v>0</v>
      </c>
      <c r="EB586" s="408">
        <v>0</v>
      </c>
      <c r="EC586" s="408">
        <v>-12531.983770992392</v>
      </c>
      <c r="ED586" s="408">
        <v>0</v>
      </c>
      <c r="EE586" s="408">
        <v>0</v>
      </c>
      <c r="EF586" s="408">
        <v>0</v>
      </c>
      <c r="EG586" s="408">
        <v>0</v>
      </c>
      <c r="EH586" s="408">
        <v>0</v>
      </c>
      <c r="EI586" s="408">
        <v>0</v>
      </c>
      <c r="EJ586" s="408">
        <v>0</v>
      </c>
      <c r="EK586" s="408">
        <v>0</v>
      </c>
      <c r="EL586" s="408">
        <v>0</v>
      </c>
      <c r="EM586" s="408">
        <v>0</v>
      </c>
      <c r="EN586" s="408">
        <v>0</v>
      </c>
      <c r="EO586" s="408">
        <v>0</v>
      </c>
      <c r="EP586" s="408">
        <v>0</v>
      </c>
      <c r="EQ586" s="408">
        <v>0</v>
      </c>
      <c r="ER586" s="408">
        <v>0</v>
      </c>
      <c r="ES586" s="408">
        <v>0</v>
      </c>
      <c r="ET586" s="408">
        <v>0</v>
      </c>
      <c r="EU586" s="408">
        <v>0</v>
      </c>
      <c r="EV586" s="408">
        <v>242</v>
      </c>
      <c r="EW586" s="408">
        <v>0</v>
      </c>
      <c r="EX586" s="408">
        <v>0</v>
      </c>
      <c r="EY586" s="408">
        <v>0</v>
      </c>
      <c r="EZ586" s="408"/>
      <c r="FA586" s="408">
        <v>0</v>
      </c>
      <c r="FB586" s="408"/>
      <c r="FC586" s="408"/>
      <c r="FD586" s="408"/>
      <c r="FE586" s="408"/>
      <c r="FF586" s="408">
        <v>0</v>
      </c>
      <c r="FG586" s="408">
        <v>0</v>
      </c>
      <c r="FH586" s="408">
        <v>0</v>
      </c>
      <c r="FI586" s="408">
        <v>0</v>
      </c>
    </row>
    <row r="587" spans="1:165">
      <c r="A587" s="408">
        <v>588</v>
      </c>
      <c r="B587" s="408" t="s">
        <v>2234</v>
      </c>
      <c r="C587" s="408" t="s">
        <v>2231</v>
      </c>
      <c r="D587" s="408" t="s">
        <v>1955</v>
      </c>
      <c r="E587" s="408" t="s">
        <v>2242</v>
      </c>
      <c r="F587" s="408" t="s">
        <v>1322</v>
      </c>
      <c r="G587" s="408" t="s">
        <v>1322</v>
      </c>
      <c r="H587" s="408" t="s">
        <v>1322</v>
      </c>
      <c r="I587" s="408" t="s">
        <v>1322</v>
      </c>
      <c r="J587" s="408" t="s">
        <v>2232</v>
      </c>
      <c r="K587" s="828">
        <v>44713</v>
      </c>
      <c r="L587" s="408">
        <v>0</v>
      </c>
      <c r="M587" s="408">
        <v>0</v>
      </c>
      <c r="N587" s="408">
        <v>0.1</v>
      </c>
      <c r="O587" s="408">
        <v>0.1</v>
      </c>
      <c r="P587" s="408">
        <v>0.1</v>
      </c>
      <c r="Q587" s="408">
        <v>0.1</v>
      </c>
      <c r="R587" s="408"/>
      <c r="S587" s="408">
        <v>571.87</v>
      </c>
      <c r="T587" s="408">
        <v>216.76</v>
      </c>
      <c r="U587" s="408"/>
      <c r="V587" s="408">
        <v>78.863</v>
      </c>
      <c r="W587" s="408">
        <v>78.863</v>
      </c>
      <c r="X587" s="408">
        <v>51.401000000000003</v>
      </c>
      <c r="Y587" s="408">
        <v>0</v>
      </c>
      <c r="Z587" s="408">
        <v>6.0610617044039303</v>
      </c>
      <c r="AA587" s="408">
        <v>0</v>
      </c>
      <c r="AB587" s="408">
        <v>0</v>
      </c>
      <c r="AC587" s="408">
        <v>0</v>
      </c>
      <c r="AD587" s="408">
        <v>8.2191369950813206E-2</v>
      </c>
      <c r="AE587" s="408">
        <v>42.638366878684401</v>
      </c>
      <c r="AF587" s="408">
        <v>21.360150082363603</v>
      </c>
      <c r="AG587" s="408">
        <v>0.31574047364523605</v>
      </c>
      <c r="AH587" s="408">
        <v>0</v>
      </c>
      <c r="AI587" s="408">
        <v>0</v>
      </c>
      <c r="AJ587" s="408">
        <v>0</v>
      </c>
      <c r="AK587" s="408">
        <v>0</v>
      </c>
      <c r="AL587" s="408">
        <v>0.93736336585697699</v>
      </c>
      <c r="AM587" s="408"/>
      <c r="AN587" s="408">
        <v>0.19184695561551302</v>
      </c>
      <c r="AO587" s="408">
        <v>0.88816977491028393</v>
      </c>
      <c r="AP587" s="408">
        <v>2.7827105114966599</v>
      </c>
      <c r="AQ587" s="408">
        <v>0</v>
      </c>
      <c r="AR587" s="408">
        <v>0</v>
      </c>
      <c r="AS587" s="408">
        <v>0</v>
      </c>
      <c r="AT587" s="408">
        <v>0</v>
      </c>
      <c r="AU587" s="408">
        <v>0</v>
      </c>
      <c r="AV587" s="408">
        <v>0</v>
      </c>
      <c r="AW587" s="408">
        <v>0</v>
      </c>
      <c r="AX587" s="408">
        <v>0</v>
      </c>
      <c r="AY587" s="408">
        <v>0</v>
      </c>
      <c r="AZ587" s="408">
        <v>0</v>
      </c>
      <c r="BA587" s="408"/>
      <c r="BB587" s="408">
        <v>0</v>
      </c>
      <c r="BC587" s="408">
        <v>0</v>
      </c>
      <c r="BD587" s="408">
        <v>5.9506962188139001E-2</v>
      </c>
      <c r="BE587" s="408">
        <v>0</v>
      </c>
      <c r="BF587" s="408">
        <v>0</v>
      </c>
      <c r="BG587" s="408">
        <v>3.5458237466506297</v>
      </c>
      <c r="BH587" s="408">
        <v>0</v>
      </c>
      <c r="BI587" s="408">
        <v>0.16</v>
      </c>
      <c r="BJ587" s="408">
        <v>0.75</v>
      </c>
      <c r="BK587" s="408">
        <v>100.34</v>
      </c>
      <c r="BL587" s="408">
        <v>1</v>
      </c>
      <c r="BM587" s="408"/>
      <c r="BN587" s="408"/>
      <c r="BO587" s="408"/>
      <c r="BP587" s="408"/>
      <c r="BQ587" s="408"/>
      <c r="BR587" s="408"/>
      <c r="BS587" s="408"/>
      <c r="BT587" s="408"/>
      <c r="BU587" s="408"/>
      <c r="BV587" s="408">
        <v>24.965480791202371</v>
      </c>
      <c r="BW587" s="408"/>
      <c r="BX587" s="408"/>
      <c r="BY587" s="408"/>
      <c r="BZ587" s="408"/>
      <c r="CA587" s="408"/>
      <c r="CB587" s="408"/>
      <c r="CC587" s="408"/>
      <c r="CD587" s="408"/>
      <c r="CE587" s="408"/>
      <c r="CF587" s="408"/>
      <c r="CG587" s="408"/>
      <c r="CH587" s="408"/>
      <c r="CI587" s="408">
        <v>51.401000000000003</v>
      </c>
      <c r="CJ587" s="408">
        <v>-27.492000000000012</v>
      </c>
      <c r="CK587" s="408"/>
      <c r="CL587" s="408"/>
      <c r="CM587" s="408"/>
      <c r="CN587" s="408"/>
      <c r="CO587" s="408">
        <v>-30.725000000000001</v>
      </c>
      <c r="CP587" s="408">
        <v>3.2629999999999999</v>
      </c>
      <c r="CQ587" s="408">
        <v>30</v>
      </c>
      <c r="CR587" s="408">
        <v>3.8650305846504907</v>
      </c>
      <c r="CS587" s="408">
        <v>9.1616066008590069E-2</v>
      </c>
      <c r="CT587" s="408">
        <v>0.28704083060001029</v>
      </c>
      <c r="CU587" s="408">
        <v>0</v>
      </c>
      <c r="CV587" s="408">
        <v>0</v>
      </c>
      <c r="CW587" s="408">
        <v>0</v>
      </c>
      <c r="CX587" s="408">
        <v>0</v>
      </c>
      <c r="CY587" s="408">
        <v>0</v>
      </c>
      <c r="CZ587" s="408">
        <v>8.0362660814434911E-3</v>
      </c>
      <c r="DA587" s="408">
        <v>0</v>
      </c>
      <c r="DB587" s="408">
        <v>0</v>
      </c>
      <c r="DC587" s="408">
        <v>3.2634193523383992</v>
      </c>
      <c r="DD587" s="408">
        <v>0</v>
      </c>
      <c r="DE587" s="408">
        <v>0</v>
      </c>
      <c r="DF587" s="408">
        <v>9.0915172063320976E-3</v>
      </c>
      <c r="DG587" s="408">
        <v>0.5417335454190102</v>
      </c>
      <c r="DH587" s="408">
        <v>0</v>
      </c>
      <c r="DI587" s="408">
        <v>-0.28958053064572997</v>
      </c>
      <c r="DJ587" s="408"/>
      <c r="DK587" s="408">
        <v>0</v>
      </c>
      <c r="DL587" s="408">
        <v>0</v>
      </c>
      <c r="DM587" s="408">
        <v>0</v>
      </c>
      <c r="DN587" s="408">
        <v>0</v>
      </c>
      <c r="DO587" s="408">
        <v>-3.7982534548418934E-2</v>
      </c>
      <c r="DP587" s="408">
        <v>-8.3439278091460012E-3</v>
      </c>
      <c r="DQ587" s="408">
        <v>0</v>
      </c>
      <c r="DR587" s="408">
        <v>0</v>
      </c>
      <c r="DS587" s="408"/>
      <c r="DT587" s="408"/>
      <c r="DU587" s="408"/>
      <c r="DV587" s="408">
        <v>42.638366878684401</v>
      </c>
      <c r="DW587" s="408">
        <v>0</v>
      </c>
      <c r="DX587" s="408">
        <v>0</v>
      </c>
      <c r="DY587" s="408">
        <v>-30.725000000000001</v>
      </c>
      <c r="DZ587" s="234">
        <v>3.2629999999999981</v>
      </c>
      <c r="EA587" s="408">
        <v>0</v>
      </c>
      <c r="EB587" s="408">
        <v>0</v>
      </c>
      <c r="EC587" s="408">
        <v>-31.326826744806503</v>
      </c>
      <c r="ED587" s="408">
        <v>0</v>
      </c>
      <c r="EE587" s="408">
        <v>0</v>
      </c>
      <c r="EF587" s="408">
        <v>0</v>
      </c>
      <c r="EG587" s="408">
        <v>0</v>
      </c>
      <c r="EH587" s="408">
        <v>0</v>
      </c>
      <c r="EI587" s="408">
        <v>0</v>
      </c>
      <c r="EJ587" s="408">
        <v>0</v>
      </c>
      <c r="EK587" s="408">
        <v>0</v>
      </c>
      <c r="EL587" s="408">
        <v>0</v>
      </c>
      <c r="EM587" s="408">
        <v>0</v>
      </c>
      <c r="EN587" s="408">
        <v>0</v>
      </c>
      <c r="EO587" s="408">
        <v>0</v>
      </c>
      <c r="EP587" s="408">
        <v>0</v>
      </c>
      <c r="EQ587" s="408">
        <v>0</v>
      </c>
      <c r="ER587" s="408">
        <v>0</v>
      </c>
      <c r="ES587" s="408">
        <v>0</v>
      </c>
      <c r="ET587" s="408">
        <v>0</v>
      </c>
      <c r="EU587" s="408">
        <v>0</v>
      </c>
      <c r="EV587" s="408">
        <v>242</v>
      </c>
      <c r="EW587" s="408">
        <v>0</v>
      </c>
      <c r="EX587" s="408">
        <v>0</v>
      </c>
      <c r="EY587" s="408">
        <v>0</v>
      </c>
      <c r="EZ587" s="408"/>
      <c r="FA587" s="408">
        <v>0</v>
      </c>
      <c r="FB587" s="408"/>
      <c r="FC587" s="408"/>
      <c r="FD587" s="408"/>
      <c r="FE587" s="408"/>
      <c r="FF587" s="408">
        <v>0</v>
      </c>
      <c r="FG587" s="408">
        <v>0</v>
      </c>
      <c r="FH587" s="408">
        <v>0</v>
      </c>
      <c r="FI587" s="408">
        <v>0</v>
      </c>
    </row>
    <row r="588" spans="1:165">
      <c r="A588" s="408">
        <v>589</v>
      </c>
      <c r="B588" s="408" t="s">
        <v>2234</v>
      </c>
      <c r="C588" s="408" t="s">
        <v>2239</v>
      </c>
      <c r="D588" s="408" t="s">
        <v>597</v>
      </c>
      <c r="E588" s="408" t="s">
        <v>2242</v>
      </c>
      <c r="F588" s="408" t="s">
        <v>1322</v>
      </c>
      <c r="G588" s="408" t="s">
        <v>1322</v>
      </c>
      <c r="H588" s="408" t="s">
        <v>1322</v>
      </c>
      <c r="I588" s="408" t="s">
        <v>973</v>
      </c>
      <c r="J588" s="408" t="s">
        <v>2232</v>
      </c>
      <c r="K588" s="828">
        <v>44713</v>
      </c>
      <c r="L588" s="408">
        <v>0</v>
      </c>
      <c r="M588" s="408">
        <v>0</v>
      </c>
      <c r="N588" s="408">
        <v>2.4849999999999999</v>
      </c>
      <c r="O588" s="408">
        <v>2.4849999999999999</v>
      </c>
      <c r="P588" s="408">
        <v>2.4849999999999999</v>
      </c>
      <c r="Q588" s="408">
        <v>2.4849999999999999</v>
      </c>
      <c r="R588" s="408"/>
      <c r="S588" s="408">
        <v>2592.54</v>
      </c>
      <c r="T588" s="408">
        <v>216.76</v>
      </c>
      <c r="U588" s="408"/>
      <c r="V588" s="408">
        <v>6981.1104999999989</v>
      </c>
      <c r="W588" s="408">
        <v>6981.1104999999989</v>
      </c>
      <c r="X588" s="408">
        <v>2935.2819999999997</v>
      </c>
      <c r="Y588" s="408">
        <v>0</v>
      </c>
      <c r="Z588" s="408">
        <v>131.03712351836077</v>
      </c>
      <c r="AA588" s="408">
        <v>0</v>
      </c>
      <c r="AB588" s="408">
        <v>0</v>
      </c>
      <c r="AC588" s="408">
        <v>0</v>
      </c>
      <c r="AD588" s="408">
        <v>12.565738489560776</v>
      </c>
      <c r="AE588" s="408">
        <v>5692.8653884683672</v>
      </c>
      <c r="AF588" s="408">
        <v>530.79972954673542</v>
      </c>
      <c r="AG588" s="408">
        <v>7.8461507700841144</v>
      </c>
      <c r="AH588" s="408">
        <v>0</v>
      </c>
      <c r="AI588" s="408">
        <v>0</v>
      </c>
      <c r="AJ588" s="408">
        <v>0</v>
      </c>
      <c r="AK588" s="408">
        <v>0</v>
      </c>
      <c r="AL588" s="408">
        <v>23.293479641545876</v>
      </c>
      <c r="AM588" s="408"/>
      <c r="AN588" s="408">
        <v>3.4124571583061027</v>
      </c>
      <c r="AO588" s="408">
        <v>112.11045577896901</v>
      </c>
      <c r="AP588" s="408">
        <v>425.4338605800495</v>
      </c>
      <c r="AQ588" s="408">
        <v>0</v>
      </c>
      <c r="AR588" s="408">
        <v>0</v>
      </c>
      <c r="AS588" s="408">
        <v>0</v>
      </c>
      <c r="AT588" s="408">
        <v>0</v>
      </c>
      <c r="AU588" s="408">
        <v>0</v>
      </c>
      <c r="AV588" s="408">
        <v>0</v>
      </c>
      <c r="AW588" s="408">
        <v>0</v>
      </c>
      <c r="AX588" s="408">
        <v>0</v>
      </c>
      <c r="AY588" s="408">
        <v>0</v>
      </c>
      <c r="AZ588" s="408">
        <v>0</v>
      </c>
      <c r="BA588" s="408"/>
      <c r="BB588" s="408">
        <v>0</v>
      </c>
      <c r="BC588" s="408">
        <v>0</v>
      </c>
      <c r="BD588" s="408">
        <v>1.1363872656605656</v>
      </c>
      <c r="BE588" s="408">
        <v>0</v>
      </c>
      <c r="BF588" s="408">
        <v>0</v>
      </c>
      <c r="BG588" s="408">
        <v>40.59534971523167</v>
      </c>
      <c r="BH588" s="408">
        <v>0</v>
      </c>
      <c r="BI588" s="408">
        <v>0</v>
      </c>
      <c r="BJ588" s="408">
        <v>0</v>
      </c>
      <c r="BK588" s="408">
        <v>0</v>
      </c>
      <c r="BL588" s="408">
        <v>0</v>
      </c>
      <c r="BM588" s="408"/>
      <c r="BN588" s="408"/>
      <c r="BO588" s="408"/>
      <c r="BP588" s="408"/>
      <c r="BQ588" s="408"/>
      <c r="BR588" s="408"/>
      <c r="BS588" s="408"/>
      <c r="BT588" s="408"/>
      <c r="BU588" s="408"/>
      <c r="BV588" s="408">
        <v>572.53146652762769</v>
      </c>
      <c r="BW588" s="408"/>
      <c r="BX588" s="408"/>
      <c r="BY588" s="408"/>
      <c r="BZ588" s="408"/>
      <c r="CA588" s="408"/>
      <c r="CB588" s="408"/>
      <c r="CC588" s="408"/>
      <c r="CD588" s="408"/>
      <c r="CE588" s="408"/>
      <c r="CF588" s="408"/>
      <c r="CG588" s="408"/>
      <c r="CH588" s="408"/>
      <c r="CI588" s="408">
        <v>2941.1880000000001</v>
      </c>
      <c r="CJ588" s="408">
        <v>-4039.9524999999994</v>
      </c>
      <c r="CK588" s="408"/>
      <c r="CL588" s="408"/>
      <c r="CM588" s="408"/>
      <c r="CN588" s="408"/>
      <c r="CO588" s="408">
        <v>-4126.9140499999994</v>
      </c>
      <c r="CP588" s="408">
        <v>81.085549999999984</v>
      </c>
      <c r="CQ588" s="408">
        <v>30</v>
      </c>
      <c r="CR588" s="408">
        <v>136.79603858858809</v>
      </c>
      <c r="CS588" s="408">
        <v>11.564364389608471</v>
      </c>
      <c r="CT588" s="408">
        <v>43.884151154688936</v>
      </c>
      <c r="CU588" s="408">
        <v>0</v>
      </c>
      <c r="CV588" s="408">
        <v>0</v>
      </c>
      <c r="CW588" s="408">
        <v>0</v>
      </c>
      <c r="CX588" s="408">
        <v>0</v>
      </c>
      <c r="CY588" s="408">
        <v>0</v>
      </c>
      <c r="CZ588" s="408">
        <v>1.228615827578718</v>
      </c>
      <c r="DA588" s="408">
        <v>0</v>
      </c>
      <c r="DB588" s="408">
        <v>0</v>
      </c>
      <c r="DC588" s="408">
        <v>81.095970905609306</v>
      </c>
      <c r="DD588" s="408">
        <v>0</v>
      </c>
      <c r="DE588" s="408">
        <v>0</v>
      </c>
      <c r="DF588" s="408">
        <v>0.17361807759813797</v>
      </c>
      <c r="DG588" s="408">
        <v>6.2021872208201358</v>
      </c>
      <c r="DH588" s="408">
        <v>0</v>
      </c>
      <c r="DI588" s="408">
        <v>-6.2605862822952218</v>
      </c>
      <c r="DJ588" s="408"/>
      <c r="DK588" s="408">
        <v>0</v>
      </c>
      <c r="DL588" s="408">
        <v>0</v>
      </c>
      <c r="DM588" s="408">
        <v>0</v>
      </c>
      <c r="DN588" s="408">
        <v>0</v>
      </c>
      <c r="DO588" s="408">
        <v>-0.94386598352820883</v>
      </c>
      <c r="DP588" s="408">
        <v>-0.14841672149217722</v>
      </c>
      <c r="DQ588" s="408">
        <v>0</v>
      </c>
      <c r="DR588" s="408">
        <v>0</v>
      </c>
      <c r="DS588" s="408"/>
      <c r="DT588" s="408"/>
      <c r="DU588" s="408"/>
      <c r="DV588" s="408">
        <v>5692.8653884683672</v>
      </c>
      <c r="DW588" s="408">
        <v>0</v>
      </c>
      <c r="DX588" s="408">
        <v>0</v>
      </c>
      <c r="DY588" s="408">
        <v>-4126.9140499999994</v>
      </c>
      <c r="DZ588" s="234">
        <v>81.085549999999898</v>
      </c>
      <c r="EA588" s="408">
        <v>0</v>
      </c>
      <c r="EB588" s="408">
        <v>0</v>
      </c>
      <c r="EC588" s="408">
        <v>-4182.6040901957922</v>
      </c>
      <c r="ED588" s="408">
        <v>0</v>
      </c>
      <c r="EE588" s="408">
        <v>0</v>
      </c>
      <c r="EF588" s="408">
        <v>0</v>
      </c>
      <c r="EG588" s="408">
        <v>0</v>
      </c>
      <c r="EH588" s="408">
        <v>0</v>
      </c>
      <c r="EI588" s="408">
        <v>0</v>
      </c>
      <c r="EJ588" s="408">
        <v>0</v>
      </c>
      <c r="EK588" s="408">
        <v>0</v>
      </c>
      <c r="EL588" s="408">
        <v>0</v>
      </c>
      <c r="EM588" s="408">
        <v>0</v>
      </c>
      <c r="EN588" s="408">
        <v>0</v>
      </c>
      <c r="EO588" s="408">
        <v>0</v>
      </c>
      <c r="EP588" s="408">
        <v>0</v>
      </c>
      <c r="EQ588" s="408">
        <v>0</v>
      </c>
      <c r="ER588" s="408">
        <v>0</v>
      </c>
      <c r="ES588" s="408">
        <v>0</v>
      </c>
      <c r="ET588" s="408">
        <v>0</v>
      </c>
      <c r="EU588" s="408">
        <v>0</v>
      </c>
      <c r="EV588" s="408">
        <v>242</v>
      </c>
      <c r="EW588" s="408">
        <v>0</v>
      </c>
      <c r="EX588" s="408">
        <v>0</v>
      </c>
      <c r="EY588" s="408">
        <v>0</v>
      </c>
      <c r="EZ588" s="408"/>
      <c r="FA588" s="408">
        <v>0</v>
      </c>
      <c r="FB588" s="408"/>
      <c r="FC588" s="408"/>
      <c r="FD588" s="408"/>
      <c r="FE588" s="408"/>
      <c r="FF588" s="408">
        <v>0</v>
      </c>
      <c r="FG588" s="408">
        <v>0</v>
      </c>
      <c r="FH588" s="408">
        <v>0</v>
      </c>
      <c r="FI588" s="408">
        <v>0</v>
      </c>
    </row>
    <row r="589" spans="1:165">
      <c r="A589" s="408">
        <v>590</v>
      </c>
      <c r="B589" s="408" t="s">
        <v>2234</v>
      </c>
      <c r="C589" s="408" t="s">
        <v>2239</v>
      </c>
      <c r="D589" s="408" t="s">
        <v>597</v>
      </c>
      <c r="E589" s="408" t="s">
        <v>2242</v>
      </c>
      <c r="F589" s="408" t="s">
        <v>1322</v>
      </c>
      <c r="G589" s="408" t="s">
        <v>1322</v>
      </c>
      <c r="H589" s="408" t="s">
        <v>1322</v>
      </c>
      <c r="I589" s="408" t="s">
        <v>2240</v>
      </c>
      <c r="J589" s="408" t="s">
        <v>2232</v>
      </c>
      <c r="K589" s="828">
        <v>44713</v>
      </c>
      <c r="L589" s="408">
        <v>0</v>
      </c>
      <c r="M589" s="408">
        <v>0</v>
      </c>
      <c r="N589" s="408">
        <v>11.067</v>
      </c>
      <c r="O589" s="408">
        <v>11.067</v>
      </c>
      <c r="P589" s="408">
        <v>11.067</v>
      </c>
      <c r="Q589" s="408">
        <v>11.067</v>
      </c>
      <c r="R589" s="408"/>
      <c r="S589" s="408">
        <v>80.27</v>
      </c>
      <c r="T589" s="408">
        <v>216.76</v>
      </c>
      <c r="U589" s="408"/>
      <c r="V589" s="408">
        <v>3287.23101</v>
      </c>
      <c r="W589" s="408">
        <v>3287.23101</v>
      </c>
      <c r="X589" s="408">
        <v>3644.0310899999995</v>
      </c>
      <c r="Y589" s="408">
        <v>0</v>
      </c>
      <c r="Z589" s="408">
        <v>583.57659797895326</v>
      </c>
      <c r="AA589" s="408">
        <v>0</v>
      </c>
      <c r="AB589" s="408">
        <v>0</v>
      </c>
      <c r="AC589" s="408">
        <v>0</v>
      </c>
      <c r="AD589" s="408">
        <v>0</v>
      </c>
      <c r="AE589" s="408">
        <v>0</v>
      </c>
      <c r="AF589" s="408">
        <v>2363.9278096151797</v>
      </c>
      <c r="AG589" s="408">
        <v>34.942998218318273</v>
      </c>
      <c r="AH589" s="408">
        <v>0</v>
      </c>
      <c r="AI589" s="408">
        <v>0</v>
      </c>
      <c r="AJ589" s="408">
        <v>0</v>
      </c>
      <c r="AK589" s="408">
        <v>0</v>
      </c>
      <c r="AL589" s="408">
        <v>103.73800369939164</v>
      </c>
      <c r="AM589" s="408"/>
      <c r="AN589" s="408">
        <v>15.197450048681548</v>
      </c>
      <c r="AO589" s="408">
        <v>0</v>
      </c>
      <c r="AP589" s="408">
        <v>0</v>
      </c>
      <c r="AQ589" s="408">
        <v>0</v>
      </c>
      <c r="AR589" s="408">
        <v>0</v>
      </c>
      <c r="AS589" s="408">
        <v>0</v>
      </c>
      <c r="AT589" s="408">
        <v>0</v>
      </c>
      <c r="AU589" s="408">
        <v>0</v>
      </c>
      <c r="AV589" s="408">
        <v>0</v>
      </c>
      <c r="AW589" s="408">
        <v>0</v>
      </c>
      <c r="AX589" s="408">
        <v>0</v>
      </c>
      <c r="AY589" s="408">
        <v>0</v>
      </c>
      <c r="AZ589" s="408">
        <v>0</v>
      </c>
      <c r="BA589" s="408"/>
      <c r="BB589" s="408">
        <v>0</v>
      </c>
      <c r="BC589" s="408">
        <v>0</v>
      </c>
      <c r="BD589" s="408">
        <v>5.0609246958009981</v>
      </c>
      <c r="BE589" s="408">
        <v>0</v>
      </c>
      <c r="BF589" s="408">
        <v>0</v>
      </c>
      <c r="BG589" s="408">
        <v>180.79224760501768</v>
      </c>
      <c r="BH589" s="408">
        <v>0</v>
      </c>
      <c r="BI589" s="408">
        <v>0</v>
      </c>
      <c r="BJ589" s="408">
        <v>0</v>
      </c>
      <c r="BK589" s="408">
        <v>0</v>
      </c>
      <c r="BL589" s="408">
        <v>0</v>
      </c>
      <c r="BM589" s="408"/>
      <c r="BN589" s="408"/>
      <c r="BO589" s="408"/>
      <c r="BP589" s="408"/>
      <c r="BQ589" s="408"/>
      <c r="BR589" s="408"/>
      <c r="BS589" s="408"/>
      <c r="BT589" s="408"/>
      <c r="BU589" s="408"/>
      <c r="BV589" s="408">
        <v>2549.7809819159984</v>
      </c>
      <c r="BW589" s="408"/>
      <c r="BX589" s="408"/>
      <c r="BY589" s="408"/>
      <c r="BZ589" s="408"/>
      <c r="CA589" s="408"/>
      <c r="CB589" s="408"/>
      <c r="CC589" s="408"/>
      <c r="CD589" s="408"/>
      <c r="CE589" s="408"/>
      <c r="CF589" s="408"/>
      <c r="CG589" s="408"/>
      <c r="CH589" s="408"/>
      <c r="CI589" s="408">
        <v>3645.0189</v>
      </c>
      <c r="CJ589" s="408">
        <v>357.75788999999986</v>
      </c>
      <c r="CK589" s="408"/>
      <c r="CL589" s="408"/>
      <c r="CM589" s="408"/>
      <c r="CN589" s="408"/>
      <c r="CO589" s="408">
        <v>-4.3161300000000065</v>
      </c>
      <c r="CP589" s="408">
        <v>361.11620999999997</v>
      </c>
      <c r="CQ589" s="408">
        <v>30</v>
      </c>
      <c r="CR589" s="408">
        <v>356.81124594259518</v>
      </c>
      <c r="CS589" s="408">
        <v>0</v>
      </c>
      <c r="CT589" s="408">
        <v>0</v>
      </c>
      <c r="CU589" s="408">
        <v>0</v>
      </c>
      <c r="CV589" s="408">
        <v>0</v>
      </c>
      <c r="CW589" s="408">
        <v>0</v>
      </c>
      <c r="CX589" s="408">
        <v>0</v>
      </c>
      <c r="CY589" s="408">
        <v>0</v>
      </c>
      <c r="CZ589" s="408">
        <v>0</v>
      </c>
      <c r="DA589" s="408">
        <v>0</v>
      </c>
      <c r="DB589" s="408">
        <v>0</v>
      </c>
      <c r="DC589" s="408">
        <v>361.16261972329085</v>
      </c>
      <c r="DD589" s="408">
        <v>0</v>
      </c>
      <c r="DE589" s="408">
        <v>0</v>
      </c>
      <c r="DF589" s="408">
        <v>0.7732117765708626</v>
      </c>
      <c r="DG589" s="408">
        <v>27.621571820046853</v>
      </c>
      <c r="DH589" s="408">
        <v>0</v>
      </c>
      <c r="DI589" s="408">
        <v>-27.881653274109112</v>
      </c>
      <c r="DJ589" s="408"/>
      <c r="DK589" s="408">
        <v>0</v>
      </c>
      <c r="DL589" s="408">
        <v>0</v>
      </c>
      <c r="DM589" s="408">
        <v>0</v>
      </c>
      <c r="DN589" s="408">
        <v>0</v>
      </c>
      <c r="DO589" s="408">
        <v>-4.2035270984735291</v>
      </c>
      <c r="DP589" s="408">
        <v>-0.66097700472995058</v>
      </c>
      <c r="DQ589" s="408">
        <v>0</v>
      </c>
      <c r="DR589" s="408">
        <v>0</v>
      </c>
      <c r="DS589" s="408"/>
      <c r="DT589" s="408"/>
      <c r="DU589" s="408"/>
      <c r="DV589" s="408">
        <v>0</v>
      </c>
      <c r="DW589" s="408">
        <v>0</v>
      </c>
      <c r="DX589" s="408">
        <v>0</v>
      </c>
      <c r="DY589" s="408">
        <v>-4.3161300000000438</v>
      </c>
      <c r="DZ589" s="234">
        <v>361.11620999999968</v>
      </c>
      <c r="EA589" s="408">
        <v>0</v>
      </c>
      <c r="EB589" s="408">
        <v>0</v>
      </c>
      <c r="EC589" s="408">
        <v>0</v>
      </c>
      <c r="ED589" s="408">
        <v>0</v>
      </c>
      <c r="EE589" s="408">
        <v>0</v>
      </c>
      <c r="EF589" s="408">
        <v>0</v>
      </c>
      <c r="EG589" s="408">
        <v>0</v>
      </c>
      <c r="EH589" s="408">
        <v>0</v>
      </c>
      <c r="EI589" s="408">
        <v>0</v>
      </c>
      <c r="EJ589" s="408">
        <v>0</v>
      </c>
      <c r="EK589" s="408">
        <v>0</v>
      </c>
      <c r="EL589" s="408">
        <v>0</v>
      </c>
      <c r="EM589" s="408">
        <v>0</v>
      </c>
      <c r="EN589" s="408">
        <v>0</v>
      </c>
      <c r="EO589" s="408">
        <v>0</v>
      </c>
      <c r="EP589" s="408">
        <v>0</v>
      </c>
      <c r="EQ589" s="408">
        <v>0</v>
      </c>
      <c r="ER589" s="408">
        <v>0</v>
      </c>
      <c r="ES589" s="408">
        <v>0</v>
      </c>
      <c r="ET589" s="408">
        <v>0</v>
      </c>
      <c r="EU589" s="408">
        <v>0</v>
      </c>
      <c r="EV589" s="408">
        <v>242</v>
      </c>
      <c r="EW589" s="408">
        <v>0</v>
      </c>
      <c r="EX589" s="408">
        <v>0</v>
      </c>
      <c r="EY589" s="408">
        <v>0</v>
      </c>
      <c r="EZ589" s="408"/>
      <c r="FA589" s="408">
        <v>0</v>
      </c>
      <c r="FB589" s="408"/>
      <c r="FC589" s="408"/>
      <c r="FD589" s="408"/>
      <c r="FE589" s="408"/>
      <c r="FF589" s="408">
        <v>0</v>
      </c>
      <c r="FG589" s="408">
        <v>0</v>
      </c>
      <c r="FH589" s="408">
        <v>0</v>
      </c>
      <c r="FI589" s="408">
        <v>0</v>
      </c>
    </row>
    <row r="590" spans="1:165">
      <c r="A590" s="408">
        <v>591</v>
      </c>
      <c r="B590" s="408" t="s">
        <v>2234</v>
      </c>
      <c r="C590" s="408" t="s">
        <v>2239</v>
      </c>
      <c r="D590" s="408" t="s">
        <v>597</v>
      </c>
      <c r="E590" s="408" t="s">
        <v>2242</v>
      </c>
      <c r="F590" s="408" t="s">
        <v>1322</v>
      </c>
      <c r="G590" s="408" t="s">
        <v>1322</v>
      </c>
      <c r="H590" s="408" t="s">
        <v>1322</v>
      </c>
      <c r="I590" s="408" t="s">
        <v>1322</v>
      </c>
      <c r="J590" s="408" t="s">
        <v>2232</v>
      </c>
      <c r="K590" s="828">
        <v>44713</v>
      </c>
      <c r="L590" s="408">
        <v>71</v>
      </c>
      <c r="M590" s="408">
        <v>71</v>
      </c>
      <c r="N590" s="408">
        <v>0</v>
      </c>
      <c r="O590" s="408">
        <v>0</v>
      </c>
      <c r="P590" s="408">
        <v>0</v>
      </c>
      <c r="Q590" s="408">
        <v>0</v>
      </c>
      <c r="R590" s="408">
        <v>32.17</v>
      </c>
      <c r="S590" s="408"/>
      <c r="T590" s="408"/>
      <c r="U590" s="408">
        <v>2284.0700000000002</v>
      </c>
      <c r="V590" s="408"/>
      <c r="W590" s="408">
        <v>2284.0700000000002</v>
      </c>
      <c r="X590" s="408">
        <v>918.03</v>
      </c>
      <c r="Y590" s="408">
        <v>0</v>
      </c>
      <c r="Z590" s="408">
        <v>0</v>
      </c>
      <c r="AA590" s="408">
        <v>0</v>
      </c>
      <c r="AB590" s="408">
        <v>0</v>
      </c>
      <c r="AC590" s="408">
        <v>0</v>
      </c>
      <c r="AD590" s="408">
        <v>7.0940519843205534</v>
      </c>
      <c r="AE590" s="408">
        <v>1911.7982154230031</v>
      </c>
      <c r="AF590" s="408"/>
      <c r="AG590" s="408"/>
      <c r="AH590" s="408"/>
      <c r="AI590" s="408">
        <v>0</v>
      </c>
      <c r="AJ590" s="408">
        <v>0</v>
      </c>
      <c r="AK590" s="408">
        <v>0</v>
      </c>
      <c r="AL590" s="408">
        <v>0</v>
      </c>
      <c r="AM590" s="408"/>
      <c r="AN590" s="408">
        <v>0</v>
      </c>
      <c r="AO590" s="408">
        <v>125.27389855537483</v>
      </c>
      <c r="AP590" s="408">
        <v>240.18342674664328</v>
      </c>
      <c r="AQ590" s="408">
        <v>0</v>
      </c>
      <c r="AR590" s="408">
        <v>0</v>
      </c>
      <c r="AS590" s="408"/>
      <c r="AT590" s="408"/>
      <c r="AU590" s="408">
        <v>0</v>
      </c>
      <c r="AV590" s="408">
        <v>0</v>
      </c>
      <c r="AW590" s="408">
        <v>0</v>
      </c>
      <c r="AX590" s="408"/>
      <c r="AY590" s="408"/>
      <c r="AZ590" s="408">
        <v>0</v>
      </c>
      <c r="BA590" s="408"/>
      <c r="BB590" s="408">
        <v>0</v>
      </c>
      <c r="BC590" s="408">
        <v>0</v>
      </c>
      <c r="BD590" s="408">
        <v>0</v>
      </c>
      <c r="BE590" s="408">
        <v>0</v>
      </c>
      <c r="BF590" s="408"/>
      <c r="BG590" s="408">
        <v>0</v>
      </c>
      <c r="BH590" s="408">
        <v>0</v>
      </c>
      <c r="BI590" s="408">
        <v>24.46</v>
      </c>
      <c r="BJ590" s="408">
        <v>111.53</v>
      </c>
      <c r="BK590" s="408">
        <v>2619.5700000000002</v>
      </c>
      <c r="BL590" s="408">
        <v>1</v>
      </c>
      <c r="BM590" s="408"/>
      <c r="BN590" s="408"/>
      <c r="BO590" s="408"/>
      <c r="BP590" s="408"/>
      <c r="BQ590" s="408"/>
      <c r="BR590" s="408"/>
      <c r="BS590" s="408"/>
      <c r="BT590" s="408"/>
      <c r="BU590" s="408"/>
      <c r="BV590" s="408">
        <v>0</v>
      </c>
      <c r="BW590" s="408"/>
      <c r="BX590" s="408"/>
      <c r="BY590" s="408"/>
      <c r="BZ590" s="408"/>
      <c r="CA590" s="408"/>
      <c r="CB590" s="408"/>
      <c r="CC590" s="408"/>
      <c r="CD590" s="408"/>
      <c r="CE590" s="408"/>
      <c r="CF590" s="408"/>
      <c r="CG590" s="408"/>
      <c r="CH590" s="408"/>
      <c r="CI590" s="408">
        <v>918.03</v>
      </c>
      <c r="CJ590" s="408">
        <v>-1366.0700000000008</v>
      </c>
      <c r="CK590" s="408"/>
      <c r="CL590" s="408"/>
      <c r="CM590" s="408"/>
      <c r="CN590" s="408"/>
      <c r="CO590" s="408">
        <v>-1366.0400000000002</v>
      </c>
      <c r="CP590" s="408">
        <v>0</v>
      </c>
      <c r="CQ590" s="408">
        <v>30</v>
      </c>
      <c r="CR590" s="408">
        <v>38.391101480353143</v>
      </c>
      <c r="CS590" s="408">
        <v>12.922193575391859</v>
      </c>
      <c r="CT590" s="408">
        <v>24.775286550606069</v>
      </c>
      <c r="CU590" s="408">
        <v>0</v>
      </c>
      <c r="CV590" s="408">
        <v>0</v>
      </c>
      <c r="CW590" s="408"/>
      <c r="CX590" s="408"/>
      <c r="CY590" s="408"/>
      <c r="CZ590" s="408">
        <v>0.69362135435522543</v>
      </c>
      <c r="DA590" s="408">
        <v>0</v>
      </c>
      <c r="DB590" s="408">
        <v>0</v>
      </c>
      <c r="DC590" s="408"/>
      <c r="DD590" s="408"/>
      <c r="DE590" s="408">
        <v>0</v>
      </c>
      <c r="DF590" s="408">
        <v>0</v>
      </c>
      <c r="DG590" s="408">
        <v>0</v>
      </c>
      <c r="DH590" s="408">
        <v>0</v>
      </c>
      <c r="DI590" s="408">
        <v>0</v>
      </c>
      <c r="DJ590" s="408"/>
      <c r="DK590" s="408">
        <v>0</v>
      </c>
      <c r="DL590" s="408">
        <v>0</v>
      </c>
      <c r="DM590" s="408"/>
      <c r="DN590" s="408">
        <v>0</v>
      </c>
      <c r="DO590" s="408">
        <v>0</v>
      </c>
      <c r="DP590" s="408">
        <v>0</v>
      </c>
      <c r="DQ590" s="408">
        <v>0</v>
      </c>
      <c r="DR590" s="408">
        <v>0</v>
      </c>
      <c r="DS590" s="408"/>
      <c r="DT590" s="408"/>
      <c r="DU590" s="408">
        <v>1911.7982154230031</v>
      </c>
      <c r="DV590" s="408"/>
      <c r="DW590" s="408">
        <v>0</v>
      </c>
      <c r="DX590" s="408">
        <v>0</v>
      </c>
      <c r="DY590" s="408">
        <v>-1366.0400000000002</v>
      </c>
      <c r="DZ590" s="234"/>
      <c r="EA590" s="408">
        <v>0</v>
      </c>
      <c r="EB590" s="408"/>
      <c r="EC590" s="408">
        <v>-1404.6169178099283</v>
      </c>
      <c r="ED590" s="408"/>
      <c r="EE590" s="408">
        <v>0</v>
      </c>
      <c r="EF590" s="408">
        <v>0</v>
      </c>
      <c r="EG590" s="408"/>
      <c r="EH590" s="408">
        <v>0</v>
      </c>
      <c r="EI590" s="408">
        <v>0</v>
      </c>
      <c r="EJ590" s="408">
        <v>0</v>
      </c>
      <c r="EK590" s="408">
        <v>0</v>
      </c>
      <c r="EL590" s="408">
        <v>0</v>
      </c>
      <c r="EM590" s="408"/>
      <c r="EN590" s="408"/>
      <c r="EO590" s="408">
        <v>0</v>
      </c>
      <c r="EP590" s="408">
        <v>0</v>
      </c>
      <c r="EQ590" s="408"/>
      <c r="ER590" s="408">
        <v>0</v>
      </c>
      <c r="ES590" s="408"/>
      <c r="ET590" s="408">
        <v>0</v>
      </c>
      <c r="EU590" s="408"/>
      <c r="EV590" s="408">
        <v>242</v>
      </c>
      <c r="EW590" s="408"/>
      <c r="EX590" s="408"/>
      <c r="EY590" s="408"/>
      <c r="EZ590" s="408"/>
      <c r="FA590" s="408">
        <v>0</v>
      </c>
      <c r="FB590" s="408"/>
      <c r="FC590" s="408"/>
      <c r="FD590" s="408"/>
      <c r="FE590" s="408"/>
      <c r="FF590" s="408">
        <v>0</v>
      </c>
      <c r="FG590" s="408">
        <v>0</v>
      </c>
      <c r="FH590" s="408">
        <v>0</v>
      </c>
      <c r="FI590" s="408">
        <v>0</v>
      </c>
    </row>
    <row r="591" spans="1:165">
      <c r="A591" s="408">
        <v>592</v>
      </c>
      <c r="B591" s="408" t="s">
        <v>1036</v>
      </c>
      <c r="C591" s="408" t="s">
        <v>2231</v>
      </c>
      <c r="D591" s="408" t="s">
        <v>2243</v>
      </c>
      <c r="E591" s="408" t="s">
        <v>2244</v>
      </c>
      <c r="F591" s="408" t="s">
        <v>2245</v>
      </c>
      <c r="G591" s="408" t="s">
        <v>1322</v>
      </c>
      <c r="H591" s="408" t="s">
        <v>1322</v>
      </c>
      <c r="I591" s="408" t="s">
        <v>1322</v>
      </c>
      <c r="J591" s="408" t="s">
        <v>2232</v>
      </c>
      <c r="K591" s="828">
        <v>44713</v>
      </c>
      <c r="L591" s="408">
        <v>0</v>
      </c>
      <c r="M591" s="408">
        <v>0</v>
      </c>
      <c r="N591" s="408">
        <v>75.528999999999996</v>
      </c>
      <c r="O591" s="408">
        <v>75.528999999999996</v>
      </c>
      <c r="P591" s="408">
        <v>75.528999999999996</v>
      </c>
      <c r="Q591" s="408">
        <v>75.528999999999996</v>
      </c>
      <c r="R591" s="408"/>
      <c r="S591" s="408">
        <v>314.52999999999997</v>
      </c>
      <c r="T591" s="408">
        <v>119.22</v>
      </c>
      <c r="U591" s="408"/>
      <c r="V591" s="408">
        <v>32760.703749999993</v>
      </c>
      <c r="W591" s="408">
        <v>32760.703749999993</v>
      </c>
      <c r="X591" s="408">
        <v>21352.803589999996</v>
      </c>
      <c r="Y591" s="408">
        <v>0</v>
      </c>
      <c r="Z591" s="408">
        <v>2517.8226120955833</v>
      </c>
      <c r="AA591" s="408">
        <v>0</v>
      </c>
      <c r="AB591" s="408">
        <v>0</v>
      </c>
      <c r="AC591" s="408">
        <v>0</v>
      </c>
      <c r="AD591" s="408">
        <v>34.143075895582363</v>
      </c>
      <c r="AE591" s="408">
        <v>17712.382665890833</v>
      </c>
      <c r="AF591" s="408">
        <v>8873.2092656396362</v>
      </c>
      <c r="AG591" s="408">
        <v>131.16159228673081</v>
      </c>
      <c r="AH591" s="408">
        <v>0</v>
      </c>
      <c r="AI591" s="408">
        <v>0</v>
      </c>
      <c r="AJ591" s="408">
        <v>0</v>
      </c>
      <c r="AK591" s="408">
        <v>0</v>
      </c>
      <c r="AL591" s="408">
        <v>389.38964712896359</v>
      </c>
      <c r="AM591" s="408"/>
      <c r="AN591" s="408">
        <v>79.695047908762334</v>
      </c>
      <c r="AO591" s="408">
        <v>368.95416211059347</v>
      </c>
      <c r="AP591" s="408">
        <v>1155.9643822255694</v>
      </c>
      <c r="AQ591" s="408">
        <v>0</v>
      </c>
      <c r="AR591" s="408">
        <v>0</v>
      </c>
      <c r="AS591" s="408">
        <v>0</v>
      </c>
      <c r="AT591" s="408">
        <v>0</v>
      </c>
      <c r="AU591" s="408">
        <v>0</v>
      </c>
      <c r="AV591" s="408">
        <v>0</v>
      </c>
      <c r="AW591" s="408">
        <v>0</v>
      </c>
      <c r="AX591" s="408">
        <v>0</v>
      </c>
      <c r="AY591" s="408">
        <v>0</v>
      </c>
      <c r="AZ591" s="408">
        <v>0</v>
      </c>
      <c r="BA591" s="408"/>
      <c r="BB591" s="408">
        <v>0</v>
      </c>
      <c r="BC591" s="408">
        <v>0</v>
      </c>
      <c r="BD591" s="408">
        <v>24.719757409093766</v>
      </c>
      <c r="BE591" s="408">
        <v>0</v>
      </c>
      <c r="BF591" s="408">
        <v>0</v>
      </c>
      <c r="BG591" s="408">
        <v>1472.9688696842675</v>
      </c>
      <c r="BH591" s="408">
        <v>0</v>
      </c>
      <c r="BI591" s="408">
        <v>68.540000000000006</v>
      </c>
      <c r="BJ591" s="408">
        <v>312.62</v>
      </c>
      <c r="BK591" s="408">
        <v>5433.5</v>
      </c>
      <c r="BL591" s="408">
        <v>10</v>
      </c>
      <c r="BM591" s="408"/>
      <c r="BN591" s="408"/>
      <c r="BO591" s="408"/>
      <c r="BP591" s="408"/>
      <c r="BQ591" s="408"/>
      <c r="BR591" s="408"/>
      <c r="BS591" s="408"/>
      <c r="BT591" s="408"/>
      <c r="BU591" s="408"/>
      <c r="BV591" s="408">
        <v>10370.897892732997</v>
      </c>
      <c r="BW591" s="408"/>
      <c r="BX591" s="408"/>
      <c r="BY591" s="408"/>
      <c r="BZ591" s="408"/>
      <c r="CA591" s="408"/>
      <c r="CB591" s="408"/>
      <c r="CC591" s="408"/>
      <c r="CD591" s="408"/>
      <c r="CE591" s="408"/>
      <c r="CF591" s="408"/>
      <c r="CG591" s="408"/>
      <c r="CH591" s="408"/>
      <c r="CI591" s="408">
        <v>21353.086299999999</v>
      </c>
      <c r="CJ591" s="408">
        <v>-11407.647449999989</v>
      </c>
      <c r="CK591" s="408"/>
      <c r="CL591" s="408"/>
      <c r="CM591" s="408"/>
      <c r="CN591" s="408"/>
      <c r="CO591" s="408">
        <v>-12763.645709999997</v>
      </c>
      <c r="CP591" s="408">
        <v>1355.7455499999992</v>
      </c>
      <c r="CQ591" s="408">
        <v>30</v>
      </c>
      <c r="CR591" s="408">
        <v>1605.5704226543603</v>
      </c>
      <c r="CS591" s="408">
        <v>38.058184172595759</v>
      </c>
      <c r="CT591" s="408">
        <v>119.23948791913836</v>
      </c>
      <c r="CU591" s="408">
        <v>0</v>
      </c>
      <c r="CV591" s="408">
        <v>0</v>
      </c>
      <c r="CW591" s="408">
        <v>0</v>
      </c>
      <c r="CX591" s="408">
        <v>0</v>
      </c>
      <c r="CY591" s="408">
        <v>0</v>
      </c>
      <c r="CZ591" s="408">
        <v>3.3383412747593866</v>
      </c>
      <c r="DA591" s="408">
        <v>0</v>
      </c>
      <c r="DB591" s="408">
        <v>0</v>
      </c>
      <c r="DC591" s="408">
        <v>1355.6554014452049</v>
      </c>
      <c r="DD591" s="408">
        <v>0</v>
      </c>
      <c r="DE591" s="408">
        <v>0</v>
      </c>
      <c r="DF591" s="408">
        <v>3.776702616923771</v>
      </c>
      <c r="DG591" s="408">
        <v>225.04126123573428</v>
      </c>
      <c r="DH591" s="408">
        <v>0</v>
      </c>
      <c r="DI591" s="408">
        <v>-120.2945034452764</v>
      </c>
      <c r="DJ591" s="408"/>
      <c r="DK591" s="408">
        <v>0</v>
      </c>
      <c r="DL591" s="408">
        <v>0</v>
      </c>
      <c r="DM591" s="408">
        <v>0</v>
      </c>
      <c r="DN591" s="408">
        <v>0</v>
      </c>
      <c r="DO591" s="408">
        <v>-15.778305685491091</v>
      </c>
      <c r="DP591" s="408">
        <v>-3.4661468792332073</v>
      </c>
      <c r="DQ591" s="408">
        <v>0</v>
      </c>
      <c r="DR591" s="408">
        <v>0</v>
      </c>
      <c r="DS591" s="408"/>
      <c r="DT591" s="408"/>
      <c r="DU591" s="408"/>
      <c r="DV591" s="408">
        <v>17712.382665890833</v>
      </c>
      <c r="DW591" s="408">
        <v>0</v>
      </c>
      <c r="DX591" s="408">
        <v>0</v>
      </c>
      <c r="DY591" s="408">
        <v>-12763.645709999997</v>
      </c>
      <c r="DZ591" s="234">
        <v>1355.7455499999996</v>
      </c>
      <c r="EA591" s="408">
        <v>0</v>
      </c>
      <c r="EB591" s="408">
        <v>0</v>
      </c>
      <c r="EC591" s="408">
        <v>-13013.46143464667</v>
      </c>
      <c r="ED591" s="408">
        <v>0</v>
      </c>
      <c r="EE591" s="408">
        <v>0</v>
      </c>
      <c r="EF591" s="408">
        <v>0</v>
      </c>
      <c r="EG591" s="408">
        <v>0</v>
      </c>
      <c r="EH591" s="408">
        <v>0</v>
      </c>
      <c r="EI591" s="408">
        <v>0</v>
      </c>
      <c r="EJ591" s="408">
        <v>0</v>
      </c>
      <c r="EK591" s="408">
        <v>0</v>
      </c>
      <c r="EL591" s="408">
        <v>0</v>
      </c>
      <c r="EM591" s="408">
        <v>0</v>
      </c>
      <c r="EN591" s="408">
        <v>0</v>
      </c>
      <c r="EO591" s="408">
        <v>0</v>
      </c>
      <c r="EP591" s="408">
        <v>0</v>
      </c>
      <c r="EQ591" s="408">
        <v>0</v>
      </c>
      <c r="ER591" s="408">
        <v>0</v>
      </c>
      <c r="ES591" s="408">
        <v>0</v>
      </c>
      <c r="ET591" s="408">
        <v>0</v>
      </c>
      <c r="EU591" s="408">
        <v>0</v>
      </c>
      <c r="EV591" s="408">
        <v>242</v>
      </c>
      <c r="EW591" s="408">
        <v>0</v>
      </c>
      <c r="EX591" s="408">
        <v>0</v>
      </c>
      <c r="EY591" s="408">
        <v>0</v>
      </c>
      <c r="EZ591" s="408"/>
      <c r="FA591" s="408">
        <v>0</v>
      </c>
      <c r="FB591" s="408"/>
      <c r="FC591" s="408"/>
      <c r="FD591" s="408"/>
      <c r="FE591" s="408"/>
      <c r="FF591" s="408">
        <v>0</v>
      </c>
      <c r="FG591" s="408">
        <v>0</v>
      </c>
      <c r="FH591" s="408">
        <v>0</v>
      </c>
      <c r="FI591" s="408">
        <v>0</v>
      </c>
    </row>
    <row r="592" spans="1:165">
      <c r="A592" s="408">
        <v>593</v>
      </c>
      <c r="B592" s="408" t="s">
        <v>1036</v>
      </c>
      <c r="C592" s="408" t="s">
        <v>2231</v>
      </c>
      <c r="D592" s="408" t="s">
        <v>1955</v>
      </c>
      <c r="E592" s="408" t="s">
        <v>1001</v>
      </c>
      <c r="F592" s="408" t="s">
        <v>2246</v>
      </c>
      <c r="G592" s="408" t="s">
        <v>1322</v>
      </c>
      <c r="H592" s="408" t="s">
        <v>1322</v>
      </c>
      <c r="I592" s="408" t="s">
        <v>1322</v>
      </c>
      <c r="J592" s="408" t="s">
        <v>2232</v>
      </c>
      <c r="K592" s="828">
        <v>44713</v>
      </c>
      <c r="L592" s="408">
        <v>0</v>
      </c>
      <c r="M592" s="408">
        <v>0</v>
      </c>
      <c r="N592" s="408">
        <v>132.97900000000001</v>
      </c>
      <c r="O592" s="408">
        <v>125.00026</v>
      </c>
      <c r="P592" s="408">
        <v>132.97900000000001</v>
      </c>
      <c r="Q592" s="408">
        <v>125.00026</v>
      </c>
      <c r="R592" s="408"/>
      <c r="S592" s="408">
        <v>571.87</v>
      </c>
      <c r="T592" s="408">
        <v>216.76</v>
      </c>
      <c r="U592" s="408"/>
      <c r="V592" s="408">
        <v>104871.22877000002</v>
      </c>
      <c r="W592" s="408">
        <v>104871.22877000002</v>
      </c>
      <c r="X592" s="408">
        <v>68352.535790000009</v>
      </c>
      <c r="Y592" s="408">
        <v>0</v>
      </c>
      <c r="Z592" s="408">
        <v>8059.9392438993027</v>
      </c>
      <c r="AA592" s="408">
        <v>0</v>
      </c>
      <c r="AB592" s="408">
        <v>0</v>
      </c>
      <c r="AC592" s="408">
        <v>0</v>
      </c>
      <c r="AD592" s="408">
        <v>109.2972618468919</v>
      </c>
      <c r="AE592" s="408">
        <v>56700.073891605731</v>
      </c>
      <c r="AF592" s="408">
        <v>28404.513978026294</v>
      </c>
      <c r="AG592" s="408">
        <v>419.86852444869845</v>
      </c>
      <c r="AH592" s="408">
        <v>0</v>
      </c>
      <c r="AI592" s="408">
        <v>0</v>
      </c>
      <c r="AJ592" s="408">
        <v>0</v>
      </c>
      <c r="AK592" s="408">
        <v>0</v>
      </c>
      <c r="AL592" s="408">
        <v>1246.4964302829494</v>
      </c>
      <c r="AM592" s="408"/>
      <c r="AN592" s="408">
        <v>255.11616310795304</v>
      </c>
      <c r="AO592" s="408">
        <v>1181.0792849779466</v>
      </c>
      <c r="AP592" s="408">
        <v>3700.4206110831437</v>
      </c>
      <c r="AQ592" s="408">
        <v>0</v>
      </c>
      <c r="AR592" s="408">
        <v>0</v>
      </c>
      <c r="AS592" s="408">
        <v>0</v>
      </c>
      <c r="AT592" s="408">
        <v>0</v>
      </c>
      <c r="AU592" s="408">
        <v>0</v>
      </c>
      <c r="AV592" s="408">
        <v>0</v>
      </c>
      <c r="AW592" s="408">
        <v>0</v>
      </c>
      <c r="AX592" s="408">
        <v>0</v>
      </c>
      <c r="AY592" s="408">
        <v>0</v>
      </c>
      <c r="AZ592" s="408">
        <v>0</v>
      </c>
      <c r="BA592" s="408"/>
      <c r="BB592" s="408">
        <v>0</v>
      </c>
      <c r="BC592" s="408">
        <v>0</v>
      </c>
      <c r="BD592" s="408">
        <v>79.13176324816537</v>
      </c>
      <c r="BE592" s="408">
        <v>0</v>
      </c>
      <c r="BF592" s="408">
        <v>0</v>
      </c>
      <c r="BG592" s="408">
        <v>4715.2009600585416</v>
      </c>
      <c r="BH592" s="408">
        <v>0</v>
      </c>
      <c r="BI592" s="408">
        <v>204.18</v>
      </c>
      <c r="BJ592" s="408">
        <v>933.27</v>
      </c>
      <c r="BK592" s="408">
        <v>23187.05</v>
      </c>
      <c r="BL592" s="408">
        <v>98</v>
      </c>
      <c r="BM592" s="408"/>
      <c r="BN592" s="408"/>
      <c r="BO592" s="408"/>
      <c r="BP592" s="408"/>
      <c r="BQ592" s="408">
        <v>4101.1521474000083</v>
      </c>
      <c r="BR592" s="408"/>
      <c r="BS592" s="408"/>
      <c r="BT592" s="408"/>
      <c r="BU592" s="408"/>
      <c r="BV592" s="408">
        <v>33198.846701333001</v>
      </c>
      <c r="BW592" s="408"/>
      <c r="BX592" s="408"/>
      <c r="BY592" s="408"/>
      <c r="BZ592" s="408"/>
      <c r="CA592" s="408"/>
      <c r="CB592" s="408"/>
      <c r="CC592" s="408"/>
      <c r="CD592" s="408"/>
      <c r="CE592" s="408"/>
      <c r="CF592" s="408"/>
      <c r="CG592" s="408"/>
      <c r="CH592" s="408"/>
      <c r="CI592" s="408">
        <v>64251.25</v>
      </c>
      <c r="CJ592" s="408">
        <v>-34327.735043799985</v>
      </c>
      <c r="CK592" s="408"/>
      <c r="CL592" s="408"/>
      <c r="CM592" s="408"/>
      <c r="CN592" s="408"/>
      <c r="CO592" s="408">
        <v>-40857.797750000005</v>
      </c>
      <c r="CP592" s="408">
        <v>4339.1047699999999</v>
      </c>
      <c r="CQ592" s="408">
        <v>30</v>
      </c>
      <c r="CR592" s="408">
        <v>5139.6790211623738</v>
      </c>
      <c r="CS592" s="408">
        <v>121.83012841756295</v>
      </c>
      <c r="CT592" s="408">
        <v>381.70402612358748</v>
      </c>
      <c r="CU592" s="408">
        <v>0</v>
      </c>
      <c r="CV592" s="408">
        <v>0</v>
      </c>
      <c r="CW592" s="408">
        <v>0</v>
      </c>
      <c r="CX592" s="408">
        <v>0</v>
      </c>
      <c r="CY592" s="408">
        <v>0</v>
      </c>
      <c r="CZ592" s="408">
        <v>10.68654627244274</v>
      </c>
      <c r="DA592" s="408">
        <v>0</v>
      </c>
      <c r="DB592" s="408">
        <v>0</v>
      </c>
      <c r="DC592" s="408">
        <v>4339.662420546083</v>
      </c>
      <c r="DD592" s="408">
        <v>0</v>
      </c>
      <c r="DE592" s="408">
        <v>0</v>
      </c>
      <c r="DF592" s="408">
        <v>12.089808665808363</v>
      </c>
      <c r="DG592" s="408">
        <v>720.391851362745</v>
      </c>
      <c r="DH592" s="408">
        <v>0</v>
      </c>
      <c r="DI592" s="408">
        <v>-385.0812938473855</v>
      </c>
      <c r="DJ592" s="408"/>
      <c r="DK592" s="408">
        <v>0</v>
      </c>
      <c r="DL592" s="408">
        <v>0</v>
      </c>
      <c r="DM592" s="408">
        <v>0</v>
      </c>
      <c r="DN592" s="408">
        <v>0</v>
      </c>
      <c r="DO592" s="408">
        <v>-50.50879461714203</v>
      </c>
      <c r="DP592" s="408">
        <v>-11.09567176132424</v>
      </c>
      <c r="DQ592" s="408">
        <v>0</v>
      </c>
      <c r="DR592" s="408">
        <v>0</v>
      </c>
      <c r="DS592" s="408"/>
      <c r="DT592" s="408"/>
      <c r="DU592" s="408"/>
      <c r="DV592" s="408">
        <v>56700.073891605731</v>
      </c>
      <c r="DW592" s="408">
        <v>0</v>
      </c>
      <c r="DX592" s="408">
        <v>0</v>
      </c>
      <c r="DY592" s="408">
        <v>-40857.797750000005</v>
      </c>
      <c r="DZ592" s="234">
        <v>4339.1047700000017</v>
      </c>
      <c r="EA592" s="408">
        <v>0</v>
      </c>
      <c r="EB592" s="408">
        <v>0</v>
      </c>
      <c r="EC592" s="408">
        <v>-41658.10093697624</v>
      </c>
      <c r="ED592" s="408">
        <v>0</v>
      </c>
      <c r="EE592" s="408">
        <v>0</v>
      </c>
      <c r="EF592" s="408">
        <v>0</v>
      </c>
      <c r="EG592" s="408">
        <v>0</v>
      </c>
      <c r="EH592" s="408">
        <v>0</v>
      </c>
      <c r="EI592" s="408">
        <v>0</v>
      </c>
      <c r="EJ592" s="408">
        <v>0</v>
      </c>
      <c r="EK592" s="408">
        <v>0</v>
      </c>
      <c r="EL592" s="408">
        <v>0</v>
      </c>
      <c r="EM592" s="408">
        <v>0</v>
      </c>
      <c r="EN592" s="408">
        <v>0</v>
      </c>
      <c r="EO592" s="408">
        <v>0</v>
      </c>
      <c r="EP592" s="408">
        <v>0</v>
      </c>
      <c r="EQ592" s="408">
        <v>0</v>
      </c>
      <c r="ER592" s="408">
        <v>0</v>
      </c>
      <c r="ES592" s="408">
        <v>0</v>
      </c>
      <c r="ET592" s="408">
        <v>0</v>
      </c>
      <c r="EU592" s="408">
        <v>0</v>
      </c>
      <c r="EV592" s="408">
        <v>242</v>
      </c>
      <c r="EW592" s="408">
        <v>0</v>
      </c>
      <c r="EX592" s="408">
        <v>0</v>
      </c>
      <c r="EY592" s="408">
        <v>0</v>
      </c>
      <c r="EZ592" s="408"/>
      <c r="FA592" s="408">
        <v>0</v>
      </c>
      <c r="FB592" s="408"/>
      <c r="FC592" s="408"/>
      <c r="FD592" s="408"/>
      <c r="FE592" s="408"/>
      <c r="FF592" s="408">
        <v>0</v>
      </c>
      <c r="FG592" s="408">
        <v>0</v>
      </c>
      <c r="FH592" s="408">
        <v>0</v>
      </c>
      <c r="FI592" s="408">
        <v>0</v>
      </c>
    </row>
    <row r="593" spans="1:165">
      <c r="A593" s="408">
        <v>594</v>
      </c>
      <c r="B593" s="408" t="s">
        <v>1036</v>
      </c>
      <c r="C593" s="408" t="s">
        <v>2239</v>
      </c>
      <c r="D593" s="408" t="s">
        <v>597</v>
      </c>
      <c r="E593" s="408" t="s">
        <v>1001</v>
      </c>
      <c r="F593" s="408" t="s">
        <v>2246</v>
      </c>
      <c r="G593" s="408" t="s">
        <v>1322</v>
      </c>
      <c r="H593" s="408" t="s">
        <v>1322</v>
      </c>
      <c r="I593" s="408" t="s">
        <v>973</v>
      </c>
      <c r="J593" s="408" t="s">
        <v>2232</v>
      </c>
      <c r="K593" s="828">
        <v>44713</v>
      </c>
      <c r="L593" s="408">
        <v>0</v>
      </c>
      <c r="M593" s="408">
        <v>0</v>
      </c>
      <c r="N593" s="408">
        <v>4.87</v>
      </c>
      <c r="O593" s="408">
        <v>4.5777999999999999</v>
      </c>
      <c r="P593" s="408">
        <v>4.87</v>
      </c>
      <c r="Q593" s="408">
        <v>4.5777999999999999</v>
      </c>
      <c r="R593" s="408"/>
      <c r="S593" s="408">
        <v>2592.54</v>
      </c>
      <c r="T593" s="408">
        <v>216.76</v>
      </c>
      <c r="U593" s="408"/>
      <c r="V593" s="408">
        <v>13681.290999999999</v>
      </c>
      <c r="W593" s="408">
        <v>13681.290999999999</v>
      </c>
      <c r="X593" s="408">
        <v>5752.4440000000004</v>
      </c>
      <c r="Y593" s="408">
        <v>0</v>
      </c>
      <c r="Z593" s="408">
        <v>256.80112335389015</v>
      </c>
      <c r="AA593" s="408">
        <v>0</v>
      </c>
      <c r="AB593" s="408">
        <v>0</v>
      </c>
      <c r="AC593" s="408">
        <v>0</v>
      </c>
      <c r="AD593" s="408">
        <v>24.625813458414882</v>
      </c>
      <c r="AE593" s="408">
        <v>11156.641626495351</v>
      </c>
      <c r="AF593" s="408">
        <v>1040.2393090111073</v>
      </c>
      <c r="AG593" s="408">
        <v>15.376561066522994</v>
      </c>
      <c r="AH593" s="408">
        <v>0</v>
      </c>
      <c r="AI593" s="408">
        <v>0</v>
      </c>
      <c r="AJ593" s="408">
        <v>0</v>
      </c>
      <c r="AK593" s="408">
        <v>0</v>
      </c>
      <c r="AL593" s="408">
        <v>45.649595917234777</v>
      </c>
      <c r="AM593" s="408"/>
      <c r="AN593" s="408">
        <v>6.687592096962061</v>
      </c>
      <c r="AO593" s="408">
        <v>219.70942440385477</v>
      </c>
      <c r="AP593" s="408">
        <v>833.74764628766252</v>
      </c>
      <c r="AQ593" s="408">
        <v>0</v>
      </c>
      <c r="AR593" s="408">
        <v>0</v>
      </c>
      <c r="AS593" s="408">
        <v>0</v>
      </c>
      <c r="AT593" s="408">
        <v>0</v>
      </c>
      <c r="AU593" s="408">
        <v>0</v>
      </c>
      <c r="AV593" s="408">
        <v>0</v>
      </c>
      <c r="AW593" s="408">
        <v>0</v>
      </c>
      <c r="AX593" s="408">
        <v>0</v>
      </c>
      <c r="AY593" s="408">
        <v>0</v>
      </c>
      <c r="AZ593" s="408">
        <v>0</v>
      </c>
      <c r="BA593" s="408"/>
      <c r="BB593" s="408">
        <v>0</v>
      </c>
      <c r="BC593" s="408">
        <v>0</v>
      </c>
      <c r="BD593" s="408">
        <v>2.2270446614756358</v>
      </c>
      <c r="BE593" s="408">
        <v>0</v>
      </c>
      <c r="BF593" s="408">
        <v>0</v>
      </c>
      <c r="BG593" s="408">
        <v>79.557083747757844</v>
      </c>
      <c r="BH593" s="408">
        <v>0</v>
      </c>
      <c r="BI593" s="408">
        <v>0</v>
      </c>
      <c r="BJ593" s="408">
        <v>0</v>
      </c>
      <c r="BK593" s="408">
        <v>0</v>
      </c>
      <c r="BL593" s="408">
        <v>0</v>
      </c>
      <c r="BM593" s="408"/>
      <c r="BN593" s="408"/>
      <c r="BO593" s="408"/>
      <c r="BP593" s="408"/>
      <c r="BQ593" s="408">
        <v>345.14664000000027</v>
      </c>
      <c r="BR593" s="408"/>
      <c r="BS593" s="408"/>
      <c r="BT593" s="408"/>
      <c r="BU593" s="408"/>
      <c r="BV593" s="408">
        <v>1122.0234374203408</v>
      </c>
      <c r="BW593" s="408"/>
      <c r="BX593" s="408"/>
      <c r="BY593" s="408"/>
      <c r="BZ593" s="408"/>
      <c r="CA593" s="408"/>
      <c r="CB593" s="408"/>
      <c r="CC593" s="408"/>
      <c r="CD593" s="408"/>
      <c r="CE593" s="408"/>
      <c r="CF593" s="408"/>
      <c r="CG593" s="408"/>
      <c r="CH593" s="408"/>
      <c r="CI593" s="408">
        <v>5409.8959999999997</v>
      </c>
      <c r="CJ593" s="408">
        <v>-7450.5475400000005</v>
      </c>
      <c r="CK593" s="408"/>
      <c r="CL593" s="408"/>
      <c r="CM593" s="408"/>
      <c r="CN593" s="408"/>
      <c r="CO593" s="408">
        <v>-8087.7551000000003</v>
      </c>
      <c r="CP593" s="408">
        <v>158.90809999999999</v>
      </c>
      <c r="CQ593" s="408">
        <v>30</v>
      </c>
      <c r="CR593" s="408">
        <v>268.08720640902357</v>
      </c>
      <c r="CS593" s="408">
        <v>22.663362002975163</v>
      </c>
      <c r="CT593" s="408">
        <v>86.002340492287772</v>
      </c>
      <c r="CU593" s="408">
        <v>0</v>
      </c>
      <c r="CV593" s="408">
        <v>0</v>
      </c>
      <c r="CW593" s="408">
        <v>0</v>
      </c>
      <c r="CX593" s="408">
        <v>0</v>
      </c>
      <c r="CY593" s="408">
        <v>0</v>
      </c>
      <c r="CZ593" s="408">
        <v>2.4077903743695579</v>
      </c>
      <c r="DA593" s="408">
        <v>0</v>
      </c>
      <c r="DB593" s="408">
        <v>0</v>
      </c>
      <c r="DC593" s="408">
        <v>158.92852245888025</v>
      </c>
      <c r="DD593" s="408">
        <v>0</v>
      </c>
      <c r="DE593" s="408">
        <v>0</v>
      </c>
      <c r="DF593" s="408">
        <v>0.34024951223458011</v>
      </c>
      <c r="DG593" s="408">
        <v>12.154789442814518</v>
      </c>
      <c r="DH593" s="408">
        <v>0</v>
      </c>
      <c r="DI593" s="408">
        <v>-12.269237502928661</v>
      </c>
      <c r="DJ593" s="408"/>
      <c r="DK593" s="408">
        <v>0</v>
      </c>
      <c r="DL593" s="408">
        <v>0</v>
      </c>
      <c r="DM593" s="408">
        <v>0</v>
      </c>
      <c r="DN593" s="408">
        <v>0</v>
      </c>
      <c r="DO593" s="408">
        <v>-1.8497494325079984</v>
      </c>
      <c r="DP593" s="408">
        <v>-0.29086093910136945</v>
      </c>
      <c r="DQ593" s="408">
        <v>0</v>
      </c>
      <c r="DR593" s="408">
        <v>0</v>
      </c>
      <c r="DS593" s="408"/>
      <c r="DT593" s="408"/>
      <c r="DU593" s="408"/>
      <c r="DV593" s="408">
        <v>11156.641626495351</v>
      </c>
      <c r="DW593" s="408">
        <v>0</v>
      </c>
      <c r="DX593" s="408">
        <v>0</v>
      </c>
      <c r="DY593" s="408">
        <v>-8087.7550999999994</v>
      </c>
      <c r="DZ593" s="234">
        <v>158.90809999999988</v>
      </c>
      <c r="EA593" s="408">
        <v>0</v>
      </c>
      <c r="EB593" s="408">
        <v>0</v>
      </c>
      <c r="EC593" s="408">
        <v>-8196.8941324963816</v>
      </c>
      <c r="ED593" s="408">
        <v>0</v>
      </c>
      <c r="EE593" s="408">
        <v>0</v>
      </c>
      <c r="EF593" s="408">
        <v>0</v>
      </c>
      <c r="EG593" s="408">
        <v>0</v>
      </c>
      <c r="EH593" s="408">
        <v>0</v>
      </c>
      <c r="EI593" s="408">
        <v>0</v>
      </c>
      <c r="EJ593" s="408">
        <v>0</v>
      </c>
      <c r="EK593" s="408">
        <v>0</v>
      </c>
      <c r="EL593" s="408">
        <v>0</v>
      </c>
      <c r="EM593" s="408">
        <v>0</v>
      </c>
      <c r="EN593" s="408">
        <v>0</v>
      </c>
      <c r="EO593" s="408">
        <v>0</v>
      </c>
      <c r="EP593" s="408">
        <v>0</v>
      </c>
      <c r="EQ593" s="408">
        <v>0</v>
      </c>
      <c r="ER593" s="408">
        <v>0</v>
      </c>
      <c r="ES593" s="408">
        <v>0</v>
      </c>
      <c r="ET593" s="408">
        <v>0</v>
      </c>
      <c r="EU593" s="408">
        <v>0</v>
      </c>
      <c r="EV593" s="408">
        <v>242</v>
      </c>
      <c r="EW593" s="408">
        <v>0</v>
      </c>
      <c r="EX593" s="408">
        <v>0</v>
      </c>
      <c r="EY593" s="408">
        <v>0</v>
      </c>
      <c r="EZ593" s="408"/>
      <c r="FA593" s="408">
        <v>0</v>
      </c>
      <c r="FB593" s="408"/>
      <c r="FC593" s="408"/>
      <c r="FD593" s="408"/>
      <c r="FE593" s="408"/>
      <c r="FF593" s="408">
        <v>0</v>
      </c>
      <c r="FG593" s="408">
        <v>0</v>
      </c>
      <c r="FH593" s="408">
        <v>0</v>
      </c>
      <c r="FI593" s="408">
        <v>0</v>
      </c>
    </row>
    <row r="594" spans="1:165">
      <c r="A594" s="408">
        <v>595</v>
      </c>
      <c r="B594" s="408" t="s">
        <v>1036</v>
      </c>
      <c r="C594" s="408" t="s">
        <v>2239</v>
      </c>
      <c r="D594" s="408" t="s">
        <v>597</v>
      </c>
      <c r="E594" s="408" t="s">
        <v>1001</v>
      </c>
      <c r="F594" s="408" t="s">
        <v>2246</v>
      </c>
      <c r="G594" s="408" t="s">
        <v>1322</v>
      </c>
      <c r="H594" s="408" t="s">
        <v>1322</v>
      </c>
      <c r="I594" s="408" t="s">
        <v>2240</v>
      </c>
      <c r="J594" s="408" t="s">
        <v>2232</v>
      </c>
      <c r="K594" s="828">
        <v>44713</v>
      </c>
      <c r="L594" s="408">
        <v>0</v>
      </c>
      <c r="M594" s="408">
        <v>0</v>
      </c>
      <c r="N594" s="408">
        <v>94.155000000000001</v>
      </c>
      <c r="O594" s="408">
        <v>88.505700000000004</v>
      </c>
      <c r="P594" s="408">
        <v>94.155000000000001</v>
      </c>
      <c r="Q594" s="408">
        <v>88.505700000000004</v>
      </c>
      <c r="R594" s="408"/>
      <c r="S594" s="408">
        <v>80.27</v>
      </c>
      <c r="T594" s="408">
        <v>216.76</v>
      </c>
      <c r="U594" s="408"/>
      <c r="V594" s="408">
        <v>27966.859649999999</v>
      </c>
      <c r="W594" s="408">
        <v>27966.859649999999</v>
      </c>
      <c r="X594" s="408">
        <v>31002.416849999998</v>
      </c>
      <c r="Y594" s="408">
        <v>0</v>
      </c>
      <c r="Z594" s="408">
        <v>4964.909603569924</v>
      </c>
      <c r="AA594" s="408">
        <v>0</v>
      </c>
      <c r="AB594" s="408">
        <v>0</v>
      </c>
      <c r="AC594" s="408">
        <v>0</v>
      </c>
      <c r="AD594" s="408">
        <v>0</v>
      </c>
      <c r="AE594" s="408">
        <v>0</v>
      </c>
      <c r="AF594" s="408">
        <v>20111.649310049448</v>
      </c>
      <c r="AG594" s="408">
        <v>297.28544296067196</v>
      </c>
      <c r="AH594" s="408">
        <v>0</v>
      </c>
      <c r="AI594" s="408">
        <v>0</v>
      </c>
      <c r="AJ594" s="408">
        <v>0</v>
      </c>
      <c r="AK594" s="408">
        <v>0</v>
      </c>
      <c r="AL594" s="408">
        <v>882.57447712263661</v>
      </c>
      <c r="AM594" s="408"/>
      <c r="AN594" s="408">
        <v>129.29573591159402</v>
      </c>
      <c r="AO594" s="408">
        <v>0</v>
      </c>
      <c r="AP594" s="408">
        <v>0</v>
      </c>
      <c r="AQ594" s="408">
        <v>0</v>
      </c>
      <c r="AR594" s="408">
        <v>0</v>
      </c>
      <c r="AS594" s="408">
        <v>0</v>
      </c>
      <c r="AT594" s="408">
        <v>0</v>
      </c>
      <c r="AU594" s="408">
        <v>0</v>
      </c>
      <c r="AV594" s="408">
        <v>0</v>
      </c>
      <c r="AW594" s="408">
        <v>0</v>
      </c>
      <c r="AX594" s="408">
        <v>0</v>
      </c>
      <c r="AY594" s="408">
        <v>0</v>
      </c>
      <c r="AZ594" s="408">
        <v>0</v>
      </c>
      <c r="BA594" s="408"/>
      <c r="BB594" s="408">
        <v>0</v>
      </c>
      <c r="BC594" s="408">
        <v>0</v>
      </c>
      <c r="BD594" s="408">
        <v>43.056958953026381</v>
      </c>
      <c r="BE594" s="408">
        <v>0</v>
      </c>
      <c r="BF594" s="408">
        <v>0</v>
      </c>
      <c r="BG594" s="408">
        <v>1538.1308460513635</v>
      </c>
      <c r="BH594" s="408">
        <v>0</v>
      </c>
      <c r="BI594" s="408">
        <v>0</v>
      </c>
      <c r="BJ594" s="408">
        <v>0</v>
      </c>
      <c r="BK594" s="408">
        <v>0</v>
      </c>
      <c r="BL594" s="408">
        <v>0</v>
      </c>
      <c r="BM594" s="408"/>
      <c r="BN594" s="408"/>
      <c r="BO594" s="408"/>
      <c r="BP594" s="408"/>
      <c r="BQ594" s="408">
        <v>1860.1450109999987</v>
      </c>
      <c r="BR594" s="408"/>
      <c r="BS594" s="408"/>
      <c r="BT594" s="408"/>
      <c r="BU594" s="408"/>
      <c r="BV594" s="408">
        <v>21692.837115053841</v>
      </c>
      <c r="BW594" s="408"/>
      <c r="BX594" s="408"/>
      <c r="BY594" s="408"/>
      <c r="BZ594" s="408"/>
      <c r="CA594" s="408"/>
      <c r="CB594" s="408"/>
      <c r="CC594" s="408"/>
      <c r="CD594" s="408"/>
      <c r="CE594" s="408"/>
      <c r="CF594" s="408"/>
      <c r="CG594" s="408"/>
      <c r="CH594" s="408"/>
      <c r="CI594" s="408">
        <v>29143.687700000002</v>
      </c>
      <c r="CJ594" s="408">
        <v>2854.809629000003</v>
      </c>
      <c r="CK594" s="408"/>
      <c r="CL594" s="408"/>
      <c r="CM594" s="408"/>
      <c r="CN594" s="408"/>
      <c r="CO594" s="408">
        <v>-36.720450000000056</v>
      </c>
      <c r="CP594" s="408">
        <v>3072.2776499999995</v>
      </c>
      <c r="CQ594" s="408">
        <v>30</v>
      </c>
      <c r="CR594" s="408">
        <v>3035.6521967764565</v>
      </c>
      <c r="CS594" s="408">
        <v>0</v>
      </c>
      <c r="CT594" s="408">
        <v>0</v>
      </c>
      <c r="CU594" s="408">
        <v>0</v>
      </c>
      <c r="CV594" s="408">
        <v>0</v>
      </c>
      <c r="CW594" s="408">
        <v>0</v>
      </c>
      <c r="CX594" s="408">
        <v>0</v>
      </c>
      <c r="CY594" s="408">
        <v>0</v>
      </c>
      <c r="CZ594" s="408">
        <v>0</v>
      </c>
      <c r="DA594" s="408">
        <v>0</v>
      </c>
      <c r="DB594" s="408">
        <v>0</v>
      </c>
      <c r="DC594" s="408">
        <v>3072.6724911942219</v>
      </c>
      <c r="DD594" s="408">
        <v>0</v>
      </c>
      <c r="DE594" s="408">
        <v>0</v>
      </c>
      <c r="DF594" s="408">
        <v>6.5782736805845872</v>
      </c>
      <c r="DG594" s="408">
        <v>234.9967556443944</v>
      </c>
      <c r="DH594" s="408">
        <v>0</v>
      </c>
      <c r="DI594" s="408">
        <v>-237.20945730764925</v>
      </c>
      <c r="DJ594" s="408"/>
      <c r="DK594" s="408">
        <v>0</v>
      </c>
      <c r="DL594" s="408">
        <v>0</v>
      </c>
      <c r="DM594" s="408">
        <v>0</v>
      </c>
      <c r="DN594" s="408">
        <v>0</v>
      </c>
      <c r="DO594" s="408">
        <v>-35.762455404063758</v>
      </c>
      <c r="DP594" s="408">
        <v>-5.6234110310245313</v>
      </c>
      <c r="DQ594" s="408">
        <v>0</v>
      </c>
      <c r="DR594" s="408">
        <v>0</v>
      </c>
      <c r="DS594" s="408"/>
      <c r="DT594" s="408"/>
      <c r="DU594" s="408"/>
      <c r="DV594" s="408">
        <v>0</v>
      </c>
      <c r="DW594" s="408">
        <v>0</v>
      </c>
      <c r="DX594" s="408">
        <v>0</v>
      </c>
      <c r="DY594" s="408">
        <v>-36.720449999999801</v>
      </c>
      <c r="DZ594" s="234">
        <v>3072.27765</v>
      </c>
      <c r="EA594" s="408">
        <v>0</v>
      </c>
      <c r="EB594" s="408">
        <v>0</v>
      </c>
      <c r="EC594" s="408">
        <v>0</v>
      </c>
      <c r="ED594" s="408">
        <v>0</v>
      </c>
      <c r="EE594" s="408">
        <v>0</v>
      </c>
      <c r="EF594" s="408">
        <v>0</v>
      </c>
      <c r="EG594" s="408">
        <v>0</v>
      </c>
      <c r="EH594" s="408">
        <v>0</v>
      </c>
      <c r="EI594" s="408">
        <v>0</v>
      </c>
      <c r="EJ594" s="408">
        <v>0</v>
      </c>
      <c r="EK594" s="408">
        <v>0</v>
      </c>
      <c r="EL594" s="408">
        <v>0</v>
      </c>
      <c r="EM594" s="408">
        <v>0</v>
      </c>
      <c r="EN594" s="408">
        <v>0</v>
      </c>
      <c r="EO594" s="408">
        <v>0</v>
      </c>
      <c r="EP594" s="408">
        <v>0</v>
      </c>
      <c r="EQ594" s="408">
        <v>0</v>
      </c>
      <c r="ER594" s="408">
        <v>0</v>
      </c>
      <c r="ES594" s="408">
        <v>0</v>
      </c>
      <c r="ET594" s="408">
        <v>0</v>
      </c>
      <c r="EU594" s="408">
        <v>0</v>
      </c>
      <c r="EV594" s="408">
        <v>242</v>
      </c>
      <c r="EW594" s="408">
        <v>0</v>
      </c>
      <c r="EX594" s="408">
        <v>0</v>
      </c>
      <c r="EY594" s="408">
        <v>0</v>
      </c>
      <c r="EZ594" s="408"/>
      <c r="FA594" s="408">
        <v>0</v>
      </c>
      <c r="FB594" s="408"/>
      <c r="FC594" s="408"/>
      <c r="FD594" s="408"/>
      <c r="FE594" s="408"/>
      <c r="FF594" s="408">
        <v>0</v>
      </c>
      <c r="FG594" s="408">
        <v>0</v>
      </c>
      <c r="FH594" s="408">
        <v>0</v>
      </c>
      <c r="FI594" s="408">
        <v>0</v>
      </c>
    </row>
    <row r="595" spans="1:165">
      <c r="A595" s="408">
        <v>596</v>
      </c>
      <c r="B595" s="408" t="s">
        <v>1036</v>
      </c>
      <c r="C595" s="408" t="s">
        <v>2239</v>
      </c>
      <c r="D595" s="408" t="s">
        <v>597</v>
      </c>
      <c r="E595" s="408" t="s">
        <v>1001</v>
      </c>
      <c r="F595" s="408" t="s">
        <v>2246</v>
      </c>
      <c r="G595" s="408" t="s">
        <v>1322</v>
      </c>
      <c r="H595" s="408" t="s">
        <v>1322</v>
      </c>
      <c r="I595" s="408" t="s">
        <v>1322</v>
      </c>
      <c r="J595" s="408" t="s">
        <v>2232</v>
      </c>
      <c r="K595" s="828">
        <v>44713</v>
      </c>
      <c r="L595" s="408">
        <v>401</v>
      </c>
      <c r="M595" s="408">
        <v>376.94</v>
      </c>
      <c r="N595" s="408">
        <v>0</v>
      </c>
      <c r="O595" s="408">
        <v>0</v>
      </c>
      <c r="P595" s="408">
        <v>0</v>
      </c>
      <c r="Q595" s="408">
        <v>0</v>
      </c>
      <c r="R595" s="408">
        <v>32.17</v>
      </c>
      <c r="S595" s="408"/>
      <c r="T595" s="408"/>
      <c r="U595" s="408">
        <v>12900.17</v>
      </c>
      <c r="V595" s="408"/>
      <c r="W595" s="408">
        <v>12900.17</v>
      </c>
      <c r="X595" s="408">
        <v>5184.93</v>
      </c>
      <c r="Y595" s="408">
        <v>0</v>
      </c>
      <c r="Z595" s="408">
        <v>0</v>
      </c>
      <c r="AA595" s="408">
        <v>0</v>
      </c>
      <c r="AB595" s="408">
        <v>0</v>
      </c>
      <c r="AC595" s="408">
        <v>0</v>
      </c>
      <c r="AD595" s="408">
        <v>40.066406277641434</v>
      </c>
      <c r="AE595" s="408">
        <v>10797.620906825692</v>
      </c>
      <c r="AF595" s="408"/>
      <c r="AG595" s="408"/>
      <c r="AH595" s="408"/>
      <c r="AI595" s="408">
        <v>0</v>
      </c>
      <c r="AJ595" s="408">
        <v>0</v>
      </c>
      <c r="AK595" s="408">
        <v>0</v>
      </c>
      <c r="AL595" s="408">
        <v>0</v>
      </c>
      <c r="AM595" s="408"/>
      <c r="AN595" s="408">
        <v>0</v>
      </c>
      <c r="AO595" s="408">
        <v>707.53286367190572</v>
      </c>
      <c r="AP595" s="408">
        <v>1356.5289313437177</v>
      </c>
      <c r="AQ595" s="408">
        <v>0</v>
      </c>
      <c r="AR595" s="408">
        <v>0</v>
      </c>
      <c r="AS595" s="408"/>
      <c r="AT595" s="408"/>
      <c r="AU595" s="408">
        <v>0</v>
      </c>
      <c r="AV595" s="408">
        <v>0</v>
      </c>
      <c r="AW595" s="408">
        <v>0</v>
      </c>
      <c r="AX595" s="408"/>
      <c r="AY595" s="408"/>
      <c r="AZ595" s="408">
        <v>0</v>
      </c>
      <c r="BA595" s="408"/>
      <c r="BB595" s="408">
        <v>0</v>
      </c>
      <c r="BC595" s="408">
        <v>0</v>
      </c>
      <c r="BD595" s="408">
        <v>0</v>
      </c>
      <c r="BE595" s="408">
        <v>0</v>
      </c>
      <c r="BF595" s="408"/>
      <c r="BG595" s="408">
        <v>0</v>
      </c>
      <c r="BH595" s="408">
        <v>0</v>
      </c>
      <c r="BI595" s="408">
        <v>126.55</v>
      </c>
      <c r="BJ595" s="408">
        <v>577.16</v>
      </c>
      <c r="BK595" s="408">
        <v>14172.45</v>
      </c>
      <c r="BL595" s="408">
        <v>2</v>
      </c>
      <c r="BM595" s="408"/>
      <c r="BN595" s="408"/>
      <c r="BO595" s="408"/>
      <c r="BP595" s="408"/>
      <c r="BQ595" s="408">
        <v>311.0958</v>
      </c>
      <c r="BR595" s="408"/>
      <c r="BS595" s="408"/>
      <c r="BT595" s="408"/>
      <c r="BU595" s="408"/>
      <c r="BV595" s="408">
        <v>0</v>
      </c>
      <c r="BW595" s="408"/>
      <c r="BX595" s="408"/>
      <c r="BY595" s="408"/>
      <c r="BZ595" s="408"/>
      <c r="CA595" s="408"/>
      <c r="CB595" s="408"/>
      <c r="CC595" s="408"/>
      <c r="CD595" s="408"/>
      <c r="CE595" s="408"/>
      <c r="CF595" s="408"/>
      <c r="CG595" s="408"/>
      <c r="CH595" s="408"/>
      <c r="CI595" s="408">
        <v>4873.8342000000002</v>
      </c>
      <c r="CJ595" s="408">
        <v>-7252.3556000000017</v>
      </c>
      <c r="CK595" s="408"/>
      <c r="CL595" s="408"/>
      <c r="CM595" s="408"/>
      <c r="CN595" s="408"/>
      <c r="CO595" s="408">
        <v>-7715.2400000000007</v>
      </c>
      <c r="CP595" s="408">
        <v>0</v>
      </c>
      <c r="CQ595" s="408">
        <v>30</v>
      </c>
      <c r="CR595" s="408">
        <v>216.8286154031216</v>
      </c>
      <c r="CS595" s="408">
        <v>72.983093292001968</v>
      </c>
      <c r="CT595" s="408">
        <v>139.92802685623997</v>
      </c>
      <c r="CU595" s="408">
        <v>0</v>
      </c>
      <c r="CV595" s="408">
        <v>0</v>
      </c>
      <c r="CW595" s="408"/>
      <c r="CX595" s="408"/>
      <c r="CY595" s="408"/>
      <c r="CZ595" s="408">
        <v>3.9174952548795119</v>
      </c>
      <c r="DA595" s="408">
        <v>0</v>
      </c>
      <c r="DB595" s="408">
        <v>0</v>
      </c>
      <c r="DC595" s="408"/>
      <c r="DD595" s="408"/>
      <c r="DE595" s="408">
        <v>0</v>
      </c>
      <c r="DF595" s="408">
        <v>0</v>
      </c>
      <c r="DG595" s="408">
        <v>0</v>
      </c>
      <c r="DH595" s="408">
        <v>0</v>
      </c>
      <c r="DI595" s="408">
        <v>0</v>
      </c>
      <c r="DJ595" s="408"/>
      <c r="DK595" s="408">
        <v>0</v>
      </c>
      <c r="DL595" s="408">
        <v>0</v>
      </c>
      <c r="DM595" s="408"/>
      <c r="DN595" s="408">
        <v>0</v>
      </c>
      <c r="DO595" s="408">
        <v>0</v>
      </c>
      <c r="DP595" s="408">
        <v>0</v>
      </c>
      <c r="DQ595" s="408">
        <v>0</v>
      </c>
      <c r="DR595" s="408">
        <v>0</v>
      </c>
      <c r="DS595" s="408"/>
      <c r="DT595" s="408"/>
      <c r="DU595" s="408">
        <v>10797.620906825692</v>
      </c>
      <c r="DV595" s="408"/>
      <c r="DW595" s="408">
        <v>0</v>
      </c>
      <c r="DX595" s="408">
        <v>0</v>
      </c>
      <c r="DY595" s="408">
        <v>-7715.24</v>
      </c>
      <c r="DZ595" s="234"/>
      <c r="EA595" s="408">
        <v>0</v>
      </c>
      <c r="EB595" s="408"/>
      <c r="EC595" s="408">
        <v>-7933.1180850955097</v>
      </c>
      <c r="ED595" s="408"/>
      <c r="EE595" s="408">
        <v>0</v>
      </c>
      <c r="EF595" s="408">
        <v>0</v>
      </c>
      <c r="EG595" s="408"/>
      <c r="EH595" s="408">
        <v>0</v>
      </c>
      <c r="EI595" s="408">
        <v>0</v>
      </c>
      <c r="EJ595" s="408">
        <v>0</v>
      </c>
      <c r="EK595" s="408">
        <v>0</v>
      </c>
      <c r="EL595" s="408">
        <v>0</v>
      </c>
      <c r="EM595" s="408"/>
      <c r="EN595" s="408"/>
      <c r="EO595" s="408">
        <v>0</v>
      </c>
      <c r="EP595" s="408">
        <v>0</v>
      </c>
      <c r="EQ595" s="408"/>
      <c r="ER595" s="408">
        <v>0</v>
      </c>
      <c r="ES595" s="408"/>
      <c r="ET595" s="408">
        <v>0</v>
      </c>
      <c r="EU595" s="408"/>
      <c r="EV595" s="408">
        <v>242</v>
      </c>
      <c r="EW595" s="408"/>
      <c r="EX595" s="408"/>
      <c r="EY595" s="408"/>
      <c r="EZ595" s="408"/>
      <c r="FA595" s="408">
        <v>0</v>
      </c>
      <c r="FB595" s="408"/>
      <c r="FC595" s="408"/>
      <c r="FD595" s="408"/>
      <c r="FE595" s="408"/>
      <c r="FF595" s="408">
        <v>0</v>
      </c>
      <c r="FG595" s="408">
        <v>0</v>
      </c>
      <c r="FH595" s="408">
        <v>0</v>
      </c>
      <c r="FI595" s="408">
        <v>0</v>
      </c>
    </row>
    <row r="596" spans="1:165">
      <c r="A596" s="408">
        <v>597</v>
      </c>
      <c r="B596" s="408" t="s">
        <v>1036</v>
      </c>
      <c r="C596" s="408" t="s">
        <v>2231</v>
      </c>
      <c r="D596" s="408" t="s">
        <v>1955</v>
      </c>
      <c r="E596" s="408" t="s">
        <v>2247</v>
      </c>
      <c r="F596" s="408" t="s">
        <v>1322</v>
      </c>
      <c r="G596" s="408" t="s">
        <v>1322</v>
      </c>
      <c r="H596" s="408" t="s">
        <v>1322</v>
      </c>
      <c r="I596" s="408" t="s">
        <v>1322</v>
      </c>
      <c r="J596" s="408" t="s">
        <v>2232</v>
      </c>
      <c r="K596" s="828">
        <v>44713</v>
      </c>
      <c r="L596" s="408">
        <v>0</v>
      </c>
      <c r="M596" s="408">
        <v>0</v>
      </c>
      <c r="N596" s="408">
        <v>0.46100000000000002</v>
      </c>
      <c r="O596" s="408">
        <v>0.46100000000000002</v>
      </c>
      <c r="P596" s="408">
        <v>0.46100000000000002</v>
      </c>
      <c r="Q596" s="408">
        <v>0.46100000000000002</v>
      </c>
      <c r="R596" s="408"/>
      <c r="S596" s="408">
        <v>571.87</v>
      </c>
      <c r="T596" s="408">
        <v>216.76</v>
      </c>
      <c r="U596" s="408"/>
      <c r="V596" s="408">
        <v>363.55842999999999</v>
      </c>
      <c r="W596" s="408">
        <v>363.55842999999999</v>
      </c>
      <c r="X596" s="408">
        <v>236.95861000000002</v>
      </c>
      <c r="Y596" s="408">
        <v>0</v>
      </c>
      <c r="Z596" s="408">
        <v>27.94149445730212</v>
      </c>
      <c r="AA596" s="408">
        <v>0</v>
      </c>
      <c r="AB596" s="408">
        <v>0</v>
      </c>
      <c r="AC596" s="408">
        <v>0</v>
      </c>
      <c r="AD596" s="408">
        <v>0.37890221547324887</v>
      </c>
      <c r="AE596" s="408">
        <v>196.56287131073509</v>
      </c>
      <c r="AF596" s="408">
        <v>98.470291879696205</v>
      </c>
      <c r="AG596" s="408">
        <v>1.455563583504538</v>
      </c>
      <c r="AH596" s="408">
        <v>0</v>
      </c>
      <c r="AI596" s="408">
        <v>0</v>
      </c>
      <c r="AJ596" s="408">
        <v>0</v>
      </c>
      <c r="AK596" s="408">
        <v>0</v>
      </c>
      <c r="AL596" s="408">
        <v>4.3212451166006636</v>
      </c>
      <c r="AM596" s="408"/>
      <c r="AN596" s="408">
        <v>0.88441446538751489</v>
      </c>
      <c r="AO596" s="408">
        <v>4.0944626623364089</v>
      </c>
      <c r="AP596" s="408">
        <v>12.828295457999603</v>
      </c>
      <c r="AQ596" s="408">
        <v>0</v>
      </c>
      <c r="AR596" s="408">
        <v>0</v>
      </c>
      <c r="AS596" s="408">
        <v>0</v>
      </c>
      <c r="AT596" s="408">
        <v>0</v>
      </c>
      <c r="AU596" s="408">
        <v>0</v>
      </c>
      <c r="AV596" s="408">
        <v>0</v>
      </c>
      <c r="AW596" s="408">
        <v>0</v>
      </c>
      <c r="AX596" s="408">
        <v>0</v>
      </c>
      <c r="AY596" s="408">
        <v>0</v>
      </c>
      <c r="AZ596" s="408">
        <v>0</v>
      </c>
      <c r="BA596" s="408"/>
      <c r="BB596" s="408">
        <v>0</v>
      </c>
      <c r="BC596" s="408">
        <v>0</v>
      </c>
      <c r="BD596" s="408">
        <v>0.27432709568732083</v>
      </c>
      <c r="BE596" s="408">
        <v>0</v>
      </c>
      <c r="BF596" s="408">
        <v>0</v>
      </c>
      <c r="BG596" s="408">
        <v>16.346247472059403</v>
      </c>
      <c r="BH596" s="408">
        <v>0</v>
      </c>
      <c r="BI596" s="408">
        <v>0.75</v>
      </c>
      <c r="BJ596" s="408">
        <v>3.47</v>
      </c>
      <c r="BK596" s="408">
        <v>80.38</v>
      </c>
      <c r="BL596" s="408">
        <v>3</v>
      </c>
      <c r="BM596" s="408"/>
      <c r="BN596" s="408"/>
      <c r="BO596" s="408"/>
      <c r="BP596" s="408"/>
      <c r="BQ596" s="408"/>
      <c r="BR596" s="408"/>
      <c r="BS596" s="408"/>
      <c r="BT596" s="408"/>
      <c r="BU596" s="408"/>
      <c r="BV596" s="408">
        <v>115.09086644744293</v>
      </c>
      <c r="BW596" s="408"/>
      <c r="BX596" s="408"/>
      <c r="BY596" s="408"/>
      <c r="BZ596" s="408"/>
      <c r="CA596" s="408"/>
      <c r="CB596" s="408"/>
      <c r="CC596" s="408"/>
      <c r="CD596" s="408"/>
      <c r="CE596" s="408"/>
      <c r="CF596" s="408"/>
      <c r="CG596" s="408"/>
      <c r="CH596" s="408"/>
      <c r="CI596" s="408">
        <v>236.44459999999998</v>
      </c>
      <c r="CJ596" s="408">
        <v>-127.14382999999998</v>
      </c>
      <c r="CK596" s="408"/>
      <c r="CL596" s="408"/>
      <c r="CM596" s="408"/>
      <c r="CN596" s="408"/>
      <c r="CO596" s="408">
        <v>-141.64225000000002</v>
      </c>
      <c r="CP596" s="408">
        <v>15.042429999999998</v>
      </c>
      <c r="CQ596" s="408">
        <v>30</v>
      </c>
      <c r="CR596" s="408">
        <v>17.817790995238738</v>
      </c>
      <c r="CS596" s="408">
        <v>0.42235006429960009</v>
      </c>
      <c r="CT596" s="408">
        <v>1.3232582290660471</v>
      </c>
      <c r="CU596" s="408">
        <v>0</v>
      </c>
      <c r="CV596" s="408">
        <v>0</v>
      </c>
      <c r="CW596" s="408">
        <v>0</v>
      </c>
      <c r="CX596" s="408">
        <v>0</v>
      </c>
      <c r="CY596" s="408">
        <v>0</v>
      </c>
      <c r="CZ596" s="408">
        <v>3.7047186635454532E-2</v>
      </c>
      <c r="DA596" s="408">
        <v>0</v>
      </c>
      <c r="DB596" s="408">
        <v>0</v>
      </c>
      <c r="DC596" s="408">
        <v>15.044363214280025</v>
      </c>
      <c r="DD596" s="408">
        <v>0</v>
      </c>
      <c r="DE596" s="408">
        <v>0</v>
      </c>
      <c r="DF596" s="408">
        <v>4.1911894321190968E-2</v>
      </c>
      <c r="DG596" s="408">
        <v>2.4973916443816364</v>
      </c>
      <c r="DH596" s="408">
        <v>0</v>
      </c>
      <c r="DI596" s="408">
        <v>-1.3349662462768173</v>
      </c>
      <c r="DJ596" s="408"/>
      <c r="DK596" s="408">
        <v>0</v>
      </c>
      <c r="DL596" s="408">
        <v>0</v>
      </c>
      <c r="DM596" s="408">
        <v>0</v>
      </c>
      <c r="DN596" s="408">
        <v>0</v>
      </c>
      <c r="DO596" s="408">
        <v>-0.17509948426821076</v>
      </c>
      <c r="DP596" s="408">
        <v>-3.8465507200162952E-2</v>
      </c>
      <c r="DQ596" s="408">
        <v>0</v>
      </c>
      <c r="DR596" s="408">
        <v>0</v>
      </c>
      <c r="DS596" s="408"/>
      <c r="DT596" s="408"/>
      <c r="DU596" s="408"/>
      <c r="DV596" s="408">
        <v>196.56287131073509</v>
      </c>
      <c r="DW596" s="408">
        <v>0</v>
      </c>
      <c r="DX596" s="408">
        <v>0</v>
      </c>
      <c r="DY596" s="408">
        <v>-141.64224999999999</v>
      </c>
      <c r="DZ596" s="234">
        <v>15.042429999999996</v>
      </c>
      <c r="EA596" s="408">
        <v>0</v>
      </c>
      <c r="EB596" s="408">
        <v>0</v>
      </c>
      <c r="EC596" s="408">
        <v>-144.41667129355795</v>
      </c>
      <c r="ED596" s="408">
        <v>0</v>
      </c>
      <c r="EE596" s="408">
        <v>0</v>
      </c>
      <c r="EF596" s="408">
        <v>0</v>
      </c>
      <c r="EG596" s="408">
        <v>0</v>
      </c>
      <c r="EH596" s="408">
        <v>0</v>
      </c>
      <c r="EI596" s="408">
        <v>0</v>
      </c>
      <c r="EJ596" s="408">
        <v>0</v>
      </c>
      <c r="EK596" s="408">
        <v>0</v>
      </c>
      <c r="EL596" s="408">
        <v>0</v>
      </c>
      <c r="EM596" s="408">
        <v>0</v>
      </c>
      <c r="EN596" s="408">
        <v>0</v>
      </c>
      <c r="EO596" s="408">
        <v>0</v>
      </c>
      <c r="EP596" s="408">
        <v>0</v>
      </c>
      <c r="EQ596" s="408">
        <v>0</v>
      </c>
      <c r="ER596" s="408">
        <v>0</v>
      </c>
      <c r="ES596" s="408">
        <v>0</v>
      </c>
      <c r="ET596" s="408">
        <v>0</v>
      </c>
      <c r="EU596" s="408">
        <v>0</v>
      </c>
      <c r="EV596" s="408">
        <v>242</v>
      </c>
      <c r="EW596" s="408">
        <v>0</v>
      </c>
      <c r="EX596" s="408">
        <v>0</v>
      </c>
      <c r="EY596" s="408">
        <v>0</v>
      </c>
      <c r="EZ596" s="408"/>
      <c r="FA596" s="408">
        <v>0</v>
      </c>
      <c r="FB596" s="408"/>
      <c r="FC596" s="408"/>
      <c r="FD596" s="408"/>
      <c r="FE596" s="408"/>
      <c r="FF596" s="408">
        <v>0</v>
      </c>
      <c r="FG596" s="408">
        <v>0</v>
      </c>
      <c r="FH596" s="408">
        <v>0</v>
      </c>
      <c r="FI596" s="408">
        <v>0</v>
      </c>
    </row>
    <row r="597" spans="1:165">
      <c r="A597" s="408">
        <v>598</v>
      </c>
      <c r="B597" s="408" t="s">
        <v>1036</v>
      </c>
      <c r="C597" s="408" t="s">
        <v>2231</v>
      </c>
      <c r="D597" s="408" t="s">
        <v>2241</v>
      </c>
      <c r="E597" s="408" t="s">
        <v>974</v>
      </c>
      <c r="F597" s="408" t="s">
        <v>2248</v>
      </c>
      <c r="G597" s="408" t="s">
        <v>2249</v>
      </c>
      <c r="H597" s="408" t="s">
        <v>1322</v>
      </c>
      <c r="I597" s="408" t="s">
        <v>1322</v>
      </c>
      <c r="J597" s="408" t="s">
        <v>2232</v>
      </c>
      <c r="K597" s="828">
        <v>44713</v>
      </c>
      <c r="L597" s="408">
        <v>0</v>
      </c>
      <c r="M597" s="408">
        <v>0</v>
      </c>
      <c r="N597" s="408">
        <v>0</v>
      </c>
      <c r="O597" s="408">
        <v>0</v>
      </c>
      <c r="P597" s="408">
        <v>0</v>
      </c>
      <c r="Q597" s="408">
        <v>0</v>
      </c>
      <c r="R597" s="408"/>
      <c r="S597" s="408"/>
      <c r="T597" s="408"/>
      <c r="U597" s="408"/>
      <c r="V597" s="408"/>
      <c r="W597" s="408"/>
      <c r="X597" s="408"/>
      <c r="Y597" s="408"/>
      <c r="Z597" s="408"/>
      <c r="AA597" s="408">
        <v>0</v>
      </c>
      <c r="AB597" s="408"/>
      <c r="AC597" s="408"/>
      <c r="AD597" s="408"/>
      <c r="AE597" s="408"/>
      <c r="AF597" s="408"/>
      <c r="AG597" s="408"/>
      <c r="AH597" s="408"/>
      <c r="AI597" s="408"/>
      <c r="AJ597" s="408"/>
      <c r="AK597" s="408"/>
      <c r="AL597" s="408"/>
      <c r="AM597" s="408"/>
      <c r="AN597" s="408"/>
      <c r="AO597" s="408"/>
      <c r="AP597" s="408"/>
      <c r="AQ597" s="408"/>
      <c r="AR597" s="408"/>
      <c r="AS597" s="408"/>
      <c r="AT597" s="408"/>
      <c r="AU597" s="408"/>
      <c r="AV597" s="408"/>
      <c r="AW597" s="408"/>
      <c r="AX597" s="408"/>
      <c r="AY597" s="408"/>
      <c r="AZ597" s="408">
        <v>0</v>
      </c>
      <c r="BA597" s="408"/>
      <c r="BB597" s="408"/>
      <c r="BC597" s="408"/>
      <c r="BD597" s="408"/>
      <c r="BE597" s="408"/>
      <c r="BF597" s="408"/>
      <c r="BG597" s="408"/>
      <c r="BH597" s="408"/>
      <c r="BI597" s="408">
        <v>23.39</v>
      </c>
      <c r="BJ597" s="408">
        <v>108.96</v>
      </c>
      <c r="BK597" s="408">
        <v>728.95</v>
      </c>
      <c r="BL597" s="408">
        <v>133</v>
      </c>
      <c r="BM597" s="408"/>
      <c r="BN597" s="408"/>
      <c r="BO597" s="408"/>
      <c r="BP597" s="408"/>
      <c r="BQ597" s="408"/>
      <c r="BR597" s="408"/>
      <c r="BS597" s="408"/>
      <c r="BT597" s="408"/>
      <c r="BU597" s="408"/>
      <c r="BV597" s="408"/>
      <c r="BW597" s="408"/>
      <c r="BX597" s="408"/>
      <c r="BY597" s="408"/>
      <c r="BZ597" s="408"/>
      <c r="CA597" s="408"/>
      <c r="CB597" s="408"/>
      <c r="CC597" s="408"/>
      <c r="CD597" s="408"/>
      <c r="CE597" s="408"/>
      <c r="CF597" s="408"/>
      <c r="CG597" s="408"/>
      <c r="CH597" s="408"/>
      <c r="CI597" s="408"/>
      <c r="CJ597" s="408">
        <v>-0.03</v>
      </c>
      <c r="CK597" s="408"/>
      <c r="CL597" s="408"/>
      <c r="CM597" s="408"/>
      <c r="CN597" s="408"/>
      <c r="CO597" s="408">
        <v>0</v>
      </c>
      <c r="CP597" s="408">
        <v>0</v>
      </c>
      <c r="CQ597" s="408">
        <v>30</v>
      </c>
      <c r="CR597" s="408"/>
      <c r="CS597" s="408"/>
      <c r="CT597" s="408"/>
      <c r="CU597" s="408"/>
      <c r="CV597" s="408"/>
      <c r="CW597" s="408"/>
      <c r="CX597" s="408"/>
      <c r="CY597" s="408"/>
      <c r="CZ597" s="408"/>
      <c r="DA597" s="408"/>
      <c r="DB597" s="408"/>
      <c r="DC597" s="408"/>
      <c r="DD597" s="408"/>
      <c r="DE597" s="408"/>
      <c r="DF597" s="408"/>
      <c r="DG597" s="408"/>
      <c r="DH597" s="408"/>
      <c r="DI597" s="408"/>
      <c r="DJ597" s="408"/>
      <c r="DK597" s="408">
        <v>0</v>
      </c>
      <c r="DL597" s="408"/>
      <c r="DM597" s="408"/>
      <c r="DN597" s="408"/>
      <c r="DO597" s="408"/>
      <c r="DP597" s="408"/>
      <c r="DQ597" s="408"/>
      <c r="DR597" s="408"/>
      <c r="DS597" s="408"/>
      <c r="DT597" s="408"/>
      <c r="DU597" s="408"/>
      <c r="DV597" s="408"/>
      <c r="DW597" s="408"/>
      <c r="DX597" s="408"/>
      <c r="DY597" s="408"/>
      <c r="DZ597" s="234"/>
      <c r="EA597" s="408"/>
      <c r="EB597" s="408"/>
      <c r="EC597" s="408"/>
      <c r="ED597" s="408"/>
      <c r="EE597" s="408"/>
      <c r="EF597" s="408"/>
      <c r="EG597" s="408"/>
      <c r="EH597" s="408"/>
      <c r="EI597" s="408"/>
      <c r="EJ597" s="408"/>
      <c r="EK597" s="408"/>
      <c r="EL597" s="408"/>
      <c r="EM597" s="408"/>
      <c r="EN597" s="408"/>
      <c r="EO597" s="408"/>
      <c r="EP597" s="408"/>
      <c r="EQ597" s="408"/>
      <c r="ER597" s="408"/>
      <c r="ES597" s="408"/>
      <c r="ET597" s="408"/>
      <c r="EU597" s="408"/>
      <c r="EV597" s="408">
        <v>242</v>
      </c>
      <c r="EW597" s="408"/>
      <c r="EX597" s="408"/>
      <c r="EY597" s="408"/>
      <c r="EZ597" s="408"/>
      <c r="FA597" s="408">
        <v>0</v>
      </c>
      <c r="FB597" s="408"/>
      <c r="FC597" s="408"/>
      <c r="FD597" s="408"/>
      <c r="FE597" s="408"/>
      <c r="FF597" s="408">
        <v>0</v>
      </c>
      <c r="FG597" s="408">
        <v>0</v>
      </c>
      <c r="FH597" s="408">
        <v>0</v>
      </c>
      <c r="FI597" s="408">
        <v>0</v>
      </c>
    </row>
    <row r="598" spans="1:165">
      <c r="A598" s="408">
        <v>599</v>
      </c>
      <c r="B598" s="408" t="s">
        <v>2234</v>
      </c>
      <c r="C598" s="408" t="s">
        <v>2231</v>
      </c>
      <c r="D598" s="408" t="s">
        <v>2241</v>
      </c>
      <c r="E598" s="408" t="s">
        <v>974</v>
      </c>
      <c r="F598" s="408" t="s">
        <v>2248</v>
      </c>
      <c r="G598" s="408" t="s">
        <v>2249</v>
      </c>
      <c r="H598" s="408" t="s">
        <v>1322</v>
      </c>
      <c r="I598" s="408" t="s">
        <v>1322</v>
      </c>
      <c r="J598" s="408" t="s">
        <v>2232</v>
      </c>
      <c r="K598" s="828">
        <v>44713</v>
      </c>
      <c r="L598" s="408">
        <v>0</v>
      </c>
      <c r="M598" s="408">
        <v>0</v>
      </c>
      <c r="N598" s="408">
        <v>0</v>
      </c>
      <c r="O598" s="408">
        <v>0</v>
      </c>
      <c r="P598" s="408">
        <v>0</v>
      </c>
      <c r="Q598" s="408">
        <v>0</v>
      </c>
      <c r="R598" s="408"/>
      <c r="S598" s="408"/>
      <c r="T598" s="408"/>
      <c r="U598" s="408"/>
      <c r="V598" s="408"/>
      <c r="W598" s="408"/>
      <c r="X598" s="408"/>
      <c r="Y598" s="408"/>
      <c r="Z598" s="408"/>
      <c r="AA598" s="408">
        <v>0</v>
      </c>
      <c r="AB598" s="408"/>
      <c r="AC598" s="408"/>
      <c r="AD598" s="408"/>
      <c r="AE598" s="408"/>
      <c r="AF598" s="408"/>
      <c r="AG598" s="408"/>
      <c r="AH598" s="408"/>
      <c r="AI598" s="408"/>
      <c r="AJ598" s="408"/>
      <c r="AK598" s="408"/>
      <c r="AL598" s="408"/>
      <c r="AM598" s="408"/>
      <c r="AN598" s="408"/>
      <c r="AO598" s="408"/>
      <c r="AP598" s="408"/>
      <c r="AQ598" s="408"/>
      <c r="AR598" s="408"/>
      <c r="AS598" s="408"/>
      <c r="AT598" s="408"/>
      <c r="AU598" s="408"/>
      <c r="AV598" s="408"/>
      <c r="AW598" s="408"/>
      <c r="AX598" s="408"/>
      <c r="AY598" s="408"/>
      <c r="AZ598" s="408">
        <v>0</v>
      </c>
      <c r="BA598" s="408"/>
      <c r="BB598" s="408"/>
      <c r="BC598" s="408"/>
      <c r="BD598" s="408"/>
      <c r="BE598" s="408"/>
      <c r="BF598" s="408"/>
      <c r="BG598" s="408"/>
      <c r="BH598" s="408"/>
      <c r="BI598" s="408">
        <v>0.93</v>
      </c>
      <c r="BJ598" s="408">
        <v>4.24</v>
      </c>
      <c r="BK598" s="408">
        <v>7.13</v>
      </c>
      <c r="BL598" s="408">
        <v>1</v>
      </c>
      <c r="BM598" s="408"/>
      <c r="BN598" s="408"/>
      <c r="BO598" s="408"/>
      <c r="BP598" s="408"/>
      <c r="BQ598" s="408"/>
      <c r="BR598" s="408"/>
      <c r="BS598" s="408"/>
      <c r="BT598" s="408"/>
      <c r="BU598" s="408"/>
      <c r="BV598" s="408"/>
      <c r="BW598" s="408"/>
      <c r="BX598" s="408"/>
      <c r="BY598" s="408"/>
      <c r="BZ598" s="408"/>
      <c r="CA598" s="408"/>
      <c r="CB598" s="408"/>
      <c r="CC598" s="408"/>
      <c r="CD598" s="408"/>
      <c r="CE598" s="408"/>
      <c r="CF598" s="408"/>
      <c r="CG598" s="408"/>
      <c r="CH598" s="408"/>
      <c r="CI598" s="408"/>
      <c r="CJ598" s="408">
        <v>-0.03</v>
      </c>
      <c r="CK598" s="408"/>
      <c r="CL598" s="408"/>
      <c r="CM598" s="408"/>
      <c r="CN598" s="408"/>
      <c r="CO598" s="408">
        <v>0</v>
      </c>
      <c r="CP598" s="408">
        <v>0</v>
      </c>
      <c r="CQ598" s="408">
        <v>30</v>
      </c>
      <c r="CR598" s="408"/>
      <c r="CS598" s="408"/>
      <c r="CT598" s="408"/>
      <c r="CU598" s="408"/>
      <c r="CV598" s="408"/>
      <c r="CW598" s="408"/>
      <c r="CX598" s="408"/>
      <c r="CY598" s="408"/>
      <c r="CZ598" s="408"/>
      <c r="DA598" s="408"/>
      <c r="DB598" s="408"/>
      <c r="DC598" s="408"/>
      <c r="DD598" s="408"/>
      <c r="DE598" s="408"/>
      <c r="DF598" s="408"/>
      <c r="DG598" s="408"/>
      <c r="DH598" s="408"/>
      <c r="DI598" s="408"/>
      <c r="DJ598" s="408"/>
      <c r="DK598" s="408">
        <v>0</v>
      </c>
      <c r="DL598" s="408"/>
      <c r="DM598" s="408"/>
      <c r="DN598" s="408"/>
      <c r="DO598" s="408"/>
      <c r="DP598" s="408"/>
      <c r="DQ598" s="408"/>
      <c r="DR598" s="408"/>
      <c r="DS598" s="408"/>
      <c r="DT598" s="408"/>
      <c r="DU598" s="408"/>
      <c r="DV598" s="408"/>
      <c r="DW598" s="408"/>
      <c r="DX598" s="408"/>
      <c r="DY598" s="408"/>
      <c r="DZ598" s="234"/>
      <c r="EA598" s="408"/>
      <c r="EB598" s="408"/>
      <c r="EC598" s="408"/>
      <c r="ED598" s="408"/>
      <c r="EE598" s="408"/>
      <c r="EF598" s="408"/>
      <c r="EG598" s="408"/>
      <c r="EH598" s="408"/>
      <c r="EI598" s="408"/>
      <c r="EJ598" s="408"/>
      <c r="EK598" s="408"/>
      <c r="EL598" s="408"/>
      <c r="EM598" s="408"/>
      <c r="EN598" s="408"/>
      <c r="EO598" s="408"/>
      <c r="EP598" s="408"/>
      <c r="EQ598" s="408"/>
      <c r="ER598" s="408"/>
      <c r="ES598" s="408"/>
      <c r="ET598" s="408"/>
      <c r="EU598" s="408"/>
      <c r="EV598" s="408">
        <v>242</v>
      </c>
      <c r="EW598" s="408"/>
      <c r="EX598" s="408"/>
      <c r="EY598" s="408"/>
      <c r="EZ598" s="408"/>
      <c r="FA598" s="408">
        <v>0</v>
      </c>
      <c r="FB598" s="408"/>
      <c r="FC598" s="408"/>
      <c r="FD598" s="408"/>
      <c r="FE598" s="408"/>
      <c r="FF598" s="408">
        <v>0</v>
      </c>
      <c r="FG598" s="408">
        <v>0</v>
      </c>
      <c r="FH598" s="408">
        <v>0</v>
      </c>
      <c r="FI598" s="408">
        <v>0</v>
      </c>
    </row>
    <row r="599" spans="1:165">
      <c r="A599" s="408">
        <v>600</v>
      </c>
      <c r="B599" s="408" t="s">
        <v>1036</v>
      </c>
      <c r="C599" s="408" t="s">
        <v>2231</v>
      </c>
      <c r="D599" s="408" t="s">
        <v>2241</v>
      </c>
      <c r="E599" s="408" t="s">
        <v>974</v>
      </c>
      <c r="F599" s="408" t="s">
        <v>2248</v>
      </c>
      <c r="G599" s="408" t="s">
        <v>2249</v>
      </c>
      <c r="H599" s="408" t="s">
        <v>1322</v>
      </c>
      <c r="I599" s="408" t="s">
        <v>1322</v>
      </c>
      <c r="J599" s="408" t="s">
        <v>2232</v>
      </c>
      <c r="K599" s="828">
        <v>44713</v>
      </c>
      <c r="L599" s="408">
        <v>0</v>
      </c>
      <c r="M599" s="408">
        <v>0</v>
      </c>
      <c r="N599" s="408">
        <v>14.558999999999999</v>
      </c>
      <c r="O599" s="408">
        <v>14.558999999999999</v>
      </c>
      <c r="P599" s="408">
        <v>14.558999999999999</v>
      </c>
      <c r="Q599" s="408">
        <v>14.558999999999999</v>
      </c>
      <c r="R599" s="408"/>
      <c r="S599" s="408">
        <v>571.87</v>
      </c>
      <c r="T599" s="408">
        <v>216.76</v>
      </c>
      <c r="U599" s="408"/>
      <c r="V599" s="408">
        <v>11481.66417</v>
      </c>
      <c r="W599" s="408">
        <v>11481.66417</v>
      </c>
      <c r="X599" s="408">
        <v>7483.4715899999992</v>
      </c>
      <c r="Y599" s="408">
        <v>0</v>
      </c>
      <c r="Z599" s="408">
        <v>882.42997354416809</v>
      </c>
      <c r="AA599" s="408">
        <v>0</v>
      </c>
      <c r="AB599" s="408">
        <v>0</v>
      </c>
      <c r="AC599" s="408">
        <v>0</v>
      </c>
      <c r="AD599" s="408">
        <v>11.966241551138893</v>
      </c>
      <c r="AE599" s="408">
        <v>6207.7198338676617</v>
      </c>
      <c r="AF599" s="408">
        <v>3109.8242504913164</v>
      </c>
      <c r="AG599" s="408">
        <v>45.968655558009907</v>
      </c>
      <c r="AH599" s="408">
        <v>0</v>
      </c>
      <c r="AI599" s="408">
        <v>0</v>
      </c>
      <c r="AJ599" s="408">
        <v>0</v>
      </c>
      <c r="AK599" s="408">
        <v>0</v>
      </c>
      <c r="AL599" s="408">
        <v>136.47073243511727</v>
      </c>
      <c r="AM599" s="408"/>
      <c r="AN599" s="408">
        <v>27.930998268062535</v>
      </c>
      <c r="AO599" s="408">
        <v>129.30863752918822</v>
      </c>
      <c r="AP599" s="408">
        <v>405.13482336879872</v>
      </c>
      <c r="AQ599" s="408">
        <v>0</v>
      </c>
      <c r="AR599" s="408">
        <v>0</v>
      </c>
      <c r="AS599" s="408">
        <v>0</v>
      </c>
      <c r="AT599" s="408">
        <v>0</v>
      </c>
      <c r="AU599" s="408">
        <v>0</v>
      </c>
      <c r="AV599" s="408">
        <v>0</v>
      </c>
      <c r="AW599" s="408">
        <v>0</v>
      </c>
      <c r="AX599" s="408">
        <v>0</v>
      </c>
      <c r="AY599" s="408">
        <v>0</v>
      </c>
      <c r="AZ599" s="408">
        <v>0</v>
      </c>
      <c r="BA599" s="408"/>
      <c r="BB599" s="408">
        <v>0</v>
      </c>
      <c r="BC599" s="408">
        <v>0</v>
      </c>
      <c r="BD599" s="408">
        <v>8.6636186249711571</v>
      </c>
      <c r="BE599" s="408">
        <v>0</v>
      </c>
      <c r="BF599" s="408">
        <v>0</v>
      </c>
      <c r="BG599" s="408">
        <v>516.23647927486513</v>
      </c>
      <c r="BH599" s="408">
        <v>0</v>
      </c>
      <c r="BI599" s="408">
        <v>0</v>
      </c>
      <c r="BJ599" s="408">
        <v>0</v>
      </c>
      <c r="BK599" s="408">
        <v>0</v>
      </c>
      <c r="BL599" s="408">
        <v>0</v>
      </c>
      <c r="BM599" s="408"/>
      <c r="BN599" s="408"/>
      <c r="BO599" s="408"/>
      <c r="BP599" s="408"/>
      <c r="BQ599" s="408"/>
      <c r="BR599" s="408">
        <v>897.99911999999972</v>
      </c>
      <c r="BS599" s="408"/>
      <c r="BT599" s="408"/>
      <c r="BU599" s="408"/>
      <c r="BV599" s="408">
        <v>3634.7243483911525</v>
      </c>
      <c r="BW599" s="408"/>
      <c r="BX599" s="408"/>
      <c r="BY599" s="408"/>
      <c r="BZ599" s="408"/>
      <c r="CA599" s="408"/>
      <c r="CB599" s="408"/>
      <c r="CC599" s="408"/>
      <c r="CD599" s="408"/>
      <c r="CE599" s="408"/>
      <c r="CF599" s="408"/>
      <c r="CG599" s="408"/>
      <c r="CH599" s="408"/>
      <c r="CI599" s="408">
        <v>6585.9248000000007</v>
      </c>
      <c r="CJ599" s="408">
        <v>-3518.0511999999999</v>
      </c>
      <c r="CK599" s="408"/>
      <c r="CL599" s="408"/>
      <c r="CM599" s="408"/>
      <c r="CN599" s="408"/>
      <c r="CO599" s="408">
        <v>-4473.2527499999997</v>
      </c>
      <c r="CP599" s="408">
        <v>475.06016999999991</v>
      </c>
      <c r="CQ599" s="408">
        <v>30</v>
      </c>
      <c r="CR599" s="408">
        <v>562.70980281926404</v>
      </c>
      <c r="CS599" s="408">
        <v>13.338383050190629</v>
      </c>
      <c r="CT599" s="408">
        <v>41.790274527055431</v>
      </c>
      <c r="CU599" s="408">
        <v>0</v>
      </c>
      <c r="CV599" s="408">
        <v>0</v>
      </c>
      <c r="CW599" s="408">
        <v>0</v>
      </c>
      <c r="CX599" s="408">
        <v>0</v>
      </c>
      <c r="CY599" s="408">
        <v>0</v>
      </c>
      <c r="CZ599" s="408">
        <v>1.1699999787973585</v>
      </c>
      <c r="DA599" s="408">
        <v>0</v>
      </c>
      <c r="DB599" s="408">
        <v>0</v>
      </c>
      <c r="DC599" s="408">
        <v>475.12122350694744</v>
      </c>
      <c r="DD599" s="408">
        <v>0</v>
      </c>
      <c r="DE599" s="408">
        <v>0</v>
      </c>
      <c r="DF599" s="408">
        <v>1.3236339900698901</v>
      </c>
      <c r="DG599" s="408">
        <v>78.870986877553719</v>
      </c>
      <c r="DH599" s="408">
        <v>0</v>
      </c>
      <c r="DI599" s="408">
        <v>-42.160029456711868</v>
      </c>
      <c r="DJ599" s="408"/>
      <c r="DK599" s="408">
        <v>0</v>
      </c>
      <c r="DL599" s="408">
        <v>0</v>
      </c>
      <c r="DM599" s="408">
        <v>0</v>
      </c>
      <c r="DN599" s="408">
        <v>0</v>
      </c>
      <c r="DO599" s="408">
        <v>-5.5298772049043237</v>
      </c>
      <c r="DP599" s="408">
        <v>-1.2147924497335651</v>
      </c>
      <c r="DQ599" s="408">
        <v>0</v>
      </c>
      <c r="DR599" s="408">
        <v>0</v>
      </c>
      <c r="DS599" s="408"/>
      <c r="DT599" s="408"/>
      <c r="DU599" s="408"/>
      <c r="DV599" s="408">
        <v>6207.7198338676617</v>
      </c>
      <c r="DW599" s="408">
        <v>0</v>
      </c>
      <c r="DX599" s="408">
        <v>0</v>
      </c>
      <c r="DY599" s="408">
        <v>-4473.2527500000006</v>
      </c>
      <c r="DZ599" s="234">
        <v>475.06016999999974</v>
      </c>
      <c r="EA599" s="408">
        <v>0</v>
      </c>
      <c r="EB599" s="408">
        <v>0</v>
      </c>
      <c r="EC599" s="408">
        <v>-4560.8727057763781</v>
      </c>
      <c r="ED599" s="408">
        <v>0</v>
      </c>
      <c r="EE599" s="408">
        <v>0</v>
      </c>
      <c r="EF599" s="408">
        <v>0</v>
      </c>
      <c r="EG599" s="408">
        <v>0</v>
      </c>
      <c r="EH599" s="408">
        <v>0</v>
      </c>
      <c r="EI599" s="408">
        <v>0</v>
      </c>
      <c r="EJ599" s="408">
        <v>0</v>
      </c>
      <c r="EK599" s="408">
        <v>0</v>
      </c>
      <c r="EL599" s="408">
        <v>0</v>
      </c>
      <c r="EM599" s="408">
        <v>0</v>
      </c>
      <c r="EN599" s="408">
        <v>0</v>
      </c>
      <c r="EO599" s="408">
        <v>0</v>
      </c>
      <c r="EP599" s="408">
        <v>0</v>
      </c>
      <c r="EQ599" s="408">
        <v>0</v>
      </c>
      <c r="ER599" s="408">
        <v>0</v>
      </c>
      <c r="ES599" s="408">
        <v>0</v>
      </c>
      <c r="ET599" s="408">
        <v>0</v>
      </c>
      <c r="EU599" s="408">
        <v>0</v>
      </c>
      <c r="EV599" s="408">
        <v>242</v>
      </c>
      <c r="EW599" s="408">
        <v>0</v>
      </c>
      <c r="EX599" s="408">
        <v>0</v>
      </c>
      <c r="EY599" s="408">
        <v>0</v>
      </c>
      <c r="EZ599" s="408"/>
      <c r="FA599" s="408">
        <v>0</v>
      </c>
      <c r="FB599" s="408"/>
      <c r="FC599" s="408"/>
      <c r="FD599" s="408"/>
      <c r="FE599" s="408"/>
      <c r="FF599" s="408">
        <v>0</v>
      </c>
      <c r="FG599" s="408">
        <v>0</v>
      </c>
      <c r="FH599" s="408">
        <v>0</v>
      </c>
      <c r="FI599" s="408">
        <v>0</v>
      </c>
    </row>
    <row r="600" spans="1:165">
      <c r="A600" s="408">
        <v>601</v>
      </c>
      <c r="B600" s="408" t="s">
        <v>2234</v>
      </c>
      <c r="C600" s="408" t="s">
        <v>2231</v>
      </c>
      <c r="D600" s="408" t="s">
        <v>2241</v>
      </c>
      <c r="E600" s="408" t="s">
        <v>974</v>
      </c>
      <c r="F600" s="408" t="s">
        <v>2248</v>
      </c>
      <c r="G600" s="408" t="s">
        <v>2249</v>
      </c>
      <c r="H600" s="408" t="s">
        <v>1322</v>
      </c>
      <c r="I600" s="408" t="s">
        <v>1322</v>
      </c>
      <c r="J600" s="408" t="s">
        <v>2232</v>
      </c>
      <c r="K600" s="828">
        <v>44713</v>
      </c>
      <c r="L600" s="408">
        <v>0</v>
      </c>
      <c r="M600" s="408">
        <v>0</v>
      </c>
      <c r="N600" s="408">
        <v>0.435</v>
      </c>
      <c r="O600" s="408">
        <v>0.435</v>
      </c>
      <c r="P600" s="408">
        <v>0.435</v>
      </c>
      <c r="Q600" s="408">
        <v>0.435</v>
      </c>
      <c r="R600" s="408"/>
      <c r="S600" s="408">
        <v>571.87</v>
      </c>
      <c r="T600" s="408">
        <v>216.76</v>
      </c>
      <c r="U600" s="408"/>
      <c r="V600" s="408">
        <v>343.05405000000002</v>
      </c>
      <c r="W600" s="408">
        <v>343.05405000000002</v>
      </c>
      <c r="X600" s="408">
        <v>223.59434999999999</v>
      </c>
      <c r="Y600" s="408">
        <v>0</v>
      </c>
      <c r="Z600" s="408">
        <v>26.365618414157098</v>
      </c>
      <c r="AA600" s="408">
        <v>0</v>
      </c>
      <c r="AB600" s="408">
        <v>0</v>
      </c>
      <c r="AC600" s="408">
        <v>0</v>
      </c>
      <c r="AD600" s="408">
        <v>0.35753245928603739</v>
      </c>
      <c r="AE600" s="408">
        <v>185.47689592227715</v>
      </c>
      <c r="AF600" s="408">
        <v>92.916652858281665</v>
      </c>
      <c r="AG600" s="408">
        <v>1.3734710603567766</v>
      </c>
      <c r="AH600" s="408">
        <v>0</v>
      </c>
      <c r="AI600" s="408">
        <v>0</v>
      </c>
      <c r="AJ600" s="408">
        <v>0</v>
      </c>
      <c r="AK600" s="408">
        <v>0</v>
      </c>
      <c r="AL600" s="408">
        <v>4.0775306414778498</v>
      </c>
      <c r="AM600" s="408"/>
      <c r="AN600" s="408">
        <v>0.83453425692748151</v>
      </c>
      <c r="AO600" s="408">
        <v>3.863538520859735</v>
      </c>
      <c r="AP600" s="408">
        <v>12.104790725010471</v>
      </c>
      <c r="AQ600" s="408">
        <v>0</v>
      </c>
      <c r="AR600" s="408">
        <v>0</v>
      </c>
      <c r="AS600" s="408">
        <v>0</v>
      </c>
      <c r="AT600" s="408">
        <v>0</v>
      </c>
      <c r="AU600" s="408">
        <v>0</v>
      </c>
      <c r="AV600" s="408">
        <v>0</v>
      </c>
      <c r="AW600" s="408">
        <v>0</v>
      </c>
      <c r="AX600" s="408">
        <v>0</v>
      </c>
      <c r="AY600" s="408">
        <v>0</v>
      </c>
      <c r="AZ600" s="408">
        <v>0</v>
      </c>
      <c r="BA600" s="408"/>
      <c r="BB600" s="408">
        <v>0</v>
      </c>
      <c r="BC600" s="408">
        <v>0</v>
      </c>
      <c r="BD600" s="408">
        <v>0.25885528551840464</v>
      </c>
      <c r="BE600" s="408">
        <v>0</v>
      </c>
      <c r="BF600" s="408">
        <v>0</v>
      </c>
      <c r="BG600" s="408">
        <v>15.424333297930239</v>
      </c>
      <c r="BH600" s="408">
        <v>0</v>
      </c>
      <c r="BI600" s="408">
        <v>0</v>
      </c>
      <c r="BJ600" s="408">
        <v>0</v>
      </c>
      <c r="BK600" s="408">
        <v>0</v>
      </c>
      <c r="BL600" s="408">
        <v>0</v>
      </c>
      <c r="BM600" s="408"/>
      <c r="BN600" s="408"/>
      <c r="BO600" s="408"/>
      <c r="BP600" s="408"/>
      <c r="BQ600" s="408"/>
      <c r="BR600" s="408">
        <v>26.830799999999989</v>
      </c>
      <c r="BS600" s="408"/>
      <c r="BT600" s="408"/>
      <c r="BU600" s="408"/>
      <c r="BV600" s="408">
        <v>108.59984144173032</v>
      </c>
      <c r="BW600" s="408"/>
      <c r="BX600" s="408"/>
      <c r="BY600" s="408"/>
      <c r="BZ600" s="408"/>
      <c r="CA600" s="408"/>
      <c r="CB600" s="408"/>
      <c r="CC600" s="408"/>
      <c r="CD600" s="408"/>
      <c r="CE600" s="408"/>
      <c r="CF600" s="408"/>
      <c r="CG600" s="408"/>
      <c r="CH600" s="408"/>
      <c r="CI600" s="408">
        <v>199.02520000000001</v>
      </c>
      <c r="CJ600" s="408">
        <v>-102.89479999999995</v>
      </c>
      <c r="CK600" s="408"/>
      <c r="CL600" s="408"/>
      <c r="CM600" s="408"/>
      <c r="CN600" s="408"/>
      <c r="CO600" s="408">
        <v>-133.65375</v>
      </c>
      <c r="CP600" s="408">
        <v>14.194049999999997</v>
      </c>
      <c r="CQ600" s="408">
        <v>30</v>
      </c>
      <c r="CR600" s="408">
        <v>16.812883043229618</v>
      </c>
      <c r="CS600" s="408">
        <v>0.39852988713736703</v>
      </c>
      <c r="CT600" s="408">
        <v>1.2486276131100436</v>
      </c>
      <c r="CU600" s="408">
        <v>0</v>
      </c>
      <c r="CV600" s="408">
        <v>0</v>
      </c>
      <c r="CW600" s="408">
        <v>0</v>
      </c>
      <c r="CX600" s="408">
        <v>0</v>
      </c>
      <c r="CY600" s="408">
        <v>0</v>
      </c>
      <c r="CZ600" s="408">
        <v>3.4957757454279259E-2</v>
      </c>
      <c r="DA600" s="408">
        <v>0</v>
      </c>
      <c r="DB600" s="408">
        <v>0</v>
      </c>
      <c r="DC600" s="408">
        <v>14.195874182672028</v>
      </c>
      <c r="DD600" s="408">
        <v>0</v>
      </c>
      <c r="DE600" s="408">
        <v>0</v>
      </c>
      <c r="DF600" s="408">
        <v>3.9548099847544649E-2</v>
      </c>
      <c r="DG600" s="408">
        <v>2.3565409225726945</v>
      </c>
      <c r="DH600" s="408">
        <v>0</v>
      </c>
      <c r="DI600" s="408">
        <v>-1.2596753083089283</v>
      </c>
      <c r="DJ600" s="408"/>
      <c r="DK600" s="408">
        <v>0</v>
      </c>
      <c r="DL600" s="408">
        <v>0</v>
      </c>
      <c r="DM600" s="408">
        <v>0</v>
      </c>
      <c r="DN600" s="408">
        <v>0</v>
      </c>
      <c r="DO600" s="408">
        <v>-0.1652240252856223</v>
      </c>
      <c r="DP600" s="408">
        <v>-3.6296085969785064E-2</v>
      </c>
      <c r="DQ600" s="408">
        <v>0</v>
      </c>
      <c r="DR600" s="408">
        <v>0</v>
      </c>
      <c r="DS600" s="408"/>
      <c r="DT600" s="408"/>
      <c r="DU600" s="408"/>
      <c r="DV600" s="408">
        <v>185.47689592227715</v>
      </c>
      <c r="DW600" s="408">
        <v>0</v>
      </c>
      <c r="DX600" s="408">
        <v>0</v>
      </c>
      <c r="DY600" s="408">
        <v>-133.65375</v>
      </c>
      <c r="DZ600" s="234">
        <v>14.19404999999999</v>
      </c>
      <c r="EA600" s="408">
        <v>0</v>
      </c>
      <c r="EB600" s="408">
        <v>0</v>
      </c>
      <c r="EC600" s="408">
        <v>-136.27169633990829</v>
      </c>
      <c r="ED600" s="408">
        <v>0</v>
      </c>
      <c r="EE600" s="408">
        <v>0</v>
      </c>
      <c r="EF600" s="408">
        <v>0</v>
      </c>
      <c r="EG600" s="408">
        <v>0</v>
      </c>
      <c r="EH600" s="408">
        <v>0</v>
      </c>
      <c r="EI600" s="408">
        <v>0</v>
      </c>
      <c r="EJ600" s="408">
        <v>0</v>
      </c>
      <c r="EK600" s="408">
        <v>0</v>
      </c>
      <c r="EL600" s="408">
        <v>0</v>
      </c>
      <c r="EM600" s="408">
        <v>0</v>
      </c>
      <c r="EN600" s="408">
        <v>0</v>
      </c>
      <c r="EO600" s="408">
        <v>0</v>
      </c>
      <c r="EP600" s="408">
        <v>0</v>
      </c>
      <c r="EQ600" s="408">
        <v>0</v>
      </c>
      <c r="ER600" s="408">
        <v>0</v>
      </c>
      <c r="ES600" s="408">
        <v>0</v>
      </c>
      <c r="ET600" s="408">
        <v>0</v>
      </c>
      <c r="EU600" s="408">
        <v>0</v>
      </c>
      <c r="EV600" s="408">
        <v>242</v>
      </c>
      <c r="EW600" s="408">
        <v>0</v>
      </c>
      <c r="EX600" s="408">
        <v>0</v>
      </c>
      <c r="EY600" s="408">
        <v>0</v>
      </c>
      <c r="EZ600" s="408"/>
      <c r="FA600" s="408">
        <v>0</v>
      </c>
      <c r="FB600" s="408"/>
      <c r="FC600" s="408"/>
      <c r="FD600" s="408"/>
      <c r="FE600" s="408"/>
      <c r="FF600" s="408">
        <v>0</v>
      </c>
      <c r="FG600" s="408">
        <v>0</v>
      </c>
      <c r="FH600" s="408">
        <v>0</v>
      </c>
      <c r="FI600" s="408">
        <v>0</v>
      </c>
    </row>
    <row r="601" spans="1:165">
      <c r="A601" s="408">
        <v>602</v>
      </c>
      <c r="B601" s="408" t="s">
        <v>1036</v>
      </c>
      <c r="C601" s="408" t="s">
        <v>2231</v>
      </c>
      <c r="D601" s="408" t="s">
        <v>2241</v>
      </c>
      <c r="E601" s="408" t="s">
        <v>974</v>
      </c>
      <c r="F601" s="408" t="s">
        <v>2248</v>
      </c>
      <c r="G601" s="408" t="s">
        <v>2250</v>
      </c>
      <c r="H601" s="408" t="s">
        <v>1322</v>
      </c>
      <c r="I601" s="408" t="s">
        <v>1322</v>
      </c>
      <c r="J601" s="408" t="s">
        <v>2232</v>
      </c>
      <c r="K601" s="828">
        <v>44713</v>
      </c>
      <c r="L601" s="408">
        <v>0</v>
      </c>
      <c r="M601" s="408">
        <v>0</v>
      </c>
      <c r="N601" s="408">
        <v>5.1970000000000001</v>
      </c>
      <c r="O601" s="408">
        <v>2.0788000000000002</v>
      </c>
      <c r="P601" s="408">
        <v>5.1970000000000001</v>
      </c>
      <c r="Q601" s="408">
        <v>2.0788000000000002</v>
      </c>
      <c r="R601" s="408"/>
      <c r="S601" s="408">
        <v>571.87</v>
      </c>
      <c r="T601" s="408">
        <v>216.76</v>
      </c>
      <c r="U601" s="408"/>
      <c r="V601" s="408">
        <v>4098.5101100000002</v>
      </c>
      <c r="W601" s="408">
        <v>4098.5101100000002</v>
      </c>
      <c r="X601" s="408">
        <v>2671.3099700000002</v>
      </c>
      <c r="Y601" s="408">
        <v>0</v>
      </c>
      <c r="Z601" s="408">
        <v>314.99337677787224</v>
      </c>
      <c r="AA601" s="408">
        <v>0</v>
      </c>
      <c r="AB601" s="408">
        <v>0</v>
      </c>
      <c r="AC601" s="408">
        <v>0</v>
      </c>
      <c r="AD601" s="408">
        <v>4.2714854963437618</v>
      </c>
      <c r="AE601" s="408">
        <v>2215.9159266852284</v>
      </c>
      <c r="AF601" s="408">
        <v>1110.0869997804364</v>
      </c>
      <c r="AG601" s="408">
        <v>16.409032415342917</v>
      </c>
      <c r="AH601" s="408">
        <v>0</v>
      </c>
      <c r="AI601" s="408">
        <v>0</v>
      </c>
      <c r="AJ601" s="408">
        <v>0</v>
      </c>
      <c r="AK601" s="408">
        <v>0</v>
      </c>
      <c r="AL601" s="408">
        <v>48.714774123587091</v>
      </c>
      <c r="AM601" s="408"/>
      <c r="AN601" s="408">
        <v>9.9702862833382095</v>
      </c>
      <c r="AO601" s="408">
        <v>46.158183202087457</v>
      </c>
      <c r="AP601" s="408">
        <v>144.61746528248142</v>
      </c>
      <c r="AQ601" s="408">
        <v>0</v>
      </c>
      <c r="AR601" s="408">
        <v>0</v>
      </c>
      <c r="AS601" s="408">
        <v>0</v>
      </c>
      <c r="AT601" s="408">
        <v>0</v>
      </c>
      <c r="AU601" s="408">
        <v>0</v>
      </c>
      <c r="AV601" s="408">
        <v>0</v>
      </c>
      <c r="AW601" s="408">
        <v>0</v>
      </c>
      <c r="AX601" s="408">
        <v>0</v>
      </c>
      <c r="AY601" s="408">
        <v>0</v>
      </c>
      <c r="AZ601" s="408">
        <v>0</v>
      </c>
      <c r="BA601" s="408"/>
      <c r="BB601" s="408">
        <v>0</v>
      </c>
      <c r="BC601" s="408">
        <v>0</v>
      </c>
      <c r="BD601" s="408">
        <v>3.0925768249175838</v>
      </c>
      <c r="BE601" s="408">
        <v>0</v>
      </c>
      <c r="BF601" s="408">
        <v>0</v>
      </c>
      <c r="BG601" s="408">
        <v>184.27646011343322</v>
      </c>
      <c r="BH601" s="408">
        <v>0</v>
      </c>
      <c r="BI601" s="408">
        <v>0</v>
      </c>
      <c r="BJ601" s="408">
        <v>0</v>
      </c>
      <c r="BK601" s="408">
        <v>0</v>
      </c>
      <c r="BL601" s="408">
        <v>0</v>
      </c>
      <c r="BM601" s="408"/>
      <c r="BN601" s="408"/>
      <c r="BO601" s="408"/>
      <c r="BP601" s="408"/>
      <c r="BQ601" s="408"/>
      <c r="BR601" s="408"/>
      <c r="BS601" s="408">
        <v>1731.0063660000001</v>
      </c>
      <c r="BT601" s="408"/>
      <c r="BU601" s="408"/>
      <c r="BV601" s="408">
        <v>1297.4560367187871</v>
      </c>
      <c r="BW601" s="408"/>
      <c r="BX601" s="408"/>
      <c r="BY601" s="408"/>
      <c r="BZ601" s="408"/>
      <c r="CA601" s="408"/>
      <c r="CB601" s="408"/>
      <c r="CC601" s="408"/>
      <c r="CD601" s="408"/>
      <c r="CE601" s="408"/>
      <c r="CF601" s="408"/>
      <c r="CG601" s="408"/>
      <c r="CH601" s="408"/>
      <c r="CI601" s="408">
        <v>940.84640000000013</v>
      </c>
      <c r="CJ601" s="408">
        <v>-501.87080000000014</v>
      </c>
      <c r="CK601" s="408"/>
      <c r="CL601" s="408"/>
      <c r="CM601" s="408"/>
      <c r="CN601" s="408"/>
      <c r="CO601" s="408">
        <v>-1596.7782500000001</v>
      </c>
      <c r="CP601" s="408">
        <v>169.57810999999998</v>
      </c>
      <c r="CQ601" s="408">
        <v>30</v>
      </c>
      <c r="CR601" s="408">
        <v>200.86563948428557</v>
      </c>
      <c r="CS601" s="408">
        <v>4.7612869504664204</v>
      </c>
      <c r="CT601" s="408">
        <v>14.917511966282518</v>
      </c>
      <c r="CU601" s="408">
        <v>0</v>
      </c>
      <c r="CV601" s="408">
        <v>0</v>
      </c>
      <c r="CW601" s="408">
        <v>0</v>
      </c>
      <c r="CX601" s="408">
        <v>0</v>
      </c>
      <c r="CY601" s="408">
        <v>0</v>
      </c>
      <c r="CZ601" s="408">
        <v>0.4176447482526191</v>
      </c>
      <c r="DA601" s="408">
        <v>0</v>
      </c>
      <c r="DB601" s="408">
        <v>0</v>
      </c>
      <c r="DC601" s="408">
        <v>169.59990374102654</v>
      </c>
      <c r="DD601" s="408">
        <v>0</v>
      </c>
      <c r="DE601" s="408">
        <v>0</v>
      </c>
      <c r="DF601" s="408">
        <v>0.47248614921307919</v>
      </c>
      <c r="DG601" s="408">
        <v>28.153892355425967</v>
      </c>
      <c r="DH601" s="408">
        <v>0</v>
      </c>
      <c r="DI601" s="408">
        <v>-15.049500177658615</v>
      </c>
      <c r="DJ601" s="408"/>
      <c r="DK601" s="408">
        <v>0</v>
      </c>
      <c r="DL601" s="408">
        <v>0</v>
      </c>
      <c r="DM601" s="408">
        <v>0</v>
      </c>
      <c r="DN601" s="408">
        <v>0</v>
      </c>
      <c r="DO601" s="408">
        <v>-1.973952320481331</v>
      </c>
      <c r="DP601" s="408">
        <v>-0.43363392824131708</v>
      </c>
      <c r="DQ601" s="408">
        <v>0</v>
      </c>
      <c r="DR601" s="408">
        <v>0</v>
      </c>
      <c r="DS601" s="408"/>
      <c r="DT601" s="408"/>
      <c r="DU601" s="408"/>
      <c r="DV601" s="408">
        <v>2215.9159266852284</v>
      </c>
      <c r="DW601" s="408">
        <v>0</v>
      </c>
      <c r="DX601" s="408">
        <v>0</v>
      </c>
      <c r="DY601" s="408">
        <v>-1596.7782499999998</v>
      </c>
      <c r="DZ601" s="234">
        <v>169.57810999999992</v>
      </c>
      <c r="EA601" s="408">
        <v>0</v>
      </c>
      <c r="EB601" s="408">
        <v>0</v>
      </c>
      <c r="EC601" s="408">
        <v>-1628.055185927594</v>
      </c>
      <c r="ED601" s="408">
        <v>0</v>
      </c>
      <c r="EE601" s="408">
        <v>0</v>
      </c>
      <c r="EF601" s="408">
        <v>0</v>
      </c>
      <c r="EG601" s="408">
        <v>0</v>
      </c>
      <c r="EH601" s="408">
        <v>0</v>
      </c>
      <c r="EI601" s="408">
        <v>0</v>
      </c>
      <c r="EJ601" s="408">
        <v>0</v>
      </c>
      <c r="EK601" s="408">
        <v>0</v>
      </c>
      <c r="EL601" s="408">
        <v>0</v>
      </c>
      <c r="EM601" s="408">
        <v>0</v>
      </c>
      <c r="EN601" s="408">
        <v>0</v>
      </c>
      <c r="EO601" s="408">
        <v>0</v>
      </c>
      <c r="EP601" s="408">
        <v>0</v>
      </c>
      <c r="EQ601" s="408">
        <v>0</v>
      </c>
      <c r="ER601" s="408">
        <v>0</v>
      </c>
      <c r="ES601" s="408">
        <v>0</v>
      </c>
      <c r="ET601" s="408">
        <v>0</v>
      </c>
      <c r="EU601" s="408">
        <v>0</v>
      </c>
      <c r="EV601" s="408">
        <v>242</v>
      </c>
      <c r="EW601" s="408">
        <v>0</v>
      </c>
      <c r="EX601" s="408">
        <v>0</v>
      </c>
      <c r="EY601" s="408">
        <v>0</v>
      </c>
      <c r="EZ601" s="408"/>
      <c r="FA601" s="408">
        <v>0</v>
      </c>
      <c r="FB601" s="408"/>
      <c r="FC601" s="408"/>
      <c r="FD601" s="408"/>
      <c r="FE601" s="408"/>
      <c r="FF601" s="408">
        <v>0</v>
      </c>
      <c r="FG601" s="408">
        <v>0</v>
      </c>
      <c r="FH601" s="408">
        <v>0</v>
      </c>
      <c r="FI601" s="408">
        <v>0</v>
      </c>
    </row>
    <row r="602" spans="1:165">
      <c r="A602" s="408">
        <v>603</v>
      </c>
      <c r="B602" s="408" t="s">
        <v>2234</v>
      </c>
      <c r="C602" s="408" t="s">
        <v>2231</v>
      </c>
      <c r="D602" s="408" t="s">
        <v>2241</v>
      </c>
      <c r="E602" s="408" t="s">
        <v>974</v>
      </c>
      <c r="F602" s="408" t="s">
        <v>2248</v>
      </c>
      <c r="G602" s="408" t="s">
        <v>2250</v>
      </c>
      <c r="H602" s="408" t="s">
        <v>1322</v>
      </c>
      <c r="I602" s="408" t="s">
        <v>1322</v>
      </c>
      <c r="J602" s="408" t="s">
        <v>2232</v>
      </c>
      <c r="K602" s="828">
        <v>44713</v>
      </c>
      <c r="L602" s="408">
        <v>0</v>
      </c>
      <c r="M602" s="408">
        <v>0</v>
      </c>
      <c r="N602" s="408">
        <v>0.51600000000000001</v>
      </c>
      <c r="O602" s="408">
        <v>0.51600000000000001</v>
      </c>
      <c r="P602" s="408">
        <v>0.51600000000000001</v>
      </c>
      <c r="Q602" s="408">
        <v>0.51600000000000001</v>
      </c>
      <c r="R602" s="408"/>
      <c r="S602" s="408">
        <v>571.87</v>
      </c>
      <c r="T602" s="408">
        <v>216.76</v>
      </c>
      <c r="U602" s="408"/>
      <c r="V602" s="408">
        <v>406.93308000000002</v>
      </c>
      <c r="W602" s="408">
        <v>406.93308000000002</v>
      </c>
      <c r="X602" s="408">
        <v>265.22915999999998</v>
      </c>
      <c r="Y602" s="408">
        <v>0</v>
      </c>
      <c r="Z602" s="408">
        <v>31.275078394724279</v>
      </c>
      <c r="AA602" s="408">
        <v>0</v>
      </c>
      <c r="AB602" s="408">
        <v>0</v>
      </c>
      <c r="AC602" s="408">
        <v>0</v>
      </c>
      <c r="AD602" s="408">
        <v>0.42410746894619611</v>
      </c>
      <c r="AE602" s="408">
        <v>220.0139730940115</v>
      </c>
      <c r="AF602" s="408">
        <v>110.21837442499618</v>
      </c>
      <c r="AG602" s="408">
        <v>1.6292208440094178</v>
      </c>
      <c r="AH602" s="408">
        <v>0</v>
      </c>
      <c r="AI602" s="408">
        <v>0</v>
      </c>
      <c r="AJ602" s="408">
        <v>0</v>
      </c>
      <c r="AK602" s="408">
        <v>0</v>
      </c>
      <c r="AL602" s="408">
        <v>4.8367949678220015</v>
      </c>
      <c r="AM602" s="408"/>
      <c r="AN602" s="408">
        <v>0.98993029097604712</v>
      </c>
      <c r="AO602" s="408">
        <v>4.5829560385370653</v>
      </c>
      <c r="AP602" s="408">
        <v>14.358786239322766</v>
      </c>
      <c r="AQ602" s="408">
        <v>0</v>
      </c>
      <c r="AR602" s="408">
        <v>0</v>
      </c>
      <c r="AS602" s="408">
        <v>0</v>
      </c>
      <c r="AT602" s="408">
        <v>0</v>
      </c>
      <c r="AU602" s="408">
        <v>0</v>
      </c>
      <c r="AV602" s="408">
        <v>0</v>
      </c>
      <c r="AW602" s="408">
        <v>0</v>
      </c>
      <c r="AX602" s="408">
        <v>0</v>
      </c>
      <c r="AY602" s="408">
        <v>0</v>
      </c>
      <c r="AZ602" s="408">
        <v>0</v>
      </c>
      <c r="BA602" s="408"/>
      <c r="BB602" s="408">
        <v>0</v>
      </c>
      <c r="BC602" s="408">
        <v>0</v>
      </c>
      <c r="BD602" s="408">
        <v>0.30705592489079725</v>
      </c>
      <c r="BE602" s="408">
        <v>0</v>
      </c>
      <c r="BF602" s="408">
        <v>0</v>
      </c>
      <c r="BG602" s="408">
        <v>18.296450532717248</v>
      </c>
      <c r="BH602" s="408">
        <v>0</v>
      </c>
      <c r="BI602" s="408">
        <v>0</v>
      </c>
      <c r="BJ602" s="408">
        <v>0</v>
      </c>
      <c r="BK602" s="408">
        <v>0</v>
      </c>
      <c r="BL602" s="408">
        <v>0</v>
      </c>
      <c r="BM602" s="408"/>
      <c r="BN602" s="408"/>
      <c r="BO602" s="408"/>
      <c r="BP602" s="408"/>
      <c r="BQ602" s="408"/>
      <c r="BR602" s="408">
        <v>31.826879999999989</v>
      </c>
      <c r="BS602" s="408"/>
      <c r="BT602" s="408"/>
      <c r="BU602" s="408"/>
      <c r="BV602" s="408">
        <v>128.82188088260423</v>
      </c>
      <c r="BW602" s="408"/>
      <c r="BX602" s="408"/>
      <c r="BY602" s="408"/>
      <c r="BZ602" s="408"/>
      <c r="CA602" s="408"/>
      <c r="CB602" s="408"/>
      <c r="CC602" s="408"/>
      <c r="CD602" s="408"/>
      <c r="CE602" s="408"/>
      <c r="CF602" s="408"/>
      <c r="CG602" s="408"/>
      <c r="CH602" s="408"/>
      <c r="CI602" s="408">
        <v>235.21160000000003</v>
      </c>
      <c r="CJ602" s="408">
        <v>-122.92239999999998</v>
      </c>
      <c r="CK602" s="408"/>
      <c r="CL602" s="408"/>
      <c r="CM602" s="408"/>
      <c r="CN602" s="408"/>
      <c r="CO602" s="408">
        <v>-158.541</v>
      </c>
      <c r="CP602" s="408">
        <v>16.837079999999997</v>
      </c>
      <c r="CQ602" s="408">
        <v>30</v>
      </c>
      <c r="CR602" s="408">
        <v>19.943557816796528</v>
      </c>
      <c r="CS602" s="408">
        <v>0.47273890060432411</v>
      </c>
      <c r="CT602" s="408">
        <v>1.4811306858960513</v>
      </c>
      <c r="CU602" s="408">
        <v>0</v>
      </c>
      <c r="CV602" s="408">
        <v>0</v>
      </c>
      <c r="CW602" s="408">
        <v>0</v>
      </c>
      <c r="CX602" s="408">
        <v>0</v>
      </c>
      <c r="CY602" s="408">
        <v>0</v>
      </c>
      <c r="CZ602" s="408">
        <v>4.1467132980248456E-2</v>
      </c>
      <c r="DA602" s="408">
        <v>0</v>
      </c>
      <c r="DB602" s="408">
        <v>0</v>
      </c>
      <c r="DC602" s="408">
        <v>16.839243858066141</v>
      </c>
      <c r="DD602" s="408">
        <v>0</v>
      </c>
      <c r="DE602" s="408">
        <v>0</v>
      </c>
      <c r="DF602" s="408">
        <v>4.691222878467366E-2</v>
      </c>
      <c r="DG602" s="408">
        <v>2.7953450943620943</v>
      </c>
      <c r="DH602" s="408">
        <v>0</v>
      </c>
      <c r="DI602" s="408">
        <v>-1.4942355381319672</v>
      </c>
      <c r="DJ602" s="408"/>
      <c r="DK602" s="408">
        <v>0</v>
      </c>
      <c r="DL602" s="408">
        <v>0</v>
      </c>
      <c r="DM602" s="408">
        <v>0</v>
      </c>
      <c r="DN602" s="408">
        <v>0</v>
      </c>
      <c r="DO602" s="408">
        <v>-0.19598987826984171</v>
      </c>
      <c r="DP602" s="408">
        <v>-4.3054667495193377E-2</v>
      </c>
      <c r="DQ602" s="408">
        <v>0</v>
      </c>
      <c r="DR602" s="408">
        <v>0</v>
      </c>
      <c r="DS602" s="408"/>
      <c r="DT602" s="408"/>
      <c r="DU602" s="408"/>
      <c r="DV602" s="408">
        <v>220.0139730940115</v>
      </c>
      <c r="DW602" s="408">
        <v>0</v>
      </c>
      <c r="DX602" s="408">
        <v>0</v>
      </c>
      <c r="DY602" s="408">
        <v>-158.541</v>
      </c>
      <c r="DZ602" s="234">
        <v>16.83708</v>
      </c>
      <c r="EA602" s="408">
        <v>0</v>
      </c>
      <c r="EB602" s="408">
        <v>0</v>
      </c>
      <c r="EC602" s="408">
        <v>-161.64642600320155</v>
      </c>
      <c r="ED602" s="408">
        <v>0</v>
      </c>
      <c r="EE602" s="408">
        <v>0</v>
      </c>
      <c r="EF602" s="408">
        <v>0</v>
      </c>
      <c r="EG602" s="408">
        <v>0</v>
      </c>
      <c r="EH602" s="408">
        <v>0</v>
      </c>
      <c r="EI602" s="408">
        <v>0</v>
      </c>
      <c r="EJ602" s="408">
        <v>0</v>
      </c>
      <c r="EK602" s="408">
        <v>0</v>
      </c>
      <c r="EL602" s="408">
        <v>0</v>
      </c>
      <c r="EM602" s="408">
        <v>0</v>
      </c>
      <c r="EN602" s="408">
        <v>0</v>
      </c>
      <c r="EO602" s="408">
        <v>0</v>
      </c>
      <c r="EP602" s="408">
        <v>0</v>
      </c>
      <c r="EQ602" s="408">
        <v>0</v>
      </c>
      <c r="ER602" s="408">
        <v>0</v>
      </c>
      <c r="ES602" s="408">
        <v>0</v>
      </c>
      <c r="ET602" s="408">
        <v>0</v>
      </c>
      <c r="EU602" s="408">
        <v>0</v>
      </c>
      <c r="EV602" s="408">
        <v>242</v>
      </c>
      <c r="EW602" s="408">
        <v>0</v>
      </c>
      <c r="EX602" s="408">
        <v>0</v>
      </c>
      <c r="EY602" s="408">
        <v>0</v>
      </c>
      <c r="EZ602" s="408"/>
      <c r="FA602" s="408">
        <v>0</v>
      </c>
      <c r="FB602" s="408"/>
      <c r="FC602" s="408"/>
      <c r="FD602" s="408"/>
      <c r="FE602" s="408"/>
      <c r="FF602" s="408">
        <v>0</v>
      </c>
      <c r="FG602" s="408">
        <v>0</v>
      </c>
      <c r="FH602" s="408">
        <v>0</v>
      </c>
      <c r="FI602" s="408">
        <v>0</v>
      </c>
    </row>
    <row r="603" spans="1:165">
      <c r="A603" s="408">
        <v>604</v>
      </c>
      <c r="B603" s="408" t="s">
        <v>1036</v>
      </c>
      <c r="C603" s="408" t="s">
        <v>2239</v>
      </c>
      <c r="D603" s="408" t="s">
        <v>597</v>
      </c>
      <c r="E603" s="408" t="s">
        <v>974</v>
      </c>
      <c r="F603" s="408" t="s">
        <v>2248</v>
      </c>
      <c r="G603" s="408" t="s">
        <v>1322</v>
      </c>
      <c r="H603" s="408" t="s">
        <v>1322</v>
      </c>
      <c r="I603" s="408" t="s">
        <v>973</v>
      </c>
      <c r="J603" s="408" t="s">
        <v>2232</v>
      </c>
      <c r="K603" s="828">
        <v>44713</v>
      </c>
      <c r="L603" s="408">
        <v>0</v>
      </c>
      <c r="M603" s="408">
        <v>0</v>
      </c>
      <c r="N603" s="408">
        <v>0.52200000000000002</v>
      </c>
      <c r="O603" s="408">
        <v>0.50112000000000001</v>
      </c>
      <c r="P603" s="408">
        <v>0.52200000000000002</v>
      </c>
      <c r="Q603" s="408">
        <v>0.50112000000000001</v>
      </c>
      <c r="R603" s="408"/>
      <c r="S603" s="408">
        <v>2592.54</v>
      </c>
      <c r="T603" s="408">
        <v>216.76</v>
      </c>
      <c r="U603" s="408"/>
      <c r="V603" s="408">
        <v>1466.4546</v>
      </c>
      <c r="W603" s="408">
        <v>1466.4546</v>
      </c>
      <c r="X603" s="408">
        <v>616.58639999999991</v>
      </c>
      <c r="Y603" s="408">
        <v>0</v>
      </c>
      <c r="Z603" s="408">
        <v>27.525705624380013</v>
      </c>
      <c r="AA603" s="408">
        <v>0</v>
      </c>
      <c r="AB603" s="408">
        <v>0</v>
      </c>
      <c r="AC603" s="408">
        <v>0</v>
      </c>
      <c r="AD603" s="408">
        <v>2.6395635780888229</v>
      </c>
      <c r="AE603" s="408">
        <v>1195.8453653040192</v>
      </c>
      <c r="AF603" s="408">
        <v>111.499983429938</v>
      </c>
      <c r="AG603" s="408">
        <v>1.6481652724281319</v>
      </c>
      <c r="AH603" s="408">
        <v>0</v>
      </c>
      <c r="AI603" s="408">
        <v>0</v>
      </c>
      <c r="AJ603" s="408">
        <v>0</v>
      </c>
      <c r="AK603" s="408">
        <v>0</v>
      </c>
      <c r="AL603" s="408">
        <v>4.8930367697734196</v>
      </c>
      <c r="AM603" s="408"/>
      <c r="AN603" s="408">
        <v>0.71682198657375684</v>
      </c>
      <c r="AO603" s="408">
        <v>23.549962944314618</v>
      </c>
      <c r="AP603" s="408">
        <v>89.366790834119058</v>
      </c>
      <c r="AQ603" s="408">
        <v>0</v>
      </c>
      <c r="AR603" s="408">
        <v>0</v>
      </c>
      <c r="AS603" s="408">
        <v>0</v>
      </c>
      <c r="AT603" s="408">
        <v>0</v>
      </c>
      <c r="AU603" s="408">
        <v>0</v>
      </c>
      <c r="AV603" s="408">
        <v>0</v>
      </c>
      <c r="AW603" s="408">
        <v>0</v>
      </c>
      <c r="AX603" s="408">
        <v>0</v>
      </c>
      <c r="AY603" s="408">
        <v>0</v>
      </c>
      <c r="AZ603" s="408">
        <v>0</v>
      </c>
      <c r="BA603" s="408"/>
      <c r="BB603" s="408">
        <v>0</v>
      </c>
      <c r="BC603" s="408">
        <v>0</v>
      </c>
      <c r="BD603" s="408">
        <v>0.23870992059348706</v>
      </c>
      <c r="BE603" s="408">
        <v>0</v>
      </c>
      <c r="BF603" s="408">
        <v>0</v>
      </c>
      <c r="BG603" s="408">
        <v>8.5274738637227099</v>
      </c>
      <c r="BH603" s="408">
        <v>0</v>
      </c>
      <c r="BI603" s="408">
        <v>0</v>
      </c>
      <c r="BJ603" s="408">
        <v>0</v>
      </c>
      <c r="BK603" s="408">
        <v>0</v>
      </c>
      <c r="BL603" s="408">
        <v>0</v>
      </c>
      <c r="BM603" s="408"/>
      <c r="BN603" s="408"/>
      <c r="BO603" s="408"/>
      <c r="BP603" s="408"/>
      <c r="BQ603" s="408"/>
      <c r="BR603" s="408">
        <v>24.663456000000011</v>
      </c>
      <c r="BS603" s="408"/>
      <c r="BT603" s="408"/>
      <c r="BU603" s="408"/>
      <c r="BV603" s="408">
        <v>120.2661672142542</v>
      </c>
      <c r="BW603" s="408"/>
      <c r="BX603" s="408"/>
      <c r="BY603" s="408"/>
      <c r="BZ603" s="408"/>
      <c r="CA603" s="408"/>
      <c r="CB603" s="408"/>
      <c r="CC603" s="408"/>
      <c r="CD603" s="408"/>
      <c r="CE603" s="408"/>
      <c r="CF603" s="408"/>
      <c r="CG603" s="408"/>
      <c r="CH603" s="408"/>
      <c r="CI603" s="408">
        <v>590.59999999999991</v>
      </c>
      <c r="CJ603" s="408">
        <v>-817.22641599999997</v>
      </c>
      <c r="CK603" s="408"/>
      <c r="CL603" s="408"/>
      <c r="CM603" s="408"/>
      <c r="CN603" s="408"/>
      <c r="CO603" s="408">
        <v>-866.90106000000003</v>
      </c>
      <c r="CP603" s="408">
        <v>17.032859999999999</v>
      </c>
      <c r="CQ603" s="408">
        <v>30</v>
      </c>
      <c r="CR603" s="408">
        <v>28.735425409755692</v>
      </c>
      <c r="CS603" s="408">
        <v>2.4292145719821434</v>
      </c>
      <c r="CT603" s="408">
        <v>9.2183206852103154</v>
      </c>
      <c r="CU603" s="408">
        <v>0</v>
      </c>
      <c r="CV603" s="408">
        <v>0</v>
      </c>
      <c r="CW603" s="408">
        <v>0</v>
      </c>
      <c r="CX603" s="408">
        <v>0</v>
      </c>
      <c r="CY603" s="408">
        <v>0</v>
      </c>
      <c r="CZ603" s="408">
        <v>0.25808348571271278</v>
      </c>
      <c r="DA603" s="408">
        <v>0</v>
      </c>
      <c r="DB603" s="408">
        <v>0</v>
      </c>
      <c r="DC603" s="408">
        <v>17.03504901920644</v>
      </c>
      <c r="DD603" s="408">
        <v>0</v>
      </c>
      <c r="DE603" s="408">
        <v>0</v>
      </c>
      <c r="DF603" s="408">
        <v>3.6470276260051504E-2</v>
      </c>
      <c r="DG603" s="408">
        <v>1.3028336938704665</v>
      </c>
      <c r="DH603" s="408">
        <v>0</v>
      </c>
      <c r="DI603" s="408">
        <v>-1.3151010218744901</v>
      </c>
      <c r="DJ603" s="408"/>
      <c r="DK603" s="408">
        <v>0</v>
      </c>
      <c r="DL603" s="408">
        <v>0</v>
      </c>
      <c r="DM603" s="408">
        <v>0</v>
      </c>
      <c r="DN603" s="408">
        <v>0</v>
      </c>
      <c r="DO603" s="408">
        <v>-0.19826883034274623</v>
      </c>
      <c r="DP603" s="408">
        <v>-3.1176470269181689E-2</v>
      </c>
      <c r="DQ603" s="408">
        <v>0</v>
      </c>
      <c r="DR603" s="408">
        <v>0</v>
      </c>
      <c r="DS603" s="408"/>
      <c r="DT603" s="408"/>
      <c r="DU603" s="408"/>
      <c r="DV603" s="408">
        <v>1195.8453653040192</v>
      </c>
      <c r="DW603" s="408">
        <v>0</v>
      </c>
      <c r="DX603" s="408">
        <v>0</v>
      </c>
      <c r="DY603" s="408">
        <v>-866.90106000000014</v>
      </c>
      <c r="DZ603" s="234">
        <v>17.032859999999999</v>
      </c>
      <c r="EA603" s="408">
        <v>0</v>
      </c>
      <c r="EB603" s="408">
        <v>0</v>
      </c>
      <c r="EC603" s="408">
        <v>-878.59933001295906</v>
      </c>
      <c r="ED603" s="408">
        <v>0</v>
      </c>
      <c r="EE603" s="408">
        <v>0</v>
      </c>
      <c r="EF603" s="408">
        <v>0</v>
      </c>
      <c r="EG603" s="408">
        <v>0</v>
      </c>
      <c r="EH603" s="408">
        <v>0</v>
      </c>
      <c r="EI603" s="408">
        <v>0</v>
      </c>
      <c r="EJ603" s="408">
        <v>0</v>
      </c>
      <c r="EK603" s="408">
        <v>0</v>
      </c>
      <c r="EL603" s="408">
        <v>0</v>
      </c>
      <c r="EM603" s="408">
        <v>0</v>
      </c>
      <c r="EN603" s="408">
        <v>0</v>
      </c>
      <c r="EO603" s="408">
        <v>0</v>
      </c>
      <c r="EP603" s="408">
        <v>0</v>
      </c>
      <c r="EQ603" s="408">
        <v>0</v>
      </c>
      <c r="ER603" s="408">
        <v>0</v>
      </c>
      <c r="ES603" s="408">
        <v>0</v>
      </c>
      <c r="ET603" s="408">
        <v>0</v>
      </c>
      <c r="EU603" s="408">
        <v>0</v>
      </c>
      <c r="EV603" s="408">
        <v>242</v>
      </c>
      <c r="EW603" s="408">
        <v>0</v>
      </c>
      <c r="EX603" s="408">
        <v>0</v>
      </c>
      <c r="EY603" s="408">
        <v>0</v>
      </c>
      <c r="EZ603" s="408"/>
      <c r="FA603" s="408">
        <v>0</v>
      </c>
      <c r="FB603" s="408"/>
      <c r="FC603" s="408"/>
      <c r="FD603" s="408"/>
      <c r="FE603" s="408"/>
      <c r="FF603" s="408">
        <v>0</v>
      </c>
      <c r="FG603" s="408">
        <v>0</v>
      </c>
      <c r="FH603" s="408">
        <v>0</v>
      </c>
      <c r="FI603" s="408">
        <v>0</v>
      </c>
    </row>
    <row r="604" spans="1:165">
      <c r="A604" s="408">
        <v>605</v>
      </c>
      <c r="B604" s="408" t="s">
        <v>1036</v>
      </c>
      <c r="C604" s="408" t="s">
        <v>2239</v>
      </c>
      <c r="D604" s="408" t="s">
        <v>597</v>
      </c>
      <c r="E604" s="408" t="s">
        <v>974</v>
      </c>
      <c r="F604" s="408" t="s">
        <v>2248</v>
      </c>
      <c r="G604" s="408" t="s">
        <v>1322</v>
      </c>
      <c r="H604" s="408" t="s">
        <v>1322</v>
      </c>
      <c r="I604" s="408" t="s">
        <v>2240</v>
      </c>
      <c r="J604" s="408" t="s">
        <v>2232</v>
      </c>
      <c r="K604" s="828">
        <v>44713</v>
      </c>
      <c r="L604" s="408">
        <v>0</v>
      </c>
      <c r="M604" s="408">
        <v>0</v>
      </c>
      <c r="N604" s="408">
        <v>3.3679999999999999</v>
      </c>
      <c r="O604" s="408">
        <v>3.2332800000000002</v>
      </c>
      <c r="P604" s="408">
        <v>3.3679999999999999</v>
      </c>
      <c r="Q604" s="408">
        <v>3.2332800000000002</v>
      </c>
      <c r="R604" s="408"/>
      <c r="S604" s="408">
        <v>80.27</v>
      </c>
      <c r="T604" s="408">
        <v>216.76</v>
      </c>
      <c r="U604" s="408"/>
      <c r="V604" s="408">
        <v>1000.3970399999998</v>
      </c>
      <c r="W604" s="408">
        <v>1000.3970399999998</v>
      </c>
      <c r="X604" s="408">
        <v>1108.9813599999998</v>
      </c>
      <c r="Y604" s="408">
        <v>0</v>
      </c>
      <c r="Z604" s="408">
        <v>177.59880563776224</v>
      </c>
      <c r="AA604" s="408">
        <v>0</v>
      </c>
      <c r="AB604" s="408">
        <v>0</v>
      </c>
      <c r="AC604" s="408">
        <v>0</v>
      </c>
      <c r="AD604" s="408">
        <v>0</v>
      </c>
      <c r="AE604" s="408">
        <v>0</v>
      </c>
      <c r="AF604" s="408">
        <v>719.40985477400602</v>
      </c>
      <c r="AG604" s="408">
        <v>10.634139152371548</v>
      </c>
      <c r="AH604" s="408">
        <v>0</v>
      </c>
      <c r="AI604" s="408">
        <v>0</v>
      </c>
      <c r="AJ604" s="408">
        <v>0</v>
      </c>
      <c r="AK604" s="408">
        <v>0</v>
      </c>
      <c r="AL604" s="408">
        <v>31.570398162062983</v>
      </c>
      <c r="AM604" s="408"/>
      <c r="AN604" s="408">
        <v>4.6250123578168836</v>
      </c>
      <c r="AO604" s="408">
        <v>0</v>
      </c>
      <c r="AP604" s="408">
        <v>0</v>
      </c>
      <c r="AQ604" s="408">
        <v>0</v>
      </c>
      <c r="AR604" s="408">
        <v>0</v>
      </c>
      <c r="AS604" s="408">
        <v>0</v>
      </c>
      <c r="AT604" s="408">
        <v>0</v>
      </c>
      <c r="AU604" s="408">
        <v>0</v>
      </c>
      <c r="AV604" s="408">
        <v>0</v>
      </c>
      <c r="AW604" s="408">
        <v>0</v>
      </c>
      <c r="AX604" s="408">
        <v>0</v>
      </c>
      <c r="AY604" s="408">
        <v>0</v>
      </c>
      <c r="AZ604" s="408">
        <v>0</v>
      </c>
      <c r="BA604" s="408"/>
      <c r="BB604" s="408">
        <v>0</v>
      </c>
      <c r="BC604" s="408">
        <v>0</v>
      </c>
      <c r="BD604" s="408">
        <v>1.5401820163962918</v>
      </c>
      <c r="BE604" s="408">
        <v>0</v>
      </c>
      <c r="BF604" s="408">
        <v>0</v>
      </c>
      <c r="BG604" s="408">
        <v>55.020176193521237</v>
      </c>
      <c r="BH604" s="408">
        <v>0</v>
      </c>
      <c r="BI604" s="408">
        <v>0</v>
      </c>
      <c r="BJ604" s="408">
        <v>0</v>
      </c>
      <c r="BK604" s="408">
        <v>0</v>
      </c>
      <c r="BL604" s="408">
        <v>0</v>
      </c>
      <c r="BM604" s="408"/>
      <c r="BN604" s="408"/>
      <c r="BO604" s="408"/>
      <c r="BP604" s="408"/>
      <c r="BQ604" s="408"/>
      <c r="BR604" s="408">
        <v>44.359254399999905</v>
      </c>
      <c r="BS604" s="408"/>
      <c r="BT604" s="408"/>
      <c r="BU604" s="408"/>
      <c r="BV604" s="408">
        <v>775.9702129839236</v>
      </c>
      <c r="BW604" s="408"/>
      <c r="BX604" s="408"/>
      <c r="BY604" s="408"/>
      <c r="BZ604" s="408"/>
      <c r="CA604" s="408"/>
      <c r="CB604" s="408"/>
      <c r="CC604" s="408"/>
      <c r="CD604" s="408"/>
      <c r="CE604" s="408"/>
      <c r="CF604" s="408"/>
      <c r="CG604" s="408"/>
      <c r="CH604" s="408"/>
      <c r="CI604" s="408">
        <v>1063.5420999999999</v>
      </c>
      <c r="CJ604" s="408">
        <v>103.13094159999991</v>
      </c>
      <c r="CK604" s="408"/>
      <c r="CL604" s="408"/>
      <c r="CM604" s="408"/>
      <c r="CN604" s="408"/>
      <c r="CO604" s="408">
        <v>-1.3135200000000018</v>
      </c>
      <c r="CP604" s="408">
        <v>109.89783999999997</v>
      </c>
      <c r="CQ604" s="408">
        <v>30</v>
      </c>
      <c r="CR604" s="408">
        <v>108.58771811102019</v>
      </c>
      <c r="CS604" s="408">
        <v>0</v>
      </c>
      <c r="CT604" s="408">
        <v>0</v>
      </c>
      <c r="CU604" s="408">
        <v>0</v>
      </c>
      <c r="CV604" s="408">
        <v>0</v>
      </c>
      <c r="CW604" s="408">
        <v>0</v>
      </c>
      <c r="CX604" s="408">
        <v>0</v>
      </c>
      <c r="CY604" s="408">
        <v>0</v>
      </c>
      <c r="CZ604" s="408">
        <v>0</v>
      </c>
      <c r="DA604" s="408">
        <v>0</v>
      </c>
      <c r="DB604" s="408">
        <v>0</v>
      </c>
      <c r="DC604" s="408">
        <v>109.91196378675727</v>
      </c>
      <c r="DD604" s="408">
        <v>0</v>
      </c>
      <c r="DE604" s="408">
        <v>0</v>
      </c>
      <c r="DF604" s="408">
        <v>0.23531013494991093</v>
      </c>
      <c r="DG604" s="408">
        <v>8.4060227604515987</v>
      </c>
      <c r="DH604" s="408">
        <v>0</v>
      </c>
      <c r="DI604" s="408">
        <v>-8.4851728767687575</v>
      </c>
      <c r="DJ604" s="408"/>
      <c r="DK604" s="408">
        <v>0</v>
      </c>
      <c r="DL604" s="408">
        <v>0</v>
      </c>
      <c r="DM604" s="408">
        <v>0</v>
      </c>
      <c r="DN604" s="408">
        <v>0</v>
      </c>
      <c r="DO604" s="408">
        <v>-1.2792517635907501</v>
      </c>
      <c r="DP604" s="408">
        <v>-0.2011539307789354</v>
      </c>
      <c r="DQ604" s="408">
        <v>0</v>
      </c>
      <c r="DR604" s="408">
        <v>0</v>
      </c>
      <c r="DS604" s="408"/>
      <c r="DT604" s="408"/>
      <c r="DU604" s="408"/>
      <c r="DV604" s="408">
        <v>0</v>
      </c>
      <c r="DW604" s="408">
        <v>0</v>
      </c>
      <c r="DX604" s="408">
        <v>0</v>
      </c>
      <c r="DY604" s="408">
        <v>-1.3135200000000395</v>
      </c>
      <c r="DZ604" s="234">
        <v>109.89783999999997</v>
      </c>
      <c r="EA604" s="408">
        <v>0</v>
      </c>
      <c r="EB604" s="408">
        <v>0</v>
      </c>
      <c r="EC604" s="408">
        <v>0</v>
      </c>
      <c r="ED604" s="408">
        <v>0</v>
      </c>
      <c r="EE604" s="408">
        <v>0</v>
      </c>
      <c r="EF604" s="408">
        <v>0</v>
      </c>
      <c r="EG604" s="408">
        <v>0</v>
      </c>
      <c r="EH604" s="408">
        <v>0</v>
      </c>
      <c r="EI604" s="408">
        <v>0</v>
      </c>
      <c r="EJ604" s="408">
        <v>0</v>
      </c>
      <c r="EK604" s="408">
        <v>0</v>
      </c>
      <c r="EL604" s="408">
        <v>0</v>
      </c>
      <c r="EM604" s="408">
        <v>0</v>
      </c>
      <c r="EN604" s="408">
        <v>0</v>
      </c>
      <c r="EO604" s="408">
        <v>0</v>
      </c>
      <c r="EP604" s="408">
        <v>0</v>
      </c>
      <c r="EQ604" s="408">
        <v>0</v>
      </c>
      <c r="ER604" s="408">
        <v>0</v>
      </c>
      <c r="ES604" s="408">
        <v>0</v>
      </c>
      <c r="ET604" s="408">
        <v>0</v>
      </c>
      <c r="EU604" s="408">
        <v>0</v>
      </c>
      <c r="EV604" s="408">
        <v>242</v>
      </c>
      <c r="EW604" s="408">
        <v>0</v>
      </c>
      <c r="EX604" s="408">
        <v>0</v>
      </c>
      <c r="EY604" s="408">
        <v>0</v>
      </c>
      <c r="EZ604" s="408"/>
      <c r="FA604" s="408">
        <v>0</v>
      </c>
      <c r="FB604" s="408"/>
      <c r="FC604" s="408"/>
      <c r="FD604" s="408"/>
      <c r="FE604" s="408"/>
      <c r="FF604" s="408">
        <v>0</v>
      </c>
      <c r="FG604" s="408">
        <v>0</v>
      </c>
      <c r="FH604" s="408">
        <v>0</v>
      </c>
      <c r="FI604" s="408">
        <v>0</v>
      </c>
    </row>
    <row r="605" spans="1:165">
      <c r="A605" s="408">
        <v>606</v>
      </c>
      <c r="B605" s="408" t="s">
        <v>1036</v>
      </c>
      <c r="C605" s="408" t="s">
        <v>2239</v>
      </c>
      <c r="D605" s="408" t="s">
        <v>597</v>
      </c>
      <c r="E605" s="408" t="s">
        <v>974</v>
      </c>
      <c r="F605" s="408" t="s">
        <v>2248</v>
      </c>
      <c r="G605" s="408" t="s">
        <v>1322</v>
      </c>
      <c r="H605" s="408" t="s">
        <v>1322</v>
      </c>
      <c r="I605" s="408" t="s">
        <v>1322</v>
      </c>
      <c r="J605" s="408" t="s">
        <v>2232</v>
      </c>
      <c r="K605" s="828">
        <v>44713</v>
      </c>
      <c r="L605" s="408">
        <v>228</v>
      </c>
      <c r="M605" s="408">
        <v>218.88</v>
      </c>
      <c r="N605" s="408">
        <v>0</v>
      </c>
      <c r="O605" s="408">
        <v>0</v>
      </c>
      <c r="P605" s="408">
        <v>0</v>
      </c>
      <c r="Q605" s="408">
        <v>0</v>
      </c>
      <c r="R605" s="408">
        <v>32.17</v>
      </c>
      <c r="S605" s="408"/>
      <c r="T605" s="408"/>
      <c r="U605" s="408">
        <v>7334.76</v>
      </c>
      <c r="V605" s="408"/>
      <c r="W605" s="408">
        <v>7334.76</v>
      </c>
      <c r="X605" s="408">
        <v>2948.04</v>
      </c>
      <c r="Y605" s="408">
        <v>0</v>
      </c>
      <c r="Z605" s="408">
        <v>0</v>
      </c>
      <c r="AA605" s="408">
        <v>0</v>
      </c>
      <c r="AB605" s="408">
        <v>0</v>
      </c>
      <c r="AC605" s="408">
        <v>0</v>
      </c>
      <c r="AD605" s="408">
        <v>22.780899329930794</v>
      </c>
      <c r="AE605" s="408">
        <v>6139.2956776964038</v>
      </c>
      <c r="AF605" s="408"/>
      <c r="AG605" s="408"/>
      <c r="AH605" s="408"/>
      <c r="AI605" s="408">
        <v>0</v>
      </c>
      <c r="AJ605" s="408">
        <v>0</v>
      </c>
      <c r="AK605" s="408">
        <v>0</v>
      </c>
      <c r="AL605" s="408">
        <v>0</v>
      </c>
      <c r="AM605" s="408"/>
      <c r="AN605" s="408">
        <v>0</v>
      </c>
      <c r="AO605" s="408">
        <v>402.28801226233048</v>
      </c>
      <c r="AP605" s="408">
        <v>771.29325772161508</v>
      </c>
      <c r="AQ605" s="408">
        <v>0</v>
      </c>
      <c r="AR605" s="408">
        <v>0</v>
      </c>
      <c r="AS605" s="408"/>
      <c r="AT605" s="408"/>
      <c r="AU605" s="408">
        <v>0</v>
      </c>
      <c r="AV605" s="408">
        <v>0</v>
      </c>
      <c r="AW605" s="408">
        <v>0</v>
      </c>
      <c r="AX605" s="408"/>
      <c r="AY605" s="408"/>
      <c r="AZ605" s="408">
        <v>0</v>
      </c>
      <c r="BA605" s="408"/>
      <c r="BB605" s="408">
        <v>0</v>
      </c>
      <c r="BC605" s="408">
        <v>0</v>
      </c>
      <c r="BD605" s="408">
        <v>0</v>
      </c>
      <c r="BE605" s="408">
        <v>0</v>
      </c>
      <c r="BF605" s="408"/>
      <c r="BG605" s="408">
        <v>0</v>
      </c>
      <c r="BH605" s="408">
        <v>0</v>
      </c>
      <c r="BI605" s="408">
        <v>15.09</v>
      </c>
      <c r="BJ605" s="408">
        <v>68.81</v>
      </c>
      <c r="BK605" s="408">
        <v>56.55</v>
      </c>
      <c r="BL605" s="408">
        <v>12</v>
      </c>
      <c r="BM605" s="408"/>
      <c r="BN605" s="408"/>
      <c r="BO605" s="408"/>
      <c r="BP605" s="408"/>
      <c r="BQ605" s="408"/>
      <c r="BR605" s="408">
        <v>117.92160000000005</v>
      </c>
      <c r="BS605" s="408"/>
      <c r="BT605" s="408"/>
      <c r="BU605" s="408"/>
      <c r="BV605" s="408">
        <v>0</v>
      </c>
      <c r="BW605" s="408"/>
      <c r="BX605" s="408"/>
      <c r="BY605" s="408"/>
      <c r="BZ605" s="408"/>
      <c r="CA605" s="408"/>
      <c r="CB605" s="408"/>
      <c r="CC605" s="408"/>
      <c r="CD605" s="408"/>
      <c r="CE605" s="408"/>
      <c r="CF605" s="408"/>
      <c r="CG605" s="408"/>
      <c r="CH605" s="408"/>
      <c r="CI605" s="408">
        <v>2830.1183999999998</v>
      </c>
      <c r="CJ605" s="408">
        <v>-4211.2812000000013</v>
      </c>
      <c r="CK605" s="408"/>
      <c r="CL605" s="408"/>
      <c r="CM605" s="408"/>
      <c r="CN605" s="408"/>
      <c r="CO605" s="408">
        <v>-4386.72</v>
      </c>
      <c r="CP605" s="408">
        <v>0</v>
      </c>
      <c r="CQ605" s="408">
        <v>30</v>
      </c>
      <c r="CR605" s="408">
        <v>123.28410052845788</v>
      </c>
      <c r="CS605" s="408">
        <v>41.496621622385078</v>
      </c>
      <c r="CT605" s="408">
        <v>79.560075120256101</v>
      </c>
      <c r="CU605" s="408">
        <v>0</v>
      </c>
      <c r="CV605" s="408">
        <v>0</v>
      </c>
      <c r="CW605" s="408"/>
      <c r="CX605" s="408"/>
      <c r="CY605" s="408"/>
      <c r="CZ605" s="408">
        <v>2.2274037858167794</v>
      </c>
      <c r="DA605" s="408">
        <v>0</v>
      </c>
      <c r="DB605" s="408">
        <v>0</v>
      </c>
      <c r="DC605" s="408"/>
      <c r="DD605" s="408"/>
      <c r="DE605" s="408">
        <v>0</v>
      </c>
      <c r="DF605" s="408">
        <v>0</v>
      </c>
      <c r="DG605" s="408">
        <v>0</v>
      </c>
      <c r="DH605" s="408">
        <v>0</v>
      </c>
      <c r="DI605" s="408">
        <v>0</v>
      </c>
      <c r="DJ605" s="408"/>
      <c r="DK605" s="408">
        <v>0</v>
      </c>
      <c r="DL605" s="408">
        <v>0</v>
      </c>
      <c r="DM605" s="408"/>
      <c r="DN605" s="408">
        <v>0</v>
      </c>
      <c r="DO605" s="408">
        <v>0</v>
      </c>
      <c r="DP605" s="408">
        <v>0</v>
      </c>
      <c r="DQ605" s="408">
        <v>0</v>
      </c>
      <c r="DR605" s="408">
        <v>0</v>
      </c>
      <c r="DS605" s="408"/>
      <c r="DT605" s="408"/>
      <c r="DU605" s="408">
        <v>6139.2956776964038</v>
      </c>
      <c r="DV605" s="408"/>
      <c r="DW605" s="408">
        <v>0</v>
      </c>
      <c r="DX605" s="408">
        <v>0</v>
      </c>
      <c r="DY605" s="408">
        <v>-4386.72</v>
      </c>
      <c r="DZ605" s="234"/>
      <c r="EA605" s="408">
        <v>0</v>
      </c>
      <c r="EB605" s="408"/>
      <c r="EC605" s="408">
        <v>-4510.6008064882199</v>
      </c>
      <c r="ED605" s="408"/>
      <c r="EE605" s="408">
        <v>0</v>
      </c>
      <c r="EF605" s="408">
        <v>0</v>
      </c>
      <c r="EG605" s="408"/>
      <c r="EH605" s="408">
        <v>0</v>
      </c>
      <c r="EI605" s="408">
        <v>0</v>
      </c>
      <c r="EJ605" s="408">
        <v>0</v>
      </c>
      <c r="EK605" s="408">
        <v>0</v>
      </c>
      <c r="EL605" s="408">
        <v>0</v>
      </c>
      <c r="EM605" s="408"/>
      <c r="EN605" s="408"/>
      <c r="EO605" s="408">
        <v>0</v>
      </c>
      <c r="EP605" s="408">
        <v>0</v>
      </c>
      <c r="EQ605" s="408"/>
      <c r="ER605" s="408">
        <v>0</v>
      </c>
      <c r="ES605" s="408"/>
      <c r="ET605" s="408">
        <v>0</v>
      </c>
      <c r="EU605" s="408"/>
      <c r="EV605" s="408">
        <v>242</v>
      </c>
      <c r="EW605" s="408"/>
      <c r="EX605" s="408"/>
      <c r="EY605" s="408"/>
      <c r="EZ605" s="408"/>
      <c r="FA605" s="408">
        <v>0</v>
      </c>
      <c r="FB605" s="408"/>
      <c r="FC605" s="408"/>
      <c r="FD605" s="408"/>
      <c r="FE605" s="408"/>
      <c r="FF605" s="408">
        <v>0</v>
      </c>
      <c r="FG605" s="408">
        <v>0</v>
      </c>
      <c r="FH605" s="408">
        <v>0</v>
      </c>
      <c r="FI605" s="408">
        <v>0</v>
      </c>
    </row>
    <row r="606" spans="1:165">
      <c r="A606" s="408">
        <v>607</v>
      </c>
      <c r="B606" s="408" t="s">
        <v>2234</v>
      </c>
      <c r="C606" s="408" t="s">
        <v>2239</v>
      </c>
      <c r="D606" s="408" t="s">
        <v>597</v>
      </c>
      <c r="E606" s="408" t="s">
        <v>974</v>
      </c>
      <c r="F606" s="408" t="s">
        <v>2248</v>
      </c>
      <c r="G606" s="408" t="s">
        <v>1322</v>
      </c>
      <c r="H606" s="408" t="s">
        <v>1322</v>
      </c>
      <c r="I606" s="408" t="s">
        <v>1322</v>
      </c>
      <c r="J606" s="408" t="s">
        <v>2232</v>
      </c>
      <c r="K606" s="828">
        <v>44713</v>
      </c>
      <c r="L606" s="408">
        <v>25</v>
      </c>
      <c r="M606" s="408">
        <v>24</v>
      </c>
      <c r="N606" s="408">
        <v>0</v>
      </c>
      <c r="O606" s="408">
        <v>0</v>
      </c>
      <c r="P606" s="408">
        <v>0</v>
      </c>
      <c r="Q606" s="408">
        <v>0</v>
      </c>
      <c r="R606" s="408">
        <v>32.17</v>
      </c>
      <c r="S606" s="408"/>
      <c r="T606" s="408"/>
      <c r="U606" s="408">
        <v>804.25</v>
      </c>
      <c r="V606" s="408"/>
      <c r="W606" s="408">
        <v>804.25</v>
      </c>
      <c r="X606" s="408">
        <v>323.25</v>
      </c>
      <c r="Y606" s="408">
        <v>0</v>
      </c>
      <c r="Z606" s="408">
        <v>0</v>
      </c>
      <c r="AA606" s="408">
        <v>0</v>
      </c>
      <c r="AB606" s="408">
        <v>0</v>
      </c>
      <c r="AC606" s="408">
        <v>0</v>
      </c>
      <c r="AD606" s="408">
        <v>2.497905628281885</v>
      </c>
      <c r="AE606" s="408">
        <v>673.16838571232495</v>
      </c>
      <c r="AF606" s="408"/>
      <c r="AG606" s="408"/>
      <c r="AH606" s="408"/>
      <c r="AI606" s="408">
        <v>0</v>
      </c>
      <c r="AJ606" s="408">
        <v>0</v>
      </c>
      <c r="AK606" s="408">
        <v>0</v>
      </c>
      <c r="AL606" s="408">
        <v>0</v>
      </c>
      <c r="AM606" s="408"/>
      <c r="AN606" s="408">
        <v>0</v>
      </c>
      <c r="AO606" s="408">
        <v>44.110527660343251</v>
      </c>
      <c r="AP606" s="408">
        <v>84.571629136142008</v>
      </c>
      <c r="AQ606" s="408">
        <v>0</v>
      </c>
      <c r="AR606" s="408">
        <v>0</v>
      </c>
      <c r="AS606" s="408"/>
      <c r="AT606" s="408"/>
      <c r="AU606" s="408">
        <v>0</v>
      </c>
      <c r="AV606" s="408">
        <v>0</v>
      </c>
      <c r="AW606" s="408">
        <v>0</v>
      </c>
      <c r="AX606" s="408"/>
      <c r="AY606" s="408"/>
      <c r="AZ606" s="408">
        <v>0</v>
      </c>
      <c r="BA606" s="408"/>
      <c r="BB606" s="408">
        <v>0</v>
      </c>
      <c r="BC606" s="408">
        <v>0</v>
      </c>
      <c r="BD606" s="408">
        <v>0</v>
      </c>
      <c r="BE606" s="408">
        <v>0</v>
      </c>
      <c r="BF606" s="408"/>
      <c r="BG606" s="408">
        <v>0</v>
      </c>
      <c r="BH606" s="408">
        <v>0</v>
      </c>
      <c r="BI606" s="408">
        <v>1.85</v>
      </c>
      <c r="BJ606" s="408">
        <v>8.44</v>
      </c>
      <c r="BK606" s="408">
        <v>1.68</v>
      </c>
      <c r="BL606" s="408">
        <v>1</v>
      </c>
      <c r="BM606" s="408"/>
      <c r="BN606" s="408"/>
      <c r="BO606" s="408"/>
      <c r="BP606" s="408"/>
      <c r="BQ606" s="408"/>
      <c r="BR606" s="408">
        <v>12.93</v>
      </c>
      <c r="BS606" s="408"/>
      <c r="BT606" s="408"/>
      <c r="BU606" s="408"/>
      <c r="BV606" s="408">
        <v>0</v>
      </c>
      <c r="BW606" s="408"/>
      <c r="BX606" s="408"/>
      <c r="BY606" s="408"/>
      <c r="BZ606" s="408"/>
      <c r="CA606" s="408"/>
      <c r="CB606" s="408"/>
      <c r="CC606" s="408"/>
      <c r="CD606" s="408"/>
      <c r="CE606" s="408"/>
      <c r="CF606" s="408"/>
      <c r="CG606" s="408"/>
      <c r="CH606" s="408"/>
      <c r="CI606" s="408">
        <v>310.32</v>
      </c>
      <c r="CJ606" s="408">
        <v>-461.79</v>
      </c>
      <c r="CK606" s="408"/>
      <c r="CL606" s="408"/>
      <c r="CM606" s="408"/>
      <c r="CN606" s="408"/>
      <c r="CO606" s="408">
        <v>-481.00000000000006</v>
      </c>
      <c r="CP606" s="408">
        <v>0</v>
      </c>
      <c r="CQ606" s="408">
        <v>30</v>
      </c>
      <c r="CR606" s="408">
        <v>13.517993478997596</v>
      </c>
      <c r="CS606" s="408">
        <v>4.5500681603492481</v>
      </c>
      <c r="CT606" s="408">
        <v>8.7236924473965018</v>
      </c>
      <c r="CU606" s="408">
        <v>0</v>
      </c>
      <c r="CV606" s="408">
        <v>0</v>
      </c>
      <c r="CW606" s="408"/>
      <c r="CX606" s="408"/>
      <c r="CY606" s="408"/>
      <c r="CZ606" s="408">
        <v>0.24423287125184023</v>
      </c>
      <c r="DA606" s="408">
        <v>0</v>
      </c>
      <c r="DB606" s="408">
        <v>0</v>
      </c>
      <c r="DC606" s="408"/>
      <c r="DD606" s="408"/>
      <c r="DE606" s="408">
        <v>0</v>
      </c>
      <c r="DF606" s="408">
        <v>0</v>
      </c>
      <c r="DG606" s="408">
        <v>0</v>
      </c>
      <c r="DH606" s="408">
        <v>0</v>
      </c>
      <c r="DI606" s="408">
        <v>0</v>
      </c>
      <c r="DJ606" s="408"/>
      <c r="DK606" s="408">
        <v>0</v>
      </c>
      <c r="DL606" s="408">
        <v>0</v>
      </c>
      <c r="DM606" s="408"/>
      <c r="DN606" s="408">
        <v>0</v>
      </c>
      <c r="DO606" s="408">
        <v>0</v>
      </c>
      <c r="DP606" s="408">
        <v>0</v>
      </c>
      <c r="DQ606" s="408">
        <v>0</v>
      </c>
      <c r="DR606" s="408">
        <v>0</v>
      </c>
      <c r="DS606" s="408"/>
      <c r="DT606" s="408"/>
      <c r="DU606" s="408">
        <v>673.16838571232495</v>
      </c>
      <c r="DV606" s="408"/>
      <c r="DW606" s="408">
        <v>0</v>
      </c>
      <c r="DX606" s="408">
        <v>0</v>
      </c>
      <c r="DY606" s="408">
        <v>-481</v>
      </c>
      <c r="DZ606" s="234"/>
      <c r="EA606" s="408">
        <v>0</v>
      </c>
      <c r="EB606" s="408"/>
      <c r="EC606" s="408">
        <v>-494.58342176405921</v>
      </c>
      <c r="ED606" s="408"/>
      <c r="EE606" s="408">
        <v>0</v>
      </c>
      <c r="EF606" s="408">
        <v>0</v>
      </c>
      <c r="EG606" s="408"/>
      <c r="EH606" s="408">
        <v>0</v>
      </c>
      <c r="EI606" s="408">
        <v>0</v>
      </c>
      <c r="EJ606" s="408">
        <v>0</v>
      </c>
      <c r="EK606" s="408">
        <v>0</v>
      </c>
      <c r="EL606" s="408">
        <v>0</v>
      </c>
      <c r="EM606" s="408"/>
      <c r="EN606" s="408"/>
      <c r="EO606" s="408">
        <v>0</v>
      </c>
      <c r="EP606" s="408">
        <v>0</v>
      </c>
      <c r="EQ606" s="408"/>
      <c r="ER606" s="408">
        <v>0</v>
      </c>
      <c r="ES606" s="408"/>
      <c r="ET606" s="408">
        <v>0</v>
      </c>
      <c r="EU606" s="408"/>
      <c r="EV606" s="408">
        <v>242</v>
      </c>
      <c r="EW606" s="408"/>
      <c r="EX606" s="408"/>
      <c r="EY606" s="408"/>
      <c r="EZ606" s="408"/>
      <c r="FA606" s="408">
        <v>0</v>
      </c>
      <c r="FB606" s="408"/>
      <c r="FC606" s="408"/>
      <c r="FD606" s="408"/>
      <c r="FE606" s="408"/>
      <c r="FF606" s="408">
        <v>0</v>
      </c>
      <c r="FG606" s="408">
        <v>0</v>
      </c>
      <c r="FH606" s="408">
        <v>0</v>
      </c>
      <c r="FI606" s="408">
        <v>0</v>
      </c>
    </row>
    <row r="607" spans="1:165">
      <c r="A607" s="408">
        <v>608</v>
      </c>
      <c r="B607" s="408" t="s">
        <v>1036</v>
      </c>
      <c r="C607" s="408" t="s">
        <v>2239</v>
      </c>
      <c r="D607" s="408" t="s">
        <v>597</v>
      </c>
      <c r="E607" s="408" t="s">
        <v>974</v>
      </c>
      <c r="F607" s="408" t="s">
        <v>2248</v>
      </c>
      <c r="G607" s="408" t="s">
        <v>2250</v>
      </c>
      <c r="H607" s="408" t="s">
        <v>1322</v>
      </c>
      <c r="I607" s="408" t="s">
        <v>2240</v>
      </c>
      <c r="J607" s="408" t="s">
        <v>2232</v>
      </c>
      <c r="K607" s="828">
        <v>44713</v>
      </c>
      <c r="L607" s="408">
        <v>0</v>
      </c>
      <c r="M607" s="408">
        <v>0</v>
      </c>
      <c r="N607" s="408">
        <v>2.1680000000000001</v>
      </c>
      <c r="O607" s="408">
        <v>0.65039999999999998</v>
      </c>
      <c r="P607" s="408">
        <v>2.1680000000000001</v>
      </c>
      <c r="Q607" s="408">
        <v>0.65039999999999998</v>
      </c>
      <c r="R607" s="408"/>
      <c r="S607" s="408">
        <v>80.27</v>
      </c>
      <c r="T607" s="408">
        <v>216.76</v>
      </c>
      <c r="U607" s="408"/>
      <c r="V607" s="408">
        <v>643.96104000000003</v>
      </c>
      <c r="W607" s="408">
        <v>643.96104000000003</v>
      </c>
      <c r="X607" s="408">
        <v>713.85735999999997</v>
      </c>
      <c r="Y607" s="408">
        <v>0</v>
      </c>
      <c r="Z607" s="408">
        <v>114.32132144378519</v>
      </c>
      <c r="AA607" s="408">
        <v>0</v>
      </c>
      <c r="AB607" s="408">
        <v>0</v>
      </c>
      <c r="AC607" s="408">
        <v>0</v>
      </c>
      <c r="AD607" s="408">
        <v>0</v>
      </c>
      <c r="AE607" s="408">
        <v>0</v>
      </c>
      <c r="AF607" s="408">
        <v>463.0880537856429</v>
      </c>
      <c r="AG607" s="408">
        <v>6.8452534686287168</v>
      </c>
      <c r="AH607" s="408">
        <v>0</v>
      </c>
      <c r="AI607" s="408">
        <v>0</v>
      </c>
      <c r="AJ607" s="408">
        <v>0</v>
      </c>
      <c r="AK607" s="408">
        <v>0</v>
      </c>
      <c r="AL607" s="408">
        <v>20.322037771779261</v>
      </c>
      <c r="AM607" s="408"/>
      <c r="AN607" s="408">
        <v>2.9771457220151438</v>
      </c>
      <c r="AO607" s="408">
        <v>0</v>
      </c>
      <c r="AP607" s="408">
        <v>0</v>
      </c>
      <c r="AQ607" s="408">
        <v>0</v>
      </c>
      <c r="AR607" s="408">
        <v>0</v>
      </c>
      <c r="AS607" s="408">
        <v>0</v>
      </c>
      <c r="AT607" s="408">
        <v>0</v>
      </c>
      <c r="AU607" s="408">
        <v>0</v>
      </c>
      <c r="AV607" s="408">
        <v>0</v>
      </c>
      <c r="AW607" s="408">
        <v>0</v>
      </c>
      <c r="AX607" s="408">
        <v>0</v>
      </c>
      <c r="AY607" s="408">
        <v>0</v>
      </c>
      <c r="AZ607" s="408">
        <v>0</v>
      </c>
      <c r="BA607" s="408"/>
      <c r="BB607" s="408">
        <v>0</v>
      </c>
      <c r="BC607" s="408">
        <v>0</v>
      </c>
      <c r="BD607" s="408">
        <v>0.99142357825034477</v>
      </c>
      <c r="BE607" s="408">
        <v>0</v>
      </c>
      <c r="BF607" s="408">
        <v>0</v>
      </c>
      <c r="BG607" s="408">
        <v>35.416788001055238</v>
      </c>
      <c r="BH607" s="408">
        <v>0</v>
      </c>
      <c r="BI607" s="408">
        <v>0</v>
      </c>
      <c r="BJ607" s="408">
        <v>0</v>
      </c>
      <c r="BK607" s="408">
        <v>0</v>
      </c>
      <c r="BL607" s="408">
        <v>0</v>
      </c>
      <c r="BM607" s="408"/>
      <c r="BN607" s="408"/>
      <c r="BO607" s="408"/>
      <c r="BP607" s="408"/>
      <c r="BQ607" s="408"/>
      <c r="BR607" s="408"/>
      <c r="BS607" s="408">
        <v>499.70015200000006</v>
      </c>
      <c r="BT607" s="408"/>
      <c r="BU607" s="408"/>
      <c r="BV607" s="408">
        <v>499.4962653649485</v>
      </c>
      <c r="BW607" s="408"/>
      <c r="BX607" s="408"/>
      <c r="BY607" s="408"/>
      <c r="BZ607" s="408"/>
      <c r="CA607" s="408"/>
      <c r="CB607" s="408"/>
      <c r="CC607" s="408"/>
      <c r="CD607" s="408"/>
      <c r="CE607" s="408"/>
      <c r="CF607" s="408"/>
      <c r="CG607" s="408"/>
      <c r="CH607" s="408"/>
      <c r="CI607" s="408">
        <v>214.02549999999999</v>
      </c>
      <c r="CJ607" s="408">
        <v>20.807188000000025</v>
      </c>
      <c r="CK607" s="408"/>
      <c r="CL607" s="408"/>
      <c r="CM607" s="408"/>
      <c r="CN607" s="408"/>
      <c r="CO607" s="408">
        <v>-0.84552000000000127</v>
      </c>
      <c r="CP607" s="408">
        <v>70.741839999999996</v>
      </c>
      <c r="CQ607" s="408">
        <v>30</v>
      </c>
      <c r="CR607" s="408">
        <v>69.898507382628395</v>
      </c>
      <c r="CS607" s="408">
        <v>0</v>
      </c>
      <c r="CT607" s="408">
        <v>0</v>
      </c>
      <c r="CU607" s="408">
        <v>0</v>
      </c>
      <c r="CV607" s="408">
        <v>0</v>
      </c>
      <c r="CW607" s="408">
        <v>0</v>
      </c>
      <c r="CX607" s="408">
        <v>0</v>
      </c>
      <c r="CY607" s="408">
        <v>0</v>
      </c>
      <c r="CZ607" s="408">
        <v>0</v>
      </c>
      <c r="DA607" s="408">
        <v>0</v>
      </c>
      <c r="DB607" s="408">
        <v>0</v>
      </c>
      <c r="DC607" s="408">
        <v>70.75093155869655</v>
      </c>
      <c r="DD607" s="408">
        <v>0</v>
      </c>
      <c r="DE607" s="408">
        <v>0</v>
      </c>
      <c r="DF607" s="408">
        <v>0.15147041940956252</v>
      </c>
      <c r="DG607" s="408">
        <v>5.4110027745424816</v>
      </c>
      <c r="DH607" s="408">
        <v>0</v>
      </c>
      <c r="DI607" s="408">
        <v>-5.4619521368273922</v>
      </c>
      <c r="DJ607" s="408"/>
      <c r="DK607" s="408">
        <v>0</v>
      </c>
      <c r="DL607" s="408">
        <v>0</v>
      </c>
      <c r="DM607" s="408">
        <v>0</v>
      </c>
      <c r="DN607" s="408">
        <v>0</v>
      </c>
      <c r="DO607" s="408">
        <v>-0.82346134900972245</v>
      </c>
      <c r="DP607" s="408">
        <v>-0.12948388418311518</v>
      </c>
      <c r="DQ607" s="408">
        <v>0</v>
      </c>
      <c r="DR607" s="408">
        <v>0</v>
      </c>
      <c r="DS607" s="408"/>
      <c r="DT607" s="408"/>
      <c r="DU607" s="408"/>
      <c r="DV607" s="408">
        <v>0</v>
      </c>
      <c r="DW607" s="408">
        <v>0</v>
      </c>
      <c r="DX607" s="408">
        <v>0</v>
      </c>
      <c r="DY607" s="408">
        <v>-0.84551999999999339</v>
      </c>
      <c r="DZ607" s="234">
        <v>70.741839999999968</v>
      </c>
      <c r="EA607" s="408">
        <v>0</v>
      </c>
      <c r="EB607" s="408">
        <v>0</v>
      </c>
      <c r="EC607" s="408">
        <v>0</v>
      </c>
      <c r="ED607" s="408">
        <v>0</v>
      </c>
      <c r="EE607" s="408">
        <v>0</v>
      </c>
      <c r="EF607" s="408">
        <v>0</v>
      </c>
      <c r="EG607" s="408">
        <v>0</v>
      </c>
      <c r="EH607" s="408">
        <v>0</v>
      </c>
      <c r="EI607" s="408">
        <v>0</v>
      </c>
      <c r="EJ607" s="408">
        <v>0</v>
      </c>
      <c r="EK607" s="408">
        <v>0</v>
      </c>
      <c r="EL607" s="408">
        <v>0</v>
      </c>
      <c r="EM607" s="408">
        <v>0</v>
      </c>
      <c r="EN607" s="408">
        <v>0</v>
      </c>
      <c r="EO607" s="408">
        <v>0</v>
      </c>
      <c r="EP607" s="408">
        <v>0</v>
      </c>
      <c r="EQ607" s="408">
        <v>0</v>
      </c>
      <c r="ER607" s="408">
        <v>0</v>
      </c>
      <c r="ES607" s="408">
        <v>0</v>
      </c>
      <c r="ET607" s="408">
        <v>0</v>
      </c>
      <c r="EU607" s="408">
        <v>0</v>
      </c>
      <c r="EV607" s="408">
        <v>242</v>
      </c>
      <c r="EW607" s="408">
        <v>0</v>
      </c>
      <c r="EX607" s="408">
        <v>0</v>
      </c>
      <c r="EY607" s="408">
        <v>0</v>
      </c>
      <c r="EZ607" s="408"/>
      <c r="FA607" s="408">
        <v>0</v>
      </c>
      <c r="FB607" s="408"/>
      <c r="FC607" s="408"/>
      <c r="FD607" s="408"/>
      <c r="FE607" s="408"/>
      <c r="FF607" s="408">
        <v>0</v>
      </c>
      <c r="FG607" s="408">
        <v>0</v>
      </c>
      <c r="FH607" s="408">
        <v>0</v>
      </c>
      <c r="FI607" s="408">
        <v>0</v>
      </c>
    </row>
    <row r="608" spans="1:165">
      <c r="A608" s="408">
        <v>609</v>
      </c>
      <c r="B608" s="408" t="s">
        <v>1036</v>
      </c>
      <c r="C608" s="408" t="s">
        <v>2231</v>
      </c>
      <c r="D608" s="408" t="s">
        <v>2241</v>
      </c>
      <c r="E608" s="408" t="s">
        <v>974</v>
      </c>
      <c r="F608" s="408" t="s">
        <v>2251</v>
      </c>
      <c r="G608" s="408" t="s">
        <v>2249</v>
      </c>
      <c r="H608" s="408" t="s">
        <v>1322</v>
      </c>
      <c r="I608" s="408" t="s">
        <v>1322</v>
      </c>
      <c r="J608" s="408" t="s">
        <v>2232</v>
      </c>
      <c r="K608" s="828">
        <v>44713</v>
      </c>
      <c r="L608" s="408">
        <v>0</v>
      </c>
      <c r="M608" s="408">
        <v>0</v>
      </c>
      <c r="N608" s="408">
        <v>0</v>
      </c>
      <c r="O608" s="408">
        <v>0</v>
      </c>
      <c r="P608" s="408">
        <v>0</v>
      </c>
      <c r="Q608" s="408">
        <v>0</v>
      </c>
      <c r="R608" s="408"/>
      <c r="S608" s="408"/>
      <c r="T608" s="408"/>
      <c r="U608" s="408"/>
      <c r="V608" s="408"/>
      <c r="W608" s="408"/>
      <c r="X608" s="408"/>
      <c r="Y608" s="408"/>
      <c r="Z608" s="408"/>
      <c r="AA608" s="408">
        <v>0</v>
      </c>
      <c r="AB608" s="408"/>
      <c r="AC608" s="408"/>
      <c r="AD608" s="408"/>
      <c r="AE608" s="408"/>
      <c r="AF608" s="408"/>
      <c r="AG608" s="408"/>
      <c r="AH608" s="408"/>
      <c r="AI608" s="408"/>
      <c r="AJ608" s="408"/>
      <c r="AK608" s="408"/>
      <c r="AL608" s="408"/>
      <c r="AM608" s="408"/>
      <c r="AN608" s="408"/>
      <c r="AO608" s="408"/>
      <c r="AP608" s="408"/>
      <c r="AQ608" s="408"/>
      <c r="AR608" s="408"/>
      <c r="AS608" s="408"/>
      <c r="AT608" s="408"/>
      <c r="AU608" s="408"/>
      <c r="AV608" s="408"/>
      <c r="AW608" s="408"/>
      <c r="AX608" s="408"/>
      <c r="AY608" s="408"/>
      <c r="AZ608" s="408">
        <v>0</v>
      </c>
      <c r="BA608" s="408"/>
      <c r="BB608" s="408"/>
      <c r="BC608" s="408"/>
      <c r="BD608" s="408"/>
      <c r="BE608" s="408"/>
      <c r="BF608" s="408"/>
      <c r="BG608" s="408"/>
      <c r="BH608" s="408"/>
      <c r="BI608" s="408">
        <v>4.1500000000000004</v>
      </c>
      <c r="BJ608" s="408">
        <v>19.149999999999999</v>
      </c>
      <c r="BK608" s="408">
        <v>52.02</v>
      </c>
      <c r="BL608" s="408">
        <v>10</v>
      </c>
      <c r="BM608" s="408"/>
      <c r="BN608" s="408"/>
      <c r="BO608" s="408"/>
      <c r="BP608" s="408"/>
      <c r="BQ608" s="408"/>
      <c r="BR608" s="408"/>
      <c r="BS608" s="408"/>
      <c r="BT608" s="408"/>
      <c r="BU608" s="408"/>
      <c r="BV608" s="408"/>
      <c r="BW608" s="408"/>
      <c r="BX608" s="408"/>
      <c r="BY608" s="408"/>
      <c r="BZ608" s="408"/>
      <c r="CA608" s="408"/>
      <c r="CB608" s="408"/>
      <c r="CC608" s="408"/>
      <c r="CD608" s="408"/>
      <c r="CE608" s="408"/>
      <c r="CF608" s="408"/>
      <c r="CG608" s="408"/>
      <c r="CH608" s="408"/>
      <c r="CI608" s="408"/>
      <c r="CJ608" s="408">
        <v>-0.03</v>
      </c>
      <c r="CK608" s="408"/>
      <c r="CL608" s="408"/>
      <c r="CM608" s="408"/>
      <c r="CN608" s="408"/>
      <c r="CO608" s="408">
        <v>0</v>
      </c>
      <c r="CP608" s="408">
        <v>0</v>
      </c>
      <c r="CQ608" s="408">
        <v>30</v>
      </c>
      <c r="CR608" s="408"/>
      <c r="CS608" s="408"/>
      <c r="CT608" s="408"/>
      <c r="CU608" s="408"/>
      <c r="CV608" s="408"/>
      <c r="CW608" s="408"/>
      <c r="CX608" s="408"/>
      <c r="CY608" s="408"/>
      <c r="CZ608" s="408"/>
      <c r="DA608" s="408"/>
      <c r="DB608" s="408"/>
      <c r="DC608" s="408"/>
      <c r="DD608" s="408"/>
      <c r="DE608" s="408"/>
      <c r="DF608" s="408"/>
      <c r="DG608" s="408"/>
      <c r="DH608" s="408"/>
      <c r="DI608" s="408"/>
      <c r="DJ608" s="408"/>
      <c r="DK608" s="408">
        <v>0</v>
      </c>
      <c r="DL608" s="408"/>
      <c r="DM608" s="408"/>
      <c r="DN608" s="408"/>
      <c r="DO608" s="408"/>
      <c r="DP608" s="408"/>
      <c r="DQ608" s="408"/>
      <c r="DR608" s="408"/>
      <c r="DS608" s="408"/>
      <c r="DT608" s="408"/>
      <c r="DU608" s="408"/>
      <c r="DV608" s="408"/>
      <c r="DW608" s="408"/>
      <c r="DX608" s="408"/>
      <c r="DY608" s="408"/>
      <c r="DZ608" s="234"/>
      <c r="EA608" s="408"/>
      <c r="EB608" s="408"/>
      <c r="EC608" s="408"/>
      <c r="ED608" s="408"/>
      <c r="EE608" s="408"/>
      <c r="EF608" s="408"/>
      <c r="EG608" s="408"/>
      <c r="EH608" s="408"/>
      <c r="EI608" s="408"/>
      <c r="EJ608" s="408"/>
      <c r="EK608" s="408"/>
      <c r="EL608" s="408"/>
      <c r="EM608" s="408"/>
      <c r="EN608" s="408"/>
      <c r="EO608" s="408"/>
      <c r="EP608" s="408"/>
      <c r="EQ608" s="408"/>
      <c r="ER608" s="408"/>
      <c r="ES608" s="408"/>
      <c r="ET608" s="408"/>
      <c r="EU608" s="408"/>
      <c r="EV608" s="408">
        <v>242</v>
      </c>
      <c r="EW608" s="408"/>
      <c r="EX608" s="408"/>
      <c r="EY608" s="408"/>
      <c r="EZ608" s="408"/>
      <c r="FA608" s="408">
        <v>0</v>
      </c>
      <c r="FB608" s="408"/>
      <c r="FC608" s="408"/>
      <c r="FD608" s="408"/>
      <c r="FE608" s="408"/>
      <c r="FF608" s="408">
        <v>0</v>
      </c>
      <c r="FG608" s="408">
        <v>0</v>
      </c>
      <c r="FH608" s="408">
        <v>0</v>
      </c>
      <c r="FI608" s="408">
        <v>0</v>
      </c>
    </row>
    <row r="609" spans="1:165">
      <c r="A609" s="408">
        <v>610</v>
      </c>
      <c r="B609" s="408" t="s">
        <v>1036</v>
      </c>
      <c r="C609" s="408" t="s">
        <v>2231</v>
      </c>
      <c r="D609" s="408" t="s">
        <v>2241</v>
      </c>
      <c r="E609" s="408" t="s">
        <v>974</v>
      </c>
      <c r="F609" s="408" t="s">
        <v>2251</v>
      </c>
      <c r="G609" s="408" t="s">
        <v>2249</v>
      </c>
      <c r="H609" s="408" t="s">
        <v>1322</v>
      </c>
      <c r="I609" s="408" t="s">
        <v>1322</v>
      </c>
      <c r="J609" s="408" t="s">
        <v>2232</v>
      </c>
      <c r="K609" s="828">
        <v>44713</v>
      </c>
      <c r="L609" s="408">
        <v>0</v>
      </c>
      <c r="M609" s="408">
        <v>0</v>
      </c>
      <c r="N609" s="408">
        <v>1.891</v>
      </c>
      <c r="O609" s="408">
        <v>1.891</v>
      </c>
      <c r="P609" s="408">
        <v>1.891</v>
      </c>
      <c r="Q609" s="408">
        <v>1.891</v>
      </c>
      <c r="R609" s="408"/>
      <c r="S609" s="408">
        <v>571.87</v>
      </c>
      <c r="T609" s="408">
        <v>216.76</v>
      </c>
      <c r="U609" s="408"/>
      <c r="V609" s="408">
        <v>1491.2993299999998</v>
      </c>
      <c r="W609" s="408">
        <v>1491.2993299999998</v>
      </c>
      <c r="X609" s="408">
        <v>971.99290999999994</v>
      </c>
      <c r="Y609" s="408">
        <v>0</v>
      </c>
      <c r="Z609" s="408">
        <v>114.61467683027831</v>
      </c>
      <c r="AA609" s="408">
        <v>0</v>
      </c>
      <c r="AB609" s="408">
        <v>0</v>
      </c>
      <c r="AC609" s="408">
        <v>0</v>
      </c>
      <c r="AD609" s="408">
        <v>1.5542388057698775</v>
      </c>
      <c r="AE609" s="408">
        <v>806.29151767592202</v>
      </c>
      <c r="AF609" s="408">
        <v>403.92043805749569</v>
      </c>
      <c r="AG609" s="408">
        <v>5.9706523566314127</v>
      </c>
      <c r="AH609" s="408">
        <v>0</v>
      </c>
      <c r="AI609" s="408">
        <v>0</v>
      </c>
      <c r="AJ609" s="408">
        <v>0</v>
      </c>
      <c r="AK609" s="408">
        <v>0</v>
      </c>
      <c r="AL609" s="408">
        <v>17.725541248355434</v>
      </c>
      <c r="AM609" s="408"/>
      <c r="AN609" s="408">
        <v>3.6278259306893506</v>
      </c>
      <c r="AO609" s="408">
        <v>16.795290443553469</v>
      </c>
      <c r="AP609" s="408">
        <v>52.621055772401839</v>
      </c>
      <c r="AQ609" s="408">
        <v>0</v>
      </c>
      <c r="AR609" s="408">
        <v>0</v>
      </c>
      <c r="AS609" s="408">
        <v>0</v>
      </c>
      <c r="AT609" s="408">
        <v>0</v>
      </c>
      <c r="AU609" s="408">
        <v>0</v>
      </c>
      <c r="AV609" s="408">
        <v>0</v>
      </c>
      <c r="AW609" s="408">
        <v>0</v>
      </c>
      <c r="AX609" s="408">
        <v>0</v>
      </c>
      <c r="AY609" s="408">
        <v>0</v>
      </c>
      <c r="AZ609" s="408">
        <v>0</v>
      </c>
      <c r="BA609" s="408"/>
      <c r="BB609" s="408">
        <v>0</v>
      </c>
      <c r="BC609" s="408">
        <v>0</v>
      </c>
      <c r="BD609" s="408">
        <v>1.1252766549777085</v>
      </c>
      <c r="BE609" s="408">
        <v>0</v>
      </c>
      <c r="BF609" s="408">
        <v>0</v>
      </c>
      <c r="BG609" s="408">
        <v>67.051527049163411</v>
      </c>
      <c r="BH609" s="408">
        <v>0</v>
      </c>
      <c r="BI609" s="408">
        <v>0</v>
      </c>
      <c r="BJ609" s="408">
        <v>0</v>
      </c>
      <c r="BK609" s="408">
        <v>0</v>
      </c>
      <c r="BL609" s="408">
        <v>0</v>
      </c>
      <c r="BM609" s="408"/>
      <c r="BN609" s="408"/>
      <c r="BO609" s="408"/>
      <c r="BP609" s="408"/>
      <c r="BQ609" s="408"/>
      <c r="BR609" s="408">
        <v>116.63687999999996</v>
      </c>
      <c r="BS609" s="408"/>
      <c r="BT609" s="408"/>
      <c r="BU609" s="408"/>
      <c r="BV609" s="408">
        <v>472.09724176163684</v>
      </c>
      <c r="BW609" s="408"/>
      <c r="BX609" s="408"/>
      <c r="BY609" s="408"/>
      <c r="BZ609" s="408"/>
      <c r="CA609" s="408"/>
      <c r="CB609" s="408"/>
      <c r="CC609" s="408"/>
      <c r="CD609" s="408"/>
      <c r="CE609" s="408"/>
      <c r="CF609" s="408"/>
      <c r="CG609" s="408"/>
      <c r="CH609" s="408"/>
      <c r="CI609" s="408">
        <v>854.90369999999996</v>
      </c>
      <c r="CJ609" s="408">
        <v>-457.48030000000006</v>
      </c>
      <c r="CK609" s="408"/>
      <c r="CL609" s="408"/>
      <c r="CM609" s="408"/>
      <c r="CN609" s="408"/>
      <c r="CO609" s="408">
        <v>-581.00975000000005</v>
      </c>
      <c r="CP609" s="408">
        <v>61.703329999999994</v>
      </c>
      <c r="CQ609" s="408">
        <v>30</v>
      </c>
      <c r="CR609" s="408">
        <v>73.087728355740978</v>
      </c>
      <c r="CS609" s="408">
        <v>1.7324598082224369</v>
      </c>
      <c r="CT609" s="408">
        <v>5.4279421066461921</v>
      </c>
      <c r="CU609" s="408">
        <v>0</v>
      </c>
      <c r="CV609" s="408">
        <v>0</v>
      </c>
      <c r="CW609" s="408">
        <v>0</v>
      </c>
      <c r="CX609" s="408">
        <v>0</v>
      </c>
      <c r="CY609" s="408">
        <v>0</v>
      </c>
      <c r="CZ609" s="408">
        <v>0.15196579160009671</v>
      </c>
      <c r="DA609" s="408">
        <v>0</v>
      </c>
      <c r="DB609" s="408">
        <v>0</v>
      </c>
      <c r="DC609" s="408">
        <v>61.711259952719161</v>
      </c>
      <c r="DD609" s="408">
        <v>0</v>
      </c>
      <c r="DE609" s="408">
        <v>0</v>
      </c>
      <c r="DF609" s="408">
        <v>0.17192059037174001</v>
      </c>
      <c r="DG609" s="408">
        <v>10.244181343873478</v>
      </c>
      <c r="DH609" s="408">
        <v>0</v>
      </c>
      <c r="DI609" s="408">
        <v>-5.4759678345107545</v>
      </c>
      <c r="DJ609" s="408"/>
      <c r="DK609" s="408">
        <v>0</v>
      </c>
      <c r="DL609" s="408">
        <v>0</v>
      </c>
      <c r="DM609" s="408">
        <v>0</v>
      </c>
      <c r="DN609" s="408">
        <v>0</v>
      </c>
      <c r="DO609" s="408">
        <v>-0.71824972831060307</v>
      </c>
      <c r="DP609" s="408">
        <v>-0.15778367487095046</v>
      </c>
      <c r="DQ609" s="408">
        <v>0</v>
      </c>
      <c r="DR609" s="408">
        <v>0</v>
      </c>
      <c r="DS609" s="408"/>
      <c r="DT609" s="408"/>
      <c r="DU609" s="408"/>
      <c r="DV609" s="408">
        <v>806.29151767592202</v>
      </c>
      <c r="DW609" s="408">
        <v>0</v>
      </c>
      <c r="DX609" s="408">
        <v>0</v>
      </c>
      <c r="DY609" s="408">
        <v>-581.00974999999994</v>
      </c>
      <c r="DZ609" s="234">
        <v>61.703329999999994</v>
      </c>
      <c r="EA609" s="408">
        <v>0</v>
      </c>
      <c r="EB609" s="408">
        <v>0</v>
      </c>
      <c r="EC609" s="408">
        <v>-592.39029374429094</v>
      </c>
      <c r="ED609" s="408">
        <v>0</v>
      </c>
      <c r="EE609" s="408">
        <v>0</v>
      </c>
      <c r="EF609" s="408">
        <v>0</v>
      </c>
      <c r="EG609" s="408">
        <v>0</v>
      </c>
      <c r="EH609" s="408">
        <v>0</v>
      </c>
      <c r="EI609" s="408">
        <v>0</v>
      </c>
      <c r="EJ609" s="408">
        <v>0</v>
      </c>
      <c r="EK609" s="408">
        <v>0</v>
      </c>
      <c r="EL609" s="408">
        <v>0</v>
      </c>
      <c r="EM609" s="408">
        <v>0</v>
      </c>
      <c r="EN609" s="408">
        <v>0</v>
      </c>
      <c r="EO609" s="408">
        <v>0</v>
      </c>
      <c r="EP609" s="408">
        <v>0</v>
      </c>
      <c r="EQ609" s="408">
        <v>0</v>
      </c>
      <c r="ER609" s="408">
        <v>0</v>
      </c>
      <c r="ES609" s="408">
        <v>0</v>
      </c>
      <c r="ET609" s="408">
        <v>0</v>
      </c>
      <c r="EU609" s="408">
        <v>0</v>
      </c>
      <c r="EV609" s="408">
        <v>242</v>
      </c>
      <c r="EW609" s="408">
        <v>0</v>
      </c>
      <c r="EX609" s="408">
        <v>0</v>
      </c>
      <c r="EY609" s="408">
        <v>0</v>
      </c>
      <c r="EZ609" s="408"/>
      <c r="FA609" s="408">
        <v>0</v>
      </c>
      <c r="FB609" s="408"/>
      <c r="FC609" s="408"/>
      <c r="FD609" s="408"/>
      <c r="FE609" s="408"/>
      <c r="FF609" s="408">
        <v>0</v>
      </c>
      <c r="FG609" s="408">
        <v>0</v>
      </c>
      <c r="FH609" s="408">
        <v>0</v>
      </c>
      <c r="FI609" s="408">
        <v>0</v>
      </c>
    </row>
    <row r="610" spans="1:165">
      <c r="A610" s="408">
        <v>611</v>
      </c>
      <c r="B610" s="408" t="s">
        <v>1036</v>
      </c>
      <c r="C610" s="408" t="s">
        <v>2231</v>
      </c>
      <c r="D610" s="408" t="s">
        <v>2241</v>
      </c>
      <c r="E610" s="408" t="s">
        <v>974</v>
      </c>
      <c r="F610" s="408" t="s">
        <v>2251</v>
      </c>
      <c r="G610" s="408" t="s">
        <v>2250</v>
      </c>
      <c r="H610" s="408" t="s">
        <v>1322</v>
      </c>
      <c r="I610" s="408" t="s">
        <v>1322</v>
      </c>
      <c r="J610" s="408" t="s">
        <v>2232</v>
      </c>
      <c r="K610" s="828">
        <v>44713</v>
      </c>
      <c r="L610" s="408">
        <v>0</v>
      </c>
      <c r="M610" s="408">
        <v>0</v>
      </c>
      <c r="N610" s="408">
        <v>2.5019999999999998</v>
      </c>
      <c r="O610" s="408">
        <v>1.0007999999999999</v>
      </c>
      <c r="P610" s="408">
        <v>2.5019999999999998</v>
      </c>
      <c r="Q610" s="408">
        <v>1.0007999999999999</v>
      </c>
      <c r="R610" s="408"/>
      <c r="S610" s="408">
        <v>571.87</v>
      </c>
      <c r="T610" s="408">
        <v>216.76</v>
      </c>
      <c r="U610" s="408"/>
      <c r="V610" s="408">
        <v>1973.1522599999998</v>
      </c>
      <c r="W610" s="408">
        <v>1973.1522599999998</v>
      </c>
      <c r="X610" s="408">
        <v>1286.0530199999998</v>
      </c>
      <c r="Y610" s="408">
        <v>0</v>
      </c>
      <c r="Z610" s="408">
        <v>151.64776384418633</v>
      </c>
      <c r="AA610" s="408">
        <v>0</v>
      </c>
      <c r="AB610" s="408">
        <v>0</v>
      </c>
      <c r="AC610" s="408">
        <v>0</v>
      </c>
      <c r="AD610" s="408">
        <v>2.0564280761693459</v>
      </c>
      <c r="AE610" s="408">
        <v>1066.8119393046836</v>
      </c>
      <c r="AF610" s="408">
        <v>534.43095506073723</v>
      </c>
      <c r="AG610" s="408">
        <v>7.8998266506038046</v>
      </c>
      <c r="AH610" s="408">
        <v>0</v>
      </c>
      <c r="AI610" s="408">
        <v>0</v>
      </c>
      <c r="AJ610" s="408">
        <v>0</v>
      </c>
      <c r="AK610" s="408">
        <v>0</v>
      </c>
      <c r="AL610" s="408">
        <v>23.45283141374156</v>
      </c>
      <c r="AM610" s="408"/>
      <c r="AN610" s="408">
        <v>4.8000108295001347</v>
      </c>
      <c r="AO610" s="408">
        <v>22.222007768255303</v>
      </c>
      <c r="AP610" s="408">
        <v>69.62341699764643</v>
      </c>
      <c r="AQ610" s="408">
        <v>0</v>
      </c>
      <c r="AR610" s="408">
        <v>0</v>
      </c>
      <c r="AS610" s="408">
        <v>0</v>
      </c>
      <c r="AT610" s="408">
        <v>0</v>
      </c>
      <c r="AU610" s="408">
        <v>0</v>
      </c>
      <c r="AV610" s="408">
        <v>0</v>
      </c>
      <c r="AW610" s="408">
        <v>0</v>
      </c>
      <c r="AX610" s="408">
        <v>0</v>
      </c>
      <c r="AY610" s="408">
        <v>0</v>
      </c>
      <c r="AZ610" s="408">
        <v>0</v>
      </c>
      <c r="BA610" s="408"/>
      <c r="BB610" s="408">
        <v>0</v>
      </c>
      <c r="BC610" s="408">
        <v>0</v>
      </c>
      <c r="BD610" s="408">
        <v>1.4888641939472376</v>
      </c>
      <c r="BE610" s="408">
        <v>0</v>
      </c>
      <c r="BF610" s="408">
        <v>0</v>
      </c>
      <c r="BG610" s="408">
        <v>88.716510141198754</v>
      </c>
      <c r="BH610" s="408">
        <v>0</v>
      </c>
      <c r="BI610" s="408">
        <v>0</v>
      </c>
      <c r="BJ610" s="408">
        <v>0</v>
      </c>
      <c r="BK610" s="408">
        <v>0</v>
      </c>
      <c r="BL610" s="408">
        <v>0</v>
      </c>
      <c r="BM610" s="408"/>
      <c r="BN610" s="408"/>
      <c r="BO610" s="408"/>
      <c r="BP610" s="408"/>
      <c r="BQ610" s="408"/>
      <c r="BR610" s="408"/>
      <c r="BS610" s="408">
        <v>833.36115599999994</v>
      </c>
      <c r="BT610" s="408"/>
      <c r="BU610" s="408"/>
      <c r="BV610" s="408">
        <v>624.63632939588331</v>
      </c>
      <c r="BW610" s="408"/>
      <c r="BX610" s="408"/>
      <c r="BY610" s="408"/>
      <c r="BZ610" s="408"/>
      <c r="CA610" s="408"/>
      <c r="CB610" s="408"/>
      <c r="CC610" s="408"/>
      <c r="CD610" s="408"/>
      <c r="CE610" s="408"/>
      <c r="CF610" s="408"/>
      <c r="CG610" s="408"/>
      <c r="CH610" s="408"/>
      <c r="CI610" s="408">
        <v>452.33000000000004</v>
      </c>
      <c r="CJ610" s="408">
        <v>-242.25519999999983</v>
      </c>
      <c r="CK610" s="408"/>
      <c r="CL610" s="408"/>
      <c r="CM610" s="408"/>
      <c r="CN610" s="408"/>
      <c r="CO610" s="408">
        <v>-768.73949999999991</v>
      </c>
      <c r="CP610" s="408">
        <v>81.640259999999984</v>
      </c>
      <c r="CQ610" s="408">
        <v>30</v>
      </c>
      <c r="CR610" s="408">
        <v>96.703065227955221</v>
      </c>
      <c r="CS610" s="408">
        <v>2.2922339715349231</v>
      </c>
      <c r="CT610" s="408">
        <v>7.1817615816122498</v>
      </c>
      <c r="CU610" s="408">
        <v>0</v>
      </c>
      <c r="CV610" s="408">
        <v>0</v>
      </c>
      <c r="CW610" s="408">
        <v>0</v>
      </c>
      <c r="CX610" s="408">
        <v>0</v>
      </c>
      <c r="CY610" s="408">
        <v>0</v>
      </c>
      <c r="CZ610" s="408">
        <v>0.20106737735771629</v>
      </c>
      <c r="DA610" s="408">
        <v>0</v>
      </c>
      <c r="DB610" s="408">
        <v>0</v>
      </c>
      <c r="DC610" s="408">
        <v>81.650752195506811</v>
      </c>
      <c r="DD610" s="408">
        <v>0</v>
      </c>
      <c r="DE610" s="408">
        <v>0</v>
      </c>
      <c r="DF610" s="408">
        <v>0.22746976050242917</v>
      </c>
      <c r="DG610" s="408">
        <v>13.554173306383632</v>
      </c>
      <c r="DH610" s="408">
        <v>0</v>
      </c>
      <c r="DI610" s="408">
        <v>-7.2453048767561938</v>
      </c>
      <c r="DJ610" s="408"/>
      <c r="DK610" s="408">
        <v>0</v>
      </c>
      <c r="DL610" s="408">
        <v>0</v>
      </c>
      <c r="DM610" s="408">
        <v>0</v>
      </c>
      <c r="DN610" s="408">
        <v>0</v>
      </c>
      <c r="DO610" s="408">
        <v>-0.95032301440144096</v>
      </c>
      <c r="DP610" s="408">
        <v>-0.208765073784833</v>
      </c>
      <c r="DQ610" s="408">
        <v>0</v>
      </c>
      <c r="DR610" s="408">
        <v>0</v>
      </c>
      <c r="DS610" s="408"/>
      <c r="DT610" s="408"/>
      <c r="DU610" s="408"/>
      <c r="DV610" s="408">
        <v>1066.8119393046836</v>
      </c>
      <c r="DW610" s="408">
        <v>0</v>
      </c>
      <c r="DX610" s="408">
        <v>0</v>
      </c>
      <c r="DY610" s="408">
        <v>-768.73950000000002</v>
      </c>
      <c r="DZ610" s="234">
        <v>81.640260000000012</v>
      </c>
      <c r="EA610" s="408">
        <v>0</v>
      </c>
      <c r="EB610" s="408">
        <v>0</v>
      </c>
      <c r="EC610" s="408">
        <v>-783.79720515505858</v>
      </c>
      <c r="ED610" s="408">
        <v>0</v>
      </c>
      <c r="EE610" s="408">
        <v>0</v>
      </c>
      <c r="EF610" s="408">
        <v>0</v>
      </c>
      <c r="EG610" s="408">
        <v>0</v>
      </c>
      <c r="EH610" s="408">
        <v>0</v>
      </c>
      <c r="EI610" s="408">
        <v>0</v>
      </c>
      <c r="EJ610" s="408">
        <v>0</v>
      </c>
      <c r="EK610" s="408">
        <v>0</v>
      </c>
      <c r="EL610" s="408">
        <v>0</v>
      </c>
      <c r="EM610" s="408">
        <v>0</v>
      </c>
      <c r="EN610" s="408">
        <v>0</v>
      </c>
      <c r="EO610" s="408">
        <v>0</v>
      </c>
      <c r="EP610" s="408">
        <v>0</v>
      </c>
      <c r="EQ610" s="408">
        <v>0</v>
      </c>
      <c r="ER610" s="408">
        <v>0</v>
      </c>
      <c r="ES610" s="408">
        <v>0</v>
      </c>
      <c r="ET610" s="408">
        <v>0</v>
      </c>
      <c r="EU610" s="408">
        <v>0</v>
      </c>
      <c r="EV610" s="408">
        <v>242</v>
      </c>
      <c r="EW610" s="408">
        <v>0</v>
      </c>
      <c r="EX610" s="408">
        <v>0</v>
      </c>
      <c r="EY610" s="408">
        <v>0</v>
      </c>
      <c r="EZ610" s="408"/>
      <c r="FA610" s="408">
        <v>0</v>
      </c>
      <c r="FB610" s="408"/>
      <c r="FC610" s="408"/>
      <c r="FD610" s="408"/>
      <c r="FE610" s="408"/>
      <c r="FF610" s="408">
        <v>0</v>
      </c>
      <c r="FG610" s="408">
        <v>0</v>
      </c>
      <c r="FH610" s="408">
        <v>0</v>
      </c>
      <c r="FI610" s="408">
        <v>0</v>
      </c>
    </row>
    <row r="611" spans="1:165">
      <c r="A611" s="408">
        <v>612</v>
      </c>
      <c r="B611" s="408" t="s">
        <v>1036</v>
      </c>
      <c r="C611" s="408" t="s">
        <v>2239</v>
      </c>
      <c r="D611" s="408" t="s">
        <v>597</v>
      </c>
      <c r="E611" s="408" t="s">
        <v>970</v>
      </c>
      <c r="F611" s="408" t="s">
        <v>1322</v>
      </c>
      <c r="G611" s="408" t="s">
        <v>2327</v>
      </c>
      <c r="H611" s="408" t="s">
        <v>1322</v>
      </c>
      <c r="I611" s="408" t="s">
        <v>973</v>
      </c>
      <c r="J611" s="408" t="s">
        <v>2328</v>
      </c>
      <c r="K611" s="828">
        <v>44378</v>
      </c>
      <c r="L611" s="408">
        <v>0</v>
      </c>
      <c r="M611" s="408">
        <v>0</v>
      </c>
      <c r="N611" s="408">
        <v>10.778</v>
      </c>
      <c r="O611" s="408">
        <v>5.3890000000000002</v>
      </c>
      <c r="P611" s="408">
        <v>0</v>
      </c>
      <c r="Q611" s="408">
        <v>0</v>
      </c>
      <c r="R611" s="408"/>
      <c r="S611" s="408">
        <v>2592.54</v>
      </c>
      <c r="T611" s="408"/>
      <c r="U611" s="408"/>
      <c r="V611" s="408">
        <v>27942.396120000001</v>
      </c>
      <c r="W611" s="408">
        <v>27942.396120000001</v>
      </c>
      <c r="X611" s="408">
        <v>10043.04818</v>
      </c>
      <c r="Y611" s="408">
        <v>0</v>
      </c>
      <c r="Z611" s="408">
        <v>568.3372705355705</v>
      </c>
      <c r="AA611" s="408">
        <v>0</v>
      </c>
      <c r="AB611" s="408">
        <v>0</v>
      </c>
      <c r="AC611" s="408">
        <v>0</v>
      </c>
      <c r="AD611" s="408">
        <v>54.500414261765009</v>
      </c>
      <c r="AE611" s="408">
        <v>24691.22863457226</v>
      </c>
      <c r="AF611" s="408"/>
      <c r="AG611" s="408"/>
      <c r="AH611" s="408"/>
      <c r="AI611" s="408">
        <v>0</v>
      </c>
      <c r="AJ611" s="408">
        <v>0</v>
      </c>
      <c r="AK611" s="408">
        <v>0</v>
      </c>
      <c r="AL611" s="408">
        <v>101.02902357206497</v>
      </c>
      <c r="AM611" s="408"/>
      <c r="AN611" s="408">
        <v>14.800588833892627</v>
      </c>
      <c r="AO611" s="408">
        <v>486.2480854670938</v>
      </c>
      <c r="AP611" s="408">
        <v>1845.201669751217</v>
      </c>
      <c r="AQ611" s="408">
        <v>0</v>
      </c>
      <c r="AR611" s="408">
        <v>0</v>
      </c>
      <c r="AS611" s="408"/>
      <c r="AT611" s="408"/>
      <c r="AU611" s="408">
        <v>0</v>
      </c>
      <c r="AV611" s="408">
        <v>0</v>
      </c>
      <c r="AW611" s="408">
        <v>0</v>
      </c>
      <c r="AX611" s="408"/>
      <c r="AY611" s="408"/>
      <c r="AZ611" s="408">
        <v>0</v>
      </c>
      <c r="BA611" s="408"/>
      <c r="BB611" s="408">
        <v>0</v>
      </c>
      <c r="BC611" s="408">
        <v>0</v>
      </c>
      <c r="BD611" s="408">
        <v>4.9287653719475166</v>
      </c>
      <c r="BE611" s="408">
        <v>0</v>
      </c>
      <c r="BF611" s="408"/>
      <c r="BG611" s="408">
        <v>176.07109828199879</v>
      </c>
      <c r="BH611" s="408">
        <v>0</v>
      </c>
      <c r="BI611" s="408">
        <v>0</v>
      </c>
      <c r="BJ611" s="408">
        <v>0</v>
      </c>
      <c r="BK611" s="408">
        <v>0</v>
      </c>
      <c r="BL611" s="408">
        <v>0</v>
      </c>
      <c r="BM611" s="408"/>
      <c r="BN611" s="408">
        <v>5021.5240899999999</v>
      </c>
      <c r="BO611" s="408"/>
      <c r="BP611" s="408"/>
      <c r="BQ611" s="408"/>
      <c r="BR611" s="408"/>
      <c r="BS611" s="408"/>
      <c r="BT611" s="408"/>
      <c r="BU611" s="408"/>
      <c r="BV611" s="408">
        <v>180.99986365394631</v>
      </c>
      <c r="BW611" s="408"/>
      <c r="BX611" s="408"/>
      <c r="BY611" s="408"/>
      <c r="BZ611" s="408"/>
      <c r="CA611" s="408"/>
      <c r="CB611" s="408"/>
      <c r="CC611" s="408"/>
      <c r="CD611" s="408"/>
      <c r="CE611" s="408"/>
      <c r="CF611" s="408"/>
      <c r="CG611" s="408"/>
      <c r="CH611" s="408"/>
      <c r="CI611" s="408">
        <v>5022.455899999999</v>
      </c>
      <c r="CJ611" s="408">
        <v>-8948.7721600000023</v>
      </c>
      <c r="CK611" s="408"/>
      <c r="CL611" s="408"/>
      <c r="CM611" s="408"/>
      <c r="CN611" s="408"/>
      <c r="CO611" s="408">
        <v>-17899.34794</v>
      </c>
      <c r="CP611" s="408">
        <v>0</v>
      </c>
      <c r="CQ611" s="408">
        <v>31</v>
      </c>
      <c r="CR611" s="408">
        <v>241.58363359643681</v>
      </c>
      <c r="CS611" s="408">
        <v>50.157231143340141</v>
      </c>
      <c r="CT611" s="408">
        <v>190.33536464597069</v>
      </c>
      <c r="CU611" s="408">
        <v>0</v>
      </c>
      <c r="CV611" s="408">
        <v>0</v>
      </c>
      <c r="CW611" s="408"/>
      <c r="CX611" s="408"/>
      <c r="CY611" s="408"/>
      <c r="CZ611" s="408">
        <v>5.3287812433172732</v>
      </c>
      <c r="DA611" s="408">
        <v>0</v>
      </c>
      <c r="DB611" s="408">
        <v>0</v>
      </c>
      <c r="DC611" s="408"/>
      <c r="DD611" s="408"/>
      <c r="DE611" s="408">
        <v>0</v>
      </c>
      <c r="DF611" s="408">
        <v>0.75302037841156189</v>
      </c>
      <c r="DG611" s="408">
        <v>26.900271173440416</v>
      </c>
      <c r="DH611" s="408">
        <v>0</v>
      </c>
      <c r="DI611" s="408">
        <v>-27.153560945906634</v>
      </c>
      <c r="DJ611" s="408"/>
      <c r="DK611" s="408">
        <v>0</v>
      </c>
      <c r="DL611" s="408">
        <v>0</v>
      </c>
      <c r="DM611" s="408"/>
      <c r="DN611" s="408">
        <v>0</v>
      </c>
      <c r="DO611" s="408">
        <v>-4.0937575736285794</v>
      </c>
      <c r="DP611" s="408">
        <v>-0.64371646850812247</v>
      </c>
      <c r="DQ611" s="408">
        <v>0</v>
      </c>
      <c r="DR611" s="408">
        <v>0</v>
      </c>
      <c r="DS611" s="408"/>
      <c r="DT611" s="408"/>
      <c r="DU611" s="408"/>
      <c r="DV611" s="408">
        <v>24691.22863457226</v>
      </c>
      <c r="DW611" s="408">
        <v>0</v>
      </c>
      <c r="DX611" s="408">
        <v>0</v>
      </c>
      <c r="DY611" s="408">
        <v>-17899.34794</v>
      </c>
      <c r="DZ611" s="234"/>
      <c r="EA611" s="408">
        <v>0</v>
      </c>
      <c r="EB611" s="408"/>
      <c r="EC611" s="408">
        <v>-18140.888082144971</v>
      </c>
      <c r="ED611" s="408"/>
      <c r="EE611" s="408">
        <v>0</v>
      </c>
      <c r="EF611" s="408">
        <v>0</v>
      </c>
      <c r="EG611" s="408"/>
      <c r="EH611" s="408">
        <v>0</v>
      </c>
      <c r="EI611" s="408">
        <v>0</v>
      </c>
      <c r="EJ611" s="408">
        <v>0</v>
      </c>
      <c r="EK611" s="408">
        <v>0</v>
      </c>
      <c r="EL611" s="408">
        <v>0</v>
      </c>
      <c r="EM611" s="408"/>
      <c r="EN611" s="408"/>
      <c r="EO611" s="408">
        <v>0</v>
      </c>
      <c r="EP611" s="408">
        <v>0</v>
      </c>
      <c r="EQ611" s="408"/>
      <c r="ER611" s="408">
        <v>0</v>
      </c>
      <c r="ES611" s="408"/>
      <c r="ET611" s="408">
        <v>0</v>
      </c>
      <c r="EU611" s="408"/>
      <c r="EV611" s="408">
        <v>242</v>
      </c>
      <c r="EW611" s="408"/>
      <c r="EX611" s="408"/>
      <c r="EY611" s="408"/>
      <c r="EZ611" s="408"/>
      <c r="FA611" s="408">
        <v>0</v>
      </c>
      <c r="FB611" s="408"/>
      <c r="FC611" s="408"/>
      <c r="FD611" s="408"/>
      <c r="FE611" s="408"/>
      <c r="FF611" s="408">
        <v>0</v>
      </c>
      <c r="FG611" s="408">
        <v>0</v>
      </c>
      <c r="FH611" s="408">
        <v>0</v>
      </c>
      <c r="FI611" s="408">
        <v>0</v>
      </c>
    </row>
    <row r="612" spans="1:165">
      <c r="A612" s="408">
        <v>613</v>
      </c>
      <c r="B612" s="408" t="s">
        <v>1036</v>
      </c>
      <c r="C612" s="408" t="s">
        <v>2239</v>
      </c>
      <c r="D612" s="408" t="s">
        <v>597</v>
      </c>
      <c r="E612" s="408" t="s">
        <v>970</v>
      </c>
      <c r="F612" s="408" t="s">
        <v>1322</v>
      </c>
      <c r="G612" s="408" t="s">
        <v>2327</v>
      </c>
      <c r="H612" s="408" t="s">
        <v>1322</v>
      </c>
      <c r="I612" s="408" t="s">
        <v>2240</v>
      </c>
      <c r="J612" s="408" t="s">
        <v>2328</v>
      </c>
      <c r="K612" s="828">
        <v>44378</v>
      </c>
      <c r="L612" s="408">
        <v>0</v>
      </c>
      <c r="M612" s="408">
        <v>0</v>
      </c>
      <c r="N612" s="408">
        <v>144.108</v>
      </c>
      <c r="O612" s="408">
        <v>72.054000000000002</v>
      </c>
      <c r="P612" s="408">
        <v>0</v>
      </c>
      <c r="Q612" s="408">
        <v>0</v>
      </c>
      <c r="R612" s="408"/>
      <c r="S612" s="408">
        <v>80.27</v>
      </c>
      <c r="T612" s="408"/>
      <c r="U612" s="408"/>
      <c r="V612" s="408">
        <v>11567.54916</v>
      </c>
      <c r="W612" s="408">
        <v>11567.54916</v>
      </c>
      <c r="X612" s="408">
        <v>11511.347040000001</v>
      </c>
      <c r="Y612" s="408">
        <v>0</v>
      </c>
      <c r="Z612" s="408">
        <v>7598.9930768547028</v>
      </c>
      <c r="AA612" s="408">
        <v>0</v>
      </c>
      <c r="AB612" s="408">
        <v>0</v>
      </c>
      <c r="AC612" s="408">
        <v>0</v>
      </c>
      <c r="AD612" s="408">
        <v>0</v>
      </c>
      <c r="AE612" s="408">
        <v>0</v>
      </c>
      <c r="AF612" s="408"/>
      <c r="AG612" s="408"/>
      <c r="AH612" s="408"/>
      <c r="AI612" s="408">
        <v>0</v>
      </c>
      <c r="AJ612" s="408">
        <v>0</v>
      </c>
      <c r="AK612" s="408">
        <v>0</v>
      </c>
      <c r="AL612" s="408">
        <v>1350.8155992691723</v>
      </c>
      <c r="AM612" s="408"/>
      <c r="AN612" s="408">
        <v>197.89230429343095</v>
      </c>
      <c r="AO612" s="408">
        <v>0</v>
      </c>
      <c r="AP612" s="408">
        <v>0</v>
      </c>
      <c r="AQ612" s="408">
        <v>0</v>
      </c>
      <c r="AR612" s="408">
        <v>0</v>
      </c>
      <c r="AS612" s="408"/>
      <c r="AT612" s="408"/>
      <c r="AU612" s="408">
        <v>0</v>
      </c>
      <c r="AV612" s="408">
        <v>0</v>
      </c>
      <c r="AW612" s="408">
        <v>0</v>
      </c>
      <c r="AX612" s="408"/>
      <c r="AY612" s="408"/>
      <c r="AZ612" s="408">
        <v>0</v>
      </c>
      <c r="BA612" s="408"/>
      <c r="BB612" s="408">
        <v>0</v>
      </c>
      <c r="BC612" s="408">
        <v>0</v>
      </c>
      <c r="BD612" s="408">
        <v>65.900400836946801</v>
      </c>
      <c r="BE612" s="408">
        <v>0</v>
      </c>
      <c r="BF612" s="408"/>
      <c r="BG612" s="408">
        <v>2354.1708880332421</v>
      </c>
      <c r="BH612" s="408">
        <v>0</v>
      </c>
      <c r="BI612" s="408">
        <v>0</v>
      </c>
      <c r="BJ612" s="408">
        <v>0</v>
      </c>
      <c r="BK612" s="408">
        <v>0</v>
      </c>
      <c r="BL612" s="408">
        <v>0</v>
      </c>
      <c r="BM612" s="408"/>
      <c r="BN612" s="408">
        <v>5755.6735200000003</v>
      </c>
      <c r="BO612" s="408"/>
      <c r="BP612" s="408"/>
      <c r="BQ612" s="408"/>
      <c r="BR612" s="408"/>
      <c r="BS612" s="408"/>
      <c r="BT612" s="408"/>
      <c r="BU612" s="408"/>
      <c r="BV612" s="408">
        <v>2420.0712888701892</v>
      </c>
      <c r="BW612" s="408"/>
      <c r="BX612" s="408"/>
      <c r="BY612" s="408"/>
      <c r="BZ612" s="408"/>
      <c r="CA612" s="408"/>
      <c r="CB612" s="408"/>
      <c r="CC612" s="408"/>
      <c r="CD612" s="408"/>
      <c r="CE612" s="408"/>
      <c r="CF612" s="408"/>
      <c r="CG612" s="408"/>
      <c r="CH612" s="408"/>
      <c r="CI612" s="408">
        <v>5755.3539999999994</v>
      </c>
      <c r="CJ612" s="408">
        <v>-28.450580000001537</v>
      </c>
      <c r="CK612" s="408"/>
      <c r="CL612" s="408"/>
      <c r="CM612" s="408"/>
      <c r="CN612" s="408"/>
      <c r="CO612" s="408">
        <v>-56.202120000000086</v>
      </c>
      <c r="CP612" s="408">
        <v>0</v>
      </c>
      <c r="CQ612" s="408">
        <v>31</v>
      </c>
      <c r="CR612" s="408">
        <v>-56.661043895217517</v>
      </c>
      <c r="CS612" s="408">
        <v>0</v>
      </c>
      <c r="CT612" s="408">
        <v>0</v>
      </c>
      <c r="CU612" s="408">
        <v>0</v>
      </c>
      <c r="CV612" s="408">
        <v>0</v>
      </c>
      <c r="CW612" s="408"/>
      <c r="CX612" s="408"/>
      <c r="CY612" s="408"/>
      <c r="CZ612" s="408">
        <v>0</v>
      </c>
      <c r="DA612" s="408">
        <v>0</v>
      </c>
      <c r="DB612" s="408">
        <v>0</v>
      </c>
      <c r="DC612" s="408"/>
      <c r="DD612" s="408"/>
      <c r="DE612" s="408">
        <v>0</v>
      </c>
      <c r="DF612" s="408">
        <v>10.068311439240432</v>
      </c>
      <c r="DG612" s="408">
        <v>359.67195010782598</v>
      </c>
      <c r="DH612" s="408">
        <v>0</v>
      </c>
      <c r="DI612" s="408">
        <v>-363.0585786595575</v>
      </c>
      <c r="DJ612" s="408"/>
      <c r="DK612" s="408">
        <v>0</v>
      </c>
      <c r="DL612" s="408">
        <v>0</v>
      </c>
      <c r="DM612" s="408"/>
      <c r="DN612" s="408">
        <v>0</v>
      </c>
      <c r="DO612" s="408">
        <v>-54.735870887035389</v>
      </c>
      <c r="DP612" s="408">
        <v>-8.6068558956920356</v>
      </c>
      <c r="DQ612" s="408">
        <v>0</v>
      </c>
      <c r="DR612" s="408">
        <v>0</v>
      </c>
      <c r="DS612" s="408"/>
      <c r="DT612" s="408"/>
      <c r="DU612" s="408"/>
      <c r="DV612" s="408">
        <v>0</v>
      </c>
      <c r="DW612" s="408">
        <v>0</v>
      </c>
      <c r="DX612" s="408">
        <v>0</v>
      </c>
      <c r="DY612" s="408">
        <v>-56.202119999999923</v>
      </c>
      <c r="DZ612" s="234"/>
      <c r="EA612" s="408">
        <v>0</v>
      </c>
      <c r="EB612" s="408"/>
      <c r="EC612" s="408">
        <v>0</v>
      </c>
      <c r="ED612" s="408"/>
      <c r="EE612" s="408">
        <v>0</v>
      </c>
      <c r="EF612" s="408">
        <v>0</v>
      </c>
      <c r="EG612" s="408"/>
      <c r="EH612" s="408">
        <v>0</v>
      </c>
      <c r="EI612" s="408">
        <v>0</v>
      </c>
      <c r="EJ612" s="408">
        <v>0</v>
      </c>
      <c r="EK612" s="408">
        <v>0</v>
      </c>
      <c r="EL612" s="408">
        <v>0</v>
      </c>
      <c r="EM612" s="408"/>
      <c r="EN612" s="408"/>
      <c r="EO612" s="408">
        <v>0</v>
      </c>
      <c r="EP612" s="408">
        <v>0</v>
      </c>
      <c r="EQ612" s="408"/>
      <c r="ER612" s="408">
        <v>0</v>
      </c>
      <c r="ES612" s="408"/>
      <c r="ET612" s="408">
        <v>0</v>
      </c>
      <c r="EU612" s="408"/>
      <c r="EV612" s="408">
        <v>242</v>
      </c>
      <c r="EW612" s="408"/>
      <c r="EX612" s="408"/>
      <c r="EY612" s="408"/>
      <c r="EZ612" s="408"/>
      <c r="FA612" s="408">
        <v>0</v>
      </c>
      <c r="FB612" s="408"/>
      <c r="FC612" s="408"/>
      <c r="FD612" s="408"/>
      <c r="FE612" s="408"/>
      <c r="FF612" s="408">
        <v>0</v>
      </c>
      <c r="FG612" s="408">
        <v>0</v>
      </c>
      <c r="FH612" s="408">
        <v>0</v>
      </c>
      <c r="FI612" s="408">
        <v>0</v>
      </c>
    </row>
    <row r="613" spans="1:165">
      <c r="A613" s="408">
        <v>614</v>
      </c>
      <c r="B613" s="408" t="s">
        <v>1036</v>
      </c>
      <c r="C613" s="408" t="s">
        <v>2239</v>
      </c>
      <c r="D613" s="408" t="s">
        <v>597</v>
      </c>
      <c r="E613" s="408" t="s">
        <v>970</v>
      </c>
      <c r="F613" s="408" t="s">
        <v>1322</v>
      </c>
      <c r="G613" s="408" t="s">
        <v>2327</v>
      </c>
      <c r="H613" s="408" t="s">
        <v>1322</v>
      </c>
      <c r="I613" s="408" t="s">
        <v>1322</v>
      </c>
      <c r="J613" s="408" t="s">
        <v>2328</v>
      </c>
      <c r="K613" s="828">
        <v>44378</v>
      </c>
      <c r="L613" s="408">
        <v>531</v>
      </c>
      <c r="M613" s="408">
        <v>265.5</v>
      </c>
      <c r="N613" s="408">
        <v>0</v>
      </c>
      <c r="O613" s="408">
        <v>0</v>
      </c>
      <c r="P613" s="408">
        <v>0</v>
      </c>
      <c r="Q613" s="408">
        <v>0</v>
      </c>
      <c r="R613" s="408">
        <v>32.17</v>
      </c>
      <c r="S613" s="408"/>
      <c r="T613" s="408"/>
      <c r="U613" s="408">
        <v>17082.27</v>
      </c>
      <c r="V613" s="408"/>
      <c r="W613" s="408">
        <v>17082.27</v>
      </c>
      <c r="X613" s="408">
        <v>6865.83</v>
      </c>
      <c r="Y613" s="408">
        <v>0</v>
      </c>
      <c r="Z613" s="408">
        <v>0</v>
      </c>
      <c r="AA613" s="408">
        <v>0</v>
      </c>
      <c r="AB613" s="408">
        <v>0</v>
      </c>
      <c r="AC613" s="408">
        <v>0</v>
      </c>
      <c r="AD613" s="408">
        <v>53.055515544707241</v>
      </c>
      <c r="AE613" s="408">
        <v>14298.096512529783</v>
      </c>
      <c r="AF613" s="408"/>
      <c r="AG613" s="408"/>
      <c r="AH613" s="408"/>
      <c r="AI613" s="408">
        <v>0</v>
      </c>
      <c r="AJ613" s="408">
        <v>0</v>
      </c>
      <c r="AK613" s="408">
        <v>0</v>
      </c>
      <c r="AL613" s="408">
        <v>0</v>
      </c>
      <c r="AM613" s="408"/>
      <c r="AN613" s="408">
        <v>0</v>
      </c>
      <c r="AO613" s="408">
        <v>936.90760750569063</v>
      </c>
      <c r="AP613" s="408">
        <v>1796.3014028516561</v>
      </c>
      <c r="AQ613" s="408">
        <v>0</v>
      </c>
      <c r="AR613" s="408">
        <v>0</v>
      </c>
      <c r="AS613" s="408"/>
      <c r="AT613" s="408"/>
      <c r="AU613" s="408">
        <v>0</v>
      </c>
      <c r="AV613" s="408">
        <v>0</v>
      </c>
      <c r="AW613" s="408">
        <v>0</v>
      </c>
      <c r="AX613" s="408"/>
      <c r="AY613" s="408"/>
      <c r="AZ613" s="408">
        <v>0</v>
      </c>
      <c r="BA613" s="408"/>
      <c r="BB613" s="408">
        <v>0</v>
      </c>
      <c r="BC613" s="408">
        <v>0</v>
      </c>
      <c r="BD613" s="408">
        <v>0</v>
      </c>
      <c r="BE613" s="408">
        <v>0</v>
      </c>
      <c r="BF613" s="408"/>
      <c r="BG613" s="408">
        <v>0</v>
      </c>
      <c r="BH613" s="408">
        <v>0</v>
      </c>
      <c r="BI613" s="408">
        <v>818.87</v>
      </c>
      <c r="BJ613" s="408">
        <v>0</v>
      </c>
      <c r="BK613" s="408">
        <v>5574.79</v>
      </c>
      <c r="BL613" s="408">
        <v>1</v>
      </c>
      <c r="BM613" s="408"/>
      <c r="BN613" s="408">
        <v>3432.915</v>
      </c>
      <c r="BO613" s="408"/>
      <c r="BP613" s="408"/>
      <c r="BQ613" s="408"/>
      <c r="BR613" s="408"/>
      <c r="BS613" s="408"/>
      <c r="BT613" s="408"/>
      <c r="BU613" s="408"/>
      <c r="BV613" s="408">
        <v>0</v>
      </c>
      <c r="BW613" s="408"/>
      <c r="BX613" s="408"/>
      <c r="BY613" s="408"/>
      <c r="BZ613" s="408"/>
      <c r="CA613" s="408"/>
      <c r="CB613" s="408"/>
      <c r="CC613" s="408"/>
      <c r="CD613" s="408"/>
      <c r="CE613" s="408"/>
      <c r="CF613" s="408"/>
      <c r="CG613" s="408"/>
      <c r="CH613" s="408"/>
      <c r="CI613" s="408">
        <v>3432.915</v>
      </c>
      <c r="CJ613" s="408">
        <v>-5108.2500000000009</v>
      </c>
      <c r="CK613" s="408"/>
      <c r="CL613" s="408"/>
      <c r="CM613" s="408"/>
      <c r="CN613" s="408"/>
      <c r="CO613" s="408">
        <v>-10216.44</v>
      </c>
      <c r="CP613" s="408">
        <v>0</v>
      </c>
      <c r="CQ613" s="408">
        <v>31</v>
      </c>
      <c r="CR613" s="408">
        <v>287.12218149390901</v>
      </c>
      <c r="CS613" s="408">
        <v>96.643447725817964</v>
      </c>
      <c r="CT613" s="408">
        <v>185.29122758270159</v>
      </c>
      <c r="CU613" s="408">
        <v>0</v>
      </c>
      <c r="CV613" s="408">
        <v>0</v>
      </c>
      <c r="CW613" s="408"/>
      <c r="CX613" s="408"/>
      <c r="CY613" s="408"/>
      <c r="CZ613" s="408">
        <v>5.1875061853890756</v>
      </c>
      <c r="DA613" s="408">
        <v>0</v>
      </c>
      <c r="DB613" s="408">
        <v>0</v>
      </c>
      <c r="DC613" s="408"/>
      <c r="DD613" s="408"/>
      <c r="DE613" s="408">
        <v>0</v>
      </c>
      <c r="DF613" s="408">
        <v>0</v>
      </c>
      <c r="DG613" s="408">
        <v>0</v>
      </c>
      <c r="DH613" s="408">
        <v>0</v>
      </c>
      <c r="DI613" s="408">
        <v>0</v>
      </c>
      <c r="DJ613" s="408"/>
      <c r="DK613" s="408">
        <v>0</v>
      </c>
      <c r="DL613" s="408">
        <v>0</v>
      </c>
      <c r="DM613" s="408"/>
      <c r="DN613" s="408">
        <v>0</v>
      </c>
      <c r="DO613" s="408">
        <v>0</v>
      </c>
      <c r="DP613" s="408">
        <v>0</v>
      </c>
      <c r="DQ613" s="408">
        <v>0</v>
      </c>
      <c r="DR613" s="408">
        <v>0</v>
      </c>
      <c r="DS613" s="408"/>
      <c r="DT613" s="408"/>
      <c r="DU613" s="408">
        <v>14298.096512529783</v>
      </c>
      <c r="DV613" s="408"/>
      <c r="DW613" s="408">
        <v>0</v>
      </c>
      <c r="DX613" s="408">
        <v>0</v>
      </c>
      <c r="DY613" s="408">
        <v>-10216.44</v>
      </c>
      <c r="DZ613" s="234"/>
      <c r="EA613" s="408">
        <v>0</v>
      </c>
      <c r="EB613" s="408"/>
      <c r="EC613" s="408">
        <v>-10504.951878268617</v>
      </c>
      <c r="ED613" s="408"/>
      <c r="EE613" s="408">
        <v>0</v>
      </c>
      <c r="EF613" s="408">
        <v>0</v>
      </c>
      <c r="EG613" s="408"/>
      <c r="EH613" s="408">
        <v>0</v>
      </c>
      <c r="EI613" s="408">
        <v>0</v>
      </c>
      <c r="EJ613" s="408">
        <v>0</v>
      </c>
      <c r="EK613" s="408">
        <v>0</v>
      </c>
      <c r="EL613" s="408">
        <v>0</v>
      </c>
      <c r="EM613" s="408"/>
      <c r="EN613" s="408"/>
      <c r="EO613" s="408">
        <v>0</v>
      </c>
      <c r="EP613" s="408">
        <v>0</v>
      </c>
      <c r="EQ613" s="408"/>
      <c r="ER613" s="408">
        <v>0</v>
      </c>
      <c r="ES613" s="408"/>
      <c r="ET613" s="408">
        <v>0</v>
      </c>
      <c r="EU613" s="408"/>
      <c r="EV613" s="408">
        <v>242</v>
      </c>
      <c r="EW613" s="408"/>
      <c r="EX613" s="408"/>
      <c r="EY613" s="408"/>
      <c r="EZ613" s="408"/>
      <c r="FA613" s="408">
        <v>0</v>
      </c>
      <c r="FB613" s="408"/>
      <c r="FC613" s="408"/>
      <c r="FD613" s="408"/>
      <c r="FE613" s="408"/>
      <c r="FF613" s="408">
        <v>0</v>
      </c>
      <c r="FG613" s="408">
        <v>0</v>
      </c>
      <c r="FH613" s="408">
        <v>0</v>
      </c>
      <c r="FI613" s="408">
        <v>0</v>
      </c>
    </row>
    <row r="614" spans="1:165">
      <c r="A614" s="408">
        <v>615</v>
      </c>
      <c r="B614" s="408" t="s">
        <v>1036</v>
      </c>
      <c r="C614" s="408" t="s">
        <v>993</v>
      </c>
      <c r="D614" s="408" t="s">
        <v>597</v>
      </c>
      <c r="E614" s="408" t="s">
        <v>1322</v>
      </c>
      <c r="F614" s="408" t="s">
        <v>1322</v>
      </c>
      <c r="G614" s="408" t="s">
        <v>1322</v>
      </c>
      <c r="H614" s="408" t="s">
        <v>2329</v>
      </c>
      <c r="I614" s="408" t="s">
        <v>1322</v>
      </c>
      <c r="J614" s="408" t="s">
        <v>2252</v>
      </c>
      <c r="K614" s="828">
        <v>44378</v>
      </c>
      <c r="L614" s="408">
        <v>953</v>
      </c>
      <c r="M614" s="408">
        <v>476.5</v>
      </c>
      <c r="N614" s="408">
        <v>0</v>
      </c>
      <c r="O614" s="408">
        <v>0</v>
      </c>
      <c r="P614" s="408">
        <v>0</v>
      </c>
      <c r="Q614" s="408">
        <v>0</v>
      </c>
      <c r="R614" s="408">
        <v>10.220000000000001</v>
      </c>
      <c r="S614" s="408"/>
      <c r="T614" s="408"/>
      <c r="U614" s="408">
        <v>9739.66</v>
      </c>
      <c r="V614" s="408"/>
      <c r="W614" s="408">
        <v>9739.66</v>
      </c>
      <c r="X614" s="408">
        <v>2582.63</v>
      </c>
      <c r="Y614" s="408">
        <v>0</v>
      </c>
      <c r="Z614" s="408">
        <v>0</v>
      </c>
      <c r="AA614" s="408">
        <v>0</v>
      </c>
      <c r="AB614" s="408">
        <v>0</v>
      </c>
      <c r="AC614" s="408">
        <v>0</v>
      </c>
      <c r="AD614" s="408">
        <v>0</v>
      </c>
      <c r="AE614" s="408">
        <v>9741.2483581600645</v>
      </c>
      <c r="AF614" s="408"/>
      <c r="AG614" s="408"/>
      <c r="AH614" s="408"/>
      <c r="AI614" s="408">
        <v>0</v>
      </c>
      <c r="AJ614" s="408">
        <v>0</v>
      </c>
      <c r="AK614" s="408">
        <v>0</v>
      </c>
      <c r="AL614" s="408">
        <v>0</v>
      </c>
      <c r="AM614" s="408"/>
      <c r="AN614" s="408">
        <v>0</v>
      </c>
      <c r="AO614" s="408">
        <v>0</v>
      </c>
      <c r="AP614" s="408">
        <v>0</v>
      </c>
      <c r="AQ614" s="408">
        <v>0</v>
      </c>
      <c r="AR614" s="408">
        <v>0</v>
      </c>
      <c r="AS614" s="408"/>
      <c r="AT614" s="408"/>
      <c r="AU614" s="408">
        <v>0</v>
      </c>
      <c r="AV614" s="408">
        <v>0</v>
      </c>
      <c r="AW614" s="408">
        <v>0</v>
      </c>
      <c r="AX614" s="408"/>
      <c r="AY614" s="408"/>
      <c r="AZ614" s="408">
        <v>0</v>
      </c>
      <c r="BA614" s="408"/>
      <c r="BB614" s="408">
        <v>0</v>
      </c>
      <c r="BC614" s="408">
        <v>0</v>
      </c>
      <c r="BD614" s="408">
        <v>0</v>
      </c>
      <c r="BE614" s="408">
        <v>0</v>
      </c>
      <c r="BF614" s="408"/>
      <c r="BG614" s="408">
        <v>0</v>
      </c>
      <c r="BH614" s="408">
        <v>0</v>
      </c>
      <c r="BI614" s="408">
        <v>20.37</v>
      </c>
      <c r="BJ614" s="408">
        <v>0</v>
      </c>
      <c r="BK614" s="408">
        <v>0</v>
      </c>
      <c r="BL614" s="408">
        <v>0</v>
      </c>
      <c r="BM614" s="408"/>
      <c r="BN614" s="408"/>
      <c r="BO614" s="408">
        <v>1291.3150000000001</v>
      </c>
      <c r="BP614" s="408"/>
      <c r="BQ614" s="408"/>
      <c r="BR614" s="408"/>
      <c r="BS614" s="408"/>
      <c r="BT614" s="408"/>
      <c r="BU614" s="408"/>
      <c r="BV614" s="408">
        <v>0</v>
      </c>
      <c r="BW614" s="408"/>
      <c r="BX614" s="408"/>
      <c r="BY614" s="408"/>
      <c r="BZ614" s="408"/>
      <c r="CA614" s="408"/>
      <c r="CB614" s="408"/>
      <c r="CC614" s="408"/>
      <c r="CD614" s="408"/>
      <c r="CE614" s="408"/>
      <c r="CF614" s="408"/>
      <c r="CG614" s="408"/>
      <c r="CH614" s="408"/>
      <c r="CI614" s="408">
        <v>1291.3150000000001</v>
      </c>
      <c r="CJ614" s="408">
        <v>-3578.5450000000005</v>
      </c>
      <c r="CK614" s="408"/>
      <c r="CL614" s="408"/>
      <c r="CM614" s="408"/>
      <c r="CN614" s="408"/>
      <c r="CO614" s="408">
        <v>-7157.0300000000007</v>
      </c>
      <c r="CP614" s="408">
        <v>0</v>
      </c>
      <c r="CQ614" s="408">
        <v>31</v>
      </c>
      <c r="CR614" s="408">
        <v>0</v>
      </c>
      <c r="CS614" s="408">
        <v>0</v>
      </c>
      <c r="CT614" s="408">
        <v>0</v>
      </c>
      <c r="CU614" s="408">
        <v>0</v>
      </c>
      <c r="CV614" s="408">
        <v>0</v>
      </c>
      <c r="CW614" s="408"/>
      <c r="CX614" s="408"/>
      <c r="CY614" s="408"/>
      <c r="CZ614" s="408">
        <v>0</v>
      </c>
      <c r="DA614" s="408">
        <v>0</v>
      </c>
      <c r="DB614" s="408">
        <v>0</v>
      </c>
      <c r="DC614" s="408"/>
      <c r="DD614" s="408"/>
      <c r="DE614" s="408">
        <v>0</v>
      </c>
      <c r="DF614" s="408">
        <v>0</v>
      </c>
      <c r="DG614" s="408">
        <v>0</v>
      </c>
      <c r="DH614" s="408">
        <v>0</v>
      </c>
      <c r="DI614" s="408">
        <v>0</v>
      </c>
      <c r="DJ614" s="408"/>
      <c r="DK614" s="408">
        <v>0</v>
      </c>
      <c r="DL614" s="408">
        <v>0</v>
      </c>
      <c r="DM614" s="408"/>
      <c r="DN614" s="408">
        <v>0</v>
      </c>
      <c r="DO614" s="408">
        <v>0</v>
      </c>
      <c r="DP614" s="408">
        <v>0</v>
      </c>
      <c r="DQ614" s="408">
        <v>0</v>
      </c>
      <c r="DR614" s="408">
        <v>0</v>
      </c>
      <c r="DS614" s="408"/>
      <c r="DT614" s="408"/>
      <c r="DU614" s="408">
        <v>9741.2483581600645</v>
      </c>
      <c r="DV614" s="408"/>
      <c r="DW614" s="408">
        <v>0</v>
      </c>
      <c r="DX614" s="408">
        <v>0</v>
      </c>
      <c r="DY614" s="408">
        <v>-7157.03</v>
      </c>
      <c r="DZ614" s="234"/>
      <c r="EA614" s="408">
        <v>0</v>
      </c>
      <c r="EB614" s="408"/>
      <c r="EC614" s="408">
        <v>-7156.9908027309175</v>
      </c>
      <c r="ED614" s="408"/>
      <c r="EE614" s="408">
        <v>0</v>
      </c>
      <c r="EF614" s="408">
        <v>0</v>
      </c>
      <c r="EG614" s="408"/>
      <c r="EH614" s="408">
        <v>0</v>
      </c>
      <c r="EI614" s="408">
        <v>0</v>
      </c>
      <c r="EJ614" s="408">
        <v>0</v>
      </c>
      <c r="EK614" s="408">
        <v>0</v>
      </c>
      <c r="EL614" s="408">
        <v>0</v>
      </c>
      <c r="EM614" s="408"/>
      <c r="EN614" s="408"/>
      <c r="EO614" s="408">
        <v>0</v>
      </c>
      <c r="EP614" s="408">
        <v>0</v>
      </c>
      <c r="EQ614" s="408"/>
      <c r="ER614" s="408">
        <v>0</v>
      </c>
      <c r="ES614" s="408"/>
      <c r="ET614" s="408">
        <v>0</v>
      </c>
      <c r="EU614" s="408"/>
      <c r="EV614" s="408">
        <v>242</v>
      </c>
      <c r="EW614" s="408"/>
      <c r="EX614" s="408"/>
      <c r="EY614" s="408"/>
      <c r="EZ614" s="408"/>
      <c r="FA614" s="408">
        <v>0</v>
      </c>
      <c r="FB614" s="408"/>
      <c r="FC614" s="408"/>
      <c r="FD614" s="408"/>
      <c r="FE614" s="408"/>
      <c r="FF614" s="408">
        <v>0</v>
      </c>
      <c r="FG614" s="408">
        <v>0</v>
      </c>
      <c r="FH614" s="408">
        <v>0</v>
      </c>
      <c r="FI614" s="408">
        <v>0</v>
      </c>
    </row>
    <row r="615" spans="1:165">
      <c r="A615" s="408">
        <v>616</v>
      </c>
      <c r="B615" s="408" t="s">
        <v>1036</v>
      </c>
      <c r="C615" s="408" t="s">
        <v>2239</v>
      </c>
      <c r="D615" s="408" t="s">
        <v>597</v>
      </c>
      <c r="E615" s="408" t="s">
        <v>970</v>
      </c>
      <c r="F615" s="408" t="s">
        <v>1322</v>
      </c>
      <c r="G615" s="408" t="s">
        <v>2327</v>
      </c>
      <c r="H615" s="408" t="s">
        <v>1322</v>
      </c>
      <c r="I615" s="408" t="s">
        <v>973</v>
      </c>
      <c r="J615" s="408" t="s">
        <v>2328</v>
      </c>
      <c r="K615" s="828">
        <v>44409</v>
      </c>
      <c r="L615" s="408">
        <v>0</v>
      </c>
      <c r="M615" s="408">
        <v>0</v>
      </c>
      <c r="N615" s="408">
        <v>15.997999999999999</v>
      </c>
      <c r="O615" s="408">
        <v>7.9989999999999997</v>
      </c>
      <c r="P615" s="408">
        <v>0</v>
      </c>
      <c r="Q615" s="408">
        <v>0</v>
      </c>
      <c r="R615" s="408"/>
      <c r="S615" s="408">
        <v>2592.54</v>
      </c>
      <c r="T615" s="408"/>
      <c r="U615" s="408"/>
      <c r="V615" s="408">
        <v>41475.454919999996</v>
      </c>
      <c r="W615" s="408">
        <v>41475.454919999996</v>
      </c>
      <c r="X615" s="408">
        <v>14907.096379999999</v>
      </c>
      <c r="Y615" s="408">
        <v>0</v>
      </c>
      <c r="Z615" s="408">
        <v>843.59432677937059</v>
      </c>
      <c r="AA615" s="408">
        <v>0</v>
      </c>
      <c r="AB615" s="408">
        <v>0</v>
      </c>
      <c r="AC615" s="408">
        <v>0</v>
      </c>
      <c r="AD615" s="408">
        <v>80.896050042653229</v>
      </c>
      <c r="AE615" s="408">
        <v>36649.68228761245</v>
      </c>
      <c r="AF615" s="408"/>
      <c r="AG615" s="408"/>
      <c r="AH615" s="408"/>
      <c r="AI615" s="408">
        <v>0</v>
      </c>
      <c r="AJ615" s="408">
        <v>0</v>
      </c>
      <c r="AK615" s="408">
        <v>0</v>
      </c>
      <c r="AL615" s="408">
        <v>149.95939126979917</v>
      </c>
      <c r="AM615" s="408"/>
      <c r="AN615" s="408">
        <v>21.968808699630195</v>
      </c>
      <c r="AO615" s="408">
        <v>721.74771491023989</v>
      </c>
      <c r="AP615" s="408">
        <v>2738.8695780924072</v>
      </c>
      <c r="AQ615" s="408">
        <v>0</v>
      </c>
      <c r="AR615" s="408">
        <v>0</v>
      </c>
      <c r="AS615" s="408"/>
      <c r="AT615" s="408"/>
      <c r="AU615" s="408">
        <v>0</v>
      </c>
      <c r="AV615" s="408">
        <v>0</v>
      </c>
      <c r="AW615" s="408">
        <v>0</v>
      </c>
      <c r="AX615" s="408"/>
      <c r="AY615" s="408"/>
      <c r="AZ615" s="408">
        <v>0</v>
      </c>
      <c r="BA615" s="408"/>
      <c r="BB615" s="408">
        <v>0</v>
      </c>
      <c r="BC615" s="408">
        <v>0</v>
      </c>
      <c r="BD615" s="408">
        <v>7.3158645778823859</v>
      </c>
      <c r="BE615" s="408">
        <v>0</v>
      </c>
      <c r="BF615" s="408"/>
      <c r="BG615" s="408">
        <v>261.34583691922586</v>
      </c>
      <c r="BH615" s="408">
        <v>0</v>
      </c>
      <c r="BI615" s="408">
        <v>0</v>
      </c>
      <c r="BJ615" s="408">
        <v>0</v>
      </c>
      <c r="BK615" s="408">
        <v>0</v>
      </c>
      <c r="BL615" s="408">
        <v>0</v>
      </c>
      <c r="BM615" s="408"/>
      <c r="BN615" s="408">
        <v>7453.5481899999995</v>
      </c>
      <c r="BO615" s="408"/>
      <c r="BP615" s="408"/>
      <c r="BQ615" s="408"/>
      <c r="BR615" s="408"/>
      <c r="BS615" s="408"/>
      <c r="BT615" s="408"/>
      <c r="BU615" s="408"/>
      <c r="BV615" s="408">
        <v>268.66170149710825</v>
      </c>
      <c r="BW615" s="408"/>
      <c r="BX615" s="408"/>
      <c r="BY615" s="408"/>
      <c r="BZ615" s="408"/>
      <c r="CA615" s="408"/>
      <c r="CB615" s="408"/>
      <c r="CC615" s="408"/>
      <c r="CD615" s="408"/>
      <c r="CE615" s="408"/>
      <c r="CF615" s="408"/>
      <c r="CG615" s="408"/>
      <c r="CH615" s="408"/>
      <c r="CI615" s="408">
        <v>7454.48</v>
      </c>
      <c r="CJ615" s="408">
        <v>-13283.277459999994</v>
      </c>
      <c r="CK615" s="408"/>
      <c r="CL615" s="408"/>
      <c r="CM615" s="408"/>
      <c r="CN615" s="408"/>
      <c r="CO615" s="408">
        <v>-26568.358539999997</v>
      </c>
      <c r="CP615" s="408">
        <v>0</v>
      </c>
      <c r="CQ615" s="408">
        <v>31</v>
      </c>
      <c r="CR615" s="408">
        <v>358.58739750192854</v>
      </c>
      <c r="CS615" s="408">
        <v>74.449376863161547</v>
      </c>
      <c r="CT615" s="408">
        <v>282.51857149807392</v>
      </c>
      <c r="CU615" s="408">
        <v>0</v>
      </c>
      <c r="CV615" s="408">
        <v>0</v>
      </c>
      <c r="CW615" s="408"/>
      <c r="CX615" s="408"/>
      <c r="CY615" s="408"/>
      <c r="CZ615" s="408">
        <v>7.9096161004443957</v>
      </c>
      <c r="DA615" s="408">
        <v>0</v>
      </c>
      <c r="DB615" s="408">
        <v>0</v>
      </c>
      <c r="DC615" s="408"/>
      <c r="DD615" s="408"/>
      <c r="DE615" s="408">
        <v>0</v>
      </c>
      <c r="DF615" s="408">
        <v>1.1177231410120774</v>
      </c>
      <c r="DG615" s="408">
        <v>39.928608112145071</v>
      </c>
      <c r="DH615" s="408">
        <v>0</v>
      </c>
      <c r="DI615" s="408">
        <v>-40.304571164651634</v>
      </c>
      <c r="DJ615" s="408"/>
      <c r="DK615" s="408">
        <v>0</v>
      </c>
      <c r="DL615" s="408">
        <v>0</v>
      </c>
      <c r="DM615" s="408"/>
      <c r="DN615" s="408">
        <v>0</v>
      </c>
      <c r="DO615" s="408">
        <v>-6.0764458770560736</v>
      </c>
      <c r="DP615" s="408">
        <v>-0.95548117119993847</v>
      </c>
      <c r="DQ615" s="408">
        <v>0</v>
      </c>
      <c r="DR615" s="408">
        <v>0</v>
      </c>
      <c r="DS615" s="408"/>
      <c r="DT615" s="408"/>
      <c r="DU615" s="408"/>
      <c r="DV615" s="408">
        <v>36649.68228761245</v>
      </c>
      <c r="DW615" s="408">
        <v>0</v>
      </c>
      <c r="DX615" s="408">
        <v>0</v>
      </c>
      <c r="DY615" s="408">
        <v>-26568.358539999997</v>
      </c>
      <c r="DZ615" s="234"/>
      <c r="EA615" s="408">
        <v>0</v>
      </c>
      <c r="EB615" s="408"/>
      <c r="EC615" s="408">
        <v>-26926.881382274558</v>
      </c>
      <c r="ED615" s="408"/>
      <c r="EE615" s="408">
        <v>0</v>
      </c>
      <c r="EF615" s="408">
        <v>0</v>
      </c>
      <c r="EG615" s="408"/>
      <c r="EH615" s="408">
        <v>0</v>
      </c>
      <c r="EI615" s="408">
        <v>0</v>
      </c>
      <c r="EJ615" s="408">
        <v>0</v>
      </c>
      <c r="EK615" s="408">
        <v>0</v>
      </c>
      <c r="EL615" s="408">
        <v>0</v>
      </c>
      <c r="EM615" s="408"/>
      <c r="EN615" s="408"/>
      <c r="EO615" s="408">
        <v>0</v>
      </c>
      <c r="EP615" s="408">
        <v>0</v>
      </c>
      <c r="EQ615" s="408"/>
      <c r="ER615" s="408">
        <v>0</v>
      </c>
      <c r="ES615" s="408"/>
      <c r="ET615" s="408">
        <v>0</v>
      </c>
      <c r="EU615" s="408"/>
      <c r="EV615" s="408">
        <v>242</v>
      </c>
      <c r="EW615" s="408"/>
      <c r="EX615" s="408"/>
      <c r="EY615" s="408"/>
      <c r="EZ615" s="408"/>
      <c r="FA615" s="408">
        <v>0</v>
      </c>
      <c r="FB615" s="408"/>
      <c r="FC615" s="408"/>
      <c r="FD615" s="408"/>
      <c r="FE615" s="408"/>
      <c r="FF615" s="408">
        <v>0</v>
      </c>
      <c r="FG615" s="408">
        <v>0</v>
      </c>
      <c r="FH615" s="408">
        <v>0</v>
      </c>
      <c r="FI615" s="408">
        <v>0</v>
      </c>
    </row>
    <row r="616" spans="1:165">
      <c r="A616" s="408">
        <v>617</v>
      </c>
      <c r="B616" s="408" t="s">
        <v>1036</v>
      </c>
      <c r="C616" s="408" t="s">
        <v>2239</v>
      </c>
      <c r="D616" s="408" t="s">
        <v>597</v>
      </c>
      <c r="E616" s="408" t="s">
        <v>970</v>
      </c>
      <c r="F616" s="408" t="s">
        <v>1322</v>
      </c>
      <c r="G616" s="408" t="s">
        <v>2327</v>
      </c>
      <c r="H616" s="408" t="s">
        <v>1322</v>
      </c>
      <c r="I616" s="408" t="s">
        <v>2240</v>
      </c>
      <c r="J616" s="408" t="s">
        <v>2328</v>
      </c>
      <c r="K616" s="828">
        <v>44409</v>
      </c>
      <c r="L616" s="408">
        <v>0</v>
      </c>
      <c r="M616" s="408">
        <v>0</v>
      </c>
      <c r="N616" s="408">
        <v>176.6</v>
      </c>
      <c r="O616" s="408">
        <v>88.3</v>
      </c>
      <c r="P616" s="408">
        <v>0</v>
      </c>
      <c r="Q616" s="408">
        <v>0</v>
      </c>
      <c r="R616" s="408"/>
      <c r="S616" s="408">
        <v>80.27</v>
      </c>
      <c r="T616" s="408"/>
      <c r="U616" s="408"/>
      <c r="V616" s="408">
        <v>14175.681999999999</v>
      </c>
      <c r="W616" s="408">
        <v>14175.681999999999</v>
      </c>
      <c r="X616" s="408">
        <v>14106.807999999999</v>
      </c>
      <c r="Y616" s="408">
        <v>0</v>
      </c>
      <c r="Z616" s="408">
        <v>9312.3364238802878</v>
      </c>
      <c r="AA616" s="408">
        <v>0</v>
      </c>
      <c r="AB616" s="408">
        <v>0</v>
      </c>
      <c r="AC616" s="408">
        <v>0</v>
      </c>
      <c r="AD616" s="408">
        <v>0</v>
      </c>
      <c r="AE616" s="408">
        <v>0</v>
      </c>
      <c r="AF616" s="408"/>
      <c r="AG616" s="408"/>
      <c r="AH616" s="408"/>
      <c r="AI616" s="408">
        <v>0</v>
      </c>
      <c r="AJ616" s="408">
        <v>0</v>
      </c>
      <c r="AK616" s="408">
        <v>0</v>
      </c>
      <c r="AL616" s="408">
        <v>1655.3837041034212</v>
      </c>
      <c r="AM616" s="408"/>
      <c r="AN616" s="408">
        <v>242.51103990215606</v>
      </c>
      <c r="AO616" s="408">
        <v>0</v>
      </c>
      <c r="AP616" s="408">
        <v>0</v>
      </c>
      <c r="AQ616" s="408">
        <v>0</v>
      </c>
      <c r="AR616" s="408">
        <v>0</v>
      </c>
      <c r="AS616" s="408"/>
      <c r="AT616" s="408"/>
      <c r="AU616" s="408">
        <v>0</v>
      </c>
      <c r="AV616" s="408">
        <v>0</v>
      </c>
      <c r="AW616" s="408">
        <v>0</v>
      </c>
      <c r="AX616" s="408"/>
      <c r="AY616" s="408"/>
      <c r="AZ616" s="408">
        <v>0</v>
      </c>
      <c r="BA616" s="408"/>
      <c r="BB616" s="408">
        <v>0</v>
      </c>
      <c r="BC616" s="408">
        <v>0</v>
      </c>
      <c r="BD616" s="408">
        <v>80.758950147145228</v>
      </c>
      <c r="BE616" s="408">
        <v>0</v>
      </c>
      <c r="BF616" s="408"/>
      <c r="BG616" s="408">
        <v>2884.965295657913</v>
      </c>
      <c r="BH616" s="408">
        <v>0</v>
      </c>
      <c r="BI616" s="408">
        <v>0</v>
      </c>
      <c r="BJ616" s="408">
        <v>0</v>
      </c>
      <c r="BK616" s="408">
        <v>0</v>
      </c>
      <c r="BL616" s="408">
        <v>0</v>
      </c>
      <c r="BM616" s="408"/>
      <c r="BN616" s="408">
        <v>7053.4039999999995</v>
      </c>
      <c r="BO616" s="408"/>
      <c r="BP616" s="408"/>
      <c r="BQ616" s="408"/>
      <c r="BR616" s="408"/>
      <c r="BS616" s="408"/>
      <c r="BT616" s="408"/>
      <c r="BU616" s="408"/>
      <c r="BV616" s="408">
        <v>2965.7242458050582</v>
      </c>
      <c r="BW616" s="408"/>
      <c r="BX616" s="408"/>
      <c r="BY616" s="408"/>
      <c r="BZ616" s="408"/>
      <c r="CA616" s="408"/>
      <c r="CB616" s="408"/>
      <c r="CC616" s="408"/>
      <c r="CD616" s="408"/>
      <c r="CE616" s="408"/>
      <c r="CF616" s="408"/>
      <c r="CG616" s="408"/>
      <c r="CH616" s="408"/>
      <c r="CI616" s="408">
        <v>7053.4039999999995</v>
      </c>
      <c r="CJ616" s="408">
        <v>-34.467000000000553</v>
      </c>
      <c r="CK616" s="408"/>
      <c r="CL616" s="408"/>
      <c r="CM616" s="408"/>
      <c r="CN616" s="408"/>
      <c r="CO616" s="408">
        <v>-68.874000000000095</v>
      </c>
      <c r="CP616" s="408">
        <v>0</v>
      </c>
      <c r="CQ616" s="408">
        <v>31</v>
      </c>
      <c r="CR616" s="408">
        <v>-69.43639736791738</v>
      </c>
      <c r="CS616" s="408">
        <v>0</v>
      </c>
      <c r="CT616" s="408">
        <v>0</v>
      </c>
      <c r="CU616" s="408">
        <v>0</v>
      </c>
      <c r="CV616" s="408">
        <v>0</v>
      </c>
      <c r="CW616" s="408"/>
      <c r="CX616" s="408"/>
      <c r="CY616" s="408"/>
      <c r="CZ616" s="408">
        <v>0</v>
      </c>
      <c r="DA616" s="408">
        <v>0</v>
      </c>
      <c r="DB616" s="408">
        <v>0</v>
      </c>
      <c r="DC616" s="408"/>
      <c r="DD616" s="408"/>
      <c r="DE616" s="408">
        <v>0</v>
      </c>
      <c r="DF616" s="408">
        <v>12.3384114703546</v>
      </c>
      <c r="DG616" s="408">
        <v>440.76710792629183</v>
      </c>
      <c r="DH616" s="408">
        <v>0</v>
      </c>
      <c r="DI616" s="408">
        <v>-444.91731889470429</v>
      </c>
      <c r="DJ616" s="408"/>
      <c r="DK616" s="408">
        <v>0</v>
      </c>
      <c r="DL616" s="408">
        <v>0</v>
      </c>
      <c r="DM616" s="408"/>
      <c r="DN616" s="408">
        <v>0</v>
      </c>
      <c r="DO616" s="408">
        <v>-67.077156012507885</v>
      </c>
      <c r="DP616" s="408">
        <v>-10.547441857351515</v>
      </c>
      <c r="DQ616" s="408">
        <v>0</v>
      </c>
      <c r="DR616" s="408">
        <v>0</v>
      </c>
      <c r="DS616" s="408"/>
      <c r="DT616" s="408"/>
      <c r="DU616" s="408"/>
      <c r="DV616" s="408">
        <v>0</v>
      </c>
      <c r="DW616" s="408">
        <v>0</v>
      </c>
      <c r="DX616" s="408">
        <v>0</v>
      </c>
      <c r="DY616" s="408">
        <v>-68.873999999999796</v>
      </c>
      <c r="DZ616" s="234"/>
      <c r="EA616" s="408">
        <v>0</v>
      </c>
      <c r="EB616" s="408"/>
      <c r="EC616" s="408">
        <v>0</v>
      </c>
      <c r="ED616" s="408"/>
      <c r="EE616" s="408">
        <v>0</v>
      </c>
      <c r="EF616" s="408">
        <v>0</v>
      </c>
      <c r="EG616" s="408"/>
      <c r="EH616" s="408">
        <v>0</v>
      </c>
      <c r="EI616" s="408">
        <v>0</v>
      </c>
      <c r="EJ616" s="408">
        <v>0</v>
      </c>
      <c r="EK616" s="408">
        <v>0</v>
      </c>
      <c r="EL616" s="408">
        <v>0</v>
      </c>
      <c r="EM616" s="408"/>
      <c r="EN616" s="408"/>
      <c r="EO616" s="408">
        <v>0</v>
      </c>
      <c r="EP616" s="408">
        <v>0</v>
      </c>
      <c r="EQ616" s="408"/>
      <c r="ER616" s="408">
        <v>0</v>
      </c>
      <c r="ES616" s="408"/>
      <c r="ET616" s="408">
        <v>0</v>
      </c>
      <c r="EU616" s="408"/>
      <c r="EV616" s="408">
        <v>242</v>
      </c>
      <c r="EW616" s="408"/>
      <c r="EX616" s="408"/>
      <c r="EY616" s="408"/>
      <c r="EZ616" s="408"/>
      <c r="FA616" s="408">
        <v>0</v>
      </c>
      <c r="FB616" s="408"/>
      <c r="FC616" s="408"/>
      <c r="FD616" s="408"/>
      <c r="FE616" s="408"/>
      <c r="FF616" s="408">
        <v>0</v>
      </c>
      <c r="FG616" s="408">
        <v>0</v>
      </c>
      <c r="FH616" s="408">
        <v>0</v>
      </c>
      <c r="FI616" s="408">
        <v>0</v>
      </c>
    </row>
    <row r="617" spans="1:165">
      <c r="A617" s="408">
        <v>618</v>
      </c>
      <c r="B617" s="408" t="s">
        <v>1036</v>
      </c>
      <c r="C617" s="408" t="s">
        <v>2239</v>
      </c>
      <c r="D617" s="408" t="s">
        <v>597</v>
      </c>
      <c r="E617" s="408" t="s">
        <v>970</v>
      </c>
      <c r="F617" s="408" t="s">
        <v>1322</v>
      </c>
      <c r="G617" s="408" t="s">
        <v>2327</v>
      </c>
      <c r="H617" s="408" t="s">
        <v>1322</v>
      </c>
      <c r="I617" s="408" t="s">
        <v>1322</v>
      </c>
      <c r="J617" s="408" t="s">
        <v>2328</v>
      </c>
      <c r="K617" s="828">
        <v>44409</v>
      </c>
      <c r="L617" s="408">
        <v>645</v>
      </c>
      <c r="M617" s="408">
        <v>322.5</v>
      </c>
      <c r="N617" s="408">
        <v>0</v>
      </c>
      <c r="O617" s="408">
        <v>0</v>
      </c>
      <c r="P617" s="408">
        <v>0</v>
      </c>
      <c r="Q617" s="408">
        <v>0</v>
      </c>
      <c r="R617" s="408">
        <v>32.17</v>
      </c>
      <c r="S617" s="408"/>
      <c r="T617" s="408"/>
      <c r="U617" s="408">
        <v>20749.650000000001</v>
      </c>
      <c r="V617" s="408"/>
      <c r="W617" s="408">
        <v>20749.650000000001</v>
      </c>
      <c r="X617" s="408">
        <v>8339.85</v>
      </c>
      <c r="Y617" s="408">
        <v>0</v>
      </c>
      <c r="Z617" s="408">
        <v>0</v>
      </c>
      <c r="AA617" s="408">
        <v>0</v>
      </c>
      <c r="AB617" s="408">
        <v>0</v>
      </c>
      <c r="AC617" s="408">
        <v>0</v>
      </c>
      <c r="AD617" s="408">
        <v>64.445965209672636</v>
      </c>
      <c r="AE617" s="408">
        <v>17367.744351377984</v>
      </c>
      <c r="AF617" s="408"/>
      <c r="AG617" s="408"/>
      <c r="AH617" s="408"/>
      <c r="AI617" s="408">
        <v>0</v>
      </c>
      <c r="AJ617" s="408">
        <v>0</v>
      </c>
      <c r="AK617" s="408">
        <v>0</v>
      </c>
      <c r="AL617" s="408">
        <v>0</v>
      </c>
      <c r="AM617" s="408"/>
      <c r="AN617" s="408">
        <v>0</v>
      </c>
      <c r="AO617" s="408">
        <v>1138.0516136368558</v>
      </c>
      <c r="AP617" s="408">
        <v>2181.9480317124635</v>
      </c>
      <c r="AQ617" s="408">
        <v>0</v>
      </c>
      <c r="AR617" s="408">
        <v>0</v>
      </c>
      <c r="AS617" s="408"/>
      <c r="AT617" s="408"/>
      <c r="AU617" s="408">
        <v>0</v>
      </c>
      <c r="AV617" s="408">
        <v>0</v>
      </c>
      <c r="AW617" s="408">
        <v>0</v>
      </c>
      <c r="AX617" s="408"/>
      <c r="AY617" s="408"/>
      <c r="AZ617" s="408">
        <v>0</v>
      </c>
      <c r="BA617" s="408"/>
      <c r="BB617" s="408">
        <v>0</v>
      </c>
      <c r="BC617" s="408">
        <v>0</v>
      </c>
      <c r="BD617" s="408">
        <v>0</v>
      </c>
      <c r="BE617" s="408">
        <v>0</v>
      </c>
      <c r="BF617" s="408"/>
      <c r="BG617" s="408">
        <v>0</v>
      </c>
      <c r="BH617" s="408">
        <v>0</v>
      </c>
      <c r="BI617" s="408">
        <v>835.19</v>
      </c>
      <c r="BJ617" s="408">
        <v>0</v>
      </c>
      <c r="BK617" s="408">
        <v>8896.07</v>
      </c>
      <c r="BL617" s="408">
        <v>1</v>
      </c>
      <c r="BM617" s="408"/>
      <c r="BN617" s="408">
        <v>4169.9250000000002</v>
      </c>
      <c r="BO617" s="408"/>
      <c r="BP617" s="408"/>
      <c r="BQ617" s="408"/>
      <c r="BR617" s="408"/>
      <c r="BS617" s="408"/>
      <c r="BT617" s="408"/>
      <c r="BU617" s="408"/>
      <c r="BV617" s="408">
        <v>0</v>
      </c>
      <c r="BW617" s="408"/>
      <c r="BX617" s="408"/>
      <c r="BY617" s="408"/>
      <c r="BZ617" s="408"/>
      <c r="CA617" s="408"/>
      <c r="CB617" s="408"/>
      <c r="CC617" s="408"/>
      <c r="CD617" s="408"/>
      <c r="CE617" s="408"/>
      <c r="CF617" s="408"/>
      <c r="CG617" s="408"/>
      <c r="CH617" s="408"/>
      <c r="CI617" s="408">
        <v>4169.9250000000002</v>
      </c>
      <c r="CJ617" s="408">
        <v>-6204.9300000000012</v>
      </c>
      <c r="CK617" s="408"/>
      <c r="CL617" s="408"/>
      <c r="CM617" s="408"/>
      <c r="CN617" s="408"/>
      <c r="CO617" s="408">
        <v>-12409.800000000001</v>
      </c>
      <c r="CP617" s="408">
        <v>0</v>
      </c>
      <c r="CQ617" s="408">
        <v>31</v>
      </c>
      <c r="CR617" s="408">
        <v>348.76423175813807</v>
      </c>
      <c r="CS617" s="408">
        <v>117.39175853701067</v>
      </c>
      <c r="CT617" s="408">
        <v>225.07126514282982</v>
      </c>
      <c r="CU617" s="408">
        <v>0</v>
      </c>
      <c r="CV617" s="408">
        <v>0</v>
      </c>
      <c r="CW617" s="408"/>
      <c r="CX617" s="408"/>
      <c r="CY617" s="408"/>
      <c r="CZ617" s="408">
        <v>6.3012080782974635</v>
      </c>
      <c r="DA617" s="408">
        <v>0</v>
      </c>
      <c r="DB617" s="408">
        <v>0</v>
      </c>
      <c r="DC617" s="408"/>
      <c r="DD617" s="408"/>
      <c r="DE617" s="408">
        <v>0</v>
      </c>
      <c r="DF617" s="408">
        <v>0</v>
      </c>
      <c r="DG617" s="408">
        <v>0</v>
      </c>
      <c r="DH617" s="408">
        <v>0</v>
      </c>
      <c r="DI617" s="408">
        <v>0</v>
      </c>
      <c r="DJ617" s="408"/>
      <c r="DK617" s="408">
        <v>0</v>
      </c>
      <c r="DL617" s="408">
        <v>0</v>
      </c>
      <c r="DM617" s="408"/>
      <c r="DN617" s="408">
        <v>0</v>
      </c>
      <c r="DO617" s="408">
        <v>0</v>
      </c>
      <c r="DP617" s="408">
        <v>0</v>
      </c>
      <c r="DQ617" s="408">
        <v>0</v>
      </c>
      <c r="DR617" s="408">
        <v>0</v>
      </c>
      <c r="DS617" s="408"/>
      <c r="DT617" s="408"/>
      <c r="DU617" s="408">
        <v>17367.744351377984</v>
      </c>
      <c r="DV617" s="408"/>
      <c r="DW617" s="408">
        <v>0</v>
      </c>
      <c r="DX617" s="408">
        <v>0</v>
      </c>
      <c r="DY617" s="408">
        <v>-12409.800000000001</v>
      </c>
      <c r="DZ617" s="234"/>
      <c r="EA617" s="408">
        <v>0</v>
      </c>
      <c r="EB617" s="408"/>
      <c r="EC617" s="408">
        <v>-12760.252281512727</v>
      </c>
      <c r="ED617" s="408"/>
      <c r="EE617" s="408">
        <v>0</v>
      </c>
      <c r="EF617" s="408">
        <v>0</v>
      </c>
      <c r="EG617" s="408"/>
      <c r="EH617" s="408">
        <v>0</v>
      </c>
      <c r="EI617" s="408">
        <v>0</v>
      </c>
      <c r="EJ617" s="408">
        <v>0</v>
      </c>
      <c r="EK617" s="408">
        <v>0</v>
      </c>
      <c r="EL617" s="408">
        <v>0</v>
      </c>
      <c r="EM617" s="408"/>
      <c r="EN617" s="408"/>
      <c r="EO617" s="408">
        <v>0</v>
      </c>
      <c r="EP617" s="408">
        <v>0</v>
      </c>
      <c r="EQ617" s="408"/>
      <c r="ER617" s="408">
        <v>0</v>
      </c>
      <c r="ES617" s="408"/>
      <c r="ET617" s="408">
        <v>0</v>
      </c>
      <c r="EU617" s="408"/>
      <c r="EV617" s="408">
        <v>242</v>
      </c>
      <c r="EW617" s="408"/>
      <c r="EX617" s="408"/>
      <c r="EY617" s="408"/>
      <c r="EZ617" s="408"/>
      <c r="FA617" s="408">
        <v>0</v>
      </c>
      <c r="FB617" s="408"/>
      <c r="FC617" s="408"/>
      <c r="FD617" s="408"/>
      <c r="FE617" s="408"/>
      <c r="FF617" s="408">
        <v>0</v>
      </c>
      <c r="FG617" s="408">
        <v>0</v>
      </c>
      <c r="FH617" s="408">
        <v>0</v>
      </c>
      <c r="FI617" s="408">
        <v>0</v>
      </c>
    </row>
    <row r="618" spans="1:165">
      <c r="A618" s="408">
        <v>619</v>
      </c>
      <c r="B618" s="408" t="s">
        <v>1036</v>
      </c>
      <c r="C618" s="408" t="s">
        <v>993</v>
      </c>
      <c r="D618" s="408" t="s">
        <v>597</v>
      </c>
      <c r="E618" s="408" t="s">
        <v>1322</v>
      </c>
      <c r="F618" s="408" t="s">
        <v>1322</v>
      </c>
      <c r="G618" s="408" t="s">
        <v>1322</v>
      </c>
      <c r="H618" s="408" t="s">
        <v>2329</v>
      </c>
      <c r="I618" s="408" t="s">
        <v>1322</v>
      </c>
      <c r="J618" s="408" t="s">
        <v>2252</v>
      </c>
      <c r="K618" s="828">
        <v>44409</v>
      </c>
      <c r="L618" s="408">
        <v>953</v>
      </c>
      <c r="M618" s="408">
        <v>476.5</v>
      </c>
      <c r="N618" s="408">
        <v>0</v>
      </c>
      <c r="O618" s="408">
        <v>0</v>
      </c>
      <c r="P618" s="408">
        <v>0</v>
      </c>
      <c r="Q618" s="408">
        <v>0</v>
      </c>
      <c r="R618" s="408">
        <v>10.220000000000001</v>
      </c>
      <c r="S618" s="408"/>
      <c r="T618" s="408"/>
      <c r="U618" s="408">
        <v>9739.66</v>
      </c>
      <c r="V618" s="408"/>
      <c r="W618" s="408">
        <v>9739.66</v>
      </c>
      <c r="X618" s="408">
        <v>2582.63</v>
      </c>
      <c r="Y618" s="408">
        <v>0</v>
      </c>
      <c r="Z618" s="408">
        <v>0</v>
      </c>
      <c r="AA618" s="408">
        <v>0</v>
      </c>
      <c r="AB618" s="408">
        <v>0</v>
      </c>
      <c r="AC618" s="408">
        <v>0</v>
      </c>
      <c r="AD618" s="408">
        <v>0</v>
      </c>
      <c r="AE618" s="408">
        <v>9741.2483581600645</v>
      </c>
      <c r="AF618" s="408"/>
      <c r="AG618" s="408"/>
      <c r="AH618" s="408"/>
      <c r="AI618" s="408">
        <v>0</v>
      </c>
      <c r="AJ618" s="408">
        <v>0</v>
      </c>
      <c r="AK618" s="408">
        <v>0</v>
      </c>
      <c r="AL618" s="408">
        <v>0</v>
      </c>
      <c r="AM618" s="408"/>
      <c r="AN618" s="408">
        <v>0</v>
      </c>
      <c r="AO618" s="408">
        <v>0</v>
      </c>
      <c r="AP618" s="408">
        <v>0</v>
      </c>
      <c r="AQ618" s="408">
        <v>0</v>
      </c>
      <c r="AR618" s="408">
        <v>0</v>
      </c>
      <c r="AS618" s="408"/>
      <c r="AT618" s="408"/>
      <c r="AU618" s="408">
        <v>0</v>
      </c>
      <c r="AV618" s="408">
        <v>0</v>
      </c>
      <c r="AW618" s="408">
        <v>0</v>
      </c>
      <c r="AX618" s="408"/>
      <c r="AY618" s="408"/>
      <c r="AZ618" s="408">
        <v>0</v>
      </c>
      <c r="BA618" s="408"/>
      <c r="BB618" s="408">
        <v>0</v>
      </c>
      <c r="BC618" s="408">
        <v>0</v>
      </c>
      <c r="BD618" s="408">
        <v>0</v>
      </c>
      <c r="BE618" s="408">
        <v>0</v>
      </c>
      <c r="BF618" s="408"/>
      <c r="BG618" s="408">
        <v>0</v>
      </c>
      <c r="BH618" s="408">
        <v>0</v>
      </c>
      <c r="BI618" s="408">
        <v>21.57</v>
      </c>
      <c r="BJ618" s="408">
        <v>0</v>
      </c>
      <c r="BK618" s="408">
        <v>0</v>
      </c>
      <c r="BL618" s="408">
        <v>0</v>
      </c>
      <c r="BM618" s="408"/>
      <c r="BN618" s="408"/>
      <c r="BO618" s="408">
        <v>1291.3150000000001</v>
      </c>
      <c r="BP618" s="408"/>
      <c r="BQ618" s="408"/>
      <c r="BR618" s="408"/>
      <c r="BS618" s="408"/>
      <c r="BT618" s="408"/>
      <c r="BU618" s="408"/>
      <c r="BV618" s="408">
        <v>0</v>
      </c>
      <c r="BW618" s="408"/>
      <c r="BX618" s="408"/>
      <c r="BY618" s="408"/>
      <c r="BZ618" s="408"/>
      <c r="CA618" s="408"/>
      <c r="CB618" s="408"/>
      <c r="CC618" s="408"/>
      <c r="CD618" s="408"/>
      <c r="CE618" s="408"/>
      <c r="CF618" s="408"/>
      <c r="CG618" s="408"/>
      <c r="CH618" s="408"/>
      <c r="CI618" s="408">
        <v>1291.3150000000001</v>
      </c>
      <c r="CJ618" s="408">
        <v>-3578.5450000000005</v>
      </c>
      <c r="CK618" s="408"/>
      <c r="CL618" s="408"/>
      <c r="CM618" s="408"/>
      <c r="CN618" s="408"/>
      <c r="CO618" s="408">
        <v>-7157.0300000000007</v>
      </c>
      <c r="CP618" s="408">
        <v>0</v>
      </c>
      <c r="CQ618" s="408">
        <v>31</v>
      </c>
      <c r="CR618" s="408">
        <v>0</v>
      </c>
      <c r="CS618" s="408">
        <v>0</v>
      </c>
      <c r="CT618" s="408">
        <v>0</v>
      </c>
      <c r="CU618" s="408">
        <v>0</v>
      </c>
      <c r="CV618" s="408">
        <v>0</v>
      </c>
      <c r="CW618" s="408"/>
      <c r="CX618" s="408"/>
      <c r="CY618" s="408"/>
      <c r="CZ618" s="408">
        <v>0</v>
      </c>
      <c r="DA618" s="408">
        <v>0</v>
      </c>
      <c r="DB618" s="408">
        <v>0</v>
      </c>
      <c r="DC618" s="408"/>
      <c r="DD618" s="408"/>
      <c r="DE618" s="408">
        <v>0</v>
      </c>
      <c r="DF618" s="408">
        <v>0</v>
      </c>
      <c r="DG618" s="408">
        <v>0</v>
      </c>
      <c r="DH618" s="408">
        <v>0</v>
      </c>
      <c r="DI618" s="408">
        <v>0</v>
      </c>
      <c r="DJ618" s="408"/>
      <c r="DK618" s="408">
        <v>0</v>
      </c>
      <c r="DL618" s="408">
        <v>0</v>
      </c>
      <c r="DM618" s="408"/>
      <c r="DN618" s="408">
        <v>0</v>
      </c>
      <c r="DO618" s="408">
        <v>0</v>
      </c>
      <c r="DP618" s="408">
        <v>0</v>
      </c>
      <c r="DQ618" s="408">
        <v>0</v>
      </c>
      <c r="DR618" s="408">
        <v>0</v>
      </c>
      <c r="DS618" s="408"/>
      <c r="DT618" s="408"/>
      <c r="DU618" s="408">
        <v>9741.2483581600645</v>
      </c>
      <c r="DV618" s="408"/>
      <c r="DW618" s="408">
        <v>0</v>
      </c>
      <c r="DX618" s="408">
        <v>0</v>
      </c>
      <c r="DY618" s="408">
        <v>-7157.03</v>
      </c>
      <c r="DZ618" s="234"/>
      <c r="EA618" s="408">
        <v>0</v>
      </c>
      <c r="EB618" s="408"/>
      <c r="EC618" s="408">
        <v>-7156.9908027309175</v>
      </c>
      <c r="ED618" s="408"/>
      <c r="EE618" s="408">
        <v>0</v>
      </c>
      <c r="EF618" s="408">
        <v>0</v>
      </c>
      <c r="EG618" s="408"/>
      <c r="EH618" s="408">
        <v>0</v>
      </c>
      <c r="EI618" s="408">
        <v>0</v>
      </c>
      <c r="EJ618" s="408">
        <v>0</v>
      </c>
      <c r="EK618" s="408">
        <v>0</v>
      </c>
      <c r="EL618" s="408">
        <v>0</v>
      </c>
      <c r="EM618" s="408"/>
      <c r="EN618" s="408"/>
      <c r="EO618" s="408">
        <v>0</v>
      </c>
      <c r="EP618" s="408">
        <v>0</v>
      </c>
      <c r="EQ618" s="408"/>
      <c r="ER618" s="408">
        <v>0</v>
      </c>
      <c r="ES618" s="408"/>
      <c r="ET618" s="408">
        <v>0</v>
      </c>
      <c r="EU618" s="408"/>
      <c r="EV618" s="408">
        <v>242</v>
      </c>
      <c r="EW618" s="408"/>
      <c r="EX618" s="408"/>
      <c r="EY618" s="408"/>
      <c r="EZ618" s="408"/>
      <c r="FA618" s="408">
        <v>0</v>
      </c>
      <c r="FB618" s="408"/>
      <c r="FC618" s="408"/>
      <c r="FD618" s="408"/>
      <c r="FE618" s="408"/>
      <c r="FF618" s="408">
        <v>0</v>
      </c>
      <c r="FG618" s="408">
        <v>0</v>
      </c>
      <c r="FH618" s="408">
        <v>0</v>
      </c>
      <c r="FI618" s="408">
        <v>0</v>
      </c>
    </row>
    <row r="619" spans="1:165">
      <c r="A619" s="408">
        <v>620</v>
      </c>
      <c r="B619" s="408" t="s">
        <v>1036</v>
      </c>
      <c r="C619" s="408" t="s">
        <v>2239</v>
      </c>
      <c r="D619" s="408" t="s">
        <v>597</v>
      </c>
      <c r="E619" s="408" t="s">
        <v>970</v>
      </c>
      <c r="F619" s="408" t="s">
        <v>1322</v>
      </c>
      <c r="G619" s="408" t="s">
        <v>2327</v>
      </c>
      <c r="H619" s="408" t="s">
        <v>1322</v>
      </c>
      <c r="I619" s="408" t="s">
        <v>973</v>
      </c>
      <c r="J619" s="408" t="s">
        <v>2328</v>
      </c>
      <c r="K619" s="828">
        <v>44440</v>
      </c>
      <c r="L619" s="408">
        <v>0</v>
      </c>
      <c r="M619" s="408">
        <v>0</v>
      </c>
      <c r="N619" s="408">
        <v>18.652999999999999</v>
      </c>
      <c r="O619" s="408">
        <v>9.3264999999999993</v>
      </c>
      <c r="P619" s="408">
        <v>0</v>
      </c>
      <c r="Q619" s="408">
        <v>0</v>
      </c>
      <c r="R619" s="408"/>
      <c r="S619" s="408">
        <v>2592.54</v>
      </c>
      <c r="T619" s="408"/>
      <c r="U619" s="408"/>
      <c r="V619" s="408">
        <v>48358.648619999993</v>
      </c>
      <c r="W619" s="408">
        <v>48358.648619999993</v>
      </c>
      <c r="X619" s="408">
        <v>17381.051929999998</v>
      </c>
      <c r="Y619" s="408">
        <v>0</v>
      </c>
      <c r="Z619" s="408">
        <v>983.59576055854473</v>
      </c>
      <c r="AA619" s="408">
        <v>0</v>
      </c>
      <c r="AB619" s="408">
        <v>0</v>
      </c>
      <c r="AC619" s="408">
        <v>0</v>
      </c>
      <c r="AD619" s="408">
        <v>94.321416517415344</v>
      </c>
      <c r="AE619" s="408">
        <v>42731.999231831163</v>
      </c>
      <c r="AF619" s="408"/>
      <c r="AG619" s="408"/>
      <c r="AH619" s="408"/>
      <c r="AI619" s="408">
        <v>0</v>
      </c>
      <c r="AJ619" s="408">
        <v>0</v>
      </c>
      <c r="AK619" s="408">
        <v>0</v>
      </c>
      <c r="AL619" s="408">
        <v>174.8463886333019</v>
      </c>
      <c r="AM619" s="408"/>
      <c r="AN619" s="408">
        <v>25.614713631341544</v>
      </c>
      <c r="AO619" s="408">
        <v>841.52769885115049</v>
      </c>
      <c r="AP619" s="408">
        <v>3193.4075659555988</v>
      </c>
      <c r="AQ619" s="408">
        <v>0</v>
      </c>
      <c r="AR619" s="408">
        <v>0</v>
      </c>
      <c r="AS619" s="408"/>
      <c r="AT619" s="408"/>
      <c r="AU619" s="408">
        <v>0</v>
      </c>
      <c r="AV619" s="408">
        <v>0</v>
      </c>
      <c r="AW619" s="408">
        <v>0</v>
      </c>
      <c r="AX619" s="408"/>
      <c r="AY619" s="408"/>
      <c r="AZ619" s="408">
        <v>0</v>
      </c>
      <c r="BA619" s="408"/>
      <c r="BB619" s="408">
        <v>0</v>
      </c>
      <c r="BC619" s="408">
        <v>0</v>
      </c>
      <c r="BD619" s="408">
        <v>8.5299926222802949</v>
      </c>
      <c r="BE619" s="408">
        <v>0</v>
      </c>
      <c r="BF619" s="408"/>
      <c r="BG619" s="408">
        <v>304.71833329505688</v>
      </c>
      <c r="BH619" s="408">
        <v>0</v>
      </c>
      <c r="BI619" s="408">
        <v>0</v>
      </c>
      <c r="BJ619" s="408">
        <v>0</v>
      </c>
      <c r="BK619" s="408">
        <v>0</v>
      </c>
      <c r="BL619" s="408">
        <v>0</v>
      </c>
      <c r="BM619" s="408"/>
      <c r="BN619" s="408">
        <v>8690.5259649999989</v>
      </c>
      <c r="BO619" s="408"/>
      <c r="BP619" s="408"/>
      <c r="BQ619" s="408"/>
      <c r="BR619" s="408"/>
      <c r="BS619" s="408"/>
      <c r="BT619" s="408"/>
      <c r="BU619" s="408"/>
      <c r="BV619" s="408">
        <v>313.24832591733718</v>
      </c>
      <c r="BW619" s="408"/>
      <c r="BX619" s="408"/>
      <c r="BY619" s="408"/>
      <c r="BZ619" s="408"/>
      <c r="CA619" s="408"/>
      <c r="CB619" s="408"/>
      <c r="CC619" s="408"/>
      <c r="CD619" s="408"/>
      <c r="CE619" s="408"/>
      <c r="CF619" s="408"/>
      <c r="CG619" s="408"/>
      <c r="CH619" s="408"/>
      <c r="CI619" s="408">
        <v>8693.7873</v>
      </c>
      <c r="CJ619" s="408">
        <v>-15485.567009999992</v>
      </c>
      <c r="CK619" s="408"/>
      <c r="CL619" s="408"/>
      <c r="CM619" s="408"/>
      <c r="CN619" s="408"/>
      <c r="CO619" s="408">
        <v>-30977.596689999998</v>
      </c>
      <c r="CP619" s="408">
        <v>0</v>
      </c>
      <c r="CQ619" s="408">
        <v>30</v>
      </c>
      <c r="CR619" s="408">
        <v>418.09793259179241</v>
      </c>
      <c r="CS619" s="408">
        <v>86.804864772381052</v>
      </c>
      <c r="CT619" s="408">
        <v>329.40485774181616</v>
      </c>
      <c r="CU619" s="408">
        <v>0</v>
      </c>
      <c r="CV619" s="408">
        <v>0</v>
      </c>
      <c r="CW619" s="408"/>
      <c r="CX619" s="408"/>
      <c r="CY619" s="408"/>
      <c r="CZ619" s="408">
        <v>9.2222821053625097</v>
      </c>
      <c r="DA619" s="408">
        <v>0</v>
      </c>
      <c r="DB619" s="408">
        <v>0</v>
      </c>
      <c r="DC619" s="408"/>
      <c r="DD619" s="408"/>
      <c r="DE619" s="408">
        <v>0</v>
      </c>
      <c r="DF619" s="408">
        <v>1.3032185116450972</v>
      </c>
      <c r="DG619" s="408">
        <v>46.555089830968996</v>
      </c>
      <c r="DH619" s="408">
        <v>0</v>
      </c>
      <c r="DI619" s="408">
        <v>-46.993447051771795</v>
      </c>
      <c r="DJ619" s="408"/>
      <c r="DK619" s="408">
        <v>0</v>
      </c>
      <c r="DL619" s="408">
        <v>0</v>
      </c>
      <c r="DM619" s="408"/>
      <c r="DN619" s="408">
        <v>0</v>
      </c>
      <c r="DO619" s="408">
        <v>-7.084882169316586</v>
      </c>
      <c r="DP619" s="408">
        <v>-1.1140511492931928</v>
      </c>
      <c r="DQ619" s="408">
        <v>0</v>
      </c>
      <c r="DR619" s="408">
        <v>0</v>
      </c>
      <c r="DS619" s="408"/>
      <c r="DT619" s="408"/>
      <c r="DU619" s="408"/>
      <c r="DV619" s="408">
        <v>42731.999231831163</v>
      </c>
      <c r="DW619" s="408">
        <v>0</v>
      </c>
      <c r="DX619" s="408">
        <v>0</v>
      </c>
      <c r="DY619" s="408">
        <v>-30977.596689999995</v>
      </c>
      <c r="DZ619" s="234"/>
      <c r="EA619" s="408">
        <v>0</v>
      </c>
      <c r="EB619" s="408"/>
      <c r="EC619" s="408">
        <v>-31395.619353892191</v>
      </c>
      <c r="ED619" s="408"/>
      <c r="EE619" s="408">
        <v>0</v>
      </c>
      <c r="EF619" s="408">
        <v>0</v>
      </c>
      <c r="EG619" s="408"/>
      <c r="EH619" s="408">
        <v>0</v>
      </c>
      <c r="EI619" s="408">
        <v>0</v>
      </c>
      <c r="EJ619" s="408">
        <v>0</v>
      </c>
      <c r="EK619" s="408">
        <v>0</v>
      </c>
      <c r="EL619" s="408">
        <v>0</v>
      </c>
      <c r="EM619" s="408"/>
      <c r="EN619" s="408"/>
      <c r="EO619" s="408">
        <v>0</v>
      </c>
      <c r="EP619" s="408">
        <v>0</v>
      </c>
      <c r="EQ619" s="408"/>
      <c r="ER619" s="408">
        <v>0</v>
      </c>
      <c r="ES619" s="408"/>
      <c r="ET619" s="408">
        <v>0</v>
      </c>
      <c r="EU619" s="408"/>
      <c r="EV619" s="408">
        <v>242</v>
      </c>
      <c r="EW619" s="408"/>
      <c r="EX619" s="408"/>
      <c r="EY619" s="408"/>
      <c r="EZ619" s="408"/>
      <c r="FA619" s="408">
        <v>0</v>
      </c>
      <c r="FB619" s="408"/>
      <c r="FC619" s="408"/>
      <c r="FD619" s="408"/>
      <c r="FE619" s="408"/>
      <c r="FF619" s="408">
        <v>0</v>
      </c>
      <c r="FG619" s="408">
        <v>0</v>
      </c>
      <c r="FH619" s="408">
        <v>0</v>
      </c>
      <c r="FI619" s="408">
        <v>0</v>
      </c>
    </row>
    <row r="620" spans="1:165">
      <c r="A620" s="408">
        <v>621</v>
      </c>
      <c r="B620" s="408" t="s">
        <v>1036</v>
      </c>
      <c r="C620" s="408" t="s">
        <v>2239</v>
      </c>
      <c r="D620" s="408" t="s">
        <v>597</v>
      </c>
      <c r="E620" s="408" t="s">
        <v>970</v>
      </c>
      <c r="F620" s="408" t="s">
        <v>1322</v>
      </c>
      <c r="G620" s="408" t="s">
        <v>2327</v>
      </c>
      <c r="H620" s="408" t="s">
        <v>1322</v>
      </c>
      <c r="I620" s="408" t="s">
        <v>2240</v>
      </c>
      <c r="J620" s="408" t="s">
        <v>2328</v>
      </c>
      <c r="K620" s="828">
        <v>44440</v>
      </c>
      <c r="L620" s="408">
        <v>0</v>
      </c>
      <c r="M620" s="408">
        <v>0</v>
      </c>
      <c r="N620" s="408">
        <v>193.155</v>
      </c>
      <c r="O620" s="408">
        <v>96.577500000000001</v>
      </c>
      <c r="P620" s="408">
        <v>0</v>
      </c>
      <c r="Q620" s="408">
        <v>0</v>
      </c>
      <c r="R620" s="408"/>
      <c r="S620" s="408">
        <v>80.27</v>
      </c>
      <c r="T620" s="408"/>
      <c r="U620" s="408"/>
      <c r="V620" s="408">
        <v>15504.55185</v>
      </c>
      <c r="W620" s="408">
        <v>15504.55185</v>
      </c>
      <c r="X620" s="408">
        <v>15429.221399999999</v>
      </c>
      <c r="Y620" s="408">
        <v>0</v>
      </c>
      <c r="Z620" s="408">
        <v>10185.302049573031</v>
      </c>
      <c r="AA620" s="408">
        <v>0</v>
      </c>
      <c r="AB620" s="408">
        <v>0</v>
      </c>
      <c r="AC620" s="408">
        <v>0</v>
      </c>
      <c r="AD620" s="408">
        <v>0</v>
      </c>
      <c r="AE620" s="408">
        <v>0</v>
      </c>
      <c r="AF620" s="408"/>
      <c r="AG620" s="408"/>
      <c r="AH620" s="408"/>
      <c r="AI620" s="408">
        <v>0</v>
      </c>
      <c r="AJ620" s="408">
        <v>0</v>
      </c>
      <c r="AK620" s="408">
        <v>0</v>
      </c>
      <c r="AL620" s="408">
        <v>1810.5642093210438</v>
      </c>
      <c r="AM620" s="408"/>
      <c r="AN620" s="408">
        <v>265.24473336523755</v>
      </c>
      <c r="AO620" s="408">
        <v>0</v>
      </c>
      <c r="AP620" s="408">
        <v>0</v>
      </c>
      <c r="AQ620" s="408">
        <v>0</v>
      </c>
      <c r="AR620" s="408">
        <v>0</v>
      </c>
      <c r="AS620" s="408"/>
      <c r="AT620" s="408"/>
      <c r="AU620" s="408">
        <v>0</v>
      </c>
      <c r="AV620" s="408">
        <v>0</v>
      </c>
      <c r="AW620" s="408">
        <v>0</v>
      </c>
      <c r="AX620" s="408"/>
      <c r="AY620" s="408"/>
      <c r="AZ620" s="408">
        <v>0</v>
      </c>
      <c r="BA620" s="408"/>
      <c r="BB620" s="408">
        <v>0</v>
      </c>
      <c r="BC620" s="408">
        <v>0</v>
      </c>
      <c r="BD620" s="408">
        <v>88.329530100067032</v>
      </c>
      <c r="BE620" s="408">
        <v>0</v>
      </c>
      <c r="BF620" s="408"/>
      <c r="BG620" s="408">
        <v>3155.4103719298087</v>
      </c>
      <c r="BH620" s="408">
        <v>0</v>
      </c>
      <c r="BI620" s="408">
        <v>0</v>
      </c>
      <c r="BJ620" s="408">
        <v>0</v>
      </c>
      <c r="BK620" s="408">
        <v>0</v>
      </c>
      <c r="BL620" s="408">
        <v>0</v>
      </c>
      <c r="BM620" s="408"/>
      <c r="BN620" s="408">
        <v>7714.6106999999993</v>
      </c>
      <c r="BO620" s="408"/>
      <c r="BP620" s="408"/>
      <c r="BQ620" s="408"/>
      <c r="BR620" s="408"/>
      <c r="BS620" s="408"/>
      <c r="BT620" s="408"/>
      <c r="BU620" s="408"/>
      <c r="BV620" s="408">
        <v>3243.7399020298758</v>
      </c>
      <c r="BW620" s="408"/>
      <c r="BX620" s="408"/>
      <c r="BY620" s="408"/>
      <c r="BZ620" s="408"/>
      <c r="CA620" s="408"/>
      <c r="CB620" s="408"/>
      <c r="CC620" s="408"/>
      <c r="CD620" s="408"/>
      <c r="CE620" s="408"/>
      <c r="CF620" s="408"/>
      <c r="CG620" s="408"/>
      <c r="CH620" s="408"/>
      <c r="CI620" s="408">
        <v>7714.8103999999994</v>
      </c>
      <c r="CJ620" s="408">
        <v>-37.49552500000118</v>
      </c>
      <c r="CK620" s="408"/>
      <c r="CL620" s="408"/>
      <c r="CM620" s="408"/>
      <c r="CN620" s="408"/>
      <c r="CO620" s="408">
        <v>-75.330450000000113</v>
      </c>
      <c r="CP620" s="408">
        <v>0</v>
      </c>
      <c r="CQ620" s="408">
        <v>30</v>
      </c>
      <c r="CR620" s="408">
        <v>-75.945568140432442</v>
      </c>
      <c r="CS620" s="408">
        <v>0</v>
      </c>
      <c r="CT620" s="408">
        <v>0</v>
      </c>
      <c r="CU620" s="408">
        <v>0</v>
      </c>
      <c r="CV620" s="408">
        <v>0</v>
      </c>
      <c r="CW620" s="408"/>
      <c r="CX620" s="408"/>
      <c r="CY620" s="408"/>
      <c r="CZ620" s="408">
        <v>0</v>
      </c>
      <c r="DA620" s="408">
        <v>0</v>
      </c>
      <c r="DB620" s="408">
        <v>0</v>
      </c>
      <c r="DC620" s="408"/>
      <c r="DD620" s="408"/>
      <c r="DE620" s="408">
        <v>0</v>
      </c>
      <c r="DF620" s="408">
        <v>13.495050212663315</v>
      </c>
      <c r="DG620" s="408">
        <v>482.0859044818967</v>
      </c>
      <c r="DH620" s="408">
        <v>0</v>
      </c>
      <c r="DI620" s="408">
        <v>-486.62516835281167</v>
      </c>
      <c r="DJ620" s="408"/>
      <c r="DK620" s="408">
        <v>0</v>
      </c>
      <c r="DL620" s="408">
        <v>0</v>
      </c>
      <c r="DM620" s="408"/>
      <c r="DN620" s="408">
        <v>0</v>
      </c>
      <c r="DO620" s="408">
        <v>-73.365164606998633</v>
      </c>
      <c r="DP620" s="408">
        <v>-11.536189875179673</v>
      </c>
      <c r="DQ620" s="408">
        <v>0</v>
      </c>
      <c r="DR620" s="408">
        <v>0</v>
      </c>
      <c r="DS620" s="408"/>
      <c r="DT620" s="408"/>
      <c r="DU620" s="408"/>
      <c r="DV620" s="408">
        <v>0</v>
      </c>
      <c r="DW620" s="408">
        <v>0</v>
      </c>
      <c r="DX620" s="408">
        <v>0</v>
      </c>
      <c r="DY620" s="408">
        <v>-75.330450000001292</v>
      </c>
      <c r="DZ620" s="234"/>
      <c r="EA620" s="408">
        <v>0</v>
      </c>
      <c r="EB620" s="408"/>
      <c r="EC620" s="408">
        <v>0</v>
      </c>
      <c r="ED620" s="408"/>
      <c r="EE620" s="408">
        <v>0</v>
      </c>
      <c r="EF620" s="408">
        <v>0</v>
      </c>
      <c r="EG620" s="408"/>
      <c r="EH620" s="408">
        <v>0</v>
      </c>
      <c r="EI620" s="408">
        <v>0</v>
      </c>
      <c r="EJ620" s="408">
        <v>0</v>
      </c>
      <c r="EK620" s="408">
        <v>0</v>
      </c>
      <c r="EL620" s="408">
        <v>0</v>
      </c>
      <c r="EM620" s="408"/>
      <c r="EN620" s="408"/>
      <c r="EO620" s="408">
        <v>0</v>
      </c>
      <c r="EP620" s="408">
        <v>0</v>
      </c>
      <c r="EQ620" s="408"/>
      <c r="ER620" s="408">
        <v>0</v>
      </c>
      <c r="ES620" s="408"/>
      <c r="ET620" s="408">
        <v>0</v>
      </c>
      <c r="EU620" s="408"/>
      <c r="EV620" s="408">
        <v>242</v>
      </c>
      <c r="EW620" s="408"/>
      <c r="EX620" s="408"/>
      <c r="EY620" s="408"/>
      <c r="EZ620" s="408"/>
      <c r="FA620" s="408">
        <v>0</v>
      </c>
      <c r="FB620" s="408"/>
      <c r="FC620" s="408"/>
      <c r="FD620" s="408"/>
      <c r="FE620" s="408"/>
      <c r="FF620" s="408">
        <v>0</v>
      </c>
      <c r="FG620" s="408">
        <v>0</v>
      </c>
      <c r="FH620" s="408">
        <v>0</v>
      </c>
      <c r="FI620" s="408">
        <v>0</v>
      </c>
    </row>
    <row r="621" spans="1:165">
      <c r="A621" s="408">
        <v>622</v>
      </c>
      <c r="B621" s="408" t="s">
        <v>1036</v>
      </c>
      <c r="C621" s="408" t="s">
        <v>2239</v>
      </c>
      <c r="D621" s="408" t="s">
        <v>597</v>
      </c>
      <c r="E621" s="408" t="s">
        <v>970</v>
      </c>
      <c r="F621" s="408" t="s">
        <v>1322</v>
      </c>
      <c r="G621" s="408" t="s">
        <v>2327</v>
      </c>
      <c r="H621" s="408" t="s">
        <v>1322</v>
      </c>
      <c r="I621" s="408" t="s">
        <v>1322</v>
      </c>
      <c r="J621" s="408" t="s">
        <v>2328</v>
      </c>
      <c r="K621" s="828">
        <v>44440</v>
      </c>
      <c r="L621" s="408">
        <v>686</v>
      </c>
      <c r="M621" s="408">
        <v>343</v>
      </c>
      <c r="N621" s="408">
        <v>0</v>
      </c>
      <c r="O621" s="408">
        <v>0</v>
      </c>
      <c r="P621" s="408">
        <v>0</v>
      </c>
      <c r="Q621" s="408">
        <v>0</v>
      </c>
      <c r="R621" s="408">
        <v>32.17</v>
      </c>
      <c r="S621" s="408"/>
      <c r="T621" s="408"/>
      <c r="U621" s="408">
        <v>22068.620000000003</v>
      </c>
      <c r="V621" s="408"/>
      <c r="W621" s="408">
        <v>22068.620000000003</v>
      </c>
      <c r="X621" s="408">
        <v>8869.98</v>
      </c>
      <c r="Y621" s="408">
        <v>0</v>
      </c>
      <c r="Z621" s="408">
        <v>0</v>
      </c>
      <c r="AA621" s="408">
        <v>0</v>
      </c>
      <c r="AB621" s="408">
        <v>0</v>
      </c>
      <c r="AC621" s="408">
        <v>0</v>
      </c>
      <c r="AD621" s="408">
        <v>68.542530440054932</v>
      </c>
      <c r="AE621" s="408">
        <v>18471.740503946199</v>
      </c>
      <c r="AF621" s="408"/>
      <c r="AG621" s="408"/>
      <c r="AH621" s="408"/>
      <c r="AI621" s="408">
        <v>0</v>
      </c>
      <c r="AJ621" s="408">
        <v>0</v>
      </c>
      <c r="AK621" s="408">
        <v>0</v>
      </c>
      <c r="AL621" s="408">
        <v>0</v>
      </c>
      <c r="AM621" s="408"/>
      <c r="AN621" s="408">
        <v>0</v>
      </c>
      <c r="AO621" s="408">
        <v>1210.3928789998188</v>
      </c>
      <c r="AP621" s="408">
        <v>2320.6455034957366</v>
      </c>
      <c r="AQ621" s="408">
        <v>0</v>
      </c>
      <c r="AR621" s="408">
        <v>0</v>
      </c>
      <c r="AS621" s="408"/>
      <c r="AT621" s="408"/>
      <c r="AU621" s="408">
        <v>0</v>
      </c>
      <c r="AV621" s="408">
        <v>0</v>
      </c>
      <c r="AW621" s="408">
        <v>0</v>
      </c>
      <c r="AX621" s="408"/>
      <c r="AY621" s="408"/>
      <c r="AZ621" s="408">
        <v>0</v>
      </c>
      <c r="BA621" s="408"/>
      <c r="BB621" s="408">
        <v>0</v>
      </c>
      <c r="BC621" s="408">
        <v>0</v>
      </c>
      <c r="BD621" s="408">
        <v>0</v>
      </c>
      <c r="BE621" s="408">
        <v>0</v>
      </c>
      <c r="BF621" s="408"/>
      <c r="BG621" s="408">
        <v>0</v>
      </c>
      <c r="BH621" s="408">
        <v>0</v>
      </c>
      <c r="BI621" s="408">
        <v>1538.49</v>
      </c>
      <c r="BJ621" s="408">
        <v>0</v>
      </c>
      <c r="BK621" s="408">
        <v>10187.9</v>
      </c>
      <c r="BL621" s="408">
        <v>1</v>
      </c>
      <c r="BM621" s="408"/>
      <c r="BN621" s="408">
        <v>4434.99</v>
      </c>
      <c r="BO621" s="408"/>
      <c r="BP621" s="408"/>
      <c r="BQ621" s="408"/>
      <c r="BR621" s="408"/>
      <c r="BS621" s="408"/>
      <c r="BT621" s="408"/>
      <c r="BU621" s="408"/>
      <c r="BV621" s="408">
        <v>0</v>
      </c>
      <c r="BW621" s="408"/>
      <c r="BX621" s="408"/>
      <c r="BY621" s="408"/>
      <c r="BZ621" s="408"/>
      <c r="CA621" s="408"/>
      <c r="CB621" s="408"/>
      <c r="CC621" s="408"/>
      <c r="CD621" s="408"/>
      <c r="CE621" s="408"/>
      <c r="CF621" s="408"/>
      <c r="CG621" s="408"/>
      <c r="CH621" s="408"/>
      <c r="CI621" s="408">
        <v>4434.99</v>
      </c>
      <c r="CJ621" s="408">
        <v>-6599.3500000000022</v>
      </c>
      <c r="CK621" s="408"/>
      <c r="CL621" s="408"/>
      <c r="CM621" s="408"/>
      <c r="CN621" s="408"/>
      <c r="CO621" s="408">
        <v>-13198.640000000001</v>
      </c>
      <c r="CP621" s="408">
        <v>0</v>
      </c>
      <c r="CQ621" s="408">
        <v>30</v>
      </c>
      <c r="CR621" s="408">
        <v>370.93374106369356</v>
      </c>
      <c r="CS621" s="408">
        <v>124.85387031998334</v>
      </c>
      <c r="CT621" s="408">
        <v>239.37812075655984</v>
      </c>
      <c r="CU621" s="408">
        <v>0</v>
      </c>
      <c r="CV621" s="408">
        <v>0</v>
      </c>
      <c r="CW621" s="408"/>
      <c r="CX621" s="408"/>
      <c r="CY621" s="408"/>
      <c r="CZ621" s="408">
        <v>6.7017499871504782</v>
      </c>
      <c r="DA621" s="408">
        <v>0</v>
      </c>
      <c r="DB621" s="408">
        <v>0</v>
      </c>
      <c r="DC621" s="408"/>
      <c r="DD621" s="408"/>
      <c r="DE621" s="408">
        <v>0</v>
      </c>
      <c r="DF621" s="408">
        <v>0</v>
      </c>
      <c r="DG621" s="408">
        <v>0</v>
      </c>
      <c r="DH621" s="408">
        <v>0</v>
      </c>
      <c r="DI621" s="408">
        <v>0</v>
      </c>
      <c r="DJ621" s="408"/>
      <c r="DK621" s="408">
        <v>0</v>
      </c>
      <c r="DL621" s="408">
        <v>0</v>
      </c>
      <c r="DM621" s="408"/>
      <c r="DN621" s="408">
        <v>0</v>
      </c>
      <c r="DO621" s="408">
        <v>0</v>
      </c>
      <c r="DP621" s="408">
        <v>0</v>
      </c>
      <c r="DQ621" s="408">
        <v>0</v>
      </c>
      <c r="DR621" s="408">
        <v>0</v>
      </c>
      <c r="DS621" s="408"/>
      <c r="DT621" s="408"/>
      <c r="DU621" s="408">
        <v>18471.740503946199</v>
      </c>
      <c r="DV621" s="408"/>
      <c r="DW621" s="408">
        <v>0</v>
      </c>
      <c r="DX621" s="408">
        <v>0</v>
      </c>
      <c r="DY621" s="408">
        <v>-13198.640000000003</v>
      </c>
      <c r="DZ621" s="234"/>
      <c r="EA621" s="408">
        <v>0</v>
      </c>
      <c r="EB621" s="408"/>
      <c r="EC621" s="408">
        <v>-13571.369093205787</v>
      </c>
      <c r="ED621" s="408"/>
      <c r="EE621" s="408">
        <v>0</v>
      </c>
      <c r="EF621" s="408">
        <v>0</v>
      </c>
      <c r="EG621" s="408"/>
      <c r="EH621" s="408">
        <v>0</v>
      </c>
      <c r="EI621" s="408">
        <v>0</v>
      </c>
      <c r="EJ621" s="408">
        <v>0</v>
      </c>
      <c r="EK621" s="408">
        <v>0</v>
      </c>
      <c r="EL621" s="408">
        <v>0</v>
      </c>
      <c r="EM621" s="408"/>
      <c r="EN621" s="408"/>
      <c r="EO621" s="408">
        <v>0</v>
      </c>
      <c r="EP621" s="408">
        <v>0</v>
      </c>
      <c r="EQ621" s="408"/>
      <c r="ER621" s="408">
        <v>0</v>
      </c>
      <c r="ES621" s="408"/>
      <c r="ET621" s="408">
        <v>0</v>
      </c>
      <c r="EU621" s="408"/>
      <c r="EV621" s="408">
        <v>242</v>
      </c>
      <c r="EW621" s="408"/>
      <c r="EX621" s="408"/>
      <c r="EY621" s="408"/>
      <c r="EZ621" s="408"/>
      <c r="FA621" s="408">
        <v>0</v>
      </c>
      <c r="FB621" s="408"/>
      <c r="FC621" s="408"/>
      <c r="FD621" s="408"/>
      <c r="FE621" s="408"/>
      <c r="FF621" s="408">
        <v>0</v>
      </c>
      <c r="FG621" s="408">
        <v>0</v>
      </c>
      <c r="FH621" s="408">
        <v>0</v>
      </c>
      <c r="FI621" s="408">
        <v>0</v>
      </c>
    </row>
    <row r="622" spans="1:165">
      <c r="A622" s="408">
        <v>623</v>
      </c>
      <c r="B622" s="408" t="s">
        <v>1036</v>
      </c>
      <c r="C622" s="408" t="s">
        <v>993</v>
      </c>
      <c r="D622" s="408" t="s">
        <v>597</v>
      </c>
      <c r="E622" s="408" t="s">
        <v>1322</v>
      </c>
      <c r="F622" s="408" t="s">
        <v>1322</v>
      </c>
      <c r="G622" s="408" t="s">
        <v>1322</v>
      </c>
      <c r="H622" s="408" t="s">
        <v>2329</v>
      </c>
      <c r="I622" s="408" t="s">
        <v>1322</v>
      </c>
      <c r="J622" s="408" t="s">
        <v>2252</v>
      </c>
      <c r="K622" s="828">
        <v>44440</v>
      </c>
      <c r="L622" s="408">
        <v>953</v>
      </c>
      <c r="M622" s="408">
        <v>476.5</v>
      </c>
      <c r="N622" s="408">
        <v>0</v>
      </c>
      <c r="O622" s="408">
        <v>0</v>
      </c>
      <c r="P622" s="408">
        <v>0</v>
      </c>
      <c r="Q622" s="408">
        <v>0</v>
      </c>
      <c r="R622" s="408">
        <v>10.220000000000001</v>
      </c>
      <c r="S622" s="408"/>
      <c r="T622" s="408"/>
      <c r="U622" s="408">
        <v>9739.66</v>
      </c>
      <c r="V622" s="408"/>
      <c r="W622" s="408">
        <v>9739.66</v>
      </c>
      <c r="X622" s="408">
        <v>2582.63</v>
      </c>
      <c r="Y622" s="408">
        <v>0</v>
      </c>
      <c r="Z622" s="408">
        <v>0</v>
      </c>
      <c r="AA622" s="408">
        <v>0</v>
      </c>
      <c r="AB622" s="408">
        <v>0</v>
      </c>
      <c r="AC622" s="408">
        <v>0</v>
      </c>
      <c r="AD622" s="408">
        <v>0</v>
      </c>
      <c r="AE622" s="408">
        <v>9741.2483581600645</v>
      </c>
      <c r="AF622" s="408"/>
      <c r="AG622" s="408"/>
      <c r="AH622" s="408"/>
      <c r="AI622" s="408">
        <v>0</v>
      </c>
      <c r="AJ622" s="408">
        <v>0</v>
      </c>
      <c r="AK622" s="408">
        <v>0</v>
      </c>
      <c r="AL622" s="408">
        <v>0</v>
      </c>
      <c r="AM622" s="408"/>
      <c r="AN622" s="408">
        <v>0</v>
      </c>
      <c r="AO622" s="408">
        <v>0</v>
      </c>
      <c r="AP622" s="408">
        <v>0</v>
      </c>
      <c r="AQ622" s="408">
        <v>0</v>
      </c>
      <c r="AR622" s="408">
        <v>0</v>
      </c>
      <c r="AS622" s="408"/>
      <c r="AT622" s="408"/>
      <c r="AU622" s="408">
        <v>0</v>
      </c>
      <c r="AV622" s="408">
        <v>0</v>
      </c>
      <c r="AW622" s="408">
        <v>0</v>
      </c>
      <c r="AX622" s="408"/>
      <c r="AY622" s="408"/>
      <c r="AZ622" s="408">
        <v>0</v>
      </c>
      <c r="BA622" s="408"/>
      <c r="BB622" s="408">
        <v>0</v>
      </c>
      <c r="BC622" s="408">
        <v>0</v>
      </c>
      <c r="BD622" s="408">
        <v>0</v>
      </c>
      <c r="BE622" s="408">
        <v>0</v>
      </c>
      <c r="BF622" s="408"/>
      <c r="BG622" s="408">
        <v>0</v>
      </c>
      <c r="BH622" s="408">
        <v>0</v>
      </c>
      <c r="BI622" s="408">
        <v>35.049999999999997</v>
      </c>
      <c r="BJ622" s="408">
        <v>0</v>
      </c>
      <c r="BK622" s="408">
        <v>0</v>
      </c>
      <c r="BL622" s="408">
        <v>0</v>
      </c>
      <c r="BM622" s="408"/>
      <c r="BN622" s="408"/>
      <c r="BO622" s="408">
        <v>1291.3150000000001</v>
      </c>
      <c r="BP622" s="408"/>
      <c r="BQ622" s="408"/>
      <c r="BR622" s="408"/>
      <c r="BS622" s="408"/>
      <c r="BT622" s="408"/>
      <c r="BU622" s="408"/>
      <c r="BV622" s="408">
        <v>0</v>
      </c>
      <c r="BW622" s="408"/>
      <c r="BX622" s="408"/>
      <c r="BY622" s="408"/>
      <c r="BZ622" s="408"/>
      <c r="CA622" s="408"/>
      <c r="CB622" s="408"/>
      <c r="CC622" s="408"/>
      <c r="CD622" s="408"/>
      <c r="CE622" s="408"/>
      <c r="CF622" s="408"/>
      <c r="CG622" s="408"/>
      <c r="CH622" s="408"/>
      <c r="CI622" s="408">
        <v>1291.3150000000001</v>
      </c>
      <c r="CJ622" s="408">
        <v>-3578.5450000000005</v>
      </c>
      <c r="CK622" s="408"/>
      <c r="CL622" s="408"/>
      <c r="CM622" s="408"/>
      <c r="CN622" s="408"/>
      <c r="CO622" s="408">
        <v>-7157.0300000000007</v>
      </c>
      <c r="CP622" s="408">
        <v>0</v>
      </c>
      <c r="CQ622" s="408">
        <v>30</v>
      </c>
      <c r="CR622" s="408">
        <v>0</v>
      </c>
      <c r="CS622" s="408">
        <v>0</v>
      </c>
      <c r="CT622" s="408">
        <v>0</v>
      </c>
      <c r="CU622" s="408">
        <v>0</v>
      </c>
      <c r="CV622" s="408">
        <v>0</v>
      </c>
      <c r="CW622" s="408"/>
      <c r="CX622" s="408"/>
      <c r="CY622" s="408"/>
      <c r="CZ622" s="408">
        <v>0</v>
      </c>
      <c r="DA622" s="408">
        <v>0</v>
      </c>
      <c r="DB622" s="408">
        <v>0</v>
      </c>
      <c r="DC622" s="408"/>
      <c r="DD622" s="408"/>
      <c r="DE622" s="408">
        <v>0</v>
      </c>
      <c r="DF622" s="408">
        <v>0</v>
      </c>
      <c r="DG622" s="408">
        <v>0</v>
      </c>
      <c r="DH622" s="408">
        <v>0</v>
      </c>
      <c r="DI622" s="408">
        <v>0</v>
      </c>
      <c r="DJ622" s="408"/>
      <c r="DK622" s="408">
        <v>0</v>
      </c>
      <c r="DL622" s="408">
        <v>0</v>
      </c>
      <c r="DM622" s="408"/>
      <c r="DN622" s="408">
        <v>0</v>
      </c>
      <c r="DO622" s="408">
        <v>0</v>
      </c>
      <c r="DP622" s="408">
        <v>0</v>
      </c>
      <c r="DQ622" s="408">
        <v>0</v>
      </c>
      <c r="DR622" s="408">
        <v>0</v>
      </c>
      <c r="DS622" s="408"/>
      <c r="DT622" s="408"/>
      <c r="DU622" s="408">
        <v>9741.2483581600645</v>
      </c>
      <c r="DV622" s="408"/>
      <c r="DW622" s="408">
        <v>0</v>
      </c>
      <c r="DX622" s="408">
        <v>0</v>
      </c>
      <c r="DY622" s="408">
        <v>-7157.03</v>
      </c>
      <c r="DZ622" s="234"/>
      <c r="EA622" s="408">
        <v>0</v>
      </c>
      <c r="EB622" s="408"/>
      <c r="EC622" s="408">
        <v>-7156.9908027309175</v>
      </c>
      <c r="ED622" s="408"/>
      <c r="EE622" s="408">
        <v>0</v>
      </c>
      <c r="EF622" s="408">
        <v>0</v>
      </c>
      <c r="EG622" s="408"/>
      <c r="EH622" s="408">
        <v>0</v>
      </c>
      <c r="EI622" s="408">
        <v>0</v>
      </c>
      <c r="EJ622" s="408">
        <v>0</v>
      </c>
      <c r="EK622" s="408">
        <v>0</v>
      </c>
      <c r="EL622" s="408">
        <v>0</v>
      </c>
      <c r="EM622" s="408"/>
      <c r="EN622" s="408"/>
      <c r="EO622" s="408">
        <v>0</v>
      </c>
      <c r="EP622" s="408">
        <v>0</v>
      </c>
      <c r="EQ622" s="408"/>
      <c r="ER622" s="408">
        <v>0</v>
      </c>
      <c r="ES622" s="408"/>
      <c r="ET622" s="408">
        <v>0</v>
      </c>
      <c r="EU622" s="408"/>
      <c r="EV622" s="408">
        <v>242</v>
      </c>
      <c r="EW622" s="408"/>
      <c r="EX622" s="408"/>
      <c r="EY622" s="408"/>
      <c r="EZ622" s="408"/>
      <c r="FA622" s="408">
        <v>0</v>
      </c>
      <c r="FB622" s="408"/>
      <c r="FC622" s="408"/>
      <c r="FD622" s="408"/>
      <c r="FE622" s="408"/>
      <c r="FF622" s="408">
        <v>0</v>
      </c>
      <c r="FG622" s="408">
        <v>0</v>
      </c>
      <c r="FH622" s="408">
        <v>0</v>
      </c>
      <c r="FI622" s="408">
        <v>0</v>
      </c>
    </row>
    <row r="623" spans="1:165">
      <c r="A623" s="408">
        <v>624</v>
      </c>
      <c r="B623" s="408" t="s">
        <v>1036</v>
      </c>
      <c r="C623" s="408" t="s">
        <v>2239</v>
      </c>
      <c r="D623" s="408" t="s">
        <v>597</v>
      </c>
      <c r="E623" s="408" t="s">
        <v>970</v>
      </c>
      <c r="F623" s="408" t="s">
        <v>1322</v>
      </c>
      <c r="G623" s="408" t="s">
        <v>2327</v>
      </c>
      <c r="H623" s="408" t="s">
        <v>1322</v>
      </c>
      <c r="I623" s="408" t="s">
        <v>973</v>
      </c>
      <c r="J623" s="408" t="s">
        <v>2328</v>
      </c>
      <c r="K623" s="828">
        <v>44470</v>
      </c>
      <c r="L623" s="408">
        <v>0</v>
      </c>
      <c r="M623" s="408">
        <v>0</v>
      </c>
      <c r="N623" s="408">
        <v>17.427</v>
      </c>
      <c r="O623" s="408">
        <v>8.7134999999999998</v>
      </c>
      <c r="P623" s="408">
        <v>0</v>
      </c>
      <c r="Q623" s="408">
        <v>0</v>
      </c>
      <c r="R623" s="408"/>
      <c r="S623" s="408">
        <v>2592.54</v>
      </c>
      <c r="T623" s="408"/>
      <c r="U623" s="408"/>
      <c r="V623" s="408">
        <v>45180.194579999996</v>
      </c>
      <c r="W623" s="408">
        <v>45180.194579999996</v>
      </c>
      <c r="X623" s="408">
        <v>16238.652869999998</v>
      </c>
      <c r="Y623" s="408">
        <v>0</v>
      </c>
      <c r="Z623" s="408">
        <v>918.94726420703159</v>
      </c>
      <c r="AA623" s="408">
        <v>0</v>
      </c>
      <c r="AB623" s="408">
        <v>0</v>
      </c>
      <c r="AC623" s="408">
        <v>0</v>
      </c>
      <c r="AD623" s="408">
        <v>88.121981753551566</v>
      </c>
      <c r="AE623" s="408">
        <v>39923.366247419814</v>
      </c>
      <c r="AF623" s="408"/>
      <c r="AG623" s="408"/>
      <c r="AH623" s="408"/>
      <c r="AI623" s="408">
        <v>0</v>
      </c>
      <c r="AJ623" s="408">
        <v>0</v>
      </c>
      <c r="AK623" s="408">
        <v>0</v>
      </c>
      <c r="AL623" s="408">
        <v>163.35431376789538</v>
      </c>
      <c r="AM623" s="408"/>
      <c r="AN623" s="408">
        <v>23.931143218430769</v>
      </c>
      <c r="AO623" s="408">
        <v>786.2168663420897</v>
      </c>
      <c r="AP623" s="408">
        <v>2983.5154480195265</v>
      </c>
      <c r="AQ623" s="408">
        <v>0</v>
      </c>
      <c r="AR623" s="408">
        <v>0</v>
      </c>
      <c r="AS623" s="408"/>
      <c r="AT623" s="408"/>
      <c r="AU623" s="408">
        <v>0</v>
      </c>
      <c r="AV623" s="408">
        <v>0</v>
      </c>
      <c r="AW623" s="408">
        <v>0</v>
      </c>
      <c r="AX623" s="408"/>
      <c r="AY623" s="408"/>
      <c r="AZ623" s="408">
        <v>0</v>
      </c>
      <c r="BA623" s="408"/>
      <c r="BB623" s="408">
        <v>0</v>
      </c>
      <c r="BC623" s="408">
        <v>0</v>
      </c>
      <c r="BD623" s="408">
        <v>7.9693444179745185</v>
      </c>
      <c r="BE623" s="408">
        <v>0</v>
      </c>
      <c r="BF623" s="408"/>
      <c r="BG623" s="408">
        <v>284.69020502508749</v>
      </c>
      <c r="BH623" s="408">
        <v>0</v>
      </c>
      <c r="BI623" s="408">
        <v>0</v>
      </c>
      <c r="BJ623" s="408">
        <v>0</v>
      </c>
      <c r="BK623" s="408">
        <v>0</v>
      </c>
      <c r="BL623" s="408">
        <v>0</v>
      </c>
      <c r="BM623" s="408"/>
      <c r="BN623" s="408">
        <v>8119.326434999999</v>
      </c>
      <c r="BO623" s="408"/>
      <c r="BP623" s="408"/>
      <c r="BQ623" s="408"/>
      <c r="BR623" s="408"/>
      <c r="BS623" s="408"/>
      <c r="BT623" s="408"/>
      <c r="BU623" s="408"/>
      <c r="BV623" s="408">
        <v>292.65954944306202</v>
      </c>
      <c r="BW623" s="408"/>
      <c r="BX623" s="408"/>
      <c r="BY623" s="408"/>
      <c r="BZ623" s="408"/>
      <c r="CA623" s="408"/>
      <c r="CB623" s="408"/>
      <c r="CC623" s="408"/>
      <c r="CD623" s="408"/>
      <c r="CE623" s="408"/>
      <c r="CF623" s="408"/>
      <c r="CG623" s="408"/>
      <c r="CH623" s="408"/>
      <c r="CI623" s="408">
        <v>8116.0651000000007</v>
      </c>
      <c r="CJ623" s="408">
        <v>-14474.062189999993</v>
      </c>
      <c r="CK623" s="408"/>
      <c r="CL623" s="408"/>
      <c r="CM623" s="408"/>
      <c r="CN623" s="408"/>
      <c r="CO623" s="408">
        <v>-28941.541710000001</v>
      </c>
      <c r="CP623" s="408">
        <v>0</v>
      </c>
      <c r="CQ623" s="408">
        <v>31</v>
      </c>
      <c r="CR623" s="408">
        <v>390.61773823391195</v>
      </c>
      <c r="CS623" s="408">
        <v>81.099468095656675</v>
      </c>
      <c r="CT623" s="408">
        <v>307.75416586429128</v>
      </c>
      <c r="CU623" s="408">
        <v>0</v>
      </c>
      <c r="CV623" s="408">
        <v>0</v>
      </c>
      <c r="CW623" s="408"/>
      <c r="CX623" s="408"/>
      <c r="CY623" s="408"/>
      <c r="CZ623" s="408">
        <v>8.616132002903143</v>
      </c>
      <c r="DA623" s="408">
        <v>0</v>
      </c>
      <c r="DB623" s="408">
        <v>0</v>
      </c>
      <c r="DC623" s="408"/>
      <c r="DD623" s="408"/>
      <c r="DE623" s="408">
        <v>0</v>
      </c>
      <c r="DF623" s="408">
        <v>1.2175622689347083</v>
      </c>
      <c r="DG623" s="408">
        <v>43.495177745365197</v>
      </c>
      <c r="DH623" s="408">
        <v>0</v>
      </c>
      <c r="DI623" s="408">
        <v>-43.904723195798397</v>
      </c>
      <c r="DJ623" s="408"/>
      <c r="DK623" s="408">
        <v>0</v>
      </c>
      <c r="DL623" s="408">
        <v>0</v>
      </c>
      <c r="DM623" s="408"/>
      <c r="DN623" s="408">
        <v>0</v>
      </c>
      <c r="DO623" s="408">
        <v>-6.6192162957529774</v>
      </c>
      <c r="DP623" s="408">
        <v>-1.0408282516877989</v>
      </c>
      <c r="DQ623" s="408">
        <v>0</v>
      </c>
      <c r="DR623" s="408">
        <v>0</v>
      </c>
      <c r="DS623" s="408"/>
      <c r="DT623" s="408"/>
      <c r="DU623" s="408"/>
      <c r="DV623" s="408">
        <v>39923.366247419814</v>
      </c>
      <c r="DW623" s="408">
        <v>0</v>
      </c>
      <c r="DX623" s="408">
        <v>0</v>
      </c>
      <c r="DY623" s="408">
        <v>-28941.541709999998</v>
      </c>
      <c r="DZ623" s="234"/>
      <c r="EA623" s="408">
        <v>0</v>
      </c>
      <c r="EB623" s="408"/>
      <c r="EC623" s="408">
        <v>-29332.089126697007</v>
      </c>
      <c r="ED623" s="408"/>
      <c r="EE623" s="408">
        <v>0</v>
      </c>
      <c r="EF623" s="408">
        <v>0</v>
      </c>
      <c r="EG623" s="408"/>
      <c r="EH623" s="408">
        <v>0</v>
      </c>
      <c r="EI623" s="408">
        <v>0</v>
      </c>
      <c r="EJ623" s="408">
        <v>0</v>
      </c>
      <c r="EK623" s="408">
        <v>0</v>
      </c>
      <c r="EL623" s="408">
        <v>0</v>
      </c>
      <c r="EM623" s="408"/>
      <c r="EN623" s="408"/>
      <c r="EO623" s="408">
        <v>0</v>
      </c>
      <c r="EP623" s="408">
        <v>0</v>
      </c>
      <c r="EQ623" s="408"/>
      <c r="ER623" s="408">
        <v>0</v>
      </c>
      <c r="ES623" s="408"/>
      <c r="ET623" s="408">
        <v>0</v>
      </c>
      <c r="EU623" s="408"/>
      <c r="EV623" s="408">
        <v>242</v>
      </c>
      <c r="EW623" s="408"/>
      <c r="EX623" s="408"/>
      <c r="EY623" s="408"/>
      <c r="EZ623" s="408"/>
      <c r="FA623" s="408">
        <v>0</v>
      </c>
      <c r="FB623" s="408"/>
      <c r="FC623" s="408"/>
      <c r="FD623" s="408"/>
      <c r="FE623" s="408"/>
      <c r="FF623" s="408">
        <v>0</v>
      </c>
      <c r="FG623" s="408">
        <v>0</v>
      </c>
      <c r="FH623" s="408">
        <v>0</v>
      </c>
      <c r="FI623" s="408">
        <v>0</v>
      </c>
    </row>
    <row r="624" spans="1:165">
      <c r="A624" s="408">
        <v>625</v>
      </c>
      <c r="B624" s="408" t="s">
        <v>1036</v>
      </c>
      <c r="C624" s="408" t="s">
        <v>2239</v>
      </c>
      <c r="D624" s="408" t="s">
        <v>597</v>
      </c>
      <c r="E624" s="408" t="s">
        <v>970</v>
      </c>
      <c r="F624" s="408" t="s">
        <v>1322</v>
      </c>
      <c r="G624" s="408" t="s">
        <v>2327</v>
      </c>
      <c r="H624" s="408" t="s">
        <v>1322</v>
      </c>
      <c r="I624" s="408" t="s">
        <v>2240</v>
      </c>
      <c r="J624" s="408" t="s">
        <v>2328</v>
      </c>
      <c r="K624" s="828">
        <v>44470</v>
      </c>
      <c r="L624" s="408">
        <v>0</v>
      </c>
      <c r="M624" s="408">
        <v>0</v>
      </c>
      <c r="N624" s="408">
        <v>202.1</v>
      </c>
      <c r="O624" s="408">
        <v>101.05</v>
      </c>
      <c r="P624" s="408">
        <v>0</v>
      </c>
      <c r="Q624" s="408">
        <v>0</v>
      </c>
      <c r="R624" s="408"/>
      <c r="S624" s="408">
        <v>80.27</v>
      </c>
      <c r="T624" s="408"/>
      <c r="U624" s="408"/>
      <c r="V624" s="408">
        <v>16222.566999999999</v>
      </c>
      <c r="W624" s="408">
        <v>16222.566999999999</v>
      </c>
      <c r="X624" s="408">
        <v>16143.747999999998</v>
      </c>
      <c r="Y624" s="408">
        <v>0</v>
      </c>
      <c r="Z624" s="408">
        <v>10656.9829630023</v>
      </c>
      <c r="AA624" s="408">
        <v>0</v>
      </c>
      <c r="AB624" s="408">
        <v>0</v>
      </c>
      <c r="AC624" s="408">
        <v>0</v>
      </c>
      <c r="AD624" s="408">
        <v>0</v>
      </c>
      <c r="AE624" s="408">
        <v>0</v>
      </c>
      <c r="AF624" s="408"/>
      <c r="AG624" s="408"/>
      <c r="AH624" s="408"/>
      <c r="AI624" s="408">
        <v>0</v>
      </c>
      <c r="AJ624" s="408">
        <v>0</v>
      </c>
      <c r="AK624" s="408">
        <v>0</v>
      </c>
      <c r="AL624" s="408">
        <v>1894.4113623969504</v>
      </c>
      <c r="AM624" s="408"/>
      <c r="AN624" s="408">
        <v>277.52820591294301</v>
      </c>
      <c r="AO624" s="408">
        <v>0</v>
      </c>
      <c r="AP624" s="408">
        <v>0</v>
      </c>
      <c r="AQ624" s="408">
        <v>0</v>
      </c>
      <c r="AR624" s="408">
        <v>0</v>
      </c>
      <c r="AS624" s="408"/>
      <c r="AT624" s="408"/>
      <c r="AU624" s="408">
        <v>0</v>
      </c>
      <c r="AV624" s="408">
        <v>0</v>
      </c>
      <c r="AW624" s="408">
        <v>0</v>
      </c>
      <c r="AX624" s="408"/>
      <c r="AY624" s="408"/>
      <c r="AZ624" s="408">
        <v>0</v>
      </c>
      <c r="BA624" s="408"/>
      <c r="BB624" s="408">
        <v>0</v>
      </c>
      <c r="BC624" s="408">
        <v>0</v>
      </c>
      <c r="BD624" s="408">
        <v>92.420066957746613</v>
      </c>
      <c r="BE624" s="408">
        <v>0</v>
      </c>
      <c r="BF624" s="408"/>
      <c r="BG624" s="408">
        <v>3301.5372947478154</v>
      </c>
      <c r="BH624" s="408">
        <v>0</v>
      </c>
      <c r="BI624" s="408">
        <v>0</v>
      </c>
      <c r="BJ624" s="408">
        <v>0</v>
      </c>
      <c r="BK624" s="408">
        <v>0</v>
      </c>
      <c r="BL624" s="408">
        <v>0</v>
      </c>
      <c r="BM624" s="408"/>
      <c r="BN624" s="408">
        <v>8071.8739999999989</v>
      </c>
      <c r="BO624" s="408"/>
      <c r="BP624" s="408"/>
      <c r="BQ624" s="408"/>
      <c r="BR624" s="408"/>
      <c r="BS624" s="408"/>
      <c r="BT624" s="408"/>
      <c r="BU624" s="408"/>
      <c r="BV624" s="408">
        <v>3393.9573617055621</v>
      </c>
      <c r="BW624" s="408"/>
      <c r="BX624" s="408"/>
      <c r="BY624" s="408"/>
      <c r="BZ624" s="408"/>
      <c r="CA624" s="408"/>
      <c r="CB624" s="408"/>
      <c r="CC624" s="408"/>
      <c r="CD624" s="408"/>
      <c r="CE624" s="408"/>
      <c r="CF624" s="408"/>
      <c r="CG624" s="408"/>
      <c r="CH624" s="408"/>
      <c r="CI624" s="408">
        <v>8071.8739999999989</v>
      </c>
      <c r="CJ624" s="408">
        <v>-39.439500000001317</v>
      </c>
      <c r="CK624" s="408"/>
      <c r="CL624" s="408"/>
      <c r="CM624" s="408"/>
      <c r="CN624" s="408"/>
      <c r="CO624" s="408">
        <v>-78.819000000000116</v>
      </c>
      <c r="CP624" s="408">
        <v>0</v>
      </c>
      <c r="CQ624" s="408">
        <v>31</v>
      </c>
      <c r="CR624" s="408">
        <v>-79.462604235874096</v>
      </c>
      <c r="CS624" s="408">
        <v>0</v>
      </c>
      <c r="CT624" s="408">
        <v>0</v>
      </c>
      <c r="CU624" s="408">
        <v>0</v>
      </c>
      <c r="CV624" s="408">
        <v>0</v>
      </c>
      <c r="CW624" s="408"/>
      <c r="CX624" s="408"/>
      <c r="CY624" s="408"/>
      <c r="CZ624" s="408">
        <v>0</v>
      </c>
      <c r="DA624" s="408">
        <v>0</v>
      </c>
      <c r="DB624" s="408">
        <v>0</v>
      </c>
      <c r="DC624" s="408"/>
      <c r="DD624" s="408"/>
      <c r="DE624" s="408">
        <v>0</v>
      </c>
      <c r="DF624" s="408">
        <v>14.120005425586996</v>
      </c>
      <c r="DG624" s="408">
        <v>504.41128262686107</v>
      </c>
      <c r="DH624" s="408">
        <v>0</v>
      </c>
      <c r="DI624" s="408">
        <v>-509.16075961845672</v>
      </c>
      <c r="DJ624" s="408"/>
      <c r="DK624" s="408">
        <v>0</v>
      </c>
      <c r="DL624" s="408">
        <v>0</v>
      </c>
      <c r="DM624" s="408"/>
      <c r="DN624" s="408">
        <v>0</v>
      </c>
      <c r="DO624" s="408">
        <v>-76.762702322354698</v>
      </c>
      <c r="DP624" s="408">
        <v>-12.070430347512684</v>
      </c>
      <c r="DQ624" s="408">
        <v>0</v>
      </c>
      <c r="DR624" s="408">
        <v>0</v>
      </c>
      <c r="DS624" s="408"/>
      <c r="DT624" s="408"/>
      <c r="DU624" s="408"/>
      <c r="DV624" s="408">
        <v>0</v>
      </c>
      <c r="DW624" s="408">
        <v>0</v>
      </c>
      <c r="DX624" s="408">
        <v>0</v>
      </c>
      <c r="DY624" s="408">
        <v>-78.819000000001324</v>
      </c>
      <c r="DZ624" s="234"/>
      <c r="EA624" s="408">
        <v>0</v>
      </c>
      <c r="EB624" s="408"/>
      <c r="EC624" s="408">
        <v>0</v>
      </c>
      <c r="ED624" s="408"/>
      <c r="EE624" s="408">
        <v>0</v>
      </c>
      <c r="EF624" s="408">
        <v>0</v>
      </c>
      <c r="EG624" s="408"/>
      <c r="EH624" s="408">
        <v>0</v>
      </c>
      <c r="EI624" s="408">
        <v>0</v>
      </c>
      <c r="EJ624" s="408">
        <v>0</v>
      </c>
      <c r="EK624" s="408">
        <v>0</v>
      </c>
      <c r="EL624" s="408">
        <v>0</v>
      </c>
      <c r="EM624" s="408"/>
      <c r="EN624" s="408"/>
      <c r="EO624" s="408">
        <v>0</v>
      </c>
      <c r="EP624" s="408">
        <v>0</v>
      </c>
      <c r="EQ624" s="408"/>
      <c r="ER624" s="408">
        <v>0</v>
      </c>
      <c r="ES624" s="408"/>
      <c r="ET624" s="408">
        <v>0</v>
      </c>
      <c r="EU624" s="408"/>
      <c r="EV624" s="408">
        <v>242</v>
      </c>
      <c r="EW624" s="408"/>
      <c r="EX624" s="408"/>
      <c r="EY624" s="408"/>
      <c r="EZ624" s="408"/>
      <c r="FA624" s="408">
        <v>0</v>
      </c>
      <c r="FB624" s="408"/>
      <c r="FC624" s="408"/>
      <c r="FD624" s="408"/>
      <c r="FE624" s="408"/>
      <c r="FF624" s="408">
        <v>0</v>
      </c>
      <c r="FG624" s="408">
        <v>0</v>
      </c>
      <c r="FH624" s="408">
        <v>0</v>
      </c>
      <c r="FI624" s="408">
        <v>0</v>
      </c>
    </row>
    <row r="625" spans="1:165">
      <c r="A625" s="408">
        <v>626</v>
      </c>
      <c r="B625" s="408" t="s">
        <v>1036</v>
      </c>
      <c r="C625" s="408" t="s">
        <v>2239</v>
      </c>
      <c r="D625" s="408" t="s">
        <v>597</v>
      </c>
      <c r="E625" s="408" t="s">
        <v>970</v>
      </c>
      <c r="F625" s="408" t="s">
        <v>1322</v>
      </c>
      <c r="G625" s="408" t="s">
        <v>2327</v>
      </c>
      <c r="H625" s="408" t="s">
        <v>1322</v>
      </c>
      <c r="I625" s="408" t="s">
        <v>1322</v>
      </c>
      <c r="J625" s="408" t="s">
        <v>2328</v>
      </c>
      <c r="K625" s="828">
        <v>44470</v>
      </c>
      <c r="L625" s="408">
        <v>676</v>
      </c>
      <c r="M625" s="408">
        <v>338</v>
      </c>
      <c r="N625" s="408">
        <v>0</v>
      </c>
      <c r="O625" s="408">
        <v>0</v>
      </c>
      <c r="P625" s="408">
        <v>0</v>
      </c>
      <c r="Q625" s="408">
        <v>0</v>
      </c>
      <c r="R625" s="408">
        <v>32.17</v>
      </c>
      <c r="S625" s="408"/>
      <c r="T625" s="408"/>
      <c r="U625" s="408">
        <v>21746.920000000002</v>
      </c>
      <c r="V625" s="408"/>
      <c r="W625" s="408">
        <v>21746.920000000002</v>
      </c>
      <c r="X625" s="408">
        <v>8740.68</v>
      </c>
      <c r="Y625" s="408">
        <v>0</v>
      </c>
      <c r="Z625" s="408">
        <v>0</v>
      </c>
      <c r="AA625" s="408">
        <v>0</v>
      </c>
      <c r="AB625" s="408">
        <v>0</v>
      </c>
      <c r="AC625" s="408">
        <v>0</v>
      </c>
      <c r="AD625" s="408">
        <v>67.543368188742178</v>
      </c>
      <c r="AE625" s="408">
        <v>18202.473149661269</v>
      </c>
      <c r="AF625" s="408"/>
      <c r="AG625" s="408"/>
      <c r="AH625" s="408"/>
      <c r="AI625" s="408">
        <v>0</v>
      </c>
      <c r="AJ625" s="408">
        <v>0</v>
      </c>
      <c r="AK625" s="408">
        <v>0</v>
      </c>
      <c r="AL625" s="408">
        <v>0</v>
      </c>
      <c r="AM625" s="408"/>
      <c r="AN625" s="408">
        <v>0</v>
      </c>
      <c r="AO625" s="408">
        <v>1192.7486679356816</v>
      </c>
      <c r="AP625" s="408">
        <v>2286.8168518412799</v>
      </c>
      <c r="AQ625" s="408">
        <v>0</v>
      </c>
      <c r="AR625" s="408">
        <v>0</v>
      </c>
      <c r="AS625" s="408"/>
      <c r="AT625" s="408"/>
      <c r="AU625" s="408">
        <v>0</v>
      </c>
      <c r="AV625" s="408">
        <v>0</v>
      </c>
      <c r="AW625" s="408">
        <v>0</v>
      </c>
      <c r="AX625" s="408"/>
      <c r="AY625" s="408"/>
      <c r="AZ625" s="408">
        <v>0</v>
      </c>
      <c r="BA625" s="408"/>
      <c r="BB625" s="408">
        <v>0</v>
      </c>
      <c r="BC625" s="408">
        <v>0</v>
      </c>
      <c r="BD625" s="408">
        <v>0</v>
      </c>
      <c r="BE625" s="408">
        <v>0</v>
      </c>
      <c r="BF625" s="408"/>
      <c r="BG625" s="408">
        <v>0</v>
      </c>
      <c r="BH625" s="408">
        <v>0</v>
      </c>
      <c r="BI625" s="408">
        <v>1459.61</v>
      </c>
      <c r="BJ625" s="408">
        <v>0</v>
      </c>
      <c r="BK625" s="408">
        <v>9032.68</v>
      </c>
      <c r="BL625" s="408">
        <v>1</v>
      </c>
      <c r="BM625" s="408"/>
      <c r="BN625" s="408">
        <v>4370.34</v>
      </c>
      <c r="BO625" s="408"/>
      <c r="BP625" s="408"/>
      <c r="BQ625" s="408"/>
      <c r="BR625" s="408"/>
      <c r="BS625" s="408"/>
      <c r="BT625" s="408"/>
      <c r="BU625" s="408"/>
      <c r="BV625" s="408">
        <v>0</v>
      </c>
      <c r="BW625" s="408"/>
      <c r="BX625" s="408"/>
      <c r="BY625" s="408"/>
      <c r="BZ625" s="408"/>
      <c r="CA625" s="408"/>
      <c r="CB625" s="408"/>
      <c r="CC625" s="408"/>
      <c r="CD625" s="408"/>
      <c r="CE625" s="408"/>
      <c r="CF625" s="408"/>
      <c r="CG625" s="408"/>
      <c r="CH625" s="408"/>
      <c r="CI625" s="408">
        <v>4370.34</v>
      </c>
      <c r="CJ625" s="408">
        <v>-6503.1500000000015</v>
      </c>
      <c r="CK625" s="408"/>
      <c r="CL625" s="408"/>
      <c r="CM625" s="408"/>
      <c r="CN625" s="408"/>
      <c r="CO625" s="408">
        <v>-13006.240000000002</v>
      </c>
      <c r="CP625" s="408">
        <v>0</v>
      </c>
      <c r="CQ625" s="408">
        <v>31</v>
      </c>
      <c r="CR625" s="408">
        <v>365.5265436720947</v>
      </c>
      <c r="CS625" s="408">
        <v>123.03384305584359</v>
      </c>
      <c r="CT625" s="408">
        <v>235.88864377760137</v>
      </c>
      <c r="CU625" s="408">
        <v>0</v>
      </c>
      <c r="CV625" s="408">
        <v>0</v>
      </c>
      <c r="CW625" s="408"/>
      <c r="CX625" s="408"/>
      <c r="CY625" s="408"/>
      <c r="CZ625" s="408">
        <v>6.6040568386497398</v>
      </c>
      <c r="DA625" s="408">
        <v>0</v>
      </c>
      <c r="DB625" s="408">
        <v>0</v>
      </c>
      <c r="DC625" s="408"/>
      <c r="DD625" s="408"/>
      <c r="DE625" s="408">
        <v>0</v>
      </c>
      <c r="DF625" s="408">
        <v>0</v>
      </c>
      <c r="DG625" s="408">
        <v>0</v>
      </c>
      <c r="DH625" s="408">
        <v>0</v>
      </c>
      <c r="DI625" s="408">
        <v>0</v>
      </c>
      <c r="DJ625" s="408"/>
      <c r="DK625" s="408">
        <v>0</v>
      </c>
      <c r="DL625" s="408">
        <v>0</v>
      </c>
      <c r="DM625" s="408"/>
      <c r="DN625" s="408">
        <v>0</v>
      </c>
      <c r="DO625" s="408">
        <v>0</v>
      </c>
      <c r="DP625" s="408">
        <v>0</v>
      </c>
      <c r="DQ625" s="408">
        <v>0</v>
      </c>
      <c r="DR625" s="408">
        <v>0</v>
      </c>
      <c r="DS625" s="408"/>
      <c r="DT625" s="408"/>
      <c r="DU625" s="408">
        <v>18202.473149661269</v>
      </c>
      <c r="DV625" s="408"/>
      <c r="DW625" s="408">
        <v>0</v>
      </c>
      <c r="DX625" s="408">
        <v>0</v>
      </c>
      <c r="DY625" s="408">
        <v>-13006.240000000002</v>
      </c>
      <c r="DZ625" s="234"/>
      <c r="EA625" s="408">
        <v>0</v>
      </c>
      <c r="EB625" s="408"/>
      <c r="EC625" s="408">
        <v>-13373.535724500163</v>
      </c>
      <c r="ED625" s="408"/>
      <c r="EE625" s="408">
        <v>0</v>
      </c>
      <c r="EF625" s="408">
        <v>0</v>
      </c>
      <c r="EG625" s="408"/>
      <c r="EH625" s="408">
        <v>0</v>
      </c>
      <c r="EI625" s="408">
        <v>0</v>
      </c>
      <c r="EJ625" s="408">
        <v>0</v>
      </c>
      <c r="EK625" s="408">
        <v>0</v>
      </c>
      <c r="EL625" s="408">
        <v>0</v>
      </c>
      <c r="EM625" s="408"/>
      <c r="EN625" s="408"/>
      <c r="EO625" s="408">
        <v>0</v>
      </c>
      <c r="EP625" s="408">
        <v>0</v>
      </c>
      <c r="EQ625" s="408"/>
      <c r="ER625" s="408">
        <v>0</v>
      </c>
      <c r="ES625" s="408"/>
      <c r="ET625" s="408">
        <v>0</v>
      </c>
      <c r="EU625" s="408"/>
      <c r="EV625" s="408">
        <v>242</v>
      </c>
      <c r="EW625" s="408"/>
      <c r="EX625" s="408"/>
      <c r="EY625" s="408"/>
      <c r="EZ625" s="408"/>
      <c r="FA625" s="408">
        <v>0</v>
      </c>
      <c r="FB625" s="408"/>
      <c r="FC625" s="408"/>
      <c r="FD625" s="408"/>
      <c r="FE625" s="408"/>
      <c r="FF625" s="408">
        <v>0</v>
      </c>
      <c r="FG625" s="408">
        <v>0</v>
      </c>
      <c r="FH625" s="408">
        <v>0</v>
      </c>
      <c r="FI625" s="408">
        <v>0</v>
      </c>
    </row>
    <row r="626" spans="1:165">
      <c r="A626" s="408">
        <v>627</v>
      </c>
      <c r="B626" s="408" t="s">
        <v>1036</v>
      </c>
      <c r="C626" s="408" t="s">
        <v>993</v>
      </c>
      <c r="D626" s="408" t="s">
        <v>597</v>
      </c>
      <c r="E626" s="408" t="s">
        <v>1322</v>
      </c>
      <c r="F626" s="408" t="s">
        <v>1322</v>
      </c>
      <c r="G626" s="408" t="s">
        <v>1322</v>
      </c>
      <c r="H626" s="408" t="s">
        <v>2329</v>
      </c>
      <c r="I626" s="408" t="s">
        <v>1322</v>
      </c>
      <c r="J626" s="408" t="s">
        <v>2252</v>
      </c>
      <c r="K626" s="828">
        <v>44470</v>
      </c>
      <c r="L626" s="408">
        <v>953</v>
      </c>
      <c r="M626" s="408">
        <v>476.5</v>
      </c>
      <c r="N626" s="408">
        <v>0</v>
      </c>
      <c r="O626" s="408">
        <v>0</v>
      </c>
      <c r="P626" s="408">
        <v>0</v>
      </c>
      <c r="Q626" s="408">
        <v>0</v>
      </c>
      <c r="R626" s="408">
        <v>10.220000000000001</v>
      </c>
      <c r="S626" s="408"/>
      <c r="T626" s="408"/>
      <c r="U626" s="408">
        <v>9739.66</v>
      </c>
      <c r="V626" s="408"/>
      <c r="W626" s="408">
        <v>9739.66</v>
      </c>
      <c r="X626" s="408">
        <v>2582.63</v>
      </c>
      <c r="Y626" s="408">
        <v>0</v>
      </c>
      <c r="Z626" s="408">
        <v>0</v>
      </c>
      <c r="AA626" s="408">
        <v>0</v>
      </c>
      <c r="AB626" s="408">
        <v>0</v>
      </c>
      <c r="AC626" s="408">
        <v>0</v>
      </c>
      <c r="AD626" s="408">
        <v>0</v>
      </c>
      <c r="AE626" s="408">
        <v>9741.2483581600645</v>
      </c>
      <c r="AF626" s="408"/>
      <c r="AG626" s="408"/>
      <c r="AH626" s="408"/>
      <c r="AI626" s="408">
        <v>0</v>
      </c>
      <c r="AJ626" s="408">
        <v>0</v>
      </c>
      <c r="AK626" s="408">
        <v>0</v>
      </c>
      <c r="AL626" s="408">
        <v>0</v>
      </c>
      <c r="AM626" s="408"/>
      <c r="AN626" s="408">
        <v>0</v>
      </c>
      <c r="AO626" s="408">
        <v>0</v>
      </c>
      <c r="AP626" s="408">
        <v>0</v>
      </c>
      <c r="AQ626" s="408">
        <v>0</v>
      </c>
      <c r="AR626" s="408">
        <v>0</v>
      </c>
      <c r="AS626" s="408"/>
      <c r="AT626" s="408"/>
      <c r="AU626" s="408">
        <v>0</v>
      </c>
      <c r="AV626" s="408">
        <v>0</v>
      </c>
      <c r="AW626" s="408">
        <v>0</v>
      </c>
      <c r="AX626" s="408"/>
      <c r="AY626" s="408"/>
      <c r="AZ626" s="408">
        <v>0</v>
      </c>
      <c r="BA626" s="408"/>
      <c r="BB626" s="408">
        <v>0</v>
      </c>
      <c r="BC626" s="408">
        <v>0</v>
      </c>
      <c r="BD626" s="408">
        <v>0</v>
      </c>
      <c r="BE626" s="408">
        <v>0</v>
      </c>
      <c r="BF626" s="408"/>
      <c r="BG626" s="408">
        <v>0</v>
      </c>
      <c r="BH626" s="408">
        <v>0</v>
      </c>
      <c r="BI626" s="408">
        <v>45.83</v>
      </c>
      <c r="BJ626" s="408">
        <v>0</v>
      </c>
      <c r="BK626" s="408">
        <v>0</v>
      </c>
      <c r="BL626" s="408">
        <v>0</v>
      </c>
      <c r="BM626" s="408"/>
      <c r="BN626" s="408"/>
      <c r="BO626" s="408">
        <v>1291.3150000000001</v>
      </c>
      <c r="BP626" s="408"/>
      <c r="BQ626" s="408"/>
      <c r="BR626" s="408"/>
      <c r="BS626" s="408"/>
      <c r="BT626" s="408"/>
      <c r="BU626" s="408"/>
      <c r="BV626" s="408">
        <v>0</v>
      </c>
      <c r="BW626" s="408"/>
      <c r="BX626" s="408"/>
      <c r="BY626" s="408"/>
      <c r="BZ626" s="408"/>
      <c r="CA626" s="408"/>
      <c r="CB626" s="408"/>
      <c r="CC626" s="408"/>
      <c r="CD626" s="408"/>
      <c r="CE626" s="408"/>
      <c r="CF626" s="408"/>
      <c r="CG626" s="408"/>
      <c r="CH626" s="408"/>
      <c r="CI626" s="408">
        <v>1291.3150000000001</v>
      </c>
      <c r="CJ626" s="408">
        <v>-3578.5450000000005</v>
      </c>
      <c r="CK626" s="408"/>
      <c r="CL626" s="408"/>
      <c r="CM626" s="408"/>
      <c r="CN626" s="408"/>
      <c r="CO626" s="408">
        <v>-7157.0300000000007</v>
      </c>
      <c r="CP626" s="408">
        <v>0</v>
      </c>
      <c r="CQ626" s="408">
        <v>31</v>
      </c>
      <c r="CR626" s="408">
        <v>0</v>
      </c>
      <c r="CS626" s="408">
        <v>0</v>
      </c>
      <c r="CT626" s="408">
        <v>0</v>
      </c>
      <c r="CU626" s="408">
        <v>0</v>
      </c>
      <c r="CV626" s="408">
        <v>0</v>
      </c>
      <c r="CW626" s="408"/>
      <c r="CX626" s="408"/>
      <c r="CY626" s="408"/>
      <c r="CZ626" s="408">
        <v>0</v>
      </c>
      <c r="DA626" s="408">
        <v>0</v>
      </c>
      <c r="DB626" s="408">
        <v>0</v>
      </c>
      <c r="DC626" s="408"/>
      <c r="DD626" s="408"/>
      <c r="DE626" s="408">
        <v>0</v>
      </c>
      <c r="DF626" s="408">
        <v>0</v>
      </c>
      <c r="DG626" s="408">
        <v>0</v>
      </c>
      <c r="DH626" s="408">
        <v>0</v>
      </c>
      <c r="DI626" s="408">
        <v>0</v>
      </c>
      <c r="DJ626" s="408"/>
      <c r="DK626" s="408">
        <v>0</v>
      </c>
      <c r="DL626" s="408">
        <v>0</v>
      </c>
      <c r="DM626" s="408"/>
      <c r="DN626" s="408">
        <v>0</v>
      </c>
      <c r="DO626" s="408">
        <v>0</v>
      </c>
      <c r="DP626" s="408">
        <v>0</v>
      </c>
      <c r="DQ626" s="408">
        <v>0</v>
      </c>
      <c r="DR626" s="408">
        <v>0</v>
      </c>
      <c r="DS626" s="408"/>
      <c r="DT626" s="408"/>
      <c r="DU626" s="408">
        <v>9741.2483581600645</v>
      </c>
      <c r="DV626" s="408"/>
      <c r="DW626" s="408">
        <v>0</v>
      </c>
      <c r="DX626" s="408">
        <v>0</v>
      </c>
      <c r="DY626" s="408">
        <v>-7157.03</v>
      </c>
      <c r="DZ626" s="234"/>
      <c r="EA626" s="408">
        <v>0</v>
      </c>
      <c r="EB626" s="408"/>
      <c r="EC626" s="408">
        <v>-7156.9908027309175</v>
      </c>
      <c r="ED626" s="408"/>
      <c r="EE626" s="408">
        <v>0</v>
      </c>
      <c r="EF626" s="408">
        <v>0</v>
      </c>
      <c r="EG626" s="408"/>
      <c r="EH626" s="408">
        <v>0</v>
      </c>
      <c r="EI626" s="408">
        <v>0</v>
      </c>
      <c r="EJ626" s="408">
        <v>0</v>
      </c>
      <c r="EK626" s="408">
        <v>0</v>
      </c>
      <c r="EL626" s="408">
        <v>0</v>
      </c>
      <c r="EM626" s="408"/>
      <c r="EN626" s="408"/>
      <c r="EO626" s="408">
        <v>0</v>
      </c>
      <c r="EP626" s="408">
        <v>0</v>
      </c>
      <c r="EQ626" s="408"/>
      <c r="ER626" s="408">
        <v>0</v>
      </c>
      <c r="ES626" s="408"/>
      <c r="ET626" s="408">
        <v>0</v>
      </c>
      <c r="EU626" s="408"/>
      <c r="EV626" s="408">
        <v>242</v>
      </c>
      <c r="EW626" s="408"/>
      <c r="EX626" s="408"/>
      <c r="EY626" s="408"/>
      <c r="EZ626" s="408"/>
      <c r="FA626" s="408">
        <v>0</v>
      </c>
      <c r="FB626" s="408"/>
      <c r="FC626" s="408"/>
      <c r="FD626" s="408"/>
      <c r="FE626" s="408"/>
      <c r="FF626" s="408">
        <v>0</v>
      </c>
      <c r="FG626" s="408">
        <v>0</v>
      </c>
      <c r="FH626" s="408">
        <v>0</v>
      </c>
      <c r="FI626" s="408">
        <v>0</v>
      </c>
    </row>
    <row r="627" spans="1:165">
      <c r="A627" s="408">
        <v>628</v>
      </c>
      <c r="B627" s="408" t="s">
        <v>1036</v>
      </c>
      <c r="C627" s="408" t="s">
        <v>2239</v>
      </c>
      <c r="D627" s="408" t="s">
        <v>597</v>
      </c>
      <c r="E627" s="408" t="s">
        <v>970</v>
      </c>
      <c r="F627" s="408" t="s">
        <v>1322</v>
      </c>
      <c r="G627" s="408" t="s">
        <v>2327</v>
      </c>
      <c r="H627" s="408" t="s">
        <v>1322</v>
      </c>
      <c r="I627" s="408" t="s">
        <v>973</v>
      </c>
      <c r="J627" s="408" t="s">
        <v>2328</v>
      </c>
      <c r="K627" s="828">
        <v>44501</v>
      </c>
      <c r="L627" s="408">
        <v>0</v>
      </c>
      <c r="M627" s="408">
        <v>0</v>
      </c>
      <c r="N627" s="408">
        <v>17.442</v>
      </c>
      <c r="O627" s="408">
        <v>8.7210000000000001</v>
      </c>
      <c r="P627" s="408">
        <v>0</v>
      </c>
      <c r="Q627" s="408">
        <v>0</v>
      </c>
      <c r="R627" s="408"/>
      <c r="S627" s="408">
        <v>2592.54</v>
      </c>
      <c r="T627" s="408"/>
      <c r="U627" s="408"/>
      <c r="V627" s="408">
        <v>45219.08268</v>
      </c>
      <c r="W627" s="408">
        <v>45219.08268</v>
      </c>
      <c r="X627" s="408">
        <v>16252.630019999999</v>
      </c>
      <c r="Y627" s="408">
        <v>0</v>
      </c>
      <c r="Z627" s="408">
        <v>919.73823275945631</v>
      </c>
      <c r="AA627" s="408">
        <v>0</v>
      </c>
      <c r="AB627" s="408">
        <v>0</v>
      </c>
      <c r="AC627" s="408">
        <v>0</v>
      </c>
      <c r="AD627" s="408">
        <v>88.197831281657571</v>
      </c>
      <c r="AE627" s="408">
        <v>39957.729619986021</v>
      </c>
      <c r="AF627" s="408"/>
      <c r="AG627" s="408"/>
      <c r="AH627" s="408"/>
      <c r="AI627" s="408">
        <v>0</v>
      </c>
      <c r="AJ627" s="408">
        <v>0</v>
      </c>
      <c r="AK627" s="408">
        <v>0</v>
      </c>
      <c r="AL627" s="408">
        <v>163.49491827277393</v>
      </c>
      <c r="AM627" s="408"/>
      <c r="AN627" s="408">
        <v>23.951741551378291</v>
      </c>
      <c r="AO627" s="408">
        <v>786.89358941520231</v>
      </c>
      <c r="AP627" s="408">
        <v>2986.083459250392</v>
      </c>
      <c r="AQ627" s="408">
        <v>0</v>
      </c>
      <c r="AR627" s="408">
        <v>0</v>
      </c>
      <c r="AS627" s="408"/>
      <c r="AT627" s="408"/>
      <c r="AU627" s="408">
        <v>0</v>
      </c>
      <c r="AV627" s="408">
        <v>0</v>
      </c>
      <c r="AW627" s="408">
        <v>0</v>
      </c>
      <c r="AX627" s="408"/>
      <c r="AY627" s="408"/>
      <c r="AZ627" s="408">
        <v>0</v>
      </c>
      <c r="BA627" s="408"/>
      <c r="BB627" s="408">
        <v>0</v>
      </c>
      <c r="BC627" s="408">
        <v>0</v>
      </c>
      <c r="BD627" s="408">
        <v>7.9762038984513426</v>
      </c>
      <c r="BE627" s="408">
        <v>0</v>
      </c>
      <c r="BF627" s="408"/>
      <c r="BG627" s="408">
        <v>284.93524737749328</v>
      </c>
      <c r="BH627" s="408">
        <v>0</v>
      </c>
      <c r="BI627" s="408">
        <v>0</v>
      </c>
      <c r="BJ627" s="408">
        <v>0</v>
      </c>
      <c r="BK627" s="408">
        <v>0</v>
      </c>
      <c r="BL627" s="408">
        <v>0</v>
      </c>
      <c r="BM627" s="408"/>
      <c r="BN627" s="408">
        <v>8126.3150099999993</v>
      </c>
      <c r="BO627" s="408"/>
      <c r="BP627" s="408"/>
      <c r="BQ627" s="408"/>
      <c r="BR627" s="408"/>
      <c r="BS627" s="408"/>
      <c r="BT627" s="408"/>
      <c r="BU627" s="408"/>
      <c r="BV627" s="408">
        <v>292.91145127594461</v>
      </c>
      <c r="BW627" s="408"/>
      <c r="BX627" s="408"/>
      <c r="BY627" s="408"/>
      <c r="BZ627" s="408"/>
      <c r="CA627" s="408"/>
      <c r="CB627" s="408"/>
      <c r="CC627" s="408"/>
      <c r="CD627" s="408"/>
      <c r="CE627" s="408"/>
      <c r="CF627" s="408"/>
      <c r="CG627" s="408"/>
      <c r="CH627" s="408"/>
      <c r="CI627" s="408">
        <v>8125.3832000000002</v>
      </c>
      <c r="CJ627" s="408">
        <v>-14484.188139999995</v>
      </c>
      <c r="CK627" s="408"/>
      <c r="CL627" s="408"/>
      <c r="CM627" s="408"/>
      <c r="CN627" s="408"/>
      <c r="CO627" s="408">
        <v>-28966.452659999999</v>
      </c>
      <c r="CP627" s="408">
        <v>0</v>
      </c>
      <c r="CQ627" s="408">
        <v>30</v>
      </c>
      <c r="CR627" s="408">
        <v>390.95395594628462</v>
      </c>
      <c r="CS627" s="408">
        <v>81.169273112092924</v>
      </c>
      <c r="CT627" s="408">
        <v>308.01906013685493</v>
      </c>
      <c r="CU627" s="408">
        <v>0</v>
      </c>
      <c r="CV627" s="408">
        <v>0</v>
      </c>
      <c r="CW627" s="408"/>
      <c r="CX627" s="408"/>
      <c r="CY627" s="408"/>
      <c r="CZ627" s="408">
        <v>8.6235481950213284</v>
      </c>
      <c r="DA627" s="408">
        <v>0</v>
      </c>
      <c r="DB627" s="408">
        <v>0</v>
      </c>
      <c r="DC627" s="408"/>
      <c r="DD627" s="408"/>
      <c r="DE627" s="408">
        <v>0</v>
      </c>
      <c r="DF627" s="408">
        <v>1.2186102653789641</v>
      </c>
      <c r="DG627" s="408">
        <v>43.532615495189077</v>
      </c>
      <c r="DH627" s="408">
        <v>0</v>
      </c>
      <c r="DI627" s="408">
        <v>-43.942513455047674</v>
      </c>
      <c r="DJ627" s="408"/>
      <c r="DK627" s="408">
        <v>0</v>
      </c>
      <c r="DL627" s="408">
        <v>0</v>
      </c>
      <c r="DM627" s="408"/>
      <c r="DN627" s="408">
        <v>0</v>
      </c>
      <c r="DO627" s="408">
        <v>-6.6249136759352325</v>
      </c>
      <c r="DP627" s="408">
        <v>-1.0417241272702462</v>
      </c>
      <c r="DQ627" s="408">
        <v>0</v>
      </c>
      <c r="DR627" s="408">
        <v>0</v>
      </c>
      <c r="DS627" s="408"/>
      <c r="DT627" s="408"/>
      <c r="DU627" s="408"/>
      <c r="DV627" s="408">
        <v>39957.729619986021</v>
      </c>
      <c r="DW627" s="408">
        <v>0</v>
      </c>
      <c r="DX627" s="408">
        <v>0</v>
      </c>
      <c r="DY627" s="408">
        <v>-28966.452660000003</v>
      </c>
      <c r="DZ627" s="234"/>
      <c r="EA627" s="408">
        <v>0</v>
      </c>
      <c r="EB627" s="408"/>
      <c r="EC627" s="408">
        <v>-29357.336233881288</v>
      </c>
      <c r="ED627" s="408"/>
      <c r="EE627" s="408">
        <v>0</v>
      </c>
      <c r="EF627" s="408">
        <v>0</v>
      </c>
      <c r="EG627" s="408"/>
      <c r="EH627" s="408">
        <v>0</v>
      </c>
      <c r="EI627" s="408">
        <v>0</v>
      </c>
      <c r="EJ627" s="408">
        <v>0</v>
      </c>
      <c r="EK627" s="408">
        <v>0</v>
      </c>
      <c r="EL627" s="408">
        <v>0</v>
      </c>
      <c r="EM627" s="408"/>
      <c r="EN627" s="408"/>
      <c r="EO627" s="408">
        <v>0</v>
      </c>
      <c r="EP627" s="408">
        <v>0</v>
      </c>
      <c r="EQ627" s="408"/>
      <c r="ER627" s="408">
        <v>0</v>
      </c>
      <c r="ES627" s="408"/>
      <c r="ET627" s="408">
        <v>0</v>
      </c>
      <c r="EU627" s="408"/>
      <c r="EV627" s="408">
        <v>242</v>
      </c>
      <c r="EW627" s="408"/>
      <c r="EX627" s="408"/>
      <c r="EY627" s="408"/>
      <c r="EZ627" s="408"/>
      <c r="FA627" s="408">
        <v>0</v>
      </c>
      <c r="FB627" s="408"/>
      <c r="FC627" s="408"/>
      <c r="FD627" s="408"/>
      <c r="FE627" s="408"/>
      <c r="FF627" s="408">
        <v>0</v>
      </c>
      <c r="FG627" s="408">
        <v>0</v>
      </c>
      <c r="FH627" s="408">
        <v>0</v>
      </c>
      <c r="FI627" s="408">
        <v>0</v>
      </c>
    </row>
    <row r="628" spans="1:165">
      <c r="A628" s="408">
        <v>629</v>
      </c>
      <c r="B628" s="408" t="s">
        <v>1036</v>
      </c>
      <c r="C628" s="408" t="s">
        <v>2239</v>
      </c>
      <c r="D628" s="408" t="s">
        <v>597</v>
      </c>
      <c r="E628" s="408" t="s">
        <v>970</v>
      </c>
      <c r="F628" s="408" t="s">
        <v>1322</v>
      </c>
      <c r="G628" s="408" t="s">
        <v>2327</v>
      </c>
      <c r="H628" s="408" t="s">
        <v>1322</v>
      </c>
      <c r="I628" s="408" t="s">
        <v>2240</v>
      </c>
      <c r="J628" s="408" t="s">
        <v>2328</v>
      </c>
      <c r="K628" s="828">
        <v>44501</v>
      </c>
      <c r="L628" s="408">
        <v>0</v>
      </c>
      <c r="M628" s="408">
        <v>0</v>
      </c>
      <c r="N628" s="408">
        <v>209.482</v>
      </c>
      <c r="O628" s="408">
        <v>104.741</v>
      </c>
      <c r="P628" s="408">
        <v>0</v>
      </c>
      <c r="Q628" s="408">
        <v>0</v>
      </c>
      <c r="R628" s="408"/>
      <c r="S628" s="408">
        <v>80.27</v>
      </c>
      <c r="T628" s="408"/>
      <c r="U628" s="408"/>
      <c r="V628" s="408">
        <v>16815.120139999999</v>
      </c>
      <c r="W628" s="408">
        <v>16815.120139999999</v>
      </c>
      <c r="X628" s="408">
        <v>16733.422159999998</v>
      </c>
      <c r="Y628" s="408">
        <v>0</v>
      </c>
      <c r="Z628" s="408">
        <v>11046.244953268915</v>
      </c>
      <c r="AA628" s="408">
        <v>0</v>
      </c>
      <c r="AB628" s="408">
        <v>0</v>
      </c>
      <c r="AC628" s="408">
        <v>0</v>
      </c>
      <c r="AD628" s="408">
        <v>0</v>
      </c>
      <c r="AE628" s="408">
        <v>0</v>
      </c>
      <c r="AF628" s="408"/>
      <c r="AG628" s="408"/>
      <c r="AH628" s="408"/>
      <c r="AI628" s="408">
        <v>0</v>
      </c>
      <c r="AJ628" s="408">
        <v>0</v>
      </c>
      <c r="AK628" s="408">
        <v>0</v>
      </c>
      <c r="AL628" s="408">
        <v>1963.6075260645125</v>
      </c>
      <c r="AM628" s="408"/>
      <c r="AN628" s="408">
        <v>287.66533216751674</v>
      </c>
      <c r="AO628" s="408">
        <v>0</v>
      </c>
      <c r="AP628" s="408">
        <v>0</v>
      </c>
      <c r="AQ628" s="408">
        <v>0</v>
      </c>
      <c r="AR628" s="408">
        <v>0</v>
      </c>
      <c r="AS628" s="408"/>
      <c r="AT628" s="408"/>
      <c r="AU628" s="408">
        <v>0</v>
      </c>
      <c r="AV628" s="408">
        <v>0</v>
      </c>
      <c r="AW628" s="408">
        <v>0</v>
      </c>
      <c r="AX628" s="408"/>
      <c r="AY628" s="408"/>
      <c r="AZ628" s="408">
        <v>0</v>
      </c>
      <c r="BA628" s="408"/>
      <c r="BB628" s="408">
        <v>0</v>
      </c>
      <c r="BC628" s="408">
        <v>0</v>
      </c>
      <c r="BD628" s="408">
        <v>95.795845949741093</v>
      </c>
      <c r="BE628" s="408">
        <v>0</v>
      </c>
      <c r="BF628" s="408"/>
      <c r="BG628" s="408">
        <v>3422.1308044451353</v>
      </c>
      <c r="BH628" s="408">
        <v>0</v>
      </c>
      <c r="BI628" s="408">
        <v>0</v>
      </c>
      <c r="BJ628" s="408">
        <v>0</v>
      </c>
      <c r="BK628" s="408">
        <v>0</v>
      </c>
      <c r="BL628" s="408">
        <v>0</v>
      </c>
      <c r="BM628" s="408"/>
      <c r="BN628" s="408">
        <v>8366.7110799999991</v>
      </c>
      <c r="BO628" s="408"/>
      <c r="BP628" s="408"/>
      <c r="BQ628" s="408"/>
      <c r="BR628" s="408"/>
      <c r="BS628" s="408"/>
      <c r="BT628" s="408"/>
      <c r="BU628" s="408"/>
      <c r="BV628" s="408">
        <v>3517.9266503948766</v>
      </c>
      <c r="BW628" s="408"/>
      <c r="BX628" s="408"/>
      <c r="BY628" s="408"/>
      <c r="BZ628" s="408"/>
      <c r="CA628" s="408"/>
      <c r="CB628" s="408"/>
      <c r="CC628" s="408"/>
      <c r="CD628" s="408"/>
      <c r="CE628" s="408"/>
      <c r="CF628" s="408"/>
      <c r="CG628" s="408"/>
      <c r="CH628" s="408"/>
      <c r="CI628" s="408">
        <v>8366.6311999999998</v>
      </c>
      <c r="CJ628" s="408">
        <v>-40.958870000000388</v>
      </c>
      <c r="CK628" s="408"/>
      <c r="CL628" s="408"/>
      <c r="CM628" s="408"/>
      <c r="CN628" s="408"/>
      <c r="CO628" s="408">
        <v>-81.697980000000115</v>
      </c>
      <c r="CP628" s="408">
        <v>0</v>
      </c>
      <c r="CQ628" s="408">
        <v>30</v>
      </c>
      <c r="CR628" s="408">
        <v>-82.365092828003981</v>
      </c>
      <c r="CS628" s="408">
        <v>0</v>
      </c>
      <c r="CT628" s="408">
        <v>0</v>
      </c>
      <c r="CU628" s="408">
        <v>0</v>
      </c>
      <c r="CV628" s="408">
        <v>0</v>
      </c>
      <c r="CW628" s="408"/>
      <c r="CX628" s="408"/>
      <c r="CY628" s="408"/>
      <c r="CZ628" s="408">
        <v>0</v>
      </c>
      <c r="DA628" s="408">
        <v>0</v>
      </c>
      <c r="DB628" s="408">
        <v>0</v>
      </c>
      <c r="DC628" s="408"/>
      <c r="DD628" s="408"/>
      <c r="DE628" s="408">
        <v>0</v>
      </c>
      <c r="DF628" s="408">
        <v>14.635759409019371</v>
      </c>
      <c r="DG628" s="408">
        <v>522.83564724017879</v>
      </c>
      <c r="DH628" s="408">
        <v>0</v>
      </c>
      <c r="DI628" s="408">
        <v>-527.75860587032912</v>
      </c>
      <c r="DJ628" s="408"/>
      <c r="DK628" s="408">
        <v>0</v>
      </c>
      <c r="DL628" s="408">
        <v>0</v>
      </c>
      <c r="DM628" s="408"/>
      <c r="DN628" s="408">
        <v>0</v>
      </c>
      <c r="DO628" s="408">
        <v>-79.566573022719012</v>
      </c>
      <c r="DP628" s="408">
        <v>-12.511320584154646</v>
      </c>
      <c r="DQ628" s="408">
        <v>0</v>
      </c>
      <c r="DR628" s="408">
        <v>0</v>
      </c>
      <c r="DS628" s="408"/>
      <c r="DT628" s="408"/>
      <c r="DU628" s="408"/>
      <c r="DV628" s="408">
        <v>0</v>
      </c>
      <c r="DW628" s="408">
        <v>0</v>
      </c>
      <c r="DX628" s="408">
        <v>0</v>
      </c>
      <c r="DY628" s="408">
        <v>-81.697980000000825</v>
      </c>
      <c r="DZ628" s="234"/>
      <c r="EA628" s="408">
        <v>0</v>
      </c>
      <c r="EB628" s="408"/>
      <c r="EC628" s="408">
        <v>0</v>
      </c>
      <c r="ED628" s="408"/>
      <c r="EE628" s="408">
        <v>0</v>
      </c>
      <c r="EF628" s="408">
        <v>0</v>
      </c>
      <c r="EG628" s="408"/>
      <c r="EH628" s="408">
        <v>0</v>
      </c>
      <c r="EI628" s="408">
        <v>0</v>
      </c>
      <c r="EJ628" s="408">
        <v>0</v>
      </c>
      <c r="EK628" s="408">
        <v>0</v>
      </c>
      <c r="EL628" s="408">
        <v>0</v>
      </c>
      <c r="EM628" s="408"/>
      <c r="EN628" s="408"/>
      <c r="EO628" s="408">
        <v>0</v>
      </c>
      <c r="EP628" s="408">
        <v>0</v>
      </c>
      <c r="EQ628" s="408"/>
      <c r="ER628" s="408">
        <v>0</v>
      </c>
      <c r="ES628" s="408"/>
      <c r="ET628" s="408">
        <v>0</v>
      </c>
      <c r="EU628" s="408"/>
      <c r="EV628" s="408">
        <v>242</v>
      </c>
      <c r="EW628" s="408"/>
      <c r="EX628" s="408"/>
      <c r="EY628" s="408"/>
      <c r="EZ628" s="408"/>
      <c r="FA628" s="408">
        <v>0</v>
      </c>
      <c r="FB628" s="408"/>
      <c r="FC628" s="408"/>
      <c r="FD628" s="408"/>
      <c r="FE628" s="408"/>
      <c r="FF628" s="408">
        <v>0</v>
      </c>
      <c r="FG628" s="408">
        <v>0</v>
      </c>
      <c r="FH628" s="408">
        <v>0</v>
      </c>
      <c r="FI628" s="408">
        <v>0</v>
      </c>
    </row>
    <row r="629" spans="1:165">
      <c r="A629" s="408">
        <v>630</v>
      </c>
      <c r="B629" s="408" t="s">
        <v>1036</v>
      </c>
      <c r="C629" s="408" t="s">
        <v>2239</v>
      </c>
      <c r="D629" s="408" t="s">
        <v>597</v>
      </c>
      <c r="E629" s="408" t="s">
        <v>970</v>
      </c>
      <c r="F629" s="408" t="s">
        <v>1322</v>
      </c>
      <c r="G629" s="408" t="s">
        <v>2327</v>
      </c>
      <c r="H629" s="408" t="s">
        <v>1322</v>
      </c>
      <c r="I629" s="408" t="s">
        <v>1322</v>
      </c>
      <c r="J629" s="408" t="s">
        <v>2328</v>
      </c>
      <c r="K629" s="828">
        <v>44501</v>
      </c>
      <c r="L629" s="408">
        <v>697</v>
      </c>
      <c r="M629" s="408">
        <v>348.5</v>
      </c>
      <c r="N629" s="408">
        <v>0</v>
      </c>
      <c r="O629" s="408">
        <v>0</v>
      </c>
      <c r="P629" s="408">
        <v>0</v>
      </c>
      <c r="Q629" s="408">
        <v>0</v>
      </c>
      <c r="R629" s="408">
        <v>32.17</v>
      </c>
      <c r="S629" s="408"/>
      <c r="T629" s="408"/>
      <c r="U629" s="408">
        <v>22422.49</v>
      </c>
      <c r="V629" s="408"/>
      <c r="W629" s="408">
        <v>22422.49</v>
      </c>
      <c r="X629" s="408">
        <v>9012.2099999999991</v>
      </c>
      <c r="Y629" s="408">
        <v>0</v>
      </c>
      <c r="Z629" s="408">
        <v>0</v>
      </c>
      <c r="AA629" s="408">
        <v>0</v>
      </c>
      <c r="AB629" s="408">
        <v>0</v>
      </c>
      <c r="AC629" s="408">
        <v>0</v>
      </c>
      <c r="AD629" s="408">
        <v>69.641608916498953</v>
      </c>
      <c r="AE629" s="408">
        <v>18767.934593659622</v>
      </c>
      <c r="AF629" s="408"/>
      <c r="AG629" s="408"/>
      <c r="AH629" s="408"/>
      <c r="AI629" s="408">
        <v>0</v>
      </c>
      <c r="AJ629" s="408">
        <v>0</v>
      </c>
      <c r="AK629" s="408">
        <v>0</v>
      </c>
      <c r="AL629" s="408">
        <v>0</v>
      </c>
      <c r="AM629" s="408"/>
      <c r="AN629" s="408">
        <v>0</v>
      </c>
      <c r="AO629" s="408">
        <v>1229.8015111703698</v>
      </c>
      <c r="AP629" s="408">
        <v>2357.8570203156391</v>
      </c>
      <c r="AQ629" s="408">
        <v>0</v>
      </c>
      <c r="AR629" s="408">
        <v>0</v>
      </c>
      <c r="AS629" s="408"/>
      <c r="AT629" s="408"/>
      <c r="AU629" s="408">
        <v>0</v>
      </c>
      <c r="AV629" s="408">
        <v>0</v>
      </c>
      <c r="AW629" s="408">
        <v>0</v>
      </c>
      <c r="AX629" s="408"/>
      <c r="AY629" s="408"/>
      <c r="AZ629" s="408">
        <v>0</v>
      </c>
      <c r="BA629" s="408"/>
      <c r="BB629" s="408">
        <v>0</v>
      </c>
      <c r="BC629" s="408">
        <v>0</v>
      </c>
      <c r="BD629" s="408">
        <v>0</v>
      </c>
      <c r="BE629" s="408">
        <v>0</v>
      </c>
      <c r="BF629" s="408"/>
      <c r="BG629" s="408">
        <v>0</v>
      </c>
      <c r="BH629" s="408">
        <v>0</v>
      </c>
      <c r="BI629" s="408">
        <v>1304.6400000000001</v>
      </c>
      <c r="BJ629" s="408">
        <v>0</v>
      </c>
      <c r="BK629" s="408">
        <v>9443.3799999999992</v>
      </c>
      <c r="BL629" s="408">
        <v>1</v>
      </c>
      <c r="BM629" s="408"/>
      <c r="BN629" s="408">
        <v>4506.1049999999996</v>
      </c>
      <c r="BO629" s="408"/>
      <c r="BP629" s="408"/>
      <c r="BQ629" s="408"/>
      <c r="BR629" s="408"/>
      <c r="BS629" s="408"/>
      <c r="BT629" s="408"/>
      <c r="BU629" s="408"/>
      <c r="BV629" s="408">
        <v>0</v>
      </c>
      <c r="BW629" s="408"/>
      <c r="BX629" s="408"/>
      <c r="BY629" s="408"/>
      <c r="BZ629" s="408"/>
      <c r="CA629" s="408"/>
      <c r="CB629" s="408"/>
      <c r="CC629" s="408"/>
      <c r="CD629" s="408"/>
      <c r="CE629" s="408"/>
      <c r="CF629" s="408"/>
      <c r="CG629" s="408"/>
      <c r="CH629" s="408"/>
      <c r="CI629" s="408">
        <v>4506.1049999999996</v>
      </c>
      <c r="CJ629" s="408">
        <v>-6705.1700000000019</v>
      </c>
      <c r="CK629" s="408"/>
      <c r="CL629" s="408"/>
      <c r="CM629" s="408"/>
      <c r="CN629" s="408"/>
      <c r="CO629" s="408">
        <v>-13410.28</v>
      </c>
      <c r="CP629" s="408">
        <v>0</v>
      </c>
      <c r="CQ629" s="408">
        <v>30</v>
      </c>
      <c r="CR629" s="408">
        <v>376.88165819445294</v>
      </c>
      <c r="CS629" s="408">
        <v>126.85590031053698</v>
      </c>
      <c r="CT629" s="408">
        <v>243.21654543341447</v>
      </c>
      <c r="CU629" s="408">
        <v>0</v>
      </c>
      <c r="CV629" s="408">
        <v>0</v>
      </c>
      <c r="CW629" s="408"/>
      <c r="CX629" s="408"/>
      <c r="CY629" s="408"/>
      <c r="CZ629" s="408">
        <v>6.8092124505013061</v>
      </c>
      <c r="DA629" s="408">
        <v>0</v>
      </c>
      <c r="DB629" s="408">
        <v>0</v>
      </c>
      <c r="DC629" s="408"/>
      <c r="DD629" s="408"/>
      <c r="DE629" s="408">
        <v>0</v>
      </c>
      <c r="DF629" s="408">
        <v>0</v>
      </c>
      <c r="DG629" s="408">
        <v>0</v>
      </c>
      <c r="DH629" s="408">
        <v>0</v>
      </c>
      <c r="DI629" s="408">
        <v>0</v>
      </c>
      <c r="DJ629" s="408"/>
      <c r="DK629" s="408">
        <v>0</v>
      </c>
      <c r="DL629" s="408">
        <v>0</v>
      </c>
      <c r="DM629" s="408"/>
      <c r="DN629" s="408">
        <v>0</v>
      </c>
      <c r="DO629" s="408">
        <v>0</v>
      </c>
      <c r="DP629" s="408">
        <v>0</v>
      </c>
      <c r="DQ629" s="408">
        <v>0</v>
      </c>
      <c r="DR629" s="408">
        <v>0</v>
      </c>
      <c r="DS629" s="408"/>
      <c r="DT629" s="408"/>
      <c r="DU629" s="408">
        <v>18767.934593659622</v>
      </c>
      <c r="DV629" s="408"/>
      <c r="DW629" s="408">
        <v>0</v>
      </c>
      <c r="DX629" s="408">
        <v>0</v>
      </c>
      <c r="DY629" s="408">
        <v>-13410.280000000002</v>
      </c>
      <c r="DZ629" s="234"/>
      <c r="EA629" s="408">
        <v>0</v>
      </c>
      <c r="EB629" s="408"/>
      <c r="EC629" s="408">
        <v>-13788.985798781972</v>
      </c>
      <c r="ED629" s="408"/>
      <c r="EE629" s="408">
        <v>0</v>
      </c>
      <c r="EF629" s="408">
        <v>0</v>
      </c>
      <c r="EG629" s="408"/>
      <c r="EH629" s="408">
        <v>0</v>
      </c>
      <c r="EI629" s="408">
        <v>0</v>
      </c>
      <c r="EJ629" s="408">
        <v>0</v>
      </c>
      <c r="EK629" s="408">
        <v>0</v>
      </c>
      <c r="EL629" s="408">
        <v>0</v>
      </c>
      <c r="EM629" s="408"/>
      <c r="EN629" s="408"/>
      <c r="EO629" s="408">
        <v>0</v>
      </c>
      <c r="EP629" s="408">
        <v>0</v>
      </c>
      <c r="EQ629" s="408"/>
      <c r="ER629" s="408">
        <v>0</v>
      </c>
      <c r="ES629" s="408"/>
      <c r="ET629" s="408">
        <v>0</v>
      </c>
      <c r="EU629" s="408"/>
      <c r="EV629" s="408">
        <v>242</v>
      </c>
      <c r="EW629" s="408"/>
      <c r="EX629" s="408"/>
      <c r="EY629" s="408"/>
      <c r="EZ629" s="408"/>
      <c r="FA629" s="408">
        <v>0</v>
      </c>
      <c r="FB629" s="408"/>
      <c r="FC629" s="408"/>
      <c r="FD629" s="408"/>
      <c r="FE629" s="408"/>
      <c r="FF629" s="408">
        <v>0</v>
      </c>
      <c r="FG629" s="408">
        <v>0</v>
      </c>
      <c r="FH629" s="408">
        <v>0</v>
      </c>
      <c r="FI629" s="408">
        <v>0</v>
      </c>
    </row>
    <row r="630" spans="1:165">
      <c r="A630" s="408">
        <v>631</v>
      </c>
      <c r="B630" s="408" t="s">
        <v>1036</v>
      </c>
      <c r="C630" s="408" t="s">
        <v>993</v>
      </c>
      <c r="D630" s="408" t="s">
        <v>597</v>
      </c>
      <c r="E630" s="408" t="s">
        <v>1322</v>
      </c>
      <c r="F630" s="408" t="s">
        <v>1322</v>
      </c>
      <c r="G630" s="408" t="s">
        <v>1322</v>
      </c>
      <c r="H630" s="408" t="s">
        <v>2329</v>
      </c>
      <c r="I630" s="408" t="s">
        <v>1322</v>
      </c>
      <c r="J630" s="408" t="s">
        <v>2252</v>
      </c>
      <c r="K630" s="828">
        <v>44501</v>
      </c>
      <c r="L630" s="408">
        <v>953</v>
      </c>
      <c r="M630" s="408">
        <v>476.5</v>
      </c>
      <c r="N630" s="408">
        <v>0</v>
      </c>
      <c r="O630" s="408">
        <v>0</v>
      </c>
      <c r="P630" s="408">
        <v>0</v>
      </c>
      <c r="Q630" s="408">
        <v>0</v>
      </c>
      <c r="R630" s="408">
        <v>10.220000000000001</v>
      </c>
      <c r="S630" s="408"/>
      <c r="T630" s="408"/>
      <c r="U630" s="408">
        <v>9739.66</v>
      </c>
      <c r="V630" s="408"/>
      <c r="W630" s="408">
        <v>9739.66</v>
      </c>
      <c r="X630" s="408">
        <v>2582.63</v>
      </c>
      <c r="Y630" s="408">
        <v>0</v>
      </c>
      <c r="Z630" s="408">
        <v>0</v>
      </c>
      <c r="AA630" s="408">
        <v>0</v>
      </c>
      <c r="AB630" s="408">
        <v>0</v>
      </c>
      <c r="AC630" s="408">
        <v>0</v>
      </c>
      <c r="AD630" s="408">
        <v>0</v>
      </c>
      <c r="AE630" s="408">
        <v>9741.2483581600645</v>
      </c>
      <c r="AF630" s="408"/>
      <c r="AG630" s="408"/>
      <c r="AH630" s="408"/>
      <c r="AI630" s="408">
        <v>0</v>
      </c>
      <c r="AJ630" s="408">
        <v>0</v>
      </c>
      <c r="AK630" s="408">
        <v>0</v>
      </c>
      <c r="AL630" s="408">
        <v>0</v>
      </c>
      <c r="AM630" s="408"/>
      <c r="AN630" s="408">
        <v>0</v>
      </c>
      <c r="AO630" s="408">
        <v>0</v>
      </c>
      <c r="AP630" s="408">
        <v>0</v>
      </c>
      <c r="AQ630" s="408">
        <v>0</v>
      </c>
      <c r="AR630" s="408">
        <v>0</v>
      </c>
      <c r="AS630" s="408"/>
      <c r="AT630" s="408"/>
      <c r="AU630" s="408">
        <v>0</v>
      </c>
      <c r="AV630" s="408">
        <v>0</v>
      </c>
      <c r="AW630" s="408">
        <v>0</v>
      </c>
      <c r="AX630" s="408"/>
      <c r="AY630" s="408"/>
      <c r="AZ630" s="408">
        <v>0</v>
      </c>
      <c r="BA630" s="408"/>
      <c r="BB630" s="408">
        <v>0</v>
      </c>
      <c r="BC630" s="408">
        <v>0</v>
      </c>
      <c r="BD630" s="408">
        <v>0</v>
      </c>
      <c r="BE630" s="408">
        <v>0</v>
      </c>
      <c r="BF630" s="408"/>
      <c r="BG630" s="408">
        <v>0</v>
      </c>
      <c r="BH630" s="408">
        <v>0</v>
      </c>
      <c r="BI630" s="408">
        <v>38.99</v>
      </c>
      <c r="BJ630" s="408">
        <v>0</v>
      </c>
      <c r="BK630" s="408">
        <v>0</v>
      </c>
      <c r="BL630" s="408">
        <v>0</v>
      </c>
      <c r="BM630" s="408"/>
      <c r="BN630" s="408"/>
      <c r="BO630" s="408">
        <v>1291.3150000000001</v>
      </c>
      <c r="BP630" s="408"/>
      <c r="BQ630" s="408"/>
      <c r="BR630" s="408"/>
      <c r="BS630" s="408"/>
      <c r="BT630" s="408"/>
      <c r="BU630" s="408"/>
      <c r="BV630" s="408">
        <v>0</v>
      </c>
      <c r="BW630" s="408"/>
      <c r="BX630" s="408"/>
      <c r="BY630" s="408"/>
      <c r="BZ630" s="408"/>
      <c r="CA630" s="408"/>
      <c r="CB630" s="408"/>
      <c r="CC630" s="408"/>
      <c r="CD630" s="408"/>
      <c r="CE630" s="408"/>
      <c r="CF630" s="408"/>
      <c r="CG630" s="408"/>
      <c r="CH630" s="408"/>
      <c r="CI630" s="408">
        <v>1291.3150000000001</v>
      </c>
      <c r="CJ630" s="408">
        <v>-3578.5450000000005</v>
      </c>
      <c r="CK630" s="408"/>
      <c r="CL630" s="408"/>
      <c r="CM630" s="408"/>
      <c r="CN630" s="408"/>
      <c r="CO630" s="408">
        <v>-7157.0300000000007</v>
      </c>
      <c r="CP630" s="408">
        <v>0</v>
      </c>
      <c r="CQ630" s="408">
        <v>30</v>
      </c>
      <c r="CR630" s="408">
        <v>0</v>
      </c>
      <c r="CS630" s="408">
        <v>0</v>
      </c>
      <c r="CT630" s="408">
        <v>0</v>
      </c>
      <c r="CU630" s="408">
        <v>0</v>
      </c>
      <c r="CV630" s="408">
        <v>0</v>
      </c>
      <c r="CW630" s="408"/>
      <c r="CX630" s="408"/>
      <c r="CY630" s="408"/>
      <c r="CZ630" s="408">
        <v>0</v>
      </c>
      <c r="DA630" s="408">
        <v>0</v>
      </c>
      <c r="DB630" s="408">
        <v>0</v>
      </c>
      <c r="DC630" s="408"/>
      <c r="DD630" s="408"/>
      <c r="DE630" s="408">
        <v>0</v>
      </c>
      <c r="DF630" s="408">
        <v>0</v>
      </c>
      <c r="DG630" s="408">
        <v>0</v>
      </c>
      <c r="DH630" s="408">
        <v>0</v>
      </c>
      <c r="DI630" s="408">
        <v>0</v>
      </c>
      <c r="DJ630" s="408"/>
      <c r="DK630" s="408">
        <v>0</v>
      </c>
      <c r="DL630" s="408">
        <v>0</v>
      </c>
      <c r="DM630" s="408"/>
      <c r="DN630" s="408">
        <v>0</v>
      </c>
      <c r="DO630" s="408">
        <v>0</v>
      </c>
      <c r="DP630" s="408">
        <v>0</v>
      </c>
      <c r="DQ630" s="408">
        <v>0</v>
      </c>
      <c r="DR630" s="408">
        <v>0</v>
      </c>
      <c r="DS630" s="408"/>
      <c r="DT630" s="408"/>
      <c r="DU630" s="408">
        <v>9741.2483581600645</v>
      </c>
      <c r="DV630" s="408"/>
      <c r="DW630" s="408">
        <v>0</v>
      </c>
      <c r="DX630" s="408">
        <v>0</v>
      </c>
      <c r="DY630" s="408">
        <v>-7157.03</v>
      </c>
      <c r="DZ630" s="234"/>
      <c r="EA630" s="408">
        <v>0</v>
      </c>
      <c r="EB630" s="408"/>
      <c r="EC630" s="408">
        <v>-7156.9908027309175</v>
      </c>
      <c r="ED630" s="408"/>
      <c r="EE630" s="408">
        <v>0</v>
      </c>
      <c r="EF630" s="408">
        <v>0</v>
      </c>
      <c r="EG630" s="408"/>
      <c r="EH630" s="408">
        <v>0</v>
      </c>
      <c r="EI630" s="408">
        <v>0</v>
      </c>
      <c r="EJ630" s="408">
        <v>0</v>
      </c>
      <c r="EK630" s="408">
        <v>0</v>
      </c>
      <c r="EL630" s="408">
        <v>0</v>
      </c>
      <c r="EM630" s="408"/>
      <c r="EN630" s="408"/>
      <c r="EO630" s="408">
        <v>0</v>
      </c>
      <c r="EP630" s="408">
        <v>0</v>
      </c>
      <c r="EQ630" s="408"/>
      <c r="ER630" s="408">
        <v>0</v>
      </c>
      <c r="ES630" s="408"/>
      <c r="ET630" s="408">
        <v>0</v>
      </c>
      <c r="EU630" s="408"/>
      <c r="EV630" s="408">
        <v>242</v>
      </c>
      <c r="EW630" s="408"/>
      <c r="EX630" s="408"/>
      <c r="EY630" s="408"/>
      <c r="EZ630" s="408"/>
      <c r="FA630" s="408">
        <v>0</v>
      </c>
      <c r="FB630" s="408"/>
      <c r="FC630" s="408"/>
      <c r="FD630" s="408"/>
      <c r="FE630" s="408"/>
      <c r="FF630" s="408">
        <v>0</v>
      </c>
      <c r="FG630" s="408">
        <v>0</v>
      </c>
      <c r="FH630" s="408">
        <v>0</v>
      </c>
      <c r="FI630" s="408">
        <v>0</v>
      </c>
    </row>
    <row r="631" spans="1:165">
      <c r="A631" s="408">
        <v>632</v>
      </c>
      <c r="B631" s="408" t="s">
        <v>1036</v>
      </c>
      <c r="C631" s="408" t="s">
        <v>2239</v>
      </c>
      <c r="D631" s="408" t="s">
        <v>597</v>
      </c>
      <c r="E631" s="408" t="s">
        <v>970</v>
      </c>
      <c r="F631" s="408" t="s">
        <v>1322</v>
      </c>
      <c r="G631" s="408" t="s">
        <v>2327</v>
      </c>
      <c r="H631" s="408" t="s">
        <v>1322</v>
      </c>
      <c r="I631" s="408" t="s">
        <v>973</v>
      </c>
      <c r="J631" s="408" t="s">
        <v>2328</v>
      </c>
      <c r="K631" s="828">
        <v>44531</v>
      </c>
      <c r="L631" s="408">
        <v>0</v>
      </c>
      <c r="M631" s="408">
        <v>0</v>
      </c>
      <c r="N631" s="408">
        <v>17.706</v>
      </c>
      <c r="O631" s="408">
        <v>8.8529999999999998</v>
      </c>
      <c r="P631" s="408">
        <v>0</v>
      </c>
      <c r="Q631" s="408">
        <v>0</v>
      </c>
      <c r="R631" s="408"/>
      <c r="S631" s="408">
        <v>2592.54</v>
      </c>
      <c r="T631" s="408"/>
      <c r="U631" s="408"/>
      <c r="V631" s="408">
        <v>45903.51324</v>
      </c>
      <c r="W631" s="408">
        <v>45903.51324</v>
      </c>
      <c r="X631" s="408">
        <v>16498.627859999997</v>
      </c>
      <c r="Y631" s="408">
        <v>0</v>
      </c>
      <c r="Z631" s="408">
        <v>933.65927928213125</v>
      </c>
      <c r="AA631" s="408">
        <v>0</v>
      </c>
      <c r="AB631" s="408">
        <v>0</v>
      </c>
      <c r="AC631" s="408">
        <v>0</v>
      </c>
      <c r="AD631" s="408">
        <v>89.532782976323176</v>
      </c>
      <c r="AE631" s="408">
        <v>40562.524977151268</v>
      </c>
      <c r="AF631" s="408"/>
      <c r="AG631" s="408"/>
      <c r="AH631" s="408"/>
      <c r="AI631" s="408">
        <v>0</v>
      </c>
      <c r="AJ631" s="408">
        <v>0</v>
      </c>
      <c r="AK631" s="408">
        <v>0</v>
      </c>
      <c r="AL631" s="408">
        <v>165.96955755863632</v>
      </c>
      <c r="AM631" s="408"/>
      <c r="AN631" s="408">
        <v>24.314272211254671</v>
      </c>
      <c r="AO631" s="408">
        <v>798.80391550198203</v>
      </c>
      <c r="AP631" s="408">
        <v>3031.2804569136247</v>
      </c>
      <c r="AQ631" s="408">
        <v>0</v>
      </c>
      <c r="AR631" s="408">
        <v>0</v>
      </c>
      <c r="AS631" s="408"/>
      <c r="AT631" s="408"/>
      <c r="AU631" s="408">
        <v>0</v>
      </c>
      <c r="AV631" s="408">
        <v>0</v>
      </c>
      <c r="AW631" s="408">
        <v>0</v>
      </c>
      <c r="AX631" s="408"/>
      <c r="AY631" s="408"/>
      <c r="AZ631" s="408">
        <v>0</v>
      </c>
      <c r="BA631" s="408"/>
      <c r="BB631" s="408">
        <v>0</v>
      </c>
      <c r="BC631" s="408">
        <v>0</v>
      </c>
      <c r="BD631" s="408">
        <v>8.0969307548434504</v>
      </c>
      <c r="BE631" s="408">
        <v>0</v>
      </c>
      <c r="BF631" s="408"/>
      <c r="BG631" s="408">
        <v>289.24799277983584</v>
      </c>
      <c r="BH631" s="408">
        <v>0</v>
      </c>
      <c r="BI631" s="408">
        <v>0</v>
      </c>
      <c r="BJ631" s="408">
        <v>0</v>
      </c>
      <c r="BK631" s="408">
        <v>0</v>
      </c>
      <c r="BL631" s="408">
        <v>0</v>
      </c>
      <c r="BM631" s="408"/>
      <c r="BN631" s="408">
        <v>8249.3139299999984</v>
      </c>
      <c r="BO631" s="408"/>
      <c r="BP631" s="408"/>
      <c r="BQ631" s="408"/>
      <c r="BR631" s="408"/>
      <c r="BS631" s="408"/>
      <c r="BT631" s="408"/>
      <c r="BU631" s="408"/>
      <c r="BV631" s="408">
        <v>297.34492353467931</v>
      </c>
      <c r="BW631" s="408"/>
      <c r="BX631" s="408"/>
      <c r="BY631" s="408"/>
      <c r="BZ631" s="408"/>
      <c r="CA631" s="408"/>
      <c r="CB631" s="408"/>
      <c r="CC631" s="408"/>
      <c r="CD631" s="408"/>
      <c r="CE631" s="408"/>
      <c r="CF631" s="408"/>
      <c r="CG631" s="408"/>
      <c r="CH631" s="408"/>
      <c r="CI631" s="408">
        <v>8246.5184999999983</v>
      </c>
      <c r="CJ631" s="408">
        <v>-14705.268119999997</v>
      </c>
      <c r="CK631" s="408"/>
      <c r="CL631" s="408"/>
      <c r="CM631" s="408"/>
      <c r="CN631" s="408"/>
      <c r="CO631" s="408">
        <v>-29404.88538</v>
      </c>
      <c r="CP631" s="408">
        <v>0</v>
      </c>
      <c r="CQ631" s="408"/>
      <c r="CR631" s="408">
        <v>396.87138768403292</v>
      </c>
      <c r="CS631" s="408">
        <v>82.397841401371238</v>
      </c>
      <c r="CT631" s="408">
        <v>312.68119933397247</v>
      </c>
      <c r="CU631" s="408">
        <v>0</v>
      </c>
      <c r="CV631" s="408">
        <v>0</v>
      </c>
      <c r="CW631" s="408"/>
      <c r="CX631" s="408"/>
      <c r="CY631" s="408"/>
      <c r="CZ631" s="408">
        <v>8.7540731763013184</v>
      </c>
      <c r="DA631" s="408">
        <v>0</v>
      </c>
      <c r="DB631" s="408">
        <v>0</v>
      </c>
      <c r="DC631" s="408"/>
      <c r="DD631" s="408"/>
      <c r="DE631" s="408">
        <v>0</v>
      </c>
      <c r="DF631" s="408">
        <v>1.23705500279784</v>
      </c>
      <c r="DG631" s="408">
        <v>44.191519892089048</v>
      </c>
      <c r="DH631" s="408">
        <v>0</v>
      </c>
      <c r="DI631" s="408">
        <v>-44.607622017834728</v>
      </c>
      <c r="DJ631" s="408"/>
      <c r="DK631" s="408">
        <v>0</v>
      </c>
      <c r="DL631" s="408">
        <v>0</v>
      </c>
      <c r="DM631" s="408"/>
      <c r="DN631" s="408">
        <v>0</v>
      </c>
      <c r="DO631" s="408">
        <v>-6.7251875671430525</v>
      </c>
      <c r="DP631" s="408">
        <v>-1.0574915375213223</v>
      </c>
      <c r="DQ631" s="408">
        <v>0</v>
      </c>
      <c r="DR631" s="408">
        <v>0</v>
      </c>
      <c r="DS631" s="408"/>
      <c r="DT631" s="408"/>
      <c r="DU631" s="408"/>
      <c r="DV631" s="408">
        <v>40562.524977151268</v>
      </c>
      <c r="DW631" s="408">
        <v>0</v>
      </c>
      <c r="DX631" s="408">
        <v>0</v>
      </c>
      <c r="DY631" s="408">
        <v>-29404.885380000003</v>
      </c>
      <c r="DZ631" s="234"/>
      <c r="EA631" s="408">
        <v>0</v>
      </c>
      <c r="EB631" s="408"/>
      <c r="EC631" s="408">
        <v>-29801.685320324621</v>
      </c>
      <c r="ED631" s="408"/>
      <c r="EE631" s="408">
        <v>0</v>
      </c>
      <c r="EF631" s="408">
        <v>0</v>
      </c>
      <c r="EG631" s="408"/>
      <c r="EH631" s="408">
        <v>0</v>
      </c>
      <c r="EI631" s="408">
        <v>0</v>
      </c>
      <c r="EJ631" s="408">
        <v>0</v>
      </c>
      <c r="EK631" s="408">
        <v>0</v>
      </c>
      <c r="EL631" s="408">
        <v>0</v>
      </c>
      <c r="EM631" s="408"/>
      <c r="EN631" s="408"/>
      <c r="EO631" s="408">
        <v>0</v>
      </c>
      <c r="EP631" s="408">
        <v>0</v>
      </c>
      <c r="EQ631" s="408"/>
      <c r="ER631" s="408">
        <v>0</v>
      </c>
      <c r="ES631" s="408"/>
      <c r="ET631" s="408">
        <v>0</v>
      </c>
      <c r="EU631" s="408"/>
      <c r="EV631" s="408">
        <v>242</v>
      </c>
      <c r="EW631" s="408"/>
      <c r="EX631" s="408"/>
      <c r="EY631" s="408"/>
      <c r="EZ631" s="408"/>
      <c r="FA631" s="408">
        <v>0</v>
      </c>
      <c r="FB631" s="408"/>
      <c r="FC631" s="408"/>
      <c r="FD631" s="408"/>
      <c r="FE631" s="408"/>
      <c r="FF631" s="408">
        <v>0</v>
      </c>
      <c r="FG631" s="408">
        <v>0</v>
      </c>
      <c r="FH631" s="408">
        <v>0</v>
      </c>
      <c r="FI631" s="408">
        <v>0</v>
      </c>
    </row>
    <row r="632" spans="1:165">
      <c r="A632" s="408">
        <v>633</v>
      </c>
      <c r="B632" s="408" t="s">
        <v>1036</v>
      </c>
      <c r="C632" s="408" t="s">
        <v>2239</v>
      </c>
      <c r="D632" s="408" t="s">
        <v>597</v>
      </c>
      <c r="E632" s="408" t="s">
        <v>970</v>
      </c>
      <c r="F632" s="408" t="s">
        <v>1322</v>
      </c>
      <c r="G632" s="408" t="s">
        <v>2327</v>
      </c>
      <c r="H632" s="408" t="s">
        <v>1322</v>
      </c>
      <c r="I632" s="408" t="s">
        <v>2240</v>
      </c>
      <c r="J632" s="408" t="s">
        <v>2328</v>
      </c>
      <c r="K632" s="828">
        <v>44531</v>
      </c>
      <c r="L632" s="408">
        <v>0</v>
      </c>
      <c r="M632" s="408">
        <v>0</v>
      </c>
      <c r="N632" s="408">
        <v>200.77799999999999</v>
      </c>
      <c r="O632" s="408">
        <v>100.389</v>
      </c>
      <c r="P632" s="408">
        <v>0</v>
      </c>
      <c r="Q632" s="408">
        <v>0</v>
      </c>
      <c r="R632" s="408"/>
      <c r="S632" s="408">
        <v>80.27</v>
      </c>
      <c r="T632" s="408"/>
      <c r="U632" s="408"/>
      <c r="V632" s="408">
        <v>16116.450059999999</v>
      </c>
      <c r="W632" s="408">
        <v>16116.450059999999</v>
      </c>
      <c r="X632" s="408">
        <v>16038.146639999999</v>
      </c>
      <c r="Y632" s="408">
        <v>0</v>
      </c>
      <c r="Z632" s="408">
        <v>10587.272267915268</v>
      </c>
      <c r="AA632" s="408">
        <v>0</v>
      </c>
      <c r="AB632" s="408">
        <v>0</v>
      </c>
      <c r="AC632" s="408">
        <v>0</v>
      </c>
      <c r="AD632" s="408">
        <v>0</v>
      </c>
      <c r="AE632" s="408">
        <v>0</v>
      </c>
      <c r="AF632" s="408"/>
      <c r="AG632" s="408"/>
      <c r="AH632" s="408"/>
      <c r="AI632" s="408">
        <v>0</v>
      </c>
      <c r="AJ632" s="408">
        <v>0</v>
      </c>
      <c r="AK632" s="408">
        <v>0</v>
      </c>
      <c r="AL632" s="408">
        <v>1882.019418700321</v>
      </c>
      <c r="AM632" s="408"/>
      <c r="AN632" s="408">
        <v>275.71280616916812</v>
      </c>
      <c r="AO632" s="408">
        <v>0</v>
      </c>
      <c r="AP632" s="408">
        <v>0</v>
      </c>
      <c r="AQ632" s="408">
        <v>0</v>
      </c>
      <c r="AR632" s="408">
        <v>0</v>
      </c>
      <c r="AS632" s="408"/>
      <c r="AT632" s="408"/>
      <c r="AU632" s="408">
        <v>0</v>
      </c>
      <c r="AV632" s="408">
        <v>0</v>
      </c>
      <c r="AW632" s="408">
        <v>0</v>
      </c>
      <c r="AX632" s="408"/>
      <c r="AY632" s="408"/>
      <c r="AZ632" s="408">
        <v>0</v>
      </c>
      <c r="BA632" s="408"/>
      <c r="BB632" s="408">
        <v>0</v>
      </c>
      <c r="BC632" s="408">
        <v>0</v>
      </c>
      <c r="BD632" s="408">
        <v>91.815518078389161</v>
      </c>
      <c r="BE632" s="408">
        <v>0</v>
      </c>
      <c r="BF632" s="408"/>
      <c r="BG632" s="408">
        <v>3279.9408954224486</v>
      </c>
      <c r="BH632" s="408">
        <v>0</v>
      </c>
      <c r="BI632" s="408">
        <v>0</v>
      </c>
      <c r="BJ632" s="408">
        <v>0</v>
      </c>
      <c r="BK632" s="408">
        <v>0</v>
      </c>
      <c r="BL632" s="408">
        <v>0</v>
      </c>
      <c r="BM632" s="408"/>
      <c r="BN632" s="408">
        <v>8019.0733199999995</v>
      </c>
      <c r="BO632" s="408"/>
      <c r="BP632" s="408"/>
      <c r="BQ632" s="408"/>
      <c r="BR632" s="408"/>
      <c r="BS632" s="408"/>
      <c r="BT632" s="408"/>
      <c r="BU632" s="408"/>
      <c r="BV632" s="408">
        <v>3371.7564135008379</v>
      </c>
      <c r="BW632" s="408"/>
      <c r="BX632" s="408"/>
      <c r="BY632" s="408"/>
      <c r="BZ632" s="408"/>
      <c r="CA632" s="408"/>
      <c r="CB632" s="408"/>
      <c r="CC632" s="408"/>
      <c r="CD632" s="408"/>
      <c r="CE632" s="408"/>
      <c r="CF632" s="408"/>
      <c r="CG632" s="408"/>
      <c r="CH632" s="408"/>
      <c r="CI632" s="408">
        <v>8019.1531999999997</v>
      </c>
      <c r="CJ632" s="408">
        <v>-39.101830000000518</v>
      </c>
      <c r="CK632" s="408"/>
      <c r="CL632" s="408"/>
      <c r="CM632" s="408"/>
      <c r="CN632" s="408"/>
      <c r="CO632" s="408">
        <v>-78.303420000000116</v>
      </c>
      <c r="CP632" s="408">
        <v>0</v>
      </c>
      <c r="CQ632" s="408"/>
      <c r="CR632" s="408">
        <v>-78.942814217074556</v>
      </c>
      <c r="CS632" s="408">
        <v>0</v>
      </c>
      <c r="CT632" s="408">
        <v>0</v>
      </c>
      <c r="CU632" s="408">
        <v>0</v>
      </c>
      <c r="CV632" s="408">
        <v>0</v>
      </c>
      <c r="CW632" s="408"/>
      <c r="CX632" s="408"/>
      <c r="CY632" s="408"/>
      <c r="CZ632" s="408">
        <v>0</v>
      </c>
      <c r="DA632" s="408">
        <v>0</v>
      </c>
      <c r="DB632" s="408">
        <v>0</v>
      </c>
      <c r="DC632" s="408"/>
      <c r="DD632" s="408"/>
      <c r="DE632" s="408">
        <v>0</v>
      </c>
      <c r="DF632" s="408">
        <v>14.027642005633368</v>
      </c>
      <c r="DG632" s="408">
        <v>501.11176894238406</v>
      </c>
      <c r="DH632" s="408">
        <v>0</v>
      </c>
      <c r="DI632" s="408">
        <v>-505.83017810328784</v>
      </c>
      <c r="DJ632" s="408"/>
      <c r="DK632" s="408">
        <v>0</v>
      </c>
      <c r="DL632" s="408">
        <v>0</v>
      </c>
      <c r="DM632" s="408"/>
      <c r="DN632" s="408">
        <v>0</v>
      </c>
      <c r="DO632" s="408">
        <v>-76.26057321562439</v>
      </c>
      <c r="DP632" s="408">
        <v>-11.991473846179645</v>
      </c>
      <c r="DQ632" s="408">
        <v>0</v>
      </c>
      <c r="DR632" s="408">
        <v>0</v>
      </c>
      <c r="DS632" s="408"/>
      <c r="DT632" s="408"/>
      <c r="DU632" s="408"/>
      <c r="DV632" s="408">
        <v>0</v>
      </c>
      <c r="DW632" s="408">
        <v>0</v>
      </c>
      <c r="DX632" s="408">
        <v>0</v>
      </c>
      <c r="DY632" s="408">
        <v>-78.303420000000187</v>
      </c>
      <c r="DZ632" s="234"/>
      <c r="EA632" s="408">
        <v>0</v>
      </c>
      <c r="EB632" s="408"/>
      <c r="EC632" s="408">
        <v>0</v>
      </c>
      <c r="ED632" s="408"/>
      <c r="EE632" s="408">
        <v>0</v>
      </c>
      <c r="EF632" s="408">
        <v>0</v>
      </c>
      <c r="EG632" s="408"/>
      <c r="EH632" s="408">
        <v>0</v>
      </c>
      <c r="EI632" s="408">
        <v>0</v>
      </c>
      <c r="EJ632" s="408">
        <v>0</v>
      </c>
      <c r="EK632" s="408">
        <v>0</v>
      </c>
      <c r="EL632" s="408">
        <v>0</v>
      </c>
      <c r="EM632" s="408"/>
      <c r="EN632" s="408"/>
      <c r="EO632" s="408">
        <v>0</v>
      </c>
      <c r="EP632" s="408">
        <v>0</v>
      </c>
      <c r="EQ632" s="408"/>
      <c r="ER632" s="408">
        <v>0</v>
      </c>
      <c r="ES632" s="408"/>
      <c r="ET632" s="408">
        <v>0</v>
      </c>
      <c r="EU632" s="408"/>
      <c r="EV632" s="408">
        <v>242</v>
      </c>
      <c r="EW632" s="408"/>
      <c r="EX632" s="408"/>
      <c r="EY632" s="408"/>
      <c r="EZ632" s="408"/>
      <c r="FA632" s="408">
        <v>0</v>
      </c>
      <c r="FB632" s="408"/>
      <c r="FC632" s="408"/>
      <c r="FD632" s="408"/>
      <c r="FE632" s="408"/>
      <c r="FF632" s="408">
        <v>0</v>
      </c>
      <c r="FG632" s="408">
        <v>0</v>
      </c>
      <c r="FH632" s="408">
        <v>0</v>
      </c>
      <c r="FI632" s="408">
        <v>0</v>
      </c>
    </row>
    <row r="633" spans="1:165">
      <c r="A633" s="408">
        <v>634</v>
      </c>
      <c r="B633" s="408" t="s">
        <v>1036</v>
      </c>
      <c r="C633" s="408" t="s">
        <v>2239</v>
      </c>
      <c r="D633" s="408" t="s">
        <v>597</v>
      </c>
      <c r="E633" s="408" t="s">
        <v>970</v>
      </c>
      <c r="F633" s="408" t="s">
        <v>1322</v>
      </c>
      <c r="G633" s="408" t="s">
        <v>2327</v>
      </c>
      <c r="H633" s="408" t="s">
        <v>1322</v>
      </c>
      <c r="I633" s="408" t="s">
        <v>1322</v>
      </c>
      <c r="J633" s="408" t="s">
        <v>2328</v>
      </c>
      <c r="K633" s="828">
        <v>44531</v>
      </c>
      <c r="L633" s="408">
        <v>650</v>
      </c>
      <c r="M633" s="408">
        <v>325</v>
      </c>
      <c r="N633" s="408">
        <v>0</v>
      </c>
      <c r="O633" s="408">
        <v>0</v>
      </c>
      <c r="P633" s="408">
        <v>0</v>
      </c>
      <c r="Q633" s="408">
        <v>0</v>
      </c>
      <c r="R633" s="408">
        <v>32.17</v>
      </c>
      <c r="S633" s="408"/>
      <c r="T633" s="408"/>
      <c r="U633" s="408">
        <v>20910.5</v>
      </c>
      <c r="V633" s="408"/>
      <c r="W633" s="408">
        <v>20910.5</v>
      </c>
      <c r="X633" s="408">
        <v>8404.5</v>
      </c>
      <c r="Y633" s="408">
        <v>0</v>
      </c>
      <c r="Z633" s="408">
        <v>0</v>
      </c>
      <c r="AA633" s="408">
        <v>0</v>
      </c>
      <c r="AB633" s="408">
        <v>0</v>
      </c>
      <c r="AC633" s="408">
        <v>0</v>
      </c>
      <c r="AD633" s="408">
        <v>64.945546335329013</v>
      </c>
      <c r="AE633" s="408">
        <v>17502.378028520448</v>
      </c>
      <c r="AF633" s="408"/>
      <c r="AG633" s="408"/>
      <c r="AH633" s="408"/>
      <c r="AI633" s="408">
        <v>0</v>
      </c>
      <c r="AJ633" s="408">
        <v>0</v>
      </c>
      <c r="AK633" s="408">
        <v>0</v>
      </c>
      <c r="AL633" s="408">
        <v>0</v>
      </c>
      <c r="AM633" s="408"/>
      <c r="AN633" s="408">
        <v>0</v>
      </c>
      <c r="AO633" s="408">
        <v>1146.8737191689245</v>
      </c>
      <c r="AP633" s="408">
        <v>2198.8623575396919</v>
      </c>
      <c r="AQ633" s="408">
        <v>0</v>
      </c>
      <c r="AR633" s="408">
        <v>0</v>
      </c>
      <c r="AS633" s="408"/>
      <c r="AT633" s="408"/>
      <c r="AU633" s="408">
        <v>0</v>
      </c>
      <c r="AV633" s="408">
        <v>0</v>
      </c>
      <c r="AW633" s="408">
        <v>0</v>
      </c>
      <c r="AX633" s="408"/>
      <c r="AY633" s="408"/>
      <c r="AZ633" s="408">
        <v>0</v>
      </c>
      <c r="BA633" s="408"/>
      <c r="BB633" s="408">
        <v>0</v>
      </c>
      <c r="BC633" s="408">
        <v>0</v>
      </c>
      <c r="BD633" s="408">
        <v>0</v>
      </c>
      <c r="BE633" s="408">
        <v>0</v>
      </c>
      <c r="BF633" s="408"/>
      <c r="BG633" s="408">
        <v>0</v>
      </c>
      <c r="BH633" s="408">
        <v>0</v>
      </c>
      <c r="BI633" s="408">
        <v>1050.3499999999999</v>
      </c>
      <c r="BJ633" s="408">
        <v>0</v>
      </c>
      <c r="BK633" s="408">
        <v>8884.7999999999993</v>
      </c>
      <c r="BL633" s="408">
        <v>1</v>
      </c>
      <c r="BM633" s="408"/>
      <c r="BN633" s="408">
        <v>4202.25</v>
      </c>
      <c r="BO633" s="408"/>
      <c r="BP633" s="408"/>
      <c r="BQ633" s="408"/>
      <c r="BR633" s="408"/>
      <c r="BS633" s="408"/>
      <c r="BT633" s="408"/>
      <c r="BU633" s="408"/>
      <c r="BV633" s="408">
        <v>0</v>
      </c>
      <c r="BW633" s="408"/>
      <c r="BX633" s="408"/>
      <c r="BY633" s="408"/>
      <c r="BZ633" s="408"/>
      <c r="CA633" s="408"/>
      <c r="CB633" s="408"/>
      <c r="CC633" s="408"/>
      <c r="CD633" s="408"/>
      <c r="CE633" s="408"/>
      <c r="CF633" s="408"/>
      <c r="CG633" s="408"/>
      <c r="CH633" s="408"/>
      <c r="CI633" s="408">
        <v>4202.25</v>
      </c>
      <c r="CJ633" s="408">
        <v>-6253.0300000000007</v>
      </c>
      <c r="CK633" s="408"/>
      <c r="CL633" s="408"/>
      <c r="CM633" s="408"/>
      <c r="CN633" s="408"/>
      <c r="CO633" s="408">
        <v>-12506.000000000002</v>
      </c>
      <c r="CP633" s="408">
        <v>0</v>
      </c>
      <c r="CQ633" s="408"/>
      <c r="CR633" s="408">
        <v>351.46783045393749</v>
      </c>
      <c r="CS633" s="408">
        <v>118.30177216908055</v>
      </c>
      <c r="CT633" s="408">
        <v>226.81600363230928</v>
      </c>
      <c r="CU633" s="408">
        <v>0</v>
      </c>
      <c r="CV633" s="408">
        <v>0</v>
      </c>
      <c r="CW633" s="408"/>
      <c r="CX633" s="408"/>
      <c r="CY633" s="408"/>
      <c r="CZ633" s="408">
        <v>6.3500546525478399</v>
      </c>
      <c r="DA633" s="408">
        <v>0</v>
      </c>
      <c r="DB633" s="408">
        <v>0</v>
      </c>
      <c r="DC633" s="408"/>
      <c r="DD633" s="408"/>
      <c r="DE633" s="408">
        <v>0</v>
      </c>
      <c r="DF633" s="408">
        <v>0</v>
      </c>
      <c r="DG633" s="408">
        <v>0</v>
      </c>
      <c r="DH633" s="408">
        <v>0</v>
      </c>
      <c r="DI633" s="408">
        <v>0</v>
      </c>
      <c r="DJ633" s="408"/>
      <c r="DK633" s="408">
        <v>0</v>
      </c>
      <c r="DL633" s="408">
        <v>0</v>
      </c>
      <c r="DM633" s="408"/>
      <c r="DN633" s="408">
        <v>0</v>
      </c>
      <c r="DO633" s="408">
        <v>0</v>
      </c>
      <c r="DP633" s="408">
        <v>0</v>
      </c>
      <c r="DQ633" s="408">
        <v>0</v>
      </c>
      <c r="DR633" s="408">
        <v>0</v>
      </c>
      <c r="DS633" s="408"/>
      <c r="DT633" s="408"/>
      <c r="DU633" s="408">
        <v>17502.378028520448</v>
      </c>
      <c r="DV633" s="408"/>
      <c r="DW633" s="408">
        <v>0</v>
      </c>
      <c r="DX633" s="408">
        <v>0</v>
      </c>
      <c r="DY633" s="408">
        <v>-12506</v>
      </c>
      <c r="DZ633" s="234"/>
      <c r="EA633" s="408">
        <v>0</v>
      </c>
      <c r="EB633" s="408"/>
      <c r="EC633" s="408">
        <v>-12859.168965865538</v>
      </c>
      <c r="ED633" s="408"/>
      <c r="EE633" s="408">
        <v>0</v>
      </c>
      <c r="EF633" s="408">
        <v>0</v>
      </c>
      <c r="EG633" s="408"/>
      <c r="EH633" s="408">
        <v>0</v>
      </c>
      <c r="EI633" s="408">
        <v>0</v>
      </c>
      <c r="EJ633" s="408">
        <v>0</v>
      </c>
      <c r="EK633" s="408">
        <v>0</v>
      </c>
      <c r="EL633" s="408">
        <v>0</v>
      </c>
      <c r="EM633" s="408"/>
      <c r="EN633" s="408"/>
      <c r="EO633" s="408">
        <v>0</v>
      </c>
      <c r="EP633" s="408">
        <v>0</v>
      </c>
      <c r="EQ633" s="408"/>
      <c r="ER633" s="408">
        <v>0</v>
      </c>
      <c r="ES633" s="408"/>
      <c r="ET633" s="408">
        <v>0</v>
      </c>
      <c r="EU633" s="408"/>
      <c r="EV633" s="408">
        <v>242</v>
      </c>
      <c r="EW633" s="408"/>
      <c r="EX633" s="408"/>
      <c r="EY633" s="408"/>
      <c r="EZ633" s="408"/>
      <c r="FA633" s="408">
        <v>0</v>
      </c>
      <c r="FB633" s="408"/>
      <c r="FC633" s="408"/>
      <c r="FD633" s="408"/>
      <c r="FE633" s="408"/>
      <c r="FF633" s="408">
        <v>0</v>
      </c>
      <c r="FG633" s="408">
        <v>0</v>
      </c>
      <c r="FH633" s="408">
        <v>0</v>
      </c>
      <c r="FI633" s="408">
        <v>0</v>
      </c>
    </row>
    <row r="634" spans="1:165">
      <c r="A634" s="408">
        <v>635</v>
      </c>
      <c r="B634" s="408" t="s">
        <v>1036</v>
      </c>
      <c r="C634" s="408" t="s">
        <v>993</v>
      </c>
      <c r="D634" s="408" t="s">
        <v>597</v>
      </c>
      <c r="E634" s="408" t="s">
        <v>1322</v>
      </c>
      <c r="F634" s="408" t="s">
        <v>1322</v>
      </c>
      <c r="G634" s="408" t="s">
        <v>1322</v>
      </c>
      <c r="H634" s="408" t="s">
        <v>2329</v>
      </c>
      <c r="I634" s="408" t="s">
        <v>1322</v>
      </c>
      <c r="J634" s="408" t="s">
        <v>2252</v>
      </c>
      <c r="K634" s="828">
        <v>44531</v>
      </c>
      <c r="L634" s="408">
        <v>953</v>
      </c>
      <c r="M634" s="408">
        <v>476.5</v>
      </c>
      <c r="N634" s="408">
        <v>0</v>
      </c>
      <c r="O634" s="408">
        <v>0</v>
      </c>
      <c r="P634" s="408">
        <v>0</v>
      </c>
      <c r="Q634" s="408">
        <v>0</v>
      </c>
      <c r="R634" s="408">
        <v>10.220000000000001</v>
      </c>
      <c r="S634" s="408"/>
      <c r="T634" s="408"/>
      <c r="U634" s="408">
        <v>9739.66</v>
      </c>
      <c r="V634" s="408"/>
      <c r="W634" s="408">
        <v>9739.66</v>
      </c>
      <c r="X634" s="408">
        <v>2582.63</v>
      </c>
      <c r="Y634" s="408">
        <v>0</v>
      </c>
      <c r="Z634" s="408">
        <v>0</v>
      </c>
      <c r="AA634" s="408">
        <v>0</v>
      </c>
      <c r="AB634" s="408">
        <v>0</v>
      </c>
      <c r="AC634" s="408">
        <v>0</v>
      </c>
      <c r="AD634" s="408">
        <v>0</v>
      </c>
      <c r="AE634" s="408">
        <v>9741.2483581600645</v>
      </c>
      <c r="AF634" s="408"/>
      <c r="AG634" s="408"/>
      <c r="AH634" s="408"/>
      <c r="AI634" s="408">
        <v>0</v>
      </c>
      <c r="AJ634" s="408">
        <v>0</v>
      </c>
      <c r="AK634" s="408">
        <v>0</v>
      </c>
      <c r="AL634" s="408">
        <v>0</v>
      </c>
      <c r="AM634" s="408"/>
      <c r="AN634" s="408">
        <v>0</v>
      </c>
      <c r="AO634" s="408">
        <v>0</v>
      </c>
      <c r="AP634" s="408">
        <v>0</v>
      </c>
      <c r="AQ634" s="408">
        <v>0</v>
      </c>
      <c r="AR634" s="408">
        <v>0</v>
      </c>
      <c r="AS634" s="408"/>
      <c r="AT634" s="408"/>
      <c r="AU634" s="408">
        <v>0</v>
      </c>
      <c r="AV634" s="408">
        <v>0</v>
      </c>
      <c r="AW634" s="408">
        <v>0</v>
      </c>
      <c r="AX634" s="408"/>
      <c r="AY634" s="408"/>
      <c r="AZ634" s="408">
        <v>0</v>
      </c>
      <c r="BA634" s="408"/>
      <c r="BB634" s="408">
        <v>0</v>
      </c>
      <c r="BC634" s="408">
        <v>0</v>
      </c>
      <c r="BD634" s="408">
        <v>0</v>
      </c>
      <c r="BE634" s="408">
        <v>0</v>
      </c>
      <c r="BF634" s="408"/>
      <c r="BG634" s="408">
        <v>0</v>
      </c>
      <c r="BH634" s="408">
        <v>0</v>
      </c>
      <c r="BI634" s="408">
        <v>33.130000000000003</v>
      </c>
      <c r="BJ634" s="408">
        <v>0</v>
      </c>
      <c r="BK634" s="408">
        <v>0</v>
      </c>
      <c r="BL634" s="408">
        <v>0</v>
      </c>
      <c r="BM634" s="408"/>
      <c r="BN634" s="408"/>
      <c r="BO634" s="408">
        <v>1291.3150000000001</v>
      </c>
      <c r="BP634" s="408"/>
      <c r="BQ634" s="408"/>
      <c r="BR634" s="408"/>
      <c r="BS634" s="408"/>
      <c r="BT634" s="408"/>
      <c r="BU634" s="408"/>
      <c r="BV634" s="408">
        <v>0</v>
      </c>
      <c r="BW634" s="408"/>
      <c r="BX634" s="408"/>
      <c r="BY634" s="408"/>
      <c r="BZ634" s="408"/>
      <c r="CA634" s="408"/>
      <c r="CB634" s="408"/>
      <c r="CC634" s="408"/>
      <c r="CD634" s="408"/>
      <c r="CE634" s="408"/>
      <c r="CF634" s="408"/>
      <c r="CG634" s="408"/>
      <c r="CH634" s="408"/>
      <c r="CI634" s="408">
        <v>1291.3150000000001</v>
      </c>
      <c r="CJ634" s="408">
        <v>-3578.5450000000005</v>
      </c>
      <c r="CK634" s="408"/>
      <c r="CL634" s="408"/>
      <c r="CM634" s="408"/>
      <c r="CN634" s="408"/>
      <c r="CO634" s="408">
        <v>-7157.0300000000007</v>
      </c>
      <c r="CP634" s="408">
        <v>0</v>
      </c>
      <c r="CQ634" s="408"/>
      <c r="CR634" s="408">
        <v>0</v>
      </c>
      <c r="CS634" s="408">
        <v>0</v>
      </c>
      <c r="CT634" s="408">
        <v>0</v>
      </c>
      <c r="CU634" s="408">
        <v>0</v>
      </c>
      <c r="CV634" s="408">
        <v>0</v>
      </c>
      <c r="CW634" s="408"/>
      <c r="CX634" s="408"/>
      <c r="CY634" s="408"/>
      <c r="CZ634" s="408">
        <v>0</v>
      </c>
      <c r="DA634" s="408">
        <v>0</v>
      </c>
      <c r="DB634" s="408">
        <v>0</v>
      </c>
      <c r="DC634" s="408"/>
      <c r="DD634" s="408"/>
      <c r="DE634" s="408">
        <v>0</v>
      </c>
      <c r="DF634" s="408">
        <v>0</v>
      </c>
      <c r="DG634" s="408">
        <v>0</v>
      </c>
      <c r="DH634" s="408">
        <v>0</v>
      </c>
      <c r="DI634" s="408">
        <v>0</v>
      </c>
      <c r="DJ634" s="408"/>
      <c r="DK634" s="408">
        <v>0</v>
      </c>
      <c r="DL634" s="408">
        <v>0</v>
      </c>
      <c r="DM634" s="408"/>
      <c r="DN634" s="408">
        <v>0</v>
      </c>
      <c r="DO634" s="408">
        <v>0</v>
      </c>
      <c r="DP634" s="408">
        <v>0</v>
      </c>
      <c r="DQ634" s="408">
        <v>0</v>
      </c>
      <c r="DR634" s="408">
        <v>0</v>
      </c>
      <c r="DS634" s="408"/>
      <c r="DT634" s="408"/>
      <c r="DU634" s="408">
        <v>9741.2483581600645</v>
      </c>
      <c r="DV634" s="408"/>
      <c r="DW634" s="408">
        <v>0</v>
      </c>
      <c r="DX634" s="408">
        <v>0</v>
      </c>
      <c r="DY634" s="408">
        <v>-7157.03</v>
      </c>
      <c r="DZ634" s="234"/>
      <c r="EA634" s="408">
        <v>0</v>
      </c>
      <c r="EB634" s="408"/>
      <c r="EC634" s="408">
        <v>-7156.9908027309175</v>
      </c>
      <c r="ED634" s="408"/>
      <c r="EE634" s="408">
        <v>0</v>
      </c>
      <c r="EF634" s="408">
        <v>0</v>
      </c>
      <c r="EG634" s="408"/>
      <c r="EH634" s="408">
        <v>0</v>
      </c>
      <c r="EI634" s="408">
        <v>0</v>
      </c>
      <c r="EJ634" s="408">
        <v>0</v>
      </c>
      <c r="EK634" s="408">
        <v>0</v>
      </c>
      <c r="EL634" s="408">
        <v>0</v>
      </c>
      <c r="EM634" s="408"/>
      <c r="EN634" s="408"/>
      <c r="EO634" s="408">
        <v>0</v>
      </c>
      <c r="EP634" s="408">
        <v>0</v>
      </c>
      <c r="EQ634" s="408"/>
      <c r="ER634" s="408">
        <v>0</v>
      </c>
      <c r="ES634" s="408"/>
      <c r="ET634" s="408">
        <v>0</v>
      </c>
      <c r="EU634" s="408"/>
      <c r="EV634" s="408">
        <v>242</v>
      </c>
      <c r="EW634" s="408"/>
      <c r="EX634" s="408"/>
      <c r="EY634" s="408"/>
      <c r="EZ634" s="408"/>
      <c r="FA634" s="408">
        <v>0</v>
      </c>
      <c r="FB634" s="408"/>
      <c r="FC634" s="408"/>
      <c r="FD634" s="408"/>
      <c r="FE634" s="408"/>
      <c r="FF634" s="408">
        <v>0</v>
      </c>
      <c r="FG634" s="408">
        <v>0</v>
      </c>
      <c r="FH634" s="408">
        <v>0</v>
      </c>
      <c r="FI634" s="408">
        <v>0</v>
      </c>
    </row>
    <row r="635" spans="1:165">
      <c r="A635" s="408">
        <v>636</v>
      </c>
      <c r="B635" s="408" t="s">
        <v>1036</v>
      </c>
      <c r="C635" s="408" t="s">
        <v>2239</v>
      </c>
      <c r="D635" s="408" t="s">
        <v>597</v>
      </c>
      <c r="E635" s="408" t="s">
        <v>970</v>
      </c>
      <c r="F635" s="408" t="s">
        <v>1322</v>
      </c>
      <c r="G635" s="408" t="s">
        <v>2327</v>
      </c>
      <c r="H635" s="408" t="s">
        <v>1322</v>
      </c>
      <c r="I635" s="408" t="s">
        <v>973</v>
      </c>
      <c r="J635" s="408" t="s">
        <v>2328</v>
      </c>
      <c r="K635" s="828">
        <v>44562</v>
      </c>
      <c r="L635" s="408">
        <v>0</v>
      </c>
      <c r="M635" s="408">
        <v>0</v>
      </c>
      <c r="N635" s="408">
        <v>17.593</v>
      </c>
      <c r="O635" s="408">
        <v>8.7965</v>
      </c>
      <c r="P635" s="408">
        <v>0</v>
      </c>
      <c r="Q635" s="408">
        <v>0</v>
      </c>
      <c r="R635" s="408"/>
      <c r="S635" s="408">
        <v>2592.54</v>
      </c>
      <c r="T635" s="408"/>
      <c r="U635" s="408"/>
      <c r="V635" s="408">
        <v>45610.556219999999</v>
      </c>
      <c r="W635" s="408">
        <v>45610.556219999999</v>
      </c>
      <c r="X635" s="408">
        <v>16393.333329999998</v>
      </c>
      <c r="Y635" s="408">
        <v>0</v>
      </c>
      <c r="Z635" s="408">
        <v>927.70064952053178</v>
      </c>
      <c r="AA635" s="408">
        <v>0</v>
      </c>
      <c r="AB635" s="408">
        <v>0</v>
      </c>
      <c r="AC635" s="408">
        <v>0</v>
      </c>
      <c r="AD635" s="408">
        <v>88.961383197924633</v>
      </c>
      <c r="AE635" s="408">
        <v>40303.654237152507</v>
      </c>
      <c r="AF635" s="408"/>
      <c r="AG635" s="408"/>
      <c r="AH635" s="408"/>
      <c r="AI635" s="408">
        <v>0</v>
      </c>
      <c r="AJ635" s="408">
        <v>0</v>
      </c>
      <c r="AK635" s="408">
        <v>0</v>
      </c>
      <c r="AL635" s="408">
        <v>164.91033695521796</v>
      </c>
      <c r="AM635" s="408"/>
      <c r="AN635" s="408">
        <v>24.15909810305001</v>
      </c>
      <c r="AO635" s="408">
        <v>793.705935017868</v>
      </c>
      <c r="AP635" s="408">
        <v>3011.9347723077713</v>
      </c>
      <c r="AQ635" s="408">
        <v>0</v>
      </c>
      <c r="AR635" s="408">
        <v>0</v>
      </c>
      <c r="AS635" s="408"/>
      <c r="AT635" s="408"/>
      <c r="AU635" s="408">
        <v>0</v>
      </c>
      <c r="AV635" s="408">
        <v>0</v>
      </c>
      <c r="AW635" s="408">
        <v>0</v>
      </c>
      <c r="AX635" s="408"/>
      <c r="AY635" s="408"/>
      <c r="AZ635" s="408">
        <v>0</v>
      </c>
      <c r="BA635" s="408"/>
      <c r="BB635" s="408">
        <v>0</v>
      </c>
      <c r="BC635" s="408">
        <v>0</v>
      </c>
      <c r="BD635" s="408">
        <v>8.045256001918041</v>
      </c>
      <c r="BE635" s="408">
        <v>0</v>
      </c>
      <c r="BF635" s="408"/>
      <c r="BG635" s="408">
        <v>287.40200705837862</v>
      </c>
      <c r="BH635" s="408">
        <v>0</v>
      </c>
      <c r="BI635" s="408">
        <v>0</v>
      </c>
      <c r="BJ635" s="408">
        <v>0</v>
      </c>
      <c r="BK635" s="408">
        <v>0</v>
      </c>
      <c r="BL635" s="408">
        <v>0</v>
      </c>
      <c r="BM635" s="408"/>
      <c r="BN635" s="408">
        <v>8196.6666649999988</v>
      </c>
      <c r="BO635" s="408"/>
      <c r="BP635" s="408"/>
      <c r="BQ635" s="408"/>
      <c r="BR635" s="408"/>
      <c r="BS635" s="408"/>
      <c r="BT635" s="408"/>
      <c r="BU635" s="408"/>
      <c r="BV635" s="408">
        <v>295.44726306029668</v>
      </c>
      <c r="BW635" s="408"/>
      <c r="BX635" s="408"/>
      <c r="BY635" s="408"/>
      <c r="BZ635" s="408"/>
      <c r="CA635" s="408"/>
      <c r="CB635" s="408"/>
      <c r="CC635" s="408"/>
      <c r="CD635" s="408"/>
      <c r="CE635" s="408"/>
      <c r="CF635" s="408"/>
      <c r="CG635" s="408"/>
      <c r="CH635" s="408"/>
      <c r="CI635" s="408">
        <v>8199.9279999999999</v>
      </c>
      <c r="CJ635" s="408">
        <v>-14605.380109999995</v>
      </c>
      <c r="CK635" s="408"/>
      <c r="CL635" s="408"/>
      <c r="CM635" s="408"/>
      <c r="CN635" s="408"/>
      <c r="CO635" s="408">
        <v>-29217.222890000001</v>
      </c>
      <c r="CP635" s="408">
        <v>0</v>
      </c>
      <c r="CQ635" s="408">
        <v>31</v>
      </c>
      <c r="CR635" s="408">
        <v>394.33854758416328</v>
      </c>
      <c r="CS635" s="408">
        <v>81.871976944217977</v>
      </c>
      <c r="CT635" s="408">
        <v>310.68566248066099</v>
      </c>
      <c r="CU635" s="408">
        <v>0</v>
      </c>
      <c r="CV635" s="408">
        <v>0</v>
      </c>
      <c r="CW635" s="408"/>
      <c r="CX635" s="408"/>
      <c r="CY635" s="408"/>
      <c r="CZ635" s="408">
        <v>8.6982045290110221</v>
      </c>
      <c r="DA635" s="408">
        <v>0</v>
      </c>
      <c r="DB635" s="408">
        <v>0</v>
      </c>
      <c r="DC635" s="408"/>
      <c r="DD635" s="408"/>
      <c r="DE635" s="408">
        <v>0</v>
      </c>
      <c r="DF635" s="408">
        <v>1.2291600962511229</v>
      </c>
      <c r="DG635" s="408">
        <v>43.909488843415943</v>
      </c>
      <c r="DH635" s="408">
        <v>0</v>
      </c>
      <c r="DI635" s="408">
        <v>-44.322935398157028</v>
      </c>
      <c r="DJ635" s="408"/>
      <c r="DK635" s="408">
        <v>0</v>
      </c>
      <c r="DL635" s="408">
        <v>0</v>
      </c>
      <c r="DM635" s="408"/>
      <c r="DN635" s="408">
        <v>0</v>
      </c>
      <c r="DO635" s="408">
        <v>-6.6822673031033446</v>
      </c>
      <c r="DP635" s="408">
        <v>-1.0507426081335538</v>
      </c>
      <c r="DQ635" s="408">
        <v>0</v>
      </c>
      <c r="DR635" s="408">
        <v>0</v>
      </c>
      <c r="DS635" s="408"/>
      <c r="DT635" s="408"/>
      <c r="DU635" s="408"/>
      <c r="DV635" s="408">
        <v>40303.654237152507</v>
      </c>
      <c r="DW635" s="408">
        <v>0</v>
      </c>
      <c r="DX635" s="408">
        <v>0</v>
      </c>
      <c r="DY635" s="408">
        <v>-29217.222890000001</v>
      </c>
      <c r="DZ635" s="234"/>
      <c r="EA635" s="408">
        <v>0</v>
      </c>
      <c r="EB635" s="408"/>
      <c r="EC635" s="408">
        <v>-29611.490446203043</v>
      </c>
      <c r="ED635" s="408"/>
      <c r="EE635" s="408">
        <v>0</v>
      </c>
      <c r="EF635" s="408">
        <v>0</v>
      </c>
      <c r="EG635" s="408"/>
      <c r="EH635" s="408">
        <v>0</v>
      </c>
      <c r="EI635" s="408">
        <v>0</v>
      </c>
      <c r="EJ635" s="408">
        <v>0</v>
      </c>
      <c r="EK635" s="408">
        <v>0</v>
      </c>
      <c r="EL635" s="408">
        <v>0</v>
      </c>
      <c r="EM635" s="408"/>
      <c r="EN635" s="408"/>
      <c r="EO635" s="408">
        <v>0</v>
      </c>
      <c r="EP635" s="408">
        <v>0</v>
      </c>
      <c r="EQ635" s="408"/>
      <c r="ER635" s="408">
        <v>0</v>
      </c>
      <c r="ES635" s="408"/>
      <c r="ET635" s="408">
        <v>0</v>
      </c>
      <c r="EU635" s="408"/>
      <c r="EV635" s="408">
        <v>242</v>
      </c>
      <c r="EW635" s="408"/>
      <c r="EX635" s="408"/>
      <c r="EY635" s="408"/>
      <c r="EZ635" s="408"/>
      <c r="FA635" s="408">
        <v>0</v>
      </c>
      <c r="FB635" s="408"/>
      <c r="FC635" s="408"/>
      <c r="FD635" s="408"/>
      <c r="FE635" s="408"/>
      <c r="FF635" s="408">
        <v>0</v>
      </c>
      <c r="FG635" s="408">
        <v>0</v>
      </c>
      <c r="FH635" s="408">
        <v>0</v>
      </c>
      <c r="FI635" s="408">
        <v>0</v>
      </c>
    </row>
    <row r="636" spans="1:165">
      <c r="A636" s="408">
        <v>637</v>
      </c>
      <c r="B636" s="408" t="s">
        <v>1036</v>
      </c>
      <c r="C636" s="408" t="s">
        <v>2239</v>
      </c>
      <c r="D636" s="408" t="s">
        <v>597</v>
      </c>
      <c r="E636" s="408" t="s">
        <v>970</v>
      </c>
      <c r="F636" s="408" t="s">
        <v>1322</v>
      </c>
      <c r="G636" s="408" t="s">
        <v>2327</v>
      </c>
      <c r="H636" s="408" t="s">
        <v>1322</v>
      </c>
      <c r="I636" s="408" t="s">
        <v>2240</v>
      </c>
      <c r="J636" s="408" t="s">
        <v>2328</v>
      </c>
      <c r="K636" s="828">
        <v>44562</v>
      </c>
      <c r="L636" s="408">
        <v>0</v>
      </c>
      <c r="M636" s="408">
        <v>0</v>
      </c>
      <c r="N636" s="408">
        <v>196.48699999999999</v>
      </c>
      <c r="O636" s="408">
        <v>98.243499999999997</v>
      </c>
      <c r="P636" s="408">
        <v>0</v>
      </c>
      <c r="Q636" s="408">
        <v>0</v>
      </c>
      <c r="R636" s="408"/>
      <c r="S636" s="408">
        <v>80.27</v>
      </c>
      <c r="T636" s="408"/>
      <c r="U636" s="408"/>
      <c r="V636" s="408">
        <v>15772.011489999999</v>
      </c>
      <c r="W636" s="408">
        <v>15772.011489999999</v>
      </c>
      <c r="X636" s="408">
        <v>15695.381559999998</v>
      </c>
      <c r="Y636" s="408">
        <v>0</v>
      </c>
      <c r="Z636" s="408">
        <v>10361.002530684973</v>
      </c>
      <c r="AA636" s="408">
        <v>0</v>
      </c>
      <c r="AB636" s="408">
        <v>0</v>
      </c>
      <c r="AC636" s="408">
        <v>0</v>
      </c>
      <c r="AD636" s="408">
        <v>0</v>
      </c>
      <c r="AE636" s="408">
        <v>0</v>
      </c>
      <c r="AF636" s="408"/>
      <c r="AG636" s="408"/>
      <c r="AH636" s="408"/>
      <c r="AI636" s="408">
        <v>0</v>
      </c>
      <c r="AJ636" s="408">
        <v>0</v>
      </c>
      <c r="AK636" s="408">
        <v>0</v>
      </c>
      <c r="AL636" s="408">
        <v>1841.7971566713982</v>
      </c>
      <c r="AM636" s="408"/>
      <c r="AN636" s="408">
        <v>269.82030972398042</v>
      </c>
      <c r="AO636" s="408">
        <v>0</v>
      </c>
      <c r="AP636" s="408">
        <v>0</v>
      </c>
      <c r="AQ636" s="408">
        <v>0</v>
      </c>
      <c r="AR636" s="408">
        <v>0</v>
      </c>
      <c r="AS636" s="408"/>
      <c r="AT636" s="408"/>
      <c r="AU636" s="408">
        <v>0</v>
      </c>
      <c r="AV636" s="408">
        <v>0</v>
      </c>
      <c r="AW636" s="408">
        <v>0</v>
      </c>
      <c r="AX636" s="408"/>
      <c r="AY636" s="408"/>
      <c r="AZ636" s="408">
        <v>0</v>
      </c>
      <c r="BA636" s="408"/>
      <c r="BB636" s="408">
        <v>0</v>
      </c>
      <c r="BC636" s="408">
        <v>0</v>
      </c>
      <c r="BD636" s="408">
        <v>89.853249363318938</v>
      </c>
      <c r="BE636" s="408">
        <v>0</v>
      </c>
      <c r="BF636" s="408"/>
      <c r="BG636" s="408">
        <v>3209.8424464775558</v>
      </c>
      <c r="BH636" s="408">
        <v>0</v>
      </c>
      <c r="BI636" s="408">
        <v>0</v>
      </c>
      <c r="BJ636" s="408">
        <v>0</v>
      </c>
      <c r="BK636" s="408">
        <v>0</v>
      </c>
      <c r="BL636" s="408">
        <v>0</v>
      </c>
      <c r="BM636" s="408"/>
      <c r="BN636" s="408">
        <v>7847.690779999999</v>
      </c>
      <c r="BO636" s="408"/>
      <c r="BP636" s="408"/>
      <c r="BQ636" s="408"/>
      <c r="BR636" s="408"/>
      <c r="BS636" s="408"/>
      <c r="BT636" s="408"/>
      <c r="BU636" s="408"/>
      <c r="BV636" s="408">
        <v>3299.6956958408746</v>
      </c>
      <c r="BW636" s="408"/>
      <c r="BX636" s="408"/>
      <c r="BY636" s="408"/>
      <c r="BZ636" s="408"/>
      <c r="CA636" s="408"/>
      <c r="CB636" s="408"/>
      <c r="CC636" s="408"/>
      <c r="CD636" s="408"/>
      <c r="CE636" s="408"/>
      <c r="CF636" s="408"/>
      <c r="CG636" s="408"/>
      <c r="CH636" s="408"/>
      <c r="CI636" s="408">
        <v>7847.4111999999996</v>
      </c>
      <c r="CJ636" s="408">
        <v>-38.62454500000058</v>
      </c>
      <c r="CK636" s="408"/>
      <c r="CL636" s="408"/>
      <c r="CM636" s="408"/>
      <c r="CN636" s="408"/>
      <c r="CO636" s="408">
        <v>-76.629930000000115</v>
      </c>
      <c r="CP636" s="408">
        <v>0</v>
      </c>
      <c r="CQ636" s="408">
        <v>31</v>
      </c>
      <c r="CR636" s="408">
        <v>-77.255659171176376</v>
      </c>
      <c r="CS636" s="408">
        <v>0</v>
      </c>
      <c r="CT636" s="408">
        <v>0</v>
      </c>
      <c r="CU636" s="408">
        <v>0</v>
      </c>
      <c r="CV636" s="408">
        <v>0</v>
      </c>
      <c r="CW636" s="408"/>
      <c r="CX636" s="408"/>
      <c r="CY636" s="408"/>
      <c r="CZ636" s="408">
        <v>0</v>
      </c>
      <c r="DA636" s="408">
        <v>0</v>
      </c>
      <c r="DB636" s="408">
        <v>0</v>
      </c>
      <c r="DC636" s="408"/>
      <c r="DD636" s="408"/>
      <c r="DE636" s="408">
        <v>0</v>
      </c>
      <c r="DF636" s="408">
        <v>13.727845156147026</v>
      </c>
      <c r="DG636" s="408">
        <v>490.40207664277068</v>
      </c>
      <c r="DH636" s="408">
        <v>0</v>
      </c>
      <c r="DI636" s="408">
        <v>-495.01964460738236</v>
      </c>
      <c r="DJ636" s="408"/>
      <c r="DK636" s="408">
        <v>0</v>
      </c>
      <c r="DL636" s="408">
        <v>0</v>
      </c>
      <c r="DM636" s="408"/>
      <c r="DN636" s="408">
        <v>0</v>
      </c>
      <c r="DO636" s="408">
        <v>-74.630742658151803</v>
      </c>
      <c r="DP636" s="408">
        <v>-11.735193704560743</v>
      </c>
      <c r="DQ636" s="408">
        <v>0</v>
      </c>
      <c r="DR636" s="408">
        <v>0</v>
      </c>
      <c r="DS636" s="408"/>
      <c r="DT636" s="408"/>
      <c r="DU636" s="408"/>
      <c r="DV636" s="408">
        <v>0</v>
      </c>
      <c r="DW636" s="408">
        <v>0</v>
      </c>
      <c r="DX636" s="408">
        <v>0</v>
      </c>
      <c r="DY636" s="408">
        <v>-76.629930000000968</v>
      </c>
      <c r="DZ636" s="234"/>
      <c r="EA636" s="408">
        <v>0</v>
      </c>
      <c r="EB636" s="408"/>
      <c r="EC636" s="408">
        <v>0</v>
      </c>
      <c r="ED636" s="408"/>
      <c r="EE636" s="408">
        <v>0</v>
      </c>
      <c r="EF636" s="408">
        <v>0</v>
      </c>
      <c r="EG636" s="408"/>
      <c r="EH636" s="408">
        <v>0</v>
      </c>
      <c r="EI636" s="408">
        <v>0</v>
      </c>
      <c r="EJ636" s="408">
        <v>0</v>
      </c>
      <c r="EK636" s="408">
        <v>0</v>
      </c>
      <c r="EL636" s="408">
        <v>0</v>
      </c>
      <c r="EM636" s="408"/>
      <c r="EN636" s="408"/>
      <c r="EO636" s="408">
        <v>0</v>
      </c>
      <c r="EP636" s="408">
        <v>0</v>
      </c>
      <c r="EQ636" s="408"/>
      <c r="ER636" s="408">
        <v>0</v>
      </c>
      <c r="ES636" s="408"/>
      <c r="ET636" s="408">
        <v>0</v>
      </c>
      <c r="EU636" s="408"/>
      <c r="EV636" s="408">
        <v>242</v>
      </c>
      <c r="EW636" s="408"/>
      <c r="EX636" s="408"/>
      <c r="EY636" s="408"/>
      <c r="EZ636" s="408"/>
      <c r="FA636" s="408">
        <v>0</v>
      </c>
      <c r="FB636" s="408"/>
      <c r="FC636" s="408"/>
      <c r="FD636" s="408"/>
      <c r="FE636" s="408"/>
      <c r="FF636" s="408">
        <v>0</v>
      </c>
      <c r="FG636" s="408">
        <v>0</v>
      </c>
      <c r="FH636" s="408">
        <v>0</v>
      </c>
      <c r="FI636" s="408">
        <v>0</v>
      </c>
    </row>
    <row r="637" spans="1:165">
      <c r="A637" s="408">
        <v>638</v>
      </c>
      <c r="B637" s="408" t="s">
        <v>1036</v>
      </c>
      <c r="C637" s="408" t="s">
        <v>2239</v>
      </c>
      <c r="D637" s="408" t="s">
        <v>597</v>
      </c>
      <c r="E637" s="408" t="s">
        <v>970</v>
      </c>
      <c r="F637" s="408" t="s">
        <v>1322</v>
      </c>
      <c r="G637" s="408" t="s">
        <v>2327</v>
      </c>
      <c r="H637" s="408" t="s">
        <v>1322</v>
      </c>
      <c r="I637" s="408" t="s">
        <v>1322</v>
      </c>
      <c r="J637" s="408" t="s">
        <v>2328</v>
      </c>
      <c r="K637" s="828">
        <v>44562</v>
      </c>
      <c r="L637" s="408">
        <v>674</v>
      </c>
      <c r="M637" s="408">
        <v>337</v>
      </c>
      <c r="N637" s="408">
        <v>0</v>
      </c>
      <c r="O637" s="408">
        <v>0</v>
      </c>
      <c r="P637" s="408">
        <v>0</v>
      </c>
      <c r="Q637" s="408">
        <v>0</v>
      </c>
      <c r="R637" s="408">
        <v>32.17</v>
      </c>
      <c r="S637" s="408"/>
      <c r="T637" s="408"/>
      <c r="U637" s="408">
        <v>21682.58</v>
      </c>
      <c r="V637" s="408"/>
      <c r="W637" s="408">
        <v>21682.58</v>
      </c>
      <c r="X637" s="408">
        <v>8714.82</v>
      </c>
      <c r="Y637" s="408">
        <v>0</v>
      </c>
      <c r="Z637" s="408">
        <v>0</v>
      </c>
      <c r="AA637" s="408">
        <v>0</v>
      </c>
      <c r="AB637" s="408">
        <v>0</v>
      </c>
      <c r="AC637" s="408">
        <v>0</v>
      </c>
      <c r="AD637" s="408">
        <v>67.343535738479616</v>
      </c>
      <c r="AE637" s="408">
        <v>18148.619678804283</v>
      </c>
      <c r="AF637" s="408"/>
      <c r="AG637" s="408"/>
      <c r="AH637" s="408"/>
      <c r="AI637" s="408">
        <v>0</v>
      </c>
      <c r="AJ637" s="408">
        <v>0</v>
      </c>
      <c r="AK637" s="408">
        <v>0</v>
      </c>
      <c r="AL637" s="408">
        <v>0</v>
      </c>
      <c r="AM637" s="408"/>
      <c r="AN637" s="408">
        <v>0</v>
      </c>
      <c r="AO637" s="408">
        <v>1189.219825722854</v>
      </c>
      <c r="AP637" s="408">
        <v>2280.0511215103884</v>
      </c>
      <c r="AQ637" s="408">
        <v>0</v>
      </c>
      <c r="AR637" s="408">
        <v>0</v>
      </c>
      <c r="AS637" s="408"/>
      <c r="AT637" s="408"/>
      <c r="AU637" s="408">
        <v>0</v>
      </c>
      <c r="AV637" s="408">
        <v>0</v>
      </c>
      <c r="AW637" s="408">
        <v>0</v>
      </c>
      <c r="AX637" s="408"/>
      <c r="AY637" s="408"/>
      <c r="AZ637" s="408">
        <v>0</v>
      </c>
      <c r="BA637" s="408"/>
      <c r="BB637" s="408">
        <v>0</v>
      </c>
      <c r="BC637" s="408">
        <v>0</v>
      </c>
      <c r="BD637" s="408">
        <v>0</v>
      </c>
      <c r="BE637" s="408">
        <v>0</v>
      </c>
      <c r="BF637" s="408"/>
      <c r="BG637" s="408">
        <v>0</v>
      </c>
      <c r="BH637" s="408">
        <v>0</v>
      </c>
      <c r="BI637" s="408">
        <v>830.38</v>
      </c>
      <c r="BJ637" s="408">
        <v>0</v>
      </c>
      <c r="BK637" s="408">
        <v>8527.42</v>
      </c>
      <c r="BL637" s="408">
        <v>1</v>
      </c>
      <c r="BM637" s="408"/>
      <c r="BN637" s="408">
        <v>4357.41</v>
      </c>
      <c r="BO637" s="408"/>
      <c r="BP637" s="408"/>
      <c r="BQ637" s="408"/>
      <c r="BR637" s="408"/>
      <c r="BS637" s="408"/>
      <c r="BT637" s="408"/>
      <c r="BU637" s="408"/>
      <c r="BV637" s="408">
        <v>0</v>
      </c>
      <c r="BW637" s="408"/>
      <c r="BX637" s="408"/>
      <c r="BY637" s="408"/>
      <c r="BZ637" s="408"/>
      <c r="CA637" s="408"/>
      <c r="CB637" s="408"/>
      <c r="CC637" s="408"/>
      <c r="CD637" s="408"/>
      <c r="CE637" s="408"/>
      <c r="CF637" s="408"/>
      <c r="CG637" s="408"/>
      <c r="CH637" s="408"/>
      <c r="CI637" s="408">
        <v>4357.41</v>
      </c>
      <c r="CJ637" s="408">
        <v>-6483.9100000000017</v>
      </c>
      <c r="CK637" s="408"/>
      <c r="CL637" s="408"/>
      <c r="CM637" s="408"/>
      <c r="CN637" s="408"/>
      <c r="CO637" s="408">
        <v>-12967.760000000002</v>
      </c>
      <c r="CP637" s="408">
        <v>0</v>
      </c>
      <c r="CQ637" s="408">
        <v>31</v>
      </c>
      <c r="CR637" s="408">
        <v>364.44510419377457</v>
      </c>
      <c r="CS637" s="408">
        <v>122.66983760301582</v>
      </c>
      <c r="CT637" s="408">
        <v>235.1907483818095</v>
      </c>
      <c r="CU637" s="408">
        <v>0</v>
      </c>
      <c r="CV637" s="408">
        <v>0</v>
      </c>
      <c r="CW637" s="408"/>
      <c r="CX637" s="408"/>
      <c r="CY637" s="408"/>
      <c r="CZ637" s="408">
        <v>6.5845182089496035</v>
      </c>
      <c r="DA637" s="408">
        <v>0</v>
      </c>
      <c r="DB637" s="408">
        <v>0</v>
      </c>
      <c r="DC637" s="408"/>
      <c r="DD637" s="408"/>
      <c r="DE637" s="408">
        <v>0</v>
      </c>
      <c r="DF637" s="408">
        <v>0</v>
      </c>
      <c r="DG637" s="408">
        <v>0</v>
      </c>
      <c r="DH637" s="408">
        <v>0</v>
      </c>
      <c r="DI637" s="408">
        <v>0</v>
      </c>
      <c r="DJ637" s="408"/>
      <c r="DK637" s="408">
        <v>0</v>
      </c>
      <c r="DL637" s="408">
        <v>0</v>
      </c>
      <c r="DM637" s="408"/>
      <c r="DN637" s="408">
        <v>0</v>
      </c>
      <c r="DO637" s="408">
        <v>0</v>
      </c>
      <c r="DP637" s="408">
        <v>0</v>
      </c>
      <c r="DQ637" s="408">
        <v>0</v>
      </c>
      <c r="DR637" s="408">
        <v>0</v>
      </c>
      <c r="DS637" s="408"/>
      <c r="DT637" s="408"/>
      <c r="DU637" s="408">
        <v>18148.619678804283</v>
      </c>
      <c r="DV637" s="408"/>
      <c r="DW637" s="408">
        <v>0</v>
      </c>
      <c r="DX637" s="408">
        <v>0</v>
      </c>
      <c r="DY637" s="408">
        <v>-12967.760000000002</v>
      </c>
      <c r="DZ637" s="234"/>
      <c r="EA637" s="408">
        <v>0</v>
      </c>
      <c r="EB637" s="408"/>
      <c r="EC637" s="408">
        <v>-13333.969050759039</v>
      </c>
      <c r="ED637" s="408"/>
      <c r="EE637" s="408">
        <v>0</v>
      </c>
      <c r="EF637" s="408">
        <v>0</v>
      </c>
      <c r="EG637" s="408"/>
      <c r="EH637" s="408">
        <v>0</v>
      </c>
      <c r="EI637" s="408">
        <v>0</v>
      </c>
      <c r="EJ637" s="408">
        <v>0</v>
      </c>
      <c r="EK637" s="408">
        <v>0</v>
      </c>
      <c r="EL637" s="408">
        <v>0</v>
      </c>
      <c r="EM637" s="408"/>
      <c r="EN637" s="408"/>
      <c r="EO637" s="408">
        <v>0</v>
      </c>
      <c r="EP637" s="408">
        <v>0</v>
      </c>
      <c r="EQ637" s="408"/>
      <c r="ER637" s="408">
        <v>0</v>
      </c>
      <c r="ES637" s="408"/>
      <c r="ET637" s="408">
        <v>0</v>
      </c>
      <c r="EU637" s="408"/>
      <c r="EV637" s="408">
        <v>242</v>
      </c>
      <c r="EW637" s="408"/>
      <c r="EX637" s="408"/>
      <c r="EY637" s="408"/>
      <c r="EZ637" s="408"/>
      <c r="FA637" s="408">
        <v>0</v>
      </c>
      <c r="FB637" s="408"/>
      <c r="FC637" s="408"/>
      <c r="FD637" s="408"/>
      <c r="FE637" s="408"/>
      <c r="FF637" s="408">
        <v>0</v>
      </c>
      <c r="FG637" s="408">
        <v>0</v>
      </c>
      <c r="FH637" s="408">
        <v>0</v>
      </c>
      <c r="FI637" s="408">
        <v>0</v>
      </c>
    </row>
    <row r="638" spans="1:165">
      <c r="A638" s="408">
        <v>639</v>
      </c>
      <c r="B638" s="408" t="s">
        <v>1036</v>
      </c>
      <c r="C638" s="408" t="s">
        <v>993</v>
      </c>
      <c r="D638" s="408" t="s">
        <v>597</v>
      </c>
      <c r="E638" s="408" t="s">
        <v>1322</v>
      </c>
      <c r="F638" s="408" t="s">
        <v>1322</v>
      </c>
      <c r="G638" s="408" t="s">
        <v>1322</v>
      </c>
      <c r="H638" s="408" t="s">
        <v>2329</v>
      </c>
      <c r="I638" s="408" t="s">
        <v>1322</v>
      </c>
      <c r="J638" s="408" t="s">
        <v>2252</v>
      </c>
      <c r="K638" s="828">
        <v>44562</v>
      </c>
      <c r="L638" s="408">
        <v>953</v>
      </c>
      <c r="M638" s="408">
        <v>476.5</v>
      </c>
      <c r="N638" s="408">
        <v>0</v>
      </c>
      <c r="O638" s="408">
        <v>0</v>
      </c>
      <c r="P638" s="408">
        <v>0</v>
      </c>
      <c r="Q638" s="408">
        <v>0</v>
      </c>
      <c r="R638" s="408">
        <v>10.220000000000001</v>
      </c>
      <c r="S638" s="408"/>
      <c r="T638" s="408"/>
      <c r="U638" s="408">
        <v>9739.66</v>
      </c>
      <c r="V638" s="408"/>
      <c r="W638" s="408">
        <v>9739.66</v>
      </c>
      <c r="X638" s="408">
        <v>2582.63</v>
      </c>
      <c r="Y638" s="408">
        <v>0</v>
      </c>
      <c r="Z638" s="408">
        <v>0</v>
      </c>
      <c r="AA638" s="408">
        <v>0</v>
      </c>
      <c r="AB638" s="408">
        <v>0</v>
      </c>
      <c r="AC638" s="408">
        <v>0</v>
      </c>
      <c r="AD638" s="408">
        <v>0</v>
      </c>
      <c r="AE638" s="408">
        <v>9741.2483581600645</v>
      </c>
      <c r="AF638" s="408"/>
      <c r="AG638" s="408"/>
      <c r="AH638" s="408"/>
      <c r="AI638" s="408">
        <v>0</v>
      </c>
      <c r="AJ638" s="408">
        <v>0</v>
      </c>
      <c r="AK638" s="408">
        <v>0</v>
      </c>
      <c r="AL638" s="408">
        <v>0</v>
      </c>
      <c r="AM638" s="408"/>
      <c r="AN638" s="408">
        <v>0</v>
      </c>
      <c r="AO638" s="408">
        <v>0</v>
      </c>
      <c r="AP638" s="408">
        <v>0</v>
      </c>
      <c r="AQ638" s="408">
        <v>0</v>
      </c>
      <c r="AR638" s="408">
        <v>0</v>
      </c>
      <c r="AS638" s="408"/>
      <c r="AT638" s="408"/>
      <c r="AU638" s="408">
        <v>0</v>
      </c>
      <c r="AV638" s="408">
        <v>0</v>
      </c>
      <c r="AW638" s="408">
        <v>0</v>
      </c>
      <c r="AX638" s="408"/>
      <c r="AY638" s="408"/>
      <c r="AZ638" s="408">
        <v>0</v>
      </c>
      <c r="BA638" s="408"/>
      <c r="BB638" s="408">
        <v>0</v>
      </c>
      <c r="BC638" s="408">
        <v>0</v>
      </c>
      <c r="BD638" s="408">
        <v>0</v>
      </c>
      <c r="BE638" s="408">
        <v>0</v>
      </c>
      <c r="BF638" s="408"/>
      <c r="BG638" s="408">
        <v>0</v>
      </c>
      <c r="BH638" s="408">
        <v>0</v>
      </c>
      <c r="BI638" s="408">
        <v>26.28</v>
      </c>
      <c r="BJ638" s="408">
        <v>0</v>
      </c>
      <c r="BK638" s="408">
        <v>0</v>
      </c>
      <c r="BL638" s="408">
        <v>0</v>
      </c>
      <c r="BM638" s="408"/>
      <c r="BN638" s="408"/>
      <c r="BO638" s="408">
        <v>1291.3150000000001</v>
      </c>
      <c r="BP638" s="408"/>
      <c r="BQ638" s="408"/>
      <c r="BR638" s="408"/>
      <c r="BS638" s="408"/>
      <c r="BT638" s="408"/>
      <c r="BU638" s="408"/>
      <c r="BV638" s="408">
        <v>0</v>
      </c>
      <c r="BW638" s="408"/>
      <c r="BX638" s="408"/>
      <c r="BY638" s="408"/>
      <c r="BZ638" s="408"/>
      <c r="CA638" s="408"/>
      <c r="CB638" s="408"/>
      <c r="CC638" s="408"/>
      <c r="CD638" s="408"/>
      <c r="CE638" s="408"/>
      <c r="CF638" s="408"/>
      <c r="CG638" s="408"/>
      <c r="CH638" s="408"/>
      <c r="CI638" s="408">
        <v>1291.3150000000001</v>
      </c>
      <c r="CJ638" s="408">
        <v>-3578.5450000000005</v>
      </c>
      <c r="CK638" s="408"/>
      <c r="CL638" s="408"/>
      <c r="CM638" s="408"/>
      <c r="CN638" s="408"/>
      <c r="CO638" s="408">
        <v>-7157.0300000000007</v>
      </c>
      <c r="CP638" s="408">
        <v>0</v>
      </c>
      <c r="CQ638" s="408">
        <v>31</v>
      </c>
      <c r="CR638" s="408">
        <v>0</v>
      </c>
      <c r="CS638" s="408">
        <v>0</v>
      </c>
      <c r="CT638" s="408">
        <v>0</v>
      </c>
      <c r="CU638" s="408">
        <v>0</v>
      </c>
      <c r="CV638" s="408">
        <v>0</v>
      </c>
      <c r="CW638" s="408"/>
      <c r="CX638" s="408"/>
      <c r="CY638" s="408"/>
      <c r="CZ638" s="408">
        <v>0</v>
      </c>
      <c r="DA638" s="408">
        <v>0</v>
      </c>
      <c r="DB638" s="408">
        <v>0</v>
      </c>
      <c r="DC638" s="408"/>
      <c r="DD638" s="408"/>
      <c r="DE638" s="408">
        <v>0</v>
      </c>
      <c r="DF638" s="408">
        <v>0</v>
      </c>
      <c r="DG638" s="408">
        <v>0</v>
      </c>
      <c r="DH638" s="408">
        <v>0</v>
      </c>
      <c r="DI638" s="408">
        <v>0</v>
      </c>
      <c r="DJ638" s="408"/>
      <c r="DK638" s="408">
        <v>0</v>
      </c>
      <c r="DL638" s="408">
        <v>0</v>
      </c>
      <c r="DM638" s="408"/>
      <c r="DN638" s="408">
        <v>0</v>
      </c>
      <c r="DO638" s="408">
        <v>0</v>
      </c>
      <c r="DP638" s="408">
        <v>0</v>
      </c>
      <c r="DQ638" s="408">
        <v>0</v>
      </c>
      <c r="DR638" s="408">
        <v>0</v>
      </c>
      <c r="DS638" s="408"/>
      <c r="DT638" s="408"/>
      <c r="DU638" s="408">
        <v>9741.2483581600645</v>
      </c>
      <c r="DV638" s="408"/>
      <c r="DW638" s="408">
        <v>0</v>
      </c>
      <c r="DX638" s="408">
        <v>0</v>
      </c>
      <c r="DY638" s="408">
        <v>-7157.03</v>
      </c>
      <c r="DZ638" s="234"/>
      <c r="EA638" s="408">
        <v>0</v>
      </c>
      <c r="EB638" s="408"/>
      <c r="EC638" s="408">
        <v>-7156.9908027309175</v>
      </c>
      <c r="ED638" s="408"/>
      <c r="EE638" s="408">
        <v>0</v>
      </c>
      <c r="EF638" s="408">
        <v>0</v>
      </c>
      <c r="EG638" s="408"/>
      <c r="EH638" s="408">
        <v>0</v>
      </c>
      <c r="EI638" s="408">
        <v>0</v>
      </c>
      <c r="EJ638" s="408">
        <v>0</v>
      </c>
      <c r="EK638" s="408">
        <v>0</v>
      </c>
      <c r="EL638" s="408">
        <v>0</v>
      </c>
      <c r="EM638" s="408"/>
      <c r="EN638" s="408"/>
      <c r="EO638" s="408">
        <v>0</v>
      </c>
      <c r="EP638" s="408">
        <v>0</v>
      </c>
      <c r="EQ638" s="408"/>
      <c r="ER638" s="408">
        <v>0</v>
      </c>
      <c r="ES638" s="408"/>
      <c r="ET638" s="408">
        <v>0</v>
      </c>
      <c r="EU638" s="408"/>
      <c r="EV638" s="408">
        <v>242</v>
      </c>
      <c r="EW638" s="408"/>
      <c r="EX638" s="408"/>
      <c r="EY638" s="408"/>
      <c r="EZ638" s="408"/>
      <c r="FA638" s="408">
        <v>0</v>
      </c>
      <c r="FB638" s="408"/>
      <c r="FC638" s="408"/>
      <c r="FD638" s="408"/>
      <c r="FE638" s="408"/>
      <c r="FF638" s="408">
        <v>0</v>
      </c>
      <c r="FG638" s="408">
        <v>0</v>
      </c>
      <c r="FH638" s="408">
        <v>0</v>
      </c>
      <c r="FI638" s="408">
        <v>0</v>
      </c>
    </row>
    <row r="639" spans="1:165">
      <c r="A639" s="408">
        <v>640</v>
      </c>
      <c r="B639" s="408" t="s">
        <v>1036</v>
      </c>
      <c r="C639" s="408" t="s">
        <v>2239</v>
      </c>
      <c r="D639" s="408" t="s">
        <v>597</v>
      </c>
      <c r="E639" s="408" t="s">
        <v>970</v>
      </c>
      <c r="F639" s="408" t="s">
        <v>1322</v>
      </c>
      <c r="G639" s="408" t="s">
        <v>2327</v>
      </c>
      <c r="H639" s="408" t="s">
        <v>1322</v>
      </c>
      <c r="I639" s="408" t="s">
        <v>973</v>
      </c>
      <c r="J639" s="408" t="s">
        <v>2328</v>
      </c>
      <c r="K639" s="828">
        <v>44593</v>
      </c>
      <c r="L639" s="408">
        <v>0</v>
      </c>
      <c r="M639" s="408">
        <v>0</v>
      </c>
      <c r="N639" s="408">
        <v>17.445</v>
      </c>
      <c r="O639" s="408">
        <v>8.7225000000000001</v>
      </c>
      <c r="P639" s="408">
        <v>0</v>
      </c>
      <c r="Q639" s="408">
        <v>0</v>
      </c>
      <c r="R639" s="408"/>
      <c r="S639" s="408">
        <v>2592.54</v>
      </c>
      <c r="T639" s="408"/>
      <c r="U639" s="408"/>
      <c r="V639" s="408">
        <v>45226.8603</v>
      </c>
      <c r="W639" s="408">
        <v>45226.8603</v>
      </c>
      <c r="X639" s="408">
        <v>16255.425449999999</v>
      </c>
      <c r="Y639" s="408">
        <v>0</v>
      </c>
      <c r="Z639" s="408">
        <v>919.89642646994128</v>
      </c>
      <c r="AA639" s="408">
        <v>0</v>
      </c>
      <c r="AB639" s="408">
        <v>0</v>
      </c>
      <c r="AC639" s="408">
        <v>0</v>
      </c>
      <c r="AD639" s="408">
        <v>88.213001187278763</v>
      </c>
      <c r="AE639" s="408">
        <v>39964.602294499258</v>
      </c>
      <c r="AF639" s="408"/>
      <c r="AG639" s="408"/>
      <c r="AH639" s="408"/>
      <c r="AI639" s="408">
        <v>0</v>
      </c>
      <c r="AJ639" s="408">
        <v>0</v>
      </c>
      <c r="AK639" s="408">
        <v>0</v>
      </c>
      <c r="AL639" s="408">
        <v>163.52303917374962</v>
      </c>
      <c r="AM639" s="408"/>
      <c r="AN639" s="408">
        <v>23.955861217967794</v>
      </c>
      <c r="AO639" s="408">
        <v>787.02893402982477</v>
      </c>
      <c r="AP639" s="408">
        <v>2986.5970614965649</v>
      </c>
      <c r="AQ639" s="408">
        <v>0</v>
      </c>
      <c r="AR639" s="408">
        <v>0</v>
      </c>
      <c r="AS639" s="408"/>
      <c r="AT639" s="408"/>
      <c r="AU639" s="408">
        <v>0</v>
      </c>
      <c r="AV639" s="408">
        <v>0</v>
      </c>
      <c r="AW639" s="408">
        <v>0</v>
      </c>
      <c r="AX639" s="408"/>
      <c r="AY639" s="408"/>
      <c r="AZ639" s="408">
        <v>0</v>
      </c>
      <c r="BA639" s="408"/>
      <c r="BB639" s="408">
        <v>0</v>
      </c>
      <c r="BC639" s="408">
        <v>0</v>
      </c>
      <c r="BD639" s="408">
        <v>7.9775757945467083</v>
      </c>
      <c r="BE639" s="408">
        <v>0</v>
      </c>
      <c r="BF639" s="408"/>
      <c r="BG639" s="408">
        <v>284.98425584797445</v>
      </c>
      <c r="BH639" s="408">
        <v>0</v>
      </c>
      <c r="BI639" s="408">
        <v>0</v>
      </c>
      <c r="BJ639" s="408">
        <v>0</v>
      </c>
      <c r="BK639" s="408">
        <v>0</v>
      </c>
      <c r="BL639" s="408">
        <v>0</v>
      </c>
      <c r="BM639" s="408"/>
      <c r="BN639" s="408">
        <v>8127.7127249999994</v>
      </c>
      <c r="BO639" s="408"/>
      <c r="BP639" s="408"/>
      <c r="BQ639" s="408"/>
      <c r="BR639" s="408"/>
      <c r="BS639" s="408"/>
      <c r="BT639" s="408"/>
      <c r="BU639" s="408"/>
      <c r="BV639" s="408">
        <v>292.96183164252113</v>
      </c>
      <c r="BW639" s="408"/>
      <c r="BX639" s="408"/>
      <c r="BY639" s="408"/>
      <c r="BZ639" s="408"/>
      <c r="CA639" s="408"/>
      <c r="CB639" s="408"/>
      <c r="CC639" s="408"/>
      <c r="CD639" s="408"/>
      <c r="CE639" s="408"/>
      <c r="CF639" s="408"/>
      <c r="CG639" s="408"/>
      <c r="CH639" s="408"/>
      <c r="CI639" s="408">
        <v>8125.3832000000002</v>
      </c>
      <c r="CJ639" s="408">
        <v>-14488.076949999995</v>
      </c>
      <c r="CK639" s="408"/>
      <c r="CL639" s="408"/>
      <c r="CM639" s="408"/>
      <c r="CN639" s="408"/>
      <c r="CO639" s="408">
        <v>-28971.434850000001</v>
      </c>
      <c r="CP639" s="408">
        <v>0</v>
      </c>
      <c r="CQ639" s="408">
        <v>29</v>
      </c>
      <c r="CR639" s="408">
        <v>391.0211994887577</v>
      </c>
      <c r="CS639" s="408">
        <v>81.183234115380174</v>
      </c>
      <c r="CT639" s="408">
        <v>308.07203899136766</v>
      </c>
      <c r="CU639" s="408">
        <v>0</v>
      </c>
      <c r="CV639" s="408">
        <v>0</v>
      </c>
      <c r="CW639" s="408"/>
      <c r="CX639" s="408"/>
      <c r="CY639" s="408"/>
      <c r="CZ639" s="408">
        <v>8.625031433444974</v>
      </c>
      <c r="DA639" s="408">
        <v>0</v>
      </c>
      <c r="DB639" s="408">
        <v>0</v>
      </c>
      <c r="DC639" s="408"/>
      <c r="DD639" s="408"/>
      <c r="DE639" s="408">
        <v>0</v>
      </c>
      <c r="DF639" s="408">
        <v>1.2188198646678137</v>
      </c>
      <c r="DG639" s="408">
        <v>43.540103045153842</v>
      </c>
      <c r="DH639" s="408">
        <v>0</v>
      </c>
      <c r="DI639" s="408">
        <v>-43.95007150689753</v>
      </c>
      <c r="DJ639" s="408"/>
      <c r="DK639" s="408">
        <v>0</v>
      </c>
      <c r="DL639" s="408">
        <v>0</v>
      </c>
      <c r="DM639" s="408"/>
      <c r="DN639" s="408">
        <v>0</v>
      </c>
      <c r="DO639" s="408">
        <v>-6.6260531519716892</v>
      </c>
      <c r="DP639" s="408">
        <v>-1.0419033023867321</v>
      </c>
      <c r="DQ639" s="408">
        <v>0</v>
      </c>
      <c r="DR639" s="408">
        <v>0</v>
      </c>
      <c r="DS639" s="408"/>
      <c r="DT639" s="408"/>
      <c r="DU639" s="408"/>
      <c r="DV639" s="408">
        <v>39964.602294499258</v>
      </c>
      <c r="DW639" s="408">
        <v>0</v>
      </c>
      <c r="DX639" s="408">
        <v>0</v>
      </c>
      <c r="DY639" s="408">
        <v>-28971.434850000001</v>
      </c>
      <c r="DZ639" s="234"/>
      <c r="EA639" s="408">
        <v>0</v>
      </c>
      <c r="EB639" s="408"/>
      <c r="EC639" s="408">
        <v>-29362.385655318139</v>
      </c>
      <c r="ED639" s="408"/>
      <c r="EE639" s="408">
        <v>0</v>
      </c>
      <c r="EF639" s="408">
        <v>0</v>
      </c>
      <c r="EG639" s="408"/>
      <c r="EH639" s="408">
        <v>0</v>
      </c>
      <c r="EI639" s="408">
        <v>0</v>
      </c>
      <c r="EJ639" s="408">
        <v>0</v>
      </c>
      <c r="EK639" s="408">
        <v>0</v>
      </c>
      <c r="EL639" s="408">
        <v>0</v>
      </c>
      <c r="EM639" s="408"/>
      <c r="EN639" s="408"/>
      <c r="EO639" s="408">
        <v>0</v>
      </c>
      <c r="EP639" s="408">
        <v>0</v>
      </c>
      <c r="EQ639" s="408"/>
      <c r="ER639" s="408">
        <v>0</v>
      </c>
      <c r="ES639" s="408"/>
      <c r="ET639" s="408">
        <v>0</v>
      </c>
      <c r="EU639" s="408"/>
      <c r="EV639" s="408">
        <v>242</v>
      </c>
      <c r="EW639" s="408"/>
      <c r="EX639" s="408"/>
      <c r="EY639" s="408"/>
      <c r="EZ639" s="408"/>
      <c r="FA639" s="408">
        <v>0</v>
      </c>
      <c r="FB639" s="408"/>
      <c r="FC639" s="408"/>
      <c r="FD639" s="408"/>
      <c r="FE639" s="408"/>
      <c r="FF639" s="408">
        <v>0</v>
      </c>
      <c r="FG639" s="408">
        <v>0</v>
      </c>
      <c r="FH639" s="408">
        <v>0</v>
      </c>
      <c r="FI639" s="408">
        <v>0</v>
      </c>
    </row>
    <row r="640" spans="1:165">
      <c r="A640" s="408">
        <v>641</v>
      </c>
      <c r="B640" s="408" t="s">
        <v>1036</v>
      </c>
      <c r="C640" s="408" t="s">
        <v>2239</v>
      </c>
      <c r="D640" s="408" t="s">
        <v>597</v>
      </c>
      <c r="E640" s="408" t="s">
        <v>970</v>
      </c>
      <c r="F640" s="408" t="s">
        <v>1322</v>
      </c>
      <c r="G640" s="408" t="s">
        <v>2327</v>
      </c>
      <c r="H640" s="408" t="s">
        <v>1322</v>
      </c>
      <c r="I640" s="408" t="s">
        <v>2240</v>
      </c>
      <c r="J640" s="408" t="s">
        <v>2328</v>
      </c>
      <c r="K640" s="828">
        <v>44593</v>
      </c>
      <c r="L640" s="408">
        <v>0</v>
      </c>
      <c r="M640" s="408">
        <v>0</v>
      </c>
      <c r="N640" s="408">
        <v>181.46899999999999</v>
      </c>
      <c r="O640" s="408">
        <v>90.734499999999997</v>
      </c>
      <c r="P640" s="408">
        <v>0</v>
      </c>
      <c r="Q640" s="408">
        <v>0</v>
      </c>
      <c r="R640" s="408"/>
      <c r="S640" s="408">
        <v>80.27</v>
      </c>
      <c r="T640" s="408"/>
      <c r="U640" s="408"/>
      <c r="V640" s="408">
        <v>14566.516629999998</v>
      </c>
      <c r="W640" s="408">
        <v>14566.516629999998</v>
      </c>
      <c r="X640" s="408">
        <v>14495.743719999999</v>
      </c>
      <c r="Y640" s="408">
        <v>0</v>
      </c>
      <c r="Z640" s="408">
        <v>9569.0848159973502</v>
      </c>
      <c r="AA640" s="408">
        <v>0</v>
      </c>
      <c r="AB640" s="408">
        <v>0</v>
      </c>
      <c r="AC640" s="408">
        <v>0</v>
      </c>
      <c r="AD640" s="408">
        <v>0</v>
      </c>
      <c r="AE640" s="408">
        <v>0</v>
      </c>
      <c r="AF640" s="408"/>
      <c r="AG640" s="408"/>
      <c r="AH640" s="408"/>
      <c r="AI640" s="408">
        <v>0</v>
      </c>
      <c r="AJ640" s="408">
        <v>0</v>
      </c>
      <c r="AK640" s="408">
        <v>0</v>
      </c>
      <c r="AL640" s="408">
        <v>1701.0239263869973</v>
      </c>
      <c r="AM640" s="408"/>
      <c r="AN640" s="408">
        <v>249.19725877692161</v>
      </c>
      <c r="AO640" s="408">
        <v>0</v>
      </c>
      <c r="AP640" s="408">
        <v>0</v>
      </c>
      <c r="AQ640" s="408">
        <v>0</v>
      </c>
      <c r="AR640" s="408">
        <v>0</v>
      </c>
      <c r="AS640" s="408"/>
      <c r="AT640" s="408"/>
      <c r="AU640" s="408">
        <v>0</v>
      </c>
      <c r="AV640" s="408">
        <v>0</v>
      </c>
      <c r="AW640" s="408">
        <v>0</v>
      </c>
      <c r="AX640" s="408"/>
      <c r="AY640" s="408"/>
      <c r="AZ640" s="408">
        <v>0</v>
      </c>
      <c r="BA640" s="408"/>
      <c r="BB640" s="408">
        <v>0</v>
      </c>
      <c r="BC640" s="408">
        <v>0</v>
      </c>
      <c r="BD640" s="408">
        <v>82.985537509922409</v>
      </c>
      <c r="BE640" s="408">
        <v>0</v>
      </c>
      <c r="BF640" s="408"/>
      <c r="BG640" s="408">
        <v>2964.5060432488435</v>
      </c>
      <c r="BH640" s="408">
        <v>0</v>
      </c>
      <c r="BI640" s="408">
        <v>0</v>
      </c>
      <c r="BJ640" s="408">
        <v>0</v>
      </c>
      <c r="BK640" s="408">
        <v>0</v>
      </c>
      <c r="BL640" s="408">
        <v>0</v>
      </c>
      <c r="BM640" s="408"/>
      <c r="BN640" s="408">
        <v>7247.8718599999993</v>
      </c>
      <c r="BO640" s="408"/>
      <c r="BP640" s="408"/>
      <c r="BQ640" s="408"/>
      <c r="BR640" s="408"/>
      <c r="BS640" s="408"/>
      <c r="BT640" s="408"/>
      <c r="BU640" s="408"/>
      <c r="BV640" s="408">
        <v>3047.4915807587658</v>
      </c>
      <c r="BW640" s="408"/>
      <c r="BX640" s="408"/>
      <c r="BY640" s="408"/>
      <c r="BZ640" s="408"/>
      <c r="CA640" s="408"/>
      <c r="CB640" s="408"/>
      <c r="CC640" s="408"/>
      <c r="CD640" s="408"/>
      <c r="CE640" s="408"/>
      <c r="CF640" s="408"/>
      <c r="CG640" s="408"/>
      <c r="CH640" s="408"/>
      <c r="CI640" s="408">
        <v>7247.5123999999996</v>
      </c>
      <c r="CJ640" s="408">
        <v>-35.775915000000168</v>
      </c>
      <c r="CK640" s="408"/>
      <c r="CL640" s="408"/>
      <c r="CM640" s="408"/>
      <c r="CN640" s="408"/>
      <c r="CO640" s="408">
        <v>-70.772910000000095</v>
      </c>
      <c r="CP640" s="408">
        <v>0</v>
      </c>
      <c r="CQ640" s="408">
        <v>29</v>
      </c>
      <c r="CR640" s="408">
        <v>-71.350813102824759</v>
      </c>
      <c r="CS640" s="408">
        <v>0</v>
      </c>
      <c r="CT640" s="408">
        <v>0</v>
      </c>
      <c r="CU640" s="408">
        <v>0</v>
      </c>
      <c r="CV640" s="408">
        <v>0</v>
      </c>
      <c r="CW640" s="408"/>
      <c r="CX640" s="408"/>
      <c r="CY640" s="408"/>
      <c r="CZ640" s="408">
        <v>0</v>
      </c>
      <c r="DA640" s="408">
        <v>0</v>
      </c>
      <c r="DB640" s="408">
        <v>0</v>
      </c>
      <c r="DC640" s="408"/>
      <c r="DD640" s="408"/>
      <c r="DE640" s="408">
        <v>0</v>
      </c>
      <c r="DF640" s="408">
        <v>12.678591116159566</v>
      </c>
      <c r="DG640" s="408">
        <v>452.91940151911831</v>
      </c>
      <c r="DH640" s="408">
        <v>0</v>
      </c>
      <c r="DI640" s="408">
        <v>-457.18403704701632</v>
      </c>
      <c r="DJ640" s="408"/>
      <c r="DK640" s="408">
        <v>0</v>
      </c>
      <c r="DL640" s="408">
        <v>0</v>
      </c>
      <c r="DM640" s="408"/>
      <c r="DN640" s="408">
        <v>0</v>
      </c>
      <c r="DO640" s="408">
        <v>-68.926525619670201</v>
      </c>
      <c r="DP640" s="408">
        <v>-10.83824307141407</v>
      </c>
      <c r="DQ640" s="408">
        <v>0</v>
      </c>
      <c r="DR640" s="408">
        <v>0</v>
      </c>
      <c r="DS640" s="408"/>
      <c r="DT640" s="408"/>
      <c r="DU640" s="408"/>
      <c r="DV640" s="408">
        <v>0</v>
      </c>
      <c r="DW640" s="408">
        <v>0</v>
      </c>
      <c r="DX640" s="408">
        <v>0</v>
      </c>
      <c r="DY640" s="408">
        <v>-70.772909999999683</v>
      </c>
      <c r="DZ640" s="234"/>
      <c r="EA640" s="408">
        <v>0</v>
      </c>
      <c r="EB640" s="408"/>
      <c r="EC640" s="408">
        <v>0</v>
      </c>
      <c r="ED640" s="408"/>
      <c r="EE640" s="408">
        <v>0</v>
      </c>
      <c r="EF640" s="408">
        <v>0</v>
      </c>
      <c r="EG640" s="408"/>
      <c r="EH640" s="408">
        <v>0</v>
      </c>
      <c r="EI640" s="408">
        <v>0</v>
      </c>
      <c r="EJ640" s="408">
        <v>0</v>
      </c>
      <c r="EK640" s="408">
        <v>0</v>
      </c>
      <c r="EL640" s="408">
        <v>0</v>
      </c>
      <c r="EM640" s="408"/>
      <c r="EN640" s="408"/>
      <c r="EO640" s="408">
        <v>0</v>
      </c>
      <c r="EP640" s="408">
        <v>0</v>
      </c>
      <c r="EQ640" s="408"/>
      <c r="ER640" s="408">
        <v>0</v>
      </c>
      <c r="ES640" s="408"/>
      <c r="ET640" s="408">
        <v>0</v>
      </c>
      <c r="EU640" s="408"/>
      <c r="EV640" s="408">
        <v>242</v>
      </c>
      <c r="EW640" s="408"/>
      <c r="EX640" s="408"/>
      <c r="EY640" s="408"/>
      <c r="EZ640" s="408"/>
      <c r="FA640" s="408">
        <v>0</v>
      </c>
      <c r="FB640" s="408"/>
      <c r="FC640" s="408"/>
      <c r="FD640" s="408"/>
      <c r="FE640" s="408"/>
      <c r="FF640" s="408">
        <v>0</v>
      </c>
      <c r="FG640" s="408">
        <v>0</v>
      </c>
      <c r="FH640" s="408">
        <v>0</v>
      </c>
      <c r="FI640" s="408">
        <v>0</v>
      </c>
    </row>
    <row r="641" spans="1:165">
      <c r="A641" s="408">
        <v>642</v>
      </c>
      <c r="B641" s="408" t="s">
        <v>1036</v>
      </c>
      <c r="C641" s="408" t="s">
        <v>2239</v>
      </c>
      <c r="D641" s="408" t="s">
        <v>597</v>
      </c>
      <c r="E641" s="408" t="s">
        <v>970</v>
      </c>
      <c r="F641" s="408" t="s">
        <v>1322</v>
      </c>
      <c r="G641" s="408" t="s">
        <v>2327</v>
      </c>
      <c r="H641" s="408" t="s">
        <v>1322</v>
      </c>
      <c r="I641" s="408" t="s">
        <v>1322</v>
      </c>
      <c r="J641" s="408" t="s">
        <v>2328</v>
      </c>
      <c r="K641" s="828">
        <v>44593</v>
      </c>
      <c r="L641" s="408">
        <v>671</v>
      </c>
      <c r="M641" s="408">
        <v>335.5</v>
      </c>
      <c r="N641" s="408">
        <v>0</v>
      </c>
      <c r="O641" s="408">
        <v>0</v>
      </c>
      <c r="P641" s="408">
        <v>0</v>
      </c>
      <c r="Q641" s="408">
        <v>0</v>
      </c>
      <c r="R641" s="408">
        <v>32.17</v>
      </c>
      <c r="S641" s="408"/>
      <c r="T641" s="408"/>
      <c r="U641" s="408">
        <v>21586.07</v>
      </c>
      <c r="V641" s="408"/>
      <c r="W641" s="408">
        <v>21586.07</v>
      </c>
      <c r="X641" s="408">
        <v>8676.0300000000007</v>
      </c>
      <c r="Y641" s="408">
        <v>0</v>
      </c>
      <c r="Z641" s="408">
        <v>0</v>
      </c>
      <c r="AA641" s="408">
        <v>0</v>
      </c>
      <c r="AB641" s="408">
        <v>0</v>
      </c>
      <c r="AC641" s="408">
        <v>0</v>
      </c>
      <c r="AD641" s="408">
        <v>67.043787063085801</v>
      </c>
      <c r="AE641" s="408">
        <v>18067.839472518805</v>
      </c>
      <c r="AF641" s="408"/>
      <c r="AG641" s="408"/>
      <c r="AH641" s="408"/>
      <c r="AI641" s="408">
        <v>0</v>
      </c>
      <c r="AJ641" s="408">
        <v>0</v>
      </c>
      <c r="AK641" s="408">
        <v>0</v>
      </c>
      <c r="AL641" s="408">
        <v>0</v>
      </c>
      <c r="AM641" s="408"/>
      <c r="AN641" s="408">
        <v>0</v>
      </c>
      <c r="AO641" s="408">
        <v>1183.9265624036129</v>
      </c>
      <c r="AP641" s="408">
        <v>2269.9025260140511</v>
      </c>
      <c r="AQ641" s="408">
        <v>0</v>
      </c>
      <c r="AR641" s="408">
        <v>0</v>
      </c>
      <c r="AS641" s="408"/>
      <c r="AT641" s="408"/>
      <c r="AU641" s="408">
        <v>0</v>
      </c>
      <c r="AV641" s="408">
        <v>0</v>
      </c>
      <c r="AW641" s="408">
        <v>0</v>
      </c>
      <c r="AX641" s="408"/>
      <c r="AY641" s="408"/>
      <c r="AZ641" s="408">
        <v>0</v>
      </c>
      <c r="BA641" s="408"/>
      <c r="BB641" s="408">
        <v>0</v>
      </c>
      <c r="BC641" s="408">
        <v>0</v>
      </c>
      <c r="BD641" s="408">
        <v>0</v>
      </c>
      <c r="BE641" s="408">
        <v>0</v>
      </c>
      <c r="BF641" s="408"/>
      <c r="BG641" s="408">
        <v>0</v>
      </c>
      <c r="BH641" s="408">
        <v>0</v>
      </c>
      <c r="BI641" s="408">
        <v>584.16</v>
      </c>
      <c r="BJ641" s="408">
        <v>0</v>
      </c>
      <c r="BK641" s="408">
        <v>8195.09</v>
      </c>
      <c r="BL641" s="408">
        <v>1</v>
      </c>
      <c r="BM641" s="408"/>
      <c r="BN641" s="408">
        <v>4338.0150000000003</v>
      </c>
      <c r="BO641" s="408"/>
      <c r="BP641" s="408"/>
      <c r="BQ641" s="408"/>
      <c r="BR641" s="408"/>
      <c r="BS641" s="408"/>
      <c r="BT641" s="408"/>
      <c r="BU641" s="408"/>
      <c r="BV641" s="408">
        <v>0</v>
      </c>
      <c r="BW641" s="408"/>
      <c r="BX641" s="408"/>
      <c r="BY641" s="408"/>
      <c r="BZ641" s="408"/>
      <c r="CA641" s="408"/>
      <c r="CB641" s="408"/>
      <c r="CC641" s="408"/>
      <c r="CD641" s="408"/>
      <c r="CE641" s="408"/>
      <c r="CF641" s="408"/>
      <c r="CG641" s="408"/>
      <c r="CH641" s="408"/>
      <c r="CI641" s="408">
        <v>4338.0150000000003</v>
      </c>
      <c r="CJ641" s="408">
        <v>-6455.05</v>
      </c>
      <c r="CK641" s="408"/>
      <c r="CL641" s="408"/>
      <c r="CM641" s="408"/>
      <c r="CN641" s="408"/>
      <c r="CO641" s="408">
        <v>-12910.04</v>
      </c>
      <c r="CP641" s="408">
        <v>0</v>
      </c>
      <c r="CQ641" s="408">
        <v>29</v>
      </c>
      <c r="CR641" s="408">
        <v>362.82294497629573</v>
      </c>
      <c r="CS641" s="408">
        <v>122.12382942377371</v>
      </c>
      <c r="CT641" s="408">
        <v>234.14390528812237</v>
      </c>
      <c r="CU641" s="408">
        <v>0</v>
      </c>
      <c r="CV641" s="408">
        <v>0</v>
      </c>
      <c r="CW641" s="408"/>
      <c r="CX641" s="408"/>
      <c r="CY641" s="408"/>
      <c r="CZ641" s="408">
        <v>6.5552102643993777</v>
      </c>
      <c r="DA641" s="408">
        <v>0</v>
      </c>
      <c r="DB641" s="408">
        <v>0</v>
      </c>
      <c r="DC641" s="408"/>
      <c r="DD641" s="408"/>
      <c r="DE641" s="408">
        <v>0</v>
      </c>
      <c r="DF641" s="408">
        <v>0</v>
      </c>
      <c r="DG641" s="408">
        <v>0</v>
      </c>
      <c r="DH641" s="408">
        <v>0</v>
      </c>
      <c r="DI641" s="408">
        <v>0</v>
      </c>
      <c r="DJ641" s="408"/>
      <c r="DK641" s="408">
        <v>0</v>
      </c>
      <c r="DL641" s="408">
        <v>0</v>
      </c>
      <c r="DM641" s="408"/>
      <c r="DN641" s="408">
        <v>0</v>
      </c>
      <c r="DO641" s="408">
        <v>0</v>
      </c>
      <c r="DP641" s="408">
        <v>0</v>
      </c>
      <c r="DQ641" s="408">
        <v>0</v>
      </c>
      <c r="DR641" s="408">
        <v>0</v>
      </c>
      <c r="DS641" s="408"/>
      <c r="DT641" s="408"/>
      <c r="DU641" s="408">
        <v>18067.839472518805</v>
      </c>
      <c r="DV641" s="408"/>
      <c r="DW641" s="408">
        <v>0</v>
      </c>
      <c r="DX641" s="408">
        <v>0</v>
      </c>
      <c r="DY641" s="408">
        <v>-12910.039999999999</v>
      </c>
      <c r="DZ641" s="234"/>
      <c r="EA641" s="408">
        <v>0</v>
      </c>
      <c r="EB641" s="408"/>
      <c r="EC641" s="408">
        <v>-13274.61904014735</v>
      </c>
      <c r="ED641" s="408"/>
      <c r="EE641" s="408">
        <v>0</v>
      </c>
      <c r="EF641" s="408">
        <v>0</v>
      </c>
      <c r="EG641" s="408"/>
      <c r="EH641" s="408">
        <v>0</v>
      </c>
      <c r="EI641" s="408">
        <v>0</v>
      </c>
      <c r="EJ641" s="408">
        <v>0</v>
      </c>
      <c r="EK641" s="408">
        <v>0</v>
      </c>
      <c r="EL641" s="408">
        <v>0</v>
      </c>
      <c r="EM641" s="408"/>
      <c r="EN641" s="408"/>
      <c r="EO641" s="408">
        <v>0</v>
      </c>
      <c r="EP641" s="408">
        <v>0</v>
      </c>
      <c r="EQ641" s="408"/>
      <c r="ER641" s="408">
        <v>0</v>
      </c>
      <c r="ES641" s="408"/>
      <c r="ET641" s="408">
        <v>0</v>
      </c>
      <c r="EU641" s="408"/>
      <c r="EV641" s="408">
        <v>242</v>
      </c>
      <c r="EW641" s="408"/>
      <c r="EX641" s="408"/>
      <c r="EY641" s="408"/>
      <c r="EZ641" s="408"/>
      <c r="FA641" s="408">
        <v>0</v>
      </c>
      <c r="FB641" s="408"/>
      <c r="FC641" s="408"/>
      <c r="FD641" s="408"/>
      <c r="FE641" s="408"/>
      <c r="FF641" s="408">
        <v>0</v>
      </c>
      <c r="FG641" s="408">
        <v>0</v>
      </c>
      <c r="FH641" s="408">
        <v>0</v>
      </c>
      <c r="FI641" s="408">
        <v>0</v>
      </c>
    </row>
    <row r="642" spans="1:165">
      <c r="A642" s="408">
        <v>643</v>
      </c>
      <c r="B642" s="408" t="s">
        <v>1036</v>
      </c>
      <c r="C642" s="408" t="s">
        <v>993</v>
      </c>
      <c r="D642" s="408" t="s">
        <v>597</v>
      </c>
      <c r="E642" s="408" t="s">
        <v>1322</v>
      </c>
      <c r="F642" s="408" t="s">
        <v>1322</v>
      </c>
      <c r="G642" s="408" t="s">
        <v>1322</v>
      </c>
      <c r="H642" s="408" t="s">
        <v>2329</v>
      </c>
      <c r="I642" s="408" t="s">
        <v>1322</v>
      </c>
      <c r="J642" s="408" t="s">
        <v>2252</v>
      </c>
      <c r="K642" s="828">
        <v>44593</v>
      </c>
      <c r="L642" s="408">
        <v>953</v>
      </c>
      <c r="M642" s="408">
        <v>476.5</v>
      </c>
      <c r="N642" s="408">
        <v>0</v>
      </c>
      <c r="O642" s="408">
        <v>0</v>
      </c>
      <c r="P642" s="408">
        <v>0</v>
      </c>
      <c r="Q642" s="408">
        <v>0</v>
      </c>
      <c r="R642" s="408">
        <v>10.220000000000001</v>
      </c>
      <c r="S642" s="408"/>
      <c r="T642" s="408"/>
      <c r="U642" s="408">
        <v>9739.66</v>
      </c>
      <c r="V642" s="408"/>
      <c r="W642" s="408">
        <v>9739.66</v>
      </c>
      <c r="X642" s="408">
        <v>2582.63</v>
      </c>
      <c r="Y642" s="408">
        <v>0</v>
      </c>
      <c r="Z642" s="408">
        <v>0</v>
      </c>
      <c r="AA642" s="408">
        <v>0</v>
      </c>
      <c r="AB642" s="408">
        <v>0</v>
      </c>
      <c r="AC642" s="408">
        <v>0</v>
      </c>
      <c r="AD642" s="408">
        <v>0</v>
      </c>
      <c r="AE642" s="408">
        <v>9741.2483581600645</v>
      </c>
      <c r="AF642" s="408"/>
      <c r="AG642" s="408"/>
      <c r="AH642" s="408"/>
      <c r="AI642" s="408">
        <v>0</v>
      </c>
      <c r="AJ642" s="408">
        <v>0</v>
      </c>
      <c r="AK642" s="408">
        <v>0</v>
      </c>
      <c r="AL642" s="408">
        <v>0</v>
      </c>
      <c r="AM642" s="408"/>
      <c r="AN642" s="408">
        <v>0</v>
      </c>
      <c r="AO642" s="408">
        <v>0</v>
      </c>
      <c r="AP642" s="408">
        <v>0</v>
      </c>
      <c r="AQ642" s="408">
        <v>0</v>
      </c>
      <c r="AR642" s="408">
        <v>0</v>
      </c>
      <c r="AS642" s="408"/>
      <c r="AT642" s="408"/>
      <c r="AU642" s="408">
        <v>0</v>
      </c>
      <c r="AV642" s="408">
        <v>0</v>
      </c>
      <c r="AW642" s="408">
        <v>0</v>
      </c>
      <c r="AX642" s="408"/>
      <c r="AY642" s="408"/>
      <c r="AZ642" s="408">
        <v>0</v>
      </c>
      <c r="BA642" s="408"/>
      <c r="BB642" s="408">
        <v>0</v>
      </c>
      <c r="BC642" s="408">
        <v>0</v>
      </c>
      <c r="BD642" s="408">
        <v>0</v>
      </c>
      <c r="BE642" s="408">
        <v>0</v>
      </c>
      <c r="BF642" s="408"/>
      <c r="BG642" s="408">
        <v>0</v>
      </c>
      <c r="BH642" s="408">
        <v>0</v>
      </c>
      <c r="BI642" s="408">
        <v>19.14</v>
      </c>
      <c r="BJ642" s="408">
        <v>0</v>
      </c>
      <c r="BK642" s="408">
        <v>0</v>
      </c>
      <c r="BL642" s="408">
        <v>0</v>
      </c>
      <c r="BM642" s="408"/>
      <c r="BN642" s="408"/>
      <c r="BO642" s="408">
        <v>1291.3150000000001</v>
      </c>
      <c r="BP642" s="408"/>
      <c r="BQ642" s="408"/>
      <c r="BR642" s="408"/>
      <c r="BS642" s="408"/>
      <c r="BT642" s="408"/>
      <c r="BU642" s="408"/>
      <c r="BV642" s="408">
        <v>0</v>
      </c>
      <c r="BW642" s="408"/>
      <c r="BX642" s="408"/>
      <c r="BY642" s="408"/>
      <c r="BZ642" s="408"/>
      <c r="CA642" s="408"/>
      <c r="CB642" s="408"/>
      <c r="CC642" s="408"/>
      <c r="CD642" s="408"/>
      <c r="CE642" s="408"/>
      <c r="CF642" s="408"/>
      <c r="CG642" s="408"/>
      <c r="CH642" s="408"/>
      <c r="CI642" s="408">
        <v>1291.3150000000001</v>
      </c>
      <c r="CJ642" s="408">
        <v>-3578.5450000000005</v>
      </c>
      <c r="CK642" s="408"/>
      <c r="CL642" s="408"/>
      <c r="CM642" s="408"/>
      <c r="CN642" s="408"/>
      <c r="CO642" s="408">
        <v>-7157.0300000000007</v>
      </c>
      <c r="CP642" s="408">
        <v>0</v>
      </c>
      <c r="CQ642" s="408">
        <v>29</v>
      </c>
      <c r="CR642" s="408">
        <v>0</v>
      </c>
      <c r="CS642" s="408">
        <v>0</v>
      </c>
      <c r="CT642" s="408">
        <v>0</v>
      </c>
      <c r="CU642" s="408">
        <v>0</v>
      </c>
      <c r="CV642" s="408">
        <v>0</v>
      </c>
      <c r="CW642" s="408"/>
      <c r="CX642" s="408"/>
      <c r="CY642" s="408"/>
      <c r="CZ642" s="408">
        <v>0</v>
      </c>
      <c r="DA642" s="408">
        <v>0</v>
      </c>
      <c r="DB642" s="408">
        <v>0</v>
      </c>
      <c r="DC642" s="408"/>
      <c r="DD642" s="408"/>
      <c r="DE642" s="408">
        <v>0</v>
      </c>
      <c r="DF642" s="408">
        <v>0</v>
      </c>
      <c r="DG642" s="408">
        <v>0</v>
      </c>
      <c r="DH642" s="408">
        <v>0</v>
      </c>
      <c r="DI642" s="408">
        <v>0</v>
      </c>
      <c r="DJ642" s="408"/>
      <c r="DK642" s="408">
        <v>0</v>
      </c>
      <c r="DL642" s="408">
        <v>0</v>
      </c>
      <c r="DM642" s="408"/>
      <c r="DN642" s="408">
        <v>0</v>
      </c>
      <c r="DO642" s="408">
        <v>0</v>
      </c>
      <c r="DP642" s="408">
        <v>0</v>
      </c>
      <c r="DQ642" s="408">
        <v>0</v>
      </c>
      <c r="DR642" s="408">
        <v>0</v>
      </c>
      <c r="DS642" s="408"/>
      <c r="DT642" s="408"/>
      <c r="DU642" s="408">
        <v>9741.2483581600645</v>
      </c>
      <c r="DV642" s="408"/>
      <c r="DW642" s="408">
        <v>0</v>
      </c>
      <c r="DX642" s="408">
        <v>0</v>
      </c>
      <c r="DY642" s="408">
        <v>-7157.03</v>
      </c>
      <c r="DZ642" s="234"/>
      <c r="EA642" s="408">
        <v>0</v>
      </c>
      <c r="EB642" s="408"/>
      <c r="EC642" s="408">
        <v>-7156.9908027309175</v>
      </c>
      <c r="ED642" s="408"/>
      <c r="EE642" s="408">
        <v>0</v>
      </c>
      <c r="EF642" s="408">
        <v>0</v>
      </c>
      <c r="EG642" s="408"/>
      <c r="EH642" s="408">
        <v>0</v>
      </c>
      <c r="EI642" s="408">
        <v>0</v>
      </c>
      <c r="EJ642" s="408">
        <v>0</v>
      </c>
      <c r="EK642" s="408">
        <v>0</v>
      </c>
      <c r="EL642" s="408">
        <v>0</v>
      </c>
      <c r="EM642" s="408"/>
      <c r="EN642" s="408"/>
      <c r="EO642" s="408">
        <v>0</v>
      </c>
      <c r="EP642" s="408">
        <v>0</v>
      </c>
      <c r="EQ642" s="408"/>
      <c r="ER642" s="408">
        <v>0</v>
      </c>
      <c r="ES642" s="408"/>
      <c r="ET642" s="408">
        <v>0</v>
      </c>
      <c r="EU642" s="408"/>
      <c r="EV642" s="408">
        <v>242</v>
      </c>
      <c r="EW642" s="408"/>
      <c r="EX642" s="408"/>
      <c r="EY642" s="408"/>
      <c r="EZ642" s="408"/>
      <c r="FA642" s="408">
        <v>0</v>
      </c>
      <c r="FB642" s="408"/>
      <c r="FC642" s="408"/>
      <c r="FD642" s="408"/>
      <c r="FE642" s="408"/>
      <c r="FF642" s="408">
        <v>0</v>
      </c>
      <c r="FG642" s="408">
        <v>0</v>
      </c>
      <c r="FH642" s="408">
        <v>0</v>
      </c>
      <c r="FI642" s="408">
        <v>0</v>
      </c>
    </row>
    <row r="643" spans="1:165">
      <c r="A643" s="408">
        <v>644</v>
      </c>
      <c r="B643" s="408" t="s">
        <v>1036</v>
      </c>
      <c r="C643" s="408" t="s">
        <v>2239</v>
      </c>
      <c r="D643" s="408" t="s">
        <v>597</v>
      </c>
      <c r="E643" s="408" t="s">
        <v>970</v>
      </c>
      <c r="F643" s="408" t="s">
        <v>1322</v>
      </c>
      <c r="G643" s="408" t="s">
        <v>2327</v>
      </c>
      <c r="H643" s="408" t="s">
        <v>1322</v>
      </c>
      <c r="I643" s="408" t="s">
        <v>973</v>
      </c>
      <c r="J643" s="408" t="s">
        <v>2328</v>
      </c>
      <c r="K643" s="828">
        <v>44621</v>
      </c>
      <c r="L643" s="408">
        <v>0</v>
      </c>
      <c r="M643" s="408">
        <v>0</v>
      </c>
      <c r="N643" s="408">
        <v>15.968999999999999</v>
      </c>
      <c r="O643" s="408">
        <v>7.9844999999999997</v>
      </c>
      <c r="P643" s="408">
        <v>0</v>
      </c>
      <c r="Q643" s="408">
        <v>0</v>
      </c>
      <c r="R643" s="408"/>
      <c r="S643" s="408">
        <v>2592.54</v>
      </c>
      <c r="T643" s="408"/>
      <c r="U643" s="408"/>
      <c r="V643" s="408">
        <v>41400.271260000001</v>
      </c>
      <c r="W643" s="408">
        <v>41400.271260000001</v>
      </c>
      <c r="X643" s="408">
        <v>14880.073889999998</v>
      </c>
      <c r="Y643" s="408">
        <v>0</v>
      </c>
      <c r="Z643" s="408">
        <v>842.06512091134948</v>
      </c>
      <c r="AA643" s="408">
        <v>0</v>
      </c>
      <c r="AB643" s="408">
        <v>0</v>
      </c>
      <c r="AC643" s="408">
        <v>0</v>
      </c>
      <c r="AD643" s="408">
        <v>80.749407621648302</v>
      </c>
      <c r="AE643" s="408">
        <v>36583.246433984445</v>
      </c>
      <c r="AF643" s="408"/>
      <c r="AG643" s="408"/>
      <c r="AH643" s="408"/>
      <c r="AI643" s="408">
        <v>0</v>
      </c>
      <c r="AJ643" s="408">
        <v>0</v>
      </c>
      <c r="AK643" s="408">
        <v>0</v>
      </c>
      <c r="AL643" s="408">
        <v>149.68755589370065</v>
      </c>
      <c r="AM643" s="408"/>
      <c r="AN643" s="408">
        <v>21.928985255931654</v>
      </c>
      <c r="AO643" s="408">
        <v>720.43938363555583</v>
      </c>
      <c r="AP643" s="408">
        <v>2733.9047563794006</v>
      </c>
      <c r="AQ643" s="408">
        <v>0</v>
      </c>
      <c r="AR643" s="408">
        <v>0</v>
      </c>
      <c r="AS643" s="408"/>
      <c r="AT643" s="408"/>
      <c r="AU643" s="408">
        <v>0</v>
      </c>
      <c r="AV643" s="408">
        <v>0</v>
      </c>
      <c r="AW643" s="408">
        <v>0</v>
      </c>
      <c r="AX643" s="408"/>
      <c r="AY643" s="408"/>
      <c r="AZ643" s="408">
        <v>0</v>
      </c>
      <c r="BA643" s="408"/>
      <c r="BB643" s="408">
        <v>0</v>
      </c>
      <c r="BC643" s="408">
        <v>0</v>
      </c>
      <c r="BD643" s="408">
        <v>7.3026029156271921</v>
      </c>
      <c r="BE643" s="408">
        <v>0</v>
      </c>
      <c r="BF643" s="408"/>
      <c r="BG643" s="408">
        <v>260.87208837124126</v>
      </c>
      <c r="BH643" s="408">
        <v>0</v>
      </c>
      <c r="BI643" s="408">
        <v>0</v>
      </c>
      <c r="BJ643" s="408">
        <v>0</v>
      </c>
      <c r="BK643" s="408">
        <v>0</v>
      </c>
      <c r="BL643" s="408">
        <v>0</v>
      </c>
      <c r="BM643" s="408"/>
      <c r="BN643" s="408">
        <v>7440.0369449999989</v>
      </c>
      <c r="BO643" s="408"/>
      <c r="BP643" s="408"/>
      <c r="BQ643" s="408"/>
      <c r="BR643" s="408"/>
      <c r="BS643" s="408"/>
      <c r="BT643" s="408"/>
      <c r="BU643" s="408"/>
      <c r="BV643" s="408">
        <v>268.17469128686844</v>
      </c>
      <c r="BW643" s="408"/>
      <c r="BX643" s="408"/>
      <c r="BY643" s="408"/>
      <c r="BZ643" s="408"/>
      <c r="CA643" s="408"/>
      <c r="CB643" s="408"/>
      <c r="CC643" s="408"/>
      <c r="CD643" s="408"/>
      <c r="CE643" s="408"/>
      <c r="CF643" s="408"/>
      <c r="CG643" s="408"/>
      <c r="CH643" s="408"/>
      <c r="CI643" s="408">
        <v>7435.8437999999996</v>
      </c>
      <c r="CJ643" s="408">
        <v>-13264.321829999997</v>
      </c>
      <c r="CK643" s="408"/>
      <c r="CL643" s="408"/>
      <c r="CM643" s="408"/>
      <c r="CN643" s="408"/>
      <c r="CO643" s="408">
        <v>-26520.197369999998</v>
      </c>
      <c r="CP643" s="408">
        <v>0</v>
      </c>
      <c r="CQ643" s="408">
        <v>31</v>
      </c>
      <c r="CR643" s="408">
        <v>357.93737659134422</v>
      </c>
      <c r="CS643" s="408">
        <v>74.31442049805139</v>
      </c>
      <c r="CT643" s="408">
        <v>282.00644257111799</v>
      </c>
      <c r="CU643" s="408">
        <v>0</v>
      </c>
      <c r="CV643" s="408">
        <v>0</v>
      </c>
      <c r="CW643" s="408"/>
      <c r="CX643" s="408"/>
      <c r="CY643" s="408"/>
      <c r="CZ643" s="408">
        <v>7.8952781290159066</v>
      </c>
      <c r="DA643" s="408">
        <v>0</v>
      </c>
      <c r="DB643" s="408">
        <v>0</v>
      </c>
      <c r="DC643" s="408"/>
      <c r="DD643" s="408"/>
      <c r="DE643" s="408">
        <v>0</v>
      </c>
      <c r="DF643" s="408">
        <v>1.1156970145531862</v>
      </c>
      <c r="DG643" s="408">
        <v>39.856228462485603</v>
      </c>
      <c r="DH643" s="408">
        <v>0</v>
      </c>
      <c r="DI643" s="408">
        <v>-40.23150999676966</v>
      </c>
      <c r="DJ643" s="408"/>
      <c r="DK643" s="408">
        <v>0</v>
      </c>
      <c r="DL643" s="408">
        <v>0</v>
      </c>
      <c r="DM643" s="408"/>
      <c r="DN643" s="408">
        <v>0</v>
      </c>
      <c r="DO643" s="408">
        <v>-6.0654309420370112</v>
      </c>
      <c r="DP643" s="408">
        <v>-0.95374914507387487</v>
      </c>
      <c r="DQ643" s="408">
        <v>0</v>
      </c>
      <c r="DR643" s="408">
        <v>0</v>
      </c>
      <c r="DS643" s="408"/>
      <c r="DT643" s="408"/>
      <c r="DU643" s="408"/>
      <c r="DV643" s="408">
        <v>36583.246433984445</v>
      </c>
      <c r="DW643" s="408">
        <v>0</v>
      </c>
      <c r="DX643" s="408">
        <v>0</v>
      </c>
      <c r="DY643" s="408">
        <v>-26520.197370000002</v>
      </c>
      <c r="DZ643" s="234"/>
      <c r="EA643" s="408">
        <v>0</v>
      </c>
      <c r="EB643" s="408"/>
      <c r="EC643" s="408">
        <v>-26878.070308384944</v>
      </c>
      <c r="ED643" s="408"/>
      <c r="EE643" s="408">
        <v>0</v>
      </c>
      <c r="EF643" s="408">
        <v>0</v>
      </c>
      <c r="EG643" s="408"/>
      <c r="EH643" s="408">
        <v>0</v>
      </c>
      <c r="EI643" s="408">
        <v>0</v>
      </c>
      <c r="EJ643" s="408">
        <v>0</v>
      </c>
      <c r="EK643" s="408">
        <v>0</v>
      </c>
      <c r="EL643" s="408">
        <v>0</v>
      </c>
      <c r="EM643" s="408"/>
      <c r="EN643" s="408"/>
      <c r="EO643" s="408">
        <v>0</v>
      </c>
      <c r="EP643" s="408">
        <v>0</v>
      </c>
      <c r="EQ643" s="408"/>
      <c r="ER643" s="408">
        <v>0</v>
      </c>
      <c r="ES643" s="408"/>
      <c r="ET643" s="408">
        <v>0</v>
      </c>
      <c r="EU643" s="408"/>
      <c r="EV643" s="408">
        <v>242</v>
      </c>
      <c r="EW643" s="408"/>
      <c r="EX643" s="408"/>
      <c r="EY643" s="408"/>
      <c r="EZ643" s="408"/>
      <c r="FA643" s="408">
        <v>0</v>
      </c>
      <c r="FB643" s="408"/>
      <c r="FC643" s="408"/>
      <c r="FD643" s="408"/>
      <c r="FE643" s="408"/>
      <c r="FF643" s="408">
        <v>0</v>
      </c>
      <c r="FG643" s="408">
        <v>0</v>
      </c>
      <c r="FH643" s="408">
        <v>0</v>
      </c>
      <c r="FI643" s="408">
        <v>0</v>
      </c>
    </row>
    <row r="644" spans="1:165">
      <c r="A644" s="408">
        <v>645</v>
      </c>
      <c r="B644" s="408" t="s">
        <v>1036</v>
      </c>
      <c r="C644" s="408" t="s">
        <v>2239</v>
      </c>
      <c r="D644" s="408" t="s">
        <v>597</v>
      </c>
      <c r="E644" s="408" t="s">
        <v>970</v>
      </c>
      <c r="F644" s="408" t="s">
        <v>1322</v>
      </c>
      <c r="G644" s="408" t="s">
        <v>2327</v>
      </c>
      <c r="H644" s="408" t="s">
        <v>1322</v>
      </c>
      <c r="I644" s="408" t="s">
        <v>2240</v>
      </c>
      <c r="J644" s="408" t="s">
        <v>2328</v>
      </c>
      <c r="K644" s="828">
        <v>44621</v>
      </c>
      <c r="L644" s="408">
        <v>0</v>
      </c>
      <c r="M644" s="408">
        <v>0</v>
      </c>
      <c r="N644" s="408">
        <v>188.66800000000001</v>
      </c>
      <c r="O644" s="408">
        <v>94.334000000000003</v>
      </c>
      <c r="P644" s="408">
        <v>0</v>
      </c>
      <c r="Q644" s="408">
        <v>0</v>
      </c>
      <c r="R644" s="408"/>
      <c r="S644" s="408">
        <v>80.27</v>
      </c>
      <c r="T644" s="408"/>
      <c r="U644" s="408"/>
      <c r="V644" s="408">
        <v>15144.380359999999</v>
      </c>
      <c r="W644" s="408">
        <v>15144.380359999999</v>
      </c>
      <c r="X644" s="408">
        <v>15070.79984</v>
      </c>
      <c r="Y644" s="408">
        <v>0</v>
      </c>
      <c r="Z644" s="408">
        <v>9948.696989924385</v>
      </c>
      <c r="AA644" s="408">
        <v>0</v>
      </c>
      <c r="AB644" s="408">
        <v>0</v>
      </c>
      <c r="AC644" s="408">
        <v>0</v>
      </c>
      <c r="AD644" s="408">
        <v>0</v>
      </c>
      <c r="AE644" s="408">
        <v>0</v>
      </c>
      <c r="AF644" s="408"/>
      <c r="AG644" s="408"/>
      <c r="AH644" s="408"/>
      <c r="AI644" s="408">
        <v>0</v>
      </c>
      <c r="AJ644" s="408">
        <v>0</v>
      </c>
      <c r="AK644" s="408">
        <v>0</v>
      </c>
      <c r="AL644" s="408">
        <v>1768.5047150950413</v>
      </c>
      <c r="AM644" s="408"/>
      <c r="AN644" s="408">
        <v>259.08308536953558</v>
      </c>
      <c r="AO644" s="408">
        <v>0</v>
      </c>
      <c r="AP644" s="408">
        <v>0</v>
      </c>
      <c r="AQ644" s="408">
        <v>0</v>
      </c>
      <c r="AR644" s="408">
        <v>0</v>
      </c>
      <c r="AS644" s="408"/>
      <c r="AT644" s="408"/>
      <c r="AU644" s="408">
        <v>0</v>
      </c>
      <c r="AV644" s="408">
        <v>0</v>
      </c>
      <c r="AW644" s="408">
        <v>0</v>
      </c>
      <c r="AX644" s="408"/>
      <c r="AY644" s="408"/>
      <c r="AZ644" s="408">
        <v>0</v>
      </c>
      <c r="BA644" s="408"/>
      <c r="BB644" s="408">
        <v>0</v>
      </c>
      <c r="BC644" s="408">
        <v>0</v>
      </c>
      <c r="BD644" s="408">
        <v>86.277630840099647</v>
      </c>
      <c r="BE644" s="408">
        <v>0</v>
      </c>
      <c r="BF644" s="408"/>
      <c r="BG644" s="408">
        <v>3082.1100362468128</v>
      </c>
      <c r="BH644" s="408">
        <v>0</v>
      </c>
      <c r="BI644" s="408">
        <v>0</v>
      </c>
      <c r="BJ644" s="408">
        <v>0</v>
      </c>
      <c r="BK644" s="408">
        <v>0</v>
      </c>
      <c r="BL644" s="408">
        <v>0</v>
      </c>
      <c r="BM644" s="408"/>
      <c r="BN644" s="408">
        <v>7535.3999199999998</v>
      </c>
      <c r="BO644" s="408"/>
      <c r="BP644" s="408"/>
      <c r="BQ644" s="408"/>
      <c r="BR644" s="408"/>
      <c r="BS644" s="408"/>
      <c r="BT644" s="408"/>
      <c r="BU644" s="408"/>
      <c r="BV644" s="408">
        <v>3168.3876670869126</v>
      </c>
      <c r="BW644" s="408"/>
      <c r="BX644" s="408"/>
      <c r="BY644" s="408"/>
      <c r="BZ644" s="408"/>
      <c r="CA644" s="408"/>
      <c r="CB644" s="408"/>
      <c r="CC644" s="408"/>
      <c r="CD644" s="408"/>
      <c r="CE644" s="408"/>
      <c r="CF644" s="408"/>
      <c r="CG644" s="408"/>
      <c r="CH644" s="408"/>
      <c r="CI644" s="408">
        <v>7535.0803999999998</v>
      </c>
      <c r="CJ644" s="408">
        <v>-37.139780000000428</v>
      </c>
      <c r="CK644" s="408"/>
      <c r="CL644" s="408"/>
      <c r="CM644" s="408"/>
      <c r="CN644" s="408"/>
      <c r="CO644" s="408">
        <v>-73.580520000000107</v>
      </c>
      <c r="CP644" s="408">
        <v>0</v>
      </c>
      <c r="CQ644" s="408">
        <v>31</v>
      </c>
      <c r="CR644" s="408">
        <v>-74.181348916252318</v>
      </c>
      <c r="CS644" s="408">
        <v>0</v>
      </c>
      <c r="CT644" s="408">
        <v>0</v>
      </c>
      <c r="CU644" s="408">
        <v>0</v>
      </c>
      <c r="CV644" s="408">
        <v>0</v>
      </c>
      <c r="CW644" s="408"/>
      <c r="CX644" s="408"/>
      <c r="CY644" s="408"/>
      <c r="CZ644" s="408">
        <v>0</v>
      </c>
      <c r="DA644" s="408">
        <v>0</v>
      </c>
      <c r="DB644" s="408">
        <v>0</v>
      </c>
      <c r="DC644" s="408"/>
      <c r="DD644" s="408"/>
      <c r="DE644" s="408">
        <v>0</v>
      </c>
      <c r="DF644" s="408">
        <v>13.181559542972025</v>
      </c>
      <c r="DG644" s="408">
        <v>470.88702558458499</v>
      </c>
      <c r="DH644" s="408">
        <v>0</v>
      </c>
      <c r="DI644" s="408">
        <v>-475.32084213604867</v>
      </c>
      <c r="DJ644" s="408"/>
      <c r="DK644" s="408">
        <v>0</v>
      </c>
      <c r="DL644" s="408">
        <v>0</v>
      </c>
      <c r="DM644" s="408"/>
      <c r="DN644" s="408">
        <v>0</v>
      </c>
      <c r="DO644" s="408">
        <v>-71.66088828181114</v>
      </c>
      <c r="DP644" s="408">
        <v>-11.26820362595015</v>
      </c>
      <c r="DQ644" s="408">
        <v>0</v>
      </c>
      <c r="DR644" s="408">
        <v>0</v>
      </c>
      <c r="DS644" s="408"/>
      <c r="DT644" s="408"/>
      <c r="DU644" s="408"/>
      <c r="DV644" s="408">
        <v>0</v>
      </c>
      <c r="DW644" s="408">
        <v>0</v>
      </c>
      <c r="DX644" s="408">
        <v>0</v>
      </c>
      <c r="DY644" s="408">
        <v>-73.580519999999524</v>
      </c>
      <c r="DZ644" s="234"/>
      <c r="EA644" s="408">
        <v>0</v>
      </c>
      <c r="EB644" s="408"/>
      <c r="EC644" s="408">
        <v>0</v>
      </c>
      <c r="ED644" s="408"/>
      <c r="EE644" s="408">
        <v>0</v>
      </c>
      <c r="EF644" s="408">
        <v>0</v>
      </c>
      <c r="EG644" s="408"/>
      <c r="EH644" s="408">
        <v>0</v>
      </c>
      <c r="EI644" s="408">
        <v>0</v>
      </c>
      <c r="EJ644" s="408">
        <v>0</v>
      </c>
      <c r="EK644" s="408">
        <v>0</v>
      </c>
      <c r="EL644" s="408">
        <v>0</v>
      </c>
      <c r="EM644" s="408"/>
      <c r="EN644" s="408"/>
      <c r="EO644" s="408">
        <v>0</v>
      </c>
      <c r="EP644" s="408">
        <v>0</v>
      </c>
      <c r="EQ644" s="408"/>
      <c r="ER644" s="408">
        <v>0</v>
      </c>
      <c r="ES644" s="408"/>
      <c r="ET644" s="408">
        <v>0</v>
      </c>
      <c r="EU644" s="408"/>
      <c r="EV644" s="408">
        <v>242</v>
      </c>
      <c r="EW644" s="408"/>
      <c r="EX644" s="408"/>
      <c r="EY644" s="408"/>
      <c r="EZ644" s="408"/>
      <c r="FA644" s="408">
        <v>0</v>
      </c>
      <c r="FB644" s="408"/>
      <c r="FC644" s="408"/>
      <c r="FD644" s="408"/>
      <c r="FE644" s="408"/>
      <c r="FF644" s="408">
        <v>0</v>
      </c>
      <c r="FG644" s="408">
        <v>0</v>
      </c>
      <c r="FH644" s="408">
        <v>0</v>
      </c>
      <c r="FI644" s="408">
        <v>0</v>
      </c>
    </row>
    <row r="645" spans="1:165">
      <c r="A645" s="408">
        <v>646</v>
      </c>
      <c r="B645" s="408" t="s">
        <v>1036</v>
      </c>
      <c r="C645" s="408" t="s">
        <v>2239</v>
      </c>
      <c r="D645" s="408" t="s">
        <v>597</v>
      </c>
      <c r="E645" s="408" t="s">
        <v>970</v>
      </c>
      <c r="F645" s="408" t="s">
        <v>1322</v>
      </c>
      <c r="G645" s="408" t="s">
        <v>2327</v>
      </c>
      <c r="H645" s="408" t="s">
        <v>1322</v>
      </c>
      <c r="I645" s="408" t="s">
        <v>1322</v>
      </c>
      <c r="J645" s="408" t="s">
        <v>2328</v>
      </c>
      <c r="K645" s="828">
        <v>44621</v>
      </c>
      <c r="L645" s="408">
        <v>700</v>
      </c>
      <c r="M645" s="408">
        <v>350</v>
      </c>
      <c r="N645" s="408">
        <v>0</v>
      </c>
      <c r="O645" s="408">
        <v>0</v>
      </c>
      <c r="P645" s="408">
        <v>0</v>
      </c>
      <c r="Q645" s="408">
        <v>0</v>
      </c>
      <c r="R645" s="408">
        <v>32.17</v>
      </c>
      <c r="S645" s="408"/>
      <c r="T645" s="408"/>
      <c r="U645" s="408">
        <v>22519</v>
      </c>
      <c r="V645" s="408"/>
      <c r="W645" s="408">
        <v>22519</v>
      </c>
      <c r="X645" s="408">
        <v>9051</v>
      </c>
      <c r="Y645" s="408">
        <v>0</v>
      </c>
      <c r="Z645" s="408">
        <v>0</v>
      </c>
      <c r="AA645" s="408">
        <v>0</v>
      </c>
      <c r="AB645" s="408">
        <v>0</v>
      </c>
      <c r="AC645" s="408">
        <v>0</v>
      </c>
      <c r="AD645" s="408">
        <v>69.941357591892782</v>
      </c>
      <c r="AE645" s="408">
        <v>18848.714799945101</v>
      </c>
      <c r="AF645" s="408"/>
      <c r="AG645" s="408"/>
      <c r="AH645" s="408"/>
      <c r="AI645" s="408">
        <v>0</v>
      </c>
      <c r="AJ645" s="408">
        <v>0</v>
      </c>
      <c r="AK645" s="408">
        <v>0</v>
      </c>
      <c r="AL645" s="408">
        <v>0</v>
      </c>
      <c r="AM645" s="408"/>
      <c r="AN645" s="408">
        <v>0</v>
      </c>
      <c r="AO645" s="408">
        <v>1235.0947744896112</v>
      </c>
      <c r="AP645" s="408">
        <v>2368.005615811976</v>
      </c>
      <c r="AQ645" s="408">
        <v>0</v>
      </c>
      <c r="AR645" s="408">
        <v>0</v>
      </c>
      <c r="AS645" s="408"/>
      <c r="AT645" s="408"/>
      <c r="AU645" s="408">
        <v>0</v>
      </c>
      <c r="AV645" s="408">
        <v>0</v>
      </c>
      <c r="AW645" s="408">
        <v>0</v>
      </c>
      <c r="AX645" s="408"/>
      <c r="AY645" s="408"/>
      <c r="AZ645" s="408">
        <v>0</v>
      </c>
      <c r="BA645" s="408"/>
      <c r="BB645" s="408">
        <v>0</v>
      </c>
      <c r="BC645" s="408">
        <v>0</v>
      </c>
      <c r="BD645" s="408">
        <v>0</v>
      </c>
      <c r="BE645" s="408">
        <v>0</v>
      </c>
      <c r="BF645" s="408"/>
      <c r="BG645" s="408">
        <v>0</v>
      </c>
      <c r="BH645" s="408">
        <v>0</v>
      </c>
      <c r="BI645" s="408">
        <v>282.85000000000002</v>
      </c>
      <c r="BJ645" s="408">
        <v>0</v>
      </c>
      <c r="BK645" s="408">
        <v>7985.11</v>
      </c>
      <c r="BL645" s="408">
        <v>1</v>
      </c>
      <c r="BM645" s="408"/>
      <c r="BN645" s="408">
        <v>4525.5</v>
      </c>
      <c r="BO645" s="408"/>
      <c r="BP645" s="408"/>
      <c r="BQ645" s="408"/>
      <c r="BR645" s="408"/>
      <c r="BS645" s="408"/>
      <c r="BT645" s="408"/>
      <c r="BU645" s="408"/>
      <c r="BV645" s="408">
        <v>0</v>
      </c>
      <c r="BW645" s="408"/>
      <c r="BX645" s="408"/>
      <c r="BY645" s="408"/>
      <c r="BZ645" s="408"/>
      <c r="CA645" s="408"/>
      <c r="CB645" s="408"/>
      <c r="CC645" s="408"/>
      <c r="CD645" s="408"/>
      <c r="CE645" s="408"/>
      <c r="CF645" s="408"/>
      <c r="CG645" s="408"/>
      <c r="CH645" s="408"/>
      <c r="CI645" s="408">
        <v>4525.5</v>
      </c>
      <c r="CJ645" s="408">
        <v>-6734.0300000000007</v>
      </c>
      <c r="CK645" s="408"/>
      <c r="CL645" s="408"/>
      <c r="CM645" s="408"/>
      <c r="CN645" s="408"/>
      <c r="CO645" s="408">
        <v>-13468.000000000002</v>
      </c>
      <c r="CP645" s="408">
        <v>0</v>
      </c>
      <c r="CQ645" s="408">
        <v>31</v>
      </c>
      <c r="CR645" s="408">
        <v>378.50381741193269</v>
      </c>
      <c r="CS645" s="408">
        <v>127.40190848977886</v>
      </c>
      <c r="CT645" s="408">
        <v>244.26338852710205</v>
      </c>
      <c r="CU645" s="408">
        <v>0</v>
      </c>
      <c r="CV645" s="408">
        <v>0</v>
      </c>
      <c r="CW645" s="408"/>
      <c r="CX645" s="408"/>
      <c r="CY645" s="408"/>
      <c r="CZ645" s="408">
        <v>6.8385203950515177</v>
      </c>
      <c r="DA645" s="408">
        <v>0</v>
      </c>
      <c r="DB645" s="408">
        <v>0</v>
      </c>
      <c r="DC645" s="408"/>
      <c r="DD645" s="408"/>
      <c r="DE645" s="408">
        <v>0</v>
      </c>
      <c r="DF645" s="408">
        <v>0</v>
      </c>
      <c r="DG645" s="408">
        <v>0</v>
      </c>
      <c r="DH645" s="408">
        <v>0</v>
      </c>
      <c r="DI645" s="408">
        <v>0</v>
      </c>
      <c r="DJ645" s="408"/>
      <c r="DK645" s="408">
        <v>0</v>
      </c>
      <c r="DL645" s="408">
        <v>0</v>
      </c>
      <c r="DM645" s="408"/>
      <c r="DN645" s="408">
        <v>0</v>
      </c>
      <c r="DO645" s="408">
        <v>0</v>
      </c>
      <c r="DP645" s="408">
        <v>0</v>
      </c>
      <c r="DQ645" s="408">
        <v>0</v>
      </c>
      <c r="DR645" s="408">
        <v>0</v>
      </c>
      <c r="DS645" s="408"/>
      <c r="DT645" s="408"/>
      <c r="DU645" s="408">
        <v>18848.714799945101</v>
      </c>
      <c r="DV645" s="408"/>
      <c r="DW645" s="408">
        <v>0</v>
      </c>
      <c r="DX645" s="408">
        <v>0</v>
      </c>
      <c r="DY645" s="408">
        <v>-13468</v>
      </c>
      <c r="DZ645" s="234"/>
      <c r="EA645" s="408">
        <v>0</v>
      </c>
      <c r="EB645" s="408"/>
      <c r="EC645" s="408">
        <v>-13848.335809393659</v>
      </c>
      <c r="ED645" s="408"/>
      <c r="EE645" s="408">
        <v>0</v>
      </c>
      <c r="EF645" s="408">
        <v>0</v>
      </c>
      <c r="EG645" s="408"/>
      <c r="EH645" s="408">
        <v>0</v>
      </c>
      <c r="EI645" s="408">
        <v>0</v>
      </c>
      <c r="EJ645" s="408">
        <v>0</v>
      </c>
      <c r="EK645" s="408">
        <v>0</v>
      </c>
      <c r="EL645" s="408">
        <v>0</v>
      </c>
      <c r="EM645" s="408"/>
      <c r="EN645" s="408"/>
      <c r="EO645" s="408">
        <v>0</v>
      </c>
      <c r="EP645" s="408">
        <v>0</v>
      </c>
      <c r="EQ645" s="408"/>
      <c r="ER645" s="408">
        <v>0</v>
      </c>
      <c r="ES645" s="408"/>
      <c r="ET645" s="408">
        <v>0</v>
      </c>
      <c r="EU645" s="408"/>
      <c r="EV645" s="408">
        <v>242</v>
      </c>
      <c r="EW645" s="408"/>
      <c r="EX645" s="408"/>
      <c r="EY645" s="408"/>
      <c r="EZ645" s="408"/>
      <c r="FA645" s="408">
        <v>0</v>
      </c>
      <c r="FB645" s="408"/>
      <c r="FC645" s="408"/>
      <c r="FD645" s="408"/>
      <c r="FE645" s="408"/>
      <c r="FF645" s="408">
        <v>0</v>
      </c>
      <c r="FG645" s="408">
        <v>0</v>
      </c>
      <c r="FH645" s="408">
        <v>0</v>
      </c>
      <c r="FI645" s="408">
        <v>0</v>
      </c>
    </row>
    <row r="646" spans="1:165">
      <c r="A646" s="408">
        <v>647</v>
      </c>
      <c r="B646" s="408" t="s">
        <v>1036</v>
      </c>
      <c r="C646" s="408" t="s">
        <v>993</v>
      </c>
      <c r="D646" s="408" t="s">
        <v>597</v>
      </c>
      <c r="E646" s="408" t="s">
        <v>1322</v>
      </c>
      <c r="F646" s="408" t="s">
        <v>1322</v>
      </c>
      <c r="G646" s="408" t="s">
        <v>1322</v>
      </c>
      <c r="H646" s="408" t="s">
        <v>2329</v>
      </c>
      <c r="I646" s="408" t="s">
        <v>1322</v>
      </c>
      <c r="J646" s="408" t="s">
        <v>2252</v>
      </c>
      <c r="K646" s="828">
        <v>44621</v>
      </c>
      <c r="L646" s="408">
        <v>953</v>
      </c>
      <c r="M646" s="408">
        <v>476.5</v>
      </c>
      <c r="N646" s="408">
        <v>0</v>
      </c>
      <c r="O646" s="408">
        <v>0</v>
      </c>
      <c r="P646" s="408">
        <v>0</v>
      </c>
      <c r="Q646" s="408">
        <v>0</v>
      </c>
      <c r="R646" s="408">
        <v>10.220000000000001</v>
      </c>
      <c r="S646" s="408"/>
      <c r="T646" s="408"/>
      <c r="U646" s="408">
        <v>9739.66</v>
      </c>
      <c r="V646" s="408"/>
      <c r="W646" s="408">
        <v>9739.66</v>
      </c>
      <c r="X646" s="408">
        <v>2582.63</v>
      </c>
      <c r="Y646" s="408">
        <v>0</v>
      </c>
      <c r="Z646" s="408">
        <v>0</v>
      </c>
      <c r="AA646" s="408">
        <v>0</v>
      </c>
      <c r="AB646" s="408">
        <v>0</v>
      </c>
      <c r="AC646" s="408">
        <v>0</v>
      </c>
      <c r="AD646" s="408">
        <v>0</v>
      </c>
      <c r="AE646" s="408">
        <v>9741.2483581600645</v>
      </c>
      <c r="AF646" s="408"/>
      <c r="AG646" s="408"/>
      <c r="AH646" s="408"/>
      <c r="AI646" s="408">
        <v>0</v>
      </c>
      <c r="AJ646" s="408">
        <v>0</v>
      </c>
      <c r="AK646" s="408">
        <v>0</v>
      </c>
      <c r="AL646" s="408">
        <v>0</v>
      </c>
      <c r="AM646" s="408"/>
      <c r="AN646" s="408">
        <v>0</v>
      </c>
      <c r="AO646" s="408">
        <v>0</v>
      </c>
      <c r="AP646" s="408">
        <v>0</v>
      </c>
      <c r="AQ646" s="408">
        <v>0</v>
      </c>
      <c r="AR646" s="408">
        <v>0</v>
      </c>
      <c r="AS646" s="408"/>
      <c r="AT646" s="408"/>
      <c r="AU646" s="408">
        <v>0</v>
      </c>
      <c r="AV646" s="408">
        <v>0</v>
      </c>
      <c r="AW646" s="408">
        <v>0</v>
      </c>
      <c r="AX646" s="408"/>
      <c r="AY646" s="408"/>
      <c r="AZ646" s="408">
        <v>0</v>
      </c>
      <c r="BA646" s="408"/>
      <c r="BB646" s="408">
        <v>0</v>
      </c>
      <c r="BC646" s="408">
        <v>0</v>
      </c>
      <c r="BD646" s="408">
        <v>0</v>
      </c>
      <c r="BE646" s="408">
        <v>0</v>
      </c>
      <c r="BF646" s="408"/>
      <c r="BG646" s="408">
        <v>0</v>
      </c>
      <c r="BH646" s="408">
        <v>0</v>
      </c>
      <c r="BI646" s="408">
        <v>9.36</v>
      </c>
      <c r="BJ646" s="408">
        <v>0</v>
      </c>
      <c r="BK646" s="408">
        <v>0</v>
      </c>
      <c r="BL646" s="408">
        <v>0</v>
      </c>
      <c r="BM646" s="408"/>
      <c r="BN646" s="408"/>
      <c r="BO646" s="408">
        <v>1291.3150000000001</v>
      </c>
      <c r="BP646" s="408"/>
      <c r="BQ646" s="408"/>
      <c r="BR646" s="408"/>
      <c r="BS646" s="408"/>
      <c r="BT646" s="408"/>
      <c r="BU646" s="408"/>
      <c r="BV646" s="408">
        <v>0</v>
      </c>
      <c r="BW646" s="408"/>
      <c r="BX646" s="408"/>
      <c r="BY646" s="408"/>
      <c r="BZ646" s="408"/>
      <c r="CA646" s="408"/>
      <c r="CB646" s="408"/>
      <c r="CC646" s="408"/>
      <c r="CD646" s="408"/>
      <c r="CE646" s="408"/>
      <c r="CF646" s="408"/>
      <c r="CG646" s="408"/>
      <c r="CH646" s="408"/>
      <c r="CI646" s="408">
        <v>1291.3150000000001</v>
      </c>
      <c r="CJ646" s="408">
        <v>-3578.5450000000005</v>
      </c>
      <c r="CK646" s="408"/>
      <c r="CL646" s="408"/>
      <c r="CM646" s="408"/>
      <c r="CN646" s="408"/>
      <c r="CO646" s="408">
        <v>-7157.0300000000007</v>
      </c>
      <c r="CP646" s="408">
        <v>0</v>
      </c>
      <c r="CQ646" s="408">
        <v>31</v>
      </c>
      <c r="CR646" s="408">
        <v>0</v>
      </c>
      <c r="CS646" s="408">
        <v>0</v>
      </c>
      <c r="CT646" s="408">
        <v>0</v>
      </c>
      <c r="CU646" s="408">
        <v>0</v>
      </c>
      <c r="CV646" s="408">
        <v>0</v>
      </c>
      <c r="CW646" s="408"/>
      <c r="CX646" s="408"/>
      <c r="CY646" s="408"/>
      <c r="CZ646" s="408">
        <v>0</v>
      </c>
      <c r="DA646" s="408">
        <v>0</v>
      </c>
      <c r="DB646" s="408">
        <v>0</v>
      </c>
      <c r="DC646" s="408"/>
      <c r="DD646" s="408"/>
      <c r="DE646" s="408">
        <v>0</v>
      </c>
      <c r="DF646" s="408">
        <v>0</v>
      </c>
      <c r="DG646" s="408">
        <v>0</v>
      </c>
      <c r="DH646" s="408">
        <v>0</v>
      </c>
      <c r="DI646" s="408">
        <v>0</v>
      </c>
      <c r="DJ646" s="408"/>
      <c r="DK646" s="408">
        <v>0</v>
      </c>
      <c r="DL646" s="408">
        <v>0</v>
      </c>
      <c r="DM646" s="408"/>
      <c r="DN646" s="408">
        <v>0</v>
      </c>
      <c r="DO646" s="408">
        <v>0</v>
      </c>
      <c r="DP646" s="408">
        <v>0</v>
      </c>
      <c r="DQ646" s="408">
        <v>0</v>
      </c>
      <c r="DR646" s="408">
        <v>0</v>
      </c>
      <c r="DS646" s="408"/>
      <c r="DT646" s="408"/>
      <c r="DU646" s="408">
        <v>9741.2483581600645</v>
      </c>
      <c r="DV646" s="408"/>
      <c r="DW646" s="408">
        <v>0</v>
      </c>
      <c r="DX646" s="408">
        <v>0</v>
      </c>
      <c r="DY646" s="408">
        <v>-7157.03</v>
      </c>
      <c r="DZ646" s="234"/>
      <c r="EA646" s="408">
        <v>0</v>
      </c>
      <c r="EB646" s="408"/>
      <c r="EC646" s="408">
        <v>-7156.9908027309175</v>
      </c>
      <c r="ED646" s="408"/>
      <c r="EE646" s="408">
        <v>0</v>
      </c>
      <c r="EF646" s="408">
        <v>0</v>
      </c>
      <c r="EG646" s="408"/>
      <c r="EH646" s="408">
        <v>0</v>
      </c>
      <c r="EI646" s="408">
        <v>0</v>
      </c>
      <c r="EJ646" s="408">
        <v>0</v>
      </c>
      <c r="EK646" s="408">
        <v>0</v>
      </c>
      <c r="EL646" s="408">
        <v>0</v>
      </c>
      <c r="EM646" s="408"/>
      <c r="EN646" s="408"/>
      <c r="EO646" s="408">
        <v>0</v>
      </c>
      <c r="EP646" s="408">
        <v>0</v>
      </c>
      <c r="EQ646" s="408"/>
      <c r="ER646" s="408">
        <v>0</v>
      </c>
      <c r="ES646" s="408"/>
      <c r="ET646" s="408">
        <v>0</v>
      </c>
      <c r="EU646" s="408"/>
      <c r="EV646" s="408">
        <v>242</v>
      </c>
      <c r="EW646" s="408"/>
      <c r="EX646" s="408"/>
      <c r="EY646" s="408"/>
      <c r="EZ646" s="408"/>
      <c r="FA646" s="408">
        <v>0</v>
      </c>
      <c r="FB646" s="408"/>
      <c r="FC646" s="408"/>
      <c r="FD646" s="408"/>
      <c r="FE646" s="408"/>
      <c r="FF646" s="408">
        <v>0</v>
      </c>
      <c r="FG646" s="408">
        <v>0</v>
      </c>
      <c r="FH646" s="408">
        <v>0</v>
      </c>
      <c r="FI646" s="408">
        <v>0</v>
      </c>
    </row>
    <row r="647" spans="1:165">
      <c r="A647" s="408">
        <v>648</v>
      </c>
      <c r="B647" s="408" t="s">
        <v>1036</v>
      </c>
      <c r="C647" s="408" t="s">
        <v>2239</v>
      </c>
      <c r="D647" s="408" t="s">
        <v>597</v>
      </c>
      <c r="E647" s="408" t="s">
        <v>970</v>
      </c>
      <c r="F647" s="408" t="s">
        <v>1322</v>
      </c>
      <c r="G647" s="408" t="s">
        <v>2327</v>
      </c>
      <c r="H647" s="408" t="s">
        <v>1322</v>
      </c>
      <c r="I647" s="408" t="s">
        <v>973</v>
      </c>
      <c r="J647" s="408" t="s">
        <v>2328</v>
      </c>
      <c r="K647" s="828">
        <v>44652</v>
      </c>
      <c r="L647" s="408">
        <v>0</v>
      </c>
      <c r="M647" s="408">
        <v>0</v>
      </c>
      <c r="N647" s="408">
        <v>10.753</v>
      </c>
      <c r="O647" s="408">
        <v>5.3765000000000001</v>
      </c>
      <c r="P647" s="408">
        <v>0</v>
      </c>
      <c r="Q647" s="408">
        <v>0</v>
      </c>
      <c r="R647" s="408"/>
      <c r="S647" s="408">
        <v>2592.54</v>
      </c>
      <c r="T647" s="408"/>
      <c r="U647" s="408"/>
      <c r="V647" s="408">
        <v>27877.582620000001</v>
      </c>
      <c r="W647" s="408">
        <v>27877.582620000001</v>
      </c>
      <c r="X647" s="408">
        <v>10019.752929999999</v>
      </c>
      <c r="Y647" s="408">
        <v>0</v>
      </c>
      <c r="Z647" s="408">
        <v>567.01898961486268</v>
      </c>
      <c r="AA647" s="408">
        <v>0</v>
      </c>
      <c r="AB647" s="408">
        <v>0</v>
      </c>
      <c r="AC647" s="408">
        <v>0</v>
      </c>
      <c r="AD647" s="408">
        <v>54.373998381588336</v>
      </c>
      <c r="AE647" s="408">
        <v>24633.956346961913</v>
      </c>
      <c r="AF647" s="408"/>
      <c r="AG647" s="408"/>
      <c r="AH647" s="408"/>
      <c r="AI647" s="408">
        <v>0</v>
      </c>
      <c r="AJ647" s="408">
        <v>0</v>
      </c>
      <c r="AK647" s="408">
        <v>0</v>
      </c>
      <c r="AL647" s="408">
        <v>100.79468273060073</v>
      </c>
      <c r="AM647" s="408"/>
      <c r="AN647" s="408">
        <v>14.766258278980091</v>
      </c>
      <c r="AO647" s="408">
        <v>485.12021367857301</v>
      </c>
      <c r="AP647" s="408">
        <v>1840.9216510331078</v>
      </c>
      <c r="AQ647" s="408">
        <v>0</v>
      </c>
      <c r="AR647" s="408">
        <v>0</v>
      </c>
      <c r="AS647" s="408"/>
      <c r="AT647" s="408"/>
      <c r="AU647" s="408">
        <v>0</v>
      </c>
      <c r="AV647" s="408">
        <v>0</v>
      </c>
      <c r="AW647" s="408">
        <v>0</v>
      </c>
      <c r="AX647" s="408"/>
      <c r="AY647" s="408"/>
      <c r="AZ647" s="408">
        <v>0</v>
      </c>
      <c r="BA647" s="408"/>
      <c r="BB647" s="408">
        <v>0</v>
      </c>
      <c r="BC647" s="408">
        <v>0</v>
      </c>
      <c r="BD647" s="408">
        <v>4.917332904486142</v>
      </c>
      <c r="BE647" s="408">
        <v>0</v>
      </c>
      <c r="BF647" s="408"/>
      <c r="BG647" s="408">
        <v>175.66269436132242</v>
      </c>
      <c r="BH647" s="408">
        <v>0</v>
      </c>
      <c r="BI647" s="408">
        <v>0</v>
      </c>
      <c r="BJ647" s="408">
        <v>0</v>
      </c>
      <c r="BK647" s="408">
        <v>0</v>
      </c>
      <c r="BL647" s="408">
        <v>0</v>
      </c>
      <c r="BM647" s="408"/>
      <c r="BN647" s="408">
        <v>5009.8764649999994</v>
      </c>
      <c r="BO647" s="408"/>
      <c r="BP647" s="408"/>
      <c r="BQ647" s="408"/>
      <c r="BR647" s="408"/>
      <c r="BS647" s="408"/>
      <c r="BT647" s="408"/>
      <c r="BU647" s="408"/>
      <c r="BV647" s="408">
        <v>180.58002726580855</v>
      </c>
      <c r="BW647" s="408"/>
      <c r="BX647" s="408"/>
      <c r="BY647" s="408"/>
      <c r="BZ647" s="408"/>
      <c r="CA647" s="408"/>
      <c r="CB647" s="408"/>
      <c r="CC647" s="408"/>
      <c r="CD647" s="408"/>
      <c r="CE647" s="408"/>
      <c r="CF647" s="408"/>
      <c r="CG647" s="408"/>
      <c r="CH647" s="408"/>
      <c r="CI647" s="408">
        <v>5013.1377999999995</v>
      </c>
      <c r="CJ647" s="408">
        <v>-8925.6835100000026</v>
      </c>
      <c r="CK647" s="408"/>
      <c r="CL647" s="408"/>
      <c r="CM647" s="408"/>
      <c r="CN647" s="408"/>
      <c r="CO647" s="408">
        <v>-17857.829689999999</v>
      </c>
      <c r="CP647" s="408">
        <v>0</v>
      </c>
      <c r="CQ647" s="408">
        <v>30</v>
      </c>
      <c r="CR647" s="408">
        <v>241.02327074248296</v>
      </c>
      <c r="CS647" s="408">
        <v>50.040889449279575</v>
      </c>
      <c r="CT647" s="408">
        <v>189.89387419169816</v>
      </c>
      <c r="CU647" s="408">
        <v>0</v>
      </c>
      <c r="CV647" s="408">
        <v>0</v>
      </c>
      <c r="CW647" s="408"/>
      <c r="CX647" s="408"/>
      <c r="CY647" s="408"/>
      <c r="CZ647" s="408">
        <v>5.3164209231203046</v>
      </c>
      <c r="DA647" s="408">
        <v>0</v>
      </c>
      <c r="DB647" s="408">
        <v>0</v>
      </c>
      <c r="DC647" s="408"/>
      <c r="DD647" s="408"/>
      <c r="DE647" s="408">
        <v>0</v>
      </c>
      <c r="DF647" s="408">
        <v>0.75127371767113793</v>
      </c>
      <c r="DG647" s="408">
        <v>26.837874923733949</v>
      </c>
      <c r="DH647" s="408">
        <v>0</v>
      </c>
      <c r="DI647" s="408">
        <v>-27.090577180491209</v>
      </c>
      <c r="DJ647" s="408"/>
      <c r="DK647" s="408">
        <v>0</v>
      </c>
      <c r="DL647" s="408">
        <v>0</v>
      </c>
      <c r="DM647" s="408"/>
      <c r="DN647" s="408">
        <v>0</v>
      </c>
      <c r="DO647" s="408">
        <v>-4.0842619399914781</v>
      </c>
      <c r="DP647" s="408">
        <v>-0.64222334253737756</v>
      </c>
      <c r="DQ647" s="408">
        <v>0</v>
      </c>
      <c r="DR647" s="408">
        <v>0</v>
      </c>
      <c r="DS647" s="408"/>
      <c r="DT647" s="408"/>
      <c r="DU647" s="408"/>
      <c r="DV647" s="408">
        <v>24633.956346961913</v>
      </c>
      <c r="DW647" s="408">
        <v>0</v>
      </c>
      <c r="DX647" s="408">
        <v>0</v>
      </c>
      <c r="DY647" s="408">
        <v>-17857.829690000002</v>
      </c>
      <c r="DZ647" s="234"/>
      <c r="EA647" s="408">
        <v>0</v>
      </c>
      <c r="EB647" s="408"/>
      <c r="EC647" s="408">
        <v>-18098.809570171168</v>
      </c>
      <c r="ED647" s="408"/>
      <c r="EE647" s="408">
        <v>0</v>
      </c>
      <c r="EF647" s="408">
        <v>0</v>
      </c>
      <c r="EG647" s="408"/>
      <c r="EH647" s="408">
        <v>0</v>
      </c>
      <c r="EI647" s="408">
        <v>0</v>
      </c>
      <c r="EJ647" s="408">
        <v>0</v>
      </c>
      <c r="EK647" s="408">
        <v>0</v>
      </c>
      <c r="EL647" s="408">
        <v>0</v>
      </c>
      <c r="EM647" s="408"/>
      <c r="EN647" s="408"/>
      <c r="EO647" s="408">
        <v>0</v>
      </c>
      <c r="EP647" s="408">
        <v>0</v>
      </c>
      <c r="EQ647" s="408"/>
      <c r="ER647" s="408">
        <v>0</v>
      </c>
      <c r="ES647" s="408"/>
      <c r="ET647" s="408">
        <v>0</v>
      </c>
      <c r="EU647" s="408"/>
      <c r="EV647" s="408">
        <v>242</v>
      </c>
      <c r="EW647" s="408"/>
      <c r="EX647" s="408"/>
      <c r="EY647" s="408"/>
      <c r="EZ647" s="408"/>
      <c r="FA647" s="408">
        <v>0</v>
      </c>
      <c r="FB647" s="408"/>
      <c r="FC647" s="408"/>
      <c r="FD647" s="408"/>
      <c r="FE647" s="408"/>
      <c r="FF647" s="408">
        <v>0</v>
      </c>
      <c r="FG647" s="408">
        <v>0</v>
      </c>
      <c r="FH647" s="408">
        <v>0</v>
      </c>
      <c r="FI647" s="408">
        <v>0</v>
      </c>
    </row>
    <row r="648" spans="1:165">
      <c r="A648" s="408">
        <v>649</v>
      </c>
      <c r="B648" s="408" t="s">
        <v>1036</v>
      </c>
      <c r="C648" s="408" t="s">
        <v>2239</v>
      </c>
      <c r="D648" s="408" t="s">
        <v>597</v>
      </c>
      <c r="E648" s="408" t="s">
        <v>970</v>
      </c>
      <c r="F648" s="408" t="s">
        <v>1322</v>
      </c>
      <c r="G648" s="408" t="s">
        <v>2327</v>
      </c>
      <c r="H648" s="408" t="s">
        <v>1322</v>
      </c>
      <c r="I648" s="408" t="s">
        <v>2240</v>
      </c>
      <c r="J648" s="408" t="s">
        <v>2328</v>
      </c>
      <c r="K648" s="828">
        <v>44652</v>
      </c>
      <c r="L648" s="408">
        <v>0</v>
      </c>
      <c r="M648" s="408">
        <v>0</v>
      </c>
      <c r="N648" s="408">
        <v>153.851</v>
      </c>
      <c r="O648" s="408">
        <v>76.9255</v>
      </c>
      <c r="P648" s="408">
        <v>0</v>
      </c>
      <c r="Q648" s="408">
        <v>0</v>
      </c>
      <c r="R648" s="408"/>
      <c r="S648" s="408">
        <v>80.27</v>
      </c>
      <c r="T648" s="408"/>
      <c r="U648" s="408"/>
      <c r="V648" s="408">
        <v>12349.619769999999</v>
      </c>
      <c r="W648" s="408">
        <v>12349.619769999999</v>
      </c>
      <c r="X648" s="408">
        <v>12289.61788</v>
      </c>
      <c r="Y648" s="408">
        <v>0</v>
      </c>
      <c r="Z648" s="408">
        <v>8112.7535172729686</v>
      </c>
      <c r="AA648" s="408">
        <v>0</v>
      </c>
      <c r="AB648" s="408">
        <v>0</v>
      </c>
      <c r="AC648" s="408">
        <v>0</v>
      </c>
      <c r="AD648" s="408">
        <v>0</v>
      </c>
      <c r="AE648" s="408">
        <v>0</v>
      </c>
      <c r="AF648" s="408"/>
      <c r="AG648" s="408"/>
      <c r="AH648" s="408"/>
      <c r="AI648" s="408">
        <v>0</v>
      </c>
      <c r="AJ648" s="408">
        <v>0</v>
      </c>
      <c r="AK648" s="408">
        <v>0</v>
      </c>
      <c r="AL648" s="408">
        <v>1442.1429120046175</v>
      </c>
      <c r="AM648" s="408"/>
      <c r="AN648" s="408">
        <v>211.27160815394458</v>
      </c>
      <c r="AO648" s="408">
        <v>0</v>
      </c>
      <c r="AP648" s="408">
        <v>0</v>
      </c>
      <c r="AQ648" s="408">
        <v>0</v>
      </c>
      <c r="AR648" s="408">
        <v>0</v>
      </c>
      <c r="AS648" s="408"/>
      <c r="AT648" s="408"/>
      <c r="AU648" s="408">
        <v>0</v>
      </c>
      <c r="AV648" s="408">
        <v>0</v>
      </c>
      <c r="AW648" s="408">
        <v>0</v>
      </c>
      <c r="AX648" s="408"/>
      <c r="AY648" s="408"/>
      <c r="AZ648" s="408">
        <v>0</v>
      </c>
      <c r="BA648" s="408"/>
      <c r="BB648" s="408">
        <v>0</v>
      </c>
      <c r="BC648" s="408">
        <v>0</v>
      </c>
      <c r="BD648" s="408">
        <v>70.355862055993441</v>
      </c>
      <c r="BE648" s="408">
        <v>0</v>
      </c>
      <c r="BF648" s="408"/>
      <c r="BG648" s="408">
        <v>2513.3340639992389</v>
      </c>
      <c r="BH648" s="408">
        <v>0</v>
      </c>
      <c r="BI648" s="408">
        <v>0</v>
      </c>
      <c r="BJ648" s="408">
        <v>0</v>
      </c>
      <c r="BK648" s="408">
        <v>0</v>
      </c>
      <c r="BL648" s="408">
        <v>0</v>
      </c>
      <c r="BM648" s="408"/>
      <c r="BN648" s="408">
        <v>6144.8089399999999</v>
      </c>
      <c r="BO648" s="408"/>
      <c r="BP648" s="408"/>
      <c r="BQ648" s="408"/>
      <c r="BR648" s="408"/>
      <c r="BS648" s="408"/>
      <c r="BT648" s="408"/>
      <c r="BU648" s="408"/>
      <c r="BV648" s="408">
        <v>2583.6899260552323</v>
      </c>
      <c r="BW648" s="408"/>
      <c r="BX648" s="408"/>
      <c r="BY648" s="408"/>
      <c r="BZ648" s="408"/>
      <c r="CA648" s="408"/>
      <c r="CB648" s="408"/>
      <c r="CC648" s="408"/>
      <c r="CD648" s="408"/>
      <c r="CE648" s="408"/>
      <c r="CF648" s="408"/>
      <c r="CG648" s="408"/>
      <c r="CH648" s="408"/>
      <c r="CI648" s="408">
        <v>6145.1684000000005</v>
      </c>
      <c r="CJ648" s="408">
        <v>-29.671484999999848</v>
      </c>
      <c r="CK648" s="408"/>
      <c r="CL648" s="408"/>
      <c r="CM648" s="408"/>
      <c r="CN648" s="408"/>
      <c r="CO648" s="408">
        <v>-60.001890000000088</v>
      </c>
      <c r="CP648" s="408">
        <v>0</v>
      </c>
      <c r="CQ648" s="408">
        <v>30</v>
      </c>
      <c r="CR648" s="408">
        <v>-60.491841287945135</v>
      </c>
      <c r="CS648" s="408">
        <v>0</v>
      </c>
      <c r="CT648" s="408">
        <v>0</v>
      </c>
      <c r="CU648" s="408">
        <v>0</v>
      </c>
      <c r="CV648" s="408">
        <v>0</v>
      </c>
      <c r="CW648" s="408"/>
      <c r="CX648" s="408"/>
      <c r="CY648" s="408"/>
      <c r="CZ648" s="408">
        <v>0</v>
      </c>
      <c r="DA648" s="408">
        <v>0</v>
      </c>
      <c r="DB648" s="408">
        <v>0</v>
      </c>
      <c r="DC648" s="408"/>
      <c r="DD648" s="408"/>
      <c r="DE648" s="408">
        <v>0</v>
      </c>
      <c r="DF648" s="408">
        <v>10.74902006299844</v>
      </c>
      <c r="DG648" s="408">
        <v>383.98901654341989</v>
      </c>
      <c r="DH648" s="408">
        <v>0</v>
      </c>
      <c r="DI648" s="408">
        <v>-387.60461171726547</v>
      </c>
      <c r="DJ648" s="408"/>
      <c r="DK648" s="408">
        <v>0</v>
      </c>
      <c r="DL648" s="408">
        <v>0</v>
      </c>
      <c r="DM648" s="408"/>
      <c r="DN648" s="408">
        <v>0</v>
      </c>
      <c r="DO648" s="408">
        <v>-58.436509228087971</v>
      </c>
      <c r="DP648" s="408">
        <v>-9.1887569490112639</v>
      </c>
      <c r="DQ648" s="408">
        <v>0</v>
      </c>
      <c r="DR648" s="408">
        <v>0</v>
      </c>
      <c r="DS648" s="408"/>
      <c r="DT648" s="408"/>
      <c r="DU648" s="408"/>
      <c r="DV648" s="408">
        <v>0</v>
      </c>
      <c r="DW648" s="408">
        <v>0</v>
      </c>
      <c r="DX648" s="408">
        <v>0</v>
      </c>
      <c r="DY648" s="408">
        <v>-60.001889999999548</v>
      </c>
      <c r="DZ648" s="234"/>
      <c r="EA648" s="408">
        <v>0</v>
      </c>
      <c r="EB648" s="408"/>
      <c r="EC648" s="408">
        <v>0</v>
      </c>
      <c r="ED648" s="408"/>
      <c r="EE648" s="408">
        <v>0</v>
      </c>
      <c r="EF648" s="408">
        <v>0</v>
      </c>
      <c r="EG648" s="408"/>
      <c r="EH648" s="408">
        <v>0</v>
      </c>
      <c r="EI648" s="408">
        <v>0</v>
      </c>
      <c r="EJ648" s="408">
        <v>0</v>
      </c>
      <c r="EK648" s="408">
        <v>0</v>
      </c>
      <c r="EL648" s="408">
        <v>0</v>
      </c>
      <c r="EM648" s="408"/>
      <c r="EN648" s="408"/>
      <c r="EO648" s="408">
        <v>0</v>
      </c>
      <c r="EP648" s="408">
        <v>0</v>
      </c>
      <c r="EQ648" s="408"/>
      <c r="ER648" s="408">
        <v>0</v>
      </c>
      <c r="ES648" s="408"/>
      <c r="ET648" s="408">
        <v>0</v>
      </c>
      <c r="EU648" s="408"/>
      <c r="EV648" s="408">
        <v>242</v>
      </c>
      <c r="EW648" s="408"/>
      <c r="EX648" s="408"/>
      <c r="EY648" s="408"/>
      <c r="EZ648" s="408"/>
      <c r="FA648" s="408">
        <v>0</v>
      </c>
      <c r="FB648" s="408"/>
      <c r="FC648" s="408"/>
      <c r="FD648" s="408"/>
      <c r="FE648" s="408"/>
      <c r="FF648" s="408">
        <v>0</v>
      </c>
      <c r="FG648" s="408">
        <v>0</v>
      </c>
      <c r="FH648" s="408">
        <v>0</v>
      </c>
      <c r="FI648" s="408">
        <v>0</v>
      </c>
    </row>
    <row r="649" spans="1:165">
      <c r="A649" s="408">
        <v>650</v>
      </c>
      <c r="B649" s="408" t="s">
        <v>1036</v>
      </c>
      <c r="C649" s="408" t="s">
        <v>2239</v>
      </c>
      <c r="D649" s="408" t="s">
        <v>597</v>
      </c>
      <c r="E649" s="408" t="s">
        <v>970</v>
      </c>
      <c r="F649" s="408" t="s">
        <v>1322</v>
      </c>
      <c r="G649" s="408" t="s">
        <v>2327</v>
      </c>
      <c r="H649" s="408" t="s">
        <v>1322</v>
      </c>
      <c r="I649" s="408" t="s">
        <v>1322</v>
      </c>
      <c r="J649" s="408" t="s">
        <v>2328</v>
      </c>
      <c r="K649" s="828">
        <v>44652</v>
      </c>
      <c r="L649" s="408">
        <v>599</v>
      </c>
      <c r="M649" s="408">
        <v>299.5</v>
      </c>
      <c r="N649" s="408">
        <v>0</v>
      </c>
      <c r="O649" s="408">
        <v>0</v>
      </c>
      <c r="P649" s="408">
        <v>0</v>
      </c>
      <c r="Q649" s="408">
        <v>0</v>
      </c>
      <c r="R649" s="408">
        <v>32.17</v>
      </c>
      <c r="S649" s="408"/>
      <c r="T649" s="408"/>
      <c r="U649" s="408">
        <v>19269.830000000002</v>
      </c>
      <c r="V649" s="408"/>
      <c r="W649" s="408">
        <v>19269.830000000002</v>
      </c>
      <c r="X649" s="408">
        <v>7745.07</v>
      </c>
      <c r="Y649" s="408">
        <v>0</v>
      </c>
      <c r="Z649" s="408">
        <v>0</v>
      </c>
      <c r="AA649" s="408">
        <v>0</v>
      </c>
      <c r="AB649" s="408">
        <v>0</v>
      </c>
      <c r="AC649" s="408">
        <v>0</v>
      </c>
      <c r="AD649" s="408">
        <v>59.84981885363397</v>
      </c>
      <c r="AE649" s="408">
        <v>16129.114521667307</v>
      </c>
      <c r="AF649" s="408"/>
      <c r="AG649" s="408"/>
      <c r="AH649" s="408"/>
      <c r="AI649" s="408">
        <v>0</v>
      </c>
      <c r="AJ649" s="408">
        <v>0</v>
      </c>
      <c r="AK649" s="408">
        <v>0</v>
      </c>
      <c r="AL649" s="408">
        <v>0</v>
      </c>
      <c r="AM649" s="408"/>
      <c r="AN649" s="408">
        <v>0</v>
      </c>
      <c r="AO649" s="408">
        <v>1056.8882427418243</v>
      </c>
      <c r="AP649" s="408">
        <v>2026.3362341019624</v>
      </c>
      <c r="AQ649" s="408">
        <v>0</v>
      </c>
      <c r="AR649" s="408">
        <v>0</v>
      </c>
      <c r="AS649" s="408"/>
      <c r="AT649" s="408"/>
      <c r="AU649" s="408">
        <v>0</v>
      </c>
      <c r="AV649" s="408">
        <v>0</v>
      </c>
      <c r="AW649" s="408">
        <v>0</v>
      </c>
      <c r="AX649" s="408"/>
      <c r="AY649" s="408"/>
      <c r="AZ649" s="408">
        <v>0</v>
      </c>
      <c r="BA649" s="408"/>
      <c r="BB649" s="408">
        <v>0</v>
      </c>
      <c r="BC649" s="408">
        <v>0</v>
      </c>
      <c r="BD649" s="408">
        <v>0</v>
      </c>
      <c r="BE649" s="408">
        <v>0</v>
      </c>
      <c r="BF649" s="408"/>
      <c r="BG649" s="408">
        <v>0</v>
      </c>
      <c r="BH649" s="408">
        <v>0</v>
      </c>
      <c r="BI649" s="408">
        <v>514.66</v>
      </c>
      <c r="BJ649" s="408">
        <v>0</v>
      </c>
      <c r="BK649" s="408">
        <v>6261.13</v>
      </c>
      <c r="BL649" s="408">
        <v>1</v>
      </c>
      <c r="BM649" s="408"/>
      <c r="BN649" s="408">
        <v>3872.5349999999999</v>
      </c>
      <c r="BO649" s="408"/>
      <c r="BP649" s="408"/>
      <c r="BQ649" s="408"/>
      <c r="BR649" s="408"/>
      <c r="BS649" s="408"/>
      <c r="BT649" s="408"/>
      <c r="BU649" s="408"/>
      <c r="BV649" s="408">
        <v>0</v>
      </c>
      <c r="BW649" s="408"/>
      <c r="BX649" s="408"/>
      <c r="BY649" s="408"/>
      <c r="BZ649" s="408"/>
      <c r="CA649" s="408"/>
      <c r="CB649" s="408"/>
      <c r="CC649" s="408"/>
      <c r="CD649" s="408"/>
      <c r="CE649" s="408"/>
      <c r="CF649" s="408"/>
      <c r="CG649" s="408"/>
      <c r="CH649" s="408"/>
      <c r="CI649" s="408">
        <v>3872.5349999999999</v>
      </c>
      <c r="CJ649" s="408">
        <v>-5762.4100000000017</v>
      </c>
      <c r="CK649" s="408"/>
      <c r="CL649" s="408"/>
      <c r="CM649" s="408"/>
      <c r="CN649" s="408"/>
      <c r="CO649" s="408">
        <v>-11524.760000000002</v>
      </c>
      <c r="CP649" s="408">
        <v>0</v>
      </c>
      <c r="CQ649" s="408">
        <v>30</v>
      </c>
      <c r="CR649" s="408">
        <v>323.89112375678224</v>
      </c>
      <c r="CS649" s="408">
        <v>109.0196331219679</v>
      </c>
      <c r="CT649" s="408">
        <v>209.01967103962033</v>
      </c>
      <c r="CU649" s="408">
        <v>0</v>
      </c>
      <c r="CV649" s="408">
        <v>0</v>
      </c>
      <c r="CW649" s="408"/>
      <c r="CX649" s="408"/>
      <c r="CY649" s="408"/>
      <c r="CZ649" s="408">
        <v>5.8518195951940797</v>
      </c>
      <c r="DA649" s="408">
        <v>0</v>
      </c>
      <c r="DB649" s="408">
        <v>0</v>
      </c>
      <c r="DC649" s="408"/>
      <c r="DD649" s="408"/>
      <c r="DE649" s="408">
        <v>0</v>
      </c>
      <c r="DF649" s="408">
        <v>0</v>
      </c>
      <c r="DG649" s="408">
        <v>0</v>
      </c>
      <c r="DH649" s="408">
        <v>0</v>
      </c>
      <c r="DI649" s="408">
        <v>0</v>
      </c>
      <c r="DJ649" s="408"/>
      <c r="DK649" s="408">
        <v>0</v>
      </c>
      <c r="DL649" s="408">
        <v>0</v>
      </c>
      <c r="DM649" s="408"/>
      <c r="DN649" s="408">
        <v>0</v>
      </c>
      <c r="DO649" s="408">
        <v>0</v>
      </c>
      <c r="DP649" s="408">
        <v>0</v>
      </c>
      <c r="DQ649" s="408">
        <v>0</v>
      </c>
      <c r="DR649" s="408">
        <v>0</v>
      </c>
      <c r="DS649" s="408"/>
      <c r="DT649" s="408"/>
      <c r="DU649" s="408">
        <v>16129.114521667307</v>
      </c>
      <c r="DV649" s="408"/>
      <c r="DW649" s="408">
        <v>0</v>
      </c>
      <c r="DX649" s="408">
        <v>0</v>
      </c>
      <c r="DY649" s="408">
        <v>-11524.760000000002</v>
      </c>
      <c r="DZ649" s="234"/>
      <c r="EA649" s="408">
        <v>0</v>
      </c>
      <c r="EB649" s="408"/>
      <c r="EC649" s="408">
        <v>-11850.218785466859</v>
      </c>
      <c r="ED649" s="408"/>
      <c r="EE649" s="408">
        <v>0</v>
      </c>
      <c r="EF649" s="408">
        <v>0</v>
      </c>
      <c r="EG649" s="408"/>
      <c r="EH649" s="408">
        <v>0</v>
      </c>
      <c r="EI649" s="408">
        <v>0</v>
      </c>
      <c r="EJ649" s="408">
        <v>0</v>
      </c>
      <c r="EK649" s="408">
        <v>0</v>
      </c>
      <c r="EL649" s="408">
        <v>0</v>
      </c>
      <c r="EM649" s="408"/>
      <c r="EN649" s="408"/>
      <c r="EO649" s="408">
        <v>0</v>
      </c>
      <c r="EP649" s="408">
        <v>0</v>
      </c>
      <c r="EQ649" s="408"/>
      <c r="ER649" s="408">
        <v>0</v>
      </c>
      <c r="ES649" s="408"/>
      <c r="ET649" s="408">
        <v>0</v>
      </c>
      <c r="EU649" s="408"/>
      <c r="EV649" s="408">
        <v>242</v>
      </c>
      <c r="EW649" s="408"/>
      <c r="EX649" s="408"/>
      <c r="EY649" s="408"/>
      <c r="EZ649" s="408"/>
      <c r="FA649" s="408">
        <v>0</v>
      </c>
      <c r="FB649" s="408"/>
      <c r="FC649" s="408"/>
      <c r="FD649" s="408"/>
      <c r="FE649" s="408"/>
      <c r="FF649" s="408">
        <v>0</v>
      </c>
      <c r="FG649" s="408">
        <v>0</v>
      </c>
      <c r="FH649" s="408">
        <v>0</v>
      </c>
      <c r="FI649" s="408">
        <v>0</v>
      </c>
    </row>
    <row r="650" spans="1:165">
      <c r="A650" s="408">
        <v>651</v>
      </c>
      <c r="B650" s="408" t="s">
        <v>1036</v>
      </c>
      <c r="C650" s="408" t="s">
        <v>993</v>
      </c>
      <c r="D650" s="408" t="s">
        <v>597</v>
      </c>
      <c r="E650" s="408" t="s">
        <v>1322</v>
      </c>
      <c r="F650" s="408" t="s">
        <v>1322</v>
      </c>
      <c r="G650" s="408" t="s">
        <v>1322</v>
      </c>
      <c r="H650" s="408" t="s">
        <v>2329</v>
      </c>
      <c r="I650" s="408" t="s">
        <v>1322</v>
      </c>
      <c r="J650" s="408" t="s">
        <v>2252</v>
      </c>
      <c r="K650" s="828">
        <v>44652</v>
      </c>
      <c r="L650" s="408">
        <v>953</v>
      </c>
      <c r="M650" s="408">
        <v>476.5</v>
      </c>
      <c r="N650" s="408">
        <v>0</v>
      </c>
      <c r="O650" s="408">
        <v>0</v>
      </c>
      <c r="P650" s="408">
        <v>0</v>
      </c>
      <c r="Q650" s="408">
        <v>0</v>
      </c>
      <c r="R650" s="408">
        <v>10.220000000000001</v>
      </c>
      <c r="S650" s="408"/>
      <c r="T650" s="408"/>
      <c r="U650" s="408">
        <v>9739.66</v>
      </c>
      <c r="V650" s="408"/>
      <c r="W650" s="408">
        <v>9739.66</v>
      </c>
      <c r="X650" s="408">
        <v>2582.63</v>
      </c>
      <c r="Y650" s="408">
        <v>0</v>
      </c>
      <c r="Z650" s="408">
        <v>0</v>
      </c>
      <c r="AA650" s="408">
        <v>0</v>
      </c>
      <c r="AB650" s="408">
        <v>0</v>
      </c>
      <c r="AC650" s="408">
        <v>0</v>
      </c>
      <c r="AD650" s="408">
        <v>0</v>
      </c>
      <c r="AE650" s="408">
        <v>9741.2483581600645</v>
      </c>
      <c r="AF650" s="408"/>
      <c r="AG650" s="408"/>
      <c r="AH650" s="408"/>
      <c r="AI650" s="408">
        <v>0</v>
      </c>
      <c r="AJ650" s="408">
        <v>0</v>
      </c>
      <c r="AK650" s="408">
        <v>0</v>
      </c>
      <c r="AL650" s="408">
        <v>0</v>
      </c>
      <c r="AM650" s="408"/>
      <c r="AN650" s="408">
        <v>0</v>
      </c>
      <c r="AO650" s="408">
        <v>0</v>
      </c>
      <c r="AP650" s="408">
        <v>0</v>
      </c>
      <c r="AQ650" s="408">
        <v>0</v>
      </c>
      <c r="AR650" s="408">
        <v>0</v>
      </c>
      <c r="AS650" s="408"/>
      <c r="AT650" s="408"/>
      <c r="AU650" s="408">
        <v>0</v>
      </c>
      <c r="AV650" s="408">
        <v>0</v>
      </c>
      <c r="AW650" s="408">
        <v>0</v>
      </c>
      <c r="AX650" s="408"/>
      <c r="AY650" s="408"/>
      <c r="AZ650" s="408">
        <v>0</v>
      </c>
      <c r="BA650" s="408"/>
      <c r="BB650" s="408">
        <v>0</v>
      </c>
      <c r="BC650" s="408">
        <v>0</v>
      </c>
      <c r="BD650" s="408">
        <v>0</v>
      </c>
      <c r="BE650" s="408">
        <v>0</v>
      </c>
      <c r="BF650" s="408"/>
      <c r="BG650" s="408">
        <v>0</v>
      </c>
      <c r="BH650" s="408">
        <v>0</v>
      </c>
      <c r="BI650" s="408">
        <v>22.12</v>
      </c>
      <c r="BJ650" s="408">
        <v>0</v>
      </c>
      <c r="BK650" s="408">
        <v>0</v>
      </c>
      <c r="BL650" s="408">
        <v>0</v>
      </c>
      <c r="BM650" s="408"/>
      <c r="BN650" s="408"/>
      <c r="BO650" s="408">
        <v>1291.3150000000001</v>
      </c>
      <c r="BP650" s="408"/>
      <c r="BQ650" s="408"/>
      <c r="BR650" s="408"/>
      <c r="BS650" s="408"/>
      <c r="BT650" s="408"/>
      <c r="BU650" s="408"/>
      <c r="BV650" s="408">
        <v>0</v>
      </c>
      <c r="BW650" s="408"/>
      <c r="BX650" s="408"/>
      <c r="BY650" s="408"/>
      <c r="BZ650" s="408"/>
      <c r="CA650" s="408"/>
      <c r="CB650" s="408"/>
      <c r="CC650" s="408"/>
      <c r="CD650" s="408"/>
      <c r="CE650" s="408"/>
      <c r="CF650" s="408"/>
      <c r="CG650" s="408"/>
      <c r="CH650" s="408"/>
      <c r="CI650" s="408">
        <v>1291.3150000000001</v>
      </c>
      <c r="CJ650" s="408">
        <v>-3578.5450000000005</v>
      </c>
      <c r="CK650" s="408"/>
      <c r="CL650" s="408"/>
      <c r="CM650" s="408"/>
      <c r="CN650" s="408"/>
      <c r="CO650" s="408">
        <v>-7157.0300000000007</v>
      </c>
      <c r="CP650" s="408">
        <v>0</v>
      </c>
      <c r="CQ650" s="408">
        <v>30</v>
      </c>
      <c r="CR650" s="408">
        <v>0</v>
      </c>
      <c r="CS650" s="408">
        <v>0</v>
      </c>
      <c r="CT650" s="408">
        <v>0</v>
      </c>
      <c r="CU650" s="408">
        <v>0</v>
      </c>
      <c r="CV650" s="408">
        <v>0</v>
      </c>
      <c r="CW650" s="408"/>
      <c r="CX650" s="408"/>
      <c r="CY650" s="408"/>
      <c r="CZ650" s="408">
        <v>0</v>
      </c>
      <c r="DA650" s="408">
        <v>0</v>
      </c>
      <c r="DB650" s="408">
        <v>0</v>
      </c>
      <c r="DC650" s="408"/>
      <c r="DD650" s="408"/>
      <c r="DE650" s="408">
        <v>0</v>
      </c>
      <c r="DF650" s="408">
        <v>0</v>
      </c>
      <c r="DG650" s="408">
        <v>0</v>
      </c>
      <c r="DH650" s="408">
        <v>0</v>
      </c>
      <c r="DI650" s="408">
        <v>0</v>
      </c>
      <c r="DJ650" s="408"/>
      <c r="DK650" s="408">
        <v>0</v>
      </c>
      <c r="DL650" s="408">
        <v>0</v>
      </c>
      <c r="DM650" s="408"/>
      <c r="DN650" s="408">
        <v>0</v>
      </c>
      <c r="DO650" s="408">
        <v>0</v>
      </c>
      <c r="DP650" s="408">
        <v>0</v>
      </c>
      <c r="DQ650" s="408">
        <v>0</v>
      </c>
      <c r="DR650" s="408">
        <v>0</v>
      </c>
      <c r="DS650" s="408"/>
      <c r="DT650" s="408"/>
      <c r="DU650" s="408">
        <v>9741.2483581600645</v>
      </c>
      <c r="DV650" s="408"/>
      <c r="DW650" s="408">
        <v>0</v>
      </c>
      <c r="DX650" s="408">
        <v>0</v>
      </c>
      <c r="DY650" s="408">
        <v>-7157.03</v>
      </c>
      <c r="DZ650" s="234"/>
      <c r="EA650" s="408">
        <v>0</v>
      </c>
      <c r="EB650" s="408"/>
      <c r="EC650" s="408">
        <v>-7156.9908027309175</v>
      </c>
      <c r="ED650" s="408"/>
      <c r="EE650" s="408">
        <v>0</v>
      </c>
      <c r="EF650" s="408">
        <v>0</v>
      </c>
      <c r="EG650" s="408"/>
      <c r="EH650" s="408">
        <v>0</v>
      </c>
      <c r="EI650" s="408">
        <v>0</v>
      </c>
      <c r="EJ650" s="408">
        <v>0</v>
      </c>
      <c r="EK650" s="408">
        <v>0</v>
      </c>
      <c r="EL650" s="408">
        <v>0</v>
      </c>
      <c r="EM650" s="408"/>
      <c r="EN650" s="408"/>
      <c r="EO650" s="408">
        <v>0</v>
      </c>
      <c r="EP650" s="408">
        <v>0</v>
      </c>
      <c r="EQ650" s="408"/>
      <c r="ER650" s="408">
        <v>0</v>
      </c>
      <c r="ES650" s="408"/>
      <c r="ET650" s="408">
        <v>0</v>
      </c>
      <c r="EU650" s="408"/>
      <c r="EV650" s="408">
        <v>242</v>
      </c>
      <c r="EW650" s="408"/>
      <c r="EX650" s="408"/>
      <c r="EY650" s="408"/>
      <c r="EZ650" s="408"/>
      <c r="FA650" s="408">
        <v>0</v>
      </c>
      <c r="FB650" s="408"/>
      <c r="FC650" s="408"/>
      <c r="FD650" s="408"/>
      <c r="FE650" s="408"/>
      <c r="FF650" s="408">
        <v>0</v>
      </c>
      <c r="FG650" s="408">
        <v>0</v>
      </c>
      <c r="FH650" s="408">
        <v>0</v>
      </c>
      <c r="FI650" s="408">
        <v>0</v>
      </c>
    </row>
    <row r="651" spans="1:165">
      <c r="A651" s="408">
        <v>652</v>
      </c>
      <c r="B651" s="408" t="s">
        <v>1036</v>
      </c>
      <c r="C651" s="408" t="s">
        <v>2239</v>
      </c>
      <c r="D651" s="408" t="s">
        <v>597</v>
      </c>
      <c r="E651" s="408" t="s">
        <v>970</v>
      </c>
      <c r="F651" s="408" t="s">
        <v>1322</v>
      </c>
      <c r="G651" s="408" t="s">
        <v>2327</v>
      </c>
      <c r="H651" s="408" t="s">
        <v>1322</v>
      </c>
      <c r="I651" s="408" t="s">
        <v>973</v>
      </c>
      <c r="J651" s="408" t="s">
        <v>2328</v>
      </c>
      <c r="K651" s="828">
        <v>44682</v>
      </c>
      <c r="L651" s="408">
        <v>0</v>
      </c>
      <c r="M651" s="408">
        <v>0</v>
      </c>
      <c r="N651" s="408">
        <v>9.4649999999999999</v>
      </c>
      <c r="O651" s="408">
        <v>4.7324999999999999</v>
      </c>
      <c r="P651" s="408">
        <v>0</v>
      </c>
      <c r="Q651" s="408">
        <v>0</v>
      </c>
      <c r="R651" s="408"/>
      <c r="S651" s="408">
        <v>2592.54</v>
      </c>
      <c r="T651" s="408"/>
      <c r="U651" s="408"/>
      <c r="V651" s="408">
        <v>24538.391100000001</v>
      </c>
      <c r="W651" s="408">
        <v>24538.391100000001</v>
      </c>
      <c r="X651" s="408">
        <v>8819.5816500000001</v>
      </c>
      <c r="Y651" s="408">
        <v>0</v>
      </c>
      <c r="Z651" s="408">
        <v>499.10115657999393</v>
      </c>
      <c r="AA651" s="408">
        <v>0</v>
      </c>
      <c r="AB651" s="408">
        <v>0</v>
      </c>
      <c r="AC651" s="408">
        <v>0</v>
      </c>
      <c r="AD651" s="408">
        <v>47.861052234886415</v>
      </c>
      <c r="AE651" s="408">
        <v>21683.288089276899</v>
      </c>
      <c r="AF651" s="408"/>
      <c r="AG651" s="408"/>
      <c r="AH651" s="408"/>
      <c r="AI651" s="408">
        <v>0</v>
      </c>
      <c r="AJ651" s="408">
        <v>0</v>
      </c>
      <c r="AK651" s="408">
        <v>0</v>
      </c>
      <c r="AL651" s="408">
        <v>88.721442578362868</v>
      </c>
      <c r="AM651" s="408"/>
      <c r="AN651" s="408">
        <v>12.997548089886223</v>
      </c>
      <c r="AO651" s="408">
        <v>427.01225913398059</v>
      </c>
      <c r="AP651" s="408">
        <v>1620.4150866761242</v>
      </c>
      <c r="AQ651" s="408">
        <v>0</v>
      </c>
      <c r="AR651" s="408">
        <v>0</v>
      </c>
      <c r="AS651" s="408"/>
      <c r="AT651" s="408"/>
      <c r="AU651" s="408">
        <v>0</v>
      </c>
      <c r="AV651" s="408">
        <v>0</v>
      </c>
      <c r="AW651" s="408">
        <v>0</v>
      </c>
      <c r="AX651" s="408"/>
      <c r="AY651" s="408"/>
      <c r="AZ651" s="408">
        <v>0</v>
      </c>
      <c r="BA651" s="408"/>
      <c r="BB651" s="408">
        <v>0</v>
      </c>
      <c r="BC651" s="408">
        <v>0</v>
      </c>
      <c r="BD651" s="408">
        <v>4.328332180876159</v>
      </c>
      <c r="BE651" s="408">
        <v>0</v>
      </c>
      <c r="BF651" s="408"/>
      <c r="BG651" s="408">
        <v>154.62172436807558</v>
      </c>
      <c r="BH651" s="408">
        <v>0</v>
      </c>
      <c r="BI651" s="408">
        <v>0</v>
      </c>
      <c r="BJ651" s="408">
        <v>0</v>
      </c>
      <c r="BK651" s="408">
        <v>0</v>
      </c>
      <c r="BL651" s="408">
        <v>0</v>
      </c>
      <c r="BM651" s="408"/>
      <c r="BN651" s="408">
        <v>4409.790825</v>
      </c>
      <c r="BO651" s="408"/>
      <c r="BP651" s="408"/>
      <c r="BQ651" s="408"/>
      <c r="BR651" s="408"/>
      <c r="BS651" s="408"/>
      <c r="BT651" s="408"/>
      <c r="BU651" s="408"/>
      <c r="BV651" s="408">
        <v>158.95005654895172</v>
      </c>
      <c r="BW651" s="408"/>
      <c r="BX651" s="408"/>
      <c r="BY651" s="408"/>
      <c r="BZ651" s="408"/>
      <c r="CA651" s="408"/>
      <c r="CB651" s="408"/>
      <c r="CC651" s="408"/>
      <c r="CD651" s="408"/>
      <c r="CE651" s="408"/>
      <c r="CF651" s="408"/>
      <c r="CG651" s="408"/>
      <c r="CH651" s="408"/>
      <c r="CI651" s="408">
        <v>4407.4612999999999</v>
      </c>
      <c r="CJ651" s="408">
        <v>-7861.7642500000011</v>
      </c>
      <c r="CK651" s="408"/>
      <c r="CL651" s="408"/>
      <c r="CM651" s="408"/>
      <c r="CN651" s="408"/>
      <c r="CO651" s="408">
        <v>-15718.809450000001</v>
      </c>
      <c r="CP651" s="408">
        <v>0</v>
      </c>
      <c r="CQ651" s="408">
        <v>31</v>
      </c>
      <c r="CR651" s="408">
        <v>212.15337650679839</v>
      </c>
      <c r="CS651" s="408">
        <v>44.046965371285353</v>
      </c>
      <c r="CT651" s="408">
        <v>167.14828598757776</v>
      </c>
      <c r="CU651" s="408">
        <v>0</v>
      </c>
      <c r="CV651" s="408">
        <v>0</v>
      </c>
      <c r="CW651" s="408"/>
      <c r="CX651" s="408"/>
      <c r="CY651" s="408"/>
      <c r="CZ651" s="408">
        <v>4.6796172265724607</v>
      </c>
      <c r="DA651" s="408">
        <v>0</v>
      </c>
      <c r="DB651" s="408">
        <v>0</v>
      </c>
      <c r="DC651" s="408"/>
      <c r="DD651" s="408"/>
      <c r="DE651" s="408">
        <v>0</v>
      </c>
      <c r="DF651" s="408">
        <v>0.66128575632449671</v>
      </c>
      <c r="DG651" s="408">
        <v>23.623220138858187</v>
      </c>
      <c r="DH651" s="408">
        <v>0</v>
      </c>
      <c r="DI651" s="408">
        <v>-23.845653586287483</v>
      </c>
      <c r="DJ651" s="408"/>
      <c r="DK651" s="408">
        <v>0</v>
      </c>
      <c r="DL651" s="408">
        <v>0</v>
      </c>
      <c r="DM651" s="408"/>
      <c r="DN651" s="408">
        <v>0</v>
      </c>
      <c r="DO651" s="408">
        <v>-3.5950468950078545</v>
      </c>
      <c r="DP651" s="408">
        <v>-0.56529749252453065</v>
      </c>
      <c r="DQ651" s="408">
        <v>0</v>
      </c>
      <c r="DR651" s="408">
        <v>0</v>
      </c>
      <c r="DS651" s="408"/>
      <c r="DT651" s="408"/>
      <c r="DU651" s="408"/>
      <c r="DV651" s="408">
        <v>21683.288089276899</v>
      </c>
      <c r="DW651" s="408">
        <v>0</v>
      </c>
      <c r="DX651" s="408">
        <v>0</v>
      </c>
      <c r="DY651" s="408">
        <v>-15718.809450000001</v>
      </c>
      <c r="DZ651" s="234"/>
      <c r="EA651" s="408">
        <v>0</v>
      </c>
      <c r="EB651" s="408"/>
      <c r="EC651" s="408">
        <v>-15930.924633280953</v>
      </c>
      <c r="ED651" s="408"/>
      <c r="EE651" s="408">
        <v>0</v>
      </c>
      <c r="EF651" s="408">
        <v>0</v>
      </c>
      <c r="EG651" s="408"/>
      <c r="EH651" s="408">
        <v>0</v>
      </c>
      <c r="EI651" s="408">
        <v>0</v>
      </c>
      <c r="EJ651" s="408">
        <v>0</v>
      </c>
      <c r="EK651" s="408">
        <v>0</v>
      </c>
      <c r="EL651" s="408">
        <v>0</v>
      </c>
      <c r="EM651" s="408"/>
      <c r="EN651" s="408"/>
      <c r="EO651" s="408">
        <v>0</v>
      </c>
      <c r="EP651" s="408">
        <v>0</v>
      </c>
      <c r="EQ651" s="408"/>
      <c r="ER651" s="408">
        <v>0</v>
      </c>
      <c r="ES651" s="408"/>
      <c r="ET651" s="408">
        <v>0</v>
      </c>
      <c r="EU651" s="408"/>
      <c r="EV651" s="408">
        <v>242</v>
      </c>
      <c r="EW651" s="408"/>
      <c r="EX651" s="408"/>
      <c r="EY651" s="408"/>
      <c r="EZ651" s="408"/>
      <c r="FA651" s="408">
        <v>0</v>
      </c>
      <c r="FB651" s="408"/>
      <c r="FC651" s="408"/>
      <c r="FD651" s="408"/>
      <c r="FE651" s="408"/>
      <c r="FF651" s="408">
        <v>0</v>
      </c>
      <c r="FG651" s="408">
        <v>0</v>
      </c>
      <c r="FH651" s="408">
        <v>0</v>
      </c>
      <c r="FI651" s="408">
        <v>0</v>
      </c>
    </row>
    <row r="652" spans="1:165">
      <c r="A652" s="408">
        <v>653</v>
      </c>
      <c r="B652" s="408" t="s">
        <v>1036</v>
      </c>
      <c r="C652" s="408" t="s">
        <v>2239</v>
      </c>
      <c r="D652" s="408" t="s">
        <v>597</v>
      </c>
      <c r="E652" s="408" t="s">
        <v>970</v>
      </c>
      <c r="F652" s="408" t="s">
        <v>1322</v>
      </c>
      <c r="G652" s="408" t="s">
        <v>2327</v>
      </c>
      <c r="H652" s="408" t="s">
        <v>1322</v>
      </c>
      <c r="I652" s="408" t="s">
        <v>2240</v>
      </c>
      <c r="J652" s="408" t="s">
        <v>2328</v>
      </c>
      <c r="K652" s="828">
        <v>44682</v>
      </c>
      <c r="L652" s="408">
        <v>0</v>
      </c>
      <c r="M652" s="408">
        <v>0</v>
      </c>
      <c r="N652" s="408">
        <v>147.11500000000001</v>
      </c>
      <c r="O652" s="408">
        <v>73.557500000000005</v>
      </c>
      <c r="P652" s="408">
        <v>0</v>
      </c>
      <c r="Q652" s="408">
        <v>0</v>
      </c>
      <c r="R652" s="408"/>
      <c r="S652" s="408">
        <v>80.27</v>
      </c>
      <c r="T652" s="408"/>
      <c r="U652" s="408"/>
      <c r="V652" s="408">
        <v>11808.921050000001</v>
      </c>
      <c r="W652" s="408">
        <v>11808.921050000001</v>
      </c>
      <c r="X652" s="408">
        <v>11751.546200000001</v>
      </c>
      <c r="Y652" s="408">
        <v>0</v>
      </c>
      <c r="Z652" s="408">
        <v>7757.5559059974439</v>
      </c>
      <c r="AA652" s="408">
        <v>0</v>
      </c>
      <c r="AB652" s="408">
        <v>0</v>
      </c>
      <c r="AC652" s="408">
        <v>0</v>
      </c>
      <c r="AD652" s="408">
        <v>0</v>
      </c>
      <c r="AE652" s="408">
        <v>0</v>
      </c>
      <c r="AF652" s="408"/>
      <c r="AG652" s="408"/>
      <c r="AH652" s="408"/>
      <c r="AI652" s="408">
        <v>0</v>
      </c>
      <c r="AJ652" s="408">
        <v>0</v>
      </c>
      <c r="AK652" s="408">
        <v>0</v>
      </c>
      <c r="AL652" s="408">
        <v>1379.0021156804917</v>
      </c>
      <c r="AM652" s="408"/>
      <c r="AN652" s="408">
        <v>202.02158343831081</v>
      </c>
      <c r="AO652" s="408">
        <v>0</v>
      </c>
      <c r="AP652" s="408">
        <v>0</v>
      </c>
      <c r="AQ652" s="408">
        <v>0</v>
      </c>
      <c r="AR652" s="408">
        <v>0</v>
      </c>
      <c r="AS652" s="408"/>
      <c r="AT652" s="408"/>
      <c r="AU652" s="408">
        <v>0</v>
      </c>
      <c r="AV652" s="408">
        <v>0</v>
      </c>
      <c r="AW652" s="408">
        <v>0</v>
      </c>
      <c r="AX652" s="408"/>
      <c r="AY652" s="408"/>
      <c r="AZ652" s="408">
        <v>0</v>
      </c>
      <c r="BA652" s="408"/>
      <c r="BB652" s="408">
        <v>0</v>
      </c>
      <c r="BC652" s="408">
        <v>0</v>
      </c>
      <c r="BD652" s="408">
        <v>67.275498023200853</v>
      </c>
      <c r="BE652" s="408">
        <v>0</v>
      </c>
      <c r="BF652" s="408"/>
      <c r="BG652" s="408">
        <v>2403.2937116121966</v>
      </c>
      <c r="BH652" s="408">
        <v>0</v>
      </c>
      <c r="BI652" s="408">
        <v>0</v>
      </c>
      <c r="BJ652" s="408">
        <v>0</v>
      </c>
      <c r="BK652" s="408">
        <v>0</v>
      </c>
      <c r="BL652" s="408">
        <v>0</v>
      </c>
      <c r="BM652" s="408"/>
      <c r="BN652" s="408">
        <v>5875.7731000000003</v>
      </c>
      <c r="BO652" s="408"/>
      <c r="BP652" s="408"/>
      <c r="BQ652" s="408"/>
      <c r="BR652" s="408"/>
      <c r="BS652" s="408"/>
      <c r="BT652" s="408"/>
      <c r="BU652" s="408"/>
      <c r="BV652" s="408">
        <v>2470.5692096353973</v>
      </c>
      <c r="BW652" s="408"/>
      <c r="BX652" s="408"/>
      <c r="BY652" s="408"/>
      <c r="BZ652" s="408"/>
      <c r="CA652" s="408"/>
      <c r="CB652" s="408"/>
      <c r="CC652" s="408"/>
      <c r="CD652" s="408"/>
      <c r="CE652" s="408"/>
      <c r="CF652" s="408"/>
      <c r="CG652" s="408"/>
      <c r="CH652" s="408"/>
      <c r="CI652" s="408">
        <v>5875.9727999999996</v>
      </c>
      <c r="CJ652" s="408">
        <v>-28.517725000001519</v>
      </c>
      <c r="CK652" s="408"/>
      <c r="CL652" s="408"/>
      <c r="CM652" s="408"/>
      <c r="CN652" s="408"/>
      <c r="CO652" s="408">
        <v>-57.374850000000087</v>
      </c>
      <c r="CP652" s="408">
        <v>0</v>
      </c>
      <c r="CQ652" s="408">
        <v>31</v>
      </c>
      <c r="CR652" s="408">
        <v>-57.843349936472805</v>
      </c>
      <c r="CS652" s="408">
        <v>0</v>
      </c>
      <c r="CT652" s="408">
        <v>0</v>
      </c>
      <c r="CU652" s="408">
        <v>0</v>
      </c>
      <c r="CV652" s="408">
        <v>0</v>
      </c>
      <c r="CW652" s="408"/>
      <c r="CX652" s="408"/>
      <c r="CY652" s="408"/>
      <c r="CZ652" s="408">
        <v>0</v>
      </c>
      <c r="DA652" s="408">
        <v>0</v>
      </c>
      <c r="DB652" s="408">
        <v>0</v>
      </c>
      <c r="DC652" s="408"/>
      <c r="DD652" s="408"/>
      <c r="DE652" s="408">
        <v>0</v>
      </c>
      <c r="DF652" s="408">
        <v>10.278399793098629</v>
      </c>
      <c r="DG652" s="408">
        <v>367.17697102251668</v>
      </c>
      <c r="DH652" s="408">
        <v>0</v>
      </c>
      <c r="DI652" s="408">
        <v>-370.63426596372756</v>
      </c>
      <c r="DJ652" s="408"/>
      <c r="DK652" s="408">
        <v>0</v>
      </c>
      <c r="DL652" s="408">
        <v>0</v>
      </c>
      <c r="DM652" s="408"/>
      <c r="DN652" s="408">
        <v>0</v>
      </c>
      <c r="DO652" s="408">
        <v>-55.878005700906442</v>
      </c>
      <c r="DP652" s="408">
        <v>-8.7864490874533772</v>
      </c>
      <c r="DQ652" s="408">
        <v>0</v>
      </c>
      <c r="DR652" s="408">
        <v>0</v>
      </c>
      <c r="DS652" s="408"/>
      <c r="DT652" s="408"/>
      <c r="DU652" s="408"/>
      <c r="DV652" s="408">
        <v>0</v>
      </c>
      <c r="DW652" s="408">
        <v>0</v>
      </c>
      <c r="DX652" s="408">
        <v>0</v>
      </c>
      <c r="DY652" s="408">
        <v>-57.374850000000151</v>
      </c>
      <c r="DZ652" s="234"/>
      <c r="EA652" s="408">
        <v>0</v>
      </c>
      <c r="EB652" s="408"/>
      <c r="EC652" s="408">
        <v>0</v>
      </c>
      <c r="ED652" s="408"/>
      <c r="EE652" s="408">
        <v>0</v>
      </c>
      <c r="EF652" s="408">
        <v>0</v>
      </c>
      <c r="EG652" s="408"/>
      <c r="EH652" s="408">
        <v>0</v>
      </c>
      <c r="EI652" s="408">
        <v>0</v>
      </c>
      <c r="EJ652" s="408">
        <v>0</v>
      </c>
      <c r="EK652" s="408">
        <v>0</v>
      </c>
      <c r="EL652" s="408">
        <v>0</v>
      </c>
      <c r="EM652" s="408"/>
      <c r="EN652" s="408"/>
      <c r="EO652" s="408">
        <v>0</v>
      </c>
      <c r="EP652" s="408">
        <v>0</v>
      </c>
      <c r="EQ652" s="408"/>
      <c r="ER652" s="408">
        <v>0</v>
      </c>
      <c r="ES652" s="408"/>
      <c r="ET652" s="408">
        <v>0</v>
      </c>
      <c r="EU652" s="408"/>
      <c r="EV652" s="408">
        <v>242</v>
      </c>
      <c r="EW652" s="408"/>
      <c r="EX652" s="408"/>
      <c r="EY652" s="408"/>
      <c r="EZ652" s="408"/>
      <c r="FA652" s="408">
        <v>0</v>
      </c>
      <c r="FB652" s="408"/>
      <c r="FC652" s="408"/>
      <c r="FD652" s="408"/>
      <c r="FE652" s="408"/>
      <c r="FF652" s="408">
        <v>0</v>
      </c>
      <c r="FG652" s="408">
        <v>0</v>
      </c>
      <c r="FH652" s="408">
        <v>0</v>
      </c>
      <c r="FI652" s="408">
        <v>0</v>
      </c>
    </row>
    <row r="653" spans="1:165">
      <c r="A653" s="408">
        <v>654</v>
      </c>
      <c r="B653" s="408" t="s">
        <v>1036</v>
      </c>
      <c r="C653" s="408" t="s">
        <v>2239</v>
      </c>
      <c r="D653" s="408" t="s">
        <v>597</v>
      </c>
      <c r="E653" s="408" t="s">
        <v>970</v>
      </c>
      <c r="F653" s="408" t="s">
        <v>1322</v>
      </c>
      <c r="G653" s="408" t="s">
        <v>2327</v>
      </c>
      <c r="H653" s="408" t="s">
        <v>1322</v>
      </c>
      <c r="I653" s="408" t="s">
        <v>1322</v>
      </c>
      <c r="J653" s="408" t="s">
        <v>2328</v>
      </c>
      <c r="K653" s="828">
        <v>44682</v>
      </c>
      <c r="L653" s="408">
        <v>549</v>
      </c>
      <c r="M653" s="408">
        <v>274.5</v>
      </c>
      <c r="N653" s="408">
        <v>0</v>
      </c>
      <c r="O653" s="408">
        <v>0</v>
      </c>
      <c r="P653" s="408">
        <v>0</v>
      </c>
      <c r="Q653" s="408">
        <v>0</v>
      </c>
      <c r="R653" s="408">
        <v>32.17</v>
      </c>
      <c r="S653" s="408"/>
      <c r="T653" s="408"/>
      <c r="U653" s="408">
        <v>17661.330000000002</v>
      </c>
      <c r="V653" s="408"/>
      <c r="W653" s="408">
        <v>17661.330000000002</v>
      </c>
      <c r="X653" s="408">
        <v>7098.57</v>
      </c>
      <c r="Y653" s="408">
        <v>0</v>
      </c>
      <c r="Z653" s="408">
        <v>0</v>
      </c>
      <c r="AA653" s="408">
        <v>0</v>
      </c>
      <c r="AB653" s="408">
        <v>0</v>
      </c>
      <c r="AC653" s="408">
        <v>0</v>
      </c>
      <c r="AD653" s="408">
        <v>54.854007597070201</v>
      </c>
      <c r="AE653" s="408">
        <v>14782.777750242658</v>
      </c>
      <c r="AF653" s="408"/>
      <c r="AG653" s="408"/>
      <c r="AH653" s="408"/>
      <c r="AI653" s="408">
        <v>0</v>
      </c>
      <c r="AJ653" s="408">
        <v>0</v>
      </c>
      <c r="AK653" s="408">
        <v>0</v>
      </c>
      <c r="AL653" s="408">
        <v>0</v>
      </c>
      <c r="AM653" s="408"/>
      <c r="AN653" s="408">
        <v>0</v>
      </c>
      <c r="AO653" s="408">
        <v>968.66718742113778</v>
      </c>
      <c r="AP653" s="408">
        <v>1857.1929758296783</v>
      </c>
      <c r="AQ653" s="408">
        <v>0</v>
      </c>
      <c r="AR653" s="408">
        <v>0</v>
      </c>
      <c r="AS653" s="408"/>
      <c r="AT653" s="408"/>
      <c r="AU653" s="408">
        <v>0</v>
      </c>
      <c r="AV653" s="408">
        <v>0</v>
      </c>
      <c r="AW653" s="408">
        <v>0</v>
      </c>
      <c r="AX653" s="408"/>
      <c r="AY653" s="408"/>
      <c r="AZ653" s="408">
        <v>0</v>
      </c>
      <c r="BA653" s="408"/>
      <c r="BB653" s="408">
        <v>0</v>
      </c>
      <c r="BC653" s="408">
        <v>0</v>
      </c>
      <c r="BD653" s="408">
        <v>0</v>
      </c>
      <c r="BE653" s="408">
        <v>0</v>
      </c>
      <c r="BF653" s="408"/>
      <c r="BG653" s="408">
        <v>0</v>
      </c>
      <c r="BH653" s="408">
        <v>0</v>
      </c>
      <c r="BI653" s="408">
        <v>426.61</v>
      </c>
      <c r="BJ653" s="408">
        <v>0</v>
      </c>
      <c r="BK653" s="408">
        <v>5754.66</v>
      </c>
      <c r="BL653" s="408">
        <v>1</v>
      </c>
      <c r="BM653" s="408"/>
      <c r="BN653" s="408">
        <v>3549.2849999999999</v>
      </c>
      <c r="BO653" s="408"/>
      <c r="BP653" s="408"/>
      <c r="BQ653" s="408"/>
      <c r="BR653" s="408"/>
      <c r="BS653" s="408"/>
      <c r="BT653" s="408"/>
      <c r="BU653" s="408"/>
      <c r="BV653" s="408">
        <v>0</v>
      </c>
      <c r="BW653" s="408"/>
      <c r="BX653" s="408"/>
      <c r="BY653" s="408"/>
      <c r="BZ653" s="408"/>
      <c r="CA653" s="408"/>
      <c r="CB653" s="408"/>
      <c r="CC653" s="408"/>
      <c r="CD653" s="408"/>
      <c r="CE653" s="408"/>
      <c r="CF653" s="408"/>
      <c r="CG653" s="408"/>
      <c r="CH653" s="408"/>
      <c r="CI653" s="408">
        <v>3549.2849999999999</v>
      </c>
      <c r="CJ653" s="408">
        <v>-5281.4100000000017</v>
      </c>
      <c r="CK653" s="408"/>
      <c r="CL653" s="408"/>
      <c r="CM653" s="408"/>
      <c r="CN653" s="408"/>
      <c r="CO653" s="408">
        <v>-10562.76</v>
      </c>
      <c r="CP653" s="408">
        <v>0</v>
      </c>
      <c r="CQ653" s="408">
        <v>31</v>
      </c>
      <c r="CR653" s="408">
        <v>296.85513679878704</v>
      </c>
      <c r="CS653" s="408">
        <v>99.919496801269474</v>
      </c>
      <c r="CT653" s="408">
        <v>191.5722861448271</v>
      </c>
      <c r="CU653" s="408">
        <v>0</v>
      </c>
      <c r="CV653" s="408">
        <v>0</v>
      </c>
      <c r="CW653" s="408"/>
      <c r="CX653" s="408"/>
      <c r="CY653" s="408"/>
      <c r="CZ653" s="408">
        <v>5.3633538526904019</v>
      </c>
      <c r="DA653" s="408">
        <v>0</v>
      </c>
      <c r="DB653" s="408">
        <v>0</v>
      </c>
      <c r="DC653" s="408"/>
      <c r="DD653" s="408"/>
      <c r="DE653" s="408">
        <v>0</v>
      </c>
      <c r="DF653" s="408">
        <v>0</v>
      </c>
      <c r="DG653" s="408">
        <v>0</v>
      </c>
      <c r="DH653" s="408">
        <v>0</v>
      </c>
      <c r="DI653" s="408">
        <v>0</v>
      </c>
      <c r="DJ653" s="408"/>
      <c r="DK653" s="408">
        <v>0</v>
      </c>
      <c r="DL653" s="408">
        <v>0</v>
      </c>
      <c r="DM653" s="408"/>
      <c r="DN653" s="408">
        <v>0</v>
      </c>
      <c r="DO653" s="408">
        <v>0</v>
      </c>
      <c r="DP653" s="408">
        <v>0</v>
      </c>
      <c r="DQ653" s="408">
        <v>0</v>
      </c>
      <c r="DR653" s="408">
        <v>0</v>
      </c>
      <c r="DS653" s="408"/>
      <c r="DT653" s="408"/>
      <c r="DU653" s="408">
        <v>14782.777750242658</v>
      </c>
      <c r="DV653" s="408"/>
      <c r="DW653" s="408">
        <v>0</v>
      </c>
      <c r="DX653" s="408">
        <v>0</v>
      </c>
      <c r="DY653" s="408">
        <v>-10562.760000000002</v>
      </c>
      <c r="DZ653" s="234"/>
      <c r="EA653" s="408">
        <v>0</v>
      </c>
      <c r="EB653" s="408"/>
      <c r="EC653" s="408">
        <v>-10861.051941938742</v>
      </c>
      <c r="ED653" s="408"/>
      <c r="EE653" s="408">
        <v>0</v>
      </c>
      <c r="EF653" s="408">
        <v>0</v>
      </c>
      <c r="EG653" s="408"/>
      <c r="EH653" s="408">
        <v>0</v>
      </c>
      <c r="EI653" s="408">
        <v>0</v>
      </c>
      <c r="EJ653" s="408">
        <v>0</v>
      </c>
      <c r="EK653" s="408">
        <v>0</v>
      </c>
      <c r="EL653" s="408">
        <v>0</v>
      </c>
      <c r="EM653" s="408"/>
      <c r="EN653" s="408"/>
      <c r="EO653" s="408">
        <v>0</v>
      </c>
      <c r="EP653" s="408">
        <v>0</v>
      </c>
      <c r="EQ653" s="408"/>
      <c r="ER653" s="408">
        <v>0</v>
      </c>
      <c r="ES653" s="408"/>
      <c r="ET653" s="408">
        <v>0</v>
      </c>
      <c r="EU653" s="408"/>
      <c r="EV653" s="408">
        <v>242</v>
      </c>
      <c r="EW653" s="408"/>
      <c r="EX653" s="408"/>
      <c r="EY653" s="408"/>
      <c r="EZ653" s="408"/>
      <c r="FA653" s="408">
        <v>0</v>
      </c>
      <c r="FB653" s="408"/>
      <c r="FC653" s="408"/>
      <c r="FD653" s="408"/>
      <c r="FE653" s="408"/>
      <c r="FF653" s="408">
        <v>0</v>
      </c>
      <c r="FG653" s="408">
        <v>0</v>
      </c>
      <c r="FH653" s="408">
        <v>0</v>
      </c>
      <c r="FI653" s="408">
        <v>0</v>
      </c>
    </row>
    <row r="654" spans="1:165">
      <c r="A654" s="408">
        <v>655</v>
      </c>
      <c r="B654" s="408" t="s">
        <v>1036</v>
      </c>
      <c r="C654" s="408" t="s">
        <v>993</v>
      </c>
      <c r="D654" s="408" t="s">
        <v>597</v>
      </c>
      <c r="E654" s="408" t="s">
        <v>1322</v>
      </c>
      <c r="F654" s="408" t="s">
        <v>1322</v>
      </c>
      <c r="G654" s="408" t="s">
        <v>1322</v>
      </c>
      <c r="H654" s="408" t="s">
        <v>2329</v>
      </c>
      <c r="I654" s="408" t="s">
        <v>1322</v>
      </c>
      <c r="J654" s="408" t="s">
        <v>2252</v>
      </c>
      <c r="K654" s="828">
        <v>44682</v>
      </c>
      <c r="L654" s="408">
        <v>953</v>
      </c>
      <c r="M654" s="408">
        <v>476.5</v>
      </c>
      <c r="N654" s="408">
        <v>0</v>
      </c>
      <c r="O654" s="408">
        <v>0</v>
      </c>
      <c r="P654" s="408">
        <v>0</v>
      </c>
      <c r="Q654" s="408">
        <v>0</v>
      </c>
      <c r="R654" s="408">
        <v>10.220000000000001</v>
      </c>
      <c r="S654" s="408"/>
      <c r="T654" s="408"/>
      <c r="U654" s="408">
        <v>9739.66</v>
      </c>
      <c r="V654" s="408"/>
      <c r="W654" s="408">
        <v>9739.66</v>
      </c>
      <c r="X654" s="408">
        <v>2582.63</v>
      </c>
      <c r="Y654" s="408">
        <v>0</v>
      </c>
      <c r="Z654" s="408">
        <v>0</v>
      </c>
      <c r="AA654" s="408">
        <v>0</v>
      </c>
      <c r="AB654" s="408">
        <v>0</v>
      </c>
      <c r="AC654" s="408">
        <v>0</v>
      </c>
      <c r="AD654" s="408">
        <v>0</v>
      </c>
      <c r="AE654" s="408">
        <v>9741.2483581600645</v>
      </c>
      <c r="AF654" s="408"/>
      <c r="AG654" s="408"/>
      <c r="AH654" s="408"/>
      <c r="AI654" s="408">
        <v>0</v>
      </c>
      <c r="AJ654" s="408">
        <v>0</v>
      </c>
      <c r="AK654" s="408">
        <v>0</v>
      </c>
      <c r="AL654" s="408">
        <v>0</v>
      </c>
      <c r="AM654" s="408"/>
      <c r="AN654" s="408">
        <v>0</v>
      </c>
      <c r="AO654" s="408">
        <v>0</v>
      </c>
      <c r="AP654" s="408">
        <v>0</v>
      </c>
      <c r="AQ654" s="408">
        <v>0</v>
      </c>
      <c r="AR654" s="408">
        <v>0</v>
      </c>
      <c r="AS654" s="408"/>
      <c r="AT654" s="408"/>
      <c r="AU654" s="408">
        <v>0</v>
      </c>
      <c r="AV654" s="408">
        <v>0</v>
      </c>
      <c r="AW654" s="408">
        <v>0</v>
      </c>
      <c r="AX654" s="408"/>
      <c r="AY654" s="408"/>
      <c r="AZ654" s="408">
        <v>0</v>
      </c>
      <c r="BA654" s="408"/>
      <c r="BB654" s="408">
        <v>0</v>
      </c>
      <c r="BC654" s="408">
        <v>0</v>
      </c>
      <c r="BD654" s="408">
        <v>0</v>
      </c>
      <c r="BE654" s="408">
        <v>0</v>
      </c>
      <c r="BF654" s="408"/>
      <c r="BG654" s="408">
        <v>0</v>
      </c>
      <c r="BH654" s="408">
        <v>0</v>
      </c>
      <c r="BI654" s="408">
        <v>19.91</v>
      </c>
      <c r="BJ654" s="408">
        <v>0</v>
      </c>
      <c r="BK654" s="408">
        <v>0</v>
      </c>
      <c r="BL654" s="408">
        <v>0</v>
      </c>
      <c r="BM654" s="408"/>
      <c r="BN654" s="408"/>
      <c r="BO654" s="408">
        <v>1291.3150000000001</v>
      </c>
      <c r="BP654" s="408"/>
      <c r="BQ654" s="408"/>
      <c r="BR654" s="408"/>
      <c r="BS654" s="408"/>
      <c r="BT654" s="408"/>
      <c r="BU654" s="408"/>
      <c r="BV654" s="408">
        <v>0</v>
      </c>
      <c r="BW654" s="408"/>
      <c r="BX654" s="408"/>
      <c r="BY654" s="408"/>
      <c r="BZ654" s="408"/>
      <c r="CA654" s="408"/>
      <c r="CB654" s="408"/>
      <c r="CC654" s="408"/>
      <c r="CD654" s="408"/>
      <c r="CE654" s="408"/>
      <c r="CF654" s="408"/>
      <c r="CG654" s="408"/>
      <c r="CH654" s="408"/>
      <c r="CI654" s="408">
        <v>1291.3150000000001</v>
      </c>
      <c r="CJ654" s="408">
        <v>-3578.5450000000005</v>
      </c>
      <c r="CK654" s="408"/>
      <c r="CL654" s="408"/>
      <c r="CM654" s="408"/>
      <c r="CN654" s="408"/>
      <c r="CO654" s="408">
        <v>-7157.0300000000007</v>
      </c>
      <c r="CP654" s="408">
        <v>0</v>
      </c>
      <c r="CQ654" s="408">
        <v>31</v>
      </c>
      <c r="CR654" s="408">
        <v>0</v>
      </c>
      <c r="CS654" s="408">
        <v>0</v>
      </c>
      <c r="CT654" s="408">
        <v>0</v>
      </c>
      <c r="CU654" s="408">
        <v>0</v>
      </c>
      <c r="CV654" s="408">
        <v>0</v>
      </c>
      <c r="CW654" s="408"/>
      <c r="CX654" s="408"/>
      <c r="CY654" s="408"/>
      <c r="CZ654" s="408">
        <v>0</v>
      </c>
      <c r="DA654" s="408">
        <v>0</v>
      </c>
      <c r="DB654" s="408">
        <v>0</v>
      </c>
      <c r="DC654" s="408"/>
      <c r="DD654" s="408"/>
      <c r="DE654" s="408">
        <v>0</v>
      </c>
      <c r="DF654" s="408">
        <v>0</v>
      </c>
      <c r="DG654" s="408">
        <v>0</v>
      </c>
      <c r="DH654" s="408">
        <v>0</v>
      </c>
      <c r="DI654" s="408">
        <v>0</v>
      </c>
      <c r="DJ654" s="408"/>
      <c r="DK654" s="408">
        <v>0</v>
      </c>
      <c r="DL654" s="408">
        <v>0</v>
      </c>
      <c r="DM654" s="408"/>
      <c r="DN654" s="408">
        <v>0</v>
      </c>
      <c r="DO654" s="408">
        <v>0</v>
      </c>
      <c r="DP654" s="408">
        <v>0</v>
      </c>
      <c r="DQ654" s="408">
        <v>0</v>
      </c>
      <c r="DR654" s="408">
        <v>0</v>
      </c>
      <c r="DS654" s="408"/>
      <c r="DT654" s="408"/>
      <c r="DU654" s="408">
        <v>9741.2483581600645</v>
      </c>
      <c r="DV654" s="408"/>
      <c r="DW654" s="408">
        <v>0</v>
      </c>
      <c r="DX654" s="408">
        <v>0</v>
      </c>
      <c r="DY654" s="408">
        <v>-7157.03</v>
      </c>
      <c r="DZ654" s="234"/>
      <c r="EA654" s="408">
        <v>0</v>
      </c>
      <c r="EB654" s="408"/>
      <c r="EC654" s="408">
        <v>-7156.9908027309175</v>
      </c>
      <c r="ED654" s="408"/>
      <c r="EE654" s="408">
        <v>0</v>
      </c>
      <c r="EF654" s="408">
        <v>0</v>
      </c>
      <c r="EG654" s="408"/>
      <c r="EH654" s="408">
        <v>0</v>
      </c>
      <c r="EI654" s="408">
        <v>0</v>
      </c>
      <c r="EJ654" s="408">
        <v>0</v>
      </c>
      <c r="EK654" s="408">
        <v>0</v>
      </c>
      <c r="EL654" s="408">
        <v>0</v>
      </c>
      <c r="EM654" s="408"/>
      <c r="EN654" s="408"/>
      <c r="EO654" s="408">
        <v>0</v>
      </c>
      <c r="EP654" s="408">
        <v>0</v>
      </c>
      <c r="EQ654" s="408"/>
      <c r="ER654" s="408">
        <v>0</v>
      </c>
      <c r="ES654" s="408"/>
      <c r="ET654" s="408">
        <v>0</v>
      </c>
      <c r="EU654" s="408"/>
      <c r="EV654" s="408">
        <v>242</v>
      </c>
      <c r="EW654" s="408"/>
      <c r="EX654" s="408"/>
      <c r="EY654" s="408"/>
      <c r="EZ654" s="408"/>
      <c r="FA654" s="408">
        <v>0</v>
      </c>
      <c r="FB654" s="408"/>
      <c r="FC654" s="408"/>
      <c r="FD654" s="408"/>
      <c r="FE654" s="408"/>
      <c r="FF654" s="408">
        <v>0</v>
      </c>
      <c r="FG654" s="408">
        <v>0</v>
      </c>
      <c r="FH654" s="408">
        <v>0</v>
      </c>
      <c r="FI654" s="408">
        <v>0</v>
      </c>
    </row>
    <row r="655" spans="1:165">
      <c r="A655" s="408">
        <v>656</v>
      </c>
      <c r="B655" s="408" t="s">
        <v>1036</v>
      </c>
      <c r="C655" s="408" t="s">
        <v>2239</v>
      </c>
      <c r="D655" s="408" t="s">
        <v>597</v>
      </c>
      <c r="E655" s="408" t="s">
        <v>970</v>
      </c>
      <c r="F655" s="408" t="s">
        <v>1322</v>
      </c>
      <c r="G655" s="408" t="s">
        <v>2327</v>
      </c>
      <c r="H655" s="408" t="s">
        <v>1322</v>
      </c>
      <c r="I655" s="408" t="s">
        <v>973</v>
      </c>
      <c r="J655" s="408" t="s">
        <v>2328</v>
      </c>
      <c r="K655" s="828">
        <v>44713</v>
      </c>
      <c r="L655" s="408">
        <v>0</v>
      </c>
      <c r="M655" s="408">
        <v>0</v>
      </c>
      <c r="N655" s="408">
        <v>8.3689999999999998</v>
      </c>
      <c r="O655" s="408">
        <v>4.1844999999999999</v>
      </c>
      <c r="P655" s="408">
        <v>0</v>
      </c>
      <c r="Q655" s="408">
        <v>0</v>
      </c>
      <c r="R655" s="408"/>
      <c r="S655" s="408">
        <v>2592.54</v>
      </c>
      <c r="T655" s="408"/>
      <c r="U655" s="408"/>
      <c r="V655" s="408">
        <v>21696.967259999998</v>
      </c>
      <c r="W655" s="408">
        <v>21696.967259999998</v>
      </c>
      <c r="X655" s="408">
        <v>7798.3178899999994</v>
      </c>
      <c r="Y655" s="408">
        <v>0</v>
      </c>
      <c r="Z655" s="408">
        <v>441.30772101616157</v>
      </c>
      <c r="AA655" s="408">
        <v>0</v>
      </c>
      <c r="AB655" s="408">
        <v>0</v>
      </c>
      <c r="AC655" s="408">
        <v>0</v>
      </c>
      <c r="AD655" s="408">
        <v>42.318980047941295</v>
      </c>
      <c r="AE655" s="408">
        <v>19172.471000439342</v>
      </c>
      <c r="AF655" s="408"/>
      <c r="AG655" s="408"/>
      <c r="AH655" s="408"/>
      <c r="AI655" s="408">
        <v>0</v>
      </c>
      <c r="AJ655" s="408">
        <v>0</v>
      </c>
      <c r="AK655" s="408">
        <v>0</v>
      </c>
      <c r="AL655" s="408">
        <v>78.447940088570391</v>
      </c>
      <c r="AM655" s="408"/>
      <c r="AN655" s="408">
        <v>11.492496562520634</v>
      </c>
      <c r="AO655" s="408">
        <v>377.56635992522803</v>
      </c>
      <c r="AP655" s="408">
        <v>1432.7790660742191</v>
      </c>
      <c r="AQ655" s="408">
        <v>0</v>
      </c>
      <c r="AR655" s="408">
        <v>0</v>
      </c>
      <c r="AS655" s="408"/>
      <c r="AT655" s="408"/>
      <c r="AU655" s="408">
        <v>0</v>
      </c>
      <c r="AV655" s="408">
        <v>0</v>
      </c>
      <c r="AW655" s="408">
        <v>0</v>
      </c>
      <c r="AX655" s="408"/>
      <c r="AY655" s="408"/>
      <c r="AZ655" s="408">
        <v>0</v>
      </c>
      <c r="BA655" s="408"/>
      <c r="BB655" s="408">
        <v>0</v>
      </c>
      <c r="BC655" s="408">
        <v>0</v>
      </c>
      <c r="BD655" s="408">
        <v>3.827132807369527</v>
      </c>
      <c r="BE655" s="408">
        <v>0</v>
      </c>
      <c r="BF655" s="408"/>
      <c r="BG655" s="408">
        <v>136.71729648562328</v>
      </c>
      <c r="BH655" s="408">
        <v>0</v>
      </c>
      <c r="BI655" s="408">
        <v>0</v>
      </c>
      <c r="BJ655" s="408">
        <v>0</v>
      </c>
      <c r="BK655" s="408">
        <v>0</v>
      </c>
      <c r="BL655" s="408">
        <v>0</v>
      </c>
      <c r="BM655" s="408"/>
      <c r="BN655" s="408">
        <v>3899.1589449999997</v>
      </c>
      <c r="BO655" s="408"/>
      <c r="BP655" s="408"/>
      <c r="BQ655" s="408"/>
      <c r="BR655" s="408"/>
      <c r="BS655" s="408"/>
      <c r="BT655" s="408"/>
      <c r="BU655" s="408"/>
      <c r="BV655" s="408">
        <v>140.54442929299282</v>
      </c>
      <c r="BW655" s="408"/>
      <c r="BX655" s="408"/>
      <c r="BY655" s="408"/>
      <c r="BZ655" s="408"/>
      <c r="CA655" s="408"/>
      <c r="CB655" s="408"/>
      <c r="CC655" s="408"/>
      <c r="CD655" s="408"/>
      <c r="CE655" s="408"/>
      <c r="CF655" s="408"/>
      <c r="CG655" s="408"/>
      <c r="CH655" s="408"/>
      <c r="CI655" s="408">
        <v>3894.9657999999995</v>
      </c>
      <c r="CJ655" s="408">
        <v>-6953.5478299999995</v>
      </c>
      <c r="CK655" s="408"/>
      <c r="CL655" s="408"/>
      <c r="CM655" s="408"/>
      <c r="CN655" s="408"/>
      <c r="CO655" s="408">
        <v>-13898.649369999999</v>
      </c>
      <c r="CP655" s="408">
        <v>0</v>
      </c>
      <c r="CQ655" s="408">
        <v>30</v>
      </c>
      <c r="CR655" s="408">
        <v>187.58706898947639</v>
      </c>
      <c r="CS655" s="408">
        <v>38.946545503675395</v>
      </c>
      <c r="CT655" s="408">
        <v>147.79334447227029</v>
      </c>
      <c r="CU655" s="408">
        <v>0</v>
      </c>
      <c r="CV655" s="408">
        <v>0</v>
      </c>
      <c r="CW655" s="408"/>
      <c r="CX655" s="408"/>
      <c r="CY655" s="408"/>
      <c r="CZ655" s="408">
        <v>4.1377407891373466</v>
      </c>
      <c r="DA655" s="408">
        <v>0</v>
      </c>
      <c r="DB655" s="408">
        <v>0</v>
      </c>
      <c r="DC655" s="408"/>
      <c r="DD655" s="408"/>
      <c r="DE655" s="408">
        <v>0</v>
      </c>
      <c r="DF655" s="408">
        <v>0.58471214946431216</v>
      </c>
      <c r="DG655" s="408">
        <v>20.887768551727874</v>
      </c>
      <c r="DH655" s="408">
        <v>0</v>
      </c>
      <c r="DI655" s="408">
        <v>-21.084445310474393</v>
      </c>
      <c r="DJ655" s="408"/>
      <c r="DK655" s="408">
        <v>0</v>
      </c>
      <c r="DL655" s="408">
        <v>0</v>
      </c>
      <c r="DM655" s="408"/>
      <c r="DN655" s="408">
        <v>0</v>
      </c>
      <c r="DO655" s="408">
        <v>-3.1787583163571753</v>
      </c>
      <c r="DP655" s="408">
        <v>-0.49983884996701455</v>
      </c>
      <c r="DQ655" s="408">
        <v>0</v>
      </c>
      <c r="DR655" s="408">
        <v>0</v>
      </c>
      <c r="DS655" s="408"/>
      <c r="DT655" s="408"/>
      <c r="DU655" s="408"/>
      <c r="DV655" s="408">
        <v>19172.471000439342</v>
      </c>
      <c r="DW655" s="408">
        <v>0</v>
      </c>
      <c r="DX655" s="408">
        <v>0</v>
      </c>
      <c r="DY655" s="408">
        <v>-13898.649369999999</v>
      </c>
      <c r="DZ655" s="234"/>
      <c r="EA655" s="408">
        <v>0</v>
      </c>
      <c r="EB655" s="408"/>
      <c r="EC655" s="408">
        <v>-14086.20266834953</v>
      </c>
      <c r="ED655" s="408"/>
      <c r="EE655" s="408">
        <v>0</v>
      </c>
      <c r="EF655" s="408">
        <v>0</v>
      </c>
      <c r="EG655" s="408"/>
      <c r="EH655" s="408">
        <v>0</v>
      </c>
      <c r="EI655" s="408">
        <v>0</v>
      </c>
      <c r="EJ655" s="408">
        <v>0</v>
      </c>
      <c r="EK655" s="408">
        <v>0</v>
      </c>
      <c r="EL655" s="408">
        <v>0</v>
      </c>
      <c r="EM655" s="408"/>
      <c r="EN655" s="408"/>
      <c r="EO655" s="408">
        <v>0</v>
      </c>
      <c r="EP655" s="408">
        <v>0</v>
      </c>
      <c r="EQ655" s="408"/>
      <c r="ER655" s="408">
        <v>0</v>
      </c>
      <c r="ES655" s="408"/>
      <c r="ET655" s="408">
        <v>0</v>
      </c>
      <c r="EU655" s="408"/>
      <c r="EV655" s="408">
        <v>242</v>
      </c>
      <c r="EW655" s="408"/>
      <c r="EX655" s="408"/>
      <c r="EY655" s="408"/>
      <c r="EZ655" s="408"/>
      <c r="FA655" s="408">
        <v>0</v>
      </c>
      <c r="FB655" s="408"/>
      <c r="FC655" s="408"/>
      <c r="FD655" s="408"/>
      <c r="FE655" s="408"/>
      <c r="FF655" s="408">
        <v>0</v>
      </c>
      <c r="FG655" s="408">
        <v>0</v>
      </c>
      <c r="FH655" s="408">
        <v>0</v>
      </c>
      <c r="FI655" s="408">
        <v>0</v>
      </c>
    </row>
    <row r="656" spans="1:165">
      <c r="A656" s="408">
        <v>657</v>
      </c>
      <c r="B656" s="408" t="s">
        <v>1036</v>
      </c>
      <c r="C656" s="408" t="s">
        <v>2239</v>
      </c>
      <c r="D656" s="408" t="s">
        <v>597</v>
      </c>
      <c r="E656" s="408" t="s">
        <v>970</v>
      </c>
      <c r="F656" s="408" t="s">
        <v>1322</v>
      </c>
      <c r="G656" s="408" t="s">
        <v>2327</v>
      </c>
      <c r="H656" s="408" t="s">
        <v>1322</v>
      </c>
      <c r="I656" s="408" t="s">
        <v>2240</v>
      </c>
      <c r="J656" s="408" t="s">
        <v>2328</v>
      </c>
      <c r="K656" s="828">
        <v>44713</v>
      </c>
      <c r="L656" s="408">
        <v>0</v>
      </c>
      <c r="M656" s="408">
        <v>0</v>
      </c>
      <c r="N656" s="408">
        <v>149.69900000000001</v>
      </c>
      <c r="O656" s="408">
        <v>74.849500000000006</v>
      </c>
      <c r="P656" s="408">
        <v>0</v>
      </c>
      <c r="Q656" s="408">
        <v>0</v>
      </c>
      <c r="R656" s="408"/>
      <c r="S656" s="408">
        <v>80.27</v>
      </c>
      <c r="T656" s="408"/>
      <c r="U656" s="408"/>
      <c r="V656" s="408">
        <v>12016.338729999999</v>
      </c>
      <c r="W656" s="408">
        <v>12016.338729999999</v>
      </c>
      <c r="X656" s="408">
        <v>11957.956120000001</v>
      </c>
      <c r="Y656" s="408">
        <v>0</v>
      </c>
      <c r="Z656" s="408">
        <v>7893.8134219618087</v>
      </c>
      <c r="AA656" s="408">
        <v>0</v>
      </c>
      <c r="AB656" s="408">
        <v>0</v>
      </c>
      <c r="AC656" s="408">
        <v>0</v>
      </c>
      <c r="AD656" s="408">
        <v>0</v>
      </c>
      <c r="AE656" s="408">
        <v>0</v>
      </c>
      <c r="AF656" s="408"/>
      <c r="AG656" s="408"/>
      <c r="AH656" s="408"/>
      <c r="AI656" s="408">
        <v>0</v>
      </c>
      <c r="AJ656" s="408">
        <v>0</v>
      </c>
      <c r="AK656" s="408">
        <v>0</v>
      </c>
      <c r="AL656" s="408">
        <v>1403.2235850542361</v>
      </c>
      <c r="AM656" s="408"/>
      <c r="AN656" s="408">
        <v>205.56998959407056</v>
      </c>
      <c r="AO656" s="408">
        <v>0</v>
      </c>
      <c r="AP656" s="408">
        <v>0</v>
      </c>
      <c r="AQ656" s="408">
        <v>0</v>
      </c>
      <c r="AR656" s="408">
        <v>0</v>
      </c>
      <c r="AS656" s="408"/>
      <c r="AT656" s="408"/>
      <c r="AU656" s="408">
        <v>0</v>
      </c>
      <c r="AV656" s="408">
        <v>0</v>
      </c>
      <c r="AW656" s="408">
        <v>0</v>
      </c>
      <c r="AX656" s="408"/>
      <c r="AY656" s="408"/>
      <c r="AZ656" s="408">
        <v>0</v>
      </c>
      <c r="BA656" s="408"/>
      <c r="BB656" s="408">
        <v>0</v>
      </c>
      <c r="BC656" s="408">
        <v>0</v>
      </c>
      <c r="BD656" s="408">
        <v>68.457157860008465</v>
      </c>
      <c r="BE656" s="408">
        <v>0</v>
      </c>
      <c r="BF656" s="408"/>
      <c r="BG656" s="408">
        <v>2445.5063408533065</v>
      </c>
      <c r="BH656" s="408">
        <v>0</v>
      </c>
      <c r="BI656" s="408">
        <v>0</v>
      </c>
      <c r="BJ656" s="408">
        <v>0</v>
      </c>
      <c r="BK656" s="408">
        <v>0</v>
      </c>
      <c r="BL656" s="408">
        <v>0</v>
      </c>
      <c r="BM656" s="408"/>
      <c r="BN656" s="408">
        <v>5978.9780600000004</v>
      </c>
      <c r="BO656" s="408"/>
      <c r="BP656" s="408"/>
      <c r="BQ656" s="408"/>
      <c r="BR656" s="408"/>
      <c r="BS656" s="408"/>
      <c r="BT656" s="408"/>
      <c r="BU656" s="408"/>
      <c r="BV656" s="408">
        <v>2513.9634987133149</v>
      </c>
      <c r="BW656" s="408"/>
      <c r="BX656" s="408"/>
      <c r="BY656" s="408"/>
      <c r="BZ656" s="408"/>
      <c r="CA656" s="408"/>
      <c r="CB656" s="408"/>
      <c r="CC656" s="408"/>
      <c r="CD656" s="408"/>
      <c r="CE656" s="408"/>
      <c r="CF656" s="408"/>
      <c r="CG656" s="408"/>
      <c r="CH656" s="408"/>
      <c r="CI656" s="408">
        <v>5979.0179999999991</v>
      </c>
      <c r="CJ656" s="408">
        <v>-29.181365000001279</v>
      </c>
      <c r="CK656" s="408"/>
      <c r="CL656" s="408"/>
      <c r="CM656" s="408"/>
      <c r="CN656" s="408"/>
      <c r="CO656" s="408">
        <v>-58.382610000000092</v>
      </c>
      <c r="CP656" s="408">
        <v>0</v>
      </c>
      <c r="CQ656" s="408">
        <v>30</v>
      </c>
      <c r="CR656" s="408">
        <v>-58.859338899093927</v>
      </c>
      <c r="CS656" s="408">
        <v>0</v>
      </c>
      <c r="CT656" s="408">
        <v>0</v>
      </c>
      <c r="CU656" s="408">
        <v>0</v>
      </c>
      <c r="CV656" s="408">
        <v>0</v>
      </c>
      <c r="CW656" s="408"/>
      <c r="CX656" s="408"/>
      <c r="CY656" s="408"/>
      <c r="CZ656" s="408">
        <v>0</v>
      </c>
      <c r="DA656" s="408">
        <v>0</v>
      </c>
      <c r="DB656" s="408">
        <v>0</v>
      </c>
      <c r="DC656" s="408"/>
      <c r="DD656" s="408"/>
      <c r="DE656" s="408">
        <v>0</v>
      </c>
      <c r="DF656" s="408">
        <v>10.458934647228844</v>
      </c>
      <c r="DG656" s="408">
        <v>373.62624739217472</v>
      </c>
      <c r="DH656" s="408">
        <v>0</v>
      </c>
      <c r="DI656" s="408">
        <v>-377.14426795706822</v>
      </c>
      <c r="DJ656" s="408"/>
      <c r="DK656" s="408">
        <v>0</v>
      </c>
      <c r="DL656" s="408">
        <v>0</v>
      </c>
      <c r="DM656" s="408"/>
      <c r="DN656" s="408">
        <v>0</v>
      </c>
      <c r="DO656" s="408">
        <v>-56.859474393637811</v>
      </c>
      <c r="DP656" s="408">
        <v>-8.9407785877897084</v>
      </c>
      <c r="DQ656" s="408">
        <v>0</v>
      </c>
      <c r="DR656" s="408">
        <v>0</v>
      </c>
      <c r="DS656" s="408"/>
      <c r="DT656" s="408"/>
      <c r="DU656" s="408"/>
      <c r="DV656" s="408">
        <v>0</v>
      </c>
      <c r="DW656" s="408">
        <v>0</v>
      </c>
      <c r="DX656" s="408">
        <v>0</v>
      </c>
      <c r="DY656" s="408">
        <v>-58.382609999998749</v>
      </c>
      <c r="DZ656" s="234"/>
      <c r="EA656" s="408">
        <v>0</v>
      </c>
      <c r="EB656" s="408"/>
      <c r="EC656" s="408">
        <v>0</v>
      </c>
      <c r="ED656" s="408"/>
      <c r="EE656" s="408">
        <v>0</v>
      </c>
      <c r="EF656" s="408">
        <v>0</v>
      </c>
      <c r="EG656" s="408"/>
      <c r="EH656" s="408">
        <v>0</v>
      </c>
      <c r="EI656" s="408">
        <v>0</v>
      </c>
      <c r="EJ656" s="408">
        <v>0</v>
      </c>
      <c r="EK656" s="408">
        <v>0</v>
      </c>
      <c r="EL656" s="408">
        <v>0</v>
      </c>
      <c r="EM656" s="408"/>
      <c r="EN656" s="408"/>
      <c r="EO656" s="408">
        <v>0</v>
      </c>
      <c r="EP656" s="408">
        <v>0</v>
      </c>
      <c r="EQ656" s="408"/>
      <c r="ER656" s="408">
        <v>0</v>
      </c>
      <c r="ES656" s="408"/>
      <c r="ET656" s="408">
        <v>0</v>
      </c>
      <c r="EU656" s="408"/>
      <c r="EV656" s="408">
        <v>242</v>
      </c>
      <c r="EW656" s="408"/>
      <c r="EX656" s="408"/>
      <c r="EY656" s="408"/>
      <c r="EZ656" s="408"/>
      <c r="FA656" s="408">
        <v>0</v>
      </c>
      <c r="FB656" s="408"/>
      <c r="FC656" s="408"/>
      <c r="FD656" s="408"/>
      <c r="FE656" s="408"/>
      <c r="FF656" s="408">
        <v>0</v>
      </c>
      <c r="FG656" s="408">
        <v>0</v>
      </c>
      <c r="FH656" s="408">
        <v>0</v>
      </c>
      <c r="FI656" s="408">
        <v>0</v>
      </c>
    </row>
    <row r="657" spans="1:165">
      <c r="A657" s="408">
        <v>658</v>
      </c>
      <c r="B657" s="408" t="s">
        <v>1036</v>
      </c>
      <c r="C657" s="408" t="s">
        <v>2239</v>
      </c>
      <c r="D657" s="408" t="s">
        <v>597</v>
      </c>
      <c r="E657" s="408" t="s">
        <v>970</v>
      </c>
      <c r="F657" s="408" t="s">
        <v>1322</v>
      </c>
      <c r="G657" s="408" t="s">
        <v>2327</v>
      </c>
      <c r="H657" s="408" t="s">
        <v>1322</v>
      </c>
      <c r="I657" s="408" t="s">
        <v>1322</v>
      </c>
      <c r="J657" s="408" t="s">
        <v>2328</v>
      </c>
      <c r="K657" s="828">
        <v>44713</v>
      </c>
      <c r="L657" s="408">
        <v>700</v>
      </c>
      <c r="M657" s="408">
        <v>350</v>
      </c>
      <c r="N657" s="408">
        <v>0</v>
      </c>
      <c r="O657" s="408">
        <v>0</v>
      </c>
      <c r="P657" s="408">
        <v>0</v>
      </c>
      <c r="Q657" s="408">
        <v>0</v>
      </c>
      <c r="R657" s="408">
        <v>32.17</v>
      </c>
      <c r="S657" s="408"/>
      <c r="T657" s="408"/>
      <c r="U657" s="408">
        <v>22519</v>
      </c>
      <c r="V657" s="408"/>
      <c r="W657" s="408">
        <v>22519</v>
      </c>
      <c r="X657" s="408">
        <v>9051</v>
      </c>
      <c r="Y657" s="408">
        <v>0</v>
      </c>
      <c r="Z657" s="408">
        <v>0</v>
      </c>
      <c r="AA657" s="408">
        <v>0</v>
      </c>
      <c r="AB657" s="408">
        <v>0</v>
      </c>
      <c r="AC657" s="408">
        <v>0</v>
      </c>
      <c r="AD657" s="408">
        <v>69.941357591892782</v>
      </c>
      <c r="AE657" s="408">
        <v>18848.714799945101</v>
      </c>
      <c r="AF657" s="408"/>
      <c r="AG657" s="408"/>
      <c r="AH657" s="408"/>
      <c r="AI657" s="408">
        <v>0</v>
      </c>
      <c r="AJ657" s="408">
        <v>0</v>
      </c>
      <c r="AK657" s="408">
        <v>0</v>
      </c>
      <c r="AL657" s="408">
        <v>0</v>
      </c>
      <c r="AM657" s="408"/>
      <c r="AN657" s="408">
        <v>0</v>
      </c>
      <c r="AO657" s="408">
        <v>1235.0947744896112</v>
      </c>
      <c r="AP657" s="408">
        <v>2368.005615811976</v>
      </c>
      <c r="AQ657" s="408">
        <v>0</v>
      </c>
      <c r="AR657" s="408">
        <v>0</v>
      </c>
      <c r="AS657" s="408"/>
      <c r="AT657" s="408"/>
      <c r="AU657" s="408">
        <v>0</v>
      </c>
      <c r="AV657" s="408">
        <v>0</v>
      </c>
      <c r="AW657" s="408">
        <v>0</v>
      </c>
      <c r="AX657" s="408"/>
      <c r="AY657" s="408"/>
      <c r="AZ657" s="408">
        <v>0</v>
      </c>
      <c r="BA657" s="408"/>
      <c r="BB657" s="408">
        <v>0</v>
      </c>
      <c r="BC657" s="408">
        <v>0</v>
      </c>
      <c r="BD657" s="408">
        <v>0</v>
      </c>
      <c r="BE657" s="408">
        <v>0</v>
      </c>
      <c r="BF657" s="408"/>
      <c r="BG657" s="408">
        <v>0</v>
      </c>
      <c r="BH657" s="408">
        <v>0</v>
      </c>
      <c r="BI657" s="408">
        <v>514.21</v>
      </c>
      <c r="BJ657" s="408">
        <v>0</v>
      </c>
      <c r="BK657" s="408">
        <v>5566.23</v>
      </c>
      <c r="BL657" s="408">
        <v>1</v>
      </c>
      <c r="BM657" s="408"/>
      <c r="BN657" s="408">
        <v>4525.5</v>
      </c>
      <c r="BO657" s="408"/>
      <c r="BP657" s="408"/>
      <c r="BQ657" s="408"/>
      <c r="BR657" s="408"/>
      <c r="BS657" s="408"/>
      <c r="BT657" s="408"/>
      <c r="BU657" s="408"/>
      <c r="BV657" s="408">
        <v>0</v>
      </c>
      <c r="BW657" s="408"/>
      <c r="BX657" s="408"/>
      <c r="BY657" s="408"/>
      <c r="BZ657" s="408"/>
      <c r="CA657" s="408"/>
      <c r="CB657" s="408"/>
      <c r="CC657" s="408"/>
      <c r="CD657" s="408"/>
      <c r="CE657" s="408"/>
      <c r="CF657" s="408"/>
      <c r="CG657" s="408"/>
      <c r="CH657" s="408"/>
      <c r="CI657" s="408">
        <v>4525.5</v>
      </c>
      <c r="CJ657" s="408">
        <v>-6734.0300000000007</v>
      </c>
      <c r="CK657" s="408"/>
      <c r="CL657" s="408"/>
      <c r="CM657" s="408"/>
      <c r="CN657" s="408"/>
      <c r="CO657" s="408">
        <v>-13468.000000000002</v>
      </c>
      <c r="CP657" s="408">
        <v>0</v>
      </c>
      <c r="CQ657" s="408">
        <v>30</v>
      </c>
      <c r="CR657" s="408">
        <v>378.50381741193269</v>
      </c>
      <c r="CS657" s="408">
        <v>127.40190848977886</v>
      </c>
      <c r="CT657" s="408">
        <v>244.26338852710205</v>
      </c>
      <c r="CU657" s="408">
        <v>0</v>
      </c>
      <c r="CV657" s="408">
        <v>0</v>
      </c>
      <c r="CW657" s="408"/>
      <c r="CX657" s="408"/>
      <c r="CY657" s="408"/>
      <c r="CZ657" s="408">
        <v>6.8385203950515177</v>
      </c>
      <c r="DA657" s="408">
        <v>0</v>
      </c>
      <c r="DB657" s="408">
        <v>0</v>
      </c>
      <c r="DC657" s="408"/>
      <c r="DD657" s="408"/>
      <c r="DE657" s="408">
        <v>0</v>
      </c>
      <c r="DF657" s="408">
        <v>0</v>
      </c>
      <c r="DG657" s="408">
        <v>0</v>
      </c>
      <c r="DH657" s="408">
        <v>0</v>
      </c>
      <c r="DI657" s="408">
        <v>0</v>
      </c>
      <c r="DJ657" s="408"/>
      <c r="DK657" s="408">
        <v>0</v>
      </c>
      <c r="DL657" s="408">
        <v>0</v>
      </c>
      <c r="DM657" s="408"/>
      <c r="DN657" s="408">
        <v>0</v>
      </c>
      <c r="DO657" s="408">
        <v>0</v>
      </c>
      <c r="DP657" s="408">
        <v>0</v>
      </c>
      <c r="DQ657" s="408">
        <v>0</v>
      </c>
      <c r="DR657" s="408">
        <v>0</v>
      </c>
      <c r="DS657" s="408"/>
      <c r="DT657" s="408"/>
      <c r="DU657" s="408">
        <v>18848.714799945101</v>
      </c>
      <c r="DV657" s="408"/>
      <c r="DW657" s="408">
        <v>0</v>
      </c>
      <c r="DX657" s="408">
        <v>0</v>
      </c>
      <c r="DY657" s="408">
        <v>-13468</v>
      </c>
      <c r="DZ657" s="234"/>
      <c r="EA657" s="408">
        <v>0</v>
      </c>
      <c r="EB657" s="408"/>
      <c r="EC657" s="408">
        <v>-13848.335809393659</v>
      </c>
      <c r="ED657" s="408"/>
      <c r="EE657" s="408">
        <v>0</v>
      </c>
      <c r="EF657" s="408">
        <v>0</v>
      </c>
      <c r="EG657" s="408"/>
      <c r="EH657" s="408">
        <v>0</v>
      </c>
      <c r="EI657" s="408">
        <v>0</v>
      </c>
      <c r="EJ657" s="408">
        <v>0</v>
      </c>
      <c r="EK657" s="408">
        <v>0</v>
      </c>
      <c r="EL657" s="408">
        <v>0</v>
      </c>
      <c r="EM657" s="408"/>
      <c r="EN657" s="408"/>
      <c r="EO657" s="408">
        <v>0</v>
      </c>
      <c r="EP657" s="408">
        <v>0</v>
      </c>
      <c r="EQ657" s="408"/>
      <c r="ER657" s="408">
        <v>0</v>
      </c>
      <c r="ES657" s="408"/>
      <c r="ET657" s="408">
        <v>0</v>
      </c>
      <c r="EU657" s="408"/>
      <c r="EV657" s="408">
        <v>242</v>
      </c>
      <c r="EW657" s="408"/>
      <c r="EX657" s="408"/>
      <c r="EY657" s="408"/>
      <c r="EZ657" s="408"/>
      <c r="FA657" s="408">
        <v>0</v>
      </c>
      <c r="FB657" s="408"/>
      <c r="FC657" s="408"/>
      <c r="FD657" s="408"/>
      <c r="FE657" s="408"/>
      <c r="FF657" s="408">
        <v>0</v>
      </c>
      <c r="FG657" s="408">
        <v>0</v>
      </c>
      <c r="FH657" s="408">
        <v>0</v>
      </c>
      <c r="FI657" s="408">
        <v>0</v>
      </c>
    </row>
    <row r="658" spans="1:165">
      <c r="A658" s="408">
        <v>659</v>
      </c>
      <c r="B658" s="408" t="s">
        <v>1036</v>
      </c>
      <c r="C658" s="408" t="s">
        <v>993</v>
      </c>
      <c r="D658" s="408" t="s">
        <v>597</v>
      </c>
      <c r="E658" s="408" t="s">
        <v>1322</v>
      </c>
      <c r="F658" s="408" t="s">
        <v>1322</v>
      </c>
      <c r="G658" s="408" t="s">
        <v>1322</v>
      </c>
      <c r="H658" s="408" t="s">
        <v>2329</v>
      </c>
      <c r="I658" s="408" t="s">
        <v>1322</v>
      </c>
      <c r="J658" s="408" t="s">
        <v>2252</v>
      </c>
      <c r="K658" s="828">
        <v>44713</v>
      </c>
      <c r="L658" s="408">
        <v>953</v>
      </c>
      <c r="M658" s="408">
        <v>476.5</v>
      </c>
      <c r="N658" s="408">
        <v>0</v>
      </c>
      <c r="O658" s="408">
        <v>0</v>
      </c>
      <c r="P658" s="408">
        <v>0</v>
      </c>
      <c r="Q658" s="408">
        <v>0</v>
      </c>
      <c r="R658" s="408">
        <v>10.220000000000001</v>
      </c>
      <c r="S658" s="408"/>
      <c r="T658" s="408"/>
      <c r="U658" s="408">
        <v>9739.66</v>
      </c>
      <c r="V658" s="408"/>
      <c r="W658" s="408">
        <v>9739.66</v>
      </c>
      <c r="X658" s="408">
        <v>2582.63</v>
      </c>
      <c r="Y658" s="408">
        <v>0</v>
      </c>
      <c r="Z658" s="408">
        <v>0</v>
      </c>
      <c r="AA658" s="408">
        <v>0</v>
      </c>
      <c r="AB658" s="408">
        <v>0</v>
      </c>
      <c r="AC658" s="408">
        <v>0</v>
      </c>
      <c r="AD658" s="408">
        <v>0</v>
      </c>
      <c r="AE658" s="408">
        <v>9741.2483581600645</v>
      </c>
      <c r="AF658" s="408"/>
      <c r="AG658" s="408"/>
      <c r="AH658" s="408"/>
      <c r="AI658" s="408">
        <v>0</v>
      </c>
      <c r="AJ658" s="408">
        <v>0</v>
      </c>
      <c r="AK658" s="408">
        <v>0</v>
      </c>
      <c r="AL658" s="408">
        <v>0</v>
      </c>
      <c r="AM658" s="408"/>
      <c r="AN658" s="408">
        <v>0</v>
      </c>
      <c r="AO658" s="408">
        <v>0</v>
      </c>
      <c r="AP658" s="408">
        <v>0</v>
      </c>
      <c r="AQ658" s="408">
        <v>0</v>
      </c>
      <c r="AR658" s="408">
        <v>0</v>
      </c>
      <c r="AS658" s="408"/>
      <c r="AT658" s="408"/>
      <c r="AU658" s="408">
        <v>0</v>
      </c>
      <c r="AV658" s="408">
        <v>0</v>
      </c>
      <c r="AW658" s="408">
        <v>0</v>
      </c>
      <c r="AX658" s="408"/>
      <c r="AY658" s="408"/>
      <c r="AZ658" s="408">
        <v>0</v>
      </c>
      <c r="BA658" s="408"/>
      <c r="BB658" s="408">
        <v>0</v>
      </c>
      <c r="BC658" s="408">
        <v>0</v>
      </c>
      <c r="BD658" s="408">
        <v>0</v>
      </c>
      <c r="BE658" s="408">
        <v>0</v>
      </c>
      <c r="BF658" s="408"/>
      <c r="BG658" s="408">
        <v>0</v>
      </c>
      <c r="BH658" s="408">
        <v>0</v>
      </c>
      <c r="BI658" s="408">
        <v>23.05</v>
      </c>
      <c r="BJ658" s="408">
        <v>0</v>
      </c>
      <c r="BK658" s="408">
        <v>0</v>
      </c>
      <c r="BL658" s="408">
        <v>0</v>
      </c>
      <c r="BM658" s="408"/>
      <c r="BN658" s="408"/>
      <c r="BO658" s="408">
        <v>1291.3150000000001</v>
      </c>
      <c r="BP658" s="408"/>
      <c r="BQ658" s="408"/>
      <c r="BR658" s="408"/>
      <c r="BS658" s="408"/>
      <c r="BT658" s="408"/>
      <c r="BU658" s="408"/>
      <c r="BV658" s="408">
        <v>0</v>
      </c>
      <c r="BW658" s="408"/>
      <c r="BX658" s="408"/>
      <c r="BY658" s="408"/>
      <c r="BZ658" s="408"/>
      <c r="CA658" s="408"/>
      <c r="CB658" s="408"/>
      <c r="CC658" s="408"/>
      <c r="CD658" s="408"/>
      <c r="CE658" s="408"/>
      <c r="CF658" s="408"/>
      <c r="CG658" s="408"/>
      <c r="CH658" s="408"/>
      <c r="CI658" s="408">
        <v>1291.3150000000001</v>
      </c>
      <c r="CJ658" s="408">
        <v>-3578.5450000000005</v>
      </c>
      <c r="CK658" s="408"/>
      <c r="CL658" s="408"/>
      <c r="CM658" s="408"/>
      <c r="CN658" s="408"/>
      <c r="CO658" s="408">
        <v>-7157.0300000000007</v>
      </c>
      <c r="CP658" s="408">
        <v>0</v>
      </c>
      <c r="CQ658" s="408">
        <v>30</v>
      </c>
      <c r="CR658" s="408">
        <v>0</v>
      </c>
      <c r="CS658" s="408">
        <v>0</v>
      </c>
      <c r="CT658" s="408">
        <v>0</v>
      </c>
      <c r="CU658" s="408">
        <v>0</v>
      </c>
      <c r="CV658" s="408">
        <v>0</v>
      </c>
      <c r="CW658" s="408"/>
      <c r="CX658" s="408"/>
      <c r="CY658" s="408"/>
      <c r="CZ658" s="408">
        <v>0</v>
      </c>
      <c r="DA658" s="408">
        <v>0</v>
      </c>
      <c r="DB658" s="408">
        <v>0</v>
      </c>
      <c r="DC658" s="408"/>
      <c r="DD658" s="408"/>
      <c r="DE658" s="408">
        <v>0</v>
      </c>
      <c r="DF658" s="408">
        <v>0</v>
      </c>
      <c r="DG658" s="408">
        <v>0</v>
      </c>
      <c r="DH658" s="408">
        <v>0</v>
      </c>
      <c r="DI658" s="408">
        <v>0</v>
      </c>
      <c r="DJ658" s="408"/>
      <c r="DK658" s="408">
        <v>0</v>
      </c>
      <c r="DL658" s="408">
        <v>0</v>
      </c>
      <c r="DM658" s="408"/>
      <c r="DN658" s="408">
        <v>0</v>
      </c>
      <c r="DO658" s="408">
        <v>0</v>
      </c>
      <c r="DP658" s="408">
        <v>0</v>
      </c>
      <c r="DQ658" s="408">
        <v>0</v>
      </c>
      <c r="DR658" s="408">
        <v>0</v>
      </c>
      <c r="DS658" s="408"/>
      <c r="DT658" s="408"/>
      <c r="DU658" s="408">
        <v>9741.2483581600645</v>
      </c>
      <c r="DV658" s="408"/>
      <c r="DW658" s="408">
        <v>0</v>
      </c>
      <c r="DX658" s="408">
        <v>0</v>
      </c>
      <c r="DY658" s="408">
        <v>-7157.03</v>
      </c>
      <c r="DZ658" s="234"/>
      <c r="EA658" s="408">
        <v>0</v>
      </c>
      <c r="EB658" s="408"/>
      <c r="EC658" s="408">
        <v>-7156.9908027309175</v>
      </c>
      <c r="ED658" s="408"/>
      <c r="EE658" s="408">
        <v>0</v>
      </c>
      <c r="EF658" s="408">
        <v>0</v>
      </c>
      <c r="EG658" s="408"/>
      <c r="EH658" s="408">
        <v>0</v>
      </c>
      <c r="EI658" s="408">
        <v>0</v>
      </c>
      <c r="EJ658" s="408">
        <v>0</v>
      </c>
      <c r="EK658" s="408">
        <v>0</v>
      </c>
      <c r="EL658" s="408">
        <v>0</v>
      </c>
      <c r="EM658" s="408"/>
      <c r="EN658" s="408"/>
      <c r="EO658" s="408">
        <v>0</v>
      </c>
      <c r="EP658" s="408">
        <v>0</v>
      </c>
      <c r="EQ658" s="408"/>
      <c r="ER658" s="408">
        <v>0</v>
      </c>
      <c r="ES658" s="408"/>
      <c r="ET658" s="408">
        <v>0</v>
      </c>
      <c r="EU658" s="408"/>
      <c r="EV658" s="408">
        <v>242</v>
      </c>
      <c r="EW658" s="408"/>
      <c r="EX658" s="408"/>
      <c r="EY658" s="408"/>
      <c r="EZ658" s="408"/>
      <c r="FA658" s="408">
        <v>0</v>
      </c>
      <c r="FB658" s="408"/>
      <c r="FC658" s="408"/>
      <c r="FD658" s="408"/>
      <c r="FE658" s="408"/>
      <c r="FF658" s="408">
        <v>0</v>
      </c>
      <c r="FG658" s="408">
        <v>0</v>
      </c>
      <c r="FH658" s="408">
        <v>0</v>
      </c>
      <c r="FI658" s="408">
        <v>0</v>
      </c>
    </row>
    <row r="659" spans="1:165">
      <c r="A659" s="1661"/>
      <c r="B659" s="1661"/>
      <c r="C659" s="1661"/>
      <c r="D659" s="1661"/>
      <c r="E659" s="1661"/>
      <c r="F659" s="1661"/>
      <c r="G659" s="1661"/>
      <c r="H659" s="1661"/>
      <c r="I659" s="1661"/>
      <c r="J659" s="1661"/>
      <c r="K659" s="1661"/>
      <c r="L659" s="1661"/>
      <c r="M659" s="1661"/>
      <c r="N659" s="1661"/>
      <c r="O659" s="1661"/>
      <c r="P659" s="1661"/>
      <c r="Q659" s="1661"/>
      <c r="R659" s="1661"/>
      <c r="S659" s="1661"/>
      <c r="T659" s="1661"/>
      <c r="U659" s="1661"/>
      <c r="V659" s="1661"/>
      <c r="W659" s="1661"/>
      <c r="X659" s="1661"/>
      <c r="Y659" s="1661"/>
      <c r="Z659" s="1661"/>
      <c r="AA659" s="1661"/>
      <c r="AB659" s="1661"/>
      <c r="AC659" s="1661"/>
      <c r="AD659" s="1661"/>
      <c r="AE659" s="1661"/>
      <c r="AF659" s="1661"/>
      <c r="AG659" s="1661"/>
      <c r="AH659" s="1661"/>
      <c r="AI659" s="1661"/>
      <c r="AJ659" s="1661"/>
      <c r="AK659" s="1661"/>
      <c r="AL659" s="1661"/>
      <c r="AM659" s="1661"/>
      <c r="AN659" s="1661"/>
      <c r="AO659" s="1661"/>
      <c r="AP659" s="1661"/>
      <c r="AQ659" s="1661"/>
      <c r="AR659" s="1661"/>
      <c r="AS659" s="1661"/>
      <c r="AT659" s="1661"/>
      <c r="AU659" s="1661"/>
      <c r="AV659" s="1661"/>
      <c r="AW659" s="1661"/>
      <c r="AX659" s="1661"/>
      <c r="AY659" s="1661"/>
      <c r="AZ659" s="1661"/>
      <c r="BA659" s="1661"/>
      <c r="BB659" s="1661"/>
      <c r="BC659" s="1661"/>
      <c r="BD659" s="1661"/>
      <c r="BE659" s="1661"/>
      <c r="BF659" s="1661"/>
      <c r="BG659" s="1661"/>
      <c r="BH659" s="1661"/>
      <c r="BI659" s="1661"/>
      <c r="BJ659" s="1661"/>
      <c r="BK659" s="1661"/>
      <c r="BL659" s="1661"/>
      <c r="BM659" s="1661"/>
      <c r="BN659" s="1661"/>
      <c r="BO659" s="1661"/>
      <c r="BP659" s="1661"/>
      <c r="BQ659" s="1661"/>
      <c r="BR659" s="1661"/>
      <c r="BS659" s="1661"/>
      <c r="BT659" s="1661"/>
      <c r="BU659" s="1661"/>
      <c r="BV659" s="1661"/>
      <c r="BW659" s="1661"/>
      <c r="BX659" s="1661"/>
      <c r="BY659" s="1661"/>
      <c r="BZ659" s="1661"/>
      <c r="CA659" s="1661"/>
      <c r="CB659" s="1661"/>
      <c r="CC659" s="1661"/>
      <c r="CD659" s="1661"/>
      <c r="CE659" s="1661"/>
      <c r="CF659" s="1661"/>
      <c r="CG659" s="1661"/>
      <c r="CH659" s="1661"/>
      <c r="CI659" s="1661"/>
      <c r="CJ659" s="1661"/>
      <c r="CK659" s="1661"/>
      <c r="CL659" s="1661"/>
      <c r="CM659" s="1661"/>
      <c r="CN659" s="1661"/>
      <c r="CO659" s="1661"/>
      <c r="CP659" s="1661"/>
      <c r="CQ659" s="1661"/>
      <c r="CR659" s="1661"/>
      <c r="CS659" s="1661"/>
      <c r="CT659" s="1661"/>
      <c r="CU659" s="1661"/>
      <c r="CV659" s="1661"/>
      <c r="CW659" s="1661"/>
      <c r="CX659" s="1661"/>
      <c r="CY659" s="1661"/>
      <c r="CZ659" s="1661"/>
      <c r="DA659" s="1661"/>
      <c r="DB659" s="1661"/>
      <c r="DC659" s="1661"/>
      <c r="DD659" s="1661"/>
      <c r="DE659" s="1661"/>
      <c r="DF659" s="1661"/>
      <c r="DG659" s="1661"/>
      <c r="DH659" s="1661"/>
      <c r="DI659" s="1661"/>
      <c r="DJ659" s="1661"/>
      <c r="DK659" s="1661"/>
      <c r="DL659" s="1661"/>
      <c r="DM659" s="1661"/>
      <c r="DN659" s="1661"/>
      <c r="DO659" s="1661"/>
      <c r="DP659" s="1661"/>
      <c r="DQ659" s="1661"/>
      <c r="DR659" s="1661"/>
      <c r="DS659" s="1661"/>
      <c r="DT659" s="1661"/>
      <c r="DU659" s="1661"/>
      <c r="DV659" s="1661"/>
      <c r="DW659" s="1661"/>
      <c r="DX659" s="1661"/>
      <c r="DY659" s="1661"/>
      <c r="DZ659" s="1711"/>
      <c r="EA659" s="1661"/>
      <c r="EB659" s="1661"/>
      <c r="EC659" s="1661"/>
      <c r="ED659" s="1661"/>
      <c r="EE659" s="1661"/>
      <c r="EF659" s="1661"/>
      <c r="EG659" s="1661"/>
      <c r="EH659" s="1661"/>
      <c r="EI659" s="1661"/>
      <c r="EJ659" s="1661"/>
      <c r="EK659" s="1661"/>
      <c r="EL659" s="1661"/>
      <c r="EM659" s="1661"/>
      <c r="EN659" s="1661"/>
      <c r="EO659" s="1661"/>
      <c r="EP659" s="1661"/>
      <c r="EQ659" s="1661"/>
      <c r="ER659" s="1661"/>
      <c r="ES659" s="1661"/>
      <c r="ET659" s="1661"/>
      <c r="EU659" s="1661"/>
      <c r="EV659" s="1661"/>
      <c r="EW659" s="1661"/>
      <c r="EX659" s="1661"/>
      <c r="EY659" s="1661"/>
      <c r="EZ659" s="1661"/>
      <c r="FA659" s="1661"/>
      <c r="FB659" s="1661"/>
      <c r="FC659" s="1661"/>
      <c r="FD659" s="1661"/>
      <c r="FE659" s="1661"/>
      <c r="FF659" s="1661"/>
      <c r="FG659" s="1661"/>
      <c r="FH659" s="1661"/>
      <c r="FI659" s="1661"/>
    </row>
    <row r="660" spans="1:165">
      <c r="K660" s="266"/>
      <c r="L660" s="266"/>
      <c r="M660" s="266"/>
      <c r="N660" s="266"/>
      <c r="O660" s="266"/>
      <c r="P660" s="266"/>
      <c r="Q660" s="266"/>
      <c r="BR660" s="266"/>
      <c r="BS660" s="266"/>
      <c r="BT660" s="266"/>
      <c r="BU660" s="266"/>
      <c r="BV660" s="266"/>
      <c r="CJ660" s="266"/>
      <c r="CO660" s="266"/>
      <c r="CP660" s="266"/>
      <c r="CQ660" s="266"/>
      <c r="CR660" s="266"/>
      <c r="CS660" s="266"/>
      <c r="CT660" s="266"/>
      <c r="CU660" s="266"/>
      <c r="CV660" s="266"/>
      <c r="CW660" s="266"/>
      <c r="CX660" s="266"/>
      <c r="CY660" s="266"/>
      <c r="CZ660" s="266"/>
      <c r="DA660" s="266"/>
      <c r="DB660" s="266"/>
      <c r="DC660" s="266"/>
      <c r="DD660" s="266"/>
      <c r="DE660" s="266"/>
      <c r="DF660" s="266"/>
      <c r="DG660" s="266"/>
      <c r="DH660" s="266"/>
      <c r="DI660" s="266"/>
      <c r="DJ660" s="266"/>
      <c r="DK660" s="266"/>
      <c r="DL660" s="266"/>
      <c r="DM660" s="266"/>
      <c r="DN660" s="266"/>
      <c r="DO660" s="266"/>
      <c r="DP660" s="266"/>
      <c r="DQ660" s="266"/>
      <c r="DR660" s="266"/>
      <c r="DS660" s="266"/>
      <c r="DY660" s="266"/>
      <c r="EC660" s="266"/>
      <c r="EP660" s="266"/>
    </row>
    <row r="661" spans="1:165">
      <c r="K661" s="266"/>
      <c r="L661" s="266"/>
      <c r="M661" s="266"/>
      <c r="N661" s="266"/>
      <c r="O661" s="266"/>
      <c r="P661" s="266"/>
      <c r="Q661" s="266"/>
      <c r="BR661" s="266"/>
      <c r="BS661" s="266"/>
      <c r="BT661" s="266"/>
      <c r="BU661" s="266"/>
      <c r="BV661" s="266"/>
      <c r="CJ661" s="266"/>
      <c r="CO661" s="266"/>
      <c r="CP661" s="266"/>
      <c r="CQ661" s="266"/>
      <c r="CR661" s="266"/>
      <c r="CS661" s="266"/>
      <c r="CT661" s="266"/>
      <c r="CU661" s="266"/>
      <c r="CV661" s="266"/>
      <c r="CW661" s="266"/>
      <c r="CX661" s="266"/>
      <c r="CY661" s="266"/>
      <c r="CZ661" s="266"/>
      <c r="DA661" s="266"/>
      <c r="DB661" s="266"/>
      <c r="DC661" s="266"/>
      <c r="DD661" s="266"/>
      <c r="DE661" s="266"/>
      <c r="DF661" s="266"/>
      <c r="DG661" s="266"/>
      <c r="DH661" s="266"/>
      <c r="DI661" s="266"/>
      <c r="DJ661" s="266"/>
      <c r="DK661" s="266"/>
      <c r="DL661" s="266"/>
      <c r="DM661" s="266"/>
      <c r="DN661" s="266"/>
      <c r="DO661" s="266"/>
      <c r="DP661" s="266"/>
      <c r="DQ661" s="266"/>
      <c r="DR661" s="266"/>
      <c r="DS661" s="266"/>
      <c r="DY661" s="266"/>
      <c r="EC661" s="266"/>
      <c r="EP661" s="266"/>
    </row>
    <row r="662" spans="1:165">
      <c r="K662" s="266"/>
      <c r="L662" s="266"/>
      <c r="M662" s="266"/>
      <c r="N662" s="266"/>
      <c r="O662" s="266"/>
      <c r="P662" s="266"/>
      <c r="Q662" s="266"/>
      <c r="BR662" s="266"/>
      <c r="BS662" s="266"/>
      <c r="BT662" s="266"/>
      <c r="BU662" s="266"/>
      <c r="BV662" s="266"/>
      <c r="CJ662" s="266"/>
      <c r="CO662" s="266"/>
      <c r="CP662" s="266"/>
      <c r="CQ662" s="266"/>
      <c r="CR662" s="266"/>
      <c r="CS662" s="266"/>
      <c r="CT662" s="266"/>
      <c r="CU662" s="266"/>
      <c r="CV662" s="266"/>
      <c r="CW662" s="266"/>
      <c r="CX662" s="266"/>
      <c r="CY662" s="266"/>
      <c r="CZ662" s="266"/>
      <c r="DA662" s="266"/>
      <c r="DB662" s="266"/>
      <c r="DC662" s="266"/>
      <c r="DD662" s="266"/>
      <c r="DE662" s="266"/>
      <c r="DF662" s="266"/>
      <c r="DG662" s="266"/>
      <c r="DH662" s="266"/>
      <c r="DI662" s="266"/>
      <c r="DJ662" s="266"/>
      <c r="DK662" s="266"/>
      <c r="DL662" s="266"/>
      <c r="DM662" s="266"/>
      <c r="DN662" s="266"/>
      <c r="DO662" s="266"/>
      <c r="DP662" s="266"/>
      <c r="DQ662" s="266"/>
      <c r="DR662" s="266"/>
      <c r="DS662" s="266"/>
      <c r="DY662" s="266"/>
      <c r="EC662" s="266"/>
      <c r="EP662" s="266"/>
    </row>
    <row r="663" spans="1:165">
      <c r="K663" s="266"/>
      <c r="L663" s="266"/>
      <c r="M663" s="266"/>
      <c r="N663" s="266"/>
      <c r="O663" s="266"/>
      <c r="P663" s="266"/>
      <c r="Q663" s="266"/>
      <c r="BR663" s="266"/>
      <c r="BS663" s="266"/>
      <c r="BT663" s="266"/>
      <c r="BU663" s="266"/>
      <c r="BV663" s="266"/>
      <c r="CJ663" s="266"/>
      <c r="CO663" s="266"/>
      <c r="CP663" s="266"/>
      <c r="CQ663" s="266"/>
      <c r="CR663" s="266"/>
      <c r="CS663" s="266"/>
      <c r="CT663" s="266"/>
      <c r="CU663" s="266"/>
      <c r="CV663" s="266"/>
      <c r="CW663" s="266"/>
      <c r="CX663" s="266"/>
      <c r="CY663" s="266"/>
      <c r="CZ663" s="266"/>
      <c r="DA663" s="266"/>
      <c r="DB663" s="266"/>
      <c r="DC663" s="266"/>
      <c r="DD663" s="266"/>
      <c r="DE663" s="266"/>
      <c r="DF663" s="266"/>
      <c r="DG663" s="266"/>
      <c r="DH663" s="266"/>
      <c r="DI663" s="266"/>
      <c r="DJ663" s="266"/>
      <c r="DK663" s="266"/>
      <c r="DL663" s="266"/>
      <c r="DM663" s="266"/>
      <c r="DN663" s="266"/>
      <c r="DO663" s="266"/>
      <c r="DP663" s="266"/>
      <c r="DQ663" s="266"/>
      <c r="DR663" s="266"/>
      <c r="DS663" s="266"/>
      <c r="DY663" s="266"/>
      <c r="EC663" s="266"/>
      <c r="EP663" s="266"/>
    </row>
    <row r="664" spans="1:165">
      <c r="K664" s="266"/>
      <c r="L664" s="266"/>
      <c r="M664" s="266"/>
      <c r="N664" s="266"/>
      <c r="O664" s="266"/>
      <c r="P664" s="266"/>
      <c r="Q664" s="266"/>
      <c r="BR664" s="266"/>
      <c r="BS664" s="266"/>
      <c r="BT664" s="266"/>
      <c r="BU664" s="266"/>
      <c r="BV664" s="266"/>
      <c r="CJ664" s="266"/>
      <c r="CO664" s="266"/>
      <c r="CP664" s="266"/>
      <c r="CQ664" s="266"/>
      <c r="CR664" s="266"/>
      <c r="CS664" s="266"/>
      <c r="CT664" s="266"/>
      <c r="CU664" s="266"/>
      <c r="CV664" s="266"/>
      <c r="CW664" s="266"/>
      <c r="CX664" s="266"/>
      <c r="CY664" s="266"/>
      <c r="CZ664" s="266"/>
      <c r="DA664" s="266"/>
      <c r="DB664" s="266"/>
      <c r="DC664" s="266"/>
      <c r="DD664" s="266"/>
      <c r="DE664" s="266"/>
      <c r="DF664" s="266"/>
      <c r="DG664" s="266"/>
      <c r="DH664" s="266"/>
      <c r="DI664" s="266"/>
      <c r="DJ664" s="266"/>
      <c r="DK664" s="266"/>
      <c r="DL664" s="266"/>
      <c r="DM664" s="266"/>
      <c r="DN664" s="266"/>
      <c r="DO664" s="266"/>
      <c r="DP664" s="266"/>
      <c r="DQ664" s="266"/>
      <c r="DR664" s="266"/>
      <c r="DS664" s="266"/>
      <c r="DY664" s="266"/>
      <c r="EC664" s="266"/>
      <c r="EP664" s="266"/>
    </row>
    <row r="665" spans="1:165">
      <c r="K665" s="266"/>
      <c r="L665" s="266"/>
      <c r="M665" s="266"/>
      <c r="N665" s="266"/>
      <c r="O665" s="266"/>
      <c r="P665" s="266"/>
      <c r="Q665" s="266"/>
      <c r="BR665" s="266"/>
      <c r="BS665" s="266"/>
      <c r="BT665" s="266"/>
      <c r="BU665" s="266"/>
      <c r="BV665" s="266"/>
      <c r="CJ665" s="266"/>
      <c r="CO665" s="266"/>
      <c r="CP665" s="266"/>
      <c r="CQ665" s="266"/>
      <c r="CR665" s="266"/>
      <c r="CS665" s="266"/>
      <c r="CT665" s="266"/>
      <c r="CU665" s="266"/>
      <c r="CV665" s="266"/>
      <c r="CW665" s="266"/>
      <c r="CX665" s="266"/>
      <c r="CY665" s="266"/>
      <c r="CZ665" s="266"/>
      <c r="DA665" s="266"/>
      <c r="DB665" s="266"/>
      <c r="DC665" s="266"/>
      <c r="DD665" s="266"/>
      <c r="DE665" s="266"/>
      <c r="DF665" s="266"/>
      <c r="DG665" s="266"/>
      <c r="DH665" s="266"/>
      <c r="DI665" s="266"/>
      <c r="DJ665" s="266"/>
      <c r="DK665" s="266"/>
      <c r="DL665" s="266"/>
      <c r="DM665" s="266"/>
      <c r="DN665" s="266"/>
      <c r="DO665" s="266"/>
      <c r="DP665" s="266"/>
      <c r="DQ665" s="266"/>
      <c r="DR665" s="266"/>
      <c r="DS665" s="266"/>
      <c r="DY665" s="266"/>
      <c r="EC665" s="266"/>
      <c r="EP665" s="266"/>
    </row>
    <row r="666" spans="1:165">
      <c r="K666" s="266"/>
      <c r="L666" s="266"/>
      <c r="M666" s="266"/>
      <c r="N666" s="266"/>
      <c r="O666" s="266"/>
      <c r="P666" s="266"/>
      <c r="Q666" s="266"/>
      <c r="BR666" s="266"/>
      <c r="BS666" s="266"/>
      <c r="BT666" s="266"/>
      <c r="BU666" s="266"/>
      <c r="BV666" s="266"/>
      <c r="CJ666" s="266"/>
      <c r="CO666" s="266"/>
      <c r="CP666" s="266"/>
      <c r="CQ666" s="266"/>
      <c r="CR666" s="266"/>
      <c r="CS666" s="266"/>
      <c r="CT666" s="266"/>
      <c r="CU666" s="266"/>
      <c r="CV666" s="266"/>
      <c r="CW666" s="266"/>
      <c r="CX666" s="266"/>
      <c r="CY666" s="266"/>
      <c r="CZ666" s="266"/>
      <c r="DA666" s="266"/>
      <c r="DB666" s="266"/>
      <c r="DC666" s="266"/>
      <c r="DD666" s="266"/>
      <c r="DE666" s="266"/>
      <c r="DF666" s="266"/>
      <c r="DG666" s="266"/>
      <c r="DH666" s="266"/>
      <c r="DI666" s="266"/>
      <c r="DJ666" s="266"/>
      <c r="DK666" s="266"/>
      <c r="DL666" s="266"/>
      <c r="DM666" s="266"/>
      <c r="DN666" s="266"/>
      <c r="DO666" s="266"/>
      <c r="DP666" s="266"/>
      <c r="DQ666" s="266"/>
      <c r="DR666" s="266"/>
      <c r="DS666" s="266"/>
      <c r="DY666" s="266"/>
      <c r="EC666" s="266"/>
      <c r="EP666" s="266"/>
    </row>
    <row r="667" spans="1:165">
      <c r="K667" s="266"/>
      <c r="L667" s="266"/>
      <c r="M667" s="266"/>
      <c r="N667" s="266"/>
      <c r="O667" s="266"/>
      <c r="P667" s="266"/>
      <c r="Q667" s="266"/>
      <c r="BR667" s="266"/>
      <c r="BS667" s="266"/>
      <c r="BT667" s="266"/>
      <c r="BU667" s="266"/>
      <c r="BV667" s="266"/>
      <c r="CJ667" s="266"/>
      <c r="CO667" s="266"/>
      <c r="CP667" s="266"/>
      <c r="CQ667" s="266"/>
      <c r="CR667" s="266"/>
      <c r="CS667" s="266"/>
      <c r="CT667" s="266"/>
      <c r="CU667" s="266"/>
      <c r="CV667" s="266"/>
      <c r="CW667" s="266"/>
      <c r="CX667" s="266"/>
      <c r="CY667" s="266"/>
      <c r="CZ667" s="266"/>
      <c r="DA667" s="266"/>
      <c r="DB667" s="266"/>
      <c r="DC667" s="266"/>
      <c r="DD667" s="266"/>
      <c r="DE667" s="266"/>
      <c r="DF667" s="266"/>
      <c r="DG667" s="266"/>
      <c r="DH667" s="266"/>
      <c r="DI667" s="266"/>
      <c r="DJ667" s="266"/>
      <c r="DK667" s="266"/>
      <c r="DL667" s="266"/>
      <c r="DM667" s="266"/>
      <c r="DN667" s="266"/>
      <c r="DO667" s="266"/>
      <c r="DP667" s="266"/>
      <c r="DQ667" s="266"/>
      <c r="DR667" s="266"/>
      <c r="DS667" s="266"/>
      <c r="DY667" s="266"/>
      <c r="EC667" s="266"/>
      <c r="EP667" s="266"/>
    </row>
    <row r="668" spans="1:165">
      <c r="K668" s="266"/>
      <c r="L668" s="266"/>
      <c r="M668" s="266"/>
      <c r="N668" s="266"/>
      <c r="O668" s="266"/>
      <c r="P668" s="266"/>
      <c r="Q668" s="266"/>
      <c r="BR668" s="266"/>
      <c r="BS668" s="266"/>
      <c r="BT668" s="266"/>
      <c r="BU668" s="266"/>
      <c r="BV668" s="266"/>
      <c r="CJ668" s="266"/>
      <c r="CO668" s="266"/>
      <c r="CP668" s="266"/>
      <c r="CQ668" s="266"/>
      <c r="CR668" s="266"/>
      <c r="CS668" s="266"/>
      <c r="CT668" s="266"/>
      <c r="CU668" s="266"/>
      <c r="CV668" s="266"/>
      <c r="CW668" s="266"/>
      <c r="CX668" s="266"/>
      <c r="CY668" s="266"/>
      <c r="CZ668" s="266"/>
      <c r="DA668" s="266"/>
      <c r="DB668" s="266"/>
      <c r="DC668" s="266"/>
      <c r="DD668" s="266"/>
      <c r="DE668" s="266"/>
      <c r="DF668" s="266"/>
      <c r="DG668" s="266"/>
      <c r="DH668" s="266"/>
      <c r="DI668" s="266"/>
      <c r="DJ668" s="266"/>
      <c r="DK668" s="266"/>
      <c r="DL668" s="266"/>
      <c r="DM668" s="266"/>
      <c r="DN668" s="266"/>
      <c r="DO668" s="266"/>
      <c r="DP668" s="266"/>
      <c r="DQ668" s="266"/>
      <c r="DR668" s="266"/>
      <c r="DS668" s="266"/>
      <c r="DY668" s="266"/>
      <c r="EC668" s="266"/>
      <c r="EP668" s="266"/>
    </row>
    <row r="669" spans="1:165">
      <c r="K669" s="266"/>
      <c r="L669" s="266"/>
      <c r="M669" s="266"/>
      <c r="N669" s="266"/>
      <c r="O669" s="266"/>
      <c r="P669" s="266"/>
      <c r="Q669" s="266"/>
      <c r="BR669" s="266"/>
      <c r="BS669" s="266"/>
      <c r="BT669" s="266"/>
      <c r="BU669" s="266"/>
      <c r="BV669" s="266"/>
      <c r="CJ669" s="266"/>
      <c r="CO669" s="266"/>
      <c r="CP669" s="266"/>
      <c r="CQ669" s="266"/>
      <c r="CR669" s="266"/>
      <c r="CS669" s="266"/>
      <c r="CT669" s="266"/>
      <c r="CU669" s="266"/>
      <c r="CV669" s="266"/>
      <c r="CW669" s="266"/>
      <c r="CX669" s="266"/>
      <c r="CY669" s="266"/>
      <c r="CZ669" s="266"/>
      <c r="DA669" s="266"/>
      <c r="DB669" s="266"/>
      <c r="DC669" s="266"/>
      <c r="DD669" s="266"/>
      <c r="DE669" s="266"/>
      <c r="DF669" s="266"/>
      <c r="DG669" s="266"/>
      <c r="DH669" s="266"/>
      <c r="DI669" s="266"/>
      <c r="DJ669" s="266"/>
      <c r="DK669" s="266"/>
      <c r="DL669" s="266"/>
      <c r="DM669" s="266"/>
      <c r="DN669" s="266"/>
      <c r="DO669" s="266"/>
      <c r="DP669" s="266"/>
      <c r="DQ669" s="266"/>
      <c r="DR669" s="266"/>
      <c r="DS669" s="266"/>
      <c r="DY669" s="266"/>
      <c r="EC669" s="266"/>
      <c r="EP669" s="266"/>
    </row>
    <row r="670" spans="1:165">
      <c r="K670" s="266"/>
      <c r="L670" s="266"/>
      <c r="M670" s="266"/>
      <c r="N670" s="266"/>
      <c r="O670" s="266"/>
      <c r="P670" s="266"/>
      <c r="Q670" s="266"/>
      <c r="BR670" s="266"/>
      <c r="BS670" s="266"/>
      <c r="BT670" s="266"/>
      <c r="BU670" s="266"/>
      <c r="BV670" s="266"/>
      <c r="CJ670" s="266"/>
      <c r="CO670" s="266"/>
      <c r="CP670" s="266"/>
      <c r="CQ670" s="266"/>
      <c r="CR670" s="266"/>
      <c r="CS670" s="266"/>
      <c r="CT670" s="266"/>
      <c r="CU670" s="266"/>
      <c r="CV670" s="266"/>
      <c r="CW670" s="266"/>
      <c r="CX670" s="266"/>
      <c r="CY670" s="266"/>
      <c r="CZ670" s="266"/>
      <c r="DA670" s="266"/>
      <c r="DB670" s="266"/>
      <c r="DC670" s="266"/>
      <c r="DD670" s="266"/>
      <c r="DE670" s="266"/>
      <c r="DF670" s="266"/>
      <c r="DG670" s="266"/>
      <c r="DH670" s="266"/>
      <c r="DI670" s="266"/>
      <c r="DJ670" s="266"/>
      <c r="DK670" s="266"/>
      <c r="DL670" s="266"/>
      <c r="DM670" s="266"/>
      <c r="DN670" s="266"/>
      <c r="DO670" s="266"/>
      <c r="DP670" s="266"/>
      <c r="DQ670" s="266"/>
      <c r="DR670" s="266"/>
      <c r="DS670" s="266"/>
      <c r="DY670" s="266"/>
      <c r="EC670" s="266"/>
      <c r="EP670" s="266"/>
    </row>
    <row r="671" spans="1:165">
      <c r="K671" s="266"/>
      <c r="L671" s="266"/>
      <c r="M671" s="266"/>
      <c r="N671" s="266"/>
      <c r="O671" s="266"/>
      <c r="P671" s="266"/>
      <c r="Q671" s="266"/>
      <c r="BR671" s="266"/>
      <c r="BS671" s="266"/>
      <c r="BT671" s="266"/>
      <c r="BU671" s="266"/>
      <c r="BV671" s="266"/>
      <c r="CJ671" s="266"/>
      <c r="CO671" s="266"/>
      <c r="CP671" s="266"/>
      <c r="CQ671" s="266"/>
      <c r="CR671" s="266"/>
      <c r="CS671" s="266"/>
      <c r="CT671" s="266"/>
      <c r="CU671" s="266"/>
      <c r="CV671" s="266"/>
      <c r="CW671" s="266"/>
      <c r="CX671" s="266"/>
      <c r="CY671" s="266"/>
      <c r="CZ671" s="266"/>
      <c r="DA671" s="266"/>
      <c r="DB671" s="266"/>
      <c r="DC671" s="266"/>
      <c r="DD671" s="266"/>
      <c r="DE671" s="266"/>
      <c r="DF671" s="266"/>
      <c r="DG671" s="266"/>
      <c r="DH671" s="266"/>
      <c r="DI671" s="266"/>
      <c r="DJ671" s="266"/>
      <c r="DK671" s="266"/>
      <c r="DL671" s="266"/>
      <c r="DM671" s="266"/>
      <c r="DN671" s="266"/>
      <c r="DO671" s="266"/>
      <c r="DP671" s="266"/>
      <c r="DQ671" s="266"/>
      <c r="DR671" s="266"/>
      <c r="DS671" s="266"/>
      <c r="DY671" s="266"/>
      <c r="EC671" s="266"/>
      <c r="EP671" s="266"/>
    </row>
    <row r="672" spans="1:165">
      <c r="K672" s="266"/>
      <c r="L672" s="266"/>
      <c r="M672" s="266"/>
      <c r="N672" s="266"/>
      <c r="O672" s="266"/>
      <c r="P672" s="266"/>
      <c r="Q672" s="266"/>
      <c r="BR672" s="266"/>
      <c r="BS672" s="266"/>
      <c r="BT672" s="266"/>
      <c r="BU672" s="266"/>
      <c r="BV672" s="266"/>
      <c r="CJ672" s="266"/>
      <c r="CO672" s="266"/>
      <c r="CP672" s="266"/>
      <c r="CQ672" s="266"/>
      <c r="CR672" s="266"/>
      <c r="CS672" s="266"/>
      <c r="CT672" s="266"/>
      <c r="CU672" s="266"/>
      <c r="CV672" s="266"/>
      <c r="CW672" s="266"/>
      <c r="CX672" s="266"/>
      <c r="CY672" s="266"/>
      <c r="CZ672" s="266"/>
      <c r="DA672" s="266"/>
      <c r="DB672" s="266"/>
      <c r="DC672" s="266"/>
      <c r="DD672" s="266"/>
      <c r="DE672" s="266"/>
      <c r="DF672" s="266"/>
      <c r="DG672" s="266"/>
      <c r="DH672" s="266"/>
      <c r="DI672" s="266"/>
      <c r="DJ672" s="266"/>
      <c r="DK672" s="266"/>
      <c r="DL672" s="266"/>
      <c r="DM672" s="266"/>
      <c r="DN672" s="266"/>
      <c r="DO672" s="266"/>
      <c r="DP672" s="266"/>
      <c r="DQ672" s="266"/>
      <c r="DR672" s="266"/>
      <c r="DS672" s="266"/>
      <c r="DY672" s="266"/>
      <c r="EC672" s="266"/>
      <c r="EP672" s="266"/>
    </row>
    <row r="673" spans="130:130" s="266" customFormat="1">
      <c r="DZ673" s="291"/>
    </row>
    <row r="674" spans="130:130" s="266" customFormat="1">
      <c r="DZ674" s="291"/>
    </row>
    <row r="675" spans="130:130" s="266" customFormat="1">
      <c r="DZ675" s="291"/>
    </row>
    <row r="676" spans="130:130" s="266" customFormat="1">
      <c r="DZ676" s="291"/>
    </row>
    <row r="677" spans="130:130" s="266" customFormat="1">
      <c r="DZ677" s="291"/>
    </row>
    <row r="678" spans="130:130" s="266" customFormat="1">
      <c r="DZ678" s="291"/>
    </row>
    <row r="679" spans="130:130" s="266" customFormat="1">
      <c r="DZ679" s="291"/>
    </row>
    <row r="680" spans="130:130" s="266" customFormat="1">
      <c r="DZ680" s="291"/>
    </row>
    <row r="681" spans="130:130" s="266" customFormat="1">
      <c r="DZ681" s="291"/>
    </row>
    <row r="682" spans="130:130" s="266" customFormat="1">
      <c r="DZ682" s="291"/>
    </row>
    <row r="683" spans="130:130" s="266" customFormat="1">
      <c r="DZ683" s="291"/>
    </row>
    <row r="684" spans="130:130" s="266" customFormat="1">
      <c r="DZ684" s="291"/>
    </row>
    <row r="685" spans="130:130" s="266" customFormat="1">
      <c r="DZ685" s="291"/>
    </row>
    <row r="686" spans="130:130" s="266" customFormat="1">
      <c r="DZ686" s="291"/>
    </row>
    <row r="687" spans="130:130" s="266" customFormat="1">
      <c r="DZ687" s="291"/>
    </row>
    <row r="688" spans="130:130" s="266" customFormat="1">
      <c r="DZ688" s="291"/>
    </row>
    <row r="689" spans="130:130" s="266" customFormat="1">
      <c r="DZ689" s="291"/>
    </row>
    <row r="690" spans="130:130" s="266" customFormat="1">
      <c r="DZ690" s="291"/>
    </row>
    <row r="691" spans="130:130" s="266" customFormat="1">
      <c r="DZ691" s="291"/>
    </row>
    <row r="692" spans="130:130" s="266" customFormat="1">
      <c r="DZ692" s="291"/>
    </row>
    <row r="693" spans="130:130" s="266" customFormat="1">
      <c r="DZ693" s="291"/>
    </row>
    <row r="694" spans="130:130" s="266" customFormat="1">
      <c r="DZ694" s="291"/>
    </row>
    <row r="695" spans="130:130" s="266" customFormat="1">
      <c r="DZ695" s="291"/>
    </row>
    <row r="696" spans="130:130" s="266" customFormat="1">
      <c r="DZ696" s="291"/>
    </row>
    <row r="697" spans="130:130" s="266" customFormat="1">
      <c r="DZ697" s="291"/>
    </row>
    <row r="698" spans="130:130" s="266" customFormat="1">
      <c r="DZ698" s="291"/>
    </row>
    <row r="699" spans="130:130" s="266" customFormat="1">
      <c r="DZ699" s="291"/>
    </row>
    <row r="700" spans="130:130" s="266" customFormat="1">
      <c r="DZ700" s="291"/>
    </row>
    <row r="701" spans="130:130" s="266" customFormat="1">
      <c r="DZ701" s="291"/>
    </row>
    <row r="702" spans="130:130" s="266" customFormat="1">
      <c r="DZ702" s="291"/>
    </row>
    <row r="703" spans="130:130" s="266" customFormat="1">
      <c r="DZ703" s="291"/>
    </row>
    <row r="704" spans="130:130" s="266" customFormat="1">
      <c r="DZ704" s="291"/>
    </row>
    <row r="705" spans="130:130" s="266" customFormat="1">
      <c r="DZ705" s="291"/>
    </row>
    <row r="706" spans="130:130" s="266" customFormat="1">
      <c r="DZ706" s="291"/>
    </row>
    <row r="707" spans="130:130" s="266" customFormat="1">
      <c r="DZ707" s="291"/>
    </row>
    <row r="708" spans="130:130" s="266" customFormat="1">
      <c r="DZ708" s="291"/>
    </row>
    <row r="709" spans="130:130" s="266" customFormat="1">
      <c r="DZ709" s="291"/>
    </row>
    <row r="710" spans="130:130" s="266" customFormat="1">
      <c r="DZ710" s="291"/>
    </row>
    <row r="711" spans="130:130" s="266" customFormat="1">
      <c r="DZ711" s="291"/>
    </row>
    <row r="712" spans="130:130" s="266" customFormat="1">
      <c r="DZ712" s="291"/>
    </row>
    <row r="713" spans="130:130" s="266" customFormat="1">
      <c r="DZ713" s="291"/>
    </row>
    <row r="714" spans="130:130" s="266" customFormat="1">
      <c r="DZ714" s="291"/>
    </row>
    <row r="715" spans="130:130" s="266" customFormat="1">
      <c r="DZ715" s="291"/>
    </row>
    <row r="716" spans="130:130" s="266" customFormat="1">
      <c r="DZ716" s="291"/>
    </row>
    <row r="717" spans="130:130" s="266" customFormat="1">
      <c r="DZ717" s="291"/>
    </row>
    <row r="718" spans="130:130" s="266" customFormat="1">
      <c r="DZ718" s="291"/>
    </row>
    <row r="719" spans="130:130" s="266" customFormat="1">
      <c r="DZ719" s="291"/>
    </row>
    <row r="720" spans="130:130" s="266" customFormat="1">
      <c r="DZ720" s="291"/>
    </row>
    <row r="721" spans="130:130" s="266" customFormat="1">
      <c r="DZ721" s="291"/>
    </row>
    <row r="722" spans="130:130" s="266" customFormat="1">
      <c r="DZ722" s="291"/>
    </row>
    <row r="723" spans="130:130" s="266" customFormat="1">
      <c r="DZ723" s="291"/>
    </row>
    <row r="724" spans="130:130" s="266" customFormat="1">
      <c r="DZ724" s="291"/>
    </row>
    <row r="725" spans="130:130" s="266" customFormat="1">
      <c r="DZ725" s="291"/>
    </row>
    <row r="726" spans="130:130" s="266" customFormat="1">
      <c r="DZ726" s="291"/>
    </row>
    <row r="727" spans="130:130" s="266" customFormat="1">
      <c r="DZ727" s="291"/>
    </row>
    <row r="728" spans="130:130" s="266" customFormat="1">
      <c r="DZ728" s="291"/>
    </row>
    <row r="729" spans="130:130" s="266" customFormat="1">
      <c r="DZ729" s="291"/>
    </row>
    <row r="730" spans="130:130" s="266" customFormat="1">
      <c r="DZ730" s="291"/>
    </row>
    <row r="731" spans="130:130" s="266" customFormat="1">
      <c r="DZ731" s="291"/>
    </row>
    <row r="732" spans="130:130" s="266" customFormat="1">
      <c r="DZ732" s="291"/>
    </row>
    <row r="733" spans="130:130" s="266" customFormat="1">
      <c r="DZ733" s="291"/>
    </row>
    <row r="734" spans="130:130" s="266" customFormat="1">
      <c r="DZ734" s="291"/>
    </row>
    <row r="735" spans="130:130" s="266" customFormat="1">
      <c r="DZ735" s="291"/>
    </row>
    <row r="736" spans="130:130" s="266" customFormat="1">
      <c r="DZ736" s="291"/>
    </row>
    <row r="737" spans="130:130" s="266" customFormat="1">
      <c r="DZ737" s="291"/>
    </row>
    <row r="738" spans="130:130" s="266" customFormat="1">
      <c r="DZ738" s="291"/>
    </row>
    <row r="739" spans="130:130" s="266" customFormat="1">
      <c r="DZ739" s="291"/>
    </row>
    <row r="740" spans="130:130" s="266" customFormat="1">
      <c r="DZ740" s="291"/>
    </row>
    <row r="741" spans="130:130" s="266" customFormat="1">
      <c r="DZ741" s="291"/>
    </row>
    <row r="742" spans="130:130" s="266" customFormat="1">
      <c r="DZ742" s="291"/>
    </row>
    <row r="743" spans="130:130" s="266" customFormat="1">
      <c r="DZ743" s="291"/>
    </row>
    <row r="744" spans="130:130" s="266" customFormat="1">
      <c r="DZ744" s="291"/>
    </row>
    <row r="745" spans="130:130" s="266" customFormat="1">
      <c r="DZ745" s="291"/>
    </row>
    <row r="746" spans="130:130" s="266" customFormat="1">
      <c r="DZ746" s="291"/>
    </row>
    <row r="747" spans="130:130" s="266" customFormat="1">
      <c r="DZ747" s="291"/>
    </row>
    <row r="748" spans="130:130" s="266" customFormat="1">
      <c r="DZ748" s="291"/>
    </row>
    <row r="749" spans="130:130" s="266" customFormat="1">
      <c r="DZ749" s="291"/>
    </row>
    <row r="750" spans="130:130" s="266" customFormat="1">
      <c r="DZ750" s="291"/>
    </row>
    <row r="751" spans="130:130" s="266" customFormat="1">
      <c r="DZ751" s="291"/>
    </row>
    <row r="752" spans="130:130" s="266" customFormat="1">
      <c r="DZ752" s="291"/>
    </row>
    <row r="753" spans="130:130" s="266" customFormat="1">
      <c r="DZ753" s="291"/>
    </row>
    <row r="754" spans="130:130" s="266" customFormat="1">
      <c r="DZ754" s="291"/>
    </row>
    <row r="755" spans="130:130" s="266" customFormat="1">
      <c r="DZ755" s="291"/>
    </row>
    <row r="756" spans="130:130" s="266" customFormat="1">
      <c r="DZ756" s="291"/>
    </row>
    <row r="757" spans="130:130" s="266" customFormat="1">
      <c r="DZ757" s="291"/>
    </row>
    <row r="758" spans="130:130" s="266" customFormat="1">
      <c r="DZ758" s="291"/>
    </row>
    <row r="759" spans="130:130" s="266" customFormat="1">
      <c r="DZ759" s="291"/>
    </row>
    <row r="760" spans="130:130" s="266" customFormat="1">
      <c r="DZ760" s="291"/>
    </row>
    <row r="761" spans="130:130" s="266" customFormat="1">
      <c r="DZ761" s="291"/>
    </row>
    <row r="762" spans="130:130" s="266" customFormat="1">
      <c r="DZ762" s="291"/>
    </row>
    <row r="763" spans="130:130" s="266" customFormat="1">
      <c r="DZ763" s="291"/>
    </row>
    <row r="764" spans="130:130" s="266" customFormat="1">
      <c r="DZ764" s="291"/>
    </row>
    <row r="765" spans="130:130" s="266" customFormat="1">
      <c r="DZ765" s="291"/>
    </row>
    <row r="766" spans="130:130" s="266" customFormat="1">
      <c r="DZ766" s="291"/>
    </row>
    <row r="767" spans="130:130" s="266" customFormat="1">
      <c r="DZ767" s="291"/>
    </row>
    <row r="768" spans="130:130" s="266" customFormat="1">
      <c r="DZ768" s="291"/>
    </row>
    <row r="769" spans="130:130" s="266" customFormat="1">
      <c r="DZ769" s="291"/>
    </row>
    <row r="770" spans="130:130" s="266" customFormat="1">
      <c r="DZ770" s="291"/>
    </row>
    <row r="771" spans="130:130" s="266" customFormat="1">
      <c r="DZ771" s="291"/>
    </row>
    <row r="772" spans="130:130" s="266" customFormat="1">
      <c r="DZ772" s="291"/>
    </row>
    <row r="773" spans="130:130" s="266" customFormat="1">
      <c r="DZ773" s="291"/>
    </row>
    <row r="774" spans="130:130" s="266" customFormat="1">
      <c r="DZ774" s="291"/>
    </row>
    <row r="775" spans="130:130" s="266" customFormat="1">
      <c r="DZ775" s="291"/>
    </row>
    <row r="776" spans="130:130" s="266" customFormat="1">
      <c r="DZ776" s="291"/>
    </row>
    <row r="777" spans="130:130" s="266" customFormat="1">
      <c r="DZ777" s="291"/>
    </row>
    <row r="778" spans="130:130" s="266" customFormat="1">
      <c r="DZ778" s="291"/>
    </row>
    <row r="779" spans="130:130" s="266" customFormat="1">
      <c r="DZ779" s="291"/>
    </row>
    <row r="780" spans="130:130" s="266" customFormat="1">
      <c r="DZ780" s="291"/>
    </row>
    <row r="781" spans="130:130" s="266" customFormat="1">
      <c r="DZ781" s="291"/>
    </row>
    <row r="782" spans="130:130" s="266" customFormat="1">
      <c r="DZ782" s="291"/>
    </row>
    <row r="783" spans="130:130" s="266" customFormat="1">
      <c r="DZ783" s="291"/>
    </row>
    <row r="784" spans="130:130" s="266" customFormat="1">
      <c r="DZ784" s="291"/>
    </row>
    <row r="785" spans="130:130" s="266" customFormat="1">
      <c r="DZ785" s="291"/>
    </row>
    <row r="786" spans="130:130" s="266" customFormat="1">
      <c r="DZ786" s="291"/>
    </row>
    <row r="787" spans="130:130" s="266" customFormat="1">
      <c r="DZ787" s="291"/>
    </row>
    <row r="788" spans="130:130" s="266" customFormat="1">
      <c r="DZ788" s="291"/>
    </row>
    <row r="789" spans="130:130" s="266" customFormat="1">
      <c r="DZ789" s="291"/>
    </row>
    <row r="790" spans="130:130" s="266" customFormat="1">
      <c r="DZ790" s="291"/>
    </row>
    <row r="791" spans="130:130" s="266" customFormat="1">
      <c r="DZ791" s="291"/>
    </row>
    <row r="792" spans="130:130" s="266" customFormat="1">
      <c r="DZ792" s="291"/>
    </row>
    <row r="793" spans="130:130" s="266" customFormat="1">
      <c r="DZ793" s="291"/>
    </row>
    <row r="794" spans="130:130" s="266" customFormat="1">
      <c r="DZ794" s="291"/>
    </row>
    <row r="795" spans="130:130" s="266" customFormat="1">
      <c r="DZ795" s="291"/>
    </row>
    <row r="796" spans="130:130" s="266" customFormat="1">
      <c r="DZ796" s="291"/>
    </row>
    <row r="797" spans="130:130" s="266" customFormat="1">
      <c r="DZ797" s="291"/>
    </row>
    <row r="798" spans="130:130" s="266" customFormat="1">
      <c r="DZ798" s="291"/>
    </row>
    <row r="799" spans="130:130" s="266" customFormat="1">
      <c r="DZ799" s="291"/>
    </row>
    <row r="800" spans="130:130" s="266" customFormat="1">
      <c r="DZ800" s="291"/>
    </row>
    <row r="801" spans="130:130" s="266" customFormat="1">
      <c r="DZ801" s="291"/>
    </row>
    <row r="802" spans="130:130" s="266" customFormat="1">
      <c r="DZ802" s="291"/>
    </row>
    <row r="803" spans="130:130" s="266" customFormat="1">
      <c r="DZ803" s="291"/>
    </row>
    <row r="804" spans="130:130" s="266" customFormat="1">
      <c r="DZ804" s="291"/>
    </row>
    <row r="805" spans="130:130" s="266" customFormat="1">
      <c r="DZ805" s="291"/>
    </row>
    <row r="806" spans="130:130" s="266" customFormat="1">
      <c r="DZ806" s="291"/>
    </row>
    <row r="807" spans="130:130" s="266" customFormat="1">
      <c r="DZ807" s="291"/>
    </row>
    <row r="808" spans="130:130" s="266" customFormat="1">
      <c r="DZ808" s="291"/>
    </row>
    <row r="809" spans="130:130" s="266" customFormat="1">
      <c r="DZ809" s="291"/>
    </row>
    <row r="810" spans="130:130" s="266" customFormat="1">
      <c r="DZ810" s="291"/>
    </row>
    <row r="811" spans="130:130" s="266" customFormat="1">
      <c r="DZ811" s="291"/>
    </row>
    <row r="812" spans="130:130" s="266" customFormat="1">
      <c r="DZ812" s="291"/>
    </row>
    <row r="813" spans="130:130" s="266" customFormat="1">
      <c r="DZ813" s="291"/>
    </row>
    <row r="814" spans="130:130" s="266" customFormat="1">
      <c r="DZ814" s="291"/>
    </row>
    <row r="815" spans="130:130" s="266" customFormat="1">
      <c r="DZ815" s="291"/>
    </row>
    <row r="816" spans="130:130" s="266" customFormat="1">
      <c r="DZ816" s="291"/>
    </row>
    <row r="817" spans="130:130" s="266" customFormat="1">
      <c r="DZ817" s="291"/>
    </row>
    <row r="818" spans="130:130" s="266" customFormat="1">
      <c r="DZ818" s="291"/>
    </row>
    <row r="819" spans="130:130" s="266" customFormat="1">
      <c r="DZ819" s="291"/>
    </row>
    <row r="820" spans="130:130" s="266" customFormat="1">
      <c r="DZ820" s="291"/>
    </row>
    <row r="821" spans="130:130" s="266" customFormat="1">
      <c r="DZ821" s="291"/>
    </row>
    <row r="822" spans="130:130" s="266" customFormat="1">
      <c r="DZ822" s="291"/>
    </row>
    <row r="823" spans="130:130" s="266" customFormat="1">
      <c r="DZ823" s="291"/>
    </row>
    <row r="824" spans="130:130" s="266" customFormat="1">
      <c r="DZ824" s="291"/>
    </row>
    <row r="825" spans="130:130" s="266" customFormat="1">
      <c r="DZ825" s="291"/>
    </row>
    <row r="826" spans="130:130" s="266" customFormat="1">
      <c r="DZ826" s="291"/>
    </row>
    <row r="827" spans="130:130" s="266" customFormat="1">
      <c r="DZ827" s="291"/>
    </row>
    <row r="828" spans="130:130" s="266" customFormat="1">
      <c r="DZ828" s="291"/>
    </row>
    <row r="829" spans="130:130" s="266" customFormat="1">
      <c r="DZ829" s="291"/>
    </row>
    <row r="830" spans="130:130" s="266" customFormat="1">
      <c r="DZ830" s="291"/>
    </row>
    <row r="831" spans="130:130" s="266" customFormat="1">
      <c r="DZ831" s="291"/>
    </row>
    <row r="832" spans="130:130" s="266" customFormat="1">
      <c r="DZ832" s="291"/>
    </row>
    <row r="833" spans="130:130" s="266" customFormat="1">
      <c r="DZ833" s="291"/>
    </row>
    <row r="834" spans="130:130" s="266" customFormat="1">
      <c r="DZ834" s="291"/>
    </row>
    <row r="835" spans="130:130" s="266" customFormat="1">
      <c r="DZ835" s="291"/>
    </row>
    <row r="836" spans="130:130" s="266" customFormat="1">
      <c r="DZ836" s="291"/>
    </row>
    <row r="837" spans="130:130" s="266" customFormat="1">
      <c r="DZ837" s="291"/>
    </row>
    <row r="838" spans="130:130" s="266" customFormat="1">
      <c r="DZ838" s="291"/>
    </row>
    <row r="839" spans="130:130" s="266" customFormat="1">
      <c r="DZ839" s="291"/>
    </row>
    <row r="840" spans="130:130" s="266" customFormat="1">
      <c r="DZ840" s="291"/>
    </row>
    <row r="841" spans="130:130" s="266" customFormat="1">
      <c r="DZ841" s="291"/>
    </row>
    <row r="842" spans="130:130" s="266" customFormat="1">
      <c r="DZ842" s="291"/>
    </row>
    <row r="843" spans="130:130" s="266" customFormat="1">
      <c r="DZ843" s="291"/>
    </row>
    <row r="844" spans="130:130" s="266" customFormat="1">
      <c r="DZ844" s="291"/>
    </row>
    <row r="845" spans="130:130" s="266" customFormat="1">
      <c r="DZ845" s="291"/>
    </row>
    <row r="846" spans="130:130" s="266" customFormat="1">
      <c r="DZ846" s="291"/>
    </row>
    <row r="847" spans="130:130" s="266" customFormat="1">
      <c r="DZ847" s="291"/>
    </row>
    <row r="848" spans="130:130" s="266" customFormat="1">
      <c r="DZ848" s="291"/>
    </row>
    <row r="849" spans="130:130" s="266" customFormat="1">
      <c r="DZ849" s="291"/>
    </row>
    <row r="850" spans="130:130" s="266" customFormat="1">
      <c r="DZ850" s="291"/>
    </row>
    <row r="851" spans="130:130" s="266" customFormat="1">
      <c r="DZ851" s="291"/>
    </row>
    <row r="852" spans="130:130" s="266" customFormat="1">
      <c r="DZ852" s="291"/>
    </row>
    <row r="853" spans="130:130" s="266" customFormat="1">
      <c r="DZ853" s="291"/>
    </row>
    <row r="854" spans="130:130" s="266" customFormat="1">
      <c r="DZ854" s="291"/>
    </row>
    <row r="855" spans="130:130" s="266" customFormat="1">
      <c r="DZ855" s="291"/>
    </row>
    <row r="856" spans="130:130" s="266" customFormat="1">
      <c r="DZ856" s="291"/>
    </row>
    <row r="857" spans="130:130" s="266" customFormat="1">
      <c r="DZ857" s="291"/>
    </row>
    <row r="858" spans="130:130" s="266" customFormat="1">
      <c r="DZ858" s="291"/>
    </row>
    <row r="859" spans="130:130" s="266" customFormat="1">
      <c r="DZ859" s="291"/>
    </row>
    <row r="860" spans="130:130" s="266" customFormat="1">
      <c r="DZ860" s="291"/>
    </row>
    <row r="861" spans="130:130" s="266" customFormat="1">
      <c r="DZ861" s="291"/>
    </row>
    <row r="862" spans="130:130" s="266" customFormat="1">
      <c r="DZ862" s="291"/>
    </row>
    <row r="863" spans="130:130" s="266" customFormat="1">
      <c r="DZ863" s="291"/>
    </row>
    <row r="864" spans="130:130" s="266" customFormat="1">
      <c r="DZ864" s="291"/>
    </row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DZ881" s="291"/>
      <c r="EC881" s="291"/>
      <c r="EP881" s="291"/>
    </row>
    <row r="882" spans="129:146" s="266" customFormat="1">
      <c r="DY882" s="291"/>
      <c r="DZ882" s="291"/>
      <c r="EC882" s="291"/>
      <c r="EP882" s="291"/>
    </row>
    <row r="883" spans="129:146" s="266" customFormat="1">
      <c r="DY883" s="291"/>
      <c r="DZ883" s="291"/>
      <c r="EC883" s="291"/>
      <c r="EP883" s="291"/>
    </row>
    <row r="884" spans="129:146" s="266" customFormat="1">
      <c r="DY884" s="291"/>
      <c r="DZ884" s="291"/>
      <c r="EC884" s="291"/>
      <c r="EP884" s="291"/>
    </row>
    <row r="885" spans="129:146" s="266" customFormat="1">
      <c r="DY885" s="291"/>
      <c r="DZ885" s="291"/>
      <c r="EC885" s="291"/>
      <c r="EP885" s="291"/>
    </row>
    <row r="886" spans="129:146" s="266" customFormat="1">
      <c r="DY886" s="291"/>
      <c r="DZ886" s="291"/>
      <c r="EC886" s="291"/>
      <c r="EP886" s="291"/>
    </row>
    <row r="887" spans="129:146" s="266" customFormat="1">
      <c r="DY887" s="291"/>
      <c r="DZ887" s="291"/>
      <c r="EC887" s="291"/>
      <c r="EP887" s="291"/>
    </row>
    <row r="888" spans="129:146" s="266" customFormat="1">
      <c r="DY888" s="291"/>
      <c r="DZ888" s="291"/>
      <c r="EC888" s="291"/>
      <c r="EP888" s="291"/>
    </row>
    <row r="889" spans="129:146" s="266" customFormat="1">
      <c r="DY889" s="291"/>
      <c r="DZ889" s="291"/>
      <c r="EC889" s="291"/>
      <c r="EP889" s="291"/>
    </row>
    <row r="890" spans="129:146" s="266" customFormat="1">
      <c r="DY890" s="291"/>
      <c r="DZ890" s="291"/>
      <c r="EC890" s="291"/>
      <c r="EP890" s="291"/>
    </row>
    <row r="891" spans="129:146" s="266" customFormat="1">
      <c r="DY891" s="291"/>
      <c r="DZ891" s="291"/>
      <c r="EC891" s="291"/>
      <c r="EP891" s="291"/>
    </row>
    <row r="892" spans="129:146" s="266" customFormat="1">
      <c r="DY892" s="291"/>
      <c r="DZ892" s="291"/>
      <c r="EC892" s="291"/>
      <c r="EP892" s="291"/>
    </row>
    <row r="893" spans="129:146" s="266" customFormat="1">
      <c r="DY893" s="291"/>
      <c r="DZ893" s="291"/>
      <c r="EC893" s="291"/>
      <c r="EP893" s="291"/>
    </row>
    <row r="894" spans="129:146" s="266" customFormat="1">
      <c r="DY894" s="291"/>
      <c r="DZ894" s="291"/>
      <c r="EC894" s="291"/>
      <c r="EP894" s="291"/>
    </row>
    <row r="895" spans="129:146" s="266" customFormat="1">
      <c r="DY895" s="291"/>
      <c r="DZ895" s="291"/>
      <c r="EC895" s="291"/>
      <c r="EP895" s="291"/>
    </row>
    <row r="896" spans="129:146" s="266" customFormat="1">
      <c r="DY896" s="291"/>
      <c r="DZ896" s="291"/>
      <c r="EC896" s="291"/>
      <c r="EP896" s="291"/>
    </row>
    <row r="897" spans="129:146" s="266" customFormat="1">
      <c r="DY897" s="291"/>
      <c r="DZ897" s="291"/>
      <c r="EC897" s="291"/>
      <c r="EP897" s="291"/>
    </row>
    <row r="898" spans="129:146" s="266" customFormat="1">
      <c r="DY898" s="291"/>
      <c r="DZ898" s="291"/>
      <c r="EC898" s="291"/>
      <c r="EP898" s="291"/>
    </row>
    <row r="899" spans="129:146" s="266" customFormat="1">
      <c r="DY899" s="291"/>
      <c r="DZ899" s="291"/>
      <c r="EC899" s="291"/>
      <c r="EP899" s="291"/>
    </row>
    <row r="900" spans="129:146" s="266" customFormat="1">
      <c r="DY900" s="291"/>
      <c r="DZ900" s="291"/>
      <c r="EC900" s="291"/>
      <c r="EP900" s="291"/>
    </row>
    <row r="901" spans="129:146" s="266" customFormat="1">
      <c r="DY901" s="291"/>
      <c r="DZ901" s="291"/>
      <c r="EC901" s="291"/>
      <c r="EP901" s="291"/>
    </row>
    <row r="902" spans="129:146" s="266" customFormat="1">
      <c r="DY902" s="291"/>
      <c r="DZ902" s="291"/>
      <c r="EC902" s="291"/>
      <c r="EP902" s="291"/>
    </row>
    <row r="903" spans="129:146" s="266" customFormat="1">
      <c r="DY903" s="291"/>
      <c r="DZ903" s="291"/>
      <c r="EC903" s="291"/>
      <c r="EP903" s="291"/>
    </row>
    <row r="904" spans="129:146" s="266" customFormat="1">
      <c r="DY904" s="291"/>
      <c r="DZ904" s="291"/>
      <c r="EC904" s="291"/>
      <c r="EP904" s="291"/>
    </row>
    <row r="905" spans="129:146" s="266" customFormat="1">
      <c r="DY905" s="291"/>
      <c r="DZ905" s="291"/>
      <c r="EC905" s="291"/>
      <c r="EP905" s="291"/>
    </row>
    <row r="906" spans="129:146" s="266" customFormat="1">
      <c r="DY906" s="291"/>
      <c r="DZ906" s="291"/>
      <c r="EC906" s="291"/>
      <c r="EP906" s="291"/>
    </row>
    <row r="907" spans="129:146" s="266" customFormat="1">
      <c r="DY907" s="291"/>
      <c r="DZ907" s="291"/>
      <c r="EC907" s="291"/>
      <c r="EP907" s="291"/>
    </row>
    <row r="908" spans="129:146" s="266" customFormat="1">
      <c r="DY908" s="291"/>
      <c r="DZ908" s="291"/>
      <c r="EC908" s="291"/>
      <c r="EP908" s="291"/>
    </row>
    <row r="909" spans="129:146" s="266" customFormat="1">
      <c r="DY909" s="291"/>
      <c r="DZ909" s="291"/>
      <c r="EC909" s="291"/>
      <c r="EP909" s="291"/>
    </row>
    <row r="910" spans="129:146" s="266" customFormat="1">
      <c r="DY910" s="291"/>
      <c r="DZ910" s="291"/>
      <c r="EC910" s="291"/>
      <c r="EP910" s="291"/>
    </row>
    <row r="911" spans="129:146" s="266" customFormat="1">
      <c r="DY911" s="291"/>
      <c r="DZ911" s="291"/>
      <c r="EC911" s="291"/>
      <c r="EP911" s="291"/>
    </row>
    <row r="912" spans="129:146" s="266" customFormat="1">
      <c r="DY912" s="291"/>
      <c r="DZ912" s="291"/>
      <c r="EC912" s="291"/>
      <c r="EP912" s="291"/>
    </row>
    <row r="913" spans="129:146" s="266" customFormat="1">
      <c r="DY913" s="291"/>
      <c r="DZ913" s="291"/>
      <c r="EC913" s="291"/>
      <c r="EP913" s="291"/>
    </row>
    <row r="914" spans="129:146" s="266" customFormat="1">
      <c r="DY914" s="291"/>
      <c r="DZ914" s="291"/>
      <c r="EC914" s="291"/>
      <c r="EP914" s="291"/>
    </row>
    <row r="915" spans="129:146" s="266" customFormat="1">
      <c r="DY915" s="291"/>
      <c r="DZ915" s="291"/>
      <c r="EC915" s="291"/>
      <c r="EP915" s="291"/>
    </row>
    <row r="916" spans="129:146" s="266" customFormat="1">
      <c r="DY916" s="291"/>
      <c r="DZ916" s="291"/>
      <c r="EC916" s="291"/>
      <c r="EP916" s="291"/>
    </row>
    <row r="917" spans="129:146" s="266" customFormat="1">
      <c r="DY917" s="291"/>
      <c r="DZ917" s="291"/>
      <c r="EC917" s="291"/>
      <c r="EP917" s="291"/>
    </row>
    <row r="918" spans="129:146" s="266" customFormat="1">
      <c r="DY918" s="291"/>
      <c r="DZ918" s="291"/>
      <c r="EC918" s="291"/>
      <c r="EP918" s="291"/>
    </row>
    <row r="919" spans="129:146" s="266" customFormat="1">
      <c r="DY919" s="291"/>
      <c r="DZ919" s="291"/>
      <c r="EC919" s="291"/>
      <c r="EP919" s="291"/>
    </row>
    <row r="920" spans="129:146" s="266" customFormat="1">
      <c r="DY920" s="291"/>
      <c r="DZ920" s="291"/>
      <c r="EC920" s="291"/>
      <c r="EP920" s="291"/>
    </row>
    <row r="921" spans="129:146" s="266" customFormat="1">
      <c r="DY921" s="291"/>
      <c r="DZ921" s="291"/>
      <c r="EC921" s="291"/>
      <c r="EP921" s="291"/>
    </row>
    <row r="922" spans="129:146" s="266" customFormat="1">
      <c r="DY922" s="291"/>
      <c r="DZ922" s="291"/>
      <c r="EC922" s="291"/>
      <c r="EP922" s="291"/>
    </row>
    <row r="923" spans="129:146" s="266" customFormat="1">
      <c r="DY923" s="291"/>
      <c r="DZ923" s="291"/>
      <c r="EC923" s="291"/>
      <c r="EP923" s="291"/>
    </row>
    <row r="924" spans="129:146" s="266" customFormat="1">
      <c r="DY924" s="291"/>
      <c r="DZ924" s="291"/>
      <c r="EC924" s="291"/>
      <c r="EP924" s="291"/>
    </row>
    <row r="925" spans="129:146" s="266" customFormat="1">
      <c r="DY925" s="291"/>
      <c r="DZ925" s="291"/>
      <c r="EC925" s="291"/>
      <c r="EP925" s="291"/>
    </row>
    <row r="926" spans="129:146" s="266" customFormat="1">
      <c r="DY926" s="291"/>
      <c r="DZ926" s="291"/>
      <c r="EC926" s="291"/>
      <c r="EP926" s="291"/>
    </row>
    <row r="927" spans="129:146" s="266" customFormat="1">
      <c r="DY927" s="291"/>
      <c r="DZ927" s="291"/>
      <c r="EC927" s="291"/>
      <c r="EP927" s="291"/>
    </row>
    <row r="928" spans="129:146" s="266" customFormat="1">
      <c r="DY928" s="291"/>
      <c r="DZ928" s="291"/>
      <c r="EC928" s="291"/>
      <c r="EP928" s="291"/>
    </row>
    <row r="929" spans="129:146" s="266" customFormat="1">
      <c r="DY929" s="291"/>
      <c r="DZ929" s="291"/>
      <c r="EC929" s="291"/>
      <c r="EP929" s="291"/>
    </row>
    <row r="930" spans="129:146" s="266" customFormat="1">
      <c r="DY930" s="291"/>
      <c r="DZ930" s="291"/>
      <c r="EC930" s="291"/>
      <c r="EP930" s="291"/>
    </row>
    <row r="931" spans="129:146" s="266" customFormat="1">
      <c r="DY931" s="291"/>
      <c r="DZ931" s="291"/>
      <c r="EC931" s="291"/>
      <c r="EP931" s="291"/>
    </row>
    <row r="932" spans="129:146" s="266" customFormat="1">
      <c r="DY932" s="291"/>
      <c r="DZ932" s="291"/>
      <c r="EC932" s="291"/>
      <c r="EP932" s="291"/>
    </row>
    <row r="933" spans="129:146" s="266" customFormat="1">
      <c r="DY933" s="291"/>
      <c r="DZ933" s="291"/>
      <c r="EC933" s="291"/>
      <c r="EP933" s="291"/>
    </row>
    <row r="934" spans="129:146" s="266" customFormat="1">
      <c r="DY934" s="291"/>
      <c r="DZ934" s="291"/>
      <c r="EC934" s="291"/>
      <c r="EP934" s="291"/>
    </row>
    <row r="935" spans="129:146" s="266" customFormat="1">
      <c r="DY935" s="291"/>
      <c r="DZ935" s="291"/>
      <c r="EC935" s="291"/>
      <c r="EP935" s="291"/>
    </row>
    <row r="936" spans="129:146" s="266" customFormat="1">
      <c r="DY936" s="291"/>
      <c r="DZ936" s="291"/>
      <c r="EC936" s="291"/>
      <c r="EP936" s="291"/>
    </row>
    <row r="937" spans="129:146" s="266" customFormat="1">
      <c r="DY937" s="291"/>
      <c r="DZ937" s="291"/>
      <c r="EC937" s="291"/>
      <c r="EP937" s="291"/>
    </row>
    <row r="938" spans="129:146" s="266" customFormat="1">
      <c r="DY938" s="291"/>
      <c r="DZ938" s="291"/>
      <c r="EC938" s="291"/>
      <c r="EP938" s="291"/>
    </row>
    <row r="939" spans="129:146" s="266" customFormat="1">
      <c r="DY939" s="291"/>
      <c r="DZ939" s="291"/>
      <c r="EC939" s="291"/>
      <c r="EP939" s="291"/>
    </row>
    <row r="940" spans="129:146" s="266" customFormat="1">
      <c r="DY940" s="291"/>
      <c r="DZ940" s="291"/>
      <c r="EC940" s="291"/>
      <c r="EP940" s="291"/>
    </row>
    <row r="941" spans="129:146" s="266" customFormat="1">
      <c r="DY941" s="291"/>
      <c r="DZ941" s="291"/>
      <c r="EC941" s="291"/>
      <c r="EP941" s="291"/>
    </row>
    <row r="942" spans="129:146" s="266" customFormat="1">
      <c r="DY942" s="291"/>
      <c r="DZ942" s="291"/>
      <c r="EC942" s="291"/>
      <c r="EP942" s="291"/>
    </row>
    <row r="943" spans="129:146" s="266" customFormat="1">
      <c r="DY943" s="291"/>
      <c r="DZ943" s="291"/>
      <c r="EC943" s="291"/>
      <c r="EP943" s="291"/>
    </row>
    <row r="944" spans="129:146" s="266" customFormat="1">
      <c r="DY944" s="291"/>
      <c r="DZ944" s="291"/>
      <c r="EC944" s="291"/>
      <c r="EP944" s="291"/>
    </row>
    <row r="945" spans="129:146" s="266" customFormat="1">
      <c r="DY945" s="291"/>
      <c r="DZ945" s="291"/>
      <c r="EC945" s="291"/>
      <c r="EP945" s="291"/>
    </row>
    <row r="946" spans="129:146" s="266" customFormat="1">
      <c r="DY946" s="291"/>
      <c r="DZ946" s="291"/>
      <c r="EC946" s="291"/>
      <c r="EP946" s="291"/>
    </row>
    <row r="947" spans="129:146" s="266" customFormat="1">
      <c r="DY947" s="291"/>
      <c r="DZ947" s="291"/>
      <c r="EC947" s="291"/>
      <c r="EP947" s="291"/>
    </row>
    <row r="948" spans="129:146" s="266" customFormat="1">
      <c r="DY948" s="291"/>
      <c r="DZ948" s="291"/>
      <c r="EC948" s="291"/>
      <c r="EP948" s="291"/>
    </row>
    <row r="949" spans="129:146" s="266" customFormat="1">
      <c r="DY949" s="291"/>
      <c r="DZ949" s="291"/>
      <c r="EC949" s="291"/>
      <c r="EP949" s="291"/>
    </row>
    <row r="950" spans="129:146" s="266" customFormat="1">
      <c r="DY950" s="291"/>
      <c r="DZ950" s="291"/>
      <c r="EC950" s="291"/>
      <c r="EP950" s="291"/>
    </row>
    <row r="951" spans="129:146" s="266" customFormat="1">
      <c r="DY951" s="291"/>
      <c r="DZ951" s="291"/>
      <c r="EC951" s="291"/>
      <c r="EP951" s="291"/>
    </row>
    <row r="952" spans="129:146" s="266" customFormat="1">
      <c r="DY952" s="291"/>
      <c r="DZ952" s="291"/>
      <c r="EC952" s="291"/>
      <c r="EP952" s="291"/>
    </row>
    <row r="953" spans="129:146" s="266" customFormat="1">
      <c r="DY953" s="291"/>
      <c r="DZ953" s="291"/>
      <c r="EC953" s="291"/>
      <c r="EP953" s="291"/>
    </row>
    <row r="954" spans="129:146" s="266" customFormat="1">
      <c r="DY954" s="291"/>
      <c r="DZ954" s="291"/>
      <c r="EC954" s="291"/>
      <c r="EP954" s="291"/>
    </row>
    <row r="955" spans="129:146" s="266" customFormat="1">
      <c r="DY955" s="291"/>
      <c r="DZ955" s="291"/>
      <c r="EC955" s="291"/>
      <c r="EP955" s="291"/>
    </row>
    <row r="956" spans="129:146" s="266" customFormat="1">
      <c r="DY956" s="291"/>
      <c r="DZ956" s="291"/>
      <c r="EC956" s="291"/>
      <c r="EP956" s="291"/>
    </row>
    <row r="957" spans="129:146" s="266" customFormat="1">
      <c r="DY957" s="291"/>
      <c r="DZ957" s="291"/>
      <c r="EC957" s="291"/>
      <c r="EP957" s="291"/>
    </row>
    <row r="958" spans="129:146" s="266" customFormat="1">
      <c r="DY958" s="291"/>
      <c r="DZ958" s="291"/>
      <c r="EC958" s="291"/>
      <c r="EP958" s="291"/>
    </row>
    <row r="959" spans="129:146" s="266" customFormat="1">
      <c r="DY959" s="291"/>
      <c r="DZ959" s="291"/>
      <c r="EC959" s="291"/>
      <c r="EP959" s="291"/>
    </row>
    <row r="960" spans="129:146" s="266" customFormat="1">
      <c r="DY960" s="291"/>
      <c r="DZ960" s="291"/>
      <c r="EC960" s="291"/>
      <c r="EP960" s="291"/>
    </row>
    <row r="961" spans="129:146" s="266" customFormat="1">
      <c r="DY961" s="291"/>
      <c r="DZ961" s="291"/>
      <c r="EC961" s="291"/>
      <c r="EP961" s="291"/>
    </row>
    <row r="962" spans="129:146" s="266" customFormat="1">
      <c r="DY962" s="291"/>
      <c r="DZ962" s="291"/>
      <c r="EC962" s="291"/>
      <c r="EP962" s="291"/>
    </row>
    <row r="963" spans="129:146" s="266" customFormat="1">
      <c r="DY963" s="291"/>
      <c r="DZ963" s="291"/>
      <c r="EC963" s="291"/>
      <c r="EP963" s="291"/>
    </row>
    <row r="964" spans="129:146" s="266" customFormat="1">
      <c r="DY964" s="291"/>
      <c r="DZ964" s="291"/>
      <c r="EC964" s="291"/>
      <c r="EP964" s="291"/>
    </row>
    <row r="965" spans="129:146" s="266" customFormat="1">
      <c r="DY965" s="291"/>
      <c r="DZ965" s="291"/>
      <c r="EC965" s="291"/>
      <c r="EP965" s="291"/>
    </row>
    <row r="966" spans="129:146" s="266" customFormat="1">
      <c r="DY966" s="291"/>
      <c r="DZ966" s="291"/>
      <c r="EC966" s="291"/>
      <c r="EP966" s="291"/>
    </row>
    <row r="967" spans="129:146" s="266" customFormat="1">
      <c r="DY967" s="291"/>
      <c r="DZ967" s="291"/>
      <c r="EC967" s="291"/>
      <c r="EP967" s="291"/>
    </row>
    <row r="968" spans="129:146" s="266" customFormat="1">
      <c r="DY968" s="291"/>
      <c r="DZ968" s="291"/>
      <c r="EC968" s="291"/>
      <c r="EP968" s="291"/>
    </row>
    <row r="969" spans="129:146" s="266" customFormat="1">
      <c r="DY969" s="291"/>
      <c r="DZ969" s="291"/>
      <c r="EC969" s="291"/>
      <c r="EP969" s="291"/>
    </row>
    <row r="970" spans="129:146" s="266" customFormat="1">
      <c r="DY970" s="291"/>
      <c r="DZ970" s="291"/>
      <c r="EC970" s="291"/>
      <c r="EP970" s="291"/>
    </row>
    <row r="971" spans="129:146" s="266" customFormat="1">
      <c r="DY971" s="291"/>
      <c r="DZ971" s="291"/>
      <c r="EC971" s="291"/>
      <c r="EP971" s="291"/>
    </row>
    <row r="972" spans="129:146" s="266" customFormat="1">
      <c r="DY972" s="291"/>
      <c r="DZ972" s="291"/>
      <c r="EC972" s="291"/>
      <c r="EP972" s="291"/>
    </row>
    <row r="973" spans="129:146" s="266" customFormat="1">
      <c r="DY973" s="291"/>
      <c r="DZ973" s="291"/>
      <c r="EC973" s="291"/>
      <c r="EP973" s="291"/>
    </row>
    <row r="974" spans="129:146" s="266" customFormat="1">
      <c r="DY974" s="291"/>
      <c r="DZ974" s="291"/>
      <c r="EC974" s="291"/>
      <c r="EP974" s="291"/>
    </row>
    <row r="975" spans="129:146" s="266" customFormat="1">
      <c r="DY975" s="291"/>
      <c r="DZ975" s="291"/>
      <c r="EC975" s="291"/>
      <c r="EP975" s="291"/>
    </row>
    <row r="976" spans="129:146" s="266" customFormat="1">
      <c r="DY976" s="291"/>
      <c r="DZ976" s="291"/>
      <c r="EC976" s="291"/>
      <c r="EP976" s="291"/>
    </row>
    <row r="977" spans="129:146" s="266" customFormat="1">
      <c r="DY977" s="291"/>
      <c r="DZ977" s="291"/>
      <c r="EC977" s="291"/>
      <c r="EP977" s="291"/>
    </row>
    <row r="978" spans="129:146" s="266" customFormat="1">
      <c r="DY978" s="291"/>
      <c r="DZ978" s="291"/>
      <c r="EC978" s="291"/>
      <c r="EP978" s="291"/>
    </row>
    <row r="979" spans="129:146" s="266" customFormat="1">
      <c r="DY979" s="291"/>
      <c r="DZ979" s="291"/>
      <c r="EC979" s="291"/>
      <c r="EP979" s="291"/>
    </row>
    <row r="980" spans="129:146" s="266" customFormat="1">
      <c r="DY980" s="291"/>
      <c r="DZ980" s="291"/>
      <c r="EC980" s="291"/>
      <c r="EP980" s="291"/>
    </row>
    <row r="981" spans="129:146" s="266" customFormat="1">
      <c r="DY981" s="291"/>
      <c r="DZ981" s="291"/>
      <c r="EC981" s="291"/>
      <c r="EP981" s="291"/>
    </row>
    <row r="982" spans="129:146" s="266" customFormat="1">
      <c r="DY982" s="291"/>
      <c r="DZ982" s="291"/>
      <c r="EC982" s="291"/>
      <c r="EP982" s="291"/>
    </row>
    <row r="983" spans="129:146" s="266" customFormat="1">
      <c r="DY983" s="291"/>
      <c r="DZ983" s="291"/>
      <c r="EC983" s="291"/>
      <c r="EP983" s="291"/>
    </row>
    <row r="984" spans="129:146" s="266" customFormat="1">
      <c r="DY984" s="291"/>
      <c r="DZ984" s="291"/>
      <c r="EC984" s="291"/>
      <c r="EP984" s="291"/>
    </row>
    <row r="985" spans="129:146" s="266" customFormat="1">
      <c r="DY985" s="291"/>
      <c r="DZ985" s="291"/>
      <c r="EC985" s="291"/>
      <c r="EP985" s="291"/>
    </row>
    <row r="986" spans="129:146" s="266" customFormat="1">
      <c r="DY986" s="291"/>
      <c r="DZ986" s="291"/>
      <c r="EC986" s="291"/>
      <c r="EP986" s="291"/>
    </row>
    <row r="987" spans="129:146" s="266" customFormat="1">
      <c r="DY987" s="291"/>
      <c r="DZ987" s="291"/>
      <c r="EC987" s="291"/>
      <c r="EP987" s="291"/>
    </row>
    <row r="988" spans="129:146" s="266" customFormat="1">
      <c r="DY988" s="291"/>
      <c r="DZ988" s="291"/>
      <c r="EC988" s="291"/>
      <c r="EP988" s="291"/>
    </row>
    <row r="989" spans="129:146" s="266" customFormat="1">
      <c r="DY989" s="291"/>
      <c r="DZ989" s="291"/>
      <c r="EC989" s="291"/>
      <c r="EP989" s="291"/>
    </row>
    <row r="990" spans="129:146" s="266" customFormat="1">
      <c r="DY990" s="291"/>
      <c r="DZ990" s="291"/>
      <c r="EC990" s="291"/>
      <c r="EP990" s="291"/>
    </row>
    <row r="991" spans="129:146" s="266" customFormat="1">
      <c r="DY991" s="291"/>
      <c r="DZ991" s="291"/>
      <c r="EC991" s="291"/>
      <c r="EP991" s="291"/>
    </row>
    <row r="992" spans="129:146" s="266" customFormat="1">
      <c r="DY992" s="291"/>
      <c r="DZ992" s="291"/>
      <c r="EC992" s="291"/>
      <c r="EP992" s="291"/>
    </row>
    <row r="993" spans="129:146" s="266" customFormat="1">
      <c r="DY993" s="291"/>
      <c r="DZ993" s="291"/>
      <c r="EC993" s="291"/>
      <c r="EP993" s="291"/>
    </row>
    <row r="994" spans="129:146" s="266" customFormat="1">
      <c r="DY994" s="291"/>
      <c r="DZ994" s="291"/>
      <c r="EC994" s="291"/>
      <c r="EP994" s="291"/>
    </row>
    <row r="995" spans="129:146" s="266" customFormat="1">
      <c r="DY995" s="291"/>
      <c r="DZ995" s="291"/>
      <c r="EC995" s="291"/>
      <c r="EP995" s="291"/>
    </row>
    <row r="996" spans="129:146" s="266" customFormat="1">
      <c r="DY996" s="291"/>
      <c r="DZ996" s="291"/>
      <c r="EC996" s="291"/>
      <c r="EP996" s="291"/>
    </row>
    <row r="997" spans="129:146" s="266" customFormat="1">
      <c r="DY997" s="291"/>
      <c r="DZ997" s="291"/>
      <c r="EC997" s="291"/>
      <c r="EP997" s="291"/>
    </row>
    <row r="998" spans="129:146" s="266" customFormat="1">
      <c r="DY998" s="291"/>
      <c r="DZ998" s="291"/>
      <c r="EC998" s="291"/>
      <c r="EP998" s="291"/>
    </row>
    <row r="999" spans="129:146" s="266" customFormat="1">
      <c r="DY999" s="291"/>
      <c r="DZ999" s="291"/>
      <c r="EC999" s="291"/>
      <c r="EP999" s="291"/>
    </row>
    <row r="1000" spans="129:146" s="266" customFormat="1">
      <c r="DY1000" s="291"/>
      <c r="DZ1000" s="291"/>
      <c r="EC1000" s="291"/>
      <c r="EP1000" s="291"/>
    </row>
    <row r="1001" spans="129:146" s="266" customFormat="1">
      <c r="DY1001" s="291"/>
      <c r="DZ1001" s="291"/>
      <c r="EC1001" s="291"/>
      <c r="EP1001" s="291"/>
    </row>
    <row r="1002" spans="129:146" s="266" customFormat="1">
      <c r="DY1002" s="291"/>
      <c r="DZ1002" s="291"/>
      <c r="EC1002" s="291"/>
      <c r="EP1002" s="291"/>
    </row>
    <row r="1003" spans="129:146" s="266" customFormat="1">
      <c r="DY1003" s="291"/>
      <c r="DZ1003" s="291"/>
      <c r="EC1003" s="291"/>
      <c r="EP1003" s="291"/>
    </row>
    <row r="1004" spans="129:146" s="266" customFormat="1">
      <c r="DY1004" s="291"/>
      <c r="DZ1004" s="291"/>
      <c r="EC1004" s="291"/>
      <c r="EP1004" s="291"/>
    </row>
    <row r="1005" spans="129:146" s="266" customFormat="1">
      <c r="DY1005" s="291"/>
      <c r="DZ1005" s="291"/>
      <c r="EC1005" s="291"/>
      <c r="EP1005" s="291"/>
    </row>
    <row r="1006" spans="129:146" s="266" customFormat="1">
      <c r="DY1006" s="291"/>
      <c r="DZ1006" s="291"/>
      <c r="EC1006" s="291"/>
      <c r="EP1006" s="291"/>
    </row>
    <row r="1007" spans="129:146" s="266" customFormat="1">
      <c r="DY1007" s="291"/>
      <c r="DZ1007" s="291"/>
      <c r="EC1007" s="291"/>
      <c r="EP1007" s="291"/>
    </row>
    <row r="1008" spans="129:146" s="266" customFormat="1">
      <c r="DY1008" s="291"/>
      <c r="DZ1008" s="291"/>
      <c r="EC1008" s="291"/>
      <c r="EP1008" s="291"/>
    </row>
    <row r="1009" spans="129:146" s="266" customFormat="1">
      <c r="DY1009" s="291"/>
      <c r="DZ1009" s="291"/>
      <c r="EC1009" s="291"/>
      <c r="EP1009" s="291"/>
    </row>
    <row r="1010" spans="129:146" s="266" customFormat="1">
      <c r="DY1010" s="291"/>
      <c r="DZ1010" s="291"/>
      <c r="EC1010" s="291"/>
      <c r="EP1010" s="291"/>
    </row>
    <row r="1011" spans="129:146" s="266" customFormat="1">
      <c r="DY1011" s="291"/>
      <c r="DZ1011" s="291"/>
      <c r="EC1011" s="291"/>
      <c r="EP1011" s="291"/>
    </row>
    <row r="1012" spans="129:146" s="266" customFormat="1">
      <c r="DY1012" s="291"/>
      <c r="DZ1012" s="291"/>
      <c r="EC1012" s="291"/>
      <c r="EP1012" s="291"/>
    </row>
    <row r="1013" spans="129:146" s="266" customFormat="1">
      <c r="DY1013" s="291"/>
      <c r="DZ1013" s="291"/>
      <c r="EC1013" s="291"/>
      <c r="EP1013" s="291"/>
    </row>
    <row r="1014" spans="129:146" s="266" customFormat="1">
      <c r="DY1014" s="291"/>
      <c r="DZ1014" s="291"/>
      <c r="EC1014" s="291"/>
      <c r="EP1014" s="291"/>
    </row>
    <row r="1015" spans="129:146" s="266" customFormat="1">
      <c r="DY1015" s="291"/>
      <c r="DZ1015" s="291"/>
      <c r="EC1015" s="291"/>
      <c r="EP1015" s="291"/>
    </row>
    <row r="1016" spans="129:146" s="266" customFormat="1">
      <c r="DY1016" s="291"/>
      <c r="DZ1016" s="291"/>
      <c r="EC1016" s="291"/>
      <c r="EP1016" s="291"/>
    </row>
    <row r="1017" spans="129:146" s="266" customFormat="1">
      <c r="DY1017" s="291"/>
      <c r="DZ1017" s="291"/>
      <c r="EC1017" s="291"/>
      <c r="EP1017" s="291"/>
    </row>
    <row r="1018" spans="129:146" s="266" customFormat="1">
      <c r="DY1018" s="291"/>
      <c r="DZ1018" s="291"/>
      <c r="EC1018" s="291"/>
      <c r="EP1018" s="291"/>
    </row>
    <row r="1019" spans="129:146" s="266" customFormat="1">
      <c r="DY1019" s="291"/>
      <c r="DZ1019" s="291"/>
      <c r="EC1019" s="291"/>
      <c r="EP1019" s="291"/>
    </row>
    <row r="1020" spans="129:146" s="266" customFormat="1">
      <c r="DY1020" s="291"/>
      <c r="DZ1020" s="291"/>
      <c r="EC1020" s="291"/>
      <c r="EP1020" s="291"/>
    </row>
    <row r="1021" spans="129:146" s="266" customFormat="1">
      <c r="DY1021" s="291"/>
      <c r="DZ1021" s="291"/>
      <c r="EC1021" s="291"/>
      <c r="EP1021" s="291"/>
    </row>
    <row r="1022" spans="129:146" s="266" customFormat="1">
      <c r="DY1022" s="291"/>
      <c r="DZ1022" s="291"/>
      <c r="EC1022" s="291"/>
      <c r="EP1022" s="291"/>
    </row>
    <row r="1023" spans="129:146" s="266" customFormat="1">
      <c r="DY1023" s="291"/>
      <c r="DZ1023" s="291"/>
      <c r="EC1023" s="291"/>
      <c r="EP1023" s="291"/>
    </row>
    <row r="1024" spans="129:146" s="266" customFormat="1">
      <c r="DY1024" s="291"/>
      <c r="DZ1024" s="291"/>
      <c r="EC1024" s="291"/>
      <c r="EP1024" s="291"/>
    </row>
    <row r="1025" spans="129:146" s="266" customFormat="1">
      <c r="DY1025" s="291"/>
      <c r="DZ1025" s="291"/>
      <c r="EC1025" s="291"/>
      <c r="EP1025" s="291"/>
    </row>
    <row r="1026" spans="129:146" s="266" customFormat="1">
      <c r="DY1026" s="291"/>
      <c r="DZ1026" s="291"/>
      <c r="EC1026" s="291"/>
      <c r="EP1026" s="291"/>
    </row>
    <row r="1027" spans="129:146" s="266" customFormat="1">
      <c r="DY1027" s="291"/>
      <c r="DZ1027" s="291"/>
      <c r="EC1027" s="291"/>
      <c r="EP1027" s="291"/>
    </row>
    <row r="1028" spans="129:146" s="266" customFormat="1">
      <c r="DY1028" s="291"/>
      <c r="DZ1028" s="291"/>
      <c r="EC1028" s="291"/>
      <c r="EP1028" s="291"/>
    </row>
    <row r="1029" spans="129:146" s="266" customFormat="1">
      <c r="DY1029" s="291"/>
      <c r="DZ1029" s="291"/>
      <c r="EC1029" s="291"/>
      <c r="EP1029" s="291"/>
    </row>
    <row r="1030" spans="129:146" s="266" customFormat="1">
      <c r="DY1030" s="291"/>
      <c r="DZ1030" s="291"/>
      <c r="EC1030" s="291"/>
      <c r="EP1030" s="291"/>
    </row>
    <row r="1031" spans="129:146" s="266" customFormat="1">
      <c r="DY1031" s="291"/>
      <c r="DZ1031" s="291"/>
      <c r="EC1031" s="291"/>
      <c r="EP1031" s="291"/>
    </row>
    <row r="1032" spans="129:146" s="266" customFormat="1">
      <c r="DY1032" s="291"/>
      <c r="DZ1032" s="291"/>
      <c r="EC1032" s="291"/>
      <c r="EP1032" s="291"/>
    </row>
    <row r="1033" spans="129:146" s="266" customFormat="1">
      <c r="DY1033" s="291"/>
      <c r="DZ1033" s="291"/>
      <c r="EC1033" s="291"/>
      <c r="EP1033" s="291"/>
    </row>
    <row r="1034" spans="129:146" s="266" customFormat="1">
      <c r="DY1034" s="291"/>
      <c r="DZ1034" s="291"/>
      <c r="EC1034" s="291"/>
      <c r="EP1034" s="291"/>
    </row>
    <row r="1035" spans="129:146" s="266" customFormat="1">
      <c r="DY1035" s="291"/>
      <c r="DZ1035" s="291"/>
      <c r="EC1035" s="291"/>
      <c r="EP1035" s="291"/>
    </row>
    <row r="1036" spans="129:146" s="266" customFormat="1">
      <c r="DY1036" s="291"/>
      <c r="DZ1036" s="291"/>
      <c r="EC1036" s="291"/>
      <c r="EP1036" s="291"/>
    </row>
    <row r="1037" spans="129:146" s="266" customFormat="1">
      <c r="DY1037" s="291"/>
      <c r="DZ1037" s="291"/>
      <c r="EC1037" s="291"/>
      <c r="EP1037" s="291"/>
    </row>
    <row r="1038" spans="129:146" s="266" customFormat="1">
      <c r="DY1038" s="291"/>
      <c r="DZ1038" s="291"/>
      <c r="EC1038" s="291"/>
      <c r="EP1038" s="291"/>
    </row>
    <row r="1039" spans="129:146" s="266" customFormat="1">
      <c r="DY1039" s="291"/>
      <c r="DZ1039" s="291"/>
      <c r="EC1039" s="291"/>
      <c r="EP1039" s="291"/>
    </row>
    <row r="1040" spans="129:146" s="266" customFormat="1">
      <c r="DY1040" s="291"/>
      <c r="DZ1040" s="291"/>
      <c r="EC1040" s="291"/>
      <c r="EP1040" s="291"/>
    </row>
    <row r="1041" spans="129:146" s="266" customFormat="1">
      <c r="DY1041" s="291"/>
      <c r="DZ1041" s="291"/>
      <c r="EC1041" s="291"/>
      <c r="EP1041" s="291"/>
    </row>
    <row r="1042" spans="129:146" s="266" customFormat="1">
      <c r="DY1042" s="291"/>
      <c r="DZ1042" s="291"/>
      <c r="EC1042" s="291"/>
      <c r="EP1042" s="291"/>
    </row>
    <row r="1043" spans="129:146" s="266" customFormat="1">
      <c r="DY1043" s="291"/>
      <c r="DZ1043" s="291"/>
      <c r="EC1043" s="291"/>
      <c r="EP1043" s="291"/>
    </row>
    <row r="1044" spans="129:146" s="266" customFormat="1">
      <c r="DY1044" s="291"/>
      <c r="DZ1044" s="291"/>
      <c r="EC1044" s="291"/>
      <c r="EP1044" s="291"/>
    </row>
    <row r="1045" spans="129:146" s="266" customFormat="1">
      <c r="DY1045" s="291"/>
      <c r="DZ1045" s="291"/>
      <c r="EC1045" s="291"/>
      <c r="EP1045" s="291"/>
    </row>
    <row r="1046" spans="129:146" s="266" customFormat="1">
      <c r="DY1046" s="291"/>
      <c r="DZ1046" s="291"/>
      <c r="EC1046" s="291"/>
      <c r="EP1046" s="291"/>
    </row>
    <row r="1047" spans="129:146" s="266" customFormat="1">
      <c r="DY1047" s="291"/>
      <c r="DZ1047" s="291"/>
      <c r="EC1047" s="291"/>
      <c r="EP1047" s="291"/>
    </row>
    <row r="1048" spans="129:146" s="266" customFormat="1">
      <c r="DY1048" s="291"/>
      <c r="DZ1048" s="291"/>
      <c r="EC1048" s="291"/>
      <c r="EP1048" s="291"/>
    </row>
    <row r="1049" spans="129:146" s="266" customFormat="1">
      <c r="DY1049" s="291"/>
      <c r="DZ1049" s="291"/>
      <c r="EC1049" s="291"/>
      <c r="EP1049" s="291"/>
    </row>
    <row r="1050" spans="129:146" s="266" customFormat="1">
      <c r="DY1050" s="291"/>
      <c r="DZ1050" s="291"/>
      <c r="EC1050" s="291"/>
      <c r="EP1050" s="291"/>
    </row>
    <row r="1051" spans="129:146" s="266" customFormat="1">
      <c r="DY1051" s="291"/>
      <c r="DZ1051" s="291"/>
      <c r="EC1051" s="291"/>
      <c r="EP1051" s="291"/>
    </row>
    <row r="1052" spans="129:146" s="266" customFormat="1">
      <c r="DY1052" s="291"/>
      <c r="DZ1052" s="291"/>
      <c r="EC1052" s="291"/>
      <c r="EP1052" s="291"/>
    </row>
    <row r="1053" spans="129:146" s="266" customFormat="1">
      <c r="DY1053" s="291"/>
      <c r="DZ1053" s="291"/>
      <c r="EC1053" s="291"/>
      <c r="EP1053" s="291"/>
    </row>
    <row r="1054" spans="129:146" s="266" customFormat="1">
      <c r="DY1054" s="291"/>
      <c r="DZ1054" s="291"/>
      <c r="EC1054" s="291"/>
      <c r="EP1054" s="291"/>
    </row>
    <row r="1055" spans="129:146" s="266" customFormat="1">
      <c r="DY1055" s="291"/>
      <c r="DZ1055" s="291"/>
      <c r="EC1055" s="291"/>
      <c r="EP1055" s="291"/>
    </row>
    <row r="1056" spans="129:146" s="266" customFormat="1">
      <c r="DY1056" s="291"/>
      <c r="DZ1056" s="291"/>
      <c r="EC1056" s="291"/>
      <c r="EP1056" s="291"/>
    </row>
    <row r="1057" spans="129:146" s="266" customFormat="1">
      <c r="DY1057" s="291"/>
      <c r="DZ1057" s="291"/>
      <c r="EC1057" s="291"/>
      <c r="EP1057" s="291"/>
    </row>
    <row r="1058" spans="129:146" s="266" customFormat="1">
      <c r="DY1058" s="291"/>
      <c r="DZ1058" s="291"/>
      <c r="EC1058" s="291"/>
      <c r="EP1058" s="291"/>
    </row>
    <row r="1059" spans="129:146" s="266" customFormat="1">
      <c r="DY1059" s="291"/>
      <c r="DZ1059" s="291"/>
      <c r="EC1059" s="291"/>
      <c r="EP1059" s="291"/>
    </row>
    <row r="1060" spans="129:146" s="266" customFormat="1">
      <c r="DY1060" s="291"/>
      <c r="DZ1060" s="291"/>
      <c r="EC1060" s="291"/>
      <c r="EP1060" s="291"/>
    </row>
    <row r="1061" spans="129:146" s="266" customFormat="1">
      <c r="DY1061" s="291"/>
      <c r="DZ1061" s="291"/>
      <c r="EC1061" s="291"/>
      <c r="EP1061" s="291"/>
    </row>
    <row r="1062" spans="129:146" s="266" customFormat="1">
      <c r="DY1062" s="291"/>
      <c r="DZ1062" s="291"/>
      <c r="EC1062" s="291"/>
      <c r="EP1062" s="291"/>
    </row>
    <row r="1063" spans="129:146" s="266" customFormat="1">
      <c r="DY1063" s="291"/>
      <c r="DZ1063" s="291"/>
      <c r="EC1063" s="291"/>
      <c r="EP1063" s="291"/>
    </row>
    <row r="1064" spans="129:146" s="266" customFormat="1">
      <c r="DY1064" s="291"/>
      <c r="DZ1064" s="291"/>
      <c r="EC1064" s="291"/>
      <c r="EP1064" s="291"/>
    </row>
    <row r="1065" spans="129:146" s="266" customFormat="1">
      <c r="DY1065" s="291"/>
      <c r="DZ1065" s="291"/>
      <c r="EC1065" s="291"/>
      <c r="EP1065" s="291"/>
    </row>
    <row r="1066" spans="129:146" s="266" customFormat="1">
      <c r="DY1066" s="291"/>
      <c r="DZ1066" s="291"/>
      <c r="EC1066" s="291"/>
      <c r="EP1066" s="291"/>
    </row>
    <row r="1067" spans="129:146" s="266" customFormat="1">
      <c r="DY1067" s="291"/>
      <c r="DZ1067" s="291"/>
      <c r="EC1067" s="291"/>
      <c r="EP1067" s="291"/>
    </row>
    <row r="1068" spans="129:146" s="266" customFormat="1">
      <c r="DY1068" s="291"/>
      <c r="DZ1068" s="291"/>
      <c r="EC1068" s="291"/>
      <c r="EP1068" s="291"/>
    </row>
    <row r="1069" spans="129:146" s="266" customFormat="1">
      <c r="DY1069" s="291"/>
      <c r="DZ1069" s="291"/>
      <c r="EC1069" s="291"/>
      <c r="EP1069" s="291"/>
    </row>
    <row r="1070" spans="129:146" s="266" customFormat="1">
      <c r="DY1070" s="291"/>
      <c r="DZ1070" s="291"/>
      <c r="EC1070" s="291"/>
      <c r="EP1070" s="291"/>
    </row>
    <row r="1071" spans="129:146" s="266" customFormat="1">
      <c r="DY1071" s="291"/>
      <c r="DZ1071" s="291"/>
      <c r="EC1071" s="291"/>
      <c r="EP1071" s="291"/>
    </row>
    <row r="1072" spans="129:146" s="266" customFormat="1">
      <c r="DY1072" s="291"/>
      <c r="DZ1072" s="291"/>
      <c r="EC1072" s="291"/>
      <c r="EP1072" s="291"/>
    </row>
    <row r="1073" spans="129:146" s="266" customFormat="1">
      <c r="DY1073" s="291"/>
      <c r="DZ1073" s="291"/>
      <c r="EC1073" s="291"/>
      <c r="EP1073" s="291"/>
    </row>
    <row r="1074" spans="129:146" s="266" customFormat="1">
      <c r="DY1074" s="291"/>
      <c r="DZ1074" s="291"/>
      <c r="EC1074" s="291"/>
      <c r="EP1074" s="291"/>
    </row>
    <row r="1075" spans="129:146" s="266" customFormat="1">
      <c r="DY1075" s="291"/>
      <c r="DZ1075" s="291"/>
      <c r="EC1075" s="291"/>
      <c r="EP1075" s="291"/>
    </row>
    <row r="1076" spans="129:146" s="266" customFormat="1">
      <c r="DY1076" s="291"/>
      <c r="DZ1076" s="291"/>
      <c r="EC1076" s="291"/>
      <c r="EP1076" s="291"/>
    </row>
    <row r="1077" spans="129:146" s="266" customFormat="1">
      <c r="DY1077" s="291"/>
      <c r="DZ1077" s="291"/>
      <c r="EC1077" s="291"/>
      <c r="EP1077" s="291"/>
    </row>
    <row r="1078" spans="129:146" s="266" customFormat="1">
      <c r="DY1078" s="291"/>
      <c r="DZ1078" s="291"/>
      <c r="EC1078" s="291"/>
      <c r="EP1078" s="291"/>
    </row>
    <row r="1079" spans="129:146" s="266" customFormat="1">
      <c r="DY1079" s="291"/>
      <c r="DZ1079" s="291"/>
      <c r="EC1079" s="291"/>
      <c r="EP1079" s="291"/>
    </row>
    <row r="1080" spans="129:146" s="266" customFormat="1">
      <c r="DY1080" s="291"/>
      <c r="DZ1080" s="291"/>
      <c r="EC1080" s="291"/>
      <c r="EP1080" s="291"/>
    </row>
    <row r="1081" spans="129:146" s="266" customFormat="1">
      <c r="DY1081" s="291"/>
      <c r="DZ1081" s="291"/>
      <c r="EC1081" s="291"/>
      <c r="EP1081" s="291"/>
    </row>
    <row r="1082" spans="129:146" s="266" customFormat="1">
      <c r="DY1082" s="291"/>
      <c r="DZ1082" s="291"/>
      <c r="EC1082" s="291"/>
      <c r="EP1082" s="291"/>
    </row>
    <row r="1083" spans="129:146" s="266" customFormat="1">
      <c r="DY1083" s="291"/>
      <c r="DZ1083" s="291"/>
      <c r="EC1083" s="291"/>
      <c r="EP1083" s="291"/>
    </row>
    <row r="1084" spans="129:146" s="266" customFormat="1">
      <c r="DY1084" s="291"/>
      <c r="DZ1084" s="291"/>
      <c r="EC1084" s="291"/>
      <c r="EP1084" s="291"/>
    </row>
    <row r="1085" spans="129:146" s="266" customFormat="1">
      <c r="DY1085" s="291"/>
      <c r="DZ1085" s="291"/>
      <c r="EC1085" s="291"/>
      <c r="EP1085" s="291"/>
    </row>
    <row r="1086" spans="129:146" s="266" customFormat="1">
      <c r="DY1086" s="291"/>
      <c r="DZ1086" s="291"/>
      <c r="EC1086" s="291"/>
      <c r="EP1086" s="291"/>
    </row>
    <row r="1087" spans="129:146" s="266" customFormat="1">
      <c r="DY1087" s="291"/>
      <c r="DZ1087" s="291"/>
      <c r="EC1087" s="291"/>
      <c r="EP1087" s="291"/>
    </row>
    <row r="1088" spans="129:146" s="266" customFormat="1">
      <c r="DY1088" s="291"/>
      <c r="DZ1088" s="291"/>
      <c r="EC1088" s="291"/>
      <c r="EP1088" s="291"/>
    </row>
    <row r="1089" spans="129:146" s="266" customFormat="1">
      <c r="DY1089" s="291"/>
      <c r="DZ1089" s="291"/>
      <c r="EC1089" s="291"/>
      <c r="EP1089" s="291"/>
    </row>
    <row r="1090" spans="129:146" s="266" customFormat="1">
      <c r="DY1090" s="291"/>
      <c r="DZ1090" s="291"/>
      <c r="EC1090" s="291"/>
      <c r="EP1090" s="291"/>
    </row>
    <row r="1091" spans="129:146" s="266" customFormat="1">
      <c r="DY1091" s="291"/>
      <c r="DZ1091" s="291"/>
      <c r="EC1091" s="291"/>
      <c r="EP1091" s="291"/>
    </row>
    <row r="1092" spans="129:146" s="266" customFormat="1">
      <c r="DY1092" s="291"/>
      <c r="DZ1092" s="291"/>
      <c r="EC1092" s="291"/>
      <c r="EP1092" s="291"/>
    </row>
    <row r="1093" spans="129:146" s="266" customFormat="1">
      <c r="DY1093" s="291"/>
      <c r="DZ1093" s="291"/>
      <c r="EC1093" s="291"/>
      <c r="EP1093" s="291"/>
    </row>
    <row r="1094" spans="129:146" s="266" customFormat="1">
      <c r="DY1094" s="291"/>
      <c r="DZ1094" s="291"/>
      <c r="EC1094" s="291"/>
      <c r="EP1094" s="291"/>
    </row>
    <row r="1095" spans="129:146" s="266" customFormat="1">
      <c r="DY1095" s="291"/>
      <c r="DZ1095" s="291"/>
      <c r="EC1095" s="291"/>
      <c r="EP1095" s="291"/>
    </row>
    <row r="1096" spans="129:146" s="266" customFormat="1">
      <c r="DY1096" s="291"/>
      <c r="DZ1096" s="291"/>
      <c r="EC1096" s="291"/>
      <c r="EP1096" s="291"/>
    </row>
    <row r="1097" spans="129:146" s="266" customFormat="1">
      <c r="DY1097" s="291"/>
      <c r="DZ1097" s="291"/>
      <c r="EC1097" s="291"/>
      <c r="EP1097" s="291"/>
    </row>
    <row r="1098" spans="129:146" s="266" customFormat="1">
      <c r="DY1098" s="291"/>
      <c r="DZ1098" s="291"/>
      <c r="EC1098" s="291"/>
      <c r="EP1098" s="291"/>
    </row>
    <row r="1099" spans="129:146" s="266" customFormat="1">
      <c r="DY1099" s="291"/>
      <c r="DZ1099" s="291"/>
      <c r="EC1099" s="291"/>
      <c r="EP1099" s="291"/>
    </row>
    <row r="1100" spans="129:146" s="266" customFormat="1">
      <c r="DY1100" s="291"/>
      <c r="DZ1100" s="291"/>
      <c r="EC1100" s="291"/>
      <c r="EP1100" s="291"/>
    </row>
    <row r="1101" spans="129:146" s="266" customFormat="1">
      <c r="DY1101" s="291"/>
      <c r="DZ1101" s="291"/>
      <c r="EC1101" s="291"/>
      <c r="EP1101" s="291"/>
    </row>
    <row r="1102" spans="129:146" s="266" customFormat="1">
      <c r="DY1102" s="291"/>
      <c r="DZ1102" s="291"/>
      <c r="EC1102" s="291"/>
      <c r="EP1102" s="291"/>
    </row>
    <row r="1103" spans="129:146" s="266" customFormat="1">
      <c r="DY1103" s="291"/>
      <c r="DZ1103" s="291"/>
      <c r="EC1103" s="291"/>
      <c r="EP1103" s="291"/>
    </row>
    <row r="1104" spans="129:146" s="266" customFormat="1">
      <c r="DY1104" s="291"/>
      <c r="DZ1104" s="291"/>
      <c r="EC1104" s="291"/>
      <c r="EP1104" s="291"/>
    </row>
    <row r="1105" spans="129:146" s="266" customFormat="1">
      <c r="DY1105" s="291"/>
      <c r="DZ1105" s="291"/>
      <c r="EC1105" s="291"/>
      <c r="EP1105" s="291"/>
    </row>
    <row r="1106" spans="129:146" s="266" customFormat="1">
      <c r="DY1106" s="291"/>
      <c r="DZ1106" s="291"/>
      <c r="EC1106" s="291"/>
      <c r="EP1106" s="291"/>
    </row>
    <row r="1107" spans="129:146" s="266" customFormat="1">
      <c r="DY1107" s="291"/>
      <c r="DZ1107" s="291"/>
      <c r="EC1107" s="291"/>
      <c r="EP1107" s="291"/>
    </row>
    <row r="1108" spans="129:146" s="266" customFormat="1">
      <c r="DY1108" s="291"/>
      <c r="DZ1108" s="291"/>
      <c r="EC1108" s="291"/>
      <c r="EP1108" s="291"/>
    </row>
    <row r="1109" spans="129:146" s="266" customFormat="1">
      <c r="DY1109" s="291"/>
      <c r="DZ1109" s="291"/>
      <c r="EC1109" s="291"/>
      <c r="EP1109" s="291"/>
    </row>
    <row r="1110" spans="129:146" s="266" customFormat="1">
      <c r="DY1110" s="291"/>
      <c r="DZ1110" s="291"/>
      <c r="EC1110" s="291"/>
      <c r="EP1110" s="291"/>
    </row>
    <row r="1111" spans="129:146" s="266" customFormat="1">
      <c r="DY1111" s="291"/>
      <c r="DZ1111" s="291"/>
      <c r="EC1111" s="291"/>
      <c r="EP1111" s="291"/>
    </row>
    <row r="1112" spans="129:146" s="266" customFormat="1">
      <c r="DY1112" s="291"/>
      <c r="DZ1112" s="291"/>
      <c r="EC1112" s="291"/>
      <c r="EP1112" s="291"/>
    </row>
    <row r="1113" spans="129:146" s="266" customFormat="1">
      <c r="DY1113" s="291"/>
      <c r="DZ1113" s="291"/>
      <c r="EC1113" s="291"/>
      <c r="EP1113" s="291"/>
    </row>
    <row r="1114" spans="129:146" s="266" customFormat="1">
      <c r="DY1114" s="291"/>
      <c r="DZ1114" s="291"/>
      <c r="EC1114" s="291"/>
      <c r="EP1114" s="291"/>
    </row>
    <row r="1115" spans="129:146" s="266" customFormat="1">
      <c r="DY1115" s="291"/>
      <c r="DZ1115" s="291"/>
      <c r="EC1115" s="291"/>
      <c r="EP1115" s="291"/>
    </row>
    <row r="1116" spans="129:146" s="266" customFormat="1">
      <c r="DY1116" s="291"/>
      <c r="DZ1116" s="291"/>
      <c r="EC1116" s="291"/>
      <c r="EP1116" s="291"/>
    </row>
    <row r="1117" spans="129:146" s="266" customFormat="1">
      <c r="DY1117" s="291"/>
      <c r="DZ1117" s="291"/>
      <c r="EC1117" s="291"/>
      <c r="EP1117" s="291"/>
    </row>
    <row r="1118" spans="129:146" s="266" customFormat="1">
      <c r="DY1118" s="291"/>
      <c r="DZ1118" s="291"/>
      <c r="EC1118" s="291"/>
      <c r="EP1118" s="291"/>
    </row>
    <row r="1119" spans="129:146" s="266" customFormat="1">
      <c r="DY1119" s="291"/>
      <c r="DZ1119" s="291"/>
      <c r="EC1119" s="291"/>
      <c r="EP1119" s="291"/>
    </row>
    <row r="1120" spans="129:146" s="266" customFormat="1">
      <c r="DY1120" s="291"/>
      <c r="DZ1120" s="291"/>
      <c r="EC1120" s="291"/>
      <c r="EP1120" s="291"/>
    </row>
    <row r="1121" spans="129:146" s="266" customFormat="1">
      <c r="DY1121" s="291"/>
      <c r="DZ1121" s="291"/>
      <c r="EC1121" s="291"/>
      <c r="EP1121" s="291"/>
    </row>
    <row r="1122" spans="129:146" s="266" customFormat="1">
      <c r="DY1122" s="291"/>
      <c r="DZ1122" s="291"/>
      <c r="EC1122" s="291"/>
      <c r="EP1122" s="291"/>
    </row>
    <row r="1123" spans="129:146" s="266" customFormat="1">
      <c r="DY1123" s="291"/>
      <c r="DZ1123" s="291"/>
      <c r="EC1123" s="291"/>
      <c r="EP1123" s="291"/>
    </row>
    <row r="1124" spans="129:146" s="266" customFormat="1">
      <c r="DY1124" s="291"/>
      <c r="DZ1124" s="291"/>
      <c r="EC1124" s="291"/>
      <c r="EP1124" s="291"/>
    </row>
    <row r="1125" spans="129:146" s="266" customFormat="1">
      <c r="DY1125" s="291"/>
      <c r="DZ1125" s="291"/>
      <c r="EC1125" s="291"/>
      <c r="EP1125" s="291"/>
    </row>
    <row r="1126" spans="129:146" s="266" customFormat="1">
      <c r="DY1126" s="291"/>
      <c r="DZ1126" s="291"/>
      <c r="EC1126" s="291"/>
      <c r="EP1126" s="291"/>
    </row>
    <row r="1127" spans="129:146" s="266" customFormat="1">
      <c r="DY1127" s="291"/>
      <c r="DZ1127" s="291"/>
      <c r="EC1127" s="291"/>
      <c r="EP1127" s="291"/>
    </row>
    <row r="1128" spans="129:146" s="266" customFormat="1">
      <c r="DY1128" s="291"/>
      <c r="DZ1128" s="291"/>
      <c r="EC1128" s="291"/>
      <c r="EP1128" s="291"/>
    </row>
    <row r="1129" spans="129:146" s="266" customFormat="1">
      <c r="DY1129" s="291"/>
      <c r="DZ1129" s="291"/>
      <c r="EC1129" s="291"/>
      <c r="EP1129" s="291"/>
    </row>
    <row r="1130" spans="129:146" s="266" customFormat="1">
      <c r="DY1130" s="291"/>
      <c r="DZ1130" s="291"/>
      <c r="EC1130" s="291"/>
      <c r="EP1130" s="291"/>
    </row>
    <row r="1131" spans="129:146" s="266" customFormat="1">
      <c r="DY1131" s="291"/>
      <c r="DZ1131" s="291"/>
      <c r="EC1131" s="291"/>
      <c r="EP1131" s="291"/>
    </row>
    <row r="1132" spans="129:146" s="266" customFormat="1">
      <c r="DY1132" s="291"/>
      <c r="DZ1132" s="291"/>
      <c r="EC1132" s="291"/>
      <c r="EP1132" s="291"/>
    </row>
    <row r="1133" spans="129:146" s="266" customFormat="1">
      <c r="DY1133" s="291"/>
      <c r="DZ1133" s="291"/>
      <c r="EC1133" s="291"/>
      <c r="EP1133" s="291"/>
    </row>
    <row r="1134" spans="129:146" s="266" customFormat="1">
      <c r="DY1134" s="291"/>
      <c r="DZ1134" s="291"/>
      <c r="EC1134" s="291"/>
      <c r="EP1134" s="291"/>
    </row>
    <row r="1135" spans="129:146" s="266" customFormat="1">
      <c r="DY1135" s="291"/>
      <c r="DZ1135" s="291"/>
      <c r="EC1135" s="291"/>
      <c r="EP1135" s="291"/>
    </row>
    <row r="1136" spans="129:146" s="266" customFormat="1">
      <c r="DY1136" s="291"/>
      <c r="DZ1136" s="291"/>
      <c r="EC1136" s="291"/>
      <c r="EP1136" s="291"/>
    </row>
    <row r="1137" spans="129:146" s="266" customFormat="1">
      <c r="DY1137" s="291"/>
      <c r="DZ1137" s="291"/>
      <c r="EC1137" s="291"/>
      <c r="EP1137" s="291"/>
    </row>
    <row r="1138" spans="129:146" s="266" customFormat="1">
      <c r="DY1138" s="291"/>
      <c r="DZ1138" s="291"/>
      <c r="EC1138" s="291"/>
      <c r="EP1138" s="291"/>
    </row>
    <row r="1139" spans="129:146" s="266" customFormat="1">
      <c r="DY1139" s="291"/>
      <c r="DZ1139" s="291"/>
      <c r="EC1139" s="291"/>
      <c r="EP1139" s="291"/>
    </row>
    <row r="1140" spans="129:146" s="266" customFormat="1">
      <c r="DY1140" s="291"/>
      <c r="DZ1140" s="291"/>
      <c r="EC1140" s="291"/>
      <c r="EP1140" s="291"/>
    </row>
    <row r="1141" spans="129:146" s="266" customFormat="1">
      <c r="DY1141" s="291"/>
      <c r="DZ1141" s="291"/>
      <c r="EC1141" s="291"/>
      <c r="EP1141" s="291"/>
    </row>
    <row r="1142" spans="129:146" s="266" customFormat="1">
      <c r="DY1142" s="291"/>
      <c r="DZ1142" s="291"/>
      <c r="EC1142" s="291"/>
      <c r="EP1142" s="291"/>
    </row>
    <row r="1143" spans="129:146" s="266" customFormat="1">
      <c r="DY1143" s="291"/>
      <c r="DZ1143" s="291"/>
      <c r="EC1143" s="291"/>
      <c r="EP1143" s="291"/>
    </row>
    <row r="1144" spans="129:146" s="266" customFormat="1">
      <c r="DY1144" s="291"/>
      <c r="DZ1144" s="291"/>
      <c r="EC1144" s="291"/>
      <c r="EP1144" s="291"/>
    </row>
    <row r="1145" spans="129:146" s="266" customFormat="1">
      <c r="DY1145" s="291"/>
      <c r="DZ1145" s="291"/>
      <c r="EC1145" s="291"/>
      <c r="EP1145" s="291"/>
    </row>
    <row r="1146" spans="129:146" s="266" customFormat="1">
      <c r="DY1146" s="291"/>
      <c r="DZ1146" s="291"/>
      <c r="EC1146" s="291"/>
      <c r="EP1146" s="291"/>
    </row>
    <row r="1147" spans="129:146" s="266" customFormat="1">
      <c r="DY1147" s="291"/>
      <c r="DZ1147" s="291"/>
      <c r="EC1147" s="291"/>
      <c r="EP1147" s="291"/>
    </row>
    <row r="1148" spans="129:146" s="266" customFormat="1">
      <c r="DY1148" s="291"/>
      <c r="DZ1148" s="291"/>
      <c r="EC1148" s="291"/>
      <c r="EP1148" s="291"/>
    </row>
    <row r="1149" spans="129:146" s="266" customFormat="1">
      <c r="DY1149" s="291"/>
      <c r="DZ1149" s="291"/>
      <c r="EC1149" s="291"/>
      <c r="EP1149" s="291"/>
    </row>
    <row r="1150" spans="129:146" s="266" customFormat="1">
      <c r="DY1150" s="291"/>
      <c r="DZ1150" s="291"/>
      <c r="EC1150" s="291"/>
      <c r="EP1150" s="291"/>
    </row>
    <row r="1151" spans="129:146" s="266" customFormat="1">
      <c r="DY1151" s="291"/>
      <c r="DZ1151" s="291"/>
      <c r="EC1151" s="291"/>
      <c r="EP1151" s="291"/>
    </row>
    <row r="1152" spans="129:146" s="266" customFormat="1">
      <c r="DY1152" s="291"/>
      <c r="DZ1152" s="291"/>
      <c r="EC1152" s="291"/>
      <c r="EP1152" s="291"/>
    </row>
    <row r="1153" spans="129:146" s="266" customFormat="1">
      <c r="DY1153" s="291"/>
      <c r="DZ1153" s="291"/>
      <c r="EC1153" s="291"/>
      <c r="EP1153" s="291"/>
    </row>
    <row r="1154" spans="129:146" s="266" customFormat="1">
      <c r="DY1154" s="291"/>
      <c r="DZ1154" s="291"/>
      <c r="EC1154" s="291"/>
      <c r="EP1154" s="291"/>
    </row>
    <row r="1155" spans="129:146" s="266" customFormat="1">
      <c r="DY1155" s="291"/>
      <c r="DZ1155" s="291"/>
      <c r="EC1155" s="291"/>
      <c r="EP1155" s="291"/>
    </row>
    <row r="1156" spans="129:146" s="266" customFormat="1">
      <c r="DY1156" s="291"/>
      <c r="DZ1156" s="291"/>
      <c r="EC1156" s="291"/>
      <c r="EP1156" s="291"/>
    </row>
    <row r="1157" spans="129:146" s="266" customFormat="1">
      <c r="DY1157" s="291"/>
      <c r="DZ1157" s="291"/>
      <c r="EC1157" s="291"/>
      <c r="EP1157" s="291"/>
    </row>
    <row r="1158" spans="129:146" s="266" customFormat="1">
      <c r="DY1158" s="291"/>
      <c r="DZ1158" s="291"/>
      <c r="EC1158" s="291"/>
      <c r="EP1158" s="291"/>
    </row>
    <row r="1159" spans="129:146" s="266" customFormat="1">
      <c r="DY1159" s="291"/>
      <c r="DZ1159" s="291"/>
      <c r="EC1159" s="291"/>
      <c r="EP1159" s="291"/>
    </row>
    <row r="1160" spans="129:146" s="266" customFormat="1">
      <c r="DY1160" s="291"/>
      <c r="DZ1160" s="291"/>
      <c r="EC1160" s="291"/>
      <c r="EP1160" s="291"/>
    </row>
    <row r="1161" spans="129:146" s="266" customFormat="1">
      <c r="DY1161" s="291"/>
      <c r="DZ1161" s="291"/>
      <c r="EC1161" s="291"/>
      <c r="EP1161" s="291"/>
    </row>
    <row r="1162" spans="129:146" s="266" customFormat="1">
      <c r="DY1162" s="291"/>
      <c r="DZ1162" s="291"/>
      <c r="EC1162" s="291"/>
      <c r="EP1162" s="291"/>
    </row>
    <row r="1163" spans="129:146" s="266" customFormat="1">
      <c r="DY1163" s="291"/>
      <c r="DZ1163" s="291"/>
      <c r="EC1163" s="291"/>
      <c r="EP1163" s="291"/>
    </row>
    <row r="1164" spans="129:146" s="266" customFormat="1">
      <c r="DY1164" s="291"/>
      <c r="DZ1164" s="291"/>
      <c r="EC1164" s="291"/>
      <c r="EP1164" s="291"/>
    </row>
    <row r="1165" spans="129:146" s="266" customFormat="1">
      <c r="DY1165" s="291"/>
      <c r="DZ1165" s="291"/>
      <c r="EC1165" s="291"/>
      <c r="EP1165" s="291"/>
    </row>
    <row r="1166" spans="129:146" s="266" customFormat="1">
      <c r="DY1166" s="291"/>
      <c r="DZ1166" s="291"/>
      <c r="EC1166" s="291"/>
      <c r="EP1166" s="291"/>
    </row>
    <row r="1167" spans="129:146" s="266" customFormat="1">
      <c r="DY1167" s="291"/>
      <c r="DZ1167" s="291"/>
      <c r="EC1167" s="291"/>
      <c r="EP1167" s="291"/>
    </row>
    <row r="1168" spans="129:146" s="266" customFormat="1">
      <c r="DY1168" s="291"/>
      <c r="DZ1168" s="291"/>
      <c r="EC1168" s="291"/>
      <c r="EP1168" s="291"/>
    </row>
    <row r="1169" spans="129:146" s="266" customFormat="1">
      <c r="DY1169" s="291"/>
      <c r="DZ1169" s="291"/>
      <c r="EC1169" s="291"/>
      <c r="EP1169" s="291"/>
    </row>
    <row r="1170" spans="129:146" s="266" customFormat="1">
      <c r="DY1170" s="291"/>
      <c r="DZ1170" s="291"/>
      <c r="EC1170" s="291"/>
      <c r="EP1170" s="291"/>
    </row>
    <row r="1171" spans="129:146" s="266" customFormat="1">
      <c r="DY1171" s="291"/>
      <c r="DZ1171" s="291"/>
      <c r="EC1171" s="291"/>
      <c r="EP1171" s="291"/>
    </row>
    <row r="1172" spans="129:146" s="266" customFormat="1">
      <c r="DY1172" s="291"/>
      <c r="DZ1172" s="291"/>
      <c r="EC1172" s="291"/>
      <c r="EP1172" s="291"/>
    </row>
    <row r="1173" spans="129:146" s="266" customFormat="1">
      <c r="DY1173" s="291"/>
      <c r="DZ1173" s="291"/>
      <c r="EC1173" s="291"/>
      <c r="EP1173" s="291"/>
    </row>
    <row r="1174" spans="129:146" s="266" customFormat="1">
      <c r="DY1174" s="291"/>
      <c r="DZ1174" s="291"/>
      <c r="EC1174" s="291"/>
      <c r="EP1174" s="291"/>
    </row>
    <row r="1175" spans="129:146" s="266" customFormat="1">
      <c r="DY1175" s="291"/>
      <c r="DZ1175" s="291"/>
      <c r="EC1175" s="291"/>
      <c r="EP1175" s="291"/>
    </row>
    <row r="1176" spans="129:146" s="266" customFormat="1">
      <c r="DY1176" s="291"/>
      <c r="DZ1176" s="291"/>
      <c r="EC1176" s="291"/>
      <c r="EP1176" s="291"/>
    </row>
    <row r="1177" spans="129:146" s="266" customFormat="1">
      <c r="DY1177" s="291"/>
      <c r="DZ1177" s="291"/>
      <c r="EC1177" s="291"/>
      <c r="EP1177" s="291"/>
    </row>
    <row r="1178" spans="129:146" s="266" customFormat="1">
      <c r="DY1178" s="291"/>
      <c r="DZ1178" s="291"/>
      <c r="EC1178" s="291"/>
      <c r="EP1178" s="291"/>
    </row>
    <row r="1179" spans="129:146" s="266" customFormat="1">
      <c r="DY1179" s="291"/>
      <c r="DZ1179" s="291"/>
      <c r="EC1179" s="291"/>
      <c r="EP1179" s="291"/>
    </row>
    <row r="1180" spans="129:146" s="266" customFormat="1">
      <c r="DY1180" s="291"/>
      <c r="DZ1180" s="291"/>
      <c r="EC1180" s="291"/>
      <c r="EP1180" s="291"/>
    </row>
    <row r="1181" spans="129:146" s="266" customFormat="1">
      <c r="DY1181" s="291"/>
      <c r="DZ1181" s="291"/>
      <c r="EC1181" s="291"/>
      <c r="EP1181" s="291"/>
    </row>
    <row r="1182" spans="129:146" s="266" customFormat="1">
      <c r="DY1182" s="291"/>
      <c r="DZ1182" s="291"/>
      <c r="EC1182" s="291"/>
      <c r="EP1182" s="291"/>
    </row>
    <row r="1183" spans="129:146" s="266" customFormat="1">
      <c r="DY1183" s="291"/>
      <c r="DZ1183" s="291"/>
      <c r="EC1183" s="291"/>
      <c r="EP1183" s="291"/>
    </row>
    <row r="1184" spans="129:146" s="266" customFormat="1">
      <c r="DY1184" s="291"/>
      <c r="DZ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300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110"/>
  <sheetViews>
    <sheetView showGridLines="0" zoomScale="95" zoomScaleNormal="95" workbookViewId="0">
      <selection activeCell="A31" sqref="A31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009" t="s">
        <v>1160</v>
      </c>
      <c r="C1" s="1106"/>
      <c r="D1" s="1010"/>
      <c r="E1" s="1010"/>
      <c r="F1" s="1219" t="s">
        <v>953</v>
      </c>
      <c r="G1" s="1220">
        <f ca="1">LnkTXTIRTEco</f>
        <v>3.0300000000000001E-2</v>
      </c>
    </row>
    <row r="2" spans="2:19" ht="23.25" customHeight="1">
      <c r="B2" s="138" t="str">
        <f>CAPA!C9</f>
        <v>Cooperluz</v>
      </c>
      <c r="C2" s="70"/>
      <c r="D2" s="70"/>
      <c r="E2" s="70"/>
      <c r="F2" s="121" t="s">
        <v>957</v>
      </c>
      <c r="G2" s="122">
        <f ca="1">LnkTXTIRTTotal</f>
        <v>-0.30859999999999999</v>
      </c>
    </row>
    <row r="3" spans="2:19" ht="16.5">
      <c r="B3" s="71" t="s">
        <v>761</v>
      </c>
      <c r="K3" s="71" t="s">
        <v>1161</v>
      </c>
      <c r="O3" s="9" t="s">
        <v>1162</v>
      </c>
    </row>
    <row r="4" spans="2:19">
      <c r="B4" s="1267" t="s">
        <v>855</v>
      </c>
      <c r="C4" s="1267" t="s">
        <v>773</v>
      </c>
      <c r="K4" s="1267" t="s">
        <v>975</v>
      </c>
      <c r="L4" s="1267" t="s">
        <v>772</v>
      </c>
      <c r="M4" s="1267" t="s">
        <v>978</v>
      </c>
      <c r="P4" s="68" t="s">
        <v>1163</v>
      </c>
    </row>
    <row r="5" spans="2:19">
      <c r="B5" s="1268" t="s">
        <v>1164</v>
      </c>
      <c r="C5" s="1269">
        <f ca="1">SUM(C6,C9)</f>
        <v>86504.407129999992</v>
      </c>
      <c r="K5" s="68" t="s">
        <v>858</v>
      </c>
      <c r="L5" s="93">
        <f ca="1">M5</f>
        <v>71413.907999999996</v>
      </c>
      <c r="M5" s="141">
        <f ca="1">FornecimentoE</f>
        <v>71413.907999999996</v>
      </c>
      <c r="P5" s="68" t="s">
        <v>1165</v>
      </c>
    </row>
    <row r="6" spans="2:19">
      <c r="B6" s="1270" t="s">
        <v>1166</v>
      </c>
      <c r="C6" s="1271">
        <f ca="1">SUM(C7:C8)</f>
        <v>71413.907999999996</v>
      </c>
      <c r="E6" s="1577">
        <f ca="1">C23/LnkTXTEV-1</f>
        <v>0.21131036730268282</v>
      </c>
      <c r="K6" s="68" t="s">
        <v>867</v>
      </c>
      <c r="L6" s="68">
        <f t="shared" ref="L6:L9" ca="1" si="0">M6</f>
        <v>0</v>
      </c>
      <c r="M6" s="141">
        <f ca="1">DSUM(MercadoBase,"TUSD_E",INDIRECT("Mercado_Criterio"&amp;Calc_Mercado!B17))</f>
        <v>0</v>
      </c>
      <c r="P6" s="68" t="s">
        <v>1167</v>
      </c>
    </row>
    <row r="7" spans="2:19">
      <c r="B7" s="145" t="s">
        <v>858</v>
      </c>
      <c r="C7" s="146">
        <f ca="1">M5</f>
        <v>71413.907999999996</v>
      </c>
      <c r="K7" s="68" t="s">
        <v>1168</v>
      </c>
      <c r="L7" s="68">
        <f t="shared" ca="1" si="0"/>
        <v>2321.11</v>
      </c>
      <c r="M7" s="141">
        <f ca="1">LivreE</f>
        <v>2321.11</v>
      </c>
      <c r="P7" s="68" t="s">
        <v>1169</v>
      </c>
    </row>
    <row r="8" spans="2:19">
      <c r="B8" s="145" t="s">
        <v>867</v>
      </c>
      <c r="C8" s="146">
        <f ca="1">M6</f>
        <v>0</v>
      </c>
      <c r="K8" s="68" t="s">
        <v>958</v>
      </c>
      <c r="L8" s="68">
        <f t="shared" ca="1" si="0"/>
        <v>0</v>
      </c>
      <c r="M8" s="141">
        <f ca="1">LivreE_A1</f>
        <v>0</v>
      </c>
      <c r="P8" s="68" t="s">
        <v>1170</v>
      </c>
    </row>
    <row r="9" spans="2:19">
      <c r="B9" s="1270" t="s">
        <v>1171</v>
      </c>
      <c r="C9" s="1271">
        <f ca="1">SUM(C10:C12)</f>
        <v>15090.499129999997</v>
      </c>
      <c r="K9" s="824" t="s">
        <v>1172</v>
      </c>
      <c r="L9" s="824">
        <f t="shared" ca="1" si="0"/>
        <v>65394.815999999992</v>
      </c>
      <c r="M9" s="1272">
        <f ca="1">FornecimentoE_BT</f>
        <v>65394.815999999992</v>
      </c>
      <c r="P9" s="68" t="s">
        <v>1173</v>
      </c>
    </row>
    <row r="10" spans="2:19">
      <c r="B10" s="145" t="s">
        <v>1174</v>
      </c>
      <c r="C10" s="146">
        <f ca="1">N16+N17</f>
        <v>12065.363929999996</v>
      </c>
      <c r="J10" s="125"/>
      <c r="P10" s="79"/>
    </row>
    <row r="11" spans="2:19">
      <c r="B11" s="145" t="s">
        <v>1175</v>
      </c>
      <c r="C11" s="146">
        <f ca="1">N18</f>
        <v>437.22658669159426</v>
      </c>
      <c r="K11" s="71" t="s">
        <v>1176</v>
      </c>
      <c r="L11" s="71"/>
      <c r="M11" s="126"/>
      <c r="P11" s="68" t="s">
        <v>1177</v>
      </c>
      <c r="Q11" s="505">
        <f ca="1">M20/(C6+M20)</f>
        <v>0.14453125489782886</v>
      </c>
      <c r="R11" s="69">
        <f ca="1">Q11*($M$24+LnkTXTGPM)</f>
        <v>-279.0244181273651</v>
      </c>
    </row>
    <row r="12" spans="2:19">
      <c r="B12" s="145" t="s">
        <v>1178</v>
      </c>
      <c r="C12" s="146">
        <f ca="1">N19</f>
        <v>2587.9086133084047</v>
      </c>
      <c r="D12" s="72"/>
      <c r="F12" s="72"/>
      <c r="G12" s="127"/>
      <c r="K12" s="147" t="s">
        <v>855</v>
      </c>
      <c r="L12" s="147" t="s">
        <v>772</v>
      </c>
      <c r="M12" s="1273" t="s">
        <v>1179</v>
      </c>
      <c r="N12" s="1274" t="s">
        <v>29</v>
      </c>
      <c r="P12" s="68" t="s">
        <v>1180</v>
      </c>
      <c r="Q12" s="398">
        <v>0.1389</v>
      </c>
      <c r="R12" s="69"/>
      <c r="S12" s="142"/>
    </row>
    <row r="13" spans="2:19">
      <c r="B13" s="1275" t="s">
        <v>1181</v>
      </c>
      <c r="C13" s="1276">
        <f ca="1">IFERROR(E23,0)</f>
        <v>163.91639215890962</v>
      </c>
      <c r="D13" s="92">
        <v>167.28176221644583</v>
      </c>
      <c r="E13" s="92"/>
      <c r="F13" s="92"/>
      <c r="G13" s="92"/>
      <c r="K13" s="68" t="s">
        <v>1182</v>
      </c>
      <c r="L13" s="79">
        <v>3.0145670906177942E-3</v>
      </c>
      <c r="M13" s="398">
        <f>CAPA!H30</f>
        <v>3.2099999999999997E-2</v>
      </c>
      <c r="N13" s="476">
        <f ca="1">IFERROR(IF($M$21&lt;$M$20,M13,($M$20/$M$21)*M13),0)</f>
        <v>2.7748941170737718E-2</v>
      </c>
      <c r="P13" s="68" t="s">
        <v>1183</v>
      </c>
      <c r="Q13" s="505">
        <f ca="1">IF(Q11&lt;Q12,Q11,(IF(Q11=0,0,Q11*0.75+Q12*0.25)))</f>
        <v>0.14312344117337164</v>
      </c>
      <c r="R13" s="69">
        <f ca="1">($M$5+$M$6-$M$8)*Q13/(1-Q13)</f>
        <v>11928.210843572146</v>
      </c>
    </row>
    <row r="14" spans="2:19">
      <c r="B14" s="1277" t="s">
        <v>1184</v>
      </c>
      <c r="C14" s="1278">
        <f ca="1">C13*C5</f>
        <v>14179490.322595056</v>
      </c>
      <c r="D14" s="128"/>
      <c r="E14" s="128"/>
      <c r="F14" s="128"/>
      <c r="G14" s="129"/>
      <c r="K14" s="68" t="s">
        <v>1185</v>
      </c>
      <c r="L14" s="79">
        <v>0.13560011052775428</v>
      </c>
      <c r="M14" s="398">
        <f>IF(CAPA!P1="verdadeiro",IF(CAPA!H29=0,CAPA!K34,CAPA!H29),CAPA!H41)</f>
        <v>0.1389</v>
      </c>
      <c r="N14" s="398">
        <f ca="1">IFERROR(N17/((M5+M6-M8+N16)+N17),0)</f>
        <v>0.1227936802867703</v>
      </c>
      <c r="P14" s="68" t="s">
        <v>1186</v>
      </c>
      <c r="Q14" s="505">
        <f ca="1">(M17+M16)/(M16+M17+M5+M6)</f>
        <v>0.1634887989221</v>
      </c>
      <c r="R14" s="69">
        <f ca="1">IF(CAPA!H33="",(M5+M6-M8)/(1-M14)*M14,CAPA!H33)+IF(CAPA!H34="",M13*M9,CAPA!H34)</f>
        <v>13618.61595941117</v>
      </c>
    </row>
    <row r="15" spans="2:19">
      <c r="E15" s="79"/>
      <c r="F15" s="72"/>
      <c r="G15" s="127"/>
      <c r="K15" s="824" t="s">
        <v>1187</v>
      </c>
      <c r="L15" s="1706">
        <v>0</v>
      </c>
      <c r="M15" s="1586">
        <f>IF(CAPA!H31=0,0,CAPA!H31)</f>
        <v>0</v>
      </c>
      <c r="N15" s="1587">
        <f ca="1">IFERROR(M22/(LnkTXTEV+N17+N16),0)</f>
        <v>3.623815984567607E-2</v>
      </c>
      <c r="P15" s="68" t="s">
        <v>1188</v>
      </c>
      <c r="Q15" s="79">
        <f ca="1">IF(Q14&lt;Q13,Q14,Q13)</f>
        <v>0.14312344117337164</v>
      </c>
      <c r="R15" s="69">
        <f ca="1">IF(R14&lt;R13,R14,R13)</f>
        <v>11928.210843572146</v>
      </c>
      <c r="S15" s="79">
        <f ca="1">R15/(M5+R15)</f>
        <v>0.14312344117337164</v>
      </c>
    </row>
    <row r="16" spans="2:19">
      <c r="B16" s="130" t="s">
        <v>1189</v>
      </c>
      <c r="C16" s="131"/>
      <c r="D16" s="132"/>
      <c r="E16" s="132"/>
      <c r="F16" s="132"/>
      <c r="K16" s="1279" t="s">
        <v>1190</v>
      </c>
      <c r="L16" s="1279">
        <f ca="1">L9*L13</f>
        <v>197.13706021060597</v>
      </c>
      <c r="M16" s="1279">
        <f ca="1">IF(CAPA!H34="",M13*M9,CAPA!H34)</f>
        <v>2099.1735935999995</v>
      </c>
      <c r="N16" s="477">
        <f ca="1">IF(CAPA!P1="verdadeiro",IF($M$21&lt;$M$20,M16,($M$20/$M$21)*M16),M16)</f>
        <v>1814.6369020552174</v>
      </c>
      <c r="P16" s="142" t="s">
        <v>1191</v>
      </c>
      <c r="Q16" s="79">
        <f ca="1">IF(Q15&gt;Q12,Q12,Q15)</f>
        <v>0.1389</v>
      </c>
      <c r="R16" s="69">
        <f ca="1">($M$5+$M$6-$M$8+R15)*Q16</f>
        <v>11576.22030737217</v>
      </c>
    </row>
    <row r="17" spans="1:23">
      <c r="B17" s="1267" t="s">
        <v>1192</v>
      </c>
      <c r="C17" s="1267" t="s">
        <v>1193</v>
      </c>
      <c r="D17" s="1267"/>
      <c r="E17" s="1267" t="s">
        <v>1194</v>
      </c>
      <c r="F17" s="1267" t="s">
        <v>1195</v>
      </c>
      <c r="K17" s="141" t="s">
        <v>1196</v>
      </c>
      <c r="L17" s="141">
        <f ca="1">(L5+L6-L8+L16)/(1-L14)*L14</f>
        <v>11233.765463692062</v>
      </c>
      <c r="M17" s="141">
        <f ca="1">IF(CAPA!H33="",(M5+M6-M8+M16)/(1-M14)*M14,CAPA!H33)</f>
        <v>11858.05020712001</v>
      </c>
      <c r="N17" s="477">
        <f ca="1">IF(CAPA!P1="verdadeiro",IF($M$21&lt;$M$20,M17,($M$20/$M$21)*M17),M17)+M23</f>
        <v>10250.727027944778</v>
      </c>
      <c r="O17" s="142"/>
      <c r="P17" s="68" t="s">
        <v>1197</v>
      </c>
      <c r="Q17" s="398">
        <f ca="1">Q15-Q16</f>
        <v>4.2234411733716448E-3</v>
      </c>
      <c r="R17" s="69">
        <f ca="1">R15-R16</f>
        <v>351.99053619997539</v>
      </c>
    </row>
    <row r="18" spans="1:23">
      <c r="B18" s="78" t="s">
        <v>271</v>
      </c>
      <c r="C18" s="798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9"/>
      <c r="H18" s="801"/>
      <c r="I18" s="134"/>
      <c r="K18" s="141" t="s">
        <v>1175</v>
      </c>
      <c r="L18" s="1769">
        <f ca="1">N18</f>
        <v>437.22658669159426</v>
      </c>
      <c r="M18" s="477"/>
      <c r="N18" s="1635">
        <f ca="1">(N16+N17)*N15</f>
        <v>437.22658669159426</v>
      </c>
      <c r="P18" s="68" t="s">
        <v>1198</v>
      </c>
      <c r="Q18" s="79">
        <f ca="1">R17/M9</f>
        <v>5.3825449436232901E-3</v>
      </c>
    </row>
    <row r="19" spans="1:23">
      <c r="B19" s="78" t="s">
        <v>47</v>
      </c>
      <c r="C19" s="256" cm="1">
        <f t="array" ref="C19">TabEnergiaProinfa[MWh]</f>
        <v>1247.13007399653</v>
      </c>
      <c r="D19" s="89"/>
      <c r="E19" s="89">
        <v>0</v>
      </c>
      <c r="F19" s="77">
        <v>0</v>
      </c>
      <c r="G19" s="800"/>
      <c r="H19" s="801"/>
      <c r="K19" s="1272" t="s">
        <v>1178</v>
      </c>
      <c r="L19" s="1272">
        <f ca="1">N19</f>
        <v>2587.9086133084047</v>
      </c>
      <c r="M19" s="1588"/>
      <c r="N19" s="1636">
        <f ca="1">(M5+M6)*N15</f>
        <v>2587.9086133084047</v>
      </c>
      <c r="Q19" s="142"/>
    </row>
    <row r="20" spans="1:23">
      <c r="B20" s="78" t="str">
        <f>B63</f>
        <v>Angra</v>
      </c>
      <c r="C20" s="256">
        <f ca="1">C63*O30</f>
        <v>2354.0231337852406</v>
      </c>
      <c r="D20" s="89"/>
      <c r="E20" s="89">
        <f>E63</f>
        <v>349.15</v>
      </c>
      <c r="F20" s="77">
        <f ca="1">E20*C20</f>
        <v>821907.17716111674</v>
      </c>
      <c r="G20" s="800"/>
      <c r="H20" s="801"/>
      <c r="J20" s="134"/>
      <c r="K20" s="141" t="s">
        <v>1199</v>
      </c>
      <c r="L20" s="141"/>
      <c r="M20" s="1672">
        <v>12065.363929999998</v>
      </c>
      <c r="N20" s="399"/>
      <c r="O20" s="142"/>
    </row>
    <row r="21" spans="1:23">
      <c r="B21" s="78" t="str">
        <f>B64</f>
        <v>CCGF</v>
      </c>
      <c r="C21" s="256">
        <f ca="1">(C64+C65)*O30</f>
        <v>18629.820247417687</v>
      </c>
      <c r="D21" s="89"/>
      <c r="E21" s="89">
        <f>SUM(F64:F65)/(C64+C65)</f>
        <v>145.43274766052235</v>
      </c>
      <c r="F21" s="77">
        <f ca="1">E21*C21</f>
        <v>2709385.9470035867</v>
      </c>
      <c r="G21" s="800"/>
      <c r="H21" s="801"/>
      <c r="K21" s="1272" t="s">
        <v>1200</v>
      </c>
      <c r="L21" s="1272"/>
      <c r="M21" s="1272">
        <f ca="1">M16+M17</f>
        <v>13957.22380072001</v>
      </c>
      <c r="N21" s="1280"/>
    </row>
    <row r="22" spans="1:23">
      <c r="B22" s="78" t="s">
        <v>1201</v>
      </c>
      <c r="C22" s="256">
        <f ca="1">IF(J60=0,E35,(J48+J60))*O30</f>
        <v>64273.43367480053</v>
      </c>
      <c r="D22" s="89"/>
      <c r="E22" s="89">
        <f ca="1">IF(K60=0,H35,(N48+N60)/(M48+M60))</f>
        <v>165.67027136446819</v>
      </c>
      <c r="F22" s="77">
        <f ca="1">E22*C22</f>
        <v>10648197.198430352</v>
      </c>
      <c r="G22" s="800"/>
      <c r="H22" s="801"/>
      <c r="K22" s="68" t="s">
        <v>2193</v>
      </c>
      <c r="M22" s="1578">
        <f>SUMIFS(TabPerdaDIT[Valor],TabPerdaDIT[Dados de perda],"Perdas RB")</f>
        <v>3025.1351999999997</v>
      </c>
    </row>
    <row r="23" spans="1:23">
      <c r="B23" s="1281" t="s">
        <v>1202</v>
      </c>
      <c r="C23" s="1282">
        <f ca="1">SUM(C18:C22)</f>
        <v>86504.407129999992</v>
      </c>
      <c r="D23" s="1283"/>
      <c r="E23" s="1283">
        <f ca="1">IF(SUM(C18:C22)=0,0,SUM(F18:F22)/SUM(C18:C22))</f>
        <v>163.91639215890962</v>
      </c>
      <c r="F23" s="1284">
        <f ca="1">SUM(F18:F22)</f>
        <v>14179490.322595056</v>
      </c>
      <c r="G23" s="800"/>
      <c r="H23" s="801"/>
      <c r="K23" s="68" t="s">
        <v>2299</v>
      </c>
      <c r="M23" s="1585">
        <f>SUMIFS(TabPerdaDIT[Valor],TabPerdaDIT[Dados de perda],"Perdas DITs")</f>
        <v>0</v>
      </c>
    </row>
    <row r="24" spans="1:23" ht="27.75" customHeight="1">
      <c r="F24" s="135"/>
      <c r="G24" s="800"/>
      <c r="H24" s="849"/>
      <c r="J24" s="72"/>
      <c r="K24" s="1285" t="s">
        <v>1203</v>
      </c>
      <c r="L24" s="1285"/>
      <c r="M24" s="1286">
        <f ca="1">SUMIF(CUSD!F6:F30,"Energia",CUSD!G6:G30)/1000-M7</f>
        <v>-1930.5472600000001</v>
      </c>
      <c r="N24" s="68">
        <f ca="1">LnkTXTEV</f>
        <v>71413.907999999996</v>
      </c>
    </row>
    <row r="25" spans="1:23">
      <c r="E25" s="93"/>
      <c r="F25" s="135"/>
      <c r="G25" s="127"/>
      <c r="H25" s="72"/>
      <c r="I25" s="72"/>
      <c r="J25" s="72"/>
      <c r="K25" s="1285" t="s">
        <v>879</v>
      </c>
      <c r="L25" s="1285"/>
      <c r="M25" s="1287">
        <f>E35+M26+C70</f>
        <v>41692.474930000004</v>
      </c>
      <c r="N25" s="783">
        <f ca="1">M24/M25-1</f>
        <v>-1.046304453339393</v>
      </c>
    </row>
    <row r="26" spans="1:23">
      <c r="A26" s="74"/>
      <c r="B26" s="898" t="s">
        <v>2192</v>
      </c>
      <c r="F26" s="91"/>
      <c r="G26" s="72"/>
      <c r="H26" s="72"/>
      <c r="I26" s="72"/>
      <c r="K26" s="1285" t="s">
        <v>1204</v>
      </c>
      <c r="L26" s="1285"/>
      <c r="M26" s="1288">
        <f>SUMIFS(Faturas!V:V,Faturas!U:U,"Proinfa*")/1000</f>
        <v>706.45260999999994</v>
      </c>
    </row>
    <row r="27" spans="1:23" ht="24" customHeight="1">
      <c r="B27" s="1289" t="s">
        <v>27</v>
      </c>
      <c r="C27" s="1289" t="s">
        <v>955</v>
      </c>
      <c r="D27" s="1289" t="s">
        <v>1205</v>
      </c>
      <c r="E27" s="1289" t="s">
        <v>978</v>
      </c>
      <c r="F27" s="1289" t="s">
        <v>1206</v>
      </c>
      <c r="G27" s="1290" t="s">
        <v>1207</v>
      </c>
      <c r="H27" s="1290" t="s">
        <v>1208</v>
      </c>
      <c r="I27" s="1290" t="s">
        <v>1209</v>
      </c>
      <c r="K27" s="130"/>
      <c r="L27" s="130"/>
      <c r="M27" s="845"/>
      <c r="N27" s="101"/>
      <c r="O27" s="101"/>
    </row>
    <row r="28" spans="1:23">
      <c r="A28" s="74" t="s">
        <v>2315</v>
      </c>
      <c r="B28" s="525" t="s">
        <v>2316</v>
      </c>
      <c r="C28" s="525" t="s">
        <v>215</v>
      </c>
      <c r="D28" s="525">
        <f>IF(B28="","",SUMIFS(Faturas!V:V,Faturas!U:U,"Consumo*",Faturas!S:S,Energia!C28,Faturas!R:R,Energia!B28))</f>
        <v>40801728.800000004</v>
      </c>
      <c r="E28" s="525">
        <f>IF(B28="","",D28/1000)</f>
        <v>40801.728800000004</v>
      </c>
      <c r="F28" s="617">
        <f>I28</f>
        <v>0</v>
      </c>
      <c r="G28" s="526">
        <f>IFERROR(VLOOKUP(CONCATENATE(A28,A78),BD!$H$43:$S$59,12,FALSE),"")</f>
        <v>273.92</v>
      </c>
      <c r="H28" s="526">
        <f>IF(B28="","",IFERROR(G28*(1-F28),0))</f>
        <v>273.92</v>
      </c>
      <c r="I28" s="524">
        <f>IF(A78="","",_xlfn.IFNA(VLOOKUP(CONCATENATE($B$2,A28,A78),DescontosTE[[#All],[chave]:[2021]],8,FALSE),0))</f>
        <v>0</v>
      </c>
      <c r="K28" s="71" t="s">
        <v>1210</v>
      </c>
      <c r="L28" s="71"/>
      <c r="Q28" s="68" t="s">
        <v>978</v>
      </c>
      <c r="R28" s="68" t="s">
        <v>1206</v>
      </c>
      <c r="S28" s="68" t="s">
        <v>1207</v>
      </c>
      <c r="T28" s="68" t="s">
        <v>1208</v>
      </c>
      <c r="U28" s="68" t="s">
        <v>1209</v>
      </c>
    </row>
    <row r="29" spans="1:23" ht="16.5">
      <c r="A29" s="74" t="s">
        <v>2315</v>
      </c>
      <c r="B29" s="525" t="s">
        <v>2316</v>
      </c>
      <c r="C29" s="525" t="s">
        <v>2176</v>
      </c>
      <c r="D29" s="525">
        <f>IF(B29="","",SUMIFS(Faturas!V:V,Faturas!U:U,"Consumo*",Faturas!S:S,Energia!C29,Faturas!R:R,Energia!B29))</f>
        <v>184293.52</v>
      </c>
      <c r="E29" s="525">
        <f>IF(B29="","",D29/1000)</f>
        <v>184.29352</v>
      </c>
      <c r="F29" s="617">
        <f t="shared" ref="F29:F32" si="1">I29</f>
        <v>0</v>
      </c>
      <c r="G29" s="526">
        <f>IFERROR(VLOOKUP(CONCATENATE(A29,A79),BD!$H$43:$S$59,12,FALSE),"")</f>
        <v>273.92</v>
      </c>
      <c r="H29" s="526">
        <f t="shared" ref="H29:H34" si="2">IF(B29="","",IFERROR(G29*(1-F29),0))</f>
        <v>273.92</v>
      </c>
      <c r="I29" s="524">
        <f>IF(A79="","",_xlfn.IFNA(VLOOKUP(CONCATENATE($B$2,A29,A79),DescontosTE[[#All],[chave]:[2021]],8,FALSE),0))</f>
        <v>0</v>
      </c>
      <c r="K29" s="1291" t="s">
        <v>22</v>
      </c>
      <c r="L29" s="1292"/>
      <c r="M29" s="1292" t="s">
        <v>1211</v>
      </c>
      <c r="N29" s="1292" t="s">
        <v>1212</v>
      </c>
      <c r="O29" s="1293" t="s">
        <v>1213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6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si="1"/>
        <v/>
      </c>
      <c r="G30" s="526" t="str">
        <f>IFERROR(VLOOKUP(CONCATENATE(A30,A80),BD!$H$43:$S$59,12,FALSE),"")</f>
        <v/>
      </c>
      <c r="H30" s="526" t="str">
        <f t="shared" si="2"/>
        <v/>
      </c>
      <c r="I30" s="524" t="str">
        <f>IF(A80="","",_xlfn.IFNA(VLOOKUP(CONCATENATE($B$2,A30,A80),DescontosTE[[#All],[chave]:[2021]],8,FALSE),0))</f>
        <v/>
      </c>
      <c r="K30" s="68" t="s">
        <v>1214</v>
      </c>
      <c r="M30" s="142">
        <f>IF(J60=0,E35,(J48+J60))+C63+C64+C65+C70</f>
        <v>88359.492525936264</v>
      </c>
      <c r="N30" s="93">
        <f ca="1">LnkTXTER-LnkTXTProinfa</f>
        <v>85257.277056003455</v>
      </c>
      <c r="O30" s="212">
        <f ca="1">N30/M30</f>
        <v>0.96489097683508973</v>
      </c>
      <c r="P30" s="130"/>
      <c r="Q30" s="68">
        <v>121096.97702999999</v>
      </c>
      <c r="R30" s="68">
        <v>0.63819999999999999</v>
      </c>
      <c r="S30" s="68">
        <v>273.60000000000002</v>
      </c>
      <c r="T30" s="526" t="str">
        <f>IF(J28="","",IFERROR(S30*(1-R30),0))</f>
        <v/>
      </c>
      <c r="U30" s="142" t="e">
        <f t="shared" ref="U30" si="3">T30*Q30</f>
        <v>#VALUE!</v>
      </c>
      <c r="V30" s="68">
        <f t="shared" ref="V30" si="4">S30*Q30</f>
        <v>33132132.915408</v>
      </c>
      <c r="W30" s="142" t="e">
        <f t="shared" ref="V30:W31" si="5">V30-U30</f>
        <v>#VALUE!</v>
      </c>
    </row>
    <row r="31" spans="1:23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6">IF(B31="","",D31/1000)</f>
        <v/>
      </c>
      <c r="F31" s="617" t="str">
        <f t="shared" si="1"/>
        <v/>
      </c>
      <c r="G31" s="526" t="str">
        <f>IFERROR(VLOOKUP(CONCATENATE(A31,A81),BD!$H$43:$S$59,12,FALSE),"")</f>
        <v/>
      </c>
      <c r="H31" s="526" t="str">
        <f t="shared" si="2"/>
        <v/>
      </c>
      <c r="I31" s="524" t="str">
        <f>IF(A81="","",_xlfn.IFNA(VLOOKUP(CONCATENATE($B$2,A31,A81),DescontosTE[[#All],[chave]:[2021]],8,FALSE),0))</f>
        <v/>
      </c>
      <c r="K31" s="832"/>
      <c r="L31" s="834"/>
      <c r="M31" s="833"/>
      <c r="N31" s="835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5"/>
        <v>#VALUE!</v>
      </c>
    </row>
    <row r="32" spans="1:23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6"/>
        <v/>
      </c>
      <c r="F32" s="617" t="str">
        <f t="shared" si="1"/>
        <v/>
      </c>
      <c r="G32" s="526" t="str">
        <f>IFERROR(VLOOKUP(CONCATENATE(A32,A82),BD!$H$43:$S$59,12,FALSE),"")</f>
        <v/>
      </c>
      <c r="H32" s="526" t="str">
        <f t="shared" si="2"/>
        <v/>
      </c>
      <c r="I32" s="524" t="str">
        <f>IF(A82="","",_xlfn.IFNA(VLOOKUP(CONCATENATE($B$2,A32,A82),DescontosTE[[#All],[chave]:[2021]],8,FALSE),0))</f>
        <v/>
      </c>
      <c r="K32" s="1815"/>
      <c r="L32" s="1815"/>
      <c r="M32" s="836"/>
      <c r="N32" s="836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6"/>
        <v/>
      </c>
      <c r="F33" s="617" t="str">
        <f t="shared" ref="F33:F34" si="7">IF(B33="","",I33)</f>
        <v/>
      </c>
      <c r="G33" s="526" t="str">
        <f>IFERROR(VLOOKUP(CONCATENATE(A33,A83),BD!$H$43:$S$59,12,FALSE),"")</f>
        <v/>
      </c>
      <c r="H33" s="526" t="str">
        <f t="shared" si="2"/>
        <v/>
      </c>
      <c r="I33" s="524" t="str">
        <f>IF(A83="","",_xlfn.IFNA(VLOOKUP(CONCATENATE($B$2,A33,A83),DescontosTE[[#All],[chave]:[2021]],8,FALSE),0))</f>
        <v/>
      </c>
      <c r="K33" s="837"/>
      <c r="L33" s="838"/>
      <c r="M33" s="836"/>
      <c r="N33" s="834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6"/>
        <v/>
      </c>
      <c r="F34" s="617" t="str">
        <f t="shared" si="7"/>
        <v/>
      </c>
      <c r="G34" s="526" t="str">
        <f>IFERROR(VLOOKUP(CONCATENATE(A34,A84),BD!$H$43:$S$59,12,FALSE),"")</f>
        <v/>
      </c>
      <c r="H34" s="526" t="str">
        <f t="shared" si="2"/>
        <v/>
      </c>
      <c r="I34" s="524" t="str">
        <f>IF(A84="","",_xlfn.IFNA(VLOOKUP(CONCATENATE($B$2,A34,A84),DescontosTE[[#All],[chave]:[2021]],8,FALSE),0))</f>
        <v/>
      </c>
      <c r="K34" s="1707" t="s">
        <v>2363</v>
      </c>
      <c r="L34" s="1708"/>
      <c r="M34" s="781"/>
      <c r="N34" s="101"/>
      <c r="O34" s="130"/>
      <c r="V34" s="142" t="e">
        <f>V32+V33</f>
        <v>#VALUE!</v>
      </c>
    </row>
    <row r="35" spans="1:22" ht="14.25" customHeight="1">
      <c r="A35" s="74"/>
      <c r="B35" s="762"/>
      <c r="C35" s="763"/>
      <c r="D35" s="764">
        <f>SUM(D28:D34)</f>
        <v>40986022.320000008</v>
      </c>
      <c r="E35" s="764">
        <f>SUM(E28:E34)</f>
        <v>40986.022320000004</v>
      </c>
      <c r="F35" s="761"/>
      <c r="G35" s="757">
        <f>IFERROR(SUMPRODUCT(G28:G34,E28:E34)/SUM(E28:E34),0)</f>
        <v>273.92</v>
      </c>
      <c r="H35" s="758">
        <f>IFERROR(SUMPRODUCT(H28:H34,E28:E34)/SUM(E28:E34),0)</f>
        <v>273.92</v>
      </c>
      <c r="I35" s="757"/>
      <c r="K35" s="1709" t="s">
        <v>2364</v>
      </c>
      <c r="L35" s="1710">
        <f ca="1">(L16+L17+L18+L19)/LnkTXTEV</f>
        <v>0.20242608378052449</v>
      </c>
      <c r="M35" s="781"/>
      <c r="N35" s="782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8" t="s">
        <v>2189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98" t="s">
        <v>2190</v>
      </c>
      <c r="C39" s="69"/>
      <c r="G39" s="137"/>
      <c r="O39" s="130"/>
    </row>
    <row r="40" spans="1:22" ht="24" customHeight="1">
      <c r="A40" s="74"/>
      <c r="B40" s="1294" t="s">
        <v>855</v>
      </c>
      <c r="C40" s="1295" t="s">
        <v>1215</v>
      </c>
      <c r="D40" s="1296"/>
      <c r="E40" s="1295" t="s">
        <v>62</v>
      </c>
      <c r="F40" s="1295" t="s">
        <v>61</v>
      </c>
      <c r="G40" s="1295" t="s">
        <v>1216</v>
      </c>
      <c r="H40" s="1295" t="s">
        <v>1217</v>
      </c>
      <c r="I40" s="1295" t="s">
        <v>1218</v>
      </c>
      <c r="J40" s="1295" t="s">
        <v>978</v>
      </c>
      <c r="K40" s="1295" t="s">
        <v>1219</v>
      </c>
      <c r="L40" s="1295" t="s">
        <v>1220</v>
      </c>
      <c r="M40" s="1295" t="s">
        <v>1221</v>
      </c>
      <c r="N40" s="1295" t="s">
        <v>1222</v>
      </c>
      <c r="O40" s="130"/>
    </row>
    <row r="41" spans="1:22" ht="24" customHeight="1">
      <c r="A41" s="74"/>
      <c r="B41" s="1578" t="s">
        <v>206</v>
      </c>
      <c r="C41" s="1578"/>
      <c r="D41" s="1578"/>
      <c r="E41" s="1579"/>
      <c r="F41" s="1580"/>
      <c r="G41" s="1581"/>
      <c r="H41" s="1582"/>
      <c r="I41" s="1579"/>
      <c r="J41" s="1578">
        <f>H110</f>
        <v>426.56999999999994</v>
      </c>
      <c r="K41" s="1583">
        <f>H28</f>
        <v>273.92</v>
      </c>
      <c r="L41" s="830">
        <f>IFERROR(J41*K41,0)</f>
        <v>116846.05439999999</v>
      </c>
      <c r="M41" s="839">
        <f t="shared" ref="M41:M47" ca="1" si="8">IFERROR(J41*$O$30,0)</f>
        <v>411.59354398854418</v>
      </c>
      <c r="N41" s="830">
        <f ca="1">IFERROR(K41*M41,0)</f>
        <v>112743.70356934203</v>
      </c>
      <c r="O41" s="130"/>
    </row>
    <row r="42" spans="1:22" ht="24" customHeight="1">
      <c r="A42" s="74"/>
      <c r="B42" s="1578"/>
      <c r="C42" s="1578"/>
      <c r="D42" s="1578"/>
      <c r="E42" s="1579"/>
      <c r="F42" s="1580"/>
      <c r="G42" s="1581"/>
      <c r="H42" s="1582"/>
      <c r="I42" s="1584"/>
      <c r="J42" s="1578"/>
      <c r="K42" s="1583">
        <f>H8</f>
        <v>0</v>
      </c>
      <c r="L42" s="830">
        <f>IFERROR(J42*K42,0)</f>
        <v>0</v>
      </c>
      <c r="M42" s="839">
        <f t="shared" ca="1" si="8"/>
        <v>0</v>
      </c>
      <c r="N42" s="830">
        <f ca="1">IFERROR(K42*M42,0)</f>
        <v>0</v>
      </c>
      <c r="O42" s="130"/>
    </row>
    <row r="43" spans="1:22" ht="24" customHeight="1">
      <c r="A43" s="74"/>
      <c r="B43" s="1578"/>
      <c r="C43" s="1578"/>
      <c r="D43" s="1578" t="s">
        <v>138</v>
      </c>
      <c r="E43" s="1579" t="str">
        <f t="shared" ref="E43:E47" si="9">IF(B43="","",D43/1000)</f>
        <v/>
      </c>
      <c r="F43" s="1580" t="str">
        <f>IF(B43="","",I43)</f>
        <v/>
      </c>
      <c r="G43" s="1581" t="s">
        <v>138</v>
      </c>
      <c r="H43" s="1582">
        <v>0</v>
      </c>
      <c r="I43" s="1579">
        <v>0</v>
      </c>
      <c r="J43" s="1578"/>
      <c r="K43" s="1583">
        <f>IFERROR(E43*(VLOOKUP(EDATE(G43,-1),Índices!#REF!,3,FALSE)/VLOOKUP(EDATE(F43,-1),Índices!#REF!,3,FALSE)),0)</f>
        <v>0</v>
      </c>
      <c r="L43" s="830">
        <f t="shared" ref="L43:L47" si="10">J43*K43</f>
        <v>0</v>
      </c>
      <c r="M43" s="839">
        <f t="shared" ca="1" si="8"/>
        <v>0</v>
      </c>
      <c r="N43" s="830">
        <f t="shared" ref="N43:N47" ca="1" si="11">K43*M43</f>
        <v>0</v>
      </c>
      <c r="O43" s="130"/>
    </row>
    <row r="44" spans="1:22" ht="24" customHeight="1">
      <c r="A44" s="74"/>
      <c r="B44" s="1578"/>
      <c r="C44" s="1578"/>
      <c r="D44" s="1578" t="s">
        <v>138</v>
      </c>
      <c r="E44" s="1579" t="str">
        <f t="shared" si="9"/>
        <v/>
      </c>
      <c r="F44" s="1580" t="str">
        <f>IF(B44="","",I44)</f>
        <v/>
      </c>
      <c r="G44" s="1581" t="s">
        <v>138</v>
      </c>
      <c r="H44" s="1582">
        <v>0</v>
      </c>
      <c r="I44" s="1579">
        <v>0</v>
      </c>
      <c r="J44" s="1578"/>
      <c r="K44" s="1583">
        <f>IFERROR(E44*(VLOOKUP(EDATE(G44,-1),Índices!#REF!,3,FALSE)/VLOOKUP(EDATE(F44,-1),Índices!#REF!,3,FALSE)),0)</f>
        <v>0</v>
      </c>
      <c r="L44" s="830">
        <f t="shared" si="10"/>
        <v>0</v>
      </c>
      <c r="M44" s="839">
        <f t="shared" ca="1" si="8"/>
        <v>0</v>
      </c>
      <c r="N44" s="830">
        <f ca="1">K44*M44</f>
        <v>0</v>
      </c>
      <c r="O44" s="130"/>
    </row>
    <row r="45" spans="1:22" ht="24" customHeight="1">
      <c r="A45" s="74"/>
      <c r="B45" s="1578"/>
      <c r="C45" s="1578"/>
      <c r="D45" s="1578" t="s">
        <v>138</v>
      </c>
      <c r="E45" s="1579" t="str">
        <f t="shared" si="9"/>
        <v/>
      </c>
      <c r="F45" s="1580" t="str">
        <f>IF(B45="","",I45)</f>
        <v/>
      </c>
      <c r="G45" s="1581" t="s">
        <v>138</v>
      </c>
      <c r="H45" s="1582">
        <v>0</v>
      </c>
      <c r="I45" s="1579">
        <v>0</v>
      </c>
      <c r="J45" s="1578"/>
      <c r="K45" s="1583">
        <f>IFERROR(E45*(VLOOKUP(EDATE(G45,-1),Índices!#REF!,3,FALSE)/VLOOKUP(EDATE(F45,-1),Índices!#REF!,3,FALSE)),0)</f>
        <v>0</v>
      </c>
      <c r="L45" s="830">
        <f t="shared" si="10"/>
        <v>0</v>
      </c>
      <c r="M45" s="839">
        <f t="shared" ca="1" si="8"/>
        <v>0</v>
      </c>
      <c r="N45" s="830">
        <f t="shared" ca="1" si="11"/>
        <v>0</v>
      </c>
      <c r="O45" s="130"/>
    </row>
    <row r="46" spans="1:22" ht="24" customHeight="1">
      <c r="A46" s="74"/>
      <c r="B46" s="1578"/>
      <c r="C46" s="1578"/>
      <c r="D46" s="1578" t="s">
        <v>138</v>
      </c>
      <c r="E46" s="1579" t="str">
        <f t="shared" si="9"/>
        <v/>
      </c>
      <c r="F46" s="1580" t="str">
        <f>IF(B46="","",I46)</f>
        <v/>
      </c>
      <c r="G46" s="1581" t="s">
        <v>138</v>
      </c>
      <c r="H46" s="1582">
        <v>0</v>
      </c>
      <c r="I46" s="1579">
        <v>0</v>
      </c>
      <c r="J46" s="1578"/>
      <c r="K46" s="1583">
        <f>IFERROR(E46*(VLOOKUP(EDATE(G46,-1),Índices!#REF!,3,FALSE)/VLOOKUP(EDATE(F46,-1),Índices!#REF!,3,FALSE)),0)</f>
        <v>0</v>
      </c>
      <c r="L46" s="830">
        <f t="shared" si="10"/>
        <v>0</v>
      </c>
      <c r="M46" s="839">
        <f t="shared" ca="1" si="8"/>
        <v>0</v>
      </c>
      <c r="N46" s="830">
        <f t="shared" ca="1" si="11"/>
        <v>0</v>
      </c>
      <c r="O46" s="130"/>
    </row>
    <row r="47" spans="1:22" ht="24" customHeight="1">
      <c r="A47" s="74"/>
      <c r="B47" s="1578"/>
      <c r="C47" s="1578"/>
      <c r="D47" s="1578" t="s">
        <v>138</v>
      </c>
      <c r="E47" s="1579" t="str">
        <f t="shared" si="9"/>
        <v/>
      </c>
      <c r="F47" s="1580" t="str">
        <f>IF(B47="","",I47)</f>
        <v/>
      </c>
      <c r="G47" s="1581" t="s">
        <v>138</v>
      </c>
      <c r="H47" s="1582">
        <v>0</v>
      </c>
      <c r="I47" s="1579">
        <v>0</v>
      </c>
      <c r="J47" s="1578"/>
      <c r="K47" s="1583">
        <f>IFERROR(E47*(VLOOKUP(EDATE(G47,-1),Índices!#REF!,3,FALSE)/VLOOKUP(EDATE(F47,-1),Índices!#REF!,3,FALSE)),0)</f>
        <v>0</v>
      </c>
      <c r="L47" s="830">
        <f t="shared" si="10"/>
        <v>0</v>
      </c>
      <c r="M47" s="839">
        <f t="shared" ca="1" si="8"/>
        <v>0</v>
      </c>
      <c r="N47" s="830">
        <f t="shared" ca="1" si="11"/>
        <v>0</v>
      </c>
      <c r="O47" s="130"/>
    </row>
    <row r="48" spans="1:22" ht="24" customHeight="1">
      <c r="A48" s="74"/>
      <c r="B48" s="1297" t="s">
        <v>846</v>
      </c>
      <c r="C48" s="1298"/>
      <c r="D48" s="1298"/>
      <c r="E48" s="1297"/>
      <c r="F48" s="1297"/>
      <c r="G48" s="1299"/>
      <c r="H48" s="1297"/>
      <c r="I48" s="1297"/>
      <c r="J48" s="1300">
        <f>SUM(J41:J47)</f>
        <v>426.56999999999994</v>
      </c>
      <c r="K48" s="1301">
        <f ca="1">IFERROR(SUMPRODUCT(K41:K47,M41:M47)/SUM(M41:M47),0)</f>
        <v>273.92</v>
      </c>
      <c r="L48" s="1297"/>
      <c r="M48" s="1302">
        <f ca="1">SUM(M41:M47)</f>
        <v>411.59354398854418</v>
      </c>
      <c r="N48" s="1302">
        <f ca="1">SUM(N41:N47)</f>
        <v>112743.70356934203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8" t="s">
        <v>2191</v>
      </c>
      <c r="C51" s="69"/>
      <c r="G51" s="137"/>
      <c r="O51" s="130"/>
      <c r="V51" s="68">
        <v>59464827.420289896</v>
      </c>
    </row>
    <row r="52" spans="1:22" ht="14.25" customHeight="1" thickBot="1">
      <c r="A52" s="74"/>
      <c r="B52" s="1294" t="s">
        <v>855</v>
      </c>
      <c r="C52" s="1295" t="s">
        <v>1215</v>
      </c>
      <c r="D52" s="1296"/>
      <c r="E52" s="1295" t="s">
        <v>62</v>
      </c>
      <c r="F52" s="1295" t="s">
        <v>61</v>
      </c>
      <c r="G52" s="1295" t="s">
        <v>1216</v>
      </c>
      <c r="H52" s="1295" t="s">
        <v>1217</v>
      </c>
      <c r="I52" s="1295" t="s">
        <v>1218</v>
      </c>
      <c r="J52" s="1295" t="s">
        <v>978</v>
      </c>
      <c r="K52" s="1295" t="s">
        <v>1219</v>
      </c>
      <c r="L52" s="1295" t="s">
        <v>1220</v>
      </c>
      <c r="M52" s="1295" t="s">
        <v>1221</v>
      </c>
      <c r="N52" s="1295" t="s">
        <v>1222</v>
      </c>
      <c r="O52" s="130"/>
      <c r="V52" s="142" t="e">
        <f>V34-V51</f>
        <v>#VALUE!</v>
      </c>
    </row>
    <row r="53" spans="1:22" ht="18" customHeight="1" thickBot="1">
      <c r="A53" s="74"/>
      <c r="B53" s="1660" t="s">
        <v>2317</v>
      </c>
      <c r="C53" s="1578"/>
      <c r="D53" s="1578"/>
      <c r="E53" s="1579">
        <v>133.88</v>
      </c>
      <c r="F53" s="1580">
        <v>44105</v>
      </c>
      <c r="G53" s="1581">
        <v>44927</v>
      </c>
      <c r="H53" s="1582"/>
      <c r="I53" s="1579"/>
      <c r="J53" s="1578">
        <f>F109</f>
        <v>66185.550144000008</v>
      </c>
      <c r="K53" s="1583">
        <f>IFERROR(E53*(VLOOKUP(EDATE(G53,-1),Índices!B5:D499,3,FALSE)/VLOOKUP(EDATE(F53,-1),Índices!B5:D499,3,FALSE)),0)</f>
        <v>164.97259510970272</v>
      </c>
      <c r="L53" s="830">
        <f>IFERROR(J53*K53,0)</f>
        <v>10918801.96601904</v>
      </c>
      <c r="M53" s="839">
        <f t="shared" ref="M53:M59" ca="1" si="12">IFERROR(J53*$O$30,0)</f>
        <v>63861.840130811979</v>
      </c>
      <c r="N53" s="830">
        <f ca="1">IFERROR(K53*M53,0)</f>
        <v>10535453.494861009</v>
      </c>
      <c r="O53" s="136"/>
    </row>
    <row r="54" spans="1:22">
      <c r="B54" s="1578"/>
      <c r="C54" s="1578"/>
      <c r="D54" s="1578"/>
      <c r="E54" s="1579"/>
      <c r="F54" s="1580"/>
      <c r="G54" s="1581"/>
      <c r="H54" s="1582"/>
      <c r="I54" s="1584"/>
      <c r="J54" s="1578"/>
      <c r="K54" s="1583">
        <f>IFERROR(E54*(VLOOKUP(EDATE(G54,-1),Índices!B6:D500,3,FALSE)/VLOOKUP(EDATE(F54,-1),Índices!B6:D500,3,FALSE)),0)</f>
        <v>0</v>
      </c>
      <c r="L54" s="830">
        <f>IFERROR(J54*K54,0)</f>
        <v>0</v>
      </c>
      <c r="M54" s="839">
        <f t="shared" ca="1" si="12"/>
        <v>0</v>
      </c>
      <c r="N54" s="830">
        <f ca="1">IFERROR(K54*M54,0)</f>
        <v>0</v>
      </c>
      <c r="V54" s="68">
        <v>7728827.6146981604</v>
      </c>
    </row>
    <row r="55" spans="1:22">
      <c r="B55" s="1578"/>
      <c r="C55" s="1578"/>
      <c r="D55" s="1578" t="s">
        <v>138</v>
      </c>
      <c r="E55" s="1579" t="str">
        <f t="shared" ref="E55:E59" si="13">IF(B55="","",D55/1000)</f>
        <v/>
      </c>
      <c r="F55" s="1580" t="str">
        <f>IF(B55="","",I55)</f>
        <v/>
      </c>
      <c r="G55" s="1581" t="s">
        <v>138</v>
      </c>
      <c r="H55" s="1582">
        <v>0</v>
      </c>
      <c r="I55" s="1579">
        <v>0</v>
      </c>
      <c r="J55" s="1578"/>
      <c r="K55" s="1583">
        <f>IFERROR(E55*(VLOOKUP(EDATE(G55,-1),Índices!B7:D501,3,FALSE)/VLOOKUP(EDATE(F55,-1),Índices!B7:D501,3,FALSE)),0)</f>
        <v>0</v>
      </c>
      <c r="L55" s="830">
        <f t="shared" ref="L55:L59" si="14">J55*K55</f>
        <v>0</v>
      </c>
      <c r="M55" s="839">
        <f t="shared" ca="1" si="12"/>
        <v>0</v>
      </c>
      <c r="N55" s="830">
        <f t="shared" ref="N55:N59" ca="1" si="15">K55*M55</f>
        <v>0</v>
      </c>
    </row>
    <row r="56" spans="1:22">
      <c r="B56" s="1578"/>
      <c r="C56" s="1578"/>
      <c r="D56" s="1578" t="s">
        <v>138</v>
      </c>
      <c r="E56" s="1579" t="str">
        <f t="shared" si="13"/>
        <v/>
      </c>
      <c r="F56" s="1580" t="str">
        <f>IF(B56="","",I56)</f>
        <v/>
      </c>
      <c r="G56" s="1581" t="s">
        <v>138</v>
      </c>
      <c r="H56" s="1582">
        <v>0</v>
      </c>
      <c r="I56" s="1579">
        <v>0</v>
      </c>
      <c r="J56" s="1578"/>
      <c r="K56" s="1583">
        <f>IFERROR(E56*(VLOOKUP(EDATE(G56,-1),Índices!B8:D502,3,FALSE)/VLOOKUP(EDATE(F56,-1),Índices!B8:D502,3,FALSE)),0)</f>
        <v>0</v>
      </c>
      <c r="L56" s="830">
        <f t="shared" si="14"/>
        <v>0</v>
      </c>
      <c r="M56" s="839">
        <f t="shared" ca="1" si="12"/>
        <v>0</v>
      </c>
      <c r="N56" s="830">
        <f t="shared" ca="1" si="15"/>
        <v>0</v>
      </c>
      <c r="V56" s="142" t="e">
        <f>V52+V54</f>
        <v>#VALUE!</v>
      </c>
    </row>
    <row r="57" spans="1:22">
      <c r="B57" s="1578"/>
      <c r="C57" s="1578"/>
      <c r="D57" s="1578" t="s">
        <v>138</v>
      </c>
      <c r="E57" s="1579" t="str">
        <f t="shared" si="13"/>
        <v/>
      </c>
      <c r="F57" s="1580" t="str">
        <f>IF(B57="","",I57)</f>
        <v/>
      </c>
      <c r="G57" s="1581" t="s">
        <v>138</v>
      </c>
      <c r="H57" s="1582">
        <v>0</v>
      </c>
      <c r="I57" s="1579">
        <v>0</v>
      </c>
      <c r="J57" s="1578"/>
      <c r="K57" s="1583">
        <f>IFERROR(E57*(VLOOKUP(EDATE(G57,-1),Índices!B9:D503,3,FALSE)/VLOOKUP(EDATE(F57,-1),Índices!B9:D503,3,FALSE)),0)</f>
        <v>0</v>
      </c>
      <c r="L57" s="830">
        <f t="shared" si="14"/>
        <v>0</v>
      </c>
      <c r="M57" s="839">
        <f t="shared" ca="1" si="12"/>
        <v>0</v>
      </c>
      <c r="N57" s="830">
        <f t="shared" ca="1" si="15"/>
        <v>0</v>
      </c>
    </row>
    <row r="58" spans="1:22">
      <c r="B58" s="1578"/>
      <c r="C58" s="1578"/>
      <c r="D58" s="1578" t="s">
        <v>138</v>
      </c>
      <c r="E58" s="1579" t="str">
        <f t="shared" si="13"/>
        <v/>
      </c>
      <c r="F58" s="1580" t="str">
        <f>IF(B58="","",I58)</f>
        <v/>
      </c>
      <c r="G58" s="1581" t="s">
        <v>138</v>
      </c>
      <c r="H58" s="1582">
        <v>0</v>
      </c>
      <c r="I58" s="1579">
        <v>0</v>
      </c>
      <c r="J58" s="1578"/>
      <c r="K58" s="1583">
        <f>IFERROR(E58*(VLOOKUP(EDATE(G58,-1),Índices!B10:D504,3,FALSE)/VLOOKUP(EDATE(F58,-1),Índices!B10:D504,3,FALSE)),0)</f>
        <v>0</v>
      </c>
      <c r="L58" s="830">
        <f t="shared" si="14"/>
        <v>0</v>
      </c>
      <c r="M58" s="839">
        <f t="shared" ca="1" si="12"/>
        <v>0</v>
      </c>
      <c r="N58" s="830">
        <f t="shared" ca="1" si="15"/>
        <v>0</v>
      </c>
    </row>
    <row r="59" spans="1:22">
      <c r="B59" s="1578"/>
      <c r="C59" s="1578"/>
      <c r="D59" s="1578" t="s">
        <v>138</v>
      </c>
      <c r="E59" s="1579" t="str">
        <f t="shared" si="13"/>
        <v/>
      </c>
      <c r="F59" s="1580" t="str">
        <f>IF(B59="","",I59)</f>
        <v/>
      </c>
      <c r="G59" s="1581" t="s">
        <v>138</v>
      </c>
      <c r="H59" s="1582">
        <v>0</v>
      </c>
      <c r="I59" s="1579">
        <v>0</v>
      </c>
      <c r="J59" s="1578"/>
      <c r="K59" s="1583">
        <f>IFERROR(E59*(VLOOKUP(EDATE(G59,-1),Índices!B11:D505,3,FALSE)/VLOOKUP(EDATE(F59,-1),Índices!B11:D505,3,FALSE)),0)</f>
        <v>0</v>
      </c>
      <c r="L59" s="830">
        <f t="shared" si="14"/>
        <v>0</v>
      </c>
      <c r="M59" s="839">
        <f t="shared" ca="1" si="12"/>
        <v>0</v>
      </c>
      <c r="N59" s="830">
        <f t="shared" ca="1" si="15"/>
        <v>0</v>
      </c>
    </row>
    <row r="60" spans="1:22">
      <c r="B60" s="1297" t="s">
        <v>846</v>
      </c>
      <c r="C60" s="1298"/>
      <c r="D60" s="1298"/>
      <c r="E60" s="1297"/>
      <c r="F60" s="1297"/>
      <c r="G60" s="1299"/>
      <c r="H60" s="1297"/>
      <c r="I60" s="1297"/>
      <c r="J60" s="1300">
        <f>SUM(J53:J59)</f>
        <v>66185.550144000008</v>
      </c>
      <c r="K60" s="1301">
        <f ca="1">IFERROR(SUMPRODUCT(K53:K59,M53:M59)/SUM(M53:M59),0)</f>
        <v>164.97259510970272</v>
      </c>
      <c r="L60" s="1297"/>
      <c r="M60" s="1302">
        <f ca="1">SUM(M53:M59)</f>
        <v>63861.840130811979</v>
      </c>
      <c r="N60" s="1302">
        <f ca="1">SUM(N53:N59)</f>
        <v>10535453.494861009</v>
      </c>
    </row>
    <row r="61" spans="1:22">
      <c r="C61" s="424"/>
      <c r="D61" s="424"/>
      <c r="E61" s="424"/>
      <c r="K61" s="68" t="s">
        <v>2194</v>
      </c>
    </row>
    <row r="62" spans="1:22" ht="15.75">
      <c r="B62" s="1303" t="s">
        <v>1223</v>
      </c>
      <c r="C62" s="1304" t="s">
        <v>1224</v>
      </c>
      <c r="D62" s="1305"/>
      <c r="E62" s="1306" t="s">
        <v>1225</v>
      </c>
      <c r="F62" s="1306" t="s">
        <v>1226</v>
      </c>
      <c r="H62" s="1307" t="s">
        <v>1227</v>
      </c>
      <c r="I62" s="1308" t="s">
        <v>42</v>
      </c>
      <c r="J62" s="1309" t="s">
        <v>43</v>
      </c>
      <c r="K62" s="1310" t="s">
        <v>1195</v>
      </c>
    </row>
    <row r="63" spans="1:22" ht="15.75">
      <c r="B63" s="78" t="s">
        <v>1228</v>
      </c>
      <c r="C63" s="846">
        <f>IF(ISERROR(VLOOKUP("Angra",AngraCota[],5,FALSE)),0,VLOOKUP("Angra",AngraCota[],5,FALSE))</f>
        <v>2439.6778395696083</v>
      </c>
      <c r="D63" s="847">
        <f t="shared" ref="D63" si="16">E63</f>
        <v>349.15</v>
      </c>
      <c r="E63" s="829">
        <f>IFERROR(VLOOKUP("Angra",AngraCota[],4,FALSE),0)</f>
        <v>349.15</v>
      </c>
      <c r="F63" s="108">
        <f>C63*E63</f>
        <v>851813.51768572873</v>
      </c>
      <c r="H63" s="1311" t="s">
        <v>1229</v>
      </c>
      <c r="I63" s="1312">
        <v>0.88500000000000001</v>
      </c>
      <c r="J63" s="1313">
        <v>195.04</v>
      </c>
      <c r="K63" s="1314">
        <f>(J63*(1-I63)*(C64+C65))</f>
        <v>433063.86550746689</v>
      </c>
    </row>
    <row r="64" spans="1:22" ht="15.75">
      <c r="B64" s="78" t="s">
        <v>1229</v>
      </c>
      <c r="C64" s="846">
        <f>BD!AE22</f>
        <v>8505.2508694275421</v>
      </c>
      <c r="D64" s="847">
        <f>BD!AG22</f>
        <v>152.37255798822298</v>
      </c>
      <c r="E64" s="829">
        <f>D64</f>
        <v>152.37255798822298</v>
      </c>
      <c r="F64" s="108">
        <f>C64*E64</f>
        <v>1295966.8313062321</v>
      </c>
      <c r="H64" s="840" t="s">
        <v>1230</v>
      </c>
      <c r="I64" s="841">
        <f>I63</f>
        <v>0.88500000000000001</v>
      </c>
      <c r="J64" s="842">
        <f>J63</f>
        <v>195.04</v>
      </c>
      <c r="K64" s="843"/>
    </row>
    <row r="65" spans="1:11" ht="15.75">
      <c r="B65" s="78" t="s">
        <v>1229</v>
      </c>
      <c r="C65" s="846">
        <f>BD!AE23</f>
        <v>10802.443672939105</v>
      </c>
      <c r="D65" s="847">
        <f>BD!AG23</f>
        <v>139.968722148295</v>
      </c>
      <c r="E65" s="829">
        <f>D65</f>
        <v>139.968722148295</v>
      </c>
      <c r="F65" s="108">
        <f>C65*E65</f>
        <v>1512004.236980221</v>
      </c>
      <c r="H65" s="844" t="s">
        <v>1231</v>
      </c>
      <c r="I65" s="841">
        <f>I64</f>
        <v>0.88500000000000001</v>
      </c>
      <c r="J65" s="842">
        <f>J64</f>
        <v>195.04</v>
      </c>
      <c r="K65" s="843">
        <f>(J65*(1-I65)*I68*K68*365*24)</f>
        <v>743140.78048086958</v>
      </c>
    </row>
    <row r="66" spans="1:11" ht="15.75">
      <c r="B66" s="831"/>
      <c r="C66" s="831">
        <f>SUM(C63:C65)</f>
        <v>21747.372381936257</v>
      </c>
      <c r="D66" s="831"/>
      <c r="E66" s="831"/>
      <c r="F66" s="831">
        <f>SUM(F63:F65)</f>
        <v>3659784.5859721815</v>
      </c>
      <c r="H66" s="825" t="s">
        <v>1232</v>
      </c>
      <c r="I66" s="1315"/>
      <c r="J66" s="1316"/>
      <c r="K66" s="1317">
        <f>SUM(K63:K65)</f>
        <v>1176204.6459883365</v>
      </c>
    </row>
    <row r="67" spans="1:11" ht="15.75">
      <c r="H67" s="1816" t="s">
        <v>45</v>
      </c>
      <c r="I67" s="1816"/>
      <c r="J67" s="1318"/>
      <c r="K67" s="1318" t="s">
        <v>44</v>
      </c>
    </row>
    <row r="68" spans="1:11" ht="15.75">
      <c r="C68" s="124">
        <f ca="1">+C64*O30</f>
        <v>8206.6398196294376</v>
      </c>
      <c r="H68" s="826" t="str">
        <f>CAPA!C9</f>
        <v>Cooperluz</v>
      </c>
      <c r="I68" s="848" cm="1">
        <f t="array" ref="I68">GSFRH[Fator de rateio]</f>
        <v>2.5659940000000002E-4</v>
      </c>
      <c r="J68" s="965">
        <f>J63</f>
        <v>195.04</v>
      </c>
      <c r="K68" s="827" cm="1">
        <f t="array" ref="K68">GSFRH[MWm repactuado]</f>
        <v>14739.74</v>
      </c>
    </row>
    <row r="69" spans="1:11" ht="15">
      <c r="B69" s="1303" t="s">
        <v>1233</v>
      </c>
      <c r="C69" s="1304" t="s">
        <v>1224</v>
      </c>
      <c r="D69" s="1305"/>
      <c r="E69" s="1306" t="s">
        <v>1225</v>
      </c>
      <c r="F69" s="1306" t="s">
        <v>1226</v>
      </c>
    </row>
    <row r="70" spans="1:11">
      <c r="B70" s="78" t="s">
        <v>1234</v>
      </c>
      <c r="C70" s="846">
        <f>CAPA!D58</f>
        <v>0</v>
      </c>
      <c r="D70" s="847">
        <f t="shared" ref="D70" si="17">E70</f>
        <v>0</v>
      </c>
      <c r="E70" s="829">
        <v>0</v>
      </c>
      <c r="F70" s="108">
        <f>C70*E70</f>
        <v>0</v>
      </c>
    </row>
    <row r="71" spans="1:11">
      <c r="B71" s="78"/>
      <c r="C71" s="846"/>
      <c r="D71" s="847"/>
      <c r="E71" s="829"/>
      <c r="F71" s="108"/>
      <c r="J71" s="142"/>
    </row>
    <row r="72" spans="1:11">
      <c r="B72" s="831"/>
      <c r="C72" s="831">
        <f>SUM(C70:C71)</f>
        <v>0</v>
      </c>
      <c r="D72" s="831"/>
      <c r="E72" s="831"/>
      <c r="F72" s="831">
        <f>SUM(F70:F71)</f>
        <v>0</v>
      </c>
      <c r="J72" s="142"/>
    </row>
    <row r="77" spans="1:11" ht="16.5">
      <c r="A77" s="68" t="s">
        <v>1235</v>
      </c>
      <c r="C77" s="1768" t="s">
        <v>2380</v>
      </c>
    </row>
    <row r="78" spans="1:11" ht="16.5">
      <c r="A78" s="68" t="str">
        <f>TRIM(LEFT(C28,3))</f>
        <v>A3</v>
      </c>
      <c r="C78" s="1768" t="s">
        <v>2381</v>
      </c>
    </row>
    <row r="79" spans="1:11">
      <c r="A79" s="68" t="str">
        <f t="shared" ref="A79:A84" si="18">TRIM(LEFT(C29,3))</f>
        <v>A4</v>
      </c>
    </row>
    <row r="80" spans="1:11">
      <c r="A80" s="68" t="str">
        <f t="shared" si="18"/>
        <v/>
      </c>
    </row>
    <row r="81" spans="1:8">
      <c r="A81" s="68" t="str">
        <f t="shared" si="18"/>
        <v/>
      </c>
    </row>
    <row r="82" spans="1:8">
      <c r="A82" s="68" t="str">
        <f t="shared" si="18"/>
        <v/>
      </c>
    </row>
    <row r="83" spans="1:8">
      <c r="A83" s="68" t="str">
        <f t="shared" si="18"/>
        <v/>
      </c>
    </row>
    <row r="84" spans="1:8">
      <c r="A84" s="68" t="str">
        <f t="shared" si="18"/>
        <v/>
      </c>
    </row>
    <row r="90" spans="1:8">
      <c r="C90" s="124" t="s">
        <v>2333</v>
      </c>
    </row>
    <row r="91" spans="1:8">
      <c r="C91" s="1662"/>
      <c r="D91" s="198"/>
    </row>
    <row r="92" spans="1:8">
      <c r="C92" s="1662"/>
      <c r="D92" s="198"/>
    </row>
    <row r="93" spans="1:8">
      <c r="C93" s="1662"/>
      <c r="D93" s="198"/>
    </row>
    <row r="94" spans="1:8">
      <c r="C94" s="1662"/>
      <c r="D94" s="198"/>
      <c r="E94" s="68" t="s">
        <v>1215</v>
      </c>
    </row>
    <row r="95" spans="1:8">
      <c r="C95" s="1662" t="s">
        <v>2334</v>
      </c>
      <c r="D95" s="198"/>
      <c r="G95" s="1671" t="s">
        <v>2336</v>
      </c>
      <c r="H95" s="295" t="s">
        <v>978</v>
      </c>
    </row>
    <row r="96" spans="1:8">
      <c r="C96" s="1662" t="s">
        <v>136</v>
      </c>
      <c r="D96" s="1666"/>
      <c r="E96" s="1409" t="s">
        <v>2335</v>
      </c>
      <c r="F96" s="1409" t="s">
        <v>2339</v>
      </c>
    </row>
    <row r="97" spans="3:8">
      <c r="C97" s="1662">
        <v>44743</v>
      </c>
      <c r="D97" s="1666">
        <v>44743</v>
      </c>
      <c r="E97" s="1263">
        <v>6.6229839999999998</v>
      </c>
      <c r="F97" s="1263">
        <f>E97*31*24</f>
        <v>4927.5000959999998</v>
      </c>
      <c r="G97" s="1669">
        <v>44743</v>
      </c>
      <c r="H97" s="1409">
        <v>32.81</v>
      </c>
    </row>
    <row r="98" spans="3:8">
      <c r="C98" s="1662">
        <v>44774</v>
      </c>
      <c r="D98" s="1666">
        <v>44774</v>
      </c>
      <c r="E98" s="1263">
        <v>6.84375</v>
      </c>
      <c r="F98" s="1263">
        <f>E98*31*24</f>
        <v>5091.75</v>
      </c>
      <c r="G98" s="1669">
        <v>44774</v>
      </c>
      <c r="H98" s="1409">
        <v>33.07</v>
      </c>
    </row>
    <row r="99" spans="3:8">
      <c r="C99" s="1662">
        <v>44805</v>
      </c>
      <c r="D99" s="1666">
        <v>44805</v>
      </c>
      <c r="E99" s="1263">
        <v>7.3</v>
      </c>
      <c r="F99" s="1263">
        <f>E99*30*24</f>
        <v>5256</v>
      </c>
      <c r="G99" s="1669">
        <v>44805</v>
      </c>
      <c r="H99" s="1409">
        <v>35.68</v>
      </c>
    </row>
    <row r="100" spans="3:8">
      <c r="C100" s="1662">
        <v>44835</v>
      </c>
      <c r="D100" s="1666">
        <v>44835</v>
      </c>
      <c r="E100" s="1263">
        <v>7.7268150000000002</v>
      </c>
      <c r="F100" s="1263">
        <f t="shared" ref="F100:F107" si="19">E100*31*24</f>
        <v>5748.75036</v>
      </c>
      <c r="G100" s="1669">
        <v>44835</v>
      </c>
      <c r="H100" s="1409">
        <v>34.68</v>
      </c>
    </row>
    <row r="101" spans="3:8">
      <c r="C101" s="1662">
        <v>44866</v>
      </c>
      <c r="D101" s="1666">
        <v>44866</v>
      </c>
      <c r="E101" s="1263">
        <v>7.8931250000000004</v>
      </c>
      <c r="F101" s="1263">
        <f>E101*30*24</f>
        <v>5683.05</v>
      </c>
      <c r="G101" s="1669">
        <v>44866</v>
      </c>
      <c r="H101" s="1409">
        <v>34.57</v>
      </c>
    </row>
    <row r="102" spans="3:8">
      <c r="C102" s="1662">
        <v>44896</v>
      </c>
      <c r="D102" s="1666">
        <v>44896</v>
      </c>
      <c r="E102" s="1263">
        <v>9.2721769999999992</v>
      </c>
      <c r="F102" s="1263">
        <f t="shared" si="19"/>
        <v>6898.4996879999999</v>
      </c>
      <c r="G102" s="1669">
        <v>44896</v>
      </c>
      <c r="H102" s="1409">
        <v>35.17</v>
      </c>
    </row>
    <row r="103" spans="3:8">
      <c r="C103" s="1662">
        <v>44927</v>
      </c>
      <c r="D103" s="1666">
        <v>44927</v>
      </c>
      <c r="E103" s="1409">
        <v>7.5</v>
      </c>
      <c r="F103" s="1263">
        <f t="shared" si="19"/>
        <v>5580</v>
      </c>
      <c r="G103" s="1669">
        <v>44927</v>
      </c>
      <c r="H103" s="1409">
        <f>441.18/12</f>
        <v>36.765000000000001</v>
      </c>
    </row>
    <row r="104" spans="3:8">
      <c r="C104" s="1662">
        <v>44958</v>
      </c>
      <c r="D104" s="1666">
        <v>44958</v>
      </c>
      <c r="E104" s="1409">
        <v>7.5</v>
      </c>
      <c r="F104" s="1263">
        <f>E104*28*24</f>
        <v>5040</v>
      </c>
      <c r="G104" s="1669">
        <v>44958</v>
      </c>
      <c r="H104" s="1409">
        <f t="shared" ref="H104:H108" si="20">441.18/12</f>
        <v>36.765000000000001</v>
      </c>
    </row>
    <row r="105" spans="3:8">
      <c r="C105" s="1662">
        <v>44986</v>
      </c>
      <c r="D105" s="1666">
        <v>44986</v>
      </c>
      <c r="E105" s="1409">
        <v>7.5</v>
      </c>
      <c r="F105" s="1263">
        <f t="shared" si="19"/>
        <v>5580</v>
      </c>
      <c r="G105" s="1669">
        <v>44986</v>
      </c>
      <c r="H105" s="1409">
        <f t="shared" si="20"/>
        <v>36.765000000000001</v>
      </c>
    </row>
    <row r="106" spans="3:8">
      <c r="C106" s="1662">
        <v>45017</v>
      </c>
      <c r="D106" s="1666">
        <v>45017</v>
      </c>
      <c r="E106" s="1409">
        <f>E105</f>
        <v>7.5</v>
      </c>
      <c r="F106" s="1263">
        <f>E106*30*24</f>
        <v>5400</v>
      </c>
      <c r="G106" s="1669">
        <v>45017</v>
      </c>
      <c r="H106" s="1409">
        <f t="shared" si="20"/>
        <v>36.765000000000001</v>
      </c>
    </row>
    <row r="107" spans="3:8">
      <c r="C107" s="1662">
        <v>45047</v>
      </c>
      <c r="D107" s="1666">
        <v>45047</v>
      </c>
      <c r="E107" s="1409">
        <f t="shared" ref="E107:E108" si="21">E106</f>
        <v>7.5</v>
      </c>
      <c r="F107" s="1263">
        <f t="shared" si="19"/>
        <v>5580</v>
      </c>
      <c r="G107" s="1669">
        <v>45047</v>
      </c>
      <c r="H107" s="1409">
        <f t="shared" si="20"/>
        <v>36.765000000000001</v>
      </c>
    </row>
    <row r="108" spans="3:8">
      <c r="C108" s="1662">
        <v>45078</v>
      </c>
      <c r="D108" s="1666">
        <v>45078</v>
      </c>
      <c r="E108" s="1409">
        <f t="shared" si="21"/>
        <v>7.5</v>
      </c>
      <c r="F108" s="1263">
        <f>E108*30*24</f>
        <v>5400</v>
      </c>
      <c r="G108" s="1669">
        <v>45078</v>
      </c>
      <c r="H108" s="1409">
        <f t="shared" si="20"/>
        <v>36.765000000000001</v>
      </c>
    </row>
    <row r="109" spans="3:8">
      <c r="D109" s="1667" t="s">
        <v>846</v>
      </c>
      <c r="E109" s="1667">
        <f>SUM(E97:E108)</f>
        <v>90.658850999999999</v>
      </c>
      <c r="F109" s="1668">
        <f>SUM(F97:F108)</f>
        <v>66185.550144000008</v>
      </c>
      <c r="G109" s="1670"/>
      <c r="H109" s="1409"/>
    </row>
    <row r="110" spans="3:8">
      <c r="H110" s="68">
        <f>SUM(H97:H109)</f>
        <v>426.56999999999994</v>
      </c>
    </row>
  </sheetData>
  <mergeCells count="2">
    <mergeCell ref="K32:L32"/>
    <mergeCell ref="H67:I67"/>
  </mergeCells>
  <conditionalFormatting sqref="K13:N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H66" sqref="H66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19" t="s">
        <v>705</v>
      </c>
      <c r="C1" s="1106">
        <f>Resultado!C1</f>
        <v>0</v>
      </c>
      <c r="D1" s="1320"/>
      <c r="E1" s="1321"/>
      <c r="F1" s="1322"/>
      <c r="G1" s="1219" t="s">
        <v>953</v>
      </c>
      <c r="H1" s="1323">
        <f ca="1">LnkTXTIRTEco</f>
        <v>3.0300000000000001E-2</v>
      </c>
    </row>
    <row r="2" spans="2:27">
      <c r="B2" s="138" t="str">
        <f>CAPA!C9</f>
        <v>Cooperluz</v>
      </c>
      <c r="C2" s="70"/>
      <c r="D2" s="70"/>
      <c r="G2" s="121" t="s">
        <v>957</v>
      </c>
      <c r="H2" s="148">
        <f ca="1">LnkTXTIRTTotal</f>
        <v>-0.30859999999999999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24" t="s">
        <v>1236</v>
      </c>
      <c r="C6" s="1324"/>
      <c r="D6" s="1324"/>
      <c r="E6" s="1324"/>
      <c r="F6" s="1324"/>
      <c r="G6" s="1324"/>
      <c r="H6" s="1324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25" t="s">
        <v>855</v>
      </c>
      <c r="C8" s="1325" t="s">
        <v>1237</v>
      </c>
      <c r="D8" s="1325" t="s">
        <v>1238</v>
      </c>
      <c r="E8" s="1325" t="s">
        <v>1239</v>
      </c>
      <c r="H8" s="152"/>
    </row>
    <row r="9" spans="2:27">
      <c r="B9" s="158" t="s">
        <v>973</v>
      </c>
      <c r="C9" s="181">
        <f>SUMIFS($M$18:$M$63,$D$18:$D$63,"Ponta")</f>
        <v>220.79999999999998</v>
      </c>
      <c r="D9" s="181">
        <f>SUMIFS($J$18:$J$63,$D$18:$D$63,"Ponta")</f>
        <v>1395676.7999999998</v>
      </c>
      <c r="E9" s="181">
        <f>SUMIFS($L$18:$L$63,$D$18:$D$63,"Ponta")</f>
        <v>258998.39999999999</v>
      </c>
    </row>
    <row r="10" spans="2:27">
      <c r="B10" s="1326" t="s">
        <v>1240</v>
      </c>
      <c r="C10" s="1327">
        <f>SUMIFS($M$18:$M$63,$D$18:$D$63,"Fora Ponta")</f>
        <v>221.99999999999994</v>
      </c>
      <c r="D10" s="1327">
        <f>SUMIFS($J$18:$J$63,$D$18:$D$63,"Fora Ponta")</f>
        <v>1505603.9999999995</v>
      </c>
      <c r="E10" s="1327">
        <f>SUMIFS($L$18:$L$63,$D$18:$D$63,"Fora Ponta")</f>
        <v>260405.99999999994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28" t="s">
        <v>1241</v>
      </c>
      <c r="G14" s="1329"/>
      <c r="H14" s="1329"/>
      <c r="I14" s="1329"/>
      <c r="J14" s="1329"/>
      <c r="K14" s="1329"/>
      <c r="L14" s="1329"/>
      <c r="M14" s="1329"/>
      <c r="N14" s="1329"/>
      <c r="O14" s="1329"/>
      <c r="P14" s="1329"/>
      <c r="Q14" s="1329"/>
      <c r="R14" s="1330"/>
    </row>
    <row r="15" spans="2:27">
      <c r="B15" s="1822" t="s">
        <v>1242</v>
      </c>
      <c r="C15" s="1823" t="s">
        <v>1243</v>
      </c>
      <c r="D15" s="1824" t="s">
        <v>78</v>
      </c>
      <c r="E15" s="1825" t="s">
        <v>1244</v>
      </c>
      <c r="F15" s="1825"/>
      <c r="G15" s="1825"/>
      <c r="H15" s="1826"/>
      <c r="I15" s="1827" t="s">
        <v>1245</v>
      </c>
      <c r="J15" s="1828"/>
      <c r="K15" s="1828"/>
      <c r="L15" s="1828"/>
      <c r="M15" s="1829" t="s">
        <v>1246</v>
      </c>
      <c r="N15" s="1830"/>
      <c r="O15" s="1830"/>
      <c r="P15" s="1830"/>
      <c r="Q15" s="1830"/>
      <c r="R15" s="1830"/>
      <c r="S15" s="1830"/>
      <c r="T15" s="1830"/>
      <c r="U15" s="1830"/>
      <c r="V15" s="1830"/>
      <c r="W15" s="1830"/>
      <c r="X15" s="1830"/>
      <c r="Y15" s="1830"/>
      <c r="Z15" s="65"/>
      <c r="AA15" s="387"/>
    </row>
    <row r="16" spans="2:27">
      <c r="B16" s="1822"/>
      <c r="C16" s="1823"/>
      <c r="D16" s="1824"/>
      <c r="E16" s="1833" t="s">
        <v>123</v>
      </c>
      <c r="F16" s="1834"/>
      <c r="G16" s="1834" t="s">
        <v>1247</v>
      </c>
      <c r="H16" s="1835"/>
      <c r="I16" s="1836" t="s">
        <v>123</v>
      </c>
      <c r="J16" s="1837"/>
      <c r="K16" s="1837" t="s">
        <v>1247</v>
      </c>
      <c r="L16" s="1838"/>
      <c r="M16" s="1831"/>
      <c r="N16" s="1832"/>
      <c r="O16" s="1832"/>
      <c r="P16" s="1832"/>
      <c r="Q16" s="1832"/>
      <c r="R16" s="1832"/>
      <c r="S16" s="1832"/>
      <c r="T16" s="1832"/>
      <c r="U16" s="1832"/>
      <c r="V16" s="1832"/>
      <c r="W16" s="1832"/>
      <c r="X16" s="1832"/>
      <c r="Y16" s="1832"/>
      <c r="Z16" s="65"/>
      <c r="AA16" s="387"/>
    </row>
    <row r="17" spans="2:27">
      <c r="B17" s="1822"/>
      <c r="C17" s="1823"/>
      <c r="D17" s="1824"/>
      <c r="E17" s="388" t="s">
        <v>772</v>
      </c>
      <c r="F17" s="389" t="s">
        <v>773</v>
      </c>
      <c r="G17" s="389" t="s">
        <v>772</v>
      </c>
      <c r="H17" s="390" t="s">
        <v>773</v>
      </c>
      <c r="I17" s="391" t="s">
        <v>772</v>
      </c>
      <c r="J17" s="392" t="s">
        <v>773</v>
      </c>
      <c r="K17" s="392" t="s">
        <v>772</v>
      </c>
      <c r="L17" s="392" t="s">
        <v>773</v>
      </c>
      <c r="M17" s="393" t="s">
        <v>846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859</v>
      </c>
    </row>
    <row r="18" spans="2:27">
      <c r="B18" s="1331" t="str">
        <f>RBBD!B3</f>
        <v>SANTA ROSA 1 - 69 kV (A)</v>
      </c>
      <c r="C18" s="1331" t="str">
        <f>RBBD!C3</f>
        <v>69</v>
      </c>
      <c r="D18" s="1331" t="str">
        <f>RBBD!D3</f>
        <v>Ponta</v>
      </c>
      <c r="E18" s="1673">
        <v>4374</v>
      </c>
      <c r="F18" s="1331">
        <f>RBBD!F3</f>
        <v>6321</v>
      </c>
      <c r="G18" s="1673">
        <v>1581</v>
      </c>
      <c r="H18" s="1331">
        <f>RBBD!H3</f>
        <v>1173</v>
      </c>
      <c r="I18" s="1331">
        <f>E18*$M18</f>
        <v>965779.2</v>
      </c>
      <c r="J18" s="1331">
        <f>F18*$M18</f>
        <v>1395676.7999999998</v>
      </c>
      <c r="K18" s="1331">
        <f>G18*$M18</f>
        <v>349084.8</v>
      </c>
      <c r="L18" s="1331">
        <f>H18*$M18</f>
        <v>258998.39999999999</v>
      </c>
      <c r="M18" s="1331">
        <f>SUM(N18:Y18)</f>
        <v>220.79999999999998</v>
      </c>
      <c r="N18" s="1331">
        <f>RBBD!I3</f>
        <v>18.2</v>
      </c>
      <c r="O18" s="1331">
        <f>RBBD!J3</f>
        <v>18.2</v>
      </c>
      <c r="P18" s="1331">
        <f>RBBD!K3</f>
        <v>18.2</v>
      </c>
      <c r="Q18" s="1331">
        <f>RBBD!L3</f>
        <v>18.2</v>
      </c>
      <c r="R18" s="1331">
        <f>RBBD!M3</f>
        <v>18.2</v>
      </c>
      <c r="S18" s="1331">
        <f>RBBD!N3</f>
        <v>18.2</v>
      </c>
      <c r="T18" s="1331">
        <f>RBBD!O3</f>
        <v>18.600000000000001</v>
      </c>
      <c r="U18" s="1331">
        <f>RBBD!P3</f>
        <v>18.600000000000001</v>
      </c>
      <c r="V18" s="1331">
        <f>RBBD!Q3</f>
        <v>18.600000000000001</v>
      </c>
      <c r="W18" s="1331">
        <f>RBBD!R3</f>
        <v>18.600000000000001</v>
      </c>
      <c r="X18" s="1331">
        <f>RBBD!S3</f>
        <v>18.600000000000001</v>
      </c>
      <c r="Y18" s="1331">
        <f>RBBD!T3</f>
        <v>18.600000000000001</v>
      </c>
      <c r="Z18" s="65"/>
      <c r="AA18" s="329">
        <f t="shared" ref="AA18:AA23" si="1">IF(B18=0,0,1)</f>
        <v>1</v>
      </c>
    </row>
    <row r="19" spans="2:27">
      <c r="B19" s="1331" t="str">
        <f>RBBD!B4</f>
        <v>SANTA ROSA 1 - 69 kV (A)</v>
      </c>
      <c r="C19" s="1331" t="str">
        <f>RBBD!C4</f>
        <v>69</v>
      </c>
      <c r="D19" s="1331" t="str">
        <f>RBBD!D4</f>
        <v>Fora Ponta</v>
      </c>
      <c r="E19" s="1673">
        <v>5006</v>
      </c>
      <c r="F19" s="1331">
        <f>RBBD!F4</f>
        <v>6782</v>
      </c>
      <c r="G19" s="1673">
        <f>G18</f>
        <v>1581</v>
      </c>
      <c r="H19" s="1331">
        <f>RBBD!H4</f>
        <v>1173</v>
      </c>
      <c r="I19" s="1331">
        <f t="shared" ref="I19:L60" si="2">E19*$M19</f>
        <v>1111331.9999999998</v>
      </c>
      <c r="J19" s="1331">
        <f t="shared" si="2"/>
        <v>1505603.9999999995</v>
      </c>
      <c r="K19" s="1331">
        <f t="shared" si="2"/>
        <v>350981.99999999988</v>
      </c>
      <c r="L19" s="1331">
        <f t="shared" si="2"/>
        <v>260405.99999999994</v>
      </c>
      <c r="M19" s="1331">
        <f t="shared" ref="M19:M60" si="3">SUM(N19:Y19)</f>
        <v>221.99999999999994</v>
      </c>
      <c r="N19" s="1331">
        <f>RBBD!I4</f>
        <v>18.3</v>
      </c>
      <c r="O19" s="1331">
        <f>RBBD!J4</f>
        <v>18.3</v>
      </c>
      <c r="P19" s="1331">
        <f>RBBD!K4</f>
        <v>18.3</v>
      </c>
      <c r="Q19" s="1331">
        <f>RBBD!L4</f>
        <v>18.3</v>
      </c>
      <c r="R19" s="1331">
        <f>RBBD!M4</f>
        <v>18.3</v>
      </c>
      <c r="S19" s="1331">
        <f>RBBD!N4</f>
        <v>18.3</v>
      </c>
      <c r="T19" s="1331">
        <f>RBBD!O4</f>
        <v>18.7</v>
      </c>
      <c r="U19" s="1331">
        <f>RBBD!P4</f>
        <v>18.7</v>
      </c>
      <c r="V19" s="1331">
        <f>RBBD!Q4</f>
        <v>18.7</v>
      </c>
      <c r="W19" s="1331">
        <f>RBBD!R4</f>
        <v>18.7</v>
      </c>
      <c r="X19" s="1331">
        <f>RBBD!S4</f>
        <v>18.7</v>
      </c>
      <c r="Y19" s="1331">
        <f>RBBD!T4</f>
        <v>18.7</v>
      </c>
      <c r="Z19" s="65"/>
      <c r="AA19" s="329">
        <f t="shared" si="1"/>
        <v>1</v>
      </c>
    </row>
    <row r="20" spans="2:27" hidden="1">
      <c r="B20" s="1331">
        <f>RBBD!B5</f>
        <v>0</v>
      </c>
      <c r="C20" s="1331">
        <f>RBBD!C5</f>
        <v>0</v>
      </c>
      <c r="D20" s="1331">
        <f>RBBD!D5</f>
        <v>0</v>
      </c>
      <c r="E20" s="1331">
        <f>RBBD!E5</f>
        <v>0</v>
      </c>
      <c r="F20" s="1331">
        <f>RBBD!F5</f>
        <v>0</v>
      </c>
      <c r="G20" s="1331">
        <f>RBBD!G5</f>
        <v>0</v>
      </c>
      <c r="H20" s="1331">
        <f>RBBD!H5</f>
        <v>0</v>
      </c>
      <c r="I20" s="1331">
        <f t="shared" si="2"/>
        <v>0</v>
      </c>
      <c r="J20" s="1331">
        <f t="shared" si="2"/>
        <v>0</v>
      </c>
      <c r="K20" s="1331">
        <f t="shared" si="2"/>
        <v>0</v>
      </c>
      <c r="L20" s="1331">
        <f t="shared" si="2"/>
        <v>0</v>
      </c>
      <c r="M20" s="1331">
        <f t="shared" si="3"/>
        <v>0</v>
      </c>
      <c r="N20" s="1331">
        <f>RBBD!I5</f>
        <v>0</v>
      </c>
      <c r="O20" s="1331">
        <f>RBBD!J5</f>
        <v>0</v>
      </c>
      <c r="P20" s="1331">
        <f>RBBD!K5</f>
        <v>0</v>
      </c>
      <c r="Q20" s="1331">
        <f>RBBD!L5</f>
        <v>0</v>
      </c>
      <c r="R20" s="1331">
        <f>RBBD!M5</f>
        <v>0</v>
      </c>
      <c r="S20" s="1331">
        <f>RBBD!N5</f>
        <v>0</v>
      </c>
      <c r="T20" s="1331">
        <f>RBBD!O5</f>
        <v>0</v>
      </c>
      <c r="U20" s="1331">
        <f>RBBD!P5</f>
        <v>0</v>
      </c>
      <c r="V20" s="1331">
        <f>RBBD!Q5</f>
        <v>0</v>
      </c>
      <c r="W20" s="1331">
        <f>RBBD!R5</f>
        <v>0</v>
      </c>
      <c r="X20" s="1331">
        <f>RBBD!S5</f>
        <v>0</v>
      </c>
      <c r="Y20" s="1331">
        <f>RBBD!T5</f>
        <v>0</v>
      </c>
      <c r="Z20" s="65"/>
      <c r="AA20" s="329">
        <f t="shared" si="1"/>
        <v>0</v>
      </c>
    </row>
    <row r="21" spans="2:27" hidden="1">
      <c r="B21" s="1331">
        <f>RBBD!B6</f>
        <v>0</v>
      </c>
      <c r="C21" s="1331">
        <f>RBBD!C6</f>
        <v>0</v>
      </c>
      <c r="D21" s="1331">
        <f>RBBD!D6</f>
        <v>0</v>
      </c>
      <c r="E21" s="1331">
        <f>RBBD!E6</f>
        <v>0</v>
      </c>
      <c r="F21" s="1331">
        <f>RBBD!F6</f>
        <v>0</v>
      </c>
      <c r="G21" s="1331">
        <f>RBBD!G6</f>
        <v>0</v>
      </c>
      <c r="H21" s="1331">
        <f>RBBD!H6</f>
        <v>0</v>
      </c>
      <c r="I21" s="1331">
        <f t="shared" si="2"/>
        <v>0</v>
      </c>
      <c r="J21" s="1331">
        <f t="shared" si="2"/>
        <v>0</v>
      </c>
      <c r="K21" s="1331">
        <f t="shared" si="2"/>
        <v>0</v>
      </c>
      <c r="L21" s="1331">
        <f t="shared" si="2"/>
        <v>0</v>
      </c>
      <c r="M21" s="1331">
        <f t="shared" si="3"/>
        <v>0</v>
      </c>
      <c r="N21" s="1331">
        <f>RBBD!I6</f>
        <v>0</v>
      </c>
      <c r="O21" s="1331">
        <f>RBBD!J6</f>
        <v>0</v>
      </c>
      <c r="P21" s="1331">
        <f>RBBD!K6</f>
        <v>0</v>
      </c>
      <c r="Q21" s="1331">
        <f>RBBD!L6</f>
        <v>0</v>
      </c>
      <c r="R21" s="1331">
        <f>RBBD!M6</f>
        <v>0</v>
      </c>
      <c r="S21" s="1331">
        <f>RBBD!N6</f>
        <v>0</v>
      </c>
      <c r="T21" s="1331">
        <f>RBBD!O6</f>
        <v>0</v>
      </c>
      <c r="U21" s="1331">
        <f>RBBD!P6</f>
        <v>0</v>
      </c>
      <c r="V21" s="1331">
        <f>RBBD!Q6</f>
        <v>0</v>
      </c>
      <c r="W21" s="1331">
        <f>RBBD!R6</f>
        <v>0</v>
      </c>
      <c r="X21" s="1331">
        <f>RBBD!S6</f>
        <v>0</v>
      </c>
      <c r="Y21" s="1331">
        <f>RBBD!T6</f>
        <v>0</v>
      </c>
      <c r="Z21" s="65"/>
      <c r="AA21" s="329">
        <f t="shared" si="1"/>
        <v>0</v>
      </c>
    </row>
    <row r="22" spans="2:27" hidden="1">
      <c r="B22" s="1331">
        <f>RBBD!B7</f>
        <v>0</v>
      </c>
      <c r="C22" s="1331">
        <f>RBBD!C7</f>
        <v>0</v>
      </c>
      <c r="D22" s="1331">
        <f>RBBD!D7</f>
        <v>0</v>
      </c>
      <c r="E22" s="1331">
        <f>RBBD!E7</f>
        <v>0</v>
      </c>
      <c r="F22" s="1331">
        <f>RBBD!F7</f>
        <v>0</v>
      </c>
      <c r="G22" s="1331">
        <f>RBBD!G7</f>
        <v>0</v>
      </c>
      <c r="H22" s="1331">
        <f>RBBD!H7</f>
        <v>0</v>
      </c>
      <c r="I22" s="1331">
        <f t="shared" si="2"/>
        <v>0</v>
      </c>
      <c r="J22" s="1331">
        <f t="shared" si="2"/>
        <v>0</v>
      </c>
      <c r="K22" s="1331">
        <f t="shared" si="2"/>
        <v>0</v>
      </c>
      <c r="L22" s="1331">
        <f t="shared" si="2"/>
        <v>0</v>
      </c>
      <c r="M22" s="1331">
        <f t="shared" si="3"/>
        <v>0</v>
      </c>
      <c r="N22" s="1331">
        <f>RBBD!I7</f>
        <v>0</v>
      </c>
      <c r="O22" s="1331">
        <f>RBBD!J7</f>
        <v>0</v>
      </c>
      <c r="P22" s="1331">
        <f>RBBD!K7</f>
        <v>0</v>
      </c>
      <c r="Q22" s="1331">
        <f>RBBD!L7</f>
        <v>0</v>
      </c>
      <c r="R22" s="1331">
        <f>RBBD!M7</f>
        <v>0</v>
      </c>
      <c r="S22" s="1331">
        <f>RBBD!N7</f>
        <v>0</v>
      </c>
      <c r="T22" s="1331">
        <f>RBBD!O7</f>
        <v>0</v>
      </c>
      <c r="U22" s="1331">
        <f>RBBD!P7</f>
        <v>0</v>
      </c>
      <c r="V22" s="1331">
        <f>RBBD!Q7</f>
        <v>0</v>
      </c>
      <c r="W22" s="1331">
        <f>RBBD!R7</f>
        <v>0</v>
      </c>
      <c r="X22" s="1331">
        <f>RBBD!S7</f>
        <v>0</v>
      </c>
      <c r="Y22" s="1331">
        <f>RBBD!T7</f>
        <v>0</v>
      </c>
      <c r="Z22" s="65"/>
      <c r="AA22" s="329">
        <f t="shared" si="1"/>
        <v>0</v>
      </c>
    </row>
    <row r="23" spans="2:27" hidden="1">
      <c r="B23" s="1331">
        <f>RBBD!B8</f>
        <v>0</v>
      </c>
      <c r="C23" s="1331">
        <f>RBBD!C8</f>
        <v>0</v>
      </c>
      <c r="D23" s="1331">
        <f>RBBD!D8</f>
        <v>0</v>
      </c>
      <c r="E23" s="1331">
        <f>RBBD!E8</f>
        <v>0</v>
      </c>
      <c r="F23" s="1331">
        <f>RBBD!F8</f>
        <v>0</v>
      </c>
      <c r="G23" s="1331">
        <f>RBBD!G8</f>
        <v>0</v>
      </c>
      <c r="H23" s="1331">
        <f>RBBD!H8</f>
        <v>0</v>
      </c>
      <c r="I23" s="1331">
        <f t="shared" si="2"/>
        <v>0</v>
      </c>
      <c r="J23" s="1331">
        <f t="shared" si="2"/>
        <v>0</v>
      </c>
      <c r="K23" s="1331">
        <f t="shared" si="2"/>
        <v>0</v>
      </c>
      <c r="L23" s="1331">
        <f t="shared" si="2"/>
        <v>0</v>
      </c>
      <c r="M23" s="1331">
        <f t="shared" si="3"/>
        <v>0</v>
      </c>
      <c r="N23" s="1331">
        <f>RBBD!I8</f>
        <v>0</v>
      </c>
      <c r="O23" s="1331">
        <f>RBBD!J8</f>
        <v>0</v>
      </c>
      <c r="P23" s="1331">
        <f>RBBD!K8</f>
        <v>0</v>
      </c>
      <c r="Q23" s="1331">
        <f>RBBD!L8</f>
        <v>0</v>
      </c>
      <c r="R23" s="1331">
        <f>RBBD!M8</f>
        <v>0</v>
      </c>
      <c r="S23" s="1331">
        <f>RBBD!N8</f>
        <v>0</v>
      </c>
      <c r="T23" s="1331">
        <f>RBBD!O8</f>
        <v>0</v>
      </c>
      <c r="U23" s="1331">
        <f>RBBD!P8</f>
        <v>0</v>
      </c>
      <c r="V23" s="1331">
        <f>RBBD!Q8</f>
        <v>0</v>
      </c>
      <c r="W23" s="1331">
        <f>RBBD!R8</f>
        <v>0</v>
      </c>
      <c r="X23" s="1331">
        <f>RBBD!S8</f>
        <v>0</v>
      </c>
      <c r="Y23" s="1331">
        <f>RBBD!T8</f>
        <v>0</v>
      </c>
      <c r="Z23" s="65"/>
      <c r="AA23" s="329">
        <f t="shared" si="1"/>
        <v>0</v>
      </c>
    </row>
    <row r="24" spans="2:27" hidden="1">
      <c r="B24" s="1331">
        <f>RBBD!B9</f>
        <v>0</v>
      </c>
      <c r="C24" s="1331">
        <f>RBBD!C9</f>
        <v>0</v>
      </c>
      <c r="D24" s="1331">
        <f>RBBD!D9</f>
        <v>0</v>
      </c>
      <c r="E24" s="1331">
        <f>RBBD!E9</f>
        <v>0</v>
      </c>
      <c r="F24" s="1331">
        <f>RBBD!F9</f>
        <v>0</v>
      </c>
      <c r="G24" s="1331">
        <f>RBBD!G9</f>
        <v>0</v>
      </c>
      <c r="H24" s="1331">
        <f>RBBD!H9</f>
        <v>0</v>
      </c>
      <c r="I24" s="1331">
        <f t="shared" si="2"/>
        <v>0</v>
      </c>
      <c r="J24" s="1331">
        <f t="shared" si="2"/>
        <v>0</v>
      </c>
      <c r="K24" s="1331">
        <f t="shared" si="2"/>
        <v>0</v>
      </c>
      <c r="L24" s="1331">
        <f t="shared" si="2"/>
        <v>0</v>
      </c>
      <c r="M24" s="1331">
        <f t="shared" si="3"/>
        <v>0</v>
      </c>
      <c r="N24" s="1331">
        <f>RBBD!I9</f>
        <v>0</v>
      </c>
      <c r="O24" s="1331">
        <f>RBBD!J9</f>
        <v>0</v>
      </c>
      <c r="P24" s="1331">
        <f>RBBD!K9</f>
        <v>0</v>
      </c>
      <c r="Q24" s="1331">
        <f>RBBD!L9</f>
        <v>0</v>
      </c>
      <c r="R24" s="1331">
        <f>RBBD!M9</f>
        <v>0</v>
      </c>
      <c r="S24" s="1331">
        <f>RBBD!N9</f>
        <v>0</v>
      </c>
      <c r="T24" s="1331">
        <f>RBBD!O9</f>
        <v>0</v>
      </c>
      <c r="U24" s="1331">
        <f>RBBD!P9</f>
        <v>0</v>
      </c>
      <c r="V24" s="1331">
        <f>RBBD!Q9</f>
        <v>0</v>
      </c>
      <c r="W24" s="1331">
        <f>RBBD!R9</f>
        <v>0</v>
      </c>
      <c r="X24" s="1331">
        <f>RBBD!S9</f>
        <v>0</v>
      </c>
      <c r="Y24" s="1331">
        <f>RBBD!T9</f>
        <v>0</v>
      </c>
      <c r="Z24" s="65"/>
      <c r="AA24" s="329">
        <f t="shared" ref="AA24:AA38" si="4">IF(B24=0,0,1)</f>
        <v>0</v>
      </c>
    </row>
    <row r="25" spans="2:27" hidden="1">
      <c r="B25" s="1331">
        <f>RBBD!B10</f>
        <v>0</v>
      </c>
      <c r="C25" s="1331">
        <f>RBBD!C10</f>
        <v>0</v>
      </c>
      <c r="D25" s="1331">
        <f>RBBD!D10</f>
        <v>0</v>
      </c>
      <c r="E25" s="1331">
        <f>RBBD!E10</f>
        <v>0</v>
      </c>
      <c r="F25" s="1331">
        <f>RBBD!F10</f>
        <v>0</v>
      </c>
      <c r="G25" s="1331">
        <f>RBBD!G10</f>
        <v>0</v>
      </c>
      <c r="H25" s="1331">
        <f>RBBD!H10</f>
        <v>0</v>
      </c>
      <c r="I25" s="1331">
        <f t="shared" si="2"/>
        <v>0</v>
      </c>
      <c r="J25" s="1331">
        <f t="shared" si="2"/>
        <v>0</v>
      </c>
      <c r="K25" s="1331">
        <f t="shared" si="2"/>
        <v>0</v>
      </c>
      <c r="L25" s="1331">
        <f t="shared" si="2"/>
        <v>0</v>
      </c>
      <c r="M25" s="1331">
        <f t="shared" si="3"/>
        <v>0</v>
      </c>
      <c r="N25" s="1331">
        <f>RBBD!I10</f>
        <v>0</v>
      </c>
      <c r="O25" s="1331">
        <f>RBBD!J10</f>
        <v>0</v>
      </c>
      <c r="P25" s="1331">
        <f>RBBD!K10</f>
        <v>0</v>
      </c>
      <c r="Q25" s="1331">
        <f>RBBD!L10</f>
        <v>0</v>
      </c>
      <c r="R25" s="1331">
        <f>RBBD!M10</f>
        <v>0</v>
      </c>
      <c r="S25" s="1331">
        <f>RBBD!N10</f>
        <v>0</v>
      </c>
      <c r="T25" s="1331">
        <f>RBBD!O10</f>
        <v>0</v>
      </c>
      <c r="U25" s="1331">
        <f>RBBD!P10</f>
        <v>0</v>
      </c>
      <c r="V25" s="1331">
        <f>RBBD!Q10</f>
        <v>0</v>
      </c>
      <c r="W25" s="1331">
        <f>RBBD!R10</f>
        <v>0</v>
      </c>
      <c r="X25" s="1331">
        <f>RBBD!S10</f>
        <v>0</v>
      </c>
      <c r="Y25" s="1331">
        <f>RBBD!T10</f>
        <v>0</v>
      </c>
      <c r="Z25" s="65"/>
      <c r="AA25" s="329">
        <f t="shared" si="4"/>
        <v>0</v>
      </c>
    </row>
    <row r="26" spans="2:27" hidden="1">
      <c r="B26" s="1331">
        <f>RBBD!B11</f>
        <v>0</v>
      </c>
      <c r="C26" s="1331">
        <f>RBBD!C11</f>
        <v>0</v>
      </c>
      <c r="D26" s="1331">
        <f>RBBD!D11</f>
        <v>0</v>
      </c>
      <c r="E26" s="1331">
        <f>RBBD!E11</f>
        <v>0</v>
      </c>
      <c r="F26" s="1331">
        <f>RBBD!F11</f>
        <v>0</v>
      </c>
      <c r="G26" s="1331">
        <f>RBBD!G11</f>
        <v>0</v>
      </c>
      <c r="H26" s="1331">
        <f>RBBD!H11</f>
        <v>0</v>
      </c>
      <c r="I26" s="1331">
        <f t="shared" si="2"/>
        <v>0</v>
      </c>
      <c r="J26" s="1331">
        <f t="shared" si="2"/>
        <v>0</v>
      </c>
      <c r="K26" s="1331">
        <f t="shared" si="2"/>
        <v>0</v>
      </c>
      <c r="L26" s="1331">
        <f t="shared" si="2"/>
        <v>0</v>
      </c>
      <c r="M26" s="1331">
        <f t="shared" si="3"/>
        <v>0</v>
      </c>
      <c r="N26" s="1331">
        <f>RBBD!I11</f>
        <v>0</v>
      </c>
      <c r="O26" s="1331">
        <f>RBBD!J11</f>
        <v>0</v>
      </c>
      <c r="P26" s="1331">
        <f>RBBD!K11</f>
        <v>0</v>
      </c>
      <c r="Q26" s="1331">
        <f>RBBD!L11</f>
        <v>0</v>
      </c>
      <c r="R26" s="1331">
        <f>RBBD!M11</f>
        <v>0</v>
      </c>
      <c r="S26" s="1331">
        <f>RBBD!N11</f>
        <v>0</v>
      </c>
      <c r="T26" s="1331">
        <f>RBBD!O11</f>
        <v>0</v>
      </c>
      <c r="U26" s="1331">
        <f>RBBD!P11</f>
        <v>0</v>
      </c>
      <c r="V26" s="1331">
        <f>RBBD!Q11</f>
        <v>0</v>
      </c>
      <c r="W26" s="1331">
        <f>RBBD!R11</f>
        <v>0</v>
      </c>
      <c r="X26" s="1331">
        <f>RBBD!S11</f>
        <v>0</v>
      </c>
      <c r="Y26" s="1331">
        <f>RBBD!T11</f>
        <v>0</v>
      </c>
      <c r="Z26" s="65"/>
      <c r="AA26" s="329">
        <f t="shared" si="4"/>
        <v>0</v>
      </c>
    </row>
    <row r="27" spans="2:27" hidden="1">
      <c r="B27" s="1331">
        <f>RBBD!B12</f>
        <v>0</v>
      </c>
      <c r="C27" s="1331">
        <f>RBBD!C12</f>
        <v>0</v>
      </c>
      <c r="D27" s="1331">
        <f>RBBD!D12</f>
        <v>0</v>
      </c>
      <c r="E27" s="1331">
        <f>RBBD!E12</f>
        <v>0</v>
      </c>
      <c r="F27" s="1331">
        <f>RBBD!F12</f>
        <v>0</v>
      </c>
      <c r="G27" s="1331">
        <f>RBBD!G12</f>
        <v>0</v>
      </c>
      <c r="H27" s="1331">
        <f>RBBD!H12</f>
        <v>0</v>
      </c>
      <c r="I27" s="1331">
        <f t="shared" si="2"/>
        <v>0</v>
      </c>
      <c r="J27" s="1331">
        <f t="shared" si="2"/>
        <v>0</v>
      </c>
      <c r="K27" s="1331">
        <f t="shared" si="2"/>
        <v>0</v>
      </c>
      <c r="L27" s="1331">
        <f t="shared" si="2"/>
        <v>0</v>
      </c>
      <c r="M27" s="1331">
        <f t="shared" si="3"/>
        <v>0</v>
      </c>
      <c r="N27" s="1331">
        <f>RBBD!I12</f>
        <v>0</v>
      </c>
      <c r="O27" s="1331">
        <f>RBBD!J12</f>
        <v>0</v>
      </c>
      <c r="P27" s="1331">
        <f>RBBD!K12</f>
        <v>0</v>
      </c>
      <c r="Q27" s="1331">
        <f>RBBD!L12</f>
        <v>0</v>
      </c>
      <c r="R27" s="1331">
        <f>RBBD!M12</f>
        <v>0</v>
      </c>
      <c r="S27" s="1331">
        <f>RBBD!N12</f>
        <v>0</v>
      </c>
      <c r="T27" s="1331">
        <f>RBBD!O12</f>
        <v>0</v>
      </c>
      <c r="U27" s="1331">
        <f>RBBD!P12</f>
        <v>0</v>
      </c>
      <c r="V27" s="1331">
        <f>RBBD!Q12</f>
        <v>0</v>
      </c>
      <c r="W27" s="1331">
        <f>RBBD!R12</f>
        <v>0</v>
      </c>
      <c r="X27" s="1331">
        <f>RBBD!S12</f>
        <v>0</v>
      </c>
      <c r="Y27" s="1331">
        <f>RBBD!T12</f>
        <v>0</v>
      </c>
      <c r="Z27" s="65"/>
      <c r="AA27" s="329">
        <f t="shared" si="4"/>
        <v>0</v>
      </c>
    </row>
    <row r="28" spans="2:27" hidden="1">
      <c r="B28" s="1331">
        <f>RBBD!B13</f>
        <v>0</v>
      </c>
      <c r="C28" s="1331">
        <f>RBBD!C13</f>
        <v>0</v>
      </c>
      <c r="D28" s="1331">
        <f>RBBD!D13</f>
        <v>0</v>
      </c>
      <c r="E28" s="1331">
        <f>RBBD!G13</f>
        <v>0</v>
      </c>
      <c r="F28" s="1331">
        <f>RBBD!H13</f>
        <v>0</v>
      </c>
      <c r="G28" s="1331">
        <f>RBBD!E13</f>
        <v>0</v>
      </c>
      <c r="H28" s="1331">
        <f>RBBD!F13</f>
        <v>0</v>
      </c>
      <c r="I28" s="1331">
        <f t="shared" si="2"/>
        <v>0</v>
      </c>
      <c r="J28" s="1331">
        <f t="shared" si="2"/>
        <v>0</v>
      </c>
      <c r="K28" s="1331">
        <f t="shared" si="2"/>
        <v>0</v>
      </c>
      <c r="L28" s="1331">
        <f t="shared" si="2"/>
        <v>0</v>
      </c>
      <c r="M28" s="1331">
        <f t="shared" si="3"/>
        <v>0</v>
      </c>
      <c r="N28" s="1331">
        <f>RBBD!I13</f>
        <v>0</v>
      </c>
      <c r="O28" s="1331">
        <f>RBBD!J13</f>
        <v>0</v>
      </c>
      <c r="P28" s="1331">
        <f>RBBD!K13</f>
        <v>0</v>
      </c>
      <c r="Q28" s="1331">
        <f>RBBD!L13</f>
        <v>0</v>
      </c>
      <c r="R28" s="1331">
        <f>RBBD!M13</f>
        <v>0</v>
      </c>
      <c r="S28" s="1331">
        <f>RBBD!N13</f>
        <v>0</v>
      </c>
      <c r="T28" s="1331">
        <f>RBBD!O13</f>
        <v>0</v>
      </c>
      <c r="U28" s="1331">
        <f>RBBD!P13</f>
        <v>0</v>
      </c>
      <c r="V28" s="1331">
        <f>RBBD!Q13</f>
        <v>0</v>
      </c>
      <c r="W28" s="1331">
        <f>RBBD!R13</f>
        <v>0</v>
      </c>
      <c r="X28" s="1331">
        <f>RBBD!S13</f>
        <v>0</v>
      </c>
      <c r="Y28" s="1331">
        <f>RBBD!T13</f>
        <v>0</v>
      </c>
      <c r="Z28" s="65"/>
      <c r="AA28" s="329">
        <f t="shared" si="4"/>
        <v>0</v>
      </c>
    </row>
    <row r="29" spans="2:27" hidden="1">
      <c r="B29" s="1331">
        <f>RBBD!B14</f>
        <v>0</v>
      </c>
      <c r="C29" s="1331">
        <f>RBBD!C14</f>
        <v>0</v>
      </c>
      <c r="D29" s="1331">
        <f>RBBD!D14</f>
        <v>0</v>
      </c>
      <c r="E29" s="1331">
        <f>RBBD!G14</f>
        <v>0</v>
      </c>
      <c r="F29" s="1331">
        <f>RBBD!H14</f>
        <v>0</v>
      </c>
      <c r="G29" s="1331">
        <f>RBBD!E14</f>
        <v>0</v>
      </c>
      <c r="H29" s="1331">
        <f>RBBD!F14</f>
        <v>0</v>
      </c>
      <c r="I29" s="1331">
        <f t="shared" si="2"/>
        <v>0</v>
      </c>
      <c r="J29" s="1331">
        <f t="shared" si="2"/>
        <v>0</v>
      </c>
      <c r="K29" s="1331">
        <f t="shared" si="2"/>
        <v>0</v>
      </c>
      <c r="L29" s="1331">
        <f t="shared" si="2"/>
        <v>0</v>
      </c>
      <c r="M29" s="1331">
        <f t="shared" si="3"/>
        <v>0</v>
      </c>
      <c r="N29" s="1331">
        <f>RBBD!I14</f>
        <v>0</v>
      </c>
      <c r="O29" s="1331">
        <f>RBBD!J14</f>
        <v>0</v>
      </c>
      <c r="P29" s="1331">
        <f>RBBD!K14</f>
        <v>0</v>
      </c>
      <c r="Q29" s="1331">
        <f>RBBD!L14</f>
        <v>0</v>
      </c>
      <c r="R29" s="1331">
        <f>RBBD!M14</f>
        <v>0</v>
      </c>
      <c r="S29" s="1331">
        <f>RBBD!N14</f>
        <v>0</v>
      </c>
      <c r="T29" s="1331">
        <f>RBBD!O14</f>
        <v>0</v>
      </c>
      <c r="U29" s="1331">
        <f>RBBD!P14</f>
        <v>0</v>
      </c>
      <c r="V29" s="1331">
        <f>RBBD!Q14</f>
        <v>0</v>
      </c>
      <c r="W29" s="1331">
        <f>RBBD!R14</f>
        <v>0</v>
      </c>
      <c r="X29" s="1331">
        <f>RBBD!S14</f>
        <v>0</v>
      </c>
      <c r="Y29" s="1331">
        <f>RBBD!T14</f>
        <v>0</v>
      </c>
      <c r="Z29" s="65"/>
      <c r="AA29" s="329">
        <f t="shared" si="4"/>
        <v>0</v>
      </c>
    </row>
    <row r="30" spans="2:27" hidden="1">
      <c r="B30" s="1331">
        <f>RBBD!B15</f>
        <v>0</v>
      </c>
      <c r="C30" s="1331">
        <f>RBBD!C15</f>
        <v>0</v>
      </c>
      <c r="D30" s="1331">
        <f>RBBD!D15</f>
        <v>0</v>
      </c>
      <c r="E30" s="1331">
        <f>RBBD!G15</f>
        <v>0</v>
      </c>
      <c r="F30" s="1331">
        <f>RBBD!H15</f>
        <v>0</v>
      </c>
      <c r="G30" s="1331">
        <f>RBBD!E15</f>
        <v>0</v>
      </c>
      <c r="H30" s="1331">
        <f>RBBD!F15</f>
        <v>0</v>
      </c>
      <c r="I30" s="1331">
        <f t="shared" si="2"/>
        <v>0</v>
      </c>
      <c r="J30" s="1331">
        <f t="shared" si="2"/>
        <v>0</v>
      </c>
      <c r="K30" s="1331">
        <f t="shared" si="2"/>
        <v>0</v>
      </c>
      <c r="L30" s="1331">
        <f t="shared" si="2"/>
        <v>0</v>
      </c>
      <c r="M30" s="1331">
        <f t="shared" si="3"/>
        <v>0</v>
      </c>
      <c r="N30" s="1331">
        <f>RBBD!I15</f>
        <v>0</v>
      </c>
      <c r="O30" s="1331">
        <f>RBBD!J15</f>
        <v>0</v>
      </c>
      <c r="P30" s="1331">
        <f>RBBD!K15</f>
        <v>0</v>
      </c>
      <c r="Q30" s="1331">
        <f>RBBD!L15</f>
        <v>0</v>
      </c>
      <c r="R30" s="1331">
        <f>RBBD!M15</f>
        <v>0</v>
      </c>
      <c r="S30" s="1331">
        <f>RBBD!N15</f>
        <v>0</v>
      </c>
      <c r="T30" s="1331">
        <f>RBBD!O15</f>
        <v>0</v>
      </c>
      <c r="U30" s="1331">
        <f>RBBD!P15</f>
        <v>0</v>
      </c>
      <c r="V30" s="1331">
        <f>RBBD!Q15</f>
        <v>0</v>
      </c>
      <c r="W30" s="1331">
        <f>RBBD!R15</f>
        <v>0</v>
      </c>
      <c r="X30" s="1331">
        <f>RBBD!S15</f>
        <v>0</v>
      </c>
      <c r="Y30" s="1331">
        <f>RBBD!T15</f>
        <v>0</v>
      </c>
      <c r="Z30" s="65"/>
      <c r="AA30" s="329">
        <f t="shared" si="4"/>
        <v>0</v>
      </c>
    </row>
    <row r="31" spans="2:27" hidden="1">
      <c r="B31" s="1331">
        <f>RBBD!B16</f>
        <v>0</v>
      </c>
      <c r="C31" s="1331">
        <f>RBBD!C16</f>
        <v>0</v>
      </c>
      <c r="D31" s="1331">
        <f>RBBD!D16</f>
        <v>0</v>
      </c>
      <c r="E31" s="1331">
        <f>RBBD!G16</f>
        <v>0</v>
      </c>
      <c r="F31" s="1331">
        <f>RBBD!H16</f>
        <v>0</v>
      </c>
      <c r="G31" s="1331">
        <f>RBBD!E16</f>
        <v>0</v>
      </c>
      <c r="H31" s="1331">
        <f>RBBD!F16</f>
        <v>0</v>
      </c>
      <c r="I31" s="1331">
        <f t="shared" si="2"/>
        <v>0</v>
      </c>
      <c r="J31" s="1331">
        <f t="shared" si="2"/>
        <v>0</v>
      </c>
      <c r="K31" s="1331">
        <f t="shared" si="2"/>
        <v>0</v>
      </c>
      <c r="L31" s="1331">
        <f t="shared" si="2"/>
        <v>0</v>
      </c>
      <c r="M31" s="1331">
        <f t="shared" si="3"/>
        <v>0</v>
      </c>
      <c r="N31" s="1331">
        <f>RBBD!I16</f>
        <v>0</v>
      </c>
      <c r="O31" s="1331">
        <f>RBBD!J16</f>
        <v>0</v>
      </c>
      <c r="P31" s="1331">
        <f>RBBD!K16</f>
        <v>0</v>
      </c>
      <c r="Q31" s="1331">
        <f>RBBD!L16</f>
        <v>0</v>
      </c>
      <c r="R31" s="1331">
        <f>RBBD!M16</f>
        <v>0</v>
      </c>
      <c r="S31" s="1331">
        <f>RBBD!N16</f>
        <v>0</v>
      </c>
      <c r="T31" s="1331">
        <f>RBBD!O16</f>
        <v>0</v>
      </c>
      <c r="U31" s="1331">
        <f>RBBD!P16</f>
        <v>0</v>
      </c>
      <c r="V31" s="1331">
        <f>RBBD!Q16</f>
        <v>0</v>
      </c>
      <c r="W31" s="1331">
        <f>RBBD!R16</f>
        <v>0</v>
      </c>
      <c r="X31" s="1331">
        <f>RBBD!S16</f>
        <v>0</v>
      </c>
      <c r="Y31" s="1331">
        <f>RBBD!T16</f>
        <v>0</v>
      </c>
      <c r="Z31" s="65"/>
      <c r="AA31" s="329">
        <f t="shared" si="4"/>
        <v>0</v>
      </c>
    </row>
    <row r="32" spans="2:27" hidden="1">
      <c r="B32" s="1331">
        <f>RBBD!B17</f>
        <v>0</v>
      </c>
      <c r="C32" s="1331">
        <f>RBBD!C17</f>
        <v>0</v>
      </c>
      <c r="D32" s="1331">
        <f>RBBD!D17</f>
        <v>0</v>
      </c>
      <c r="E32" s="1331">
        <f>RBBD!G17</f>
        <v>0</v>
      </c>
      <c r="F32" s="1331">
        <f>RBBD!H17</f>
        <v>0</v>
      </c>
      <c r="G32" s="1331">
        <f>RBBD!E17</f>
        <v>0</v>
      </c>
      <c r="H32" s="1331">
        <f>RBBD!F17</f>
        <v>0</v>
      </c>
      <c r="I32" s="1331">
        <f t="shared" si="2"/>
        <v>0</v>
      </c>
      <c r="J32" s="1331">
        <f t="shared" si="2"/>
        <v>0</v>
      </c>
      <c r="K32" s="1331">
        <f t="shared" si="2"/>
        <v>0</v>
      </c>
      <c r="L32" s="1331">
        <f t="shared" si="2"/>
        <v>0</v>
      </c>
      <c r="M32" s="1331">
        <f t="shared" si="3"/>
        <v>0</v>
      </c>
      <c r="N32" s="1331">
        <f>RBBD!I17</f>
        <v>0</v>
      </c>
      <c r="O32" s="1331">
        <f>RBBD!J17</f>
        <v>0</v>
      </c>
      <c r="P32" s="1331">
        <f>RBBD!K17</f>
        <v>0</v>
      </c>
      <c r="Q32" s="1331">
        <f>RBBD!L17</f>
        <v>0</v>
      </c>
      <c r="R32" s="1331">
        <f>RBBD!M17</f>
        <v>0</v>
      </c>
      <c r="S32" s="1331">
        <f>RBBD!N17</f>
        <v>0</v>
      </c>
      <c r="T32" s="1331">
        <f>RBBD!O17</f>
        <v>0</v>
      </c>
      <c r="U32" s="1331">
        <f>RBBD!P17</f>
        <v>0</v>
      </c>
      <c r="V32" s="1331">
        <f>RBBD!Q17</f>
        <v>0</v>
      </c>
      <c r="W32" s="1331">
        <f>RBBD!R17</f>
        <v>0</v>
      </c>
      <c r="X32" s="1331">
        <f>RBBD!S17</f>
        <v>0</v>
      </c>
      <c r="Y32" s="1331">
        <f>RBBD!T17</f>
        <v>0</v>
      </c>
      <c r="Z32" s="65"/>
      <c r="AA32" s="329">
        <f t="shared" si="4"/>
        <v>0</v>
      </c>
    </row>
    <row r="33" spans="2:27" hidden="1">
      <c r="B33" s="1331">
        <f>RBBD!B18</f>
        <v>0</v>
      </c>
      <c r="C33" s="1331">
        <f>RBBD!C18</f>
        <v>0</v>
      </c>
      <c r="D33" s="1331">
        <f>RBBD!D18</f>
        <v>0</v>
      </c>
      <c r="E33" s="1331">
        <f>RBBD!G18</f>
        <v>0</v>
      </c>
      <c r="F33" s="1331">
        <f>RBBD!H18</f>
        <v>0</v>
      </c>
      <c r="G33" s="1331">
        <f>RBBD!E18</f>
        <v>0</v>
      </c>
      <c r="H33" s="1331">
        <f>RBBD!F18</f>
        <v>0</v>
      </c>
      <c r="I33" s="1331">
        <f t="shared" si="2"/>
        <v>0</v>
      </c>
      <c r="J33" s="1331">
        <f t="shared" si="2"/>
        <v>0</v>
      </c>
      <c r="K33" s="1331">
        <f t="shared" si="2"/>
        <v>0</v>
      </c>
      <c r="L33" s="1331">
        <f t="shared" si="2"/>
        <v>0</v>
      </c>
      <c r="M33" s="1331">
        <f t="shared" si="3"/>
        <v>0</v>
      </c>
      <c r="N33" s="1331">
        <f>RBBD!I18</f>
        <v>0</v>
      </c>
      <c r="O33" s="1331">
        <f>RBBD!J18</f>
        <v>0</v>
      </c>
      <c r="P33" s="1331">
        <f>RBBD!K18</f>
        <v>0</v>
      </c>
      <c r="Q33" s="1331">
        <f>RBBD!L18</f>
        <v>0</v>
      </c>
      <c r="R33" s="1331">
        <f>RBBD!M18</f>
        <v>0</v>
      </c>
      <c r="S33" s="1331">
        <f>RBBD!N18</f>
        <v>0</v>
      </c>
      <c r="T33" s="1331">
        <f>RBBD!O18</f>
        <v>0</v>
      </c>
      <c r="U33" s="1331">
        <f>RBBD!P18</f>
        <v>0</v>
      </c>
      <c r="V33" s="1331">
        <f>RBBD!Q18</f>
        <v>0</v>
      </c>
      <c r="W33" s="1331">
        <f>RBBD!R18</f>
        <v>0</v>
      </c>
      <c r="X33" s="1331">
        <f>RBBD!S18</f>
        <v>0</v>
      </c>
      <c r="Y33" s="1331">
        <f>RBBD!T18</f>
        <v>0</v>
      </c>
      <c r="Z33" s="65"/>
      <c r="AA33" s="329">
        <f t="shared" si="4"/>
        <v>0</v>
      </c>
    </row>
    <row r="34" spans="2:27" hidden="1">
      <c r="B34" s="1331">
        <f>RBBD!B19</f>
        <v>0</v>
      </c>
      <c r="C34" s="1331">
        <f>RBBD!C19</f>
        <v>0</v>
      </c>
      <c r="D34" s="1331">
        <f>RBBD!D19</f>
        <v>0</v>
      </c>
      <c r="E34" s="1331">
        <f>RBBD!G19</f>
        <v>0</v>
      </c>
      <c r="F34" s="1331">
        <f>RBBD!H19</f>
        <v>0</v>
      </c>
      <c r="G34" s="1331">
        <f>RBBD!E19</f>
        <v>0</v>
      </c>
      <c r="H34" s="1331">
        <f>RBBD!F19</f>
        <v>0</v>
      </c>
      <c r="I34" s="1331">
        <f t="shared" si="2"/>
        <v>0</v>
      </c>
      <c r="J34" s="1331">
        <f t="shared" si="2"/>
        <v>0</v>
      </c>
      <c r="K34" s="1331">
        <f t="shared" si="2"/>
        <v>0</v>
      </c>
      <c r="L34" s="1331">
        <f t="shared" si="2"/>
        <v>0</v>
      </c>
      <c r="M34" s="1331">
        <f t="shared" si="3"/>
        <v>0</v>
      </c>
      <c r="N34" s="1331">
        <f>RBBD!I19</f>
        <v>0</v>
      </c>
      <c r="O34" s="1331">
        <f>RBBD!J19</f>
        <v>0</v>
      </c>
      <c r="P34" s="1331">
        <f>RBBD!K19</f>
        <v>0</v>
      </c>
      <c r="Q34" s="1331">
        <f>RBBD!L19</f>
        <v>0</v>
      </c>
      <c r="R34" s="1331">
        <f>RBBD!M19</f>
        <v>0</v>
      </c>
      <c r="S34" s="1331">
        <f>RBBD!N19</f>
        <v>0</v>
      </c>
      <c r="T34" s="1331">
        <f>RBBD!O19</f>
        <v>0</v>
      </c>
      <c r="U34" s="1331">
        <f>RBBD!P19</f>
        <v>0</v>
      </c>
      <c r="V34" s="1331">
        <f>RBBD!Q19</f>
        <v>0</v>
      </c>
      <c r="W34" s="1331">
        <f>RBBD!R19</f>
        <v>0</v>
      </c>
      <c r="X34" s="1331">
        <f>RBBD!S19</f>
        <v>0</v>
      </c>
      <c r="Y34" s="1331">
        <f>RBBD!T19</f>
        <v>0</v>
      </c>
      <c r="Z34" s="65"/>
      <c r="AA34" s="329">
        <f t="shared" si="4"/>
        <v>0</v>
      </c>
    </row>
    <row r="35" spans="2:27" hidden="1">
      <c r="B35" s="1331">
        <f>RBBD!B20</f>
        <v>0</v>
      </c>
      <c r="C35" s="1331">
        <f>RBBD!C20</f>
        <v>0</v>
      </c>
      <c r="D35" s="1331">
        <f>RBBD!D20</f>
        <v>0</v>
      </c>
      <c r="E35" s="1331">
        <f>RBBD!G20</f>
        <v>0</v>
      </c>
      <c r="F35" s="1331">
        <f>RBBD!H20</f>
        <v>0</v>
      </c>
      <c r="G35" s="1331">
        <f>RBBD!E20</f>
        <v>0</v>
      </c>
      <c r="H35" s="1331">
        <f>RBBD!F20</f>
        <v>0</v>
      </c>
      <c r="I35" s="1331">
        <f t="shared" si="2"/>
        <v>0</v>
      </c>
      <c r="J35" s="1331">
        <f t="shared" si="2"/>
        <v>0</v>
      </c>
      <c r="K35" s="1331">
        <f t="shared" si="2"/>
        <v>0</v>
      </c>
      <c r="L35" s="1331">
        <f t="shared" si="2"/>
        <v>0</v>
      </c>
      <c r="M35" s="1331">
        <f t="shared" si="3"/>
        <v>0</v>
      </c>
      <c r="N35" s="1331">
        <f>RBBD!I20</f>
        <v>0</v>
      </c>
      <c r="O35" s="1331">
        <f>RBBD!J20</f>
        <v>0</v>
      </c>
      <c r="P35" s="1331">
        <f>RBBD!K20</f>
        <v>0</v>
      </c>
      <c r="Q35" s="1331">
        <f>RBBD!L20</f>
        <v>0</v>
      </c>
      <c r="R35" s="1331">
        <f>RBBD!M20</f>
        <v>0</v>
      </c>
      <c r="S35" s="1331">
        <f>RBBD!N20</f>
        <v>0</v>
      </c>
      <c r="T35" s="1331">
        <f>RBBD!O20</f>
        <v>0</v>
      </c>
      <c r="U35" s="1331">
        <f>RBBD!P20</f>
        <v>0</v>
      </c>
      <c r="V35" s="1331">
        <f>RBBD!Q20</f>
        <v>0</v>
      </c>
      <c r="W35" s="1331">
        <f>RBBD!R20</f>
        <v>0</v>
      </c>
      <c r="X35" s="1331">
        <f>RBBD!S20</f>
        <v>0</v>
      </c>
      <c r="Y35" s="1331">
        <f>RBBD!T20</f>
        <v>0</v>
      </c>
      <c r="Z35" s="65"/>
      <c r="AA35" s="329">
        <f t="shared" si="4"/>
        <v>0</v>
      </c>
    </row>
    <row r="36" spans="2:27" hidden="1">
      <c r="B36" s="1331">
        <f>RBBD!B21</f>
        <v>0</v>
      </c>
      <c r="C36" s="1331">
        <f>RBBD!C21</f>
        <v>0</v>
      </c>
      <c r="D36" s="1331">
        <f>RBBD!D21</f>
        <v>0</v>
      </c>
      <c r="E36" s="1331">
        <f>RBBD!G21</f>
        <v>0</v>
      </c>
      <c r="F36" s="1331">
        <f>RBBD!H21</f>
        <v>0</v>
      </c>
      <c r="G36" s="1331">
        <f>RBBD!E21</f>
        <v>0</v>
      </c>
      <c r="H36" s="1331">
        <f>RBBD!F21</f>
        <v>0</v>
      </c>
      <c r="I36" s="1331">
        <f t="shared" si="2"/>
        <v>0</v>
      </c>
      <c r="J36" s="1331">
        <f t="shared" si="2"/>
        <v>0</v>
      </c>
      <c r="K36" s="1331">
        <f t="shared" si="2"/>
        <v>0</v>
      </c>
      <c r="L36" s="1331">
        <f t="shared" si="2"/>
        <v>0</v>
      </c>
      <c r="M36" s="1331">
        <f t="shared" si="3"/>
        <v>0</v>
      </c>
      <c r="N36" s="1331">
        <f>RBBD!I21</f>
        <v>0</v>
      </c>
      <c r="O36" s="1331">
        <f>RBBD!J21</f>
        <v>0</v>
      </c>
      <c r="P36" s="1331">
        <f>RBBD!K21</f>
        <v>0</v>
      </c>
      <c r="Q36" s="1331">
        <f>RBBD!L21</f>
        <v>0</v>
      </c>
      <c r="R36" s="1331">
        <f>RBBD!M21</f>
        <v>0</v>
      </c>
      <c r="S36" s="1331">
        <f>RBBD!N21</f>
        <v>0</v>
      </c>
      <c r="T36" s="1331">
        <f>RBBD!O21</f>
        <v>0</v>
      </c>
      <c r="U36" s="1331">
        <f>RBBD!P21</f>
        <v>0</v>
      </c>
      <c r="V36" s="1331">
        <f>RBBD!Q21</f>
        <v>0</v>
      </c>
      <c r="W36" s="1331">
        <f>RBBD!R21</f>
        <v>0</v>
      </c>
      <c r="X36" s="1331">
        <f>RBBD!S21</f>
        <v>0</v>
      </c>
      <c r="Y36" s="1331">
        <f>RBBD!T21</f>
        <v>0</v>
      </c>
      <c r="Z36" s="65"/>
      <c r="AA36" s="329">
        <f t="shared" si="4"/>
        <v>0</v>
      </c>
    </row>
    <row r="37" spans="2:27" hidden="1">
      <c r="B37" s="1331">
        <f>RBBD!B22</f>
        <v>0</v>
      </c>
      <c r="C37" s="1331">
        <f>RBBD!C22</f>
        <v>0</v>
      </c>
      <c r="D37" s="1331">
        <f>RBBD!D22</f>
        <v>0</v>
      </c>
      <c r="E37" s="1331">
        <f>RBBD!G22</f>
        <v>0</v>
      </c>
      <c r="F37" s="1331">
        <f>RBBD!H22</f>
        <v>0</v>
      </c>
      <c r="G37" s="1331">
        <f>RBBD!E22</f>
        <v>0</v>
      </c>
      <c r="H37" s="1331">
        <f>RBBD!F22</f>
        <v>0</v>
      </c>
      <c r="I37" s="1331">
        <f t="shared" si="2"/>
        <v>0</v>
      </c>
      <c r="J37" s="1331">
        <f t="shared" si="2"/>
        <v>0</v>
      </c>
      <c r="K37" s="1331">
        <f t="shared" si="2"/>
        <v>0</v>
      </c>
      <c r="L37" s="1331">
        <f t="shared" si="2"/>
        <v>0</v>
      </c>
      <c r="M37" s="1331">
        <f t="shared" si="3"/>
        <v>0</v>
      </c>
      <c r="N37" s="1331">
        <f>RBBD!I22</f>
        <v>0</v>
      </c>
      <c r="O37" s="1331">
        <f>RBBD!J22</f>
        <v>0</v>
      </c>
      <c r="P37" s="1331">
        <f>RBBD!K22</f>
        <v>0</v>
      </c>
      <c r="Q37" s="1331">
        <f>RBBD!L22</f>
        <v>0</v>
      </c>
      <c r="R37" s="1331">
        <f>RBBD!M22</f>
        <v>0</v>
      </c>
      <c r="S37" s="1331">
        <f>RBBD!N22</f>
        <v>0</v>
      </c>
      <c r="T37" s="1331">
        <f>RBBD!O22</f>
        <v>0</v>
      </c>
      <c r="U37" s="1331">
        <f>RBBD!P22</f>
        <v>0</v>
      </c>
      <c r="V37" s="1331">
        <f>RBBD!Q22</f>
        <v>0</v>
      </c>
      <c r="W37" s="1331">
        <f>RBBD!R22</f>
        <v>0</v>
      </c>
      <c r="X37" s="1331">
        <f>RBBD!S22</f>
        <v>0</v>
      </c>
      <c r="Y37" s="1331">
        <f>RBBD!T22</f>
        <v>0</v>
      </c>
      <c r="Z37" s="65"/>
      <c r="AA37" s="329">
        <f t="shared" si="4"/>
        <v>0</v>
      </c>
    </row>
    <row r="38" spans="2:27" hidden="1">
      <c r="B38" s="1331">
        <f>RBBD!B23</f>
        <v>0</v>
      </c>
      <c r="C38" s="1331">
        <f>RBBD!C23</f>
        <v>0</v>
      </c>
      <c r="D38" s="1331">
        <f>RBBD!D23</f>
        <v>0</v>
      </c>
      <c r="E38" s="1331">
        <f>RBBD!G23</f>
        <v>0</v>
      </c>
      <c r="F38" s="1331">
        <f>RBBD!H23</f>
        <v>0</v>
      </c>
      <c r="G38" s="1331">
        <f>RBBD!E23</f>
        <v>0</v>
      </c>
      <c r="H38" s="1331">
        <f>RBBD!F23</f>
        <v>0</v>
      </c>
      <c r="I38" s="1331">
        <f t="shared" si="2"/>
        <v>0</v>
      </c>
      <c r="J38" s="1331">
        <f t="shared" si="2"/>
        <v>0</v>
      </c>
      <c r="K38" s="1331">
        <f t="shared" si="2"/>
        <v>0</v>
      </c>
      <c r="L38" s="1331">
        <f t="shared" si="2"/>
        <v>0</v>
      </c>
      <c r="M38" s="1331">
        <f t="shared" si="3"/>
        <v>0</v>
      </c>
      <c r="N38" s="1331">
        <f>RBBD!I23</f>
        <v>0</v>
      </c>
      <c r="O38" s="1331">
        <f>RBBD!J23</f>
        <v>0</v>
      </c>
      <c r="P38" s="1331">
        <f>RBBD!K23</f>
        <v>0</v>
      </c>
      <c r="Q38" s="1331">
        <f>RBBD!L23</f>
        <v>0</v>
      </c>
      <c r="R38" s="1331">
        <f>RBBD!M23</f>
        <v>0</v>
      </c>
      <c r="S38" s="1331">
        <f>RBBD!N23</f>
        <v>0</v>
      </c>
      <c r="T38" s="1331">
        <f>RBBD!O23</f>
        <v>0</v>
      </c>
      <c r="U38" s="1331">
        <f>RBBD!P23</f>
        <v>0</v>
      </c>
      <c r="V38" s="1331">
        <f>RBBD!Q23</f>
        <v>0</v>
      </c>
      <c r="W38" s="1331">
        <f>RBBD!R23</f>
        <v>0</v>
      </c>
      <c r="X38" s="1331">
        <f>RBBD!S23</f>
        <v>0</v>
      </c>
      <c r="Y38" s="1331">
        <f>RBBD!T23</f>
        <v>0</v>
      </c>
      <c r="Z38" s="65"/>
      <c r="AA38" s="329">
        <f t="shared" si="4"/>
        <v>0</v>
      </c>
    </row>
    <row r="39" spans="2:27" hidden="1">
      <c r="B39" s="1331">
        <f>RBBD!B24</f>
        <v>0</v>
      </c>
      <c r="C39" s="1331">
        <f>RBBD!C24</f>
        <v>0</v>
      </c>
      <c r="D39" s="1331">
        <f>RBBD!D24</f>
        <v>0</v>
      </c>
      <c r="E39" s="1331">
        <f>RBBD!G24</f>
        <v>0</v>
      </c>
      <c r="F39" s="1331">
        <f>RBBD!H24</f>
        <v>0</v>
      </c>
      <c r="G39" s="1331">
        <f>RBBD!E24</f>
        <v>0</v>
      </c>
      <c r="H39" s="1331">
        <f>RBBD!F24</f>
        <v>0</v>
      </c>
      <c r="I39" s="1331">
        <f t="shared" si="2"/>
        <v>0</v>
      </c>
      <c r="J39" s="1331">
        <f t="shared" si="2"/>
        <v>0</v>
      </c>
      <c r="K39" s="1331">
        <f t="shared" si="2"/>
        <v>0</v>
      </c>
      <c r="L39" s="1331">
        <f t="shared" si="2"/>
        <v>0</v>
      </c>
      <c r="M39" s="1331">
        <f t="shared" si="3"/>
        <v>0</v>
      </c>
      <c r="N39" s="1331">
        <f>RBBD!I24</f>
        <v>0</v>
      </c>
      <c r="O39" s="1331">
        <f>RBBD!J24</f>
        <v>0</v>
      </c>
      <c r="P39" s="1331">
        <f>RBBD!K24</f>
        <v>0</v>
      </c>
      <c r="Q39" s="1331">
        <f>RBBD!L24</f>
        <v>0</v>
      </c>
      <c r="R39" s="1331">
        <f>RBBD!M24</f>
        <v>0</v>
      </c>
      <c r="S39" s="1331">
        <f>RBBD!N24</f>
        <v>0</v>
      </c>
      <c r="T39" s="1331">
        <f>RBBD!O24</f>
        <v>0</v>
      </c>
      <c r="U39" s="1331">
        <f>RBBD!P24</f>
        <v>0</v>
      </c>
      <c r="V39" s="1331">
        <f>RBBD!Q24</f>
        <v>0</v>
      </c>
      <c r="W39" s="1331">
        <f>RBBD!R24</f>
        <v>0</v>
      </c>
      <c r="X39" s="1331">
        <f>RBBD!S24</f>
        <v>0</v>
      </c>
      <c r="Y39" s="1331">
        <f>RBBD!T24</f>
        <v>0</v>
      </c>
      <c r="Z39" s="65"/>
      <c r="AA39" s="329">
        <f t="shared" ref="AA39:AA60" si="5">IF(B39=0,0,1)</f>
        <v>0</v>
      </c>
    </row>
    <row r="40" spans="2:27" hidden="1">
      <c r="B40" s="1331">
        <f>RBBD!B25</f>
        <v>0</v>
      </c>
      <c r="C40" s="1331">
        <f>RBBD!C25</f>
        <v>0</v>
      </c>
      <c r="D40" s="1331">
        <f>RBBD!D25</f>
        <v>0</v>
      </c>
      <c r="E40" s="1331">
        <f>RBBD!G25</f>
        <v>0</v>
      </c>
      <c r="F40" s="1331">
        <f>RBBD!H25</f>
        <v>0</v>
      </c>
      <c r="G40" s="1331">
        <f>RBBD!E25</f>
        <v>0</v>
      </c>
      <c r="H40" s="1331">
        <f>RBBD!F25</f>
        <v>0</v>
      </c>
      <c r="I40" s="1331">
        <f t="shared" si="2"/>
        <v>0</v>
      </c>
      <c r="J40" s="1331">
        <f t="shared" si="2"/>
        <v>0</v>
      </c>
      <c r="K40" s="1331">
        <f t="shared" si="2"/>
        <v>0</v>
      </c>
      <c r="L40" s="1331">
        <f t="shared" si="2"/>
        <v>0</v>
      </c>
      <c r="M40" s="1331">
        <f t="shared" si="3"/>
        <v>0</v>
      </c>
      <c r="N40" s="1331">
        <f>RBBD!I25</f>
        <v>0</v>
      </c>
      <c r="O40" s="1331">
        <f>RBBD!J25</f>
        <v>0</v>
      </c>
      <c r="P40" s="1331">
        <f>RBBD!K25</f>
        <v>0</v>
      </c>
      <c r="Q40" s="1331">
        <f>RBBD!L25</f>
        <v>0</v>
      </c>
      <c r="R40" s="1331">
        <f>RBBD!M25</f>
        <v>0</v>
      </c>
      <c r="S40" s="1331">
        <f>RBBD!N25</f>
        <v>0</v>
      </c>
      <c r="T40" s="1331">
        <f>RBBD!O25</f>
        <v>0</v>
      </c>
      <c r="U40" s="1331">
        <f>RBBD!P25</f>
        <v>0</v>
      </c>
      <c r="V40" s="1331">
        <f>RBBD!Q25</f>
        <v>0</v>
      </c>
      <c r="W40" s="1331">
        <f>RBBD!R25</f>
        <v>0</v>
      </c>
      <c r="X40" s="1331">
        <f>RBBD!S25</f>
        <v>0</v>
      </c>
      <c r="Y40" s="1331">
        <f>RBBD!T25</f>
        <v>0</v>
      </c>
      <c r="Z40" s="65"/>
      <c r="AA40" s="329">
        <f t="shared" si="5"/>
        <v>0</v>
      </c>
    </row>
    <row r="41" spans="2:27" hidden="1">
      <c r="B41" s="1331">
        <f>RBBD!B26</f>
        <v>0</v>
      </c>
      <c r="C41" s="1331">
        <f>RBBD!C26</f>
        <v>0</v>
      </c>
      <c r="D41" s="1331">
        <f>RBBD!D26</f>
        <v>0</v>
      </c>
      <c r="E41" s="1331">
        <f>RBBD!G26</f>
        <v>0</v>
      </c>
      <c r="F41" s="1331">
        <f>RBBD!H26</f>
        <v>0</v>
      </c>
      <c r="G41" s="1331">
        <f>RBBD!E26</f>
        <v>0</v>
      </c>
      <c r="H41" s="1331">
        <f>RBBD!F26</f>
        <v>0</v>
      </c>
      <c r="I41" s="1331">
        <f t="shared" si="2"/>
        <v>0</v>
      </c>
      <c r="J41" s="1331">
        <f t="shared" si="2"/>
        <v>0</v>
      </c>
      <c r="K41" s="1331">
        <f t="shared" si="2"/>
        <v>0</v>
      </c>
      <c r="L41" s="1331">
        <f t="shared" si="2"/>
        <v>0</v>
      </c>
      <c r="M41" s="1331">
        <f t="shared" si="3"/>
        <v>0</v>
      </c>
      <c r="N41" s="1331">
        <f>RBBD!I26</f>
        <v>0</v>
      </c>
      <c r="O41" s="1331">
        <f>RBBD!J26</f>
        <v>0</v>
      </c>
      <c r="P41" s="1331">
        <f>RBBD!K26</f>
        <v>0</v>
      </c>
      <c r="Q41" s="1331">
        <f>RBBD!L26</f>
        <v>0</v>
      </c>
      <c r="R41" s="1331">
        <f>RBBD!M26</f>
        <v>0</v>
      </c>
      <c r="S41" s="1331">
        <f>RBBD!N26</f>
        <v>0</v>
      </c>
      <c r="T41" s="1331">
        <f>RBBD!O26</f>
        <v>0</v>
      </c>
      <c r="U41" s="1331">
        <f>RBBD!P26</f>
        <v>0</v>
      </c>
      <c r="V41" s="1331">
        <f>RBBD!Q26</f>
        <v>0</v>
      </c>
      <c r="W41" s="1331">
        <f>RBBD!R26</f>
        <v>0</v>
      </c>
      <c r="X41" s="1331">
        <f>RBBD!S26</f>
        <v>0</v>
      </c>
      <c r="Y41" s="1331">
        <f>RBBD!T26</f>
        <v>0</v>
      </c>
      <c r="Z41" s="65"/>
      <c r="AA41" s="329">
        <f t="shared" si="5"/>
        <v>0</v>
      </c>
    </row>
    <row r="42" spans="2:27" hidden="1">
      <c r="B42" s="1331">
        <f>RBBD!B27</f>
        <v>0</v>
      </c>
      <c r="C42" s="1331">
        <f>RBBD!C27</f>
        <v>0</v>
      </c>
      <c r="D42" s="1331">
        <f>RBBD!D27</f>
        <v>0</v>
      </c>
      <c r="E42" s="1331">
        <f>RBBD!G27</f>
        <v>0</v>
      </c>
      <c r="F42" s="1331">
        <f>RBBD!H27</f>
        <v>0</v>
      </c>
      <c r="G42" s="1331">
        <f>RBBD!E27</f>
        <v>0</v>
      </c>
      <c r="H42" s="1331">
        <f>RBBD!F27</f>
        <v>0</v>
      </c>
      <c r="I42" s="1331">
        <f t="shared" si="2"/>
        <v>0</v>
      </c>
      <c r="J42" s="1331">
        <f t="shared" si="2"/>
        <v>0</v>
      </c>
      <c r="K42" s="1331">
        <f t="shared" si="2"/>
        <v>0</v>
      </c>
      <c r="L42" s="1331">
        <f t="shared" si="2"/>
        <v>0</v>
      </c>
      <c r="M42" s="1331">
        <f t="shared" si="3"/>
        <v>0</v>
      </c>
      <c r="N42" s="1331">
        <f>RBBD!I27</f>
        <v>0</v>
      </c>
      <c r="O42" s="1331">
        <f>RBBD!J27</f>
        <v>0</v>
      </c>
      <c r="P42" s="1331">
        <f>RBBD!K27</f>
        <v>0</v>
      </c>
      <c r="Q42" s="1331">
        <f>RBBD!L27</f>
        <v>0</v>
      </c>
      <c r="R42" s="1331">
        <f>RBBD!M27</f>
        <v>0</v>
      </c>
      <c r="S42" s="1331">
        <f>RBBD!N27</f>
        <v>0</v>
      </c>
      <c r="T42" s="1331">
        <f>RBBD!O27</f>
        <v>0</v>
      </c>
      <c r="U42" s="1331">
        <f>RBBD!P27</f>
        <v>0</v>
      </c>
      <c r="V42" s="1331">
        <f>RBBD!Q27</f>
        <v>0</v>
      </c>
      <c r="W42" s="1331">
        <f>RBBD!R27</f>
        <v>0</v>
      </c>
      <c r="X42" s="1331">
        <f>RBBD!S27</f>
        <v>0</v>
      </c>
      <c r="Y42" s="1331">
        <f>RBBD!T27</f>
        <v>0</v>
      </c>
      <c r="Z42" s="65"/>
      <c r="AA42" s="329">
        <f t="shared" si="5"/>
        <v>0</v>
      </c>
    </row>
    <row r="43" spans="2:27" hidden="1">
      <c r="B43" s="1331">
        <f>RBBD!B28</f>
        <v>0</v>
      </c>
      <c r="C43" s="1331">
        <f>RBBD!C28</f>
        <v>0</v>
      </c>
      <c r="D43" s="1331">
        <f>RBBD!D28</f>
        <v>0</v>
      </c>
      <c r="E43" s="1331">
        <f>RBBD!G28</f>
        <v>0</v>
      </c>
      <c r="F43" s="1331">
        <f>RBBD!H28</f>
        <v>0</v>
      </c>
      <c r="G43" s="1331">
        <f>RBBD!E28</f>
        <v>0</v>
      </c>
      <c r="H43" s="1331">
        <f>RBBD!F28</f>
        <v>0</v>
      </c>
      <c r="I43" s="1331">
        <f t="shared" si="2"/>
        <v>0</v>
      </c>
      <c r="J43" s="1331">
        <f t="shared" si="2"/>
        <v>0</v>
      </c>
      <c r="K43" s="1331">
        <f t="shared" si="2"/>
        <v>0</v>
      </c>
      <c r="L43" s="1331">
        <f t="shared" si="2"/>
        <v>0</v>
      </c>
      <c r="M43" s="1331">
        <f t="shared" si="3"/>
        <v>0</v>
      </c>
      <c r="N43" s="1331">
        <f>RBBD!I28</f>
        <v>0</v>
      </c>
      <c r="O43" s="1331">
        <f>RBBD!J28</f>
        <v>0</v>
      </c>
      <c r="P43" s="1331">
        <f>RBBD!K28</f>
        <v>0</v>
      </c>
      <c r="Q43" s="1331">
        <f>RBBD!L28</f>
        <v>0</v>
      </c>
      <c r="R43" s="1331">
        <f>RBBD!M28</f>
        <v>0</v>
      </c>
      <c r="S43" s="1331">
        <f>RBBD!N28</f>
        <v>0</v>
      </c>
      <c r="T43" s="1331">
        <f>RBBD!O28</f>
        <v>0</v>
      </c>
      <c r="U43" s="1331">
        <f>RBBD!P28</f>
        <v>0</v>
      </c>
      <c r="V43" s="1331">
        <f>RBBD!Q28</f>
        <v>0</v>
      </c>
      <c r="W43" s="1331">
        <f>RBBD!R28</f>
        <v>0</v>
      </c>
      <c r="X43" s="1331">
        <f>RBBD!S28</f>
        <v>0</v>
      </c>
      <c r="Y43" s="1331">
        <f>RBBD!T28</f>
        <v>0</v>
      </c>
      <c r="Z43" s="65"/>
      <c r="AA43" s="329">
        <f t="shared" si="5"/>
        <v>0</v>
      </c>
    </row>
    <row r="44" spans="2:27" hidden="1">
      <c r="B44" s="1331">
        <f>RBBD!B29</f>
        <v>0</v>
      </c>
      <c r="C44" s="1331">
        <f>RBBD!C29</f>
        <v>0</v>
      </c>
      <c r="D44" s="1331">
        <f>RBBD!D29</f>
        <v>0</v>
      </c>
      <c r="E44" s="1331">
        <f>RBBD!G29</f>
        <v>0</v>
      </c>
      <c r="F44" s="1331">
        <f>RBBD!H29</f>
        <v>0</v>
      </c>
      <c r="G44" s="1331">
        <f>RBBD!E29</f>
        <v>0</v>
      </c>
      <c r="H44" s="1331">
        <f>RBBD!F29</f>
        <v>0</v>
      </c>
      <c r="I44" s="1331">
        <f t="shared" si="2"/>
        <v>0</v>
      </c>
      <c r="J44" s="1331">
        <f t="shared" si="2"/>
        <v>0</v>
      </c>
      <c r="K44" s="1331">
        <f t="shared" si="2"/>
        <v>0</v>
      </c>
      <c r="L44" s="1331">
        <f t="shared" si="2"/>
        <v>0</v>
      </c>
      <c r="M44" s="1331">
        <f t="shared" si="3"/>
        <v>0</v>
      </c>
      <c r="N44" s="1331">
        <f>RBBD!I29</f>
        <v>0</v>
      </c>
      <c r="O44" s="1331">
        <f>RBBD!J29</f>
        <v>0</v>
      </c>
      <c r="P44" s="1331">
        <f>RBBD!K29</f>
        <v>0</v>
      </c>
      <c r="Q44" s="1331">
        <f>RBBD!L29</f>
        <v>0</v>
      </c>
      <c r="R44" s="1331">
        <f>RBBD!M29</f>
        <v>0</v>
      </c>
      <c r="S44" s="1331">
        <f>RBBD!N29</f>
        <v>0</v>
      </c>
      <c r="T44" s="1331">
        <f>RBBD!O29</f>
        <v>0</v>
      </c>
      <c r="U44" s="1331">
        <f>RBBD!P29</f>
        <v>0</v>
      </c>
      <c r="V44" s="1331">
        <f>RBBD!Q29</f>
        <v>0</v>
      </c>
      <c r="W44" s="1331">
        <f>RBBD!R29</f>
        <v>0</v>
      </c>
      <c r="X44" s="1331">
        <f>RBBD!S29</f>
        <v>0</v>
      </c>
      <c r="Y44" s="1331">
        <f>RBBD!T29</f>
        <v>0</v>
      </c>
      <c r="Z44" s="65"/>
      <c r="AA44" s="329">
        <f t="shared" si="5"/>
        <v>0</v>
      </c>
    </row>
    <row r="45" spans="2:27" hidden="1">
      <c r="B45" s="1331">
        <f>RBBD!B30</f>
        <v>0</v>
      </c>
      <c r="C45" s="1331">
        <f>RBBD!C30</f>
        <v>0</v>
      </c>
      <c r="D45" s="1331">
        <f>RBBD!D30</f>
        <v>0</v>
      </c>
      <c r="E45" s="1331">
        <f>RBBD!G30</f>
        <v>0</v>
      </c>
      <c r="F45" s="1331">
        <f>RBBD!H30</f>
        <v>0</v>
      </c>
      <c r="G45" s="1331">
        <f>RBBD!E30</f>
        <v>0</v>
      </c>
      <c r="H45" s="1331">
        <f>RBBD!F30</f>
        <v>0</v>
      </c>
      <c r="I45" s="1331">
        <f t="shared" si="2"/>
        <v>0</v>
      </c>
      <c r="J45" s="1331">
        <f t="shared" si="2"/>
        <v>0</v>
      </c>
      <c r="K45" s="1331">
        <f t="shared" si="2"/>
        <v>0</v>
      </c>
      <c r="L45" s="1331">
        <f t="shared" si="2"/>
        <v>0</v>
      </c>
      <c r="M45" s="1331">
        <f t="shared" si="3"/>
        <v>0</v>
      </c>
      <c r="N45" s="1331">
        <f>RBBD!I30</f>
        <v>0</v>
      </c>
      <c r="O45" s="1331">
        <f>RBBD!J30</f>
        <v>0</v>
      </c>
      <c r="P45" s="1331">
        <f>RBBD!K30</f>
        <v>0</v>
      </c>
      <c r="Q45" s="1331">
        <f>RBBD!L30</f>
        <v>0</v>
      </c>
      <c r="R45" s="1331">
        <f>RBBD!M30</f>
        <v>0</v>
      </c>
      <c r="S45" s="1331">
        <f>RBBD!N30</f>
        <v>0</v>
      </c>
      <c r="T45" s="1331">
        <f>RBBD!O30</f>
        <v>0</v>
      </c>
      <c r="U45" s="1331">
        <f>RBBD!P30</f>
        <v>0</v>
      </c>
      <c r="V45" s="1331">
        <f>RBBD!Q30</f>
        <v>0</v>
      </c>
      <c r="W45" s="1331">
        <f>RBBD!R30</f>
        <v>0</v>
      </c>
      <c r="X45" s="1331">
        <f>RBBD!S30</f>
        <v>0</v>
      </c>
      <c r="Y45" s="1331">
        <f>RBBD!T30</f>
        <v>0</v>
      </c>
      <c r="Z45" s="65"/>
      <c r="AA45" s="329">
        <f t="shared" si="5"/>
        <v>0</v>
      </c>
    </row>
    <row r="46" spans="2:27" hidden="1">
      <c r="B46" s="1331">
        <f>RBBD!B31</f>
        <v>0</v>
      </c>
      <c r="C46" s="1331">
        <f>RBBD!C31</f>
        <v>0</v>
      </c>
      <c r="D46" s="1331">
        <f>RBBD!D31</f>
        <v>0</v>
      </c>
      <c r="E46" s="1331">
        <f>RBBD!G31</f>
        <v>0</v>
      </c>
      <c r="F46" s="1331">
        <f>RBBD!H31</f>
        <v>0</v>
      </c>
      <c r="G46" s="1331">
        <f>RBBD!E31</f>
        <v>0</v>
      </c>
      <c r="H46" s="1331">
        <f>RBBD!F31</f>
        <v>0</v>
      </c>
      <c r="I46" s="1331">
        <f t="shared" si="2"/>
        <v>0</v>
      </c>
      <c r="J46" s="1331">
        <f t="shared" si="2"/>
        <v>0</v>
      </c>
      <c r="K46" s="1331">
        <f t="shared" si="2"/>
        <v>0</v>
      </c>
      <c r="L46" s="1331">
        <f t="shared" si="2"/>
        <v>0</v>
      </c>
      <c r="M46" s="1331">
        <f t="shared" si="3"/>
        <v>0</v>
      </c>
      <c r="N46" s="1331">
        <f>RBBD!I31</f>
        <v>0</v>
      </c>
      <c r="O46" s="1331">
        <f>RBBD!J31</f>
        <v>0</v>
      </c>
      <c r="P46" s="1331">
        <f>RBBD!K31</f>
        <v>0</v>
      </c>
      <c r="Q46" s="1331">
        <f>RBBD!L31</f>
        <v>0</v>
      </c>
      <c r="R46" s="1331">
        <f>RBBD!M31</f>
        <v>0</v>
      </c>
      <c r="S46" s="1331">
        <f>RBBD!N31</f>
        <v>0</v>
      </c>
      <c r="T46" s="1331">
        <f>RBBD!O31</f>
        <v>0</v>
      </c>
      <c r="U46" s="1331">
        <f>RBBD!P31</f>
        <v>0</v>
      </c>
      <c r="V46" s="1331">
        <f>RBBD!Q31</f>
        <v>0</v>
      </c>
      <c r="W46" s="1331">
        <f>RBBD!R31</f>
        <v>0</v>
      </c>
      <c r="X46" s="1331">
        <f>RBBD!S31</f>
        <v>0</v>
      </c>
      <c r="Y46" s="1331">
        <f>RBBD!T31</f>
        <v>0</v>
      </c>
      <c r="Z46" s="65"/>
      <c r="AA46" s="329">
        <f t="shared" si="5"/>
        <v>0</v>
      </c>
    </row>
    <row r="47" spans="2:27" hidden="1">
      <c r="B47" s="1331">
        <f>RBBD!B32</f>
        <v>0</v>
      </c>
      <c r="C47" s="1331">
        <f>RBBD!C32</f>
        <v>0</v>
      </c>
      <c r="D47" s="1331">
        <f>RBBD!D32</f>
        <v>0</v>
      </c>
      <c r="E47" s="1331">
        <f>RBBD!G32</f>
        <v>0</v>
      </c>
      <c r="F47" s="1331">
        <f>RBBD!H32</f>
        <v>0</v>
      </c>
      <c r="G47" s="1331">
        <f>RBBD!E32</f>
        <v>0</v>
      </c>
      <c r="H47" s="1331">
        <f>RBBD!F32</f>
        <v>0</v>
      </c>
      <c r="I47" s="1331">
        <f t="shared" si="2"/>
        <v>0</v>
      </c>
      <c r="J47" s="1331">
        <f t="shared" si="2"/>
        <v>0</v>
      </c>
      <c r="K47" s="1331">
        <f t="shared" si="2"/>
        <v>0</v>
      </c>
      <c r="L47" s="1331">
        <f t="shared" si="2"/>
        <v>0</v>
      </c>
      <c r="M47" s="1331">
        <f t="shared" si="3"/>
        <v>0</v>
      </c>
      <c r="N47" s="1331">
        <f>RBBD!I32</f>
        <v>0</v>
      </c>
      <c r="O47" s="1331">
        <f>RBBD!J32</f>
        <v>0</v>
      </c>
      <c r="P47" s="1331">
        <f>RBBD!K32</f>
        <v>0</v>
      </c>
      <c r="Q47" s="1331">
        <f>RBBD!L32</f>
        <v>0</v>
      </c>
      <c r="R47" s="1331">
        <f>RBBD!M32</f>
        <v>0</v>
      </c>
      <c r="S47" s="1331">
        <f>RBBD!N32</f>
        <v>0</v>
      </c>
      <c r="T47" s="1331">
        <f>RBBD!O32</f>
        <v>0</v>
      </c>
      <c r="U47" s="1331">
        <f>RBBD!P32</f>
        <v>0</v>
      </c>
      <c r="V47" s="1331">
        <f>RBBD!Q32</f>
        <v>0</v>
      </c>
      <c r="W47" s="1331">
        <f>RBBD!R32</f>
        <v>0</v>
      </c>
      <c r="X47" s="1331">
        <f>RBBD!S32</f>
        <v>0</v>
      </c>
      <c r="Y47" s="1331">
        <f>RBBD!T32</f>
        <v>0</v>
      </c>
      <c r="Z47" s="65"/>
      <c r="AA47" s="329">
        <f t="shared" si="5"/>
        <v>0</v>
      </c>
    </row>
    <row r="48" spans="2:27" hidden="1">
      <c r="B48" s="1331">
        <f>RBBD!B33</f>
        <v>0</v>
      </c>
      <c r="C48" s="1331">
        <f>RBBD!C33</f>
        <v>0</v>
      </c>
      <c r="D48" s="1331">
        <f>RBBD!D33</f>
        <v>0</v>
      </c>
      <c r="E48" s="1331">
        <f>RBBD!G33</f>
        <v>0</v>
      </c>
      <c r="F48" s="1331">
        <f>RBBD!H33</f>
        <v>0</v>
      </c>
      <c r="G48" s="1331">
        <f>RBBD!E33</f>
        <v>0</v>
      </c>
      <c r="H48" s="1331">
        <f>RBBD!F33</f>
        <v>0</v>
      </c>
      <c r="I48" s="1331">
        <f t="shared" si="2"/>
        <v>0</v>
      </c>
      <c r="J48" s="1331">
        <f t="shared" si="2"/>
        <v>0</v>
      </c>
      <c r="K48" s="1331">
        <f t="shared" si="2"/>
        <v>0</v>
      </c>
      <c r="L48" s="1331">
        <f t="shared" si="2"/>
        <v>0</v>
      </c>
      <c r="M48" s="1331">
        <f t="shared" si="3"/>
        <v>0</v>
      </c>
      <c r="N48" s="1331">
        <f>RBBD!I33</f>
        <v>0</v>
      </c>
      <c r="O48" s="1331">
        <f>RBBD!J33</f>
        <v>0</v>
      </c>
      <c r="P48" s="1331">
        <f>RBBD!K33</f>
        <v>0</v>
      </c>
      <c r="Q48" s="1331">
        <f>RBBD!L33</f>
        <v>0</v>
      </c>
      <c r="R48" s="1331">
        <f>RBBD!M33</f>
        <v>0</v>
      </c>
      <c r="S48" s="1331">
        <f>RBBD!N33</f>
        <v>0</v>
      </c>
      <c r="T48" s="1331">
        <f>RBBD!O33</f>
        <v>0</v>
      </c>
      <c r="U48" s="1331">
        <f>RBBD!P33</f>
        <v>0</v>
      </c>
      <c r="V48" s="1331">
        <f>RBBD!Q33</f>
        <v>0</v>
      </c>
      <c r="W48" s="1331">
        <f>RBBD!R33</f>
        <v>0</v>
      </c>
      <c r="X48" s="1331">
        <f>RBBD!S33</f>
        <v>0</v>
      </c>
      <c r="Y48" s="1331">
        <f>RBBD!T33</f>
        <v>0</v>
      </c>
      <c r="Z48" s="65"/>
      <c r="AA48" s="329">
        <f t="shared" si="5"/>
        <v>0</v>
      </c>
    </row>
    <row r="49" spans="2:27" hidden="1">
      <c r="B49" s="1331">
        <f>RBBD!B34</f>
        <v>0</v>
      </c>
      <c r="C49" s="1331">
        <f>RBBD!C34</f>
        <v>0</v>
      </c>
      <c r="D49" s="1331">
        <f>RBBD!D34</f>
        <v>0</v>
      </c>
      <c r="E49" s="1331">
        <f>RBBD!G34</f>
        <v>0</v>
      </c>
      <c r="F49" s="1331">
        <f>RBBD!H34</f>
        <v>0</v>
      </c>
      <c r="G49" s="1331">
        <f>RBBD!E34</f>
        <v>0</v>
      </c>
      <c r="H49" s="1331">
        <f>RBBD!F34</f>
        <v>0</v>
      </c>
      <c r="I49" s="1331">
        <f t="shared" si="2"/>
        <v>0</v>
      </c>
      <c r="J49" s="1331">
        <f t="shared" si="2"/>
        <v>0</v>
      </c>
      <c r="K49" s="1331">
        <f t="shared" si="2"/>
        <v>0</v>
      </c>
      <c r="L49" s="1331">
        <f t="shared" si="2"/>
        <v>0</v>
      </c>
      <c r="M49" s="1331">
        <f t="shared" si="3"/>
        <v>0</v>
      </c>
      <c r="N49" s="1331">
        <f>RBBD!I34</f>
        <v>0</v>
      </c>
      <c r="O49" s="1331">
        <f>RBBD!J34</f>
        <v>0</v>
      </c>
      <c r="P49" s="1331">
        <f>RBBD!K34</f>
        <v>0</v>
      </c>
      <c r="Q49" s="1331">
        <f>RBBD!L34</f>
        <v>0</v>
      </c>
      <c r="R49" s="1331">
        <f>RBBD!M34</f>
        <v>0</v>
      </c>
      <c r="S49" s="1331">
        <f>RBBD!N34</f>
        <v>0</v>
      </c>
      <c r="T49" s="1331">
        <f>RBBD!O34</f>
        <v>0</v>
      </c>
      <c r="U49" s="1331">
        <f>RBBD!P34</f>
        <v>0</v>
      </c>
      <c r="V49" s="1331">
        <f>RBBD!Q34</f>
        <v>0</v>
      </c>
      <c r="W49" s="1331">
        <f>RBBD!R34</f>
        <v>0</v>
      </c>
      <c r="X49" s="1331">
        <f>RBBD!S34</f>
        <v>0</v>
      </c>
      <c r="Y49" s="1331">
        <f>RBBD!T34</f>
        <v>0</v>
      </c>
      <c r="Z49" s="65"/>
      <c r="AA49" s="329">
        <f t="shared" si="5"/>
        <v>0</v>
      </c>
    </row>
    <row r="50" spans="2:27" hidden="1">
      <c r="B50" s="1331">
        <f>RBBD!B35</f>
        <v>0</v>
      </c>
      <c r="C50" s="1331">
        <f>RBBD!C35</f>
        <v>0</v>
      </c>
      <c r="D50" s="1331">
        <f>RBBD!D35</f>
        <v>0</v>
      </c>
      <c r="E50" s="1331">
        <f>RBBD!G35</f>
        <v>0</v>
      </c>
      <c r="F50" s="1331">
        <f>RBBD!H35</f>
        <v>0</v>
      </c>
      <c r="G50" s="1331">
        <f>RBBD!E35</f>
        <v>0</v>
      </c>
      <c r="H50" s="1331">
        <f>RBBD!F35</f>
        <v>0</v>
      </c>
      <c r="I50" s="1331">
        <f t="shared" si="2"/>
        <v>0</v>
      </c>
      <c r="J50" s="1331">
        <f t="shared" si="2"/>
        <v>0</v>
      </c>
      <c r="K50" s="1331">
        <f t="shared" si="2"/>
        <v>0</v>
      </c>
      <c r="L50" s="1331">
        <f t="shared" si="2"/>
        <v>0</v>
      </c>
      <c r="M50" s="1331">
        <f t="shared" si="3"/>
        <v>0</v>
      </c>
      <c r="N50" s="1331">
        <f>RBBD!I35</f>
        <v>0</v>
      </c>
      <c r="O50" s="1331">
        <f>RBBD!J35</f>
        <v>0</v>
      </c>
      <c r="P50" s="1331">
        <f>RBBD!K35</f>
        <v>0</v>
      </c>
      <c r="Q50" s="1331">
        <f>RBBD!L35</f>
        <v>0</v>
      </c>
      <c r="R50" s="1331">
        <f>RBBD!M35</f>
        <v>0</v>
      </c>
      <c r="S50" s="1331">
        <f>RBBD!N35</f>
        <v>0</v>
      </c>
      <c r="T50" s="1331">
        <f>RBBD!O35</f>
        <v>0</v>
      </c>
      <c r="U50" s="1331">
        <f>RBBD!P35</f>
        <v>0</v>
      </c>
      <c r="V50" s="1331">
        <f>RBBD!Q35</f>
        <v>0</v>
      </c>
      <c r="W50" s="1331">
        <f>RBBD!R35</f>
        <v>0</v>
      </c>
      <c r="X50" s="1331">
        <f>RBBD!S35</f>
        <v>0</v>
      </c>
      <c r="Y50" s="1331">
        <f>RBBD!T35</f>
        <v>0</v>
      </c>
      <c r="Z50" s="65"/>
      <c r="AA50" s="329">
        <f t="shared" si="5"/>
        <v>0</v>
      </c>
    </row>
    <row r="51" spans="2:27" hidden="1">
      <c r="B51" s="1331">
        <f>RBBD!B36</f>
        <v>0</v>
      </c>
      <c r="C51" s="1331">
        <f>RBBD!C36</f>
        <v>0</v>
      </c>
      <c r="D51" s="1331">
        <f>RBBD!D36</f>
        <v>0</v>
      </c>
      <c r="E51" s="1331">
        <f>RBBD!G36</f>
        <v>0</v>
      </c>
      <c r="F51" s="1331">
        <f>RBBD!H36</f>
        <v>0</v>
      </c>
      <c r="G51" s="1331">
        <f>RBBD!E36</f>
        <v>0</v>
      </c>
      <c r="H51" s="1331">
        <f>RBBD!F36</f>
        <v>0</v>
      </c>
      <c r="I51" s="1331">
        <f t="shared" si="2"/>
        <v>0</v>
      </c>
      <c r="J51" s="1331">
        <f t="shared" si="2"/>
        <v>0</v>
      </c>
      <c r="K51" s="1331">
        <f t="shared" si="2"/>
        <v>0</v>
      </c>
      <c r="L51" s="1331">
        <f t="shared" si="2"/>
        <v>0</v>
      </c>
      <c r="M51" s="1331">
        <f t="shared" si="3"/>
        <v>0</v>
      </c>
      <c r="N51" s="1331">
        <f>RBBD!I36</f>
        <v>0</v>
      </c>
      <c r="O51" s="1331">
        <f>RBBD!J36</f>
        <v>0</v>
      </c>
      <c r="P51" s="1331">
        <f>RBBD!K36</f>
        <v>0</v>
      </c>
      <c r="Q51" s="1331">
        <f>RBBD!L36</f>
        <v>0</v>
      </c>
      <c r="R51" s="1331">
        <f>RBBD!M36</f>
        <v>0</v>
      </c>
      <c r="S51" s="1331">
        <f>RBBD!N36</f>
        <v>0</v>
      </c>
      <c r="T51" s="1331">
        <f>RBBD!O36</f>
        <v>0</v>
      </c>
      <c r="U51" s="1331">
        <f>RBBD!P36</f>
        <v>0</v>
      </c>
      <c r="V51" s="1331">
        <f>RBBD!Q36</f>
        <v>0</v>
      </c>
      <c r="W51" s="1331">
        <f>RBBD!R36</f>
        <v>0</v>
      </c>
      <c r="X51" s="1331">
        <f>RBBD!S36</f>
        <v>0</v>
      </c>
      <c r="Y51" s="1331">
        <f>RBBD!T36</f>
        <v>0</v>
      </c>
      <c r="Z51" s="65"/>
      <c r="AA51" s="329">
        <f t="shared" si="5"/>
        <v>0</v>
      </c>
    </row>
    <row r="52" spans="2:27" hidden="1">
      <c r="B52" s="1331">
        <f>RBBD!B37</f>
        <v>0</v>
      </c>
      <c r="C52" s="1331">
        <f>RBBD!C37</f>
        <v>0</v>
      </c>
      <c r="D52" s="1331">
        <f>RBBD!D37</f>
        <v>0</v>
      </c>
      <c r="E52" s="1331">
        <f>RBBD!G37</f>
        <v>0</v>
      </c>
      <c r="F52" s="1331">
        <f>RBBD!H37</f>
        <v>0</v>
      </c>
      <c r="G52" s="1331">
        <f>RBBD!E37</f>
        <v>0</v>
      </c>
      <c r="H52" s="1331">
        <f>RBBD!F37</f>
        <v>0</v>
      </c>
      <c r="I52" s="1331">
        <f t="shared" si="2"/>
        <v>0</v>
      </c>
      <c r="J52" s="1331">
        <f t="shared" si="2"/>
        <v>0</v>
      </c>
      <c r="K52" s="1331">
        <f t="shared" si="2"/>
        <v>0</v>
      </c>
      <c r="L52" s="1331">
        <f t="shared" si="2"/>
        <v>0</v>
      </c>
      <c r="M52" s="1331">
        <f t="shared" si="3"/>
        <v>0</v>
      </c>
      <c r="N52" s="1331">
        <f>RBBD!I37</f>
        <v>0</v>
      </c>
      <c r="O52" s="1331">
        <f>RBBD!J37</f>
        <v>0</v>
      </c>
      <c r="P52" s="1331">
        <f>RBBD!K37</f>
        <v>0</v>
      </c>
      <c r="Q52" s="1331">
        <f>RBBD!L37</f>
        <v>0</v>
      </c>
      <c r="R52" s="1331">
        <f>RBBD!M37</f>
        <v>0</v>
      </c>
      <c r="S52" s="1331">
        <f>RBBD!N37</f>
        <v>0</v>
      </c>
      <c r="T52" s="1331">
        <f>RBBD!O37</f>
        <v>0</v>
      </c>
      <c r="U52" s="1331">
        <f>RBBD!P37</f>
        <v>0</v>
      </c>
      <c r="V52" s="1331">
        <f>RBBD!Q37</f>
        <v>0</v>
      </c>
      <c r="W52" s="1331">
        <f>RBBD!R37</f>
        <v>0</v>
      </c>
      <c r="X52" s="1331">
        <f>RBBD!S37</f>
        <v>0</v>
      </c>
      <c r="Y52" s="1331">
        <f>RBBD!T37</f>
        <v>0</v>
      </c>
      <c r="Z52" s="65"/>
      <c r="AA52" s="329">
        <f t="shared" si="5"/>
        <v>0</v>
      </c>
    </row>
    <row r="53" spans="2:27" hidden="1">
      <c r="B53" s="1331">
        <f>RBBD!B38</f>
        <v>0</v>
      </c>
      <c r="C53" s="1331">
        <f>RBBD!C38</f>
        <v>0</v>
      </c>
      <c r="D53" s="1331">
        <f>RBBD!D38</f>
        <v>0</v>
      </c>
      <c r="E53" s="1331">
        <f>RBBD!G38</f>
        <v>0</v>
      </c>
      <c r="F53" s="1331">
        <f>RBBD!H38</f>
        <v>0</v>
      </c>
      <c r="G53" s="1331">
        <f>RBBD!E38</f>
        <v>0</v>
      </c>
      <c r="H53" s="1331">
        <f>RBBD!F38</f>
        <v>0</v>
      </c>
      <c r="I53" s="1331">
        <f t="shared" si="2"/>
        <v>0</v>
      </c>
      <c r="J53" s="1331">
        <f t="shared" si="2"/>
        <v>0</v>
      </c>
      <c r="K53" s="1331">
        <f t="shared" si="2"/>
        <v>0</v>
      </c>
      <c r="L53" s="1331">
        <f t="shared" si="2"/>
        <v>0</v>
      </c>
      <c r="M53" s="1331">
        <f t="shared" si="3"/>
        <v>0</v>
      </c>
      <c r="N53" s="1331">
        <f>RBBD!I38</f>
        <v>0</v>
      </c>
      <c r="O53" s="1331">
        <f>RBBD!J38</f>
        <v>0</v>
      </c>
      <c r="P53" s="1331">
        <f>RBBD!K38</f>
        <v>0</v>
      </c>
      <c r="Q53" s="1331">
        <f>RBBD!L38</f>
        <v>0</v>
      </c>
      <c r="R53" s="1331">
        <f>RBBD!M38</f>
        <v>0</v>
      </c>
      <c r="S53" s="1331">
        <f>RBBD!N38</f>
        <v>0</v>
      </c>
      <c r="T53" s="1331">
        <f>RBBD!O38</f>
        <v>0</v>
      </c>
      <c r="U53" s="1331">
        <f>RBBD!P38</f>
        <v>0</v>
      </c>
      <c r="V53" s="1331">
        <f>RBBD!Q38</f>
        <v>0</v>
      </c>
      <c r="W53" s="1331">
        <f>RBBD!R38</f>
        <v>0</v>
      </c>
      <c r="X53" s="1331">
        <f>RBBD!S38</f>
        <v>0</v>
      </c>
      <c r="Y53" s="1331">
        <f>RBBD!T38</f>
        <v>0</v>
      </c>
      <c r="Z53" s="65"/>
      <c r="AA53" s="329">
        <f t="shared" si="5"/>
        <v>0</v>
      </c>
    </row>
    <row r="54" spans="2:27" hidden="1">
      <c r="B54" s="1331">
        <f>RBBD!B39</f>
        <v>0</v>
      </c>
      <c r="C54" s="1331">
        <f>RBBD!C39</f>
        <v>0</v>
      </c>
      <c r="D54" s="1331">
        <f>RBBD!D39</f>
        <v>0</v>
      </c>
      <c r="E54" s="1331">
        <f>RBBD!G39</f>
        <v>0</v>
      </c>
      <c r="F54" s="1331">
        <f>RBBD!H39</f>
        <v>0</v>
      </c>
      <c r="G54" s="1331">
        <f>RBBD!E39</f>
        <v>0</v>
      </c>
      <c r="H54" s="1331">
        <f>RBBD!F39</f>
        <v>0</v>
      </c>
      <c r="I54" s="1331">
        <f t="shared" si="2"/>
        <v>0</v>
      </c>
      <c r="J54" s="1331">
        <f t="shared" si="2"/>
        <v>0</v>
      </c>
      <c r="K54" s="1331">
        <f t="shared" si="2"/>
        <v>0</v>
      </c>
      <c r="L54" s="1331">
        <f t="shared" si="2"/>
        <v>0</v>
      </c>
      <c r="M54" s="1331">
        <f t="shared" si="3"/>
        <v>0</v>
      </c>
      <c r="N54" s="1331">
        <f>RBBD!I39</f>
        <v>0</v>
      </c>
      <c r="O54" s="1331">
        <f>RBBD!J39</f>
        <v>0</v>
      </c>
      <c r="P54" s="1331">
        <f>RBBD!K39</f>
        <v>0</v>
      </c>
      <c r="Q54" s="1331">
        <f>RBBD!L39</f>
        <v>0</v>
      </c>
      <c r="R54" s="1331">
        <f>RBBD!M39</f>
        <v>0</v>
      </c>
      <c r="S54" s="1331">
        <f>RBBD!N39</f>
        <v>0</v>
      </c>
      <c r="T54" s="1331">
        <f>RBBD!O39</f>
        <v>0</v>
      </c>
      <c r="U54" s="1331">
        <f>RBBD!P39</f>
        <v>0</v>
      </c>
      <c r="V54" s="1331">
        <f>RBBD!Q39</f>
        <v>0</v>
      </c>
      <c r="W54" s="1331">
        <f>RBBD!R39</f>
        <v>0</v>
      </c>
      <c r="X54" s="1331">
        <f>RBBD!S39</f>
        <v>0</v>
      </c>
      <c r="Y54" s="1331">
        <f>RBBD!T39</f>
        <v>0</v>
      </c>
      <c r="Z54" s="65"/>
      <c r="AA54" s="329">
        <f t="shared" si="5"/>
        <v>0</v>
      </c>
    </row>
    <row r="55" spans="2:27" hidden="1">
      <c r="B55" s="1331">
        <f>RBBD!B40</f>
        <v>0</v>
      </c>
      <c r="C55" s="1331">
        <f>RBBD!C40</f>
        <v>0</v>
      </c>
      <c r="D55" s="1331">
        <f>RBBD!D40</f>
        <v>0</v>
      </c>
      <c r="E55" s="1331">
        <f>RBBD!G40</f>
        <v>0</v>
      </c>
      <c r="F55" s="1331">
        <f>RBBD!H40</f>
        <v>0</v>
      </c>
      <c r="G55" s="1331">
        <f>RBBD!E40</f>
        <v>0</v>
      </c>
      <c r="H55" s="1331">
        <f>RBBD!F40</f>
        <v>0</v>
      </c>
      <c r="I55" s="1331">
        <f t="shared" si="2"/>
        <v>0</v>
      </c>
      <c r="J55" s="1331">
        <f t="shared" si="2"/>
        <v>0</v>
      </c>
      <c r="K55" s="1331">
        <f t="shared" si="2"/>
        <v>0</v>
      </c>
      <c r="L55" s="1331">
        <f t="shared" si="2"/>
        <v>0</v>
      </c>
      <c r="M55" s="1331">
        <f t="shared" si="3"/>
        <v>0</v>
      </c>
      <c r="N55" s="1331">
        <f>RBBD!I40</f>
        <v>0</v>
      </c>
      <c r="O55" s="1331">
        <f>RBBD!J40</f>
        <v>0</v>
      </c>
      <c r="P55" s="1331">
        <f>RBBD!K40</f>
        <v>0</v>
      </c>
      <c r="Q55" s="1331">
        <f>RBBD!L40</f>
        <v>0</v>
      </c>
      <c r="R55" s="1331">
        <f>RBBD!M40</f>
        <v>0</v>
      </c>
      <c r="S55" s="1331">
        <f>RBBD!N40</f>
        <v>0</v>
      </c>
      <c r="T55" s="1331">
        <f>RBBD!O40</f>
        <v>0</v>
      </c>
      <c r="U55" s="1331">
        <f>RBBD!P40</f>
        <v>0</v>
      </c>
      <c r="V55" s="1331">
        <f>RBBD!Q40</f>
        <v>0</v>
      </c>
      <c r="W55" s="1331">
        <f>RBBD!R40</f>
        <v>0</v>
      </c>
      <c r="X55" s="1331">
        <f>RBBD!S40</f>
        <v>0</v>
      </c>
      <c r="Y55" s="1331">
        <f>RBBD!T40</f>
        <v>0</v>
      </c>
      <c r="Z55" s="65"/>
      <c r="AA55" s="329">
        <f t="shared" si="5"/>
        <v>0</v>
      </c>
    </row>
    <row r="56" spans="2:27" hidden="1">
      <c r="B56" s="1331">
        <f>RBBD!B41</f>
        <v>0</v>
      </c>
      <c r="C56" s="1331">
        <f>RBBD!C41</f>
        <v>0</v>
      </c>
      <c r="D56" s="1331">
        <f>RBBD!D41</f>
        <v>0</v>
      </c>
      <c r="E56" s="1331">
        <f>RBBD!G41</f>
        <v>0</v>
      </c>
      <c r="F56" s="1331">
        <f>RBBD!H41</f>
        <v>0</v>
      </c>
      <c r="G56" s="1331">
        <f>RBBD!E41</f>
        <v>0</v>
      </c>
      <c r="H56" s="1331">
        <f>RBBD!F41</f>
        <v>0</v>
      </c>
      <c r="I56" s="1331">
        <f t="shared" si="2"/>
        <v>0</v>
      </c>
      <c r="J56" s="1331">
        <f t="shared" si="2"/>
        <v>0</v>
      </c>
      <c r="K56" s="1331">
        <f t="shared" si="2"/>
        <v>0</v>
      </c>
      <c r="L56" s="1331">
        <f t="shared" si="2"/>
        <v>0</v>
      </c>
      <c r="M56" s="1331">
        <f t="shared" si="3"/>
        <v>0</v>
      </c>
      <c r="N56" s="1331">
        <f>RBBD!I41</f>
        <v>0</v>
      </c>
      <c r="O56" s="1331">
        <f>RBBD!J41</f>
        <v>0</v>
      </c>
      <c r="P56" s="1331">
        <f>RBBD!K41</f>
        <v>0</v>
      </c>
      <c r="Q56" s="1331">
        <f>RBBD!L41</f>
        <v>0</v>
      </c>
      <c r="R56" s="1331">
        <f>RBBD!M41</f>
        <v>0</v>
      </c>
      <c r="S56" s="1331">
        <f>RBBD!N41</f>
        <v>0</v>
      </c>
      <c r="T56" s="1331">
        <f>RBBD!O41</f>
        <v>0</v>
      </c>
      <c r="U56" s="1331">
        <f>RBBD!P41</f>
        <v>0</v>
      </c>
      <c r="V56" s="1331">
        <f>RBBD!Q41</f>
        <v>0</v>
      </c>
      <c r="W56" s="1331">
        <f>RBBD!R41</f>
        <v>0</v>
      </c>
      <c r="X56" s="1331">
        <f>RBBD!S41</f>
        <v>0</v>
      </c>
      <c r="Y56" s="1331">
        <f>RBBD!T41</f>
        <v>0</v>
      </c>
      <c r="Z56" s="65"/>
      <c r="AA56" s="329">
        <f t="shared" si="5"/>
        <v>0</v>
      </c>
    </row>
    <row r="57" spans="2:27" hidden="1">
      <c r="B57" s="1331">
        <f>RBBD!B42</f>
        <v>0</v>
      </c>
      <c r="C57" s="1331">
        <f>RBBD!C42</f>
        <v>0</v>
      </c>
      <c r="D57" s="1331">
        <f>RBBD!D42</f>
        <v>0</v>
      </c>
      <c r="E57" s="1331">
        <f>RBBD!G42</f>
        <v>0</v>
      </c>
      <c r="F57" s="1331">
        <f>RBBD!H42</f>
        <v>0</v>
      </c>
      <c r="G57" s="1331">
        <f>RBBD!E42</f>
        <v>0</v>
      </c>
      <c r="H57" s="1331">
        <f>RBBD!F42</f>
        <v>0</v>
      </c>
      <c r="I57" s="1331">
        <f t="shared" si="2"/>
        <v>0</v>
      </c>
      <c r="J57" s="1331">
        <f t="shared" si="2"/>
        <v>0</v>
      </c>
      <c r="K57" s="1331">
        <f t="shared" si="2"/>
        <v>0</v>
      </c>
      <c r="L57" s="1331">
        <f t="shared" si="2"/>
        <v>0</v>
      </c>
      <c r="M57" s="1331">
        <f t="shared" si="3"/>
        <v>0</v>
      </c>
      <c r="N57" s="1331">
        <f>RBBD!I42</f>
        <v>0</v>
      </c>
      <c r="O57" s="1331">
        <f>RBBD!J42</f>
        <v>0</v>
      </c>
      <c r="P57" s="1331">
        <f>RBBD!K42</f>
        <v>0</v>
      </c>
      <c r="Q57" s="1331">
        <f>RBBD!L42</f>
        <v>0</v>
      </c>
      <c r="R57" s="1331">
        <f>RBBD!M42</f>
        <v>0</v>
      </c>
      <c r="S57" s="1331">
        <f>RBBD!N42</f>
        <v>0</v>
      </c>
      <c r="T57" s="1331">
        <f>RBBD!O42</f>
        <v>0</v>
      </c>
      <c r="U57" s="1331">
        <f>RBBD!P42</f>
        <v>0</v>
      </c>
      <c r="V57" s="1331">
        <f>RBBD!Q42</f>
        <v>0</v>
      </c>
      <c r="W57" s="1331">
        <f>RBBD!R42</f>
        <v>0</v>
      </c>
      <c r="X57" s="1331">
        <f>RBBD!S42</f>
        <v>0</v>
      </c>
      <c r="Y57" s="1331">
        <f>RBBD!T42</f>
        <v>0</v>
      </c>
      <c r="Z57" s="65"/>
      <c r="AA57" s="329">
        <f t="shared" si="5"/>
        <v>0</v>
      </c>
    </row>
    <row r="58" spans="2:27" hidden="1">
      <c r="B58" s="1331">
        <f>RBBD!B43</f>
        <v>0</v>
      </c>
      <c r="C58" s="1331">
        <f>RBBD!C43</f>
        <v>0</v>
      </c>
      <c r="D58" s="1331">
        <f>RBBD!D43</f>
        <v>0</v>
      </c>
      <c r="E58" s="1331">
        <f>RBBD!G43</f>
        <v>0</v>
      </c>
      <c r="F58" s="1331">
        <f>RBBD!H43</f>
        <v>0</v>
      </c>
      <c r="G58" s="1331">
        <f>RBBD!E43</f>
        <v>0</v>
      </c>
      <c r="H58" s="1331">
        <f>RBBD!F43</f>
        <v>0</v>
      </c>
      <c r="I58" s="1331">
        <f t="shared" si="2"/>
        <v>0</v>
      </c>
      <c r="J58" s="1331">
        <f t="shared" si="2"/>
        <v>0</v>
      </c>
      <c r="K58" s="1331">
        <f t="shared" si="2"/>
        <v>0</v>
      </c>
      <c r="L58" s="1331">
        <f t="shared" si="2"/>
        <v>0</v>
      </c>
      <c r="M58" s="1331">
        <f t="shared" si="3"/>
        <v>0</v>
      </c>
      <c r="N58" s="1331">
        <f>RBBD!I43</f>
        <v>0</v>
      </c>
      <c r="O58" s="1331">
        <f>RBBD!J43</f>
        <v>0</v>
      </c>
      <c r="P58" s="1331">
        <f>RBBD!K43</f>
        <v>0</v>
      </c>
      <c r="Q58" s="1331">
        <f>RBBD!L43</f>
        <v>0</v>
      </c>
      <c r="R58" s="1331">
        <f>RBBD!M43</f>
        <v>0</v>
      </c>
      <c r="S58" s="1331">
        <f>RBBD!N43</f>
        <v>0</v>
      </c>
      <c r="T58" s="1331">
        <f>RBBD!O43</f>
        <v>0</v>
      </c>
      <c r="U58" s="1331">
        <f>RBBD!P43</f>
        <v>0</v>
      </c>
      <c r="V58" s="1331">
        <f>RBBD!Q43</f>
        <v>0</v>
      </c>
      <c r="W58" s="1331">
        <f>RBBD!R43</f>
        <v>0</v>
      </c>
      <c r="X58" s="1331">
        <f>RBBD!S43</f>
        <v>0</v>
      </c>
      <c r="Y58" s="1331">
        <f>RBBD!T43</f>
        <v>0</v>
      </c>
      <c r="Z58" s="65"/>
      <c r="AA58" s="329">
        <f t="shared" si="5"/>
        <v>0</v>
      </c>
    </row>
    <row r="59" spans="2:27" hidden="1">
      <c r="B59" s="1331">
        <f>RBBD!B44</f>
        <v>0</v>
      </c>
      <c r="C59" s="1331">
        <f>RBBD!C44</f>
        <v>0</v>
      </c>
      <c r="D59" s="1331">
        <f>RBBD!D44</f>
        <v>0</v>
      </c>
      <c r="E59" s="1331">
        <f>RBBD!G44</f>
        <v>0</v>
      </c>
      <c r="F59" s="1331">
        <f>RBBD!H44</f>
        <v>0</v>
      </c>
      <c r="G59" s="1331">
        <f>RBBD!E44</f>
        <v>0</v>
      </c>
      <c r="H59" s="1331">
        <f>RBBD!F44</f>
        <v>0</v>
      </c>
      <c r="I59" s="1331">
        <f t="shared" si="2"/>
        <v>0</v>
      </c>
      <c r="J59" s="1331">
        <f t="shared" si="2"/>
        <v>0</v>
      </c>
      <c r="K59" s="1331">
        <f t="shared" si="2"/>
        <v>0</v>
      </c>
      <c r="L59" s="1331">
        <f t="shared" si="2"/>
        <v>0</v>
      </c>
      <c r="M59" s="1331">
        <f t="shared" si="3"/>
        <v>0</v>
      </c>
      <c r="N59" s="1331">
        <f>RBBD!I44</f>
        <v>0</v>
      </c>
      <c r="O59" s="1331">
        <f>RBBD!J44</f>
        <v>0</v>
      </c>
      <c r="P59" s="1331">
        <f>RBBD!K44</f>
        <v>0</v>
      </c>
      <c r="Q59" s="1331">
        <f>RBBD!L44</f>
        <v>0</v>
      </c>
      <c r="R59" s="1331">
        <f>RBBD!M44</f>
        <v>0</v>
      </c>
      <c r="S59" s="1331">
        <f>RBBD!N44</f>
        <v>0</v>
      </c>
      <c r="T59" s="1331">
        <f>RBBD!O44</f>
        <v>0</v>
      </c>
      <c r="U59" s="1331">
        <f>RBBD!P44</f>
        <v>0</v>
      </c>
      <c r="V59" s="1331">
        <f>RBBD!Q44</f>
        <v>0</v>
      </c>
      <c r="W59" s="1331">
        <f>RBBD!R44</f>
        <v>0</v>
      </c>
      <c r="X59" s="1331">
        <f>RBBD!S44</f>
        <v>0</v>
      </c>
      <c r="Y59" s="1331">
        <f>RBBD!T44</f>
        <v>0</v>
      </c>
      <c r="Z59" s="65"/>
      <c r="AA59" s="329">
        <f t="shared" si="5"/>
        <v>0</v>
      </c>
    </row>
    <row r="60" spans="2:27" hidden="1">
      <c r="B60" s="1331">
        <f>RBBD!B45</f>
        <v>0</v>
      </c>
      <c r="C60" s="1331">
        <f>RBBD!C45</f>
        <v>0</v>
      </c>
      <c r="D60" s="1331">
        <f>RBBD!D45</f>
        <v>0</v>
      </c>
      <c r="E60" s="1331">
        <f>RBBD!G45</f>
        <v>0</v>
      </c>
      <c r="F60" s="1331">
        <f>RBBD!H45</f>
        <v>0</v>
      </c>
      <c r="G60" s="1331">
        <f>RBBD!E45</f>
        <v>0</v>
      </c>
      <c r="H60" s="1331">
        <f>RBBD!F45</f>
        <v>0</v>
      </c>
      <c r="I60" s="1331">
        <f t="shared" si="2"/>
        <v>0</v>
      </c>
      <c r="J60" s="1331">
        <f t="shared" si="2"/>
        <v>0</v>
      </c>
      <c r="K60" s="1331">
        <f t="shared" si="2"/>
        <v>0</v>
      </c>
      <c r="L60" s="1331">
        <f t="shared" si="2"/>
        <v>0</v>
      </c>
      <c r="M60" s="1331">
        <f t="shared" si="3"/>
        <v>0</v>
      </c>
      <c r="N60" s="1331">
        <f>RBBD!I45</f>
        <v>0</v>
      </c>
      <c r="O60" s="1331">
        <f>RBBD!J45</f>
        <v>0</v>
      </c>
      <c r="P60" s="1331">
        <f>RBBD!K45</f>
        <v>0</v>
      </c>
      <c r="Q60" s="1331">
        <f>RBBD!L45</f>
        <v>0</v>
      </c>
      <c r="R60" s="1331">
        <f>RBBD!M45</f>
        <v>0</v>
      </c>
      <c r="S60" s="1331">
        <f>RBBD!N45</f>
        <v>0</v>
      </c>
      <c r="T60" s="1331">
        <f>RBBD!O45</f>
        <v>0</v>
      </c>
      <c r="U60" s="1331">
        <f>RBBD!P45</f>
        <v>0</v>
      </c>
      <c r="V60" s="1331">
        <f>RBBD!Q45</f>
        <v>0</v>
      </c>
      <c r="W60" s="1331">
        <f>RBBD!R45</f>
        <v>0</v>
      </c>
      <c r="X60" s="1331">
        <f>RBBD!S45</f>
        <v>0</v>
      </c>
      <c r="Y60" s="1331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32" t="s">
        <v>1248</v>
      </c>
      <c r="D62" s="1333"/>
      <c r="E62" s="1333">
        <f>SUM(I18:I61)/SUM(M18:M61)</f>
        <v>4690.8563685636855</v>
      </c>
      <c r="F62" s="1333">
        <f>SUM(J18:J61)/SUM(M18:M61)</f>
        <v>6552.124661246612</v>
      </c>
      <c r="G62" s="1333">
        <f>SUM(K18:K61)/SUM(M18:M61)</f>
        <v>1580.9999999999998</v>
      </c>
      <c r="H62" s="1333">
        <f>SUM(L18:L61)/SUM(M18:M61)</f>
        <v>1173</v>
      </c>
      <c r="I62" s="1334">
        <f>SUM(I16:I61)</f>
        <v>2077111.1999999997</v>
      </c>
      <c r="J62" s="1334">
        <f>SUM(J16:J61)</f>
        <v>2901280.7999999993</v>
      </c>
      <c r="K62" s="1334">
        <f>SUM(K16:K61)</f>
        <v>700066.79999999981</v>
      </c>
      <c r="L62" s="1334">
        <f>SUM(L16:L61)</f>
        <v>519404.39999999991</v>
      </c>
      <c r="M62" s="1334">
        <f>SUM(M17:M61)</f>
        <v>442.79999999999995</v>
      </c>
      <c r="N62" s="1334">
        <f>SUM(N18:N61)</f>
        <v>36.5</v>
      </c>
      <c r="O62" s="1334">
        <f t="shared" ref="O62:Y62" si="6">SUM(O18:O61)</f>
        <v>36.5</v>
      </c>
      <c r="P62" s="1334">
        <f t="shared" si="6"/>
        <v>36.5</v>
      </c>
      <c r="Q62" s="1334">
        <f t="shared" si="6"/>
        <v>36.5</v>
      </c>
      <c r="R62" s="1334">
        <f t="shared" si="6"/>
        <v>36.5</v>
      </c>
      <c r="S62" s="1334">
        <f t="shared" si="6"/>
        <v>36.5</v>
      </c>
      <c r="T62" s="1334">
        <f t="shared" si="6"/>
        <v>37.299999999999997</v>
      </c>
      <c r="U62" s="1334">
        <f t="shared" si="6"/>
        <v>37.299999999999997</v>
      </c>
      <c r="V62" s="1334">
        <f t="shared" si="6"/>
        <v>37.299999999999997</v>
      </c>
      <c r="W62" s="1334">
        <f t="shared" si="6"/>
        <v>37.299999999999997</v>
      </c>
      <c r="X62" s="1334">
        <f t="shared" si="6"/>
        <v>37.299999999999997</v>
      </c>
      <c r="Y62" s="1334">
        <f t="shared" si="6"/>
        <v>37.299999999999997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24" t="s">
        <v>1249</v>
      </c>
      <c r="C67" s="1324"/>
      <c r="D67" s="1324"/>
      <c r="E67" s="1324"/>
      <c r="F67" s="1324"/>
      <c r="G67" s="1324"/>
      <c r="H67" s="1324"/>
      <c r="I67" s="1324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35">
        <f>IF(MONTH(E70)=7,E70,0)</f>
        <v>44378</v>
      </c>
      <c r="F69" s="1335">
        <f t="shared" ref="F69:P69" si="7">IF(MONTH(F70)=7,F70,0)</f>
        <v>0</v>
      </c>
      <c r="G69" s="1335">
        <f t="shared" si="7"/>
        <v>0</v>
      </c>
      <c r="H69" s="1335">
        <f t="shared" si="7"/>
        <v>0</v>
      </c>
      <c r="I69" s="1335">
        <f t="shared" si="7"/>
        <v>0</v>
      </c>
      <c r="J69" s="1335">
        <f t="shared" si="7"/>
        <v>0</v>
      </c>
      <c r="K69" s="1335">
        <f t="shared" si="7"/>
        <v>0</v>
      </c>
      <c r="L69" s="1335">
        <f t="shared" si="7"/>
        <v>0</v>
      </c>
      <c r="M69" s="1335">
        <f t="shared" si="7"/>
        <v>0</v>
      </c>
      <c r="N69" s="1335">
        <f t="shared" si="7"/>
        <v>0</v>
      </c>
      <c r="O69" s="1335">
        <f t="shared" si="7"/>
        <v>0</v>
      </c>
      <c r="P69" s="1335">
        <f t="shared" si="7"/>
        <v>0</v>
      </c>
      <c r="Q69" s="807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1250</v>
      </c>
      <c r="E70" s="1336">
        <f>G76</f>
        <v>44378</v>
      </c>
      <c r="F70" s="1336">
        <f>G77</f>
        <v>44409</v>
      </c>
      <c r="G70" s="1336">
        <f>G78</f>
        <v>44440</v>
      </c>
      <c r="H70" s="1336">
        <f>G79</f>
        <v>44470</v>
      </c>
      <c r="I70" s="1336">
        <f>G80</f>
        <v>44501</v>
      </c>
      <c r="J70" s="1336">
        <f>G81</f>
        <v>44531</v>
      </c>
      <c r="K70" s="1336">
        <f>G82</f>
        <v>44562</v>
      </c>
      <c r="L70" s="1336">
        <f>G83</f>
        <v>44593</v>
      </c>
      <c r="M70" s="1336">
        <f>G84</f>
        <v>44621</v>
      </c>
      <c r="N70" s="1336">
        <f>G85</f>
        <v>44652</v>
      </c>
      <c r="O70" s="1336">
        <f>G86</f>
        <v>44682</v>
      </c>
      <c r="P70" s="1336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37" t="s">
        <v>1251</v>
      </c>
      <c r="D71" s="1338">
        <f>SUM(E71:P71)</f>
        <v>0</v>
      </c>
      <c r="E71" s="1339">
        <f>SUMIF($G$76:$G$420,E70,$N$76:$N$420)</f>
        <v>0</v>
      </c>
      <c r="F71" s="1339">
        <f t="shared" ref="F71:P71" si="8">SUMIF($G$76:$G$420,F70,$N$76:$N$420)</f>
        <v>0</v>
      </c>
      <c r="G71" s="1339">
        <f t="shared" si="8"/>
        <v>0</v>
      </c>
      <c r="H71" s="1339">
        <f t="shared" si="8"/>
        <v>0</v>
      </c>
      <c r="I71" s="1339">
        <f t="shared" si="8"/>
        <v>0</v>
      </c>
      <c r="J71" s="1339">
        <f t="shared" si="8"/>
        <v>0</v>
      </c>
      <c r="K71" s="1339">
        <f t="shared" si="8"/>
        <v>0</v>
      </c>
      <c r="L71" s="1339">
        <f t="shared" si="8"/>
        <v>0</v>
      </c>
      <c r="M71" s="1339">
        <f t="shared" si="8"/>
        <v>0</v>
      </c>
      <c r="N71" s="1339">
        <f t="shared" si="8"/>
        <v>0</v>
      </c>
      <c r="O71" s="1339">
        <f t="shared" si="8"/>
        <v>0</v>
      </c>
      <c r="P71" s="1339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37" t="s">
        <v>1252</v>
      </c>
      <c r="D72" s="1338">
        <f>SUM(E72:P72)</f>
        <v>0</v>
      </c>
      <c r="E72" s="1339">
        <f>SUMIF(Indexador!$B$25:$B$48,'Rede Básica + Ajuste'!E70,Indexador!$J$25:$J$48)</f>
        <v>0</v>
      </c>
      <c r="F72" s="1339">
        <f>SUMIF(Indexador!$B$25:$B$48,'Rede Básica + Ajuste'!F70,Indexador!$J$25:$J$48)</f>
        <v>0</v>
      </c>
      <c r="G72" s="1339">
        <f>SUMIF(Indexador!$B$25:$B$48,'Rede Básica + Ajuste'!G70,Indexador!$J$25:$J$48)</f>
        <v>0</v>
      </c>
      <c r="H72" s="1339">
        <f>SUMIF(Indexador!$B$25:$B$48,'Rede Básica + Ajuste'!H70,Indexador!$J$25:$J$48)</f>
        <v>0</v>
      </c>
      <c r="I72" s="1339">
        <f>SUMIF(Indexador!$B$25:$B$48,'Rede Básica + Ajuste'!I70,Indexador!$J$25:$J$48)</f>
        <v>0</v>
      </c>
      <c r="J72" s="1339">
        <f>SUMIF(Indexador!$B$25:$B$48,'Rede Básica + Ajuste'!J70,Indexador!$J$25:$J$48)</f>
        <v>0</v>
      </c>
      <c r="K72" s="1339">
        <f>SUMIF(Indexador!$B$25:$B$48,'Rede Básica + Ajuste'!K70,Indexador!$J$25:$J$48)</f>
        <v>0</v>
      </c>
      <c r="L72" s="1339">
        <f>SUMIF(Indexador!$B$25:$B$48,'Rede Básica + Ajuste'!L70,Indexador!$J$25:$J$48)</f>
        <v>0</v>
      </c>
      <c r="M72" s="1339">
        <f>SUMIF(Indexador!$B$25:$B$48,'Rede Básica + Ajuste'!M70,Indexador!$J$25:$J$48)</f>
        <v>0</v>
      </c>
      <c r="N72" s="1339">
        <f>SUMIF(Indexador!$B$25:$B$48,'Rede Básica + Ajuste'!N70,Indexador!$J$25:$J$48)</f>
        <v>0</v>
      </c>
      <c r="O72" s="1339">
        <f>SUMIF(Indexador!$B$25:$B$48,'Rede Básica + Ajuste'!O70,Indexador!$J$25:$J$48)</f>
        <v>0</v>
      </c>
      <c r="P72" s="1339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818" t="s">
        <v>1253</v>
      </c>
      <c r="K74" s="1819"/>
      <c r="L74" s="1817" t="s">
        <v>1254</v>
      </c>
      <c r="M74" s="1817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820" t="s">
        <v>1236</v>
      </c>
      <c r="D75" s="1821"/>
      <c r="F75" s="275"/>
      <c r="G75" s="1340" t="s">
        <v>716</v>
      </c>
      <c r="H75" s="1341" t="s">
        <v>1255</v>
      </c>
      <c r="I75" s="1341" t="s">
        <v>1256</v>
      </c>
      <c r="J75" s="1342" t="s">
        <v>1257</v>
      </c>
      <c r="K75" s="1342" t="s">
        <v>1258</v>
      </c>
      <c r="L75" s="1342" t="s">
        <v>1257</v>
      </c>
      <c r="M75" s="1342" t="s">
        <v>1258</v>
      </c>
      <c r="N75" s="282" t="s">
        <v>1259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37" t="s">
        <v>1260</v>
      </c>
      <c r="D76" s="1343" t="str">
        <f>IF(D18="Ponta",B18,0)</f>
        <v>SANTA ROSA 1 - 69 kV (A)</v>
      </c>
      <c r="E76" s="18"/>
      <c r="F76" s="275"/>
      <c r="G76" s="1344">
        <f>DATE(YEAR(CAPA!C14),MONTH(CAPA!C14),1)</f>
        <v>44378</v>
      </c>
      <c r="H76" s="277">
        <f>SUMIFS($N$18:$N$60,$B$18:$B$60,$D$76,$D$18:$D$60,"Ponta")</f>
        <v>18.2</v>
      </c>
      <c r="I76" s="277">
        <f>SUMIFS($N$18:$N$60,$B$18:$B$60,$D$76,$D$18:$D$60,"Fora Ponta")</f>
        <v>18.3</v>
      </c>
      <c r="J76" s="277">
        <f>SUMIFS($E$18:$E$60,$B$18:$B$60,$D$76,$D$18:$D$60,"Ponta")</f>
        <v>4374</v>
      </c>
      <c r="K76" s="277">
        <f>SUMIFS($E$18:$E$60,$B$18:$B$60,$D$76,$D$18:$D$60,"Fora Ponta")</f>
        <v>5006</v>
      </c>
      <c r="L76" s="1345">
        <f>IF(MONTH(DataRevRea)=7,'Rede Básica + Ajuste'!J76,IF(G76&lt;$Q$69,(SUMIFS($E$18:$E$60,$B$18:$B$60,$D$76,$D$18:$D$60,"Ponta")),(SUMIFS($F$18:$F$60,$B$18:$B$60,$D$76,$D$18:$D$60,"Ponta"))))</f>
        <v>4374</v>
      </c>
      <c r="M76" s="1345">
        <f>IF(MONTH(DataRevRea)=7,'Rede Básica + Ajuste'!K76,IF(G76&lt;$Q$69,(SUMIFS($E$18:$E$60,$B$18:$B$60,$D$76,$D$18:$D$60,"Fora Ponta")),(SUMIFS($F$18:$F$60,$B$18:$B$60,$D$76,$D$18:$D$60,"Fora Ponta"))))</f>
        <v>5006</v>
      </c>
      <c r="N76" s="1346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18.2</v>
      </c>
      <c r="I77" s="277">
        <f>SUMIFS($O$18:$O$60,$B$18:$B$60,$D$76,$D$18:$D$60,"Fora Ponta")</f>
        <v>18.3</v>
      </c>
      <c r="J77" s="277">
        <f t="shared" ref="J77:J87" si="9">SUMIFS($E$18:$E$60,$B$18:$B$60,$D$76,$D$18:$D$60,"Ponta")</f>
        <v>4374</v>
      </c>
      <c r="K77" s="277">
        <f t="shared" ref="K77:K87" si="10">SUMIFS($E$18:$E$60,$B$18:$B$60,$D$76,$D$18:$D$60,"Fora Ponta")</f>
        <v>5006</v>
      </c>
      <c r="L77" s="277">
        <f>IF(MONTH(DataRevRea)=7,'Rede Básica + Ajuste'!J77,IF(G77&lt;$Q$69,(SUMIFS($E$18:$E$60,$B$18:$B$60,$D$76,$D$18:$D$60,"Ponta")),(SUMIFS($F$18:$F$60,$B$18:$B$60,$D$76,$D$18:$D$60,"Ponta"))))</f>
        <v>4374</v>
      </c>
      <c r="M77" s="277">
        <f>IF(MONTH(DataRevRea)=7,'Rede Básica + Ajuste'!K77,IF(G77&lt;$Q$69,(SUMIFS($E$18:$E$60,$B$18:$B$60,$D$76,$D$18:$D$60,"Fora Ponta")),(SUMIFS($F$18:$F$60,$B$18:$B$60,$D$76,$D$18:$D$60,"Fora Ponta"))))</f>
        <v>5006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47" t="s">
        <v>1261</v>
      </c>
      <c r="E78" s="1348" t="s">
        <v>1262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18.2</v>
      </c>
      <c r="I78" s="277">
        <f>SUMIFS($P$18:$P$60,$B$18:$B$60,$D$76,$D$18:$D$60,"Fora Ponta")</f>
        <v>18.3</v>
      </c>
      <c r="J78" s="277">
        <f t="shared" si="9"/>
        <v>4374</v>
      </c>
      <c r="K78" s="277">
        <f t="shared" si="10"/>
        <v>5006</v>
      </c>
      <c r="L78" s="277">
        <f>IF(MONTH(DataRevRea)=7,'Rede Básica + Ajuste'!J78,IF(G78&lt;$Q$69,(SUMIFS($E$18:$E$60,$B$18:$B$60,$D$76,$D$18:$D$60,"Ponta")),(SUMIFS($F$18:$F$60,$B$18:$B$60,$D$76,$D$18:$D$60,"Ponta"))))</f>
        <v>4374</v>
      </c>
      <c r="M78" s="277">
        <f>IF(MONTH(DataRevRea)=7,'Rede Básica + Ajuste'!K78,IF(G78&lt;$Q$69,(SUMIFS($E$18:$E$60,$B$18:$B$60,$D$76,$D$18:$D$60,"Fora Ponta")),(SUMIFS($F$18:$F$60,$B$18:$B$60,$D$76,$D$18:$D$60,"Fora Ponta"))))</f>
        <v>5006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49" t="str">
        <f>"Cobertura "&amp;YEAR(CAPA!C14)</f>
        <v>Cobertura 2021</v>
      </c>
      <c r="D79" s="1350">
        <f>SUMPRODUCT(H76:H87,J76:J87)</f>
        <v>965779.20000000007</v>
      </c>
      <c r="E79" s="1350">
        <f>SUMPRODUCT(I76:I87,K76:K87)</f>
        <v>1111331.9999999998</v>
      </c>
      <c r="F79" s="275"/>
      <c r="G79" s="276">
        <f t="shared" si="12"/>
        <v>44470</v>
      </c>
      <c r="H79" s="277">
        <f>SUMIFS($Q$18:$Q$60,$B$18:$B$60,$D$76,$D$18:$D$60,"Ponta")</f>
        <v>18.2</v>
      </c>
      <c r="I79" s="277">
        <f>SUMIFS($Q$18:$Q$60,$B$18:$B$60,$D$76,$D$18:$D$60,"Fora Ponta")</f>
        <v>18.3</v>
      </c>
      <c r="J79" s="277">
        <f t="shared" si="9"/>
        <v>4374</v>
      </c>
      <c r="K79" s="277">
        <f t="shared" si="10"/>
        <v>5006</v>
      </c>
      <c r="L79" s="277">
        <f>IF(MONTH(DataRevRea)=7,'Rede Básica + Ajuste'!J79,IF(G79&lt;$Q$69,(SUMIFS($E$18:$E$60,$B$18:$B$60,$D$76,$D$18:$D$60,"Ponta")),(SUMIFS($F$18:$F$60,$B$18:$B$60,$D$76,$D$18:$D$60,"Ponta"))))</f>
        <v>4374</v>
      </c>
      <c r="M79" s="277">
        <f>IF(MONTH(DataRevRea)=7,'Rede Básica + Ajuste'!K79,IF(G79&lt;$Q$69,(SUMIFS($E$18:$E$60,$B$18:$B$60,$D$76,$D$18:$D$60,"Fora Ponta")),(SUMIFS($F$18:$F$60,$B$18:$B$60,$D$76,$D$18:$D$60,"Fora Ponta"))))</f>
        <v>5006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49" t="s">
        <v>1263</v>
      </c>
      <c r="D80" s="1350">
        <f>SUMPRODUCT(H76:H87,L76:L87)</f>
        <v>965779.20000000007</v>
      </c>
      <c r="E80" s="1350">
        <f>SUMPRODUCT(I76:I87,M76:M87)</f>
        <v>1111331.9999999998</v>
      </c>
      <c r="F80" s="275"/>
      <c r="G80" s="276">
        <f t="shared" si="12"/>
        <v>44501</v>
      </c>
      <c r="H80" s="277">
        <f>SUMIFS($R$18:$R$60,$B$18:$B$60,$D$76,$D$18:$D$60,"Ponta")</f>
        <v>18.2</v>
      </c>
      <c r="I80" s="277">
        <f>SUMIFS($R$18:$R$60,$B$18:$B$60,$D$76,$D$18:$D$60,"Fora Ponta")</f>
        <v>18.3</v>
      </c>
      <c r="J80" s="277">
        <f t="shared" si="9"/>
        <v>4374</v>
      </c>
      <c r="K80" s="277">
        <f t="shared" si="10"/>
        <v>5006</v>
      </c>
      <c r="L80" s="277">
        <f>IF(MONTH(DataRevRea)=7,'Rede Básica + Ajuste'!J80,IF(G80&lt;$Q$69,(SUMIFS($E$18:$E$60,$B$18:$B$60,$D$76,$D$18:$D$60,"Ponta")),(SUMIFS($F$18:$F$60,$B$18:$B$60,$D$76,$D$18:$D$60,"Ponta"))))</f>
        <v>4374</v>
      </c>
      <c r="M80" s="277">
        <f>IF(MONTH(DataRevRea)=7,'Rede Básica + Ajuste'!K80,IF(G80&lt;$Q$69,(SUMIFS($E$18:$E$60,$B$18:$B$60,$D$76,$D$18:$D$60,"Fora Ponta")),(SUMIFS($F$18:$F$60,$B$18:$B$60,$D$76,$D$18:$D$60,"Fora Ponta"))))</f>
        <v>5006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18.2</v>
      </c>
      <c r="I81" s="277">
        <f>SUMIFS($S$18:$S$60,$B$18:$B$60,$D$76,$D$18:$D$60,"Fora Ponta")</f>
        <v>18.3</v>
      </c>
      <c r="J81" s="277">
        <f t="shared" si="9"/>
        <v>4374</v>
      </c>
      <c r="K81" s="277">
        <f t="shared" si="10"/>
        <v>5006</v>
      </c>
      <c r="L81" s="277">
        <f>IF(MONTH(DataRevRea)=7,'Rede Básica + Ajuste'!J81,IF(G81&lt;$Q$69,(SUMIFS($E$18:$E$60,$B$18:$B$60,$D$76,$D$18:$D$60,"Ponta")),(SUMIFS($F$18:$F$60,$B$18:$B$60,$D$76,$D$18:$D$60,"Ponta"))))</f>
        <v>4374</v>
      </c>
      <c r="M81" s="277">
        <f>IF(MONTH(DataRevRea)=7,'Rede Básica + Ajuste'!K81,IF(G81&lt;$Q$69,(SUMIFS($E$18:$E$60,$B$18:$B$60,$D$76,$D$18:$D$60,"Fora Ponta")),(SUMIFS($F$18:$F$60,$B$18:$B$60,$D$76,$D$18:$D$60,"Fora Ponta"))))</f>
        <v>5006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18.600000000000001</v>
      </c>
      <c r="I82" s="277">
        <f>SUMIFS($T$18:$T$60,$B$18:$B$60,$D$76,$D$18:$D$60,"Fora Ponta")</f>
        <v>18.7</v>
      </c>
      <c r="J82" s="277">
        <f t="shared" si="9"/>
        <v>4374</v>
      </c>
      <c r="K82" s="277">
        <f t="shared" si="10"/>
        <v>5006</v>
      </c>
      <c r="L82" s="277">
        <f>IF(MONTH(DataRevRea)=7,'Rede Básica + Ajuste'!J82,IF(G82&lt;$Q$69,(SUMIFS($E$18:$E$60,$B$18:$B$60,$D$76,$D$18:$D$60,"Ponta")),(SUMIFS($F$18:$F$60,$B$18:$B$60,$D$76,$D$18:$D$60,"Ponta"))))</f>
        <v>4374</v>
      </c>
      <c r="M82" s="277">
        <f>IF(MONTH(DataRevRea)=7,'Rede Básica + Ajuste'!K82,IF(G82&lt;$Q$69,(SUMIFS($E$18:$E$60,$B$18:$B$60,$D$76,$D$18:$D$60,"Fora Ponta")),(SUMIFS($F$18:$F$60,$B$18:$B$60,$D$76,$D$18:$D$60,"Fora Ponta"))))</f>
        <v>5006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18.600000000000001</v>
      </c>
      <c r="I83" s="277">
        <f>SUMIFS($U$18:$U$60,$B$18:$B$60,$D$76,$D$18:$D$60,"Fora Ponta")</f>
        <v>18.7</v>
      </c>
      <c r="J83" s="277">
        <f t="shared" si="9"/>
        <v>4374</v>
      </c>
      <c r="K83" s="277">
        <f t="shared" si="10"/>
        <v>5006</v>
      </c>
      <c r="L83" s="277">
        <f>IF(MONTH(DataRevRea)=7,'Rede Básica + Ajuste'!J83,IF(G83&lt;$Q$69,(SUMIFS($E$18:$E$60,$B$18:$B$60,$D$76,$D$18:$D$60,"Ponta")),(SUMIFS($F$18:$F$60,$B$18:$B$60,$D$76,$D$18:$D$60,"Ponta"))))</f>
        <v>4374</v>
      </c>
      <c r="M83" s="277">
        <f>IF(MONTH(DataRevRea)=7,'Rede Básica + Ajuste'!K83,IF(G83&lt;$Q$69,(SUMIFS($E$18:$E$60,$B$18:$B$60,$D$76,$D$18:$D$60,"Fora Ponta")),(SUMIFS($F$18:$F$60,$B$18:$B$60,$D$76,$D$18:$D$60,"Fora Ponta"))))</f>
        <v>5006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18.600000000000001</v>
      </c>
      <c r="I84" s="277">
        <f>SUMIFS($V$18:$V$60,$B$18:$B$60,$D$76,$D$18:$D$60,"Fora Ponta")</f>
        <v>18.7</v>
      </c>
      <c r="J84" s="277">
        <f t="shared" si="9"/>
        <v>4374</v>
      </c>
      <c r="K84" s="277">
        <f t="shared" si="10"/>
        <v>5006</v>
      </c>
      <c r="L84" s="277">
        <f>IF(MONTH(DataRevRea)=7,'Rede Básica + Ajuste'!J84,IF(G84&lt;$Q$69,(SUMIFS($E$18:$E$60,$B$18:$B$60,$D$76,$D$18:$D$60,"Ponta")),(SUMIFS($F$18:$F$60,$B$18:$B$60,$D$76,$D$18:$D$60,"Ponta"))))</f>
        <v>4374</v>
      </c>
      <c r="M84" s="277">
        <f>IF(MONTH(DataRevRea)=7,'Rede Básica + Ajuste'!K84,IF(G84&lt;$Q$69,(SUMIFS($E$18:$E$60,$B$18:$B$60,$D$76,$D$18:$D$60,"Fora Ponta")),(SUMIFS($F$18:$F$60,$B$18:$B$60,$D$76,$D$18:$D$60,"Fora Ponta"))))</f>
        <v>5006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18.600000000000001</v>
      </c>
      <c r="I85" s="277">
        <f>SUMIFS($W$18:$W$60,$B$18:$B$60,$D$76,$D$18:$D$60,"Fora Ponta")</f>
        <v>18.7</v>
      </c>
      <c r="J85" s="277">
        <f t="shared" si="9"/>
        <v>4374</v>
      </c>
      <c r="K85" s="277">
        <f t="shared" si="10"/>
        <v>5006</v>
      </c>
      <c r="L85" s="277">
        <f>IF(MONTH(DataRevRea)=7,'Rede Básica + Ajuste'!J85,IF(G85&lt;$Q$69,(SUMIFS($E$18:$E$60,$B$18:$B$60,$D$76,$D$18:$D$60,"Ponta")),(SUMIFS($F$18:$F$60,$B$18:$B$60,$D$76,$D$18:$D$60,"Ponta"))))</f>
        <v>4374</v>
      </c>
      <c r="M85" s="277">
        <f>IF(MONTH(DataRevRea)=7,'Rede Básica + Ajuste'!K85,IF(G85&lt;$Q$69,(SUMIFS($E$18:$E$60,$B$18:$B$60,$D$76,$D$18:$D$60,"Fora Ponta")),(SUMIFS($F$18:$F$60,$B$18:$B$60,$D$76,$D$18:$D$60,"Fora Ponta"))))</f>
        <v>5006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18.600000000000001</v>
      </c>
      <c r="I86" s="277">
        <f>SUMIFS($X$18:$X$60,$B$18:$B$60,$D$76,$D$18:$D$60,"Fora Ponta")</f>
        <v>18.7</v>
      </c>
      <c r="J86" s="277">
        <f t="shared" si="9"/>
        <v>4374</v>
      </c>
      <c r="K86" s="277">
        <f t="shared" si="10"/>
        <v>5006</v>
      </c>
      <c r="L86" s="277">
        <f>IF(MONTH(DataRevRea)=7,'Rede Básica + Ajuste'!J86,IF(G86&lt;$Q$69,(SUMIFS($E$18:$E$60,$B$18:$B$60,$D$76,$D$18:$D$60,"Ponta")),(SUMIFS($F$18:$F$60,$B$18:$B$60,$D$76,$D$18:$D$60,"Ponta"))))</f>
        <v>4374</v>
      </c>
      <c r="M86" s="277">
        <f>IF(MONTH(DataRevRea)=7,'Rede Básica + Ajuste'!K86,IF(G86&lt;$Q$69,(SUMIFS($E$18:$E$60,$B$18:$B$60,$D$76,$D$18:$D$60,"Fora Ponta")),(SUMIFS($F$18:$F$60,$B$18:$B$60,$D$76,$D$18:$D$60,"Fora Ponta"))))</f>
        <v>5006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51">
        <f t="shared" si="12"/>
        <v>44713</v>
      </c>
      <c r="H87" s="1352">
        <f>SUMIFS($Y$18:$Y$60,$B$18:$B$60,$D$76,$D$18:$D$60,"Ponta")</f>
        <v>18.600000000000001</v>
      </c>
      <c r="I87" s="1352">
        <f>SUMIFS($Y$18:$Y$60,$B$18:$B$60,$D$76,$D$18:$D$60,"Fora Ponta")</f>
        <v>18.7</v>
      </c>
      <c r="J87" s="1352">
        <f t="shared" si="9"/>
        <v>4374</v>
      </c>
      <c r="K87" s="1352">
        <f t="shared" si="10"/>
        <v>5006</v>
      </c>
      <c r="L87" s="1352">
        <f>IF(MONTH(DataRevRea)=7,'Rede Básica + Ajuste'!J87,IF(G87&lt;$Q$69,(SUMIFS($E$18:$E$60,$B$18:$B$60,$D$76,$D$18:$D$60,"Ponta")),(SUMIFS($F$18:$F$60,$B$18:$B$60,$D$76,$D$18:$D$60,"Ponta"))))</f>
        <v>4374</v>
      </c>
      <c r="M87" s="1352">
        <f>IF(MONTH(DataRevRea)=7,'Rede Básica + Ajuste'!K87,IF(G87&lt;$Q$69,(SUMIFS($E$18:$E$60,$B$18:$B$60,$D$76,$D$18:$D$60,"Fora Ponta")),(SUMIFS($F$18:$F$60,$B$18:$B$60,$D$76,$D$18:$D$60,"Fora Ponta"))))</f>
        <v>5006</v>
      </c>
      <c r="N87" s="1353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818" t="s">
        <v>1253</v>
      </c>
      <c r="K89" s="1819"/>
      <c r="L89" s="1817" t="s">
        <v>1254</v>
      </c>
      <c r="M89" s="1817"/>
      <c r="N89" s="283"/>
    </row>
    <row r="90" spans="2:50" ht="15.75">
      <c r="C90" s="1820" t="s">
        <v>1264</v>
      </c>
      <c r="D90" s="1821"/>
      <c r="F90" s="275"/>
      <c r="G90" s="1340" t="s">
        <v>716</v>
      </c>
      <c r="H90" s="1341" t="s">
        <v>1255</v>
      </c>
      <c r="I90" s="1341" t="s">
        <v>1256</v>
      </c>
      <c r="J90" s="1342" t="s">
        <v>1257</v>
      </c>
      <c r="K90" s="1342" t="s">
        <v>1258</v>
      </c>
      <c r="L90" s="1342" t="s">
        <v>1257</v>
      </c>
      <c r="M90" s="1342" t="s">
        <v>1258</v>
      </c>
      <c r="N90" s="282" t="s">
        <v>1259</v>
      </c>
    </row>
    <row r="91" spans="2:50" ht="15.75">
      <c r="C91" s="1337" t="s">
        <v>1260</v>
      </c>
      <c r="D91" s="1343" t="str">
        <f>IF(D18="Ponta",B18,0)</f>
        <v>SANTA ROSA 1 - 69 kV (A)</v>
      </c>
      <c r="E91" s="18"/>
      <c r="F91" s="275"/>
      <c r="G91" s="1344">
        <f>G76</f>
        <v>44378</v>
      </c>
      <c r="H91" s="277">
        <f>H76</f>
        <v>18.2</v>
      </c>
      <c r="I91" s="277">
        <f>I76</f>
        <v>18.3</v>
      </c>
      <c r="J91" s="277">
        <f>SUMIFS($G$18:$G$60,$B$18:$B$60,$D$76,$D$18:$D$60,"Ponta")</f>
        <v>1581</v>
      </c>
      <c r="K91" s="277">
        <f>SUMIFS($G$18:$G$60,$B$18:$B$60,$D$76,$D$18:$D$60,"Fora Ponta")</f>
        <v>1581</v>
      </c>
      <c r="L91" s="1345">
        <f>IF(MONTH(DataRevRea)=7,'Rede Básica + Ajuste'!J91,IF(G91&lt;$Q$69,(SUMIFS($G$18:$G$60,$B$18:$B$60,$D$91,$D$18:$D$60,"Ponta")),(SUMIFS($H$18:$H$60,$B$18:$B$60,$D$91,$D$18:$D$60,"Ponta"))))</f>
        <v>1581</v>
      </c>
      <c r="M91" s="1345">
        <f>IF(MONTH(DataRevRea)=7,'Rede Básica + Ajuste'!K91,IF(G91&lt;$Q$69,(SUMIFS($G$18:$G$60,$B$18:$B$60,$D$91,$D$18:$D$60,"Fora Ponta")),(SUMIFS($H$18:$H$60,$B$18:$B$60,$D$91,$D$18:$D$60,"Fora Ponta"))))</f>
        <v>1581</v>
      </c>
      <c r="N91" s="1346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18.2</v>
      </c>
      <c r="I92" s="277">
        <f t="shared" si="13"/>
        <v>18.3</v>
      </c>
      <c r="J92" s="277">
        <f t="shared" ref="J92:J102" si="14">SUMIFS($G$18:$G$60,$B$18:$B$60,$D$76,$D$18:$D$60,"Ponta")</f>
        <v>1581</v>
      </c>
      <c r="K92" s="277">
        <f t="shared" ref="K92:K102" si="15">SUMIFS($G$18:$G$60,$B$18:$B$60,$D$76,$D$18:$D$60,"Fora Ponta")</f>
        <v>1581</v>
      </c>
      <c r="L92" s="277">
        <f>IF(MONTH(DataRevRea)=7,'Rede Básica + Ajuste'!J92,IF(G92&lt;$Q$69,(SUMIFS($G$18:$G$60,$B$18:$B$60,$D$91,$D$18:$D$60,"Ponta")),(SUMIFS($H$18:$H$60,$B$18:$B$60,$D$91,$D$18:$D$60,"Ponta"))))</f>
        <v>1581</v>
      </c>
      <c r="M92" s="277">
        <f>IF(MONTH(DataRevRea)=7,'Rede Básica + Ajuste'!K92,IF(G92&lt;$Q$69,(SUMIFS($G$18:$G$60,$B$18:$B$60,$D$91,$D$18:$D$60,"Fora Ponta")),(SUMIFS($H$18:$H$60,$B$18:$B$60,$D$91,$D$18:$D$60,"Fora Ponta"))))</f>
        <v>1581</v>
      </c>
      <c r="N92" s="284">
        <f t="shared" ref="N92:N102" si="16">+(H92*(L92-J92))+(I92*(M92-K92))</f>
        <v>0</v>
      </c>
    </row>
    <row r="93" spans="2:50" ht="15.75">
      <c r="C93" s="278"/>
      <c r="D93" s="1347" t="s">
        <v>1261</v>
      </c>
      <c r="E93" s="1348" t="s">
        <v>1262</v>
      </c>
      <c r="F93" s="275"/>
      <c r="G93" s="276">
        <f t="shared" si="13"/>
        <v>44440</v>
      </c>
      <c r="H93" s="277">
        <f t="shared" si="13"/>
        <v>18.2</v>
      </c>
      <c r="I93" s="277">
        <f t="shared" si="13"/>
        <v>18.3</v>
      </c>
      <c r="J93" s="277">
        <f t="shared" si="14"/>
        <v>1581</v>
      </c>
      <c r="K93" s="277">
        <f t="shared" si="15"/>
        <v>1581</v>
      </c>
      <c r="L93" s="277">
        <f>IF(MONTH(DataRevRea)=7,'Rede Básica + Ajuste'!J93,IF(G93&lt;$Q$69,(SUMIFS($G$18:$G$60,$B$18:$B$60,$D$91,$D$18:$D$60,"Ponta")),(SUMIFS($H$18:$H$60,$B$18:$B$60,$D$91,$D$18:$D$60,"Ponta"))))</f>
        <v>1581</v>
      </c>
      <c r="M93" s="277">
        <f>IF(MONTH(DataRevRea)=7,'Rede Básica + Ajuste'!K93,IF(G93&lt;$Q$69,(SUMIFS($G$18:$G$60,$B$18:$B$60,$D$91,$D$18:$D$60,"Fora Ponta")),(SUMIFS($H$18:$H$60,$B$18:$B$60,$D$91,$D$18:$D$60,"Fora Ponta"))))</f>
        <v>1581</v>
      </c>
      <c r="N93" s="284">
        <f t="shared" si="16"/>
        <v>0</v>
      </c>
    </row>
    <row r="94" spans="2:50" ht="15.75">
      <c r="C94" s="1349" t="str">
        <f>C79</f>
        <v>Cobertura 2021</v>
      </c>
      <c r="D94" s="1350">
        <f>SUMPRODUCT(H91:H102,J91:J102)</f>
        <v>349084.8</v>
      </c>
      <c r="E94" s="1350">
        <f>SUMPRODUCT(I91:I102,K91:K102)</f>
        <v>350982.00000000006</v>
      </c>
      <c r="F94" s="275"/>
      <c r="G94" s="276">
        <f t="shared" si="13"/>
        <v>44470</v>
      </c>
      <c r="H94" s="277">
        <f t="shared" si="13"/>
        <v>18.2</v>
      </c>
      <c r="I94" s="277">
        <f t="shared" si="13"/>
        <v>18.3</v>
      </c>
      <c r="J94" s="277">
        <f t="shared" si="14"/>
        <v>1581</v>
      </c>
      <c r="K94" s="277">
        <f t="shared" si="15"/>
        <v>1581</v>
      </c>
      <c r="L94" s="277">
        <f>IF(MONTH(DataRevRea)=7,'Rede Básica + Ajuste'!J94,IF(G94&lt;$Q$69,(SUMIFS($G$18:$G$60,$B$18:$B$60,$D$91,$D$18:$D$60,"Ponta")),(SUMIFS($H$18:$H$60,$B$18:$B$60,$D$91,$D$18:$D$60,"Ponta"))))</f>
        <v>1581</v>
      </c>
      <c r="M94" s="277">
        <f>IF(MONTH(DataRevRea)=7,'Rede Básica + Ajuste'!K94,IF(G94&lt;$Q$69,(SUMIFS($G$18:$G$60,$B$18:$B$60,$D$91,$D$18:$D$60,"Fora Ponta")),(SUMIFS($H$18:$H$60,$B$18:$B$60,$D$91,$D$18:$D$60,"Fora Ponta"))))</f>
        <v>1581</v>
      </c>
      <c r="N94" s="284">
        <f t="shared" si="16"/>
        <v>0</v>
      </c>
    </row>
    <row r="95" spans="2:50" ht="15.75">
      <c r="C95" s="1349" t="s">
        <v>1263</v>
      </c>
      <c r="D95" s="1350">
        <f>SUMPRODUCT(H91:H102,L91:L102)</f>
        <v>349084.8</v>
      </c>
      <c r="E95" s="1350">
        <f>SUMPRODUCT(I91:I102,M91:M102)</f>
        <v>350982.00000000006</v>
      </c>
      <c r="F95" s="275"/>
      <c r="G95" s="276">
        <f t="shared" si="13"/>
        <v>44501</v>
      </c>
      <c r="H95" s="277">
        <f t="shared" si="13"/>
        <v>18.2</v>
      </c>
      <c r="I95" s="277">
        <f t="shared" si="13"/>
        <v>18.3</v>
      </c>
      <c r="J95" s="277">
        <f t="shared" si="14"/>
        <v>1581</v>
      </c>
      <c r="K95" s="277">
        <f t="shared" si="15"/>
        <v>1581</v>
      </c>
      <c r="L95" s="277">
        <f>IF(MONTH(DataRevRea)=7,'Rede Básica + Ajuste'!J95,IF(G95&lt;$Q$69,(SUMIFS($G$18:$G$60,$B$18:$B$60,$D$91,$D$18:$D$60,"Ponta")),(SUMIFS($H$18:$H$60,$B$18:$B$60,$D$91,$D$18:$D$60,"Ponta"))))</f>
        <v>1581</v>
      </c>
      <c r="M95" s="277">
        <f>IF(MONTH(DataRevRea)=7,'Rede Básica + Ajuste'!K95,IF(G95&lt;$Q$69,(SUMIFS($G$18:$G$60,$B$18:$B$60,$D$91,$D$18:$D$60,"Fora Ponta")),(SUMIFS($H$18:$H$60,$B$18:$B$60,$D$91,$D$18:$D$60,"Fora Ponta"))))</f>
        <v>1581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18.2</v>
      </c>
      <c r="I96" s="277">
        <f t="shared" si="13"/>
        <v>18.3</v>
      </c>
      <c r="J96" s="277">
        <f t="shared" si="14"/>
        <v>1581</v>
      </c>
      <c r="K96" s="277">
        <f t="shared" si="15"/>
        <v>1581</v>
      </c>
      <c r="L96" s="277">
        <f>IF(MONTH(DataRevRea)=7,'Rede Básica + Ajuste'!J96,IF(G96&lt;$Q$69,(SUMIFS($G$18:$G$60,$B$18:$B$60,$D$91,$D$18:$D$60,"Ponta")),(SUMIFS($H$18:$H$60,$B$18:$B$60,$D$91,$D$18:$D$60,"Ponta"))))</f>
        <v>1581</v>
      </c>
      <c r="M96" s="277">
        <f>IF(MONTH(DataRevRea)=7,'Rede Básica + Ajuste'!K96,IF(G96&lt;$Q$69,(SUMIFS($G$18:$G$60,$B$18:$B$60,$D$91,$D$18:$D$60,"Fora Ponta")),(SUMIFS($H$18:$H$60,$B$18:$B$60,$D$91,$D$18:$D$60,"Fora Ponta"))))</f>
        <v>1581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18.600000000000001</v>
      </c>
      <c r="I97" s="277">
        <f t="shared" si="13"/>
        <v>18.7</v>
      </c>
      <c r="J97" s="277">
        <f t="shared" si="14"/>
        <v>1581</v>
      </c>
      <c r="K97" s="277">
        <f t="shared" si="15"/>
        <v>1581</v>
      </c>
      <c r="L97" s="277">
        <f>IF(MONTH(DataRevRea)=7,'Rede Básica + Ajuste'!J97,IF(G97&lt;$Q$69,(SUMIFS($G$18:$G$60,$B$18:$B$60,$D$91,$D$18:$D$60,"Ponta")),(SUMIFS($H$18:$H$60,$B$18:$B$60,$D$91,$D$18:$D$60,"Ponta"))))</f>
        <v>1581</v>
      </c>
      <c r="M97" s="277">
        <f>IF(MONTH(DataRevRea)=7,'Rede Básica + Ajuste'!K97,IF(G97&lt;$Q$69,(SUMIFS($G$18:$G$60,$B$18:$B$60,$D$91,$D$18:$D$60,"Fora Ponta")),(SUMIFS($H$18:$H$60,$B$18:$B$60,$D$91,$D$18:$D$60,"Fora Ponta"))))</f>
        <v>1581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18.600000000000001</v>
      </c>
      <c r="I98" s="277">
        <f t="shared" si="13"/>
        <v>18.7</v>
      </c>
      <c r="J98" s="277">
        <f t="shared" si="14"/>
        <v>1581</v>
      </c>
      <c r="K98" s="277">
        <f t="shared" si="15"/>
        <v>1581</v>
      </c>
      <c r="L98" s="277">
        <f>IF(MONTH(DataRevRea)=7,'Rede Básica + Ajuste'!J98,IF(G98&lt;$Q$69,(SUMIFS($G$18:$G$60,$B$18:$B$60,$D$91,$D$18:$D$60,"Ponta")),(SUMIFS($H$18:$H$60,$B$18:$B$60,$D$91,$D$18:$D$60,"Ponta"))))</f>
        <v>1581</v>
      </c>
      <c r="M98" s="277">
        <f>IF(MONTH(DataRevRea)=7,'Rede Básica + Ajuste'!K98,IF(G98&lt;$Q$69,(SUMIFS($G$18:$G$60,$B$18:$B$60,$D$91,$D$18:$D$60,"Fora Ponta")),(SUMIFS($H$18:$H$60,$B$18:$B$60,$D$91,$D$18:$D$60,"Fora Ponta"))))</f>
        <v>1581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18.600000000000001</v>
      </c>
      <c r="I99" s="277">
        <f t="shared" si="13"/>
        <v>18.7</v>
      </c>
      <c r="J99" s="277">
        <f t="shared" si="14"/>
        <v>1581</v>
      </c>
      <c r="K99" s="277">
        <f t="shared" si="15"/>
        <v>1581</v>
      </c>
      <c r="L99" s="277">
        <f>IF(MONTH(DataRevRea)=7,'Rede Básica + Ajuste'!J99,IF(G99&lt;$Q$69,(SUMIFS($G$18:$G$60,$B$18:$B$60,$D$91,$D$18:$D$60,"Ponta")),(SUMIFS($H$18:$H$60,$B$18:$B$60,$D$91,$D$18:$D$60,"Ponta"))))</f>
        <v>1581</v>
      </c>
      <c r="M99" s="277">
        <f>IF(MONTH(DataRevRea)=7,'Rede Básica + Ajuste'!K99,IF(G99&lt;$Q$69,(SUMIFS($G$18:$G$60,$B$18:$B$60,$D$91,$D$18:$D$60,"Fora Ponta")),(SUMIFS($H$18:$H$60,$B$18:$B$60,$D$91,$D$18:$D$60,"Fora Ponta"))))</f>
        <v>1581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18.600000000000001</v>
      </c>
      <c r="I100" s="277">
        <f t="shared" si="13"/>
        <v>18.7</v>
      </c>
      <c r="J100" s="277">
        <f t="shared" si="14"/>
        <v>1581</v>
      </c>
      <c r="K100" s="277">
        <f t="shared" si="15"/>
        <v>1581</v>
      </c>
      <c r="L100" s="277">
        <f>IF(MONTH(DataRevRea)=7,'Rede Básica + Ajuste'!J100,IF(G100&lt;$Q$69,(SUMIFS($G$18:$G$60,$B$18:$B$60,$D$91,$D$18:$D$60,"Ponta")),(SUMIFS($H$18:$H$60,$B$18:$B$60,$D$91,$D$18:$D$60,"Ponta"))))</f>
        <v>1581</v>
      </c>
      <c r="M100" s="277">
        <f>IF(MONTH(DataRevRea)=7,'Rede Básica + Ajuste'!K100,IF(G100&lt;$Q$69,(SUMIFS($G$18:$G$60,$B$18:$B$60,$D$91,$D$18:$D$60,"Fora Ponta")),(SUMIFS($H$18:$H$60,$B$18:$B$60,$D$91,$D$18:$D$60,"Fora Ponta"))))</f>
        <v>1581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18.600000000000001</v>
      </c>
      <c r="I101" s="277">
        <f t="shared" si="13"/>
        <v>18.7</v>
      </c>
      <c r="J101" s="277">
        <f t="shared" si="14"/>
        <v>1581</v>
      </c>
      <c r="K101" s="277">
        <f t="shared" si="15"/>
        <v>1581</v>
      </c>
      <c r="L101" s="277">
        <f>IF(MONTH(DataRevRea)=7,'Rede Básica + Ajuste'!J101,IF(G101&lt;$Q$69,(SUMIFS($G$18:$G$60,$B$18:$B$60,$D$91,$D$18:$D$60,"Ponta")),(SUMIFS($H$18:$H$60,$B$18:$B$60,$D$91,$D$18:$D$60,"Ponta"))))</f>
        <v>1581</v>
      </c>
      <c r="M101" s="277">
        <f>IF(MONTH(DataRevRea)=7,'Rede Básica + Ajuste'!K101,IF(G101&lt;$Q$69,(SUMIFS($G$18:$G$60,$B$18:$B$60,$D$91,$D$18:$D$60,"Fora Ponta")),(SUMIFS($H$18:$H$60,$B$18:$B$60,$D$91,$D$18:$D$60,"Fora Ponta"))))</f>
        <v>1581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51">
        <f t="shared" si="13"/>
        <v>44713</v>
      </c>
      <c r="H102" s="1352">
        <f t="shared" si="13"/>
        <v>18.600000000000001</v>
      </c>
      <c r="I102" s="1352">
        <f t="shared" si="13"/>
        <v>18.7</v>
      </c>
      <c r="J102" s="1352">
        <f t="shared" si="14"/>
        <v>1581</v>
      </c>
      <c r="K102" s="1352">
        <f t="shared" si="15"/>
        <v>1581</v>
      </c>
      <c r="L102" s="1352">
        <f>IF(MONTH(DataRevRea)=7,'Rede Básica + Ajuste'!J102,IF(G102&lt;$Q$69,(SUMIFS($G$18:$G$60,$B$18:$B$60,$D$91,$D$18:$D$60,"Ponta")),(SUMIFS($H$18:$H$60,$B$18:$B$60,$D$91,$D$18:$D$60,"Ponta"))))</f>
        <v>1581</v>
      </c>
      <c r="M102" s="1352">
        <f>IF(MONTH(DataRevRea)=7,'Rede Básica + Ajuste'!K102,IF(G102&lt;$Q$69,(SUMIFS($G$18:$G$60,$B$18:$B$60,$D$91,$D$18:$D$60,"Fora Ponta")),(SUMIFS($H$18:$H$60,$B$18:$B$60,$D$91,$D$18:$D$60,"Fora Ponta"))))</f>
        <v>1581</v>
      </c>
      <c r="N102" s="1353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818" t="s">
        <v>1253</v>
      </c>
      <c r="K104" s="1819"/>
      <c r="L104" s="1817" t="s">
        <v>1254</v>
      </c>
      <c r="M104" s="1817"/>
      <c r="N104" s="283"/>
    </row>
    <row r="105" spans="3:14" ht="15.75">
      <c r="C105" s="1820" t="s">
        <v>1236</v>
      </c>
      <c r="D105" s="1821"/>
      <c r="F105" s="275"/>
      <c r="G105" s="1340" t="s">
        <v>716</v>
      </c>
      <c r="H105" s="1341" t="s">
        <v>1255</v>
      </c>
      <c r="I105" s="1341" t="s">
        <v>1256</v>
      </c>
      <c r="J105" s="1342" t="s">
        <v>1257</v>
      </c>
      <c r="K105" s="1342" t="s">
        <v>1258</v>
      </c>
      <c r="L105" s="1342" t="s">
        <v>1257</v>
      </c>
      <c r="M105" s="1342" t="s">
        <v>1258</v>
      </c>
      <c r="N105" s="282" t="s">
        <v>1259</v>
      </c>
    </row>
    <row r="106" spans="3:14" ht="15.75">
      <c r="C106" s="1337" t="s">
        <v>1260</v>
      </c>
      <c r="D106" s="1354">
        <f>IF(D19="Ponta",B19,0)</f>
        <v>0</v>
      </c>
      <c r="E106" s="18"/>
      <c r="F106" s="275"/>
      <c r="G106" s="1344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45">
        <f>IF(MONTH(DataRevRea)=7,'Rede Básica + Ajuste'!J106,IF(G106&lt;$Q$69,(SUMIFS($E$18:$E$60,$B$18:$B$60,$D$106,$D$18:$D$60,"Ponta")),(SUMIFS($F$18:$F$60,$B$18:$B$60,$D$106,$D$18:$D$60,"Ponta"))))</f>
        <v>0</v>
      </c>
      <c r="M106" s="1345">
        <f>IF(MONTH(DataRevRea)=7,'Rede Básica + Ajuste'!K106,IF(G106&lt;$Q$69,(SUMIFS($E$18:$E$60,$B$18:$B$60,$D$106,$D$18:$D$60,"Fora Ponta")),(SUMIFS($F$18:$F$60,$B$18:$B$60,$D$106,$D$18:$D$60,"Fora Ponta"))))</f>
        <v>0</v>
      </c>
      <c r="N106" s="1346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47" t="s">
        <v>1261</v>
      </c>
      <c r="E108" s="1348" t="s">
        <v>1262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49" t="str">
        <f>C94</f>
        <v>Cobertura 2021</v>
      </c>
      <c r="D109" s="1350">
        <f>SUMPRODUCT(H106:H117,J106:J117)</f>
        <v>0</v>
      </c>
      <c r="E109" s="1350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49" t="s">
        <v>1263</v>
      </c>
      <c r="D110" s="1350">
        <f>SUMPRODUCT(H106:H117,L106:L117)</f>
        <v>0</v>
      </c>
      <c r="E110" s="1350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51">
        <f t="shared" si="17"/>
        <v>44713</v>
      </c>
      <c r="H117" s="1352">
        <f>SUMIFS($Y$18:$Y$60,$B$18:$B$60,$D$106,$D$18:$D$60,"Ponta")</f>
        <v>0</v>
      </c>
      <c r="I117" s="1352">
        <f>SUMIFS($Y$18:$Y$60,$B$18:$B$60,$D$106,$D$18:$D$60,"Fora Ponta")</f>
        <v>0</v>
      </c>
      <c r="J117" s="1352">
        <f t="shared" si="18"/>
        <v>0</v>
      </c>
      <c r="K117" s="1352">
        <f t="shared" si="19"/>
        <v>0</v>
      </c>
      <c r="L117" s="1352">
        <f>IF(MONTH(DataRevRea)=7,'Rede Básica + Ajuste'!J117,IF(G117&lt;$Q$69,(SUMIFS($E$18:$E$60,$B$18:$B$60,$D$106,$D$18:$D$60,"Ponta")),(SUMIFS($F$18:$F$60,$B$18:$B$60,$D$106,$D$18:$D$60,"Ponta"))))</f>
        <v>0</v>
      </c>
      <c r="M117" s="1352">
        <f>IF(MONTH(DataRevRea)=7,'Rede Básica + Ajuste'!K117,IF(G117&lt;$Q$69,(SUMIFS($E$18:$E$60,$B$18:$B$60,$D$106,$D$18:$D$60,"Fora Ponta")),(SUMIFS($F$18:$F$60,$B$18:$B$60,$D$106,$D$18:$D$60,"Fora Ponta"))))</f>
        <v>0</v>
      </c>
      <c r="N117" s="1353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818" t="s">
        <v>1253</v>
      </c>
      <c r="K119" s="1819"/>
      <c r="L119" s="1817" t="s">
        <v>1254</v>
      </c>
      <c r="M119" s="1817"/>
      <c r="N119" s="283"/>
    </row>
    <row r="120" spans="3:14" ht="15.75">
      <c r="C120" s="1820" t="s">
        <v>1264</v>
      </c>
      <c r="D120" s="1821"/>
      <c r="F120" s="275"/>
      <c r="G120" s="1340" t="s">
        <v>716</v>
      </c>
      <c r="H120" s="1341" t="s">
        <v>1255</v>
      </c>
      <c r="I120" s="1341" t="s">
        <v>1256</v>
      </c>
      <c r="J120" s="1342" t="s">
        <v>1257</v>
      </c>
      <c r="K120" s="1342" t="s">
        <v>1258</v>
      </c>
      <c r="L120" s="1342" t="s">
        <v>1257</v>
      </c>
      <c r="M120" s="1342" t="s">
        <v>1258</v>
      </c>
      <c r="N120" s="282" t="s">
        <v>1259</v>
      </c>
    </row>
    <row r="121" spans="3:14" ht="15.75">
      <c r="C121" s="1337" t="s">
        <v>1260</v>
      </c>
      <c r="D121" s="1354">
        <f>IF(D19="Ponta",B19,0)</f>
        <v>0</v>
      </c>
      <c r="E121" s="18"/>
      <c r="F121" s="275"/>
      <c r="G121" s="1344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45">
        <f>IF(MONTH(DataRevRea)=7,'Rede Básica + Ajuste'!J121,IF(G121&lt;$Q$69,(SUMIFS($G$18:$G$60,$B$18:$B$60,$D$121,$D$18:$D$60,"Ponta")),(SUMIFS($H$18:$H$60,$B$18:$B$60,$D$121,$D$18:$D$60,"Ponta"))))</f>
        <v>0</v>
      </c>
      <c r="M121" s="1345">
        <f>IF(MONTH(DataRevRea)=7,'Rede Básica + Ajuste'!K121,IF(G121&lt;$Q$69,(SUMIFS($G$18:$G$60,$B$18:$B$60,$D$121,$D$18:$D$60,"Fora Ponta")),(SUMIFS($H$18:$H$60,$B$18:$B$60,$D$121,$D$18:$D$60,"Fora Ponta"))))</f>
        <v>0</v>
      </c>
      <c r="N121" s="1346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47" t="s">
        <v>1261</v>
      </c>
      <c r="E123" s="1348" t="s">
        <v>1262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49" t="str">
        <f>C109</f>
        <v>Cobertura 2021</v>
      </c>
      <c r="D124" s="1350">
        <f>SUMPRODUCT(H121:H132,J121:J132)</f>
        <v>0</v>
      </c>
      <c r="E124" s="1350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49" t="s">
        <v>1263</v>
      </c>
      <c r="D125" s="1350">
        <f>SUMPRODUCT(H121:H132,L121:L132)</f>
        <v>0</v>
      </c>
      <c r="E125" s="1350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51">
        <f t="shared" si="21"/>
        <v>44713</v>
      </c>
      <c r="H132" s="1352">
        <f t="shared" si="21"/>
        <v>0</v>
      </c>
      <c r="I132" s="1352">
        <f t="shared" si="21"/>
        <v>0</v>
      </c>
      <c r="J132" s="1352">
        <f t="shared" si="22"/>
        <v>0</v>
      </c>
      <c r="K132" s="1352">
        <f t="shared" si="23"/>
        <v>0</v>
      </c>
      <c r="L132" s="1352">
        <f>IF(MONTH(DataRevRea)=7,'Rede Básica + Ajuste'!J132,IF(G132&lt;$Q$69,(SUMIFS($G$18:$G$60,$B$18:$B$60,$D$121,$D$18:$D$60,"Ponta")),(SUMIFS($H$18:$H$60,$B$18:$B$60,$D$121,$D$18:$D$60,"Ponta"))))</f>
        <v>0</v>
      </c>
      <c r="M132" s="1352">
        <f>IF(MONTH(DataRevRea)=7,'Rede Básica + Ajuste'!K132,IF(G132&lt;$Q$69,(SUMIFS($G$18:$G$60,$B$18:$B$60,$D$121,$D$18:$D$60,"Fora Ponta")),(SUMIFS($H$18:$H$60,$B$18:$B$60,$D$121,$D$18:$D$60,"Fora Ponta"))))</f>
        <v>0</v>
      </c>
      <c r="N132" s="1353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818" t="s">
        <v>1253</v>
      </c>
      <c r="K134" s="1819"/>
      <c r="L134" s="1817" t="s">
        <v>1254</v>
      </c>
      <c r="M134" s="1817"/>
      <c r="N134" s="283"/>
    </row>
    <row r="135" spans="3:14" ht="15.75">
      <c r="C135" s="1820" t="s">
        <v>1236</v>
      </c>
      <c r="D135" s="1821"/>
      <c r="F135" s="275"/>
      <c r="G135" s="1340" t="s">
        <v>716</v>
      </c>
      <c r="H135" s="1341" t="s">
        <v>1255</v>
      </c>
      <c r="I135" s="1341" t="s">
        <v>1256</v>
      </c>
      <c r="J135" s="1342" t="s">
        <v>1257</v>
      </c>
      <c r="K135" s="1342" t="s">
        <v>1258</v>
      </c>
      <c r="L135" s="1342" t="s">
        <v>1257</v>
      </c>
      <c r="M135" s="1342" t="s">
        <v>1258</v>
      </c>
      <c r="N135" s="282" t="s">
        <v>1259</v>
      </c>
    </row>
    <row r="136" spans="3:14" ht="15.75">
      <c r="C136" s="1337" t="s">
        <v>1260</v>
      </c>
      <c r="D136" s="1354">
        <f>IF(D20="Ponta",B20,0)</f>
        <v>0</v>
      </c>
      <c r="E136" s="18"/>
      <c r="F136" s="275"/>
      <c r="G136" s="1344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45">
        <f>IF(MONTH(DataRevRea)=7,'Rede Básica + Ajuste'!J136,IF(G136&lt;$Q$69,(SUMIFS($E$18:$E$60,$B$18:$B$60,$D$136,$D$18:$D$60,"Ponta")),(SUMIFS($F$18:$F$60,$B$18:$B$60,$D$136,$D$18:$D$60,"Ponta"))))</f>
        <v>0</v>
      </c>
      <c r="M136" s="1345">
        <f>IF(MONTH(DataRevRea)=7,'Rede Básica + Ajuste'!K136,IF(G136&lt;$Q$69,(SUMIFS($E$18:$E$60,$B$18:$B$60,$D$136,$D$18:$D$60,"Fora Ponta")),(SUMIFS($F$18:$F$60,$B$18:$B$60,$D$136,$D$18:$D$60,"Fora Ponta"))))</f>
        <v>0</v>
      </c>
      <c r="N136" s="1346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47" t="s">
        <v>1261</v>
      </c>
      <c r="E138" s="1348" t="s">
        <v>1262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49" t="str">
        <f>C124</f>
        <v>Cobertura 2021</v>
      </c>
      <c r="D139" s="1350">
        <f>SUMPRODUCT(H136:H147,J136:J147)</f>
        <v>0</v>
      </c>
      <c r="E139" s="1350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49" t="s">
        <v>1263</v>
      </c>
      <c r="D140" s="1350">
        <f>SUMPRODUCT(H136:H147,L136:L147)</f>
        <v>0</v>
      </c>
      <c r="E140" s="1350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51">
        <f t="shared" si="25"/>
        <v>44713</v>
      </c>
      <c r="H147" s="1352">
        <f>SUMIFS($Y$18:$Y$60,$B$18:$B$60,$D$136,$D$18:$D$60,"Ponta")</f>
        <v>0</v>
      </c>
      <c r="I147" s="1352">
        <f>SUMIFS($Y$18:$Y$60,$B$18:$B$60,$D$136,$D$18:$D$60,"Fora Ponta")</f>
        <v>0</v>
      </c>
      <c r="J147" s="1352">
        <f t="shared" si="26"/>
        <v>0</v>
      </c>
      <c r="K147" s="1352">
        <f t="shared" si="27"/>
        <v>0</v>
      </c>
      <c r="L147" s="1352">
        <f>IF(MONTH(DataRevRea)=7,'Rede Básica + Ajuste'!J147,IF(G147&lt;$Q$69,(SUMIFS($E$18:$E$60,$B$18:$B$60,$D$136,$D$18:$D$60,"Ponta")),(SUMIFS($F$18:$F$60,$B$18:$B$60,$D$136,$D$18:$D$60,"Ponta"))))</f>
        <v>0</v>
      </c>
      <c r="M147" s="1352">
        <f>IF(MONTH(DataRevRea)=7,'Rede Básica + Ajuste'!K147,IF(G147&lt;$Q$69,(SUMIFS($E$18:$E$60,$B$18:$B$60,$D$136,$D$18:$D$60,"Fora Ponta")),(SUMIFS($F$18:$F$60,$B$18:$B$60,$D$136,$D$18:$D$60,"Fora Ponta"))))</f>
        <v>0</v>
      </c>
      <c r="N147" s="1353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818" t="s">
        <v>1253</v>
      </c>
      <c r="K149" s="1819"/>
      <c r="L149" s="1817" t="s">
        <v>1254</v>
      </c>
      <c r="M149" s="1817"/>
      <c r="N149" s="283"/>
    </row>
    <row r="150" spans="3:14" ht="15.75">
      <c r="C150" s="1820" t="s">
        <v>1264</v>
      </c>
      <c r="D150" s="1821"/>
      <c r="F150" s="275"/>
      <c r="G150" s="1340" t="s">
        <v>716</v>
      </c>
      <c r="H150" s="1341" t="s">
        <v>1255</v>
      </c>
      <c r="I150" s="1341" t="s">
        <v>1256</v>
      </c>
      <c r="J150" s="1342" t="s">
        <v>1257</v>
      </c>
      <c r="K150" s="1342" t="s">
        <v>1258</v>
      </c>
      <c r="L150" s="1342" t="s">
        <v>1257</v>
      </c>
      <c r="M150" s="1342" t="s">
        <v>1258</v>
      </c>
      <c r="N150" s="282" t="s">
        <v>1259</v>
      </c>
    </row>
    <row r="151" spans="3:14" ht="15.75">
      <c r="C151" s="1337" t="s">
        <v>1260</v>
      </c>
      <c r="D151" s="1354">
        <f>IF(D20="Ponta",B20,0)</f>
        <v>0</v>
      </c>
      <c r="E151" s="18"/>
      <c r="F151" s="275"/>
      <c r="G151" s="1344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45">
        <f>IF(MONTH(DataRevRea)=7,'Rede Básica + Ajuste'!J151,IF(G151&lt;$Q$69,(SUMIFS($G$18:$G$60,$B$18:$B$60,$D$151,$D$18:$D$60,"Ponta")),(SUMIFS($H$18:$H$60,$B$18:$B$60,$D$151,$D$18:$D$60,"Ponta"))))</f>
        <v>0</v>
      </c>
      <c r="M151" s="1345">
        <f>IF(MONTH(DataRevRea)=7,'Rede Básica + Ajuste'!K151,IF(G151&lt;$Q$69,(SUMIFS($G$18:$G$60,$B$18:$B$60,$D$151,$D$18:$D$60,"Fora Ponta")),(SUMIFS($H$18:$H$60,$B$18:$B$60,$D$151,$D$18:$D$60,"Fora Ponta"))))</f>
        <v>0</v>
      </c>
      <c r="N151" s="1346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47" t="s">
        <v>1261</v>
      </c>
      <c r="E153" s="1348" t="s">
        <v>1262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49" t="str">
        <f>C139</f>
        <v>Cobertura 2021</v>
      </c>
      <c r="D154" s="1350">
        <f>SUMPRODUCT(H151:H162,J151:J162)</f>
        <v>0</v>
      </c>
      <c r="E154" s="1350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49" t="s">
        <v>1263</v>
      </c>
      <c r="D155" s="1350">
        <f>SUMPRODUCT(H151:H162,L151:L162)</f>
        <v>0</v>
      </c>
      <c r="E155" s="1350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51">
        <f t="shared" si="29"/>
        <v>44713</v>
      </c>
      <c r="H162" s="1352">
        <f t="shared" si="29"/>
        <v>0</v>
      </c>
      <c r="I162" s="1352">
        <f t="shared" si="29"/>
        <v>0</v>
      </c>
      <c r="J162" s="1352">
        <f t="shared" si="30"/>
        <v>0</v>
      </c>
      <c r="K162" s="1352">
        <f t="shared" si="31"/>
        <v>0</v>
      </c>
      <c r="L162" s="1352">
        <f>IF(MONTH(DataRevRea)=7,'Rede Básica + Ajuste'!J162,IF(G162&lt;$Q$69,(SUMIFS($G$18:$G$60,$B$18:$B$60,$D$151,$D$18:$D$60,"Ponta")),(SUMIFS($H$18:$H$60,$B$18:$B$60,$D$151,$D$18:$D$60,"Ponta"))))</f>
        <v>0</v>
      </c>
      <c r="M162" s="1352">
        <f>IF(MONTH(DataRevRea)=7,'Rede Básica + Ajuste'!K162,IF(G162&lt;$Q$69,(SUMIFS($G$18:$G$60,$B$18:$B$60,$D$151,$D$18:$D$60,"Fora Ponta")),(SUMIFS($H$18:$H$60,$B$18:$B$60,$D$151,$D$18:$D$60,"Fora Ponta"))))</f>
        <v>0</v>
      </c>
      <c r="N162" s="1353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818" t="s">
        <v>1253</v>
      </c>
      <c r="K164" s="1819"/>
      <c r="L164" s="1817" t="s">
        <v>1254</v>
      </c>
      <c r="M164" s="1817"/>
      <c r="N164" s="283"/>
    </row>
    <row r="165" spans="3:14" ht="15.75">
      <c r="C165" s="1820" t="s">
        <v>1236</v>
      </c>
      <c r="D165" s="1821"/>
      <c r="F165" s="275"/>
      <c r="G165" s="1340" t="s">
        <v>716</v>
      </c>
      <c r="H165" s="1341" t="s">
        <v>1255</v>
      </c>
      <c r="I165" s="1341" t="s">
        <v>1256</v>
      </c>
      <c r="J165" s="1342" t="s">
        <v>1257</v>
      </c>
      <c r="K165" s="1342" t="s">
        <v>1258</v>
      </c>
      <c r="L165" s="1342" t="s">
        <v>1257</v>
      </c>
      <c r="M165" s="1342" t="s">
        <v>1258</v>
      </c>
      <c r="N165" s="282" t="s">
        <v>1259</v>
      </c>
    </row>
    <row r="166" spans="3:14" ht="15.75">
      <c r="C166" s="1337" t="s">
        <v>1260</v>
      </c>
      <c r="D166" s="1354">
        <f>IF(D21="Ponta",B21,0)</f>
        <v>0</v>
      </c>
      <c r="E166" s="18"/>
      <c r="F166" s="275"/>
      <c r="G166" s="1344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45">
        <f>IF(MONTH(DataRevRea)=7,'Rede Básica + Ajuste'!J166,IF(G166&lt;$Q$69,(SUMIFS($E$18:$E$60,$B$18:$B$60,$D$166,$D$18:$D$60,"Ponta")),(SUMIFS($F$18:$F$60,$B$18:$B$60,$D$166,$D$18:$D$60,"Ponta"))))</f>
        <v>0</v>
      </c>
      <c r="M166" s="1345">
        <f>IF(MONTH(DataRevRea)=7,'Rede Básica + Ajuste'!K166,IF(G166&lt;$Q$69,(SUMIFS($E$18:$E$60,$B$18:$B$60,$D$166,$D$18:$D$60,"Fora Ponta")),(SUMIFS($F$18:$F$60,$B$18:$B$60,$D$166,$D$18:$D$60,"Fora Ponta"))))</f>
        <v>0</v>
      </c>
      <c r="N166" s="1346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47" t="s">
        <v>1261</v>
      </c>
      <c r="E168" s="1348" t="s">
        <v>1262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49" t="str">
        <f>C154</f>
        <v>Cobertura 2021</v>
      </c>
      <c r="D169" s="1350">
        <f>SUMPRODUCT(H166:H177,J166:J177)</f>
        <v>0</v>
      </c>
      <c r="E169" s="1350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49" t="s">
        <v>1263</v>
      </c>
      <c r="D170" s="1350">
        <f>SUMPRODUCT(H166:H177,L166:L177)</f>
        <v>0</v>
      </c>
      <c r="E170" s="1350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51">
        <f t="shared" si="33"/>
        <v>44713</v>
      </c>
      <c r="H177" s="1352">
        <f>SUMIFS($Y$18:$Y$60,$B$18:$B$60,$D$166,$D$18:$D$60,"Ponta")</f>
        <v>0</v>
      </c>
      <c r="I177" s="1352">
        <f>SUMIFS($Y$18:$Y$60,$B$18:$B$60,$D$166,$D$18:$D$60,"Fora Ponta")</f>
        <v>0</v>
      </c>
      <c r="J177" s="1352">
        <f t="shared" si="34"/>
        <v>0</v>
      </c>
      <c r="K177" s="1352">
        <f t="shared" si="35"/>
        <v>0</v>
      </c>
      <c r="L177" s="1352">
        <f>IF(MONTH(DataRevRea)=7,'Rede Básica + Ajuste'!J177,IF(G177&lt;$Q$69,(SUMIFS($E$18:$E$60,$B$18:$B$60,$D$166,$D$18:$D$60,"Ponta")),(SUMIFS($F$18:$F$60,$B$18:$B$60,$D$166,$D$18:$D$60,"Ponta"))))</f>
        <v>0</v>
      </c>
      <c r="M177" s="1352">
        <f>IF(MONTH(DataRevRea)=7,'Rede Básica + Ajuste'!K177,IF(G177&lt;$Q$69,(SUMIFS($E$18:$E$60,$B$18:$B$60,$D$166,$D$18:$D$60,"Fora Ponta")),(SUMIFS($F$18:$F$60,$B$18:$B$60,$D$166,$D$18:$D$60,"Fora Ponta"))))</f>
        <v>0</v>
      </c>
      <c r="N177" s="1353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818" t="s">
        <v>1253</v>
      </c>
      <c r="K179" s="1819"/>
      <c r="L179" s="1817" t="s">
        <v>1254</v>
      </c>
      <c r="M179" s="1817"/>
      <c r="N179" s="283"/>
    </row>
    <row r="180" spans="3:14" ht="15.75">
      <c r="C180" s="1820" t="s">
        <v>1264</v>
      </c>
      <c r="D180" s="1821"/>
      <c r="F180" s="275"/>
      <c r="G180" s="1340" t="s">
        <v>716</v>
      </c>
      <c r="H180" s="1341" t="s">
        <v>1255</v>
      </c>
      <c r="I180" s="1341" t="s">
        <v>1256</v>
      </c>
      <c r="J180" s="1342" t="s">
        <v>1257</v>
      </c>
      <c r="K180" s="1342" t="s">
        <v>1258</v>
      </c>
      <c r="L180" s="1342" t="s">
        <v>1257</v>
      </c>
      <c r="M180" s="1342" t="s">
        <v>1258</v>
      </c>
      <c r="N180" s="282" t="s">
        <v>1259</v>
      </c>
    </row>
    <row r="181" spans="3:14" ht="15.75">
      <c r="C181" s="1337" t="s">
        <v>1260</v>
      </c>
      <c r="D181" s="1354">
        <f>IF(D21="Ponta",B21,0)</f>
        <v>0</v>
      </c>
      <c r="E181" s="18"/>
      <c r="F181" s="275"/>
      <c r="G181" s="1344">
        <f>G166</f>
        <v>44378</v>
      </c>
      <c r="H181" s="277">
        <f>H166</f>
        <v>0</v>
      </c>
      <c r="I181" s="277">
        <f>I166</f>
        <v>0</v>
      </c>
      <c r="J181" s="1345">
        <f>SUMIFS($G$18:$G$60,$B$18:$B$60,$D$181,$D$18:$D$60,"Ponta")</f>
        <v>0</v>
      </c>
      <c r="K181" s="1345">
        <f>SUMIFS($G$18:$G$60,$B$18:$B$60,$D$181,$D$18:$D$60,"Fora Ponta")</f>
        <v>0</v>
      </c>
      <c r="L181" s="1345">
        <f>IF(MONTH(DataRevRea)=7,'Rede Básica + Ajuste'!J181,IF(G181&lt;$Q$69,(SUMIFS($G$18:$G$60,$B$18:$B$60,$D$181,$D$18:$D$60,"Ponta")),(SUMIFS($H$18:$H$60,$B$18:$B$60,$D$181,$D$18:$D$60,"Ponta"))))</f>
        <v>0</v>
      </c>
      <c r="M181" s="1345">
        <f>IF(MONTH(DataRevRea)=7,'Rede Básica + Ajuste'!K181,IF(G181&lt;$Q$69,(SUMIFS($G$18:$G$60,$B$18:$B$60,$D$181,$D$18:$D$60,"Fora Ponta")),(SUMIFS($H$18:$H$60,$B$18:$B$60,$D$181,$D$18:$D$60,"Fora Ponta"))))</f>
        <v>0</v>
      </c>
      <c r="N181" s="1346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47" t="s">
        <v>1261</v>
      </c>
      <c r="E183" s="1348" t="s">
        <v>1262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49" t="str">
        <f>C169</f>
        <v>Cobertura 2021</v>
      </c>
      <c r="D184" s="1350">
        <f>SUMPRODUCT(H181:H192,J181:J192)</f>
        <v>0</v>
      </c>
      <c r="E184" s="1350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49" t="s">
        <v>1263</v>
      </c>
      <c r="D185" s="1350">
        <f>SUMPRODUCT(H181:H192,L181:L192)</f>
        <v>0</v>
      </c>
      <c r="E185" s="1350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51">
        <f t="shared" si="37"/>
        <v>44713</v>
      </c>
      <c r="H192" s="1352">
        <f t="shared" si="37"/>
        <v>0</v>
      </c>
      <c r="I192" s="1352">
        <f t="shared" si="37"/>
        <v>0</v>
      </c>
      <c r="J192" s="1352">
        <f t="shared" si="38"/>
        <v>0</v>
      </c>
      <c r="K192" s="1352">
        <f t="shared" si="39"/>
        <v>0</v>
      </c>
      <c r="L192" s="1352">
        <f>IF(MONTH(DataRevRea)=7,'Rede Básica + Ajuste'!J192,IF(G192&lt;$Q$69,(SUMIFS($G$18:$G$60,$B$18:$B$60,$D$181,$D$18:$D$60,"Ponta")),(SUMIFS($H$18:$H$60,$B$18:$B$60,$D$181,$D$18:$D$60,"Ponta"))))</f>
        <v>0</v>
      </c>
      <c r="M192" s="1352">
        <f>IF(MONTH(DataRevRea)=7,'Rede Básica + Ajuste'!K192,IF(G192&lt;$Q$69,(SUMIFS($G$18:$G$60,$B$18:$B$60,$D$181,$D$18:$D$60,"Fora Ponta")),(SUMIFS($H$18:$H$60,$B$18:$B$60,$D$181,$D$18:$D$60,"Fora Ponta"))))</f>
        <v>0</v>
      </c>
      <c r="N192" s="1353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818" t="s">
        <v>1253</v>
      </c>
      <c r="K194" s="1819"/>
      <c r="L194" s="1817" t="s">
        <v>1254</v>
      </c>
      <c r="M194" s="1817"/>
      <c r="N194" s="283"/>
    </row>
    <row r="195" spans="3:14" ht="15.75">
      <c r="C195" s="1820" t="s">
        <v>1236</v>
      </c>
      <c r="D195" s="1821"/>
      <c r="F195" s="275"/>
      <c r="G195" s="1340" t="s">
        <v>716</v>
      </c>
      <c r="H195" s="1341" t="s">
        <v>1255</v>
      </c>
      <c r="I195" s="1341" t="s">
        <v>1256</v>
      </c>
      <c r="J195" s="1342" t="s">
        <v>1257</v>
      </c>
      <c r="K195" s="1342" t="s">
        <v>1258</v>
      </c>
      <c r="L195" s="1342" t="s">
        <v>1257</v>
      </c>
      <c r="M195" s="1342" t="s">
        <v>1258</v>
      </c>
      <c r="N195" s="282" t="s">
        <v>1259</v>
      </c>
    </row>
    <row r="196" spans="3:14" ht="15.75">
      <c r="C196" s="1337" t="s">
        <v>1260</v>
      </c>
      <c r="D196" s="1354">
        <f>IF(D22="Ponta",B22,0)</f>
        <v>0</v>
      </c>
      <c r="E196" s="18"/>
      <c r="F196" s="275"/>
      <c r="G196" s="1344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45">
        <f>SUMIFS($E$18:$E$60,$B$18:$B$60,$D$196,$D$18:$D$60,"Ponta")</f>
        <v>0</v>
      </c>
      <c r="K196" s="1345">
        <f>SUMIFS($E$18:$E$60,$B$18:$B$60,$D$196,$D$18:$D$60,"Fora Ponta")</f>
        <v>0</v>
      </c>
      <c r="L196" s="1345">
        <f>IF(MONTH(DataRevRea)=7,'Rede Básica + Ajuste'!J196,IF(G196&lt;$Q$69,(SUMIFS($E$18:$E$60,$B$18:$B$60,$D$196,$D$18:$D$60,"Ponta")),(SUMIFS($F$18:$F$60,$B$18:$B$60,$D$196,$D$18:$D$60,"Ponta"))))</f>
        <v>0</v>
      </c>
      <c r="M196" s="1345">
        <f>IF(MONTH(DataRevRea)=7,'Rede Básica + Ajuste'!K196,IF(G196&lt;$Q$69,(SUMIFS($E$18:$E$60,$B$18:$B$60,$D$196,$D$18:$D$60,"Fora Ponta")),(SUMIFS($F$18:$F$60,$B$18:$B$60,$D$196,$D$18:$D$60,"Fora Ponta"))))</f>
        <v>0</v>
      </c>
      <c r="N196" s="1346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47" t="s">
        <v>1261</v>
      </c>
      <c r="E198" s="1348" t="s">
        <v>1262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49" t="str">
        <f>C184</f>
        <v>Cobertura 2021</v>
      </c>
      <c r="D199" s="1350">
        <f>SUMPRODUCT(H196:H207,J196:J207)</f>
        <v>0</v>
      </c>
      <c r="E199" s="1350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49" t="s">
        <v>1263</v>
      </c>
      <c r="D200" s="1350">
        <f>SUMPRODUCT(H196:H207,L196:L207)</f>
        <v>0</v>
      </c>
      <c r="E200" s="1350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51">
        <f t="shared" si="41"/>
        <v>44713</v>
      </c>
      <c r="H207" s="1352">
        <f>SUMIFS($Y$18:$Y$60,$B$18:$B$60,$D$196,$D$18:$D$60,"Ponta")</f>
        <v>0</v>
      </c>
      <c r="I207" s="1352">
        <f>SUMIFS($Y$18:$Y$60,$B$18:$B$60,$D$196,$D$18:$D$60,"Fora Ponta")</f>
        <v>0</v>
      </c>
      <c r="J207" s="1352">
        <f t="shared" si="42"/>
        <v>0</v>
      </c>
      <c r="K207" s="1352">
        <f t="shared" si="43"/>
        <v>0</v>
      </c>
      <c r="L207" s="1352">
        <f>IF(MONTH(DataRevRea)=7,'Rede Básica + Ajuste'!J207,IF(G207&lt;$Q$69,(SUMIFS($E$18:$E$60,$B$18:$B$60,$D$196,$D$18:$D$60,"Ponta")),(SUMIFS($F$18:$F$60,$B$18:$B$60,$D$196,$D$18:$D$60,"Ponta"))))</f>
        <v>0</v>
      </c>
      <c r="M207" s="1352">
        <f>IF(MONTH(DataRevRea)=7,'Rede Básica + Ajuste'!K207,IF(G207&lt;$Q$69,(SUMIFS($E$18:$E$60,$B$18:$B$60,$D$196,$D$18:$D$60,"Fora Ponta")),(SUMIFS($F$18:$F$60,$B$18:$B$60,$D$196,$D$18:$D$60,"Fora Ponta"))))</f>
        <v>0</v>
      </c>
      <c r="N207" s="1353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818" t="s">
        <v>1253</v>
      </c>
      <c r="K209" s="1819"/>
      <c r="L209" s="1817" t="s">
        <v>1254</v>
      </c>
      <c r="M209" s="1817"/>
      <c r="N209" s="283"/>
    </row>
    <row r="210" spans="3:14" ht="15.75">
      <c r="C210" s="1820" t="s">
        <v>1264</v>
      </c>
      <c r="D210" s="1821"/>
      <c r="F210" s="275"/>
      <c r="G210" s="1340" t="s">
        <v>716</v>
      </c>
      <c r="H210" s="1341" t="s">
        <v>1255</v>
      </c>
      <c r="I210" s="1341" t="s">
        <v>1256</v>
      </c>
      <c r="J210" s="1342" t="s">
        <v>1257</v>
      </c>
      <c r="K210" s="1342" t="s">
        <v>1258</v>
      </c>
      <c r="L210" s="1342" t="s">
        <v>1257</v>
      </c>
      <c r="M210" s="1342" t="s">
        <v>1258</v>
      </c>
      <c r="N210" s="282" t="s">
        <v>1259</v>
      </c>
    </row>
    <row r="211" spans="3:14" ht="15.75">
      <c r="C211" s="1337" t="s">
        <v>1260</v>
      </c>
      <c r="D211" s="1354">
        <f>IF(D22="Ponta",B22,0)</f>
        <v>0</v>
      </c>
      <c r="E211" s="18"/>
      <c r="F211" s="275"/>
      <c r="G211" s="1344">
        <f>G196</f>
        <v>44378</v>
      </c>
      <c r="H211" s="277">
        <f>H196</f>
        <v>0</v>
      </c>
      <c r="I211" s="277">
        <f>I196</f>
        <v>0</v>
      </c>
      <c r="J211" s="1345">
        <f>SUMIFS($G$18:$G$60,$B$18:$B$60,$D$211,$D$18:$D$60,"Ponta")</f>
        <v>0</v>
      </c>
      <c r="K211" s="1345">
        <f>SUMIFS($G$18:$G$60,$B$18:$B$60,$D$211,$D$18:$D$60,"Fora Ponta")</f>
        <v>0</v>
      </c>
      <c r="L211" s="1345">
        <f>IF(MONTH(DataRevRea)=7,'Rede Básica + Ajuste'!J211,IF(G211&lt;$Q$69,(SUMIFS($G$18:$G$60,$B$18:$B$60,$D$211,$D$18:$D$60,"Ponta")),(SUMIFS($H$18:$H$60,$B$18:$B$60,$D$211,$D$18:$D$60,"Ponta"))))</f>
        <v>0</v>
      </c>
      <c r="M211" s="1345">
        <f>IF(MONTH(DataRevRea)=7,'Rede Básica + Ajuste'!K211,IF(G211&lt;$Q$69,(SUMIFS($G$18:$G$60,$B$18:$B$60,$D$211,$D$18:$D$60,"Fora Ponta")),(SUMIFS($H$18:$H$60,$B$18:$B$60,$D$211,$D$18:$D$60,"Fora Ponta"))))</f>
        <v>0</v>
      </c>
      <c r="N211" s="1346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47" t="s">
        <v>1261</v>
      </c>
      <c r="E213" s="1348" t="s">
        <v>1262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49" t="str">
        <f>C199</f>
        <v>Cobertura 2021</v>
      </c>
      <c r="D214" s="1350">
        <f>SUMPRODUCT(H211:H222,J211:J222)</f>
        <v>0</v>
      </c>
      <c r="E214" s="1350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49" t="s">
        <v>1263</v>
      </c>
      <c r="D215" s="1350">
        <f>SUMPRODUCT(H211:H222,L211:L222)</f>
        <v>0</v>
      </c>
      <c r="E215" s="1350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51">
        <f t="shared" si="45"/>
        <v>44713</v>
      </c>
      <c r="H222" s="1352">
        <f t="shared" si="45"/>
        <v>0</v>
      </c>
      <c r="I222" s="1352">
        <f t="shared" si="45"/>
        <v>0</v>
      </c>
      <c r="J222" s="1352">
        <f t="shared" si="46"/>
        <v>0</v>
      </c>
      <c r="K222" s="1352">
        <f t="shared" si="47"/>
        <v>0</v>
      </c>
      <c r="L222" s="1352">
        <f>IF(MONTH(DataRevRea)=7,'Rede Básica + Ajuste'!J222,IF(G222&lt;$Q$69,(SUMIFS($G$18:$G$60,$B$18:$B$60,$D$211,$D$18:$D$60,"Ponta")),(SUMIFS($H$18:$H$60,$B$18:$B$60,$D$211,$D$18:$D$60,"Ponta"))))</f>
        <v>0</v>
      </c>
      <c r="M222" s="1352">
        <f>IF(MONTH(DataRevRea)=7,'Rede Básica + Ajuste'!K222,IF(G222&lt;$Q$69,(SUMIFS($G$18:$G$60,$B$18:$B$60,$D$211,$D$18:$D$60,"Fora Ponta")),(SUMIFS($H$18:$H$60,$B$18:$B$60,$D$211,$D$18:$D$60,"Fora Ponta"))))</f>
        <v>0</v>
      </c>
      <c r="N222" s="1353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09" t="s">
        <v>708</v>
      </c>
      <c r="C1" s="1106"/>
      <c r="D1" s="1010"/>
      <c r="E1" s="1321"/>
      <c r="F1" s="1321"/>
      <c r="G1" s="1219" t="s">
        <v>953</v>
      </c>
      <c r="H1" s="1220">
        <f ca="1">LnkTXTIRTEco</f>
        <v>3.0300000000000001E-2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1265</v>
      </c>
      <c r="AL1" s="185">
        <v>7947</v>
      </c>
      <c r="AM1" s="184" t="s">
        <v>1266</v>
      </c>
    </row>
    <row r="2" spans="2:39" ht="15" thickBot="1">
      <c r="B2" s="138" t="str">
        <f>CAPA!C9</f>
        <v>Cooperluz</v>
      </c>
      <c r="C2" s="70"/>
      <c r="D2" s="70"/>
      <c r="G2" s="121" t="s">
        <v>957</v>
      </c>
      <c r="H2" s="122">
        <f ca="1">LnkTXTIRTTotal</f>
        <v>-0.30859999999999999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1267</v>
      </c>
      <c r="AL2" s="187">
        <v>7959</v>
      </c>
      <c r="AM2" s="188" t="s">
        <v>1268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1269</v>
      </c>
      <c r="AL4" s="171">
        <v>7972</v>
      </c>
      <c r="AM4" s="172" t="s">
        <v>1270</v>
      </c>
    </row>
    <row r="5" spans="2:39" ht="29.25" thickBot="1">
      <c r="B5" s="1325" t="s">
        <v>1271</v>
      </c>
      <c r="C5" s="1325" t="s">
        <v>1272</v>
      </c>
      <c r="D5" s="1325" t="s">
        <v>1273</v>
      </c>
      <c r="E5" s="1325" t="s">
        <v>1274</v>
      </c>
      <c r="F5" s="1325" t="s">
        <v>1275</v>
      </c>
      <c r="G5" s="1325" t="s">
        <v>1276</v>
      </c>
      <c r="J5" s="158" t="s">
        <v>1277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1278</v>
      </c>
      <c r="AL5" s="171">
        <v>7973</v>
      </c>
      <c r="AM5" s="172" t="s">
        <v>1279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849</v>
      </c>
      <c r="K6" s="169">
        <v>3</v>
      </c>
      <c r="AK6" s="170" t="s">
        <v>1280</v>
      </c>
      <c r="AL6" s="171">
        <v>7974</v>
      </c>
      <c r="AM6" s="172" t="s">
        <v>1281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1282</v>
      </c>
      <c r="AL7" s="171">
        <v>7977</v>
      </c>
      <c r="AM7" s="172" t="s">
        <v>1283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1284</v>
      </c>
      <c r="AL8" s="171">
        <v>7978</v>
      </c>
      <c r="AM8" s="172" t="s">
        <v>1285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1286</v>
      </c>
      <c r="AL9" s="171">
        <v>7979</v>
      </c>
      <c r="AM9" s="172" t="s">
        <v>1287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1288</v>
      </c>
      <c r="AL10" s="171">
        <v>8047</v>
      </c>
      <c r="AM10" s="172" t="s">
        <v>1289</v>
      </c>
    </row>
    <row r="11" spans="2:39" ht="15" thickBot="1">
      <c r="B11" s="1355" t="s">
        <v>837</v>
      </c>
      <c r="C11" s="1356">
        <f>SUM(C6:C10)</f>
        <v>0</v>
      </c>
      <c r="D11" s="1356">
        <f>SUM(D6:D10)</f>
        <v>0</v>
      </c>
      <c r="E11" s="1357">
        <f>SUM(E6:E10)</f>
        <v>0</v>
      </c>
      <c r="F11" s="1358"/>
      <c r="G11" s="1359">
        <f>SUM(G6:G10)</f>
        <v>0</v>
      </c>
      <c r="AK11" s="170" t="s">
        <v>1290</v>
      </c>
      <c r="AL11" s="171">
        <v>8049</v>
      </c>
      <c r="AM11" s="172" t="s">
        <v>1291</v>
      </c>
    </row>
    <row r="12" spans="2:39" ht="15" thickBot="1">
      <c r="B12" s="166"/>
      <c r="C12" s="165"/>
      <c r="D12" s="1360" t="s">
        <v>1292</v>
      </c>
      <c r="E12" s="1360"/>
      <c r="F12" s="1361">
        <f>IF(MONTH(CAPA!C15)&gt;6,DATE(YEAR(CAPA!C15),6,1),DATE(YEAR(CAPA!C15)-1,6,1))</f>
        <v>44713</v>
      </c>
      <c r="G12" s="189"/>
      <c r="AK12" s="170" t="s">
        <v>1293</v>
      </c>
      <c r="AL12" s="171">
        <v>8050</v>
      </c>
      <c r="AM12" s="172" t="s">
        <v>1294</v>
      </c>
    </row>
    <row r="13" spans="2:39" ht="15" thickBot="1">
      <c r="B13" s="182"/>
      <c r="C13" s="182"/>
      <c r="D13" s="182"/>
      <c r="F13" s="183" t="s">
        <v>1295</v>
      </c>
      <c r="AK13" s="170"/>
      <c r="AL13" s="171"/>
      <c r="AM13" s="172"/>
    </row>
    <row r="14" spans="2:39" ht="15" thickBot="1">
      <c r="B14" s="182"/>
      <c r="C14" s="182"/>
      <c r="AK14" s="170" t="s">
        <v>1296</v>
      </c>
      <c r="AL14" s="171">
        <v>8051</v>
      </c>
      <c r="AM14" s="172" t="s">
        <v>1297</v>
      </c>
    </row>
    <row r="15" spans="2:39" ht="29.25" thickBot="1">
      <c r="B15" s="1325" t="s">
        <v>1271</v>
      </c>
      <c r="C15" s="1325" t="s">
        <v>1272</v>
      </c>
      <c r="D15" s="1325" t="s">
        <v>1298</v>
      </c>
      <c r="E15" s="1325" t="s">
        <v>1299</v>
      </c>
      <c r="F15" s="151"/>
      <c r="AK15" s="170" t="s">
        <v>1300</v>
      </c>
      <c r="AL15" s="171">
        <v>8057</v>
      </c>
      <c r="AM15" s="172" t="s">
        <v>1301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1302</v>
      </c>
      <c r="AL16" s="171">
        <v>8058</v>
      </c>
      <c r="AM16" s="172" t="s">
        <v>1303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1304</v>
      </c>
      <c r="AL17" s="171">
        <v>8220</v>
      </c>
      <c r="AM17" s="172" t="s">
        <v>1305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1306</v>
      </c>
      <c r="AL18" s="171">
        <v>8221</v>
      </c>
      <c r="AM18" s="172" t="s">
        <v>1307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1308</v>
      </c>
      <c r="AL19" s="171">
        <v>8231</v>
      </c>
      <c r="AM19" s="172" t="s">
        <v>1309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1310</v>
      </c>
      <c r="AL20" s="171">
        <v>8261</v>
      </c>
      <c r="AM20" s="172" t="s">
        <v>1311</v>
      </c>
    </row>
    <row r="21" spans="2:39">
      <c r="B21" s="1355" t="s">
        <v>837</v>
      </c>
      <c r="C21" s="1362">
        <f>SUM(C16:C20)</f>
        <v>0</v>
      </c>
      <c r="D21" s="1362">
        <f>SUM(D16:D20)</f>
        <v>0</v>
      </c>
      <c r="E21" s="1362">
        <f>SUM(E16:E20)</f>
        <v>0</v>
      </c>
      <c r="F21" s="151"/>
      <c r="AK21" s="173" t="s">
        <v>1312</v>
      </c>
      <c r="AL21" s="174">
        <v>8263</v>
      </c>
      <c r="AM21" s="175" t="s">
        <v>1313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E17" sqref="E17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09" t="s">
        <v>1032</v>
      </c>
      <c r="C1" s="1106"/>
      <c r="D1" s="1363"/>
      <c r="E1" s="1364"/>
      <c r="F1" s="1364"/>
      <c r="G1" s="1219" t="s">
        <v>953</v>
      </c>
      <c r="H1" s="1323">
        <f ca="1">LnkTXTIRTEco</f>
        <v>3.0300000000000001E-2</v>
      </c>
    </row>
    <row r="2" spans="1:16" ht="46.5" customHeight="1">
      <c r="B2" s="138" t="str">
        <f>CAPA!C9</f>
        <v>Cooperluz</v>
      </c>
      <c r="C2" s="70"/>
      <c r="D2" s="70"/>
      <c r="G2" s="121" t="s">
        <v>957</v>
      </c>
      <c r="H2" s="148">
        <f ca="1">LnkTXTIRTTotal</f>
        <v>-0.30859999999999999</v>
      </c>
      <c r="I2" s="91" t="s">
        <v>1314</v>
      </c>
    </row>
    <row r="3" spans="1:16">
      <c r="B3" s="1365" t="s">
        <v>1315</v>
      </c>
      <c r="C3" s="1366">
        <f>SUMPRODUCT(J6:J44,H6:H44)</f>
        <v>67791.945926399989</v>
      </c>
      <c r="D3" s="73"/>
      <c r="E3" s="1365" t="s">
        <v>1206</v>
      </c>
      <c r="F3" s="68" t="s">
        <v>1316</v>
      </c>
      <c r="G3" s="1367">
        <f>LnkTXTDescTusdAnte</f>
        <v>0</v>
      </c>
      <c r="H3" s="91"/>
      <c r="I3" s="1368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1317</v>
      </c>
      <c r="B5" s="1369" t="s">
        <v>27</v>
      </c>
      <c r="C5" s="1369" t="s">
        <v>21</v>
      </c>
      <c r="D5" s="1369" t="s">
        <v>22</v>
      </c>
      <c r="E5" s="1369" t="s">
        <v>78</v>
      </c>
      <c r="F5" s="1369" t="s">
        <v>894</v>
      </c>
      <c r="G5" s="1369" t="s">
        <v>1318</v>
      </c>
      <c r="H5" s="1369" t="s">
        <v>60</v>
      </c>
      <c r="I5" s="1369" t="s">
        <v>1207</v>
      </c>
      <c r="J5" s="1369" t="s">
        <v>1208</v>
      </c>
      <c r="L5" s="68"/>
      <c r="M5" s="69"/>
    </row>
    <row r="6" spans="1:16">
      <c r="A6" s="68" t="s">
        <v>2315</v>
      </c>
      <c r="B6" s="149" t="s">
        <v>2316</v>
      </c>
      <c r="C6" s="149" t="s">
        <v>215</v>
      </c>
      <c r="D6" s="149" t="s">
        <v>218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0</v>
      </c>
      <c r="H6" s="149">
        <f>IF(B6="","",IF(LEFT(D6,7)="Demanda",G6,G6/1000))</f>
        <v>0</v>
      </c>
      <c r="I6" s="149">
        <f>IF(ISERROR(VLOOKUP(CONCATENATE(A6,A41,E6,F6),BD!$H$6:$V$30,14,FALSE)),"",VLOOKUP(CONCATENATE(A6,A41,E6,F6),BD!$H$6:$V$30,14,FALSE))</f>
        <v>0</v>
      </c>
      <c r="J6" s="149">
        <f t="shared" ref="J6:J13" si="0">IF(ISERROR(I6*(1-$G$3)),"",I6*(1-$G$3))</f>
        <v>0</v>
      </c>
      <c r="L6" s="68"/>
      <c r="M6" s="69"/>
      <c r="N6" s="69"/>
    </row>
    <row r="7" spans="1:16">
      <c r="A7" s="68" t="s">
        <v>2315</v>
      </c>
      <c r="B7" s="149" t="s">
        <v>2316</v>
      </c>
      <c r="C7" s="149" t="s">
        <v>215</v>
      </c>
      <c r="D7" s="149" t="s">
        <v>220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0</v>
      </c>
      <c r="H7" s="149">
        <f t="shared" ref="H7:H30" si="3">IF(B7="","",IF(LEFT(D7,7)="Demanda",G7,G7/1000))</f>
        <v>0</v>
      </c>
      <c r="I7" s="149">
        <f>IF(ISERROR(VLOOKUP(CONCATENATE(A7,A42,E7,F7),BD!$H$6:$V$30,14,FALSE)),"",VLOOKUP(CONCATENATE(A7,A42,E7,F7),BD!$H$6:$V$30,14,FALSE))</f>
        <v>0</v>
      </c>
      <c r="J7" s="149">
        <f t="shared" si="0"/>
        <v>0</v>
      </c>
    </row>
    <row r="8" spans="1:16">
      <c r="A8" s="68" t="s">
        <v>2315</v>
      </c>
      <c r="B8" s="149" t="s">
        <v>2316</v>
      </c>
      <c r="C8" s="149" t="s">
        <v>2176</v>
      </c>
      <c r="D8" s="149" t="s">
        <v>218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1367.74</v>
      </c>
      <c r="H8" s="149">
        <f t="shared" si="3"/>
        <v>1367.74</v>
      </c>
      <c r="I8" s="149">
        <f>IF(ISERROR(VLOOKUP(CONCATENATE(A8,A43,E8,F8),BD!$H$6:$V$30,14,FALSE)),"",VLOOKUP(CONCATENATE(A8,A43,E8,F8),BD!$H$6:$V$30,14,FALSE))</f>
        <v>19.98</v>
      </c>
      <c r="J8" s="149">
        <f t="shared" si="0"/>
        <v>19.98</v>
      </c>
      <c r="L8" s="68"/>
      <c r="M8" s="69"/>
    </row>
    <row r="9" spans="1:16">
      <c r="A9" s="68" t="s">
        <v>2315</v>
      </c>
      <c r="B9" s="149" t="s">
        <v>2316</v>
      </c>
      <c r="C9" s="149" t="s">
        <v>2176</v>
      </c>
      <c r="D9" s="149" t="s">
        <v>220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1339.32</v>
      </c>
      <c r="H9" s="149">
        <f t="shared" si="3"/>
        <v>1339.32</v>
      </c>
      <c r="I9" s="149">
        <f>IF(ISERROR(VLOOKUP(CONCATENATE(A9,A44,E9,F9),BD!$H$6:$V$30,14,FALSE)),"",VLOOKUP(CONCATENATE(A9,A44,E9,F9),BD!$H$6:$V$30,14,FALSE))</f>
        <v>26.9</v>
      </c>
      <c r="J9" s="149">
        <f t="shared" si="0"/>
        <v>26.9</v>
      </c>
      <c r="L9" s="68"/>
      <c r="M9" s="69"/>
    </row>
    <row r="10" spans="1:16">
      <c r="A10" s="68" t="s">
        <v>2315</v>
      </c>
      <c r="B10" s="149" t="s">
        <v>2316</v>
      </c>
      <c r="C10" s="149" t="s">
        <v>215</v>
      </c>
      <c r="D10" s="149" t="s">
        <v>222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0</v>
      </c>
      <c r="H10" s="149">
        <f t="shared" si="3"/>
        <v>0</v>
      </c>
      <c r="I10" s="149">
        <f>IF(ISERROR(VLOOKUP(CONCATENATE(A10,A45,E10,F10),BD!$H$6:$V$30,14,FALSE)),"",VLOOKUP(CONCATENATE(A10,A45,E10,F10),BD!$H$6:$V$30,14,FALSE))</f>
        <v>0</v>
      </c>
      <c r="J10" s="149">
        <f t="shared" si="0"/>
        <v>0</v>
      </c>
      <c r="L10" s="68"/>
      <c r="M10" s="69"/>
    </row>
    <row r="11" spans="1:16">
      <c r="A11" s="68" t="s">
        <v>2315</v>
      </c>
      <c r="B11" s="149" t="s">
        <v>2316</v>
      </c>
      <c r="C11" s="149" t="s">
        <v>215</v>
      </c>
      <c r="D11" s="149" t="s">
        <v>224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0</v>
      </c>
      <c r="H11" s="149">
        <f t="shared" si="3"/>
        <v>0</v>
      </c>
      <c r="I11" s="149">
        <f>IF(ISERROR(VLOOKUP(CONCATENATE(A11,A46,E11,F11),BD!$H$6:$V$30,14,FALSE)),"",VLOOKUP(CONCATENATE(A11,A46,E11,F11),BD!$H$6:$V$30,14,FALSE))</f>
        <v>0</v>
      </c>
      <c r="J11" s="149">
        <f t="shared" ref="J11" si="4">IF(ISERROR(I11*(1-$G$3)),"",I11*(1-$G$3))</f>
        <v>0</v>
      </c>
      <c r="L11" s="752"/>
      <c r="M11" s="243"/>
      <c r="N11" s="244"/>
      <c r="O11" s="244"/>
      <c r="P11" s="244"/>
    </row>
    <row r="12" spans="1:16">
      <c r="A12" s="68" t="s">
        <v>2315</v>
      </c>
      <c r="B12" s="149" t="s">
        <v>2316</v>
      </c>
      <c r="C12" s="149" t="s">
        <v>2176</v>
      </c>
      <c r="D12" s="149" t="s">
        <v>222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342007.52000000008</v>
      </c>
      <c r="H12" s="149">
        <f t="shared" si="3"/>
        <v>342.00752000000006</v>
      </c>
      <c r="I12" s="149">
        <f>IF(ISERROR(VLOOKUP(CONCATENATE(A12,A47,E12,F12),BD!$H$6:$V$30,14,FALSE)),"",VLOOKUP(CONCATENATE(A12,A47,E12,F12),BD!$H$6:$V$30,14,FALSE))</f>
        <v>11.36</v>
      </c>
      <c r="J12" s="149">
        <f t="shared" si="0"/>
        <v>11.36</v>
      </c>
      <c r="N12" s="244"/>
      <c r="O12" s="244"/>
      <c r="P12" s="244"/>
    </row>
    <row r="13" spans="1:16">
      <c r="A13" s="68" t="s">
        <v>2315</v>
      </c>
      <c r="B13" s="149" t="s">
        <v>2316</v>
      </c>
      <c r="C13" s="149" t="s">
        <v>2176</v>
      </c>
      <c r="D13" s="149" t="s">
        <v>224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48555.22</v>
      </c>
      <c r="H13" s="149">
        <f t="shared" si="3"/>
        <v>48.555219999999998</v>
      </c>
      <c r="I13" s="149">
        <f>IF(ISERROR(VLOOKUP(CONCATENATE(A13,A48,E13,F13),BD!$H$6:$V$30,14,FALSE)),"",VLOOKUP(CONCATENATE(A13,A48,E13,F13),BD!$H$6:$V$30,14,FALSE))</f>
        <v>11.36</v>
      </c>
      <c r="J13" s="149">
        <f t="shared" si="0"/>
        <v>11.36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1319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218</v>
      </c>
      <c r="B36" s="292" t="s">
        <v>1320</v>
      </c>
      <c r="C36" s="292" t="s">
        <v>1321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220</v>
      </c>
      <c r="B37" s="292" t="s">
        <v>973</v>
      </c>
      <c r="C37" s="292" t="s">
        <v>1321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222</v>
      </c>
      <c r="B38" s="292" t="s">
        <v>1322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224</v>
      </c>
      <c r="B39" s="292" t="s">
        <v>1322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A3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A3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A3</v>
      </c>
    </row>
    <row r="46" spans="1:15">
      <c r="A46" s="68" t="str">
        <f t="shared" si="6"/>
        <v>A3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abSelected="1" topLeftCell="C1" zoomScale="115" zoomScaleNormal="115" workbookViewId="0">
      <selection activeCell="C10" sqref="C10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09" t="s">
        <v>820</v>
      </c>
      <c r="C1" s="1320"/>
      <c r="D1" s="1320"/>
      <c r="E1" s="1320"/>
      <c r="F1" s="1010"/>
      <c r="G1" s="1010"/>
      <c r="H1" s="1219" t="s">
        <v>953</v>
      </c>
      <c r="I1" s="1220">
        <f ca="1">LnkTXTIRTEco</f>
        <v>3.0300000000000001E-2</v>
      </c>
      <c r="J1" s="195"/>
      <c r="K1" s="196"/>
    </row>
    <row r="2" spans="1:15" s="197" customFormat="1" ht="27" customHeight="1">
      <c r="B2" s="138" t="str">
        <f>CAPA!C9</f>
        <v>Cooperluz</v>
      </c>
      <c r="C2" s="70"/>
      <c r="D2" s="70"/>
      <c r="E2" s="70"/>
      <c r="F2" s="70"/>
      <c r="G2" s="70"/>
      <c r="H2" s="121" t="s">
        <v>957</v>
      </c>
      <c r="I2" s="122">
        <f ca="1">LnkTXTIRTTotal</f>
        <v>-0.30859999999999999</v>
      </c>
    </row>
    <row r="3" spans="1:15">
      <c r="B3" s="1013" t="s">
        <v>1323</v>
      </c>
      <c r="C3" s="824"/>
      <c r="E3" s="824" t="str">
        <f>"Encargos "&amp;YEAR(CAPA!C14)</f>
        <v>Encargos 2021</v>
      </c>
      <c r="F3" s="824"/>
      <c r="H3" s="824"/>
      <c r="I3" s="824"/>
      <c r="J3" s="824"/>
      <c r="K3" s="824"/>
      <c r="L3" s="824"/>
      <c r="M3" s="824"/>
      <c r="N3" s="824"/>
      <c r="O3" s="824"/>
    </row>
    <row r="4" spans="1:15">
      <c r="E4" s="1325" t="s">
        <v>72</v>
      </c>
      <c r="F4" s="1325" t="s">
        <v>1324</v>
      </c>
      <c r="H4" s="72"/>
      <c r="I4" s="72"/>
    </row>
    <row r="5" spans="1:15">
      <c r="B5" s="1325" t="s">
        <v>72</v>
      </c>
      <c r="C5" s="1325" t="s">
        <v>37</v>
      </c>
      <c r="E5" s="68" t="s">
        <v>40</v>
      </c>
      <c r="F5" s="116">
        <f>CAPA!D42</f>
        <v>130406.50637804301</v>
      </c>
      <c r="H5" s="1840" t="s">
        <v>1325</v>
      </c>
      <c r="I5" s="1840"/>
      <c r="K5" s="1840" t="s">
        <v>1326</v>
      </c>
      <c r="L5" s="1840"/>
      <c r="N5" s="1840" t="s">
        <v>1327</v>
      </c>
      <c r="O5" s="1840"/>
    </row>
    <row r="6" spans="1:15">
      <c r="B6" s="68" t="s">
        <v>40</v>
      </c>
      <c r="C6" s="80">
        <f ca="1">L14</f>
        <v>135931.22338734809</v>
      </c>
      <c r="E6" s="68" t="s">
        <v>41</v>
      </c>
      <c r="F6" s="116">
        <f>CAPA!D43</f>
        <v>4170764.5632600002</v>
      </c>
      <c r="H6" s="201" t="s">
        <v>1328</v>
      </c>
      <c r="I6" s="202">
        <f ca="1">FornecimentoE+LivreE-Calc_Mercado!C16</f>
        <v>73413.570999999996</v>
      </c>
      <c r="K6" s="518" t="s">
        <v>822</v>
      </c>
      <c r="L6" s="422">
        <f ca="1">LnkTXTER</f>
        <v>86504.407129999992</v>
      </c>
      <c r="N6" s="203" t="s">
        <v>1329</v>
      </c>
      <c r="O6" s="403">
        <v>1E-14</v>
      </c>
    </row>
    <row r="7" spans="1:15" ht="13.5" customHeight="1">
      <c r="B7" s="68" t="s">
        <v>41</v>
      </c>
      <c r="C7" s="80">
        <f ca="1">I22</f>
        <v>5285321.0822699992</v>
      </c>
      <c r="D7" s="198"/>
      <c r="E7" s="68" t="s">
        <v>126</v>
      </c>
      <c r="F7" s="116">
        <f>CAPA!D44</f>
        <v>0</v>
      </c>
      <c r="H7" s="1370" t="s">
        <v>1330</v>
      </c>
      <c r="I7" s="1371">
        <v>14.13</v>
      </c>
      <c r="K7" s="518" t="s">
        <v>1168</v>
      </c>
      <c r="L7" s="422">
        <f ca="1">Energia!M7</f>
        <v>2321.11</v>
      </c>
      <c r="N7" s="203" t="s">
        <v>1331</v>
      </c>
      <c r="O7" s="204">
        <f ca="1">SUM(C12+C6+C9+C10+C8)</f>
        <v>3443062.1705054594</v>
      </c>
    </row>
    <row r="8" spans="1:15">
      <c r="B8" s="68" t="s">
        <v>126</v>
      </c>
      <c r="C8" s="80">
        <v>0</v>
      </c>
      <c r="D8" s="198"/>
      <c r="E8" s="68" t="s">
        <v>845</v>
      </c>
      <c r="F8" s="116">
        <f>CAPA!D45</f>
        <v>220720.39</v>
      </c>
      <c r="K8" s="518" t="s">
        <v>1171</v>
      </c>
      <c r="L8" s="422">
        <f ca="1">LnkTXTPerdas</f>
        <v>15090.499129999997</v>
      </c>
      <c r="N8" s="203" t="s">
        <v>794</v>
      </c>
      <c r="O8" s="269">
        <f>Resultado!D24</f>
        <v>3488477.1459263992</v>
      </c>
    </row>
    <row r="9" spans="1:15">
      <c r="B9" s="68" t="s">
        <v>1332</v>
      </c>
      <c r="C9" s="851">
        <f>IFERROR(VLOOKUP("ESS/EER",TabEncargosBancoConsolidados[],2,FALSE),0)</f>
        <v>2269797.1888881116</v>
      </c>
      <c r="D9" s="69"/>
      <c r="E9" s="68" t="s">
        <v>47</v>
      </c>
      <c r="F9" s="116">
        <f>CAPA!D46</f>
        <v>653303.65787999996</v>
      </c>
      <c r="H9" s="1840" t="s">
        <v>1333</v>
      </c>
      <c r="I9" s="1840"/>
      <c r="K9" s="518" t="s">
        <v>1334</v>
      </c>
      <c r="L9" s="422">
        <f ca="1">SUM(L6:L7,-L8)</f>
        <v>73735.017999999996</v>
      </c>
      <c r="N9" s="203" t="s">
        <v>120</v>
      </c>
      <c r="O9" s="268">
        <f ca="1">Resultado!D33</f>
        <v>14179490.322595056</v>
      </c>
    </row>
    <row r="10" spans="1:15">
      <c r="B10" s="68" t="s">
        <v>47</v>
      </c>
      <c r="C10" s="80">
        <f ca="1">IFERROR(Encargos!I7*I6,0)</f>
        <v>1037333.75823</v>
      </c>
      <c r="D10" s="198"/>
      <c r="E10" s="68" t="s">
        <v>49</v>
      </c>
      <c r="F10" s="116">
        <f>CAPA!D48</f>
        <v>0</v>
      </c>
      <c r="H10" s="1372" t="s">
        <v>1335</v>
      </c>
      <c r="I10" s="1373">
        <f ca="1">FornecimentoE_A1+Calc_Mercado!C10+Calc_Mercado!C11+Calc_Mercado!C114+Calc_Mercado!C115</f>
        <v>0</v>
      </c>
      <c r="K10" s="518" t="s">
        <v>1336</v>
      </c>
      <c r="L10" s="422">
        <f ca="1">SUM(L6:L7)</f>
        <v>88825.517129999993</v>
      </c>
      <c r="N10" s="203" t="s">
        <v>1337</v>
      </c>
      <c r="O10" s="204">
        <f>Resultado!D39</f>
        <v>31500000</v>
      </c>
    </row>
    <row r="11" spans="1:15">
      <c r="B11" s="68" t="s">
        <v>1338</v>
      </c>
      <c r="C11" s="80">
        <v>1E-4</v>
      </c>
      <c r="D11" s="198"/>
      <c r="E11" s="824" t="s">
        <v>2174</v>
      </c>
      <c r="F11" s="1241">
        <f>CAPA!D47</f>
        <v>0</v>
      </c>
      <c r="H11" s="201" t="s">
        <v>1339</v>
      </c>
      <c r="I11" s="141">
        <f ca="1">Calc_Mercado!C12+Calc_Mercado!C13+Calc_Mercado!C14+Calc_Mercado!C116+Calc_Mercado!C117</f>
        <v>8340.202000000003</v>
      </c>
      <c r="K11" s="518" t="s">
        <v>1340</v>
      </c>
      <c r="L11" s="422">
        <f>BD!C32</f>
        <v>0.76946233409201359</v>
      </c>
      <c r="N11" s="203" t="s">
        <v>1341</v>
      </c>
      <c r="O11" s="205">
        <f ca="1">IF(O6=0,0,O6*(SUM(O7:O10)-Q7))</f>
        <v>5.2611029639026906E-7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4" t="str">
        <f>"Encargos "&amp;YEAR(CAPA!C14)-1</f>
        <v>Encargos 2020</v>
      </c>
      <c r="F12" s="824"/>
      <c r="H12" s="201" t="s">
        <v>1342</v>
      </c>
      <c r="I12" s="141">
        <f ca="1">FornecimentoE_BT-Calc_Mercado!C16+Calc_Mercado!C119+Calc_Mercado!C118</f>
        <v>65073.368999999992</v>
      </c>
      <c r="K12" s="518" t="s">
        <v>1343</v>
      </c>
      <c r="L12" s="45">
        <v>4.0000000000000001E-3</v>
      </c>
      <c r="N12" s="203" t="s">
        <v>1344</v>
      </c>
      <c r="O12" s="205">
        <f ca="1">Financeiros!D7</f>
        <v>-21837727.702991419</v>
      </c>
    </row>
    <row r="13" spans="1:15">
      <c r="B13" s="1374" t="s">
        <v>846</v>
      </c>
      <c r="C13" s="1375">
        <f ca="1">SUM(C6:C12)</f>
        <v>8728383.2528754603</v>
      </c>
      <c r="D13" s="198"/>
      <c r="E13" s="1325" t="s">
        <v>72</v>
      </c>
      <c r="F13" s="1325" t="s">
        <v>1324</v>
      </c>
      <c r="H13" s="1376" t="s">
        <v>1345</v>
      </c>
      <c r="I13" s="1377">
        <v>23.38</v>
      </c>
      <c r="K13" s="1378" t="s">
        <v>1346</v>
      </c>
      <c r="L13" s="1379">
        <f ca="1">LnkTXTIParcelaBcomSub+Energia!F18</f>
        <v>31500000</v>
      </c>
      <c r="N13" s="1380" t="s">
        <v>1347</v>
      </c>
      <c r="O13" s="1381">
        <f ca="1">O12*O6+O11</f>
        <v>3.0773301936035488E-7</v>
      </c>
    </row>
    <row r="14" spans="1:15">
      <c r="E14" s="68" t="s">
        <v>40</v>
      </c>
      <c r="F14" s="1382">
        <f>BD!C37</f>
        <v>108705.61987768151</v>
      </c>
      <c r="H14" s="262" t="s">
        <v>1348</v>
      </c>
      <c r="I14" s="858">
        <v>31.67</v>
      </c>
      <c r="K14" s="1383" t="s">
        <v>40</v>
      </c>
      <c r="L14" s="1384">
        <f ca="1">L12*1/L11*L9/L10*L13</f>
        <v>135931.22338734809</v>
      </c>
    </row>
    <row r="15" spans="1:15">
      <c r="E15" s="68" t="s">
        <v>41</v>
      </c>
      <c r="F15" s="80">
        <f>BD!C35</f>
        <v>3780642.8444999978</v>
      </c>
      <c r="H15" s="1385" t="s">
        <v>1349</v>
      </c>
      <c r="I15" s="1386">
        <v>37.700000000000003</v>
      </c>
    </row>
    <row r="16" spans="1:15">
      <c r="E16" s="68" t="s">
        <v>126</v>
      </c>
      <c r="F16" s="80">
        <v>0</v>
      </c>
      <c r="H16" s="1275" t="s">
        <v>1350</v>
      </c>
      <c r="I16" s="1377">
        <v>55.4</v>
      </c>
      <c r="K16" s="1840" t="s">
        <v>845</v>
      </c>
      <c r="L16" s="1840"/>
    </row>
    <row r="17" spans="2:14">
      <c r="E17" s="68" t="s">
        <v>845</v>
      </c>
      <c r="F17" s="80">
        <v>0</v>
      </c>
      <c r="H17" s="68" t="s">
        <v>1351</v>
      </c>
      <c r="I17" s="858">
        <v>75.06</v>
      </c>
      <c r="K17" s="1372" t="s">
        <v>2195</v>
      </c>
      <c r="L17" s="1373">
        <f>IFERROR(VLOOKUP("EER",TabEncargosBancoConsolidados[],2,FALSE),0)</f>
        <v>2230167.0454119011</v>
      </c>
    </row>
    <row r="18" spans="2:14">
      <c r="C18" s="108"/>
      <c r="D18" s="108"/>
      <c r="E18" s="68" t="s">
        <v>47</v>
      </c>
      <c r="F18" s="80">
        <f>BD!C36</f>
        <v>495188.96347999969</v>
      </c>
      <c r="G18" s="108"/>
      <c r="H18" s="824" t="s">
        <v>1352</v>
      </c>
      <c r="I18" s="1386">
        <v>89.35</v>
      </c>
      <c r="K18" s="201" t="s">
        <v>2199</v>
      </c>
      <c r="L18" s="141">
        <f>C9-L17</f>
        <v>39630.143476210535</v>
      </c>
    </row>
    <row r="19" spans="2:14">
      <c r="C19" s="108"/>
      <c r="D19" s="108"/>
      <c r="E19" s="824" t="s">
        <v>49</v>
      </c>
      <c r="F19" s="1387">
        <v>0</v>
      </c>
      <c r="G19" s="108"/>
      <c r="H19" s="68" t="s">
        <v>1353</v>
      </c>
      <c r="I19" s="69">
        <f ca="1">IF(CAPA!C10="S/SE/CO",Encargos!I10*Encargos!I16+Encargos!I11*Encargos!I17+Encargos!I12*Encargos!I18,Encargos!I10*Encargos!I13+Encargos!I11*Encargos!I14+Encargos!I12*Encargos!I15)</f>
        <v>6440321.0822699992</v>
      </c>
      <c r="K19" s="1325" t="s">
        <v>846</v>
      </c>
      <c r="L19" s="1610">
        <f>SUM(L17:L18)</f>
        <v>2269797.1888881116</v>
      </c>
    </row>
    <row r="20" spans="2:14">
      <c r="C20" s="108"/>
      <c r="D20" s="108"/>
      <c r="F20" s="80"/>
      <c r="G20" s="108"/>
      <c r="H20" s="1388" t="s">
        <v>1354</v>
      </c>
      <c r="I20" s="1389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2196</v>
      </c>
      <c r="I21" s="69">
        <f>IFERROR(VLOOKUP("CDE Eletrobras",TabEncargosBancoConsolidados[],2,FALSE),0)</f>
        <v>-1155000</v>
      </c>
    </row>
    <row r="22" spans="2:14">
      <c r="C22" s="108"/>
      <c r="D22" s="108"/>
      <c r="F22" s="80"/>
      <c r="G22" s="108"/>
      <c r="H22" s="1712" t="s">
        <v>2200</v>
      </c>
      <c r="I22" s="1610">
        <f ca="1">I19+I20+I21</f>
        <v>5285321.0822699992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13" t="s">
        <v>1355</v>
      </c>
      <c r="C27" s="824"/>
      <c r="D27" s="824"/>
      <c r="E27" s="824"/>
      <c r="F27" s="824"/>
      <c r="G27" s="824"/>
      <c r="J27" s="824"/>
      <c r="K27" s="824"/>
      <c r="L27" s="824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1356</v>
      </c>
      <c r="E29" s="198"/>
      <c r="F29" s="198"/>
      <c r="G29" s="198"/>
      <c r="L29" s="193"/>
      <c r="M29" s="194"/>
    </row>
    <row r="30" spans="2:14" ht="16.5" customHeight="1">
      <c r="C30" s="1325" t="s">
        <v>2229</v>
      </c>
      <c r="D30" s="1325" t="s">
        <v>46</v>
      </c>
      <c r="E30" s="1325" t="s">
        <v>40</v>
      </c>
      <c r="F30" s="1325" t="s">
        <v>41</v>
      </c>
      <c r="G30" s="1325" t="s">
        <v>47</v>
      </c>
      <c r="H30" s="1617" t="s">
        <v>2230</v>
      </c>
      <c r="I30" s="1617" t="s">
        <v>2260</v>
      </c>
      <c r="J30" s="1325" t="s">
        <v>1357</v>
      </c>
      <c r="L30" s="1839" t="s">
        <v>1358</v>
      </c>
      <c r="M30" s="1839"/>
      <c r="N30" s="273"/>
    </row>
    <row r="31" spans="2:14">
      <c r="B31" s="272">
        <f>Indexador!B68</f>
        <v>44378</v>
      </c>
      <c r="C31" s="1232">
        <f ca="1">IFERROR(IF(CAPA!$C$113="Não",C47-C62,IF(Indexador!$B68&lt;CAPA!$C$114,0,C47-C62)),0)</f>
        <v>0</v>
      </c>
      <c r="D31" s="1232">
        <f ca="1">IF(CAPA!$C$113="Não",D47-D62,IF(Indexador!$B68&lt;CAPA!$C$114,0,D47-D62))</f>
        <v>3610.2794018071854</v>
      </c>
      <c r="E31" s="1232">
        <f ca="1">IF(CAPA!$C$113="Não",E47-E62,IF(Indexador!$B68&lt;CAPA!$C$114,0,E47-E62))</f>
        <v>1841.7813293859781</v>
      </c>
      <c r="F31" s="1232">
        <f ca="1">IF(CAPA!$C$113="Não",F47-F62,IF(Indexador!$B68&lt;CAPA!$C$114,0,F47-F62))</f>
        <v>59035.134818378778</v>
      </c>
      <c r="G31" s="1232">
        <f ca="1">IF(CAPA!$C$113="Não",G47-G62,IF(Indexador!$B68&lt;CAPA!$C$114,0,G47-G62))</f>
        <v>9252.2629125952299</v>
      </c>
      <c r="H31" s="1232">
        <f ca="1">IF(CAPA!$C$113="Não",H47-H62,IF(Indexador!$B68&lt;CAPA!$C$114,0,H47-H62))</f>
        <v>0</v>
      </c>
      <c r="I31" s="1232">
        <f ca="1">IF(CAPA!$C$113="Não",I47-I62,IF(Indexador!$B68&lt;CAPA!$C$114,0,I47-I62))</f>
        <v>0</v>
      </c>
      <c r="J31" s="1232">
        <f ca="1">IF(CAPA!$C$113="Não",J47-J62,IF(Indexador!$B68&lt;CAPA!$C$114,0,J47-J62))</f>
        <v>73739.458462167182</v>
      </c>
      <c r="L31" s="68" t="s">
        <v>40</v>
      </c>
      <c r="M31" s="116">
        <f ca="1">Indexador!H80</f>
        <v>-5969.0844393077859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1877.2176729550883</v>
      </c>
      <c r="E32" s="116">
        <f ca="1">IF(CAPA!$C$113="Não",E48-E63,IF(Indexador!$B69&lt;CAPA!$C$114,0,E48-E63))</f>
        <v>768.81344179501502</v>
      </c>
      <c r="F32" s="116">
        <f ca="1">IF(CAPA!$C$113="Não",F48-F63,IF(Indexador!$B69&lt;CAPA!$C$114,0,F48-F63))</f>
        <v>24310.457704148139</v>
      </c>
      <c r="G32" s="116">
        <f ca="1">IF(CAPA!$C$113="Não",G48-G63,IF(Indexador!$B69&lt;CAPA!$C$114,0,G48-G63))</f>
        <v>3764.8529374838981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30721.341756382142</v>
      </c>
      <c r="L32" s="68" t="s">
        <v>1359</v>
      </c>
      <c r="M32" s="116">
        <f ca="1">Indexador!J80+Indexador!L80</f>
        <v>-197044.79861084011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1118.2939246764799</v>
      </c>
      <c r="E33" s="116">
        <f ca="1">IF(CAPA!$C$113="Não",E49-E64,IF(Indexador!$B70&lt;CAPA!$C$114,0,E49-E64))</f>
        <v>262.35547621362457</v>
      </c>
      <c r="F33" s="116">
        <f ca="1">IF(CAPA!$C$113="Não",F49-F64,IF(Indexador!$B70&lt;CAPA!$C$114,0,F49-F64))</f>
        <v>8578.321092340746</v>
      </c>
      <c r="G33" s="116">
        <f ca="1">IF(CAPA!$C$113="Não",G49-G64,IF(Indexador!$B70&lt;CAPA!$C$114,0,G49-G64))</f>
        <v>1350.7659190107734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11309.736412241647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1242.0577176657062</v>
      </c>
      <c r="E34" s="116">
        <f ca="1">IF(CAPA!$C$113="Não",E50-E65,IF(Indexador!$B71&lt;CAPA!$C$114,0,E50-E65))</f>
        <v>413.1298120213487</v>
      </c>
      <c r="F34" s="116">
        <f ca="1">IF(CAPA!$C$113="Não",F50-F65,IF(Indexador!$B71&lt;CAPA!$C$114,0,F50-F65))</f>
        <v>11694.700822524028</v>
      </c>
      <c r="G34" s="116">
        <f ca="1">IF(CAPA!$C$113="Não",G50-G65,IF(Indexador!$B71&lt;CAPA!$C$114,0,G50-G65))</f>
        <v>1630.727766809614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14980.616119020735</v>
      </c>
      <c r="L34" s="68" t="s">
        <v>46</v>
      </c>
      <c r="M34" s="116">
        <f ca="1">Indexador!F80</f>
        <v>-3516.6124902060506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-242.26871789626239</v>
      </c>
      <c r="E35" s="116">
        <f ca="1">IF(CAPA!$C$113="Não",E51-E66,IF(Indexador!$B72&lt;CAPA!$C$114,0,E51-E66))</f>
        <v>-352.01623951858346</v>
      </c>
      <c r="F35" s="116">
        <f ca="1">IF(CAPA!$C$113="Não",F51-F66,IF(Indexador!$B72&lt;CAPA!$C$114,0,F51-F66))</f>
        <v>-14878.92838047893</v>
      </c>
      <c r="G35" s="116">
        <f ca="1">IF(CAPA!$C$113="Não",G51-G66,IF(Indexador!$B72&lt;CAPA!$C$114,0,G51-G66))</f>
        <v>-2816.2988590836321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-18289.51219697739</v>
      </c>
      <c r="L35" s="68" t="s">
        <v>47</v>
      </c>
      <c r="M35" s="116">
        <f ca="1">Indexador!N80</f>
        <v>-32483.060837864756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-2104.8422950602981</v>
      </c>
      <c r="E36" s="116">
        <f ca="1">IF(CAPA!$C$113="Não",E52-E67,IF(Indexador!$B73&lt;CAPA!$C$114,0,E52-E67))</f>
        <v>-1376.8630198033752</v>
      </c>
      <c r="F36" s="116">
        <f ca="1">IF(CAPA!$C$113="Não",F52-F67,IF(Indexador!$B73&lt;CAPA!$C$114,0,F52-F67))</f>
        <v>-48769.443392154411</v>
      </c>
      <c r="G36" s="116">
        <f ca="1">IF(CAPA!$C$113="Não",G52-G67,IF(Indexador!$B73&lt;CAPA!$C$114,0,G52-G67))</f>
        <v>-8260.2381394216864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-60511.386846439796</v>
      </c>
      <c r="L36" s="68" t="s">
        <v>2229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-7041.7824428103559</v>
      </c>
      <c r="E37" s="116">
        <f ca="1">IF(CAPA!$C$113="Não",E53-E68,IF(Indexador!$B74&lt;CAPA!$C$114,0,E53-E68))</f>
        <v>-4408.1485797101177</v>
      </c>
      <c r="F37" s="116">
        <f ca="1">IF(CAPA!$C$113="Não",F53-F68,IF(Indexador!$B74&lt;CAPA!$C$114,0,F53-F68))</f>
        <v>-143646.30005681911</v>
      </c>
      <c r="G37" s="116">
        <f ca="1">IF(CAPA!$C$113="Não",G53-G68,IF(Indexador!$B74&lt;CAPA!$C$114,0,G53-G68))</f>
        <v>-22843.859242662074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-177940.09032200172</v>
      </c>
      <c r="L37" s="824" t="s">
        <v>48</v>
      </c>
      <c r="M37" s="1272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-6375.8426853179008</v>
      </c>
      <c r="E38" s="116">
        <f ca="1">IF(CAPA!$C$113="Não",E54-E69,IF(Indexador!$B75&lt;CAPA!$C$114,0,E54-E69))</f>
        <v>-4142.2591509201429</v>
      </c>
      <c r="F38" s="116">
        <f ca="1">IF(CAPA!$C$113="Não",F54-F69,IF(Indexador!$B75&lt;CAPA!$C$114,0,F54-F69))</f>
        <v>-132221.67271904292</v>
      </c>
      <c r="G38" s="116">
        <f ca="1">IF(CAPA!$C$113="Não",G54-G69,IF(Indexador!$B75&lt;CAPA!$C$114,0,G54-G69))</f>
        <v>-20701.902869747762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-163441.67742502876</v>
      </c>
      <c r="L38" s="71" t="s">
        <v>837</v>
      </c>
      <c r="M38" s="274">
        <f ca="1">SUM(M31:M36)</f>
        <v>-239013.55637821872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-2443.9264091435434</v>
      </c>
      <c r="E39" s="116">
        <f ca="1">IF(CAPA!$C$113="Não",E55-E70,IF(Indexador!$B76&lt;CAPA!$C$114,0,E55-E70))</f>
        <v>-1824.6962273817098</v>
      </c>
      <c r="F39" s="116">
        <f ca="1">IF(CAPA!$C$113="Não",F55-F70,IF(Indexador!$B76&lt;CAPA!$C$114,0,F55-F70))</f>
        <v>-57476.977986073063</v>
      </c>
      <c r="G39" s="116">
        <f ca="1">IF(CAPA!$C$113="Não",G55-G70,IF(Indexador!$B76&lt;CAPA!$C$114,0,G55-G70))</f>
        <v>-9007.113334159294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-70752.713956757565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1530.17768828716</v>
      </c>
      <c r="E40" s="116">
        <f ca="1">IF(CAPA!$C$113="Não",E56-E71,IF(Indexador!$B77&lt;CAPA!$C$114,0,E56-E71))</f>
        <v>579.45629121860111</v>
      </c>
      <c r="F40" s="116">
        <f ca="1">IF(CAPA!$C$113="Não",F56-F71,IF(Indexador!$B77&lt;CAPA!$C$114,0,F56-F71))</f>
        <v>20493.151948114799</v>
      </c>
      <c r="G40" s="116">
        <f ca="1">IF(CAPA!$C$113="Não",G56-G71,IF(Indexador!$B77&lt;CAPA!$C$114,0,G56-G71))</f>
        <v>3246.4530329486588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25849.238960569259</v>
      </c>
      <c r="L40" s="1839" t="s">
        <v>2259</v>
      </c>
      <c r="M40" s="1839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2886.9167137240602</v>
      </c>
      <c r="E41" s="116">
        <f ca="1">IF(CAPA!$C$113="Não",E57-E72,IF(Indexador!$B78&lt;CAPA!$C$114,0,E57-E72))</f>
        <v>1389.5230856916332</v>
      </c>
      <c r="F41" s="116">
        <f ca="1">IF(CAPA!$C$113="Não",F57-F72,IF(Indexador!$B78&lt;CAPA!$C$114,0,F57-F72))</f>
        <v>46240.709959831904</v>
      </c>
      <c r="G41" s="116">
        <f ca="1">IF(CAPA!$C$113="Não",G57-G72,IF(Indexador!$B78&lt;CAPA!$C$114,0,G57-G72))</f>
        <v>7294.7632462226611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57811.913005470298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41">
        <f ca="1">IFERROR(IF(CAPA!$C$113="Não",C58-C73,IF(Indexador!$B79&lt;CAPA!$C$114,0,C58-C73)),0)</f>
        <v>0</v>
      </c>
      <c r="D42" s="1241">
        <f ca="1">IF(CAPA!$C$113="Não",D58-D73,IF(Indexador!$B79&lt;CAPA!$C$114,0,D58-D73))</f>
        <v>2438.3178584867183</v>
      </c>
      <c r="E42" s="1241">
        <f ca="1">IF(CAPA!$C$113="Não",E58-E73,IF(Indexador!$B79&lt;CAPA!$C$114,0,E58-E73))</f>
        <v>1108.1718466130405</v>
      </c>
      <c r="F42" s="1241">
        <f ca="1">IF(CAPA!$C$113="Não",F58-F73,IF(Indexador!$B79&lt;CAPA!$C$114,0,F58-F73))</f>
        <v>37605.53535107139</v>
      </c>
      <c r="G42" s="1241">
        <f ca="1">IF(CAPA!$C$113="Não",G58-G73,IF(Indexador!$B79&lt;CAPA!$C$114,0,G58-G73))</f>
        <v>5972.5433224739973</v>
      </c>
      <c r="H42" s="1241">
        <f ca="1">IF(CAPA!$C$113="Não",H58-H73,IF(Indexador!$B79&lt;CAPA!$C$114,0,H58-H73))</f>
        <v>0</v>
      </c>
      <c r="I42" s="1241">
        <f ca="1">IF(CAPA!$C$113="Não",I58-I73,IF(Indexador!$B79&lt;CAPA!$C$114,0,I58-I73))</f>
        <v>0</v>
      </c>
      <c r="J42" s="1241">
        <f ca="1">IF(CAPA!$C$113="Não",J58-J73,IF(Indexador!$B79&lt;CAPA!$C$114,0,J58-J73))</f>
        <v>47124.568378645112</v>
      </c>
      <c r="L42" s="824" t="str">
        <f>I30</f>
        <v>Crédito Pis Cofins</v>
      </c>
      <c r="M42" s="1272">
        <f ca="1">Indexador!R80</f>
        <v>0</v>
      </c>
      <c r="N42" s="80"/>
    </row>
    <row r="43" spans="2:14">
      <c r="L43" s="71" t="s">
        <v>846</v>
      </c>
      <c r="M43" s="274">
        <f ca="1">SUM(M41:M42)</f>
        <v>0</v>
      </c>
    </row>
    <row r="44" spans="2:14">
      <c r="K44" s="142"/>
    </row>
    <row r="45" spans="2:14">
      <c r="C45" s="198" t="s">
        <v>1324</v>
      </c>
      <c r="D45" s="198"/>
      <c r="E45" s="198"/>
      <c r="F45" s="198"/>
      <c r="K45" s="142"/>
    </row>
    <row r="46" spans="2:14" ht="28.5">
      <c r="C46" s="1325" t="s">
        <v>2229</v>
      </c>
      <c r="D46" s="1325" t="s">
        <v>46</v>
      </c>
      <c r="E46" s="1325" t="s">
        <v>40</v>
      </c>
      <c r="F46" s="1325" t="s">
        <v>41</v>
      </c>
      <c r="G46" s="1325" t="s">
        <v>47</v>
      </c>
      <c r="H46" s="1617" t="s">
        <v>2230</v>
      </c>
      <c r="I46" s="1617" t="s">
        <v>2256</v>
      </c>
      <c r="J46" s="1325" t="s">
        <v>1360</v>
      </c>
      <c r="K46" s="142"/>
    </row>
    <row r="47" spans="2:14">
      <c r="B47" s="272">
        <f>Indexador!B37</f>
        <v>44378</v>
      </c>
      <c r="C47" s="1575">
        <f>$F$11/12</f>
        <v>0</v>
      </c>
      <c r="D47" s="1390">
        <f>$F$8/12</f>
        <v>18393.365833333333</v>
      </c>
      <c r="E47" s="1232">
        <f t="shared" ref="E47:E58" si="0">$F$5/12</f>
        <v>10867.208864836917</v>
      </c>
      <c r="F47" s="116">
        <f t="shared" ref="F47:F58" si="1">$F$6/12</f>
        <v>347563.713605</v>
      </c>
      <c r="G47" s="116">
        <f t="shared" ref="G47:G58" si="2">$F$9/12</f>
        <v>54441.971489999996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391">
        <f>SUM(C47:G47)</f>
        <v>431266.25979317026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18393.365833333333</v>
      </c>
      <c r="E48" s="116">
        <f t="shared" si="0"/>
        <v>10867.208864836917</v>
      </c>
      <c r="F48" s="116">
        <f t="shared" si="1"/>
        <v>347563.713605</v>
      </c>
      <c r="G48" s="116">
        <f t="shared" si="2"/>
        <v>54441.971489999996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431266.25979317026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18393.365833333333</v>
      </c>
      <c r="E49" s="116">
        <f t="shared" si="0"/>
        <v>10867.208864836917</v>
      </c>
      <c r="F49" s="116">
        <f t="shared" si="1"/>
        <v>347563.713605</v>
      </c>
      <c r="G49" s="116">
        <f t="shared" si="2"/>
        <v>54441.971489999996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431266.25979317026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18393.365833333333</v>
      </c>
      <c r="E50" s="116">
        <f t="shared" si="0"/>
        <v>10867.208864836917</v>
      </c>
      <c r="F50" s="116">
        <f t="shared" si="1"/>
        <v>347563.713605</v>
      </c>
      <c r="G50" s="116">
        <f t="shared" si="2"/>
        <v>54441.971489999996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431266.25979317026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18393.365833333333</v>
      </c>
      <c r="E51" s="116">
        <f t="shared" si="0"/>
        <v>10867.208864836917</v>
      </c>
      <c r="F51" s="116">
        <f t="shared" si="1"/>
        <v>347563.713605</v>
      </c>
      <c r="G51" s="116">
        <f t="shared" si="2"/>
        <v>54441.971489999996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431266.25979317026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18393.365833333333</v>
      </c>
      <c r="E52" s="116">
        <f t="shared" si="0"/>
        <v>10867.208864836917</v>
      </c>
      <c r="F52" s="116">
        <f t="shared" si="1"/>
        <v>347563.713605</v>
      </c>
      <c r="G52" s="116">
        <f t="shared" si="2"/>
        <v>54441.971489999996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431266.25979317026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18393.365833333333</v>
      </c>
      <c r="E53" s="116">
        <f t="shared" si="0"/>
        <v>10867.208864836917</v>
      </c>
      <c r="F53" s="116">
        <f t="shared" si="1"/>
        <v>347563.713605</v>
      </c>
      <c r="G53" s="116">
        <f t="shared" si="2"/>
        <v>54441.971489999996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431266.25979317026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18393.365833333333</v>
      </c>
      <c r="E54" s="116">
        <f t="shared" si="0"/>
        <v>10867.208864836917</v>
      </c>
      <c r="F54" s="116">
        <f t="shared" si="1"/>
        <v>347563.713605</v>
      </c>
      <c r="G54" s="116">
        <f t="shared" si="2"/>
        <v>54441.971489999996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431266.25979317026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18393.365833333333</v>
      </c>
      <c r="E55" s="116">
        <f t="shared" si="0"/>
        <v>10867.208864836917</v>
      </c>
      <c r="F55" s="116">
        <f t="shared" si="1"/>
        <v>347563.713605</v>
      </c>
      <c r="G55" s="116">
        <f t="shared" si="2"/>
        <v>54441.971489999996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431266.25979317026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18393.365833333333</v>
      </c>
      <c r="E56" s="116">
        <f t="shared" si="0"/>
        <v>10867.208864836917</v>
      </c>
      <c r="F56" s="116">
        <f t="shared" si="1"/>
        <v>347563.713605</v>
      </c>
      <c r="G56" s="116">
        <f t="shared" si="2"/>
        <v>54441.971489999996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431266.25979317026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18393.365833333333</v>
      </c>
      <c r="E57" s="116">
        <f t="shared" si="0"/>
        <v>10867.208864836917</v>
      </c>
      <c r="F57" s="116">
        <f t="shared" si="1"/>
        <v>347563.713605</v>
      </c>
      <c r="G57" s="116">
        <f t="shared" si="2"/>
        <v>54441.971489999996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431266.25979317026</v>
      </c>
    </row>
    <row r="58" spans="2:12">
      <c r="B58" s="272">
        <f>Indexador!B48</f>
        <v>44713</v>
      </c>
      <c r="C58" s="1241">
        <f t="shared" si="3"/>
        <v>0</v>
      </c>
      <c r="D58" s="1392">
        <f t="shared" si="4"/>
        <v>18393.365833333333</v>
      </c>
      <c r="E58" s="1241">
        <f t="shared" si="0"/>
        <v>10867.208864836917</v>
      </c>
      <c r="F58" s="1241">
        <f t="shared" si="1"/>
        <v>347563.713605</v>
      </c>
      <c r="G58" s="1241">
        <f t="shared" si="2"/>
        <v>54441.971489999996</v>
      </c>
      <c r="H58" s="1241">
        <f>IFERROR((VLOOKUP("Parcela B",TabFinanCovid[],4,FALSE)/12),0)</f>
        <v>0</v>
      </c>
      <c r="I58" s="1241">
        <f>IFERROR(VLOOKUP("Créditos de Pis/Cofins",TabFinanNeutralidade[[#All],[Detalhe_Grupo_TARIFA]:[valor]],2,FALSE)/12,0)</f>
        <v>0</v>
      </c>
      <c r="J58" s="1393">
        <f t="shared" si="5"/>
        <v>431266.25979317026</v>
      </c>
    </row>
    <row r="60" spans="2:12">
      <c r="C60" s="68" t="s">
        <v>1361</v>
      </c>
      <c r="L60" s="198">
        <v>42491</v>
      </c>
    </row>
    <row r="61" spans="2:12" ht="28.5">
      <c r="C61" s="1576" t="s">
        <v>2229</v>
      </c>
      <c r="D61" s="1325" t="s">
        <v>46</v>
      </c>
      <c r="E61" s="1325" t="s">
        <v>40</v>
      </c>
      <c r="F61" s="1325" t="s">
        <v>41</v>
      </c>
      <c r="G61" s="1325" t="s">
        <v>47</v>
      </c>
      <c r="H61" s="1617" t="s">
        <v>2230</v>
      </c>
      <c r="I61" s="1617" t="s">
        <v>2254</v>
      </c>
      <c r="J61" s="1325" t="s">
        <v>1360</v>
      </c>
      <c r="L61" s="1325" t="s">
        <v>48</v>
      </c>
    </row>
    <row r="62" spans="2:12">
      <c r="B62" s="272">
        <f t="shared" ref="B62:B73" si="6">B47</f>
        <v>44378</v>
      </c>
      <c r="C62" s="1394">
        <f ca="1">Calc_Mercado!S63</f>
        <v>0</v>
      </c>
      <c r="D62" s="1394">
        <f ca="1">Calc_Mercado!F63</f>
        <v>14783.086431526148</v>
      </c>
      <c r="E62" s="1232">
        <f ca="1">Calc_Mercado!I63</f>
        <v>9025.4275354509391</v>
      </c>
      <c r="F62" s="1382">
        <f ca="1">Calc_Mercado!H63</f>
        <v>288528.57878662122</v>
      </c>
      <c r="G62" s="1382">
        <f ca="1">Calc_Mercado!G63</f>
        <v>45189.708577404766</v>
      </c>
      <c r="H62" s="1618">
        <f ca="1">IFERROR((VLOOKUP("Parcela B",TabFinanCovid[],4,FALSE)/VLOOKUP("Parcela B",TabFinanNeutralidade[],3,FALSE))*Calc_Mercado!T63,0)</f>
        <v>0</v>
      </c>
      <c r="I62" s="1618">
        <f ca="1">Calc_Mercado!U63</f>
        <v>0</v>
      </c>
      <c r="J62" s="1391">
        <f t="shared" ref="J62:J73" ca="1" si="7">SUM(C62:G62)</f>
        <v>357526.80133100308</v>
      </c>
      <c r="L62" s="1394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16516.148160378245</v>
      </c>
      <c r="E63" s="116">
        <f ca="1">Calc_Mercado!I64</f>
        <v>10098.395423041902</v>
      </c>
      <c r="F63" s="80">
        <f ca="1">Calc_Mercado!H64</f>
        <v>323253.25590085186</v>
      </c>
      <c r="G63" s="80">
        <f ca="1">Calc_Mercado!G64</f>
        <v>50677.118552516098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400544.91803678812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17275.071908656853</v>
      </c>
      <c r="E64" s="116">
        <f ca="1">Calc_Mercado!I65</f>
        <v>10604.853388623293</v>
      </c>
      <c r="F64" s="80">
        <f ca="1">Calc_Mercado!H65</f>
        <v>338985.39251265925</v>
      </c>
      <c r="G64" s="80">
        <f ca="1">Calc_Mercado!G65</f>
        <v>53091.205570989223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419956.52338092861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17151.308115667627</v>
      </c>
      <c r="E65" s="116">
        <f ca="1">Calc_Mercado!I66</f>
        <v>10454.079052815569</v>
      </c>
      <c r="F65" s="80">
        <f ca="1">Calc_Mercado!H66</f>
        <v>335869.01278247597</v>
      </c>
      <c r="G65" s="80">
        <f ca="1">Calc_Mercado!G66</f>
        <v>52811.243723190382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416285.64367414953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18635.634551229596</v>
      </c>
      <c r="E66" s="116">
        <f ca="1">Calc_Mercado!I67</f>
        <v>11219.225104355501</v>
      </c>
      <c r="F66" s="80">
        <f ca="1">Calc_Mercado!H67</f>
        <v>362442.64198547893</v>
      </c>
      <c r="G66" s="80">
        <f ca="1">Calc_Mercado!G67</f>
        <v>57258.270349083628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449555.77199014765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20498.208128393631</v>
      </c>
      <c r="E67" s="116">
        <f ca="1">Calc_Mercado!I68</f>
        <v>12244.071884640292</v>
      </c>
      <c r="F67" s="80">
        <f ca="1">Calc_Mercado!H68</f>
        <v>396333.15699715441</v>
      </c>
      <c r="G67" s="80">
        <f ca="1">Calc_Mercado!G68</f>
        <v>62702.209629421683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491777.64663961006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25435.148276143689</v>
      </c>
      <c r="E68" s="116">
        <f ca="1">Calc_Mercado!I69</f>
        <v>15275.357444547035</v>
      </c>
      <c r="F68" s="80">
        <f ca="1">Calc_Mercado!H69</f>
        <v>491210.0136618191</v>
      </c>
      <c r="G68" s="80">
        <f ca="1">Calc_Mercado!G69</f>
        <v>77285.830732662071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609206.35011517198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24769.208518651234</v>
      </c>
      <c r="E69" s="116">
        <f ca="1">Calc_Mercado!I70</f>
        <v>15009.46801575706</v>
      </c>
      <c r="F69" s="80">
        <f ca="1">Calc_Mercado!H70</f>
        <v>479785.38632404292</v>
      </c>
      <c r="G69" s="80">
        <f ca="1">Calc_Mercado!G70</f>
        <v>75143.874359747759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594707.93721819902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20837.292242476877</v>
      </c>
      <c r="E70" s="116">
        <f ca="1">Calc_Mercado!I71</f>
        <v>12691.905092218627</v>
      </c>
      <c r="F70" s="80">
        <f ca="1">Calc_Mercado!H71</f>
        <v>405040.69159107306</v>
      </c>
      <c r="G70" s="80">
        <f ca="1">Calc_Mercado!G71</f>
        <v>63449.08482415929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502018.97374992783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16863.188145046173</v>
      </c>
      <c r="E71" s="116">
        <f ca="1">Calc_Mercado!I72</f>
        <v>10287.752573618316</v>
      </c>
      <c r="F71" s="80">
        <f ca="1">Calc_Mercado!H72</f>
        <v>327070.5616568852</v>
      </c>
      <c r="G71" s="80">
        <f ca="1">Calc_Mercado!G72</f>
        <v>51195.518457051337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405417.020832601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15506.449119609273</v>
      </c>
      <c r="E72" s="116">
        <f ca="1">Calc_Mercado!I73</f>
        <v>9477.685779145284</v>
      </c>
      <c r="F72" s="80">
        <f ca="1">Calc_Mercado!H73</f>
        <v>301323.00364516809</v>
      </c>
      <c r="G72" s="80">
        <f ca="1">Calc_Mercado!G73</f>
        <v>47147.208243777335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373454.34678769996</v>
      </c>
      <c r="L72" s="143">
        <f ca="1">IF(B72&lt;$L$60,0,Calc_Mercado!D73)</f>
        <v>0</v>
      </c>
    </row>
    <row r="73" spans="2:12">
      <c r="B73" s="272">
        <f t="shared" si="6"/>
        <v>44713</v>
      </c>
      <c r="C73" s="1395">
        <f ca="1">Calc_Mercado!S74</f>
        <v>0</v>
      </c>
      <c r="D73" s="1395">
        <f ca="1">Calc_Mercado!F74</f>
        <v>15955.047974846615</v>
      </c>
      <c r="E73" s="1241">
        <f ca="1">Calc_Mercado!I74</f>
        <v>9759.0370182238767</v>
      </c>
      <c r="F73" s="1387">
        <f ca="1">Calc_Mercado!H74</f>
        <v>309958.17825392861</v>
      </c>
      <c r="G73" s="1387">
        <f ca="1">Calc_Mercado!G74</f>
        <v>48469.428167525999</v>
      </c>
      <c r="H73" s="1387">
        <f ca="1">IFERROR((VLOOKUP("Parcela B",TabFinanCovid[],4,FALSE)/VLOOKUP("Parcela B",TabFinanNeutralidade[],3,FALSE))*Calc_Mercado!T74,0)</f>
        <v>0</v>
      </c>
      <c r="I73" s="1387">
        <f ca="1">Calc_Mercado!U74</f>
        <v>0</v>
      </c>
      <c r="J73" s="1393">
        <f t="shared" ca="1" si="7"/>
        <v>384141.69141452515</v>
      </c>
      <c r="L73" s="1395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A22" zoomScale="85" zoomScaleNormal="85" workbookViewId="0">
      <selection activeCell="E34" sqref="E34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77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20" ht="23.25" customHeight="1">
      <c r="C1" s="1009" t="s">
        <v>801</v>
      </c>
      <c r="D1" s="1396"/>
      <c r="E1" s="1397"/>
      <c r="F1" s="824"/>
      <c r="G1" s="1219" t="s">
        <v>953</v>
      </c>
      <c r="H1" s="1220">
        <f ca="1">LnkTXTIRTEco</f>
        <v>3.0300000000000001E-2</v>
      </c>
    </row>
    <row r="2" spans="3:20" ht="16.5">
      <c r="C2" s="637" t="str">
        <f>CAPA!B2</f>
        <v>Cooperluz</v>
      </c>
      <c r="D2" s="639"/>
      <c r="E2" s="971"/>
      <c r="F2" s="640"/>
      <c r="G2" s="641" t="s">
        <v>957</v>
      </c>
      <c r="H2" s="642">
        <f ca="1">LnkTXTIRTTotal</f>
        <v>-0.30859999999999999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8" t="s">
        <v>1032</v>
      </c>
      <c r="T2" s="68">
        <v>4.3809925757789525E-3</v>
      </c>
    </row>
    <row r="3" spans="3:20" ht="16.5">
      <c r="C3" s="643"/>
      <c r="D3" s="639"/>
      <c r="E3" s="971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8" t="s">
        <v>1051</v>
      </c>
      <c r="T3" s="68">
        <v>0.99561900742422105</v>
      </c>
    </row>
    <row r="4" spans="3:20" ht="16.5">
      <c r="C4" s="1398" t="s">
        <v>1362</v>
      </c>
      <c r="D4" s="1399">
        <f ca="1">LnkTXTRA0</f>
        <v>56191945.232149981</v>
      </c>
      <c r="E4" s="972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20" ht="16.5">
      <c r="C5" s="1400" t="s">
        <v>1363</v>
      </c>
      <c r="D5" s="1401">
        <f ca="1">IF(CAPA!P1="VERDADEIRO",D7,IFERROR(D7/(1+IF(Calc_Mercado!J15&gt;0,Calc_Mercado!J15,0)),0))</f>
        <v>-21837727.702991419</v>
      </c>
      <c r="E5" s="973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20" ht="16.5">
      <c r="C6" s="640"/>
      <c r="D6" s="1402"/>
      <c r="E6" s="974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20" ht="16.5">
      <c r="C7" s="1403" t="s">
        <v>1364</v>
      </c>
      <c r="D7" s="1404">
        <f ca="1">SUM(D10:D82)-LnkTxTAjusteCUST-D31</f>
        <v>-21837727.702991419</v>
      </c>
      <c r="E7" s="1405">
        <f ca="1">SUM(E10:E82)-E26-E31</f>
        <v>-0.33885813016407468</v>
      </c>
      <c r="F7" s="646" t="s">
        <v>1365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20" ht="16.5">
      <c r="C8" s="1406" t="s">
        <v>1366</v>
      </c>
      <c r="D8" s="1407" t="s">
        <v>37</v>
      </c>
      <c r="E8" s="1408" t="s">
        <v>1367</v>
      </c>
      <c r="F8" s="1406" t="s">
        <v>1368</v>
      </c>
      <c r="G8" s="1406" t="s">
        <v>1369</v>
      </c>
      <c r="H8" s="1406" t="s">
        <v>1370</v>
      </c>
      <c r="I8" s="1406" t="s">
        <v>1371</v>
      </c>
      <c r="J8" s="1406" t="s">
        <v>1372</v>
      </c>
      <c r="K8" s="1406" t="s">
        <v>1373</v>
      </c>
      <c r="L8" s="1406" t="s">
        <v>803</v>
      </c>
      <c r="M8" s="640"/>
      <c r="N8" s="640"/>
      <c r="O8" s="640"/>
      <c r="P8" s="640"/>
      <c r="Q8" s="640"/>
      <c r="R8" s="640"/>
    </row>
    <row r="9" spans="3:20" ht="16.5">
      <c r="C9" s="647" t="s">
        <v>1374</v>
      </c>
      <c r="D9" s="648">
        <f>ABS(Indexador!D49)</f>
        <v>818160.60193942254</v>
      </c>
      <c r="E9" s="975">
        <f t="shared" ref="E9:E76" ca="1" si="0">IF(ISERROR(D9/$D$4),0,D9/$D$4)</f>
        <v>1.4560104629930402E-2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20" ht="16.5">
      <c r="C10" s="640" t="s">
        <v>1375</v>
      </c>
      <c r="D10" s="871">
        <f>IFERROR(ABS(Indexador!D49)*T2,0)</f>
        <v>3584.3555228914488</v>
      </c>
      <c r="E10" s="976">
        <f ca="1">IF(ISERROR(D10/$D$4),0,D10/$D$4)</f>
        <v>6.3787710286289845E-5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6"/>
      <c r="R10" s="640"/>
    </row>
    <row r="11" spans="3:20" ht="16.5">
      <c r="C11" s="640" t="s">
        <v>1376</v>
      </c>
      <c r="D11" s="871">
        <f>IFERROR(ABS(Indexador!D49)*T3,0)</f>
        <v>814576.24641653104</v>
      </c>
      <c r="E11" s="976">
        <f ca="1">IF(ISERROR(D11/$D$4),0,D11/$D$4)</f>
        <v>1.4496316919644111E-2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1377</v>
      </c>
      <c r="O11" s="649" t="s">
        <v>37</v>
      </c>
      <c r="P11" s="650" t="s">
        <v>1367</v>
      </c>
      <c r="Q11" s="796"/>
      <c r="R11" s="640"/>
    </row>
    <row r="12" spans="3:20" ht="16.5">
      <c r="C12" s="640" t="str">
        <f>"(Neutralidade) "&amp;Encargos!E5</f>
        <v>(Neutralidade) TFSEE</v>
      </c>
      <c r="D12" s="871">
        <f ca="1">Encargos!M31</f>
        <v>-5969.0844393077859</v>
      </c>
      <c r="E12" s="976">
        <f t="shared" ca="1" si="0"/>
        <v>-1.0622669164854965E-4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7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-5969.0844393077859</v>
      </c>
      <c r="P12" s="640">
        <f ca="1">IF(Tabela1[[#This Row],[Percentual]]=0,,Tabela1[[#This Row],[Percentual]])</f>
        <v>-1.0622669164854965E-4</v>
      </c>
      <c r="Q12" s="644"/>
      <c r="R12" s="640"/>
    </row>
    <row r="13" spans="3:20" ht="16.5">
      <c r="C13" s="640" t="str">
        <f>"(Neutralidade) "&amp;Encargos!E6&amp;""</f>
        <v>(Neutralidade) CDE</v>
      </c>
      <c r="D13" s="871">
        <f ca="1">IFERROR(Encargos!M32,0)</f>
        <v>-197044.79861084011</v>
      </c>
      <c r="E13" s="976">
        <f ca="1">IF(ISERROR(D13/$D$4),0,D13/$D$4)</f>
        <v>-3.5066377893980039E-3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-197044.79861084011</v>
      </c>
      <c r="P13" s="640">
        <f ca="1">IF(Tabela1[[#This Row],[Percentual]]=0,,Tabela1[[#This Row],[Percentual]])</f>
        <v>-3.5066377893980039E-3</v>
      </c>
      <c r="Q13" s="644"/>
      <c r="R13" s="640"/>
    </row>
    <row r="14" spans="3:20" ht="16.5">
      <c r="C14" s="640" t="str">
        <f>"(Neutralidade) "&amp;Encargos!E7</f>
        <v>(Neutralidade) CFURH</v>
      </c>
      <c r="D14" s="871">
        <f>Encargos!M33</f>
        <v>0</v>
      </c>
      <c r="E14" s="976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20" ht="16.5">
      <c r="C15" s="640" t="str">
        <f>"(Neutralidade) "&amp;Encargos!E8</f>
        <v>(Neutralidade) ESS/EER</v>
      </c>
      <c r="D15" s="871">
        <f ca="1">Encargos!M34</f>
        <v>-3516.6124902060506</v>
      </c>
      <c r="E15" s="976">
        <f t="shared" ca="1" si="0"/>
        <v>-6.2582145460129678E-5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 t="str">
        <f t="shared" ca="1" si="1"/>
        <v>CVA</v>
      </c>
      <c r="N15" s="640" t="str">
        <f ca="1">IF(Tabela1[[#This Row],[Percentual]]=0,,Tabela1[[#This Row],[Nome do Financeiro]])</f>
        <v>(Neutralidade) ESS/EER</v>
      </c>
      <c r="O15" s="640">
        <f ca="1">IF(ISNUMBER(Tabela1[[#This Row],[Valor]]),Tabela1[[#This Row],[Valor]],)</f>
        <v>-3516.6124902060506</v>
      </c>
      <c r="P15" s="640">
        <f ca="1">IF(Tabela1[[#This Row],[Percentual]]=0,,Tabela1[[#This Row],[Percentual]])</f>
        <v>-6.2582145460129678E-5</v>
      </c>
      <c r="Q15" s="644"/>
      <c r="R15" s="640"/>
    </row>
    <row r="16" spans="3:20" ht="16.5">
      <c r="C16" s="640" t="str">
        <f>"(Neutralidade) "&amp;Encargos!E9</f>
        <v>(Neutralidade) PROINFA</v>
      </c>
      <c r="D16" s="871">
        <f ca="1">Encargos!M35</f>
        <v>-32483.060837864756</v>
      </c>
      <c r="E16" s="976">
        <f t="shared" ca="1" si="0"/>
        <v>-5.7807325771807791E-4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-32483.060837864756</v>
      </c>
      <c r="P16" s="640">
        <f ca="1">IF(Tabela1[[#This Row],[Percentual]]=0,,Tabela1[[#This Row],[Percentual]])</f>
        <v>-5.7807325771807791E-4</v>
      </c>
      <c r="Q16" s="644"/>
      <c r="R16" s="640"/>
    </row>
    <row r="17" spans="3:23" ht="16.5">
      <c r="C17" s="640" t="str">
        <f>"(Neutralidade) "&amp;Encargos!B11</f>
        <v>(Neutralidade) P&amp;D e PEE</v>
      </c>
      <c r="D17" s="871"/>
      <c r="E17" s="976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3" ht="16.5">
      <c r="C18" s="640" t="str">
        <f>"(Neutralidade) "&amp; "CDE conta covid-19"</f>
        <v>(Neutralidade) CDE conta covid-19</v>
      </c>
      <c r="D18" s="871">
        <f ca="1">Encargos!M36</f>
        <v>0</v>
      </c>
      <c r="E18" s="976">
        <f t="shared" ca="1" si="0"/>
        <v>0</v>
      </c>
      <c r="F18" s="1705">
        <v>20</v>
      </c>
      <c r="G18" s="1705">
        <v>60</v>
      </c>
      <c r="H18" s="1705">
        <v>73</v>
      </c>
      <c r="I18" s="1705">
        <v>3</v>
      </c>
      <c r="J18" s="1705">
        <v>12</v>
      </c>
      <c r="K18" s="1705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3" ht="16.5">
      <c r="C19" s="640" t="str">
        <f>"(Neutralidade)" &amp; Encargos!L41</f>
        <v>(Neutralidade)Financeiro Covid</v>
      </c>
      <c r="D19" s="871">
        <f ca="1">Encargos!M41</f>
        <v>0</v>
      </c>
      <c r="E19" s="976">
        <f t="shared" ca="1" si="0"/>
        <v>0</v>
      </c>
      <c r="F19" s="640">
        <v>20</v>
      </c>
      <c r="G19" s="640">
        <v>60</v>
      </c>
      <c r="H19" s="640">
        <v>235</v>
      </c>
      <c r="I19" s="640">
        <v>4</v>
      </c>
      <c r="J19" s="640">
        <v>999</v>
      </c>
      <c r="K19" s="640">
        <v>9</v>
      </c>
      <c r="L19" s="640"/>
      <c r="M19" s="640"/>
      <c r="N19" s="640"/>
      <c r="O19" s="640"/>
      <c r="P19" s="640"/>
      <c r="Q19" s="644"/>
      <c r="R19" s="640"/>
      <c r="S19" s="398"/>
    </row>
    <row r="20" spans="3:23" ht="16.5">
      <c r="C20" s="640" t="str">
        <f>"(Neutralidade)" &amp; Encargos!L42</f>
        <v>(Neutralidade)Crédito Pis Cofins</v>
      </c>
      <c r="D20" s="871">
        <f ca="1">Encargos!M42</f>
        <v>0</v>
      </c>
      <c r="E20" s="976">
        <f t="shared" ca="1" si="0"/>
        <v>0</v>
      </c>
      <c r="F20" s="640">
        <v>20</v>
      </c>
      <c r="G20" s="640">
        <v>60</v>
      </c>
      <c r="H20" s="640">
        <v>179</v>
      </c>
      <c r="I20" s="640">
        <v>99</v>
      </c>
      <c r="J20" s="640">
        <v>999</v>
      </c>
      <c r="K20" s="640">
        <v>3</v>
      </c>
      <c r="L20" s="640"/>
      <c r="M20" s="640"/>
      <c r="N20" s="640"/>
      <c r="O20" s="640"/>
      <c r="P20" s="640"/>
      <c r="Q20" s="644"/>
      <c r="R20" s="640"/>
      <c r="S20" s="398"/>
    </row>
    <row r="21" spans="3:23" ht="16.5">
      <c r="C21" s="640" t="s">
        <v>1378</v>
      </c>
      <c r="D21" s="871">
        <f>IFERROR(LnkTxTAjusteCUST*Resultado!D25/(Resultado!D25+Resultado!D26),0)</f>
        <v>203038.70292521745</v>
      </c>
      <c r="E21" s="976">
        <f ca="1">IF(ISERROR(D21/$D$4),0,D21/$D$4)</f>
        <v>3.6133061791398836E-3</v>
      </c>
      <c r="F21" s="640">
        <v>22</v>
      </c>
      <c r="G21" s="640">
        <v>60</v>
      </c>
      <c r="H21" s="640">
        <v>999</v>
      </c>
      <c r="I21" s="640">
        <v>1</v>
      </c>
      <c r="J21" s="640">
        <v>1</v>
      </c>
      <c r="K21" s="640">
        <v>9</v>
      </c>
      <c r="L21" s="640"/>
      <c r="M21" s="640" t="str">
        <f t="shared" si="1"/>
        <v>CVA</v>
      </c>
      <c r="N21" s="640" t="str">
        <f ca="1">IF(Tabela1[[#This Row],[Percentual]]=0,,Tabela1[[#This Row],[Nome do Financeiro]])</f>
        <v>Ajuste CUST RB + PIS Cofins RB</v>
      </c>
      <c r="O21" s="640">
        <f>IF(ISNUMBER(Tabela1[[#This Row],[Valor]]),Tabela1[[#This Row],[Valor]],)</f>
        <v>203038.70292521745</v>
      </c>
      <c r="P21" s="640">
        <f ca="1">IF(Tabela1[[#This Row],[Percentual]]=0,,Tabela1[[#This Row],[Percentual]])</f>
        <v>3.6133061791398836E-3</v>
      </c>
      <c r="Q21" s="644"/>
      <c r="R21" s="640"/>
    </row>
    <row r="22" spans="3:23" ht="16.5">
      <c r="C22" s="640" t="s">
        <v>1379</v>
      </c>
      <c r="D22" s="871">
        <f>IFERROR(LnkTxTAjusteCUST*Resultado!D26/(Resultado!D25+Resultado!D26),0)</f>
        <v>36349.186080041211</v>
      </c>
      <c r="E22" s="976">
        <f ca="1">IF(ISERROR(D22/$D$4),0,D22/$D$4)</f>
        <v>6.4687538275938136E-4</v>
      </c>
      <c r="F22" s="640">
        <v>22</v>
      </c>
      <c r="G22" s="640">
        <v>60</v>
      </c>
      <c r="H22" s="640">
        <v>999</v>
      </c>
      <c r="I22" s="640">
        <v>1</v>
      </c>
      <c r="J22" s="640">
        <v>2</v>
      </c>
      <c r="K22" s="640">
        <v>9</v>
      </c>
      <c r="L22" s="640"/>
      <c r="M22" s="640" t="str">
        <f t="shared" si="1"/>
        <v>CVA</v>
      </c>
      <c r="N22" s="640" t="str">
        <f ca="1">IF(Tabela1[[#This Row],[Percentual]]=0,,Tabela1[[#This Row],[Nome do Financeiro]])</f>
        <v>Ajuste CUST RB Fronteira + PIS Cofins RB Fronteira</v>
      </c>
      <c r="O22" s="640">
        <f>IF(ISNUMBER(Tabela1[[#This Row],[Valor]]),Tabela1[[#This Row],[Valor]],)</f>
        <v>36349.186080041211</v>
      </c>
      <c r="P22" s="640">
        <f ca="1">IF(Tabela1[[#This Row],[Percentual]]=0,,Tabela1[[#This Row],[Percentual]])</f>
        <v>6.4687538275938136E-4</v>
      </c>
      <c r="Q22" s="644"/>
      <c r="R22" s="640"/>
      <c r="S22" s="143"/>
    </row>
    <row r="23" spans="3:23" ht="16.5">
      <c r="C23" s="640" t="s">
        <v>1380</v>
      </c>
      <c r="D23" s="871">
        <v>0</v>
      </c>
      <c r="E23" s="976">
        <f t="shared" ca="1" si="0"/>
        <v>0</v>
      </c>
      <c r="F23" s="640">
        <v>22</v>
      </c>
      <c r="G23" s="640">
        <v>60</v>
      </c>
      <c r="H23" s="640">
        <v>167</v>
      </c>
      <c r="I23" s="640">
        <v>4</v>
      </c>
      <c r="J23" s="640">
        <v>999</v>
      </c>
      <c r="K23" s="640">
        <v>9</v>
      </c>
      <c r="L23" s="640"/>
      <c r="M23" s="640">
        <f t="shared" si="1"/>
        <v>0</v>
      </c>
      <c r="N23" s="640">
        <f ca="1">IF(Tabela1[[#This Row],[Percentual]]=0,,Tabela1[[#This Row],[Nome do Financeiro]])</f>
        <v>0</v>
      </c>
      <c r="O23" s="640">
        <f>IF(ISNUMBER(Tabela1[[#This Row],[Valor]]),Tabela1[[#This Row],[Valor]],)</f>
        <v>0</v>
      </c>
      <c r="P23" s="640">
        <f ca="1">IF(Tabela1[[#This Row],[Percentual]]=0,,Tabela1[[#This Row],[Percentual]])</f>
        <v>0</v>
      </c>
      <c r="Q23" s="644"/>
      <c r="R23" s="640"/>
    </row>
    <row r="24" spans="3:23" ht="16.5">
      <c r="C24" s="640" t="s">
        <v>2211</v>
      </c>
      <c r="D24" s="871"/>
      <c r="E24" s="976">
        <f t="shared" ca="1" si="0"/>
        <v>0</v>
      </c>
      <c r="F24" s="640">
        <v>22</v>
      </c>
      <c r="G24" s="640">
        <v>60</v>
      </c>
      <c r="H24" s="640">
        <v>999</v>
      </c>
      <c r="I24" s="640">
        <v>3</v>
      </c>
      <c r="J24" s="640">
        <v>28</v>
      </c>
      <c r="K24" s="640">
        <v>9</v>
      </c>
      <c r="L24" s="640"/>
      <c r="M24" s="640">
        <f t="shared" si="1"/>
        <v>0</v>
      </c>
      <c r="N24" s="640">
        <f ca="1">IF(Tabela1[[#This Row],[Percentual]]=0,,Tabela1[[#This Row],[Nome do Financeiro]])</f>
        <v>0</v>
      </c>
      <c r="O24" s="640">
        <f>IF(ISNUMBER(Tabela1[[#This Row],[Valor]]),Tabela1[[#This Row],[Valor]],)</f>
        <v>0</v>
      </c>
      <c r="P24" s="640">
        <f ca="1">IF(Tabela1[[#This Row],[Percentual]]=0,,Tabela1[[#This Row],[Percentual]])</f>
        <v>0</v>
      </c>
      <c r="Q24" s="644"/>
      <c r="R24" s="640"/>
      <c r="S24" s="292"/>
    </row>
    <row r="25" spans="3:23" ht="16.5">
      <c r="C25" s="1574" t="s">
        <v>2187</v>
      </c>
      <c r="D25" s="1573"/>
      <c r="E25" s="976">
        <f ca="1">IF(ISERROR(D25/$D$4),0,D25/$D$4)</f>
        <v>0</v>
      </c>
      <c r="F25" s="640">
        <v>22</v>
      </c>
      <c r="G25" s="640">
        <v>60</v>
      </c>
      <c r="H25" s="640">
        <v>999</v>
      </c>
      <c r="I25" s="640">
        <v>2</v>
      </c>
      <c r="J25" s="640">
        <v>30</v>
      </c>
      <c r="K25" s="640">
        <v>9</v>
      </c>
      <c r="L25" s="651"/>
      <c r="M25" s="640">
        <f t="shared" si="1"/>
        <v>0</v>
      </c>
      <c r="N25" s="640" t="e">
        <v>#REF!</v>
      </c>
      <c r="O25" s="640">
        <v>0</v>
      </c>
      <c r="P25" s="640" t="e">
        <v>#REF!</v>
      </c>
      <c r="Q25" s="644"/>
      <c r="R25" s="640"/>
    </row>
    <row r="26" spans="3:23" ht="16.5">
      <c r="C26" s="652" t="s">
        <v>1381</v>
      </c>
      <c r="D26" s="872">
        <f>Indexador!J49+Indexador!P49</f>
        <v>239387.88900525868</v>
      </c>
      <c r="E26" s="975">
        <f t="shared" ca="1" si="0"/>
        <v>4.260181561899265E-3</v>
      </c>
      <c r="F26" s="647"/>
      <c r="G26" s="647"/>
      <c r="H26" s="647"/>
      <c r="I26" s="647"/>
      <c r="J26" s="647"/>
      <c r="K26" s="647"/>
      <c r="L26" s="640"/>
      <c r="M26" s="640" t="str">
        <f t="shared" si="1"/>
        <v>CVA</v>
      </c>
      <c r="N26" s="640" t="str">
        <f ca="1">IF(Tabela1[[#This Row],[Percentual]]=0,,Tabela1[[#This Row],[Nome do Financeiro]])</f>
        <v>Ajuste CUST + PISCONFINS Transmissão</v>
      </c>
      <c r="O26" s="640">
        <f>IF(ISNUMBER(Tabela1[[#This Row],[Valor]]),Tabela1[[#This Row],[Valor]],)</f>
        <v>239387.88900525868</v>
      </c>
      <c r="P26" s="640">
        <f ca="1">IF(Tabela1[[#This Row],[Percentual]]=0,,Tabela1[[#This Row],[Percentual]])</f>
        <v>4.260181561899265E-3</v>
      </c>
      <c r="Q26" s="644"/>
      <c r="R26" s="640"/>
      <c r="S26" s="142"/>
      <c r="V26" s="117"/>
    </row>
    <row r="27" spans="3:23" ht="16.5">
      <c r="C27" s="640" t="s">
        <v>1382</v>
      </c>
      <c r="D27" s="871">
        <f>(Indexador!H49)</f>
        <v>-2276.7511681570618</v>
      </c>
      <c r="E27" s="976">
        <f t="shared" ca="1" si="0"/>
        <v>-4.0517393707424604E-5</v>
      </c>
      <c r="F27" s="640">
        <v>22</v>
      </c>
      <c r="G27" s="640">
        <v>60</v>
      </c>
      <c r="H27" s="640">
        <v>178</v>
      </c>
      <c r="I27" s="640">
        <v>1</v>
      </c>
      <c r="J27" s="640">
        <v>7</v>
      </c>
      <c r="K27" s="640">
        <v>9</v>
      </c>
      <c r="L27" s="640"/>
      <c r="M27" s="640" t="str">
        <f t="shared" si="1"/>
        <v>CVA</v>
      </c>
      <c r="N27" s="640" t="str">
        <f ca="1">IF(Tabela1[[#This Row],[Percentual]]=0,,Tabela1[[#This Row],[Nome do Financeiro]])</f>
        <v>Compensação DIC FIC</v>
      </c>
      <c r="O27" s="640">
        <f>IF(ISNUMBER(Tabela1[[#This Row],[Valor]]),Tabela1[[#This Row],[Valor]],)</f>
        <v>-2276.7511681570618</v>
      </c>
      <c r="P27" s="640">
        <f ca="1">IF(Tabela1[[#This Row],[Percentual]]=0,,Tabela1[[#This Row],[Percentual]])</f>
        <v>-4.0517393707424604E-5</v>
      </c>
      <c r="Q27" s="640"/>
      <c r="R27" s="640"/>
    </row>
    <row r="28" spans="3:23" ht="16.5">
      <c r="C28" s="640" t="s">
        <v>1383</v>
      </c>
      <c r="D28" s="871">
        <f ca="1">-LnkTXTISubvencaoPB</f>
        <v>-23888195.526273698</v>
      </c>
      <c r="E28" s="976">
        <f ca="1">IF(ISERROR(D28/$D$4),0,D28/$D$4)</f>
        <v>-0.42511778917036258</v>
      </c>
      <c r="F28" s="640">
        <v>22</v>
      </c>
      <c r="G28" s="640">
        <v>60</v>
      </c>
      <c r="H28" s="640">
        <v>999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640"/>
    </row>
    <row r="29" spans="3:23" ht="16.5">
      <c r="C29" s="479" t="s">
        <v>1384</v>
      </c>
      <c r="D29" s="871">
        <f>IFERROR(-ABS(Indexador!L49),0)</f>
        <v>0</v>
      </c>
      <c r="E29" s="976">
        <f t="shared" ca="1" si="0"/>
        <v>0</v>
      </c>
      <c r="F29" s="640">
        <v>22</v>
      </c>
      <c r="G29" s="640">
        <v>60</v>
      </c>
      <c r="H29" s="640">
        <v>999</v>
      </c>
      <c r="I29" s="640">
        <v>2</v>
      </c>
      <c r="J29" s="640">
        <v>30</v>
      </c>
      <c r="K29" s="640">
        <v>9</v>
      </c>
      <c r="L29" s="640"/>
      <c r="M29" s="640"/>
      <c r="N29" s="640"/>
      <c r="O29" s="640"/>
      <c r="P29" s="640"/>
      <c r="Q29" s="640"/>
      <c r="R29" s="640"/>
    </row>
    <row r="30" spans="3:23" ht="16.5">
      <c r="C30" s="479" t="s">
        <v>1385</v>
      </c>
      <c r="D30" s="873"/>
      <c r="E30" s="976">
        <f t="shared" ca="1" si="0"/>
        <v>0</v>
      </c>
      <c r="F30" s="640">
        <v>22</v>
      </c>
      <c r="G30" s="640">
        <v>60</v>
      </c>
      <c r="H30" s="640">
        <v>120</v>
      </c>
      <c r="I30" s="640">
        <v>4</v>
      </c>
      <c r="J30" s="640">
        <v>999</v>
      </c>
      <c r="K30" s="640">
        <v>9</v>
      </c>
      <c r="L30" s="640"/>
      <c r="M30" s="640"/>
      <c r="N30" s="640"/>
      <c r="O30" s="640"/>
      <c r="P30" s="640"/>
      <c r="Q30" s="640"/>
      <c r="R30" s="640"/>
    </row>
    <row r="31" spans="3:23" ht="16.5">
      <c r="C31" s="647" t="s">
        <v>1386</v>
      </c>
      <c r="D31" s="872">
        <f>ICMS!E12</f>
        <v>0</v>
      </c>
      <c r="E31" s="975">
        <f ca="1">IFERROR(Tabela1[[#This Row],[Valor]]/D4,0)</f>
        <v>0</v>
      </c>
      <c r="F31" s="647"/>
      <c r="G31" s="647"/>
      <c r="H31" s="647"/>
      <c r="I31" s="647"/>
      <c r="J31" s="647"/>
      <c r="K31" s="647"/>
      <c r="L31" s="640"/>
      <c r="M31" s="640"/>
      <c r="N31" s="640"/>
      <c r="O31" s="640"/>
      <c r="P31" s="640"/>
      <c r="Q31" s="640"/>
      <c r="R31" s="640"/>
      <c r="T31" s="93"/>
      <c r="U31" s="93"/>
      <c r="V31" s="93"/>
      <c r="W31" s="93"/>
    </row>
    <row r="32" spans="3:23" ht="16.5">
      <c r="C32" s="640" t="s">
        <v>1387</v>
      </c>
      <c r="D32" s="871">
        <f ca="1">ICMS!E13</f>
        <v>0</v>
      </c>
      <c r="E32" s="976">
        <f ca="1">IF(ISERROR(D32/$D$4),0,D32/$D$4)</f>
        <v>0</v>
      </c>
      <c r="F32" s="640">
        <v>22</v>
      </c>
      <c r="G32" s="640">
        <v>60</v>
      </c>
      <c r="H32" s="640">
        <v>999</v>
      </c>
      <c r="I32" s="640">
        <v>1</v>
      </c>
      <c r="J32" s="640">
        <v>7</v>
      </c>
      <c r="K32" s="640">
        <v>9</v>
      </c>
      <c r="L32" s="640"/>
      <c r="M32" s="640"/>
      <c r="N32" s="640"/>
      <c r="O32" s="640"/>
      <c r="P32" s="640"/>
      <c r="Q32" s="640"/>
      <c r="R32" s="735"/>
      <c r="T32" s="93"/>
      <c r="V32" s="93"/>
      <c r="W32" s="93"/>
    </row>
    <row r="33" spans="3:23" ht="16.5">
      <c r="C33" s="640" t="s">
        <v>1388</v>
      </c>
      <c r="D33" s="871">
        <f ca="1">ICMS!E14</f>
        <v>0</v>
      </c>
      <c r="E33" s="976">
        <f ca="1">IF(ISERROR(D33/$D$4),0,D33/$D$4)</f>
        <v>0</v>
      </c>
      <c r="F33" s="640">
        <v>22</v>
      </c>
      <c r="G33" s="640">
        <v>60</v>
      </c>
      <c r="H33" s="640">
        <v>999</v>
      </c>
      <c r="I33" s="640">
        <v>2</v>
      </c>
      <c r="J33" s="640">
        <v>30</v>
      </c>
      <c r="K33" s="640">
        <v>9</v>
      </c>
      <c r="L33" s="640"/>
      <c r="M33" s="640"/>
      <c r="N33" s="640"/>
      <c r="O33" s="640"/>
      <c r="P33" s="640"/>
      <c r="Q33" s="640"/>
      <c r="R33" s="640"/>
      <c r="T33" s="93"/>
      <c r="V33" s="93"/>
      <c r="W33" s="93"/>
    </row>
    <row r="34" spans="3:23" ht="16.5">
      <c r="C34" s="640" t="s">
        <v>1389</v>
      </c>
      <c r="D34" s="889"/>
      <c r="E34" s="976">
        <f t="shared" ref="E34:E49" ca="1" si="2">IF(ISERROR(D34/$D$4),0,D34/$D$4)</f>
        <v>0</v>
      </c>
      <c r="F34" s="640">
        <v>22</v>
      </c>
      <c r="G34" s="640">
        <v>60</v>
      </c>
      <c r="H34" s="640">
        <v>231</v>
      </c>
      <c r="I34" s="640">
        <v>3</v>
      </c>
      <c r="J34" s="640">
        <v>19</v>
      </c>
      <c r="K34" s="640">
        <v>9</v>
      </c>
      <c r="L34" s="640"/>
      <c r="M34" s="640"/>
      <c r="N34" s="640"/>
      <c r="O34" s="640"/>
      <c r="P34" s="640"/>
      <c r="Q34" s="797"/>
      <c r="R34" s="640"/>
    </row>
    <row r="35" spans="3:23" ht="16.5">
      <c r="C35" s="640" t="s">
        <v>1390</v>
      </c>
      <c r="D35" s="894">
        <f>-'Conta covid'!J17</f>
        <v>0</v>
      </c>
      <c r="E35" s="976">
        <f t="shared" ca="1" si="2"/>
        <v>0</v>
      </c>
      <c r="F35" s="640">
        <v>22</v>
      </c>
      <c r="G35" s="640">
        <v>60</v>
      </c>
      <c r="H35" s="640">
        <v>235</v>
      </c>
      <c r="I35" s="640">
        <v>4</v>
      </c>
      <c r="J35" s="640">
        <v>999</v>
      </c>
      <c r="K35" s="640">
        <v>9</v>
      </c>
      <c r="L35" s="640"/>
      <c r="M35" s="640"/>
      <c r="N35" s="640"/>
      <c r="O35" s="640"/>
      <c r="P35" s="640"/>
      <c r="Q35" s="644"/>
      <c r="R35" s="640"/>
    </row>
    <row r="36" spans="3:23" ht="16.5">
      <c r="C36" s="640" t="s">
        <v>1391</v>
      </c>
      <c r="D36" s="797">
        <f>Energia!K66</f>
        <v>1176204.6459883365</v>
      </c>
      <c r="E36" s="976">
        <f t="shared" ca="1" si="2"/>
        <v>2.0931908321183659E-2</v>
      </c>
      <c r="F36" s="640">
        <v>22</v>
      </c>
      <c r="G36" s="640">
        <v>60</v>
      </c>
      <c r="H36" s="640">
        <v>220</v>
      </c>
      <c r="I36" s="640">
        <v>2</v>
      </c>
      <c r="J36" s="640">
        <v>30</v>
      </c>
      <c r="K36" s="640">
        <v>9</v>
      </c>
      <c r="L36" s="640"/>
      <c r="M36" s="640"/>
      <c r="N36" s="640"/>
      <c r="O36" s="640"/>
      <c r="P36" s="640"/>
      <c r="Q36" s="640"/>
      <c r="R36" s="640"/>
      <c r="T36" s="292"/>
      <c r="U36" s="142"/>
      <c r="V36" s="142"/>
    </row>
    <row r="37" spans="3:23" ht="16.5">
      <c r="C37" s="653" t="s">
        <v>1392</v>
      </c>
      <c r="D37" s="654"/>
      <c r="E37" s="976">
        <f t="shared" ca="1" si="2"/>
        <v>0</v>
      </c>
      <c r="F37" s="653">
        <v>22</v>
      </c>
      <c r="G37" s="653">
        <v>60</v>
      </c>
      <c r="H37" s="653">
        <v>999</v>
      </c>
      <c r="I37" s="653">
        <v>2</v>
      </c>
      <c r="J37" s="653">
        <v>30</v>
      </c>
      <c r="K37" s="653">
        <v>9</v>
      </c>
      <c r="L37" s="640"/>
      <c r="M37" s="640"/>
      <c r="N37" s="640"/>
      <c r="O37" s="640"/>
      <c r="P37" s="640"/>
      <c r="Q37" s="640"/>
      <c r="R37" s="871"/>
    </row>
    <row r="38" spans="3:23" ht="16.5">
      <c r="C38" s="653" t="s">
        <v>1393</v>
      </c>
      <c r="D38" s="654">
        <f>-PIS_COFINS!R4</f>
        <v>-952606.25</v>
      </c>
      <c r="E38" s="976">
        <f t="shared" ca="1" si="2"/>
        <v>-1.6952718865033533E-2</v>
      </c>
      <c r="F38" s="653">
        <v>22</v>
      </c>
      <c r="G38" s="653">
        <v>60</v>
      </c>
      <c r="H38" s="653">
        <v>179</v>
      </c>
      <c r="I38" s="653">
        <v>99</v>
      </c>
      <c r="J38" s="653">
        <v>999</v>
      </c>
      <c r="K38" s="653">
        <v>3</v>
      </c>
      <c r="L38" s="640"/>
      <c r="M38" s="640"/>
      <c r="N38" s="640"/>
      <c r="O38" s="640"/>
      <c r="P38" s="640"/>
      <c r="Q38" s="640"/>
      <c r="R38" s="871"/>
      <c r="T38" s="292"/>
      <c r="U38" s="142"/>
    </row>
    <row r="39" spans="3:23" ht="16.5">
      <c r="C39" s="653" t="s">
        <v>2337</v>
      </c>
      <c r="D39" s="654">
        <f>(T2)*Indexador!H19</f>
        <v>3282.0178737718174</v>
      </c>
      <c r="E39" s="976">
        <f t="shared" ca="1" si="2"/>
        <v>5.8407265671486755E-5</v>
      </c>
      <c r="F39" s="640">
        <v>22</v>
      </c>
      <c r="G39" s="640">
        <v>60</v>
      </c>
      <c r="H39" s="640">
        <v>999</v>
      </c>
      <c r="I39" s="640">
        <v>1</v>
      </c>
      <c r="J39" s="640">
        <v>7</v>
      </c>
      <c r="K39" s="640">
        <v>9</v>
      </c>
      <c r="L39" s="640"/>
      <c r="M39" s="640"/>
      <c r="N39" s="640"/>
      <c r="O39" s="640"/>
      <c r="P39" s="640"/>
      <c r="Q39" s="640"/>
      <c r="R39" s="640"/>
      <c r="U39" s="142"/>
    </row>
    <row r="40" spans="3:23" ht="16.5">
      <c r="C40" s="653" t="s">
        <v>2338</v>
      </c>
      <c r="D40" s="1573">
        <f>(T3)*Indexador!H19</f>
        <v>745867.36254677491</v>
      </c>
      <c r="E40" s="976">
        <f t="shared" ca="1" si="2"/>
        <v>1.3273563665847789E-2</v>
      </c>
      <c r="F40" s="640">
        <v>22</v>
      </c>
      <c r="G40" s="640">
        <v>60</v>
      </c>
      <c r="H40" s="640">
        <v>999</v>
      </c>
      <c r="I40" s="640">
        <v>2</v>
      </c>
      <c r="J40" s="640">
        <v>30</v>
      </c>
      <c r="K40" s="640">
        <v>9</v>
      </c>
      <c r="L40" s="640"/>
      <c r="M40" s="640"/>
      <c r="N40" s="640"/>
      <c r="O40" s="640"/>
      <c r="P40" s="640"/>
      <c r="Q40" s="640"/>
      <c r="R40" s="640"/>
    </row>
    <row r="41" spans="3:23" ht="16.5">
      <c r="C41" s="653" t="s">
        <v>1394</v>
      </c>
      <c r="D41" s="654">
        <f>'Financeiros Mitigação'!D12</f>
        <v>-3652.3295493700653</v>
      </c>
      <c r="E41" s="976">
        <f t="shared" ca="1" si="2"/>
        <v>-6.4997385911466914E-5</v>
      </c>
      <c r="F41" s="653">
        <v>22</v>
      </c>
      <c r="G41" s="653">
        <v>60</v>
      </c>
      <c r="H41" s="653">
        <v>999</v>
      </c>
      <c r="I41" s="653">
        <v>2</v>
      </c>
      <c r="J41" s="653">
        <v>30</v>
      </c>
      <c r="K41" s="653">
        <v>9</v>
      </c>
      <c r="L41" s="640"/>
      <c r="M41" s="640"/>
      <c r="N41" s="640"/>
      <c r="O41" s="640"/>
      <c r="P41" s="640"/>
      <c r="Q41" s="640"/>
      <c r="R41" s="640"/>
    </row>
    <row r="42" spans="3:23" ht="16.5">
      <c r="C42" s="653"/>
      <c r="D42" s="1659"/>
      <c r="E42" s="1619">
        <f>IF(ISERROR(D42/#REF!),0,D42/#REF!)</f>
        <v>0</v>
      </c>
      <c r="F42" s="653"/>
      <c r="G42" s="653"/>
      <c r="H42" s="653"/>
      <c r="I42" s="653"/>
      <c r="J42" s="653"/>
      <c r="K42" s="653"/>
      <c r="L42" s="640"/>
      <c r="M42" s="640"/>
      <c r="N42" s="640"/>
      <c r="O42" s="640"/>
      <c r="P42" s="640"/>
      <c r="Q42" s="640"/>
      <c r="R42" s="640"/>
    </row>
    <row r="43" spans="3:23" ht="16.5">
      <c r="C43" s="653"/>
      <c r="D43" s="1659"/>
      <c r="E43" s="1619">
        <f>IF(ISERROR(D43/#REF!),0,D43/#REF!)</f>
        <v>0</v>
      </c>
      <c r="F43" s="653"/>
      <c r="G43" s="653"/>
      <c r="H43" s="653"/>
      <c r="I43" s="653"/>
      <c r="J43" s="653"/>
      <c r="K43" s="653"/>
      <c r="L43" s="640"/>
      <c r="M43" s="640"/>
      <c r="N43" s="640"/>
      <c r="O43" s="640"/>
      <c r="P43" s="640"/>
      <c r="Q43" s="640"/>
      <c r="R43" s="640"/>
    </row>
    <row r="44" spans="3:23" ht="16.5">
      <c r="C44" s="653"/>
      <c r="D44" s="1659"/>
      <c r="E44" s="1619">
        <f>IF(ISERROR(D44/#REF!),0,D44/#REF!)</f>
        <v>0</v>
      </c>
      <c r="F44" s="653"/>
      <c r="G44" s="653"/>
      <c r="H44" s="653"/>
      <c r="I44" s="653"/>
      <c r="J44" s="653"/>
      <c r="K44" s="653"/>
      <c r="L44" s="640"/>
      <c r="M44" s="640"/>
      <c r="N44" s="640"/>
      <c r="O44" s="640"/>
      <c r="P44" s="640"/>
      <c r="Q44" s="640"/>
      <c r="R44" s="640"/>
    </row>
    <row r="45" spans="3:23" ht="16.5">
      <c r="C45" s="653"/>
      <c r="D45" s="654"/>
      <c r="E45" s="976">
        <f t="shared" ca="1" si="2"/>
        <v>0</v>
      </c>
      <c r="F45" s="653">
        <v>22</v>
      </c>
      <c r="G45" s="653">
        <v>60</v>
      </c>
      <c r="H45" s="653">
        <v>999</v>
      </c>
      <c r="I45" s="653">
        <v>99</v>
      </c>
      <c r="J45" s="653">
        <v>999</v>
      </c>
      <c r="K45" s="653">
        <v>9</v>
      </c>
      <c r="L45" s="640"/>
      <c r="M45" s="640"/>
      <c r="N45" s="640"/>
      <c r="O45" s="640"/>
      <c r="P45" s="640"/>
      <c r="Q45" s="640"/>
      <c r="R45" s="640"/>
    </row>
    <row r="46" spans="3:23" ht="16.5">
      <c r="C46" s="653"/>
      <c r="D46" s="654"/>
      <c r="E46" s="976">
        <f t="shared" ca="1" si="2"/>
        <v>0</v>
      </c>
      <c r="F46" s="653">
        <v>22</v>
      </c>
      <c r="G46" s="653">
        <v>60</v>
      </c>
      <c r="H46" s="653">
        <v>999</v>
      </c>
      <c r="I46" s="653">
        <v>99</v>
      </c>
      <c r="J46" s="653">
        <v>999</v>
      </c>
      <c r="K46" s="653">
        <v>9</v>
      </c>
      <c r="L46" s="640"/>
      <c r="M46" s="640"/>
      <c r="N46" s="640"/>
      <c r="O46" s="640"/>
      <c r="P46" s="640"/>
      <c r="Q46" s="640"/>
      <c r="R46" s="640"/>
    </row>
    <row r="47" spans="3:23" ht="16.5">
      <c r="C47" s="653"/>
      <c r="D47" s="655"/>
      <c r="E47" s="976">
        <f t="shared" ca="1" si="2"/>
        <v>0</v>
      </c>
      <c r="F47" s="653">
        <v>22</v>
      </c>
      <c r="G47" s="653">
        <v>60</v>
      </c>
      <c r="H47" s="653">
        <v>999</v>
      </c>
      <c r="I47" s="653">
        <v>99</v>
      </c>
      <c r="J47" s="653">
        <v>999</v>
      </c>
      <c r="K47" s="653">
        <v>9</v>
      </c>
      <c r="L47" s="640"/>
      <c r="M47" s="640"/>
      <c r="N47" s="640"/>
      <c r="O47" s="640"/>
      <c r="P47" s="640"/>
      <c r="Q47" s="640"/>
      <c r="R47" s="640"/>
    </row>
    <row r="48" spans="3:23" ht="16.5">
      <c r="C48" s="978" t="s">
        <v>2273</v>
      </c>
      <c r="D48" s="978">
        <f>CVE!$E$9</f>
        <v>0</v>
      </c>
      <c r="E48" s="976">
        <f t="shared" ca="1" si="2"/>
        <v>0</v>
      </c>
      <c r="F48" s="969">
        <v>22</v>
      </c>
      <c r="G48" s="969">
        <v>60</v>
      </c>
      <c r="H48" s="969">
        <v>241</v>
      </c>
      <c r="I48" s="969">
        <v>3</v>
      </c>
      <c r="J48" s="969">
        <v>13</v>
      </c>
      <c r="K48" s="969">
        <v>9</v>
      </c>
      <c r="L48" s="640"/>
      <c r="M48" s="640"/>
      <c r="N48" s="640"/>
      <c r="O48" s="640"/>
      <c r="P48" s="640"/>
      <c r="Q48" s="640"/>
      <c r="R48" s="640"/>
    </row>
    <row r="49" spans="3:12" ht="16.5">
      <c r="C49" s="978" t="s">
        <v>2274</v>
      </c>
      <c r="D49" s="978">
        <f>CVE!$E$10</f>
        <v>0</v>
      </c>
      <c r="E49" s="976">
        <f t="shared" ca="1" si="2"/>
        <v>0</v>
      </c>
      <c r="F49" s="969">
        <v>22</v>
      </c>
      <c r="G49" s="969">
        <v>60</v>
      </c>
      <c r="H49" s="969">
        <v>241</v>
      </c>
      <c r="I49" s="969">
        <v>3</v>
      </c>
      <c r="J49" s="969">
        <v>15</v>
      </c>
      <c r="K49" s="969">
        <v>9</v>
      </c>
      <c r="L49" s="640"/>
    </row>
    <row r="50" spans="3:12" ht="16.5">
      <c r="C50" s="978" t="s">
        <v>2275</v>
      </c>
      <c r="D50" s="978">
        <f>CVE!$E$11</f>
        <v>0</v>
      </c>
      <c r="E50" s="976">
        <f t="shared" ca="1" si="0"/>
        <v>0</v>
      </c>
      <c r="F50" s="969">
        <v>22</v>
      </c>
      <c r="G50" s="969">
        <v>60</v>
      </c>
      <c r="H50" s="969">
        <v>241</v>
      </c>
      <c r="I50" s="969">
        <v>3</v>
      </c>
      <c r="J50" s="969">
        <v>25</v>
      </c>
      <c r="K50" s="969">
        <v>9</v>
      </c>
      <c r="L50" s="640"/>
    </row>
    <row r="51" spans="3:12" ht="16.5">
      <c r="C51" s="978" t="s">
        <v>2276</v>
      </c>
      <c r="D51" s="978">
        <f>IFERROR(CVE!$E$12*Resultado!D25/SUM(Resultado!$D$25:$D$29),0)</f>
        <v>0</v>
      </c>
      <c r="E51" s="976">
        <f t="shared" ca="1" si="0"/>
        <v>0</v>
      </c>
      <c r="F51" s="969">
        <v>22</v>
      </c>
      <c r="G51" s="969">
        <v>60</v>
      </c>
      <c r="H51" s="969">
        <v>241</v>
      </c>
      <c r="I51" s="969">
        <v>1</v>
      </c>
      <c r="J51" s="969">
        <v>1</v>
      </c>
      <c r="K51" s="970">
        <v>9</v>
      </c>
      <c r="L51" s="640"/>
    </row>
    <row r="52" spans="3:12" ht="16.5">
      <c r="C52" s="978" t="s">
        <v>2277</v>
      </c>
      <c r="D52" s="978">
        <f>IFERROR(CVE!$E$12*Resultado!D26/SUM(Resultado!$D$25:$D$29),0)</f>
        <v>0</v>
      </c>
      <c r="E52" s="976">
        <f t="shared" ca="1" si="0"/>
        <v>0</v>
      </c>
      <c r="F52" s="969">
        <v>22</v>
      </c>
      <c r="G52" s="969">
        <v>60</v>
      </c>
      <c r="H52" s="969">
        <v>241</v>
      </c>
      <c r="I52" s="969">
        <v>1</v>
      </c>
      <c r="J52" s="969">
        <v>1</v>
      </c>
      <c r="K52" s="970">
        <v>9</v>
      </c>
      <c r="L52" s="640"/>
    </row>
    <row r="53" spans="3:12" ht="16.5">
      <c r="C53" s="978" t="s">
        <v>2278</v>
      </c>
      <c r="D53" s="978">
        <f>IFERROR(CVE!$E$12*Resultado!D28/SUM(Resultado!$D$25:$D$29),0)</f>
        <v>0</v>
      </c>
      <c r="E53" s="976">
        <f t="shared" ca="1" si="0"/>
        <v>0</v>
      </c>
      <c r="F53" s="969">
        <v>22</v>
      </c>
      <c r="G53" s="969">
        <v>60</v>
      </c>
      <c r="H53" s="969">
        <v>241</v>
      </c>
      <c r="I53" s="969">
        <v>1</v>
      </c>
      <c r="J53" s="969">
        <v>1</v>
      </c>
      <c r="K53" s="970">
        <v>9</v>
      </c>
      <c r="L53" s="640"/>
    </row>
    <row r="54" spans="3:12" ht="16.5">
      <c r="C54" s="978" t="s">
        <v>2279</v>
      </c>
      <c r="D54" s="978">
        <f>IFERROR(CVE!$E$12*Resultado!D27/SUM(Resultado!$D$25:$D$29),0)</f>
        <v>0</v>
      </c>
      <c r="E54" s="976">
        <f t="shared" ca="1" si="0"/>
        <v>0</v>
      </c>
      <c r="F54" s="969">
        <v>22</v>
      </c>
      <c r="G54" s="969">
        <v>60</v>
      </c>
      <c r="H54" s="969">
        <v>241</v>
      </c>
      <c r="I54" s="969">
        <v>1</v>
      </c>
      <c r="J54" s="969">
        <v>1</v>
      </c>
      <c r="K54" s="970">
        <v>9</v>
      </c>
      <c r="L54" s="640"/>
    </row>
    <row r="55" spans="3:12" ht="16.5">
      <c r="C55" s="978" t="s">
        <v>2280</v>
      </c>
      <c r="D55" s="978">
        <f>IFERROR(CVE!$E$12*Resultado!D29/SUM(Resultado!$D$25:$D$29),0)</f>
        <v>0</v>
      </c>
      <c r="E55" s="976">
        <f t="shared" ca="1" si="0"/>
        <v>0</v>
      </c>
      <c r="F55" s="969">
        <v>22</v>
      </c>
      <c r="G55" s="969">
        <v>60</v>
      </c>
      <c r="H55" s="969">
        <v>241</v>
      </c>
      <c r="I55" s="969">
        <v>1</v>
      </c>
      <c r="J55" s="969">
        <v>1</v>
      </c>
      <c r="K55" s="970">
        <v>9</v>
      </c>
      <c r="L55" s="640"/>
    </row>
    <row r="56" spans="3:12" ht="16.5">
      <c r="C56" s="978" t="s">
        <v>2281</v>
      </c>
      <c r="D56" s="978">
        <f>CVE!E15</f>
        <v>0</v>
      </c>
      <c r="E56" s="976">
        <f t="shared" ca="1" si="0"/>
        <v>0</v>
      </c>
      <c r="F56" s="969">
        <v>22</v>
      </c>
      <c r="G56" s="969">
        <v>60</v>
      </c>
      <c r="H56" s="969">
        <v>241</v>
      </c>
      <c r="I56" s="969">
        <v>1</v>
      </c>
      <c r="J56" s="969">
        <v>21</v>
      </c>
      <c r="K56" s="970">
        <v>9</v>
      </c>
      <c r="L56" s="640"/>
    </row>
    <row r="57" spans="3:12" ht="16.5">
      <c r="C57" s="978" t="s">
        <v>2282</v>
      </c>
      <c r="D57" s="978">
        <f ca="1">IFERROR(CVE!$D$13*Energia!C6/Energia!$C$5,0)</f>
        <v>365851.62107282039</v>
      </c>
      <c r="E57" s="976">
        <f t="shared" ca="1" si="0"/>
        <v>6.5107484633491553E-3</v>
      </c>
      <c r="F57" s="969">
        <v>22</v>
      </c>
      <c r="G57" s="969">
        <v>60</v>
      </c>
      <c r="H57" s="969">
        <v>241</v>
      </c>
      <c r="I57" s="969">
        <v>2</v>
      </c>
      <c r="J57" s="969">
        <v>11</v>
      </c>
      <c r="K57" s="970">
        <v>9</v>
      </c>
      <c r="L57" s="640"/>
    </row>
    <row r="58" spans="3:12" ht="16.5">
      <c r="C58" s="978" t="s">
        <v>2283</v>
      </c>
      <c r="D58" s="978">
        <f ca="1">IFERROR(CVE!$D$13*Energia!N16/Energia!$C$5,0)</f>
        <v>9296.3383585654246</v>
      </c>
      <c r="E58" s="976">
        <f t="shared" ca="1" si="0"/>
        <v>1.6543898454055589E-4</v>
      </c>
      <c r="F58" s="969">
        <v>22</v>
      </c>
      <c r="G58" s="969">
        <v>60</v>
      </c>
      <c r="H58" s="969">
        <v>241</v>
      </c>
      <c r="I58" s="969">
        <v>2</v>
      </c>
      <c r="J58" s="969">
        <v>9</v>
      </c>
      <c r="K58" s="969">
        <v>9</v>
      </c>
      <c r="L58" s="640"/>
    </row>
    <row r="59" spans="3:12" ht="16.5">
      <c r="C59" s="978" t="s">
        <v>2284</v>
      </c>
      <c r="D59" s="978">
        <f ca="1">IFERROR(CVE!$D$13*Energia!N17/Energia!$C$5,0)</f>
        <v>52514.211942421236</v>
      </c>
      <c r="E59" s="976">
        <f t="shared" ca="1" si="0"/>
        <v>9.3455052544391107E-4</v>
      </c>
      <c r="F59" s="969">
        <v>22</v>
      </c>
      <c r="G59" s="969">
        <v>60</v>
      </c>
      <c r="H59" s="969">
        <v>241</v>
      </c>
      <c r="I59" s="969">
        <v>2</v>
      </c>
      <c r="J59" s="969">
        <v>8</v>
      </c>
      <c r="K59" s="969">
        <v>9</v>
      </c>
      <c r="L59" s="640"/>
    </row>
    <row r="60" spans="3:12" ht="16.5">
      <c r="C60" s="978" t="s">
        <v>2285</v>
      </c>
      <c r="D60" s="978">
        <f ca="1">IFERROR(CVE!$D$13*Energia!C11/Energia!$C$5,0)</f>
        <v>2239.9006019563558</v>
      </c>
      <c r="E60" s="976">
        <f t="shared" ca="1" si="0"/>
        <v>3.9861595691384007E-5</v>
      </c>
      <c r="F60" s="969">
        <v>22</v>
      </c>
      <c r="G60" s="969">
        <v>60</v>
      </c>
      <c r="H60" s="969">
        <v>241</v>
      </c>
      <c r="I60" s="969">
        <v>2</v>
      </c>
      <c r="J60" s="969">
        <v>10</v>
      </c>
      <c r="K60" s="969">
        <v>9</v>
      </c>
      <c r="L60" s="640"/>
    </row>
    <row r="61" spans="3:12" ht="16.5">
      <c r="C61" s="978" t="s">
        <v>2286</v>
      </c>
      <c r="D61" s="978">
        <f ca="1">IFERROR(CVE!$D$13*Energia!C12/Energia!$C$5,0)</f>
        <v>13257.789524236576</v>
      </c>
      <c r="E61" s="976">
        <f t="shared" ca="1" si="0"/>
        <v>2.3593754352983651E-4</v>
      </c>
      <c r="F61" s="969">
        <v>22</v>
      </c>
      <c r="G61" s="969">
        <v>60</v>
      </c>
      <c r="H61" s="969">
        <v>241</v>
      </c>
      <c r="I61" s="969">
        <v>2</v>
      </c>
      <c r="J61" s="969">
        <v>24</v>
      </c>
      <c r="K61" s="969">
        <v>9</v>
      </c>
      <c r="L61" s="640"/>
    </row>
    <row r="62" spans="3:12" ht="16.5">
      <c r="C62" s="978" t="s">
        <v>2287</v>
      </c>
      <c r="D62" s="978">
        <f ca="1">IFERROR(CVE!$E$13*Energia!C11/Energia!$C$5,0)</f>
        <v>0</v>
      </c>
      <c r="E62" s="976">
        <f t="shared" ca="1" si="0"/>
        <v>0</v>
      </c>
      <c r="F62" s="969">
        <v>22</v>
      </c>
      <c r="G62" s="969">
        <v>60</v>
      </c>
      <c r="H62" s="969">
        <v>241</v>
      </c>
      <c r="I62" s="969">
        <v>3</v>
      </c>
      <c r="J62" s="969">
        <v>18</v>
      </c>
      <c r="K62" s="969">
        <v>9</v>
      </c>
      <c r="L62" s="640"/>
    </row>
    <row r="63" spans="3:12" ht="16.5">
      <c r="C63" s="978" t="s">
        <v>2288</v>
      </c>
      <c r="D63" s="978">
        <f>CVE!E14</f>
        <v>0</v>
      </c>
      <c r="E63" s="976">
        <f t="shared" ca="1" si="0"/>
        <v>0</v>
      </c>
      <c r="F63" s="969">
        <v>22</v>
      </c>
      <c r="G63" s="969">
        <v>60</v>
      </c>
      <c r="H63" s="969">
        <v>241</v>
      </c>
      <c r="I63" s="969">
        <v>3</v>
      </c>
      <c r="J63" s="969">
        <v>16</v>
      </c>
      <c r="K63" s="970">
        <v>9</v>
      </c>
      <c r="L63" s="640"/>
    </row>
    <row r="64" spans="3:12" ht="16.5">
      <c r="C64" s="978" t="s">
        <v>2289</v>
      </c>
      <c r="D64" s="978">
        <f>CVE!D17</f>
        <v>699864.49190000002</v>
      </c>
      <c r="E64" s="976">
        <f t="shared" ca="1" si="0"/>
        <v>1.2454889913645052E-2</v>
      </c>
      <c r="F64" s="969">
        <v>22</v>
      </c>
      <c r="G64" s="969">
        <v>60</v>
      </c>
      <c r="H64" s="969">
        <v>241</v>
      </c>
      <c r="I64" s="969">
        <v>3</v>
      </c>
      <c r="J64" s="969">
        <v>17</v>
      </c>
      <c r="K64" s="970">
        <v>9</v>
      </c>
      <c r="L64" s="640"/>
    </row>
    <row r="65" spans="3:12" ht="16.5">
      <c r="C65" s="1620" t="s">
        <v>2261</v>
      </c>
      <c r="D65" s="1620">
        <f ca="1">IFERROR('Financeiros Mitigação'!$D$5*Energia!C6/Energia!$C$5,0)</f>
        <v>0</v>
      </c>
      <c r="E65" s="976">
        <f t="shared" ca="1" si="0"/>
        <v>0</v>
      </c>
      <c r="F65" s="969">
        <v>22</v>
      </c>
      <c r="G65" s="969">
        <v>60</v>
      </c>
      <c r="H65" s="969">
        <v>240</v>
      </c>
      <c r="I65" s="969">
        <v>2</v>
      </c>
      <c r="J65" s="969">
        <v>11</v>
      </c>
      <c r="K65" s="970">
        <v>9</v>
      </c>
      <c r="L65" s="640"/>
    </row>
    <row r="66" spans="3:12" ht="16.5">
      <c r="C66" s="1620" t="s">
        <v>2262</v>
      </c>
      <c r="D66" s="1620">
        <f ca="1">IFERROR('Financeiros Mitigação'!$D$5*Energia!N16/Energia!$C$5,0)</f>
        <v>0</v>
      </c>
      <c r="E66" s="976">
        <f t="shared" ca="1" si="0"/>
        <v>0</v>
      </c>
      <c r="F66" s="969">
        <v>22</v>
      </c>
      <c r="G66" s="969">
        <v>60</v>
      </c>
      <c r="H66" s="969">
        <v>240</v>
      </c>
      <c r="I66" s="969">
        <v>2</v>
      </c>
      <c r="J66" s="969">
        <v>9</v>
      </c>
      <c r="K66" s="970">
        <v>9</v>
      </c>
      <c r="L66" s="640"/>
    </row>
    <row r="67" spans="3:12" ht="16.5">
      <c r="C67" s="1620" t="s">
        <v>2263</v>
      </c>
      <c r="D67" s="1620">
        <f ca="1">IFERROR('Financeiros Mitigação'!$D$5*Energia!N17/Energia!$C$5,0)</f>
        <v>0</v>
      </c>
      <c r="E67" s="976">
        <f t="shared" ca="1" si="0"/>
        <v>0</v>
      </c>
      <c r="F67" s="969">
        <v>22</v>
      </c>
      <c r="G67" s="969">
        <v>60</v>
      </c>
      <c r="H67" s="969">
        <v>240</v>
      </c>
      <c r="I67" s="969">
        <v>2</v>
      </c>
      <c r="J67" s="969">
        <v>8</v>
      </c>
      <c r="K67" s="970">
        <v>9</v>
      </c>
      <c r="L67" s="640"/>
    </row>
    <row r="68" spans="3:12" ht="16.5">
      <c r="C68" s="1620" t="s">
        <v>2264</v>
      </c>
      <c r="D68" s="1620">
        <f ca="1">IFERROR('Financeiros Mitigação'!$D$5*Energia!C11/Energia!$C$5,0)</f>
        <v>0</v>
      </c>
      <c r="E68" s="976">
        <f t="shared" ca="1" si="0"/>
        <v>0</v>
      </c>
      <c r="F68" s="969">
        <v>22</v>
      </c>
      <c r="G68" s="969">
        <v>60</v>
      </c>
      <c r="H68" s="969">
        <v>240</v>
      </c>
      <c r="I68" s="969">
        <v>2</v>
      </c>
      <c r="J68" s="969">
        <v>10</v>
      </c>
      <c r="K68" s="970">
        <v>9</v>
      </c>
      <c r="L68" s="640"/>
    </row>
    <row r="69" spans="3:12" ht="16.5">
      <c r="C69" s="1620" t="s">
        <v>2265</v>
      </c>
      <c r="D69" s="1620">
        <f ca="1">IFERROR('Financeiros Mitigação'!$D$5*Energia!C12/Energia!$C$5,0)</f>
        <v>0</v>
      </c>
      <c r="E69" s="976">
        <f t="shared" ca="1" si="0"/>
        <v>0</v>
      </c>
      <c r="F69" s="969">
        <v>22</v>
      </c>
      <c r="G69" s="969">
        <v>60</v>
      </c>
      <c r="H69" s="969">
        <v>240</v>
      </c>
      <c r="I69" s="969">
        <v>2</v>
      </c>
      <c r="J69" s="969">
        <v>24</v>
      </c>
      <c r="K69" s="970">
        <v>9</v>
      </c>
      <c r="L69" s="640"/>
    </row>
    <row r="70" spans="3:12" ht="16.5">
      <c r="C70" s="1620" t="s">
        <v>2266</v>
      </c>
      <c r="D70" s="1620">
        <f>IFERROR('Financeiros Mitigação'!D6,0)</f>
        <v>0</v>
      </c>
      <c r="E70" s="976">
        <f t="shared" ca="1" si="0"/>
        <v>0</v>
      </c>
      <c r="F70" s="969">
        <v>22</v>
      </c>
      <c r="G70" s="969">
        <v>60</v>
      </c>
      <c r="H70" s="969">
        <v>240</v>
      </c>
      <c r="I70" s="969">
        <v>3</v>
      </c>
      <c r="J70" s="969">
        <v>17</v>
      </c>
      <c r="K70" s="970">
        <v>9</v>
      </c>
      <c r="L70" s="640"/>
    </row>
    <row r="71" spans="3:12" ht="16.5">
      <c r="C71" s="1620" t="s">
        <v>2267</v>
      </c>
      <c r="D71" s="1620">
        <f ca="1">IFERROR('Financeiros Mitigação'!$D$7*Energia!C6/Energia!$C$5,0)</f>
        <v>0</v>
      </c>
      <c r="E71" s="976">
        <f t="shared" ca="1" si="0"/>
        <v>0</v>
      </c>
      <c r="F71" s="969">
        <v>22</v>
      </c>
      <c r="G71" s="969">
        <v>60</v>
      </c>
      <c r="H71" s="969">
        <v>240</v>
      </c>
      <c r="I71" s="969">
        <v>2</v>
      </c>
      <c r="J71" s="969">
        <v>11</v>
      </c>
      <c r="K71" s="970">
        <v>9</v>
      </c>
      <c r="L71" s="640"/>
    </row>
    <row r="72" spans="3:12" ht="16.5">
      <c r="C72" s="1620" t="s">
        <v>2268</v>
      </c>
      <c r="D72" s="1620">
        <f ca="1">IFERROR('Financeiros Mitigação'!$D$7*Energia!N16/Energia!$C$5,0)</f>
        <v>0</v>
      </c>
      <c r="E72" s="976">
        <f t="shared" ca="1" si="0"/>
        <v>0</v>
      </c>
      <c r="F72" s="969">
        <v>22</v>
      </c>
      <c r="G72" s="969">
        <v>60</v>
      </c>
      <c r="H72" s="969">
        <v>240</v>
      </c>
      <c r="I72" s="969">
        <v>2</v>
      </c>
      <c r="J72" s="969">
        <v>9</v>
      </c>
      <c r="K72" s="970">
        <v>9</v>
      </c>
      <c r="L72" s="640"/>
    </row>
    <row r="73" spans="3:12" ht="16.5">
      <c r="C73" s="1620" t="s">
        <v>2269</v>
      </c>
      <c r="D73" s="1620">
        <f ca="1">IFERROR('Financeiros Mitigação'!$D$7*Energia!N17/Energia!$C$5,0)</f>
        <v>0</v>
      </c>
      <c r="E73" s="976">
        <f t="shared" ca="1" si="0"/>
        <v>0</v>
      </c>
      <c r="F73" s="969">
        <v>22</v>
      </c>
      <c r="G73" s="969">
        <v>60</v>
      </c>
      <c r="H73" s="969">
        <v>240</v>
      </c>
      <c r="I73" s="969">
        <v>2</v>
      </c>
      <c r="J73" s="969">
        <v>8</v>
      </c>
      <c r="K73" s="970">
        <v>9</v>
      </c>
      <c r="L73" s="640"/>
    </row>
    <row r="74" spans="3:12" ht="16.5">
      <c r="C74" s="1620" t="s">
        <v>2270</v>
      </c>
      <c r="D74" s="1620">
        <f ca="1">IFERROR('Financeiros Mitigação'!$D$7*Energia!C11/Energia!$C$5,0)</f>
        <v>0</v>
      </c>
      <c r="E74" s="976">
        <f t="shared" ca="1" si="0"/>
        <v>0</v>
      </c>
      <c r="F74" s="969">
        <v>22</v>
      </c>
      <c r="G74" s="969">
        <v>60</v>
      </c>
      <c r="H74" s="969">
        <v>240</v>
      </c>
      <c r="I74" s="969">
        <v>2</v>
      </c>
      <c r="J74" s="969">
        <v>10</v>
      </c>
      <c r="K74" s="970">
        <v>9</v>
      </c>
      <c r="L74" s="640"/>
    </row>
    <row r="75" spans="3:12" ht="16.5">
      <c r="C75" s="1620" t="s">
        <v>2271</v>
      </c>
      <c r="D75" s="1620">
        <f ca="1">IFERROR('Financeiros Mitigação'!$D$7*Energia!C12/Energia!$C$5,0)</f>
        <v>0</v>
      </c>
      <c r="E75" s="976">
        <f t="shared" ca="1" si="0"/>
        <v>0</v>
      </c>
      <c r="F75" s="969">
        <v>22</v>
      </c>
      <c r="G75" s="969">
        <v>60</v>
      </c>
      <c r="H75" s="969">
        <v>240</v>
      </c>
      <c r="I75" s="969">
        <v>2</v>
      </c>
      <c r="J75" s="969">
        <v>24</v>
      </c>
      <c r="K75" s="970">
        <v>9</v>
      </c>
      <c r="L75" s="640"/>
    </row>
    <row r="76" spans="3:12" ht="16.5">
      <c r="C76" s="1620" t="s">
        <v>2368</v>
      </c>
      <c r="D76" s="1620">
        <f ca="1">CVE!$I$9*LnkTXTEV/LnkTXTER</f>
        <v>-78619.751857702999</v>
      </c>
      <c r="E76" s="976">
        <f t="shared" ca="1" si="0"/>
        <v>-1.3991284966714597E-3</v>
      </c>
      <c r="F76" s="969">
        <v>22</v>
      </c>
      <c r="G76" s="969">
        <v>60</v>
      </c>
      <c r="H76" s="969">
        <v>106</v>
      </c>
      <c r="I76" s="969">
        <v>2</v>
      </c>
      <c r="J76" s="969">
        <v>11</v>
      </c>
      <c r="K76" s="970">
        <v>9</v>
      </c>
      <c r="L76" s="640"/>
    </row>
    <row r="77" spans="3:12" ht="16.5">
      <c r="C77" s="1620" t="s">
        <v>2369</v>
      </c>
      <c r="D77" s="1620">
        <f ca="1">CVE!$I$9*Energia!N16/LnkTXTER</f>
        <v>-1997.7383530307864</v>
      </c>
      <c r="E77" s="976">
        <f t="shared" ref="E77:E80" ca="1" si="3">IF(ISERROR(D77/$D$4),0,D77/$D$4)</f>
        <v>-3.5552041218316623E-5</v>
      </c>
      <c r="F77" s="969">
        <v>22</v>
      </c>
      <c r="G77" s="969">
        <v>60</v>
      </c>
      <c r="H77" s="969">
        <v>106</v>
      </c>
      <c r="I77" s="969">
        <v>2</v>
      </c>
      <c r="J77" s="969">
        <v>9</v>
      </c>
      <c r="K77" s="970">
        <v>9</v>
      </c>
      <c r="L77" s="640"/>
    </row>
    <row r="78" spans="3:12" ht="16.5">
      <c r="C78" s="1620" t="s">
        <v>2370</v>
      </c>
      <c r="D78" s="1620">
        <f ca="1">CVE!$I$9*Energia!N17/LnkTXTER</f>
        <v>-11285.05129978418</v>
      </c>
      <c r="E78" s="976">
        <f t="shared" ca="1" si="3"/>
        <v>-2.0083040822241346E-4</v>
      </c>
      <c r="F78" s="969">
        <v>22</v>
      </c>
      <c r="G78" s="969">
        <v>60</v>
      </c>
      <c r="H78" s="969">
        <v>106</v>
      </c>
      <c r="I78" s="969">
        <v>2</v>
      </c>
      <c r="J78" s="969">
        <v>8</v>
      </c>
      <c r="K78" s="970">
        <v>9</v>
      </c>
      <c r="L78" s="640"/>
    </row>
    <row r="79" spans="3:12" ht="16.5">
      <c r="C79" s="1620" t="s">
        <v>2371</v>
      </c>
      <c r="D79" s="1620">
        <f ca="1">CVE!$I$9*Energia!N18/LnkTXTER</f>
        <v>-481.3438546352009</v>
      </c>
      <c r="E79" s="976">
        <f t="shared" ca="1" si="3"/>
        <v>-8.566064987545619E-6</v>
      </c>
      <c r="F79" s="969">
        <v>22</v>
      </c>
      <c r="G79" s="969">
        <v>60</v>
      </c>
      <c r="H79" s="969">
        <v>106</v>
      </c>
      <c r="I79" s="969">
        <v>2</v>
      </c>
      <c r="J79" s="969">
        <v>10</v>
      </c>
      <c r="K79" s="970">
        <v>9</v>
      </c>
      <c r="L79" s="640"/>
    </row>
    <row r="80" spans="3:12" ht="16.5">
      <c r="C80" s="1620" t="s">
        <v>2372</v>
      </c>
      <c r="D80" s="1620">
        <f ca="1">CVE!$I$9*Energia!N19/LnkTXTER</f>
        <v>-2849.0351348468289</v>
      </c>
      <c r="E80" s="976">
        <f t="shared" ca="1" si="3"/>
        <v>-5.0701842107020808E-5</v>
      </c>
      <c r="F80" s="970">
        <v>22</v>
      </c>
      <c r="G80" s="970">
        <v>60</v>
      </c>
      <c r="H80" s="970">
        <v>106</v>
      </c>
      <c r="I80" s="970">
        <v>2</v>
      </c>
      <c r="J80" s="970">
        <v>24</v>
      </c>
      <c r="K80" s="970">
        <v>9</v>
      </c>
      <c r="L80" s="640"/>
    </row>
    <row r="81" spans="3:12" ht="16.5">
      <c r="C81" s="1620"/>
      <c r="D81" s="1620"/>
      <c r="E81" s="976"/>
      <c r="F81" s="970"/>
      <c r="G81" s="970"/>
      <c r="H81" s="970"/>
      <c r="I81" s="970"/>
      <c r="J81" s="970"/>
      <c r="K81" s="970"/>
      <c r="L81" s="640"/>
    </row>
    <row r="82" spans="3:12" ht="16.5">
      <c r="C82" s="978" t="s">
        <v>1396</v>
      </c>
      <c r="D82" s="978">
        <f>-IFERROR(CVE!$I$15,0)</f>
        <v>-782677.23987553886</v>
      </c>
      <c r="E82" s="1410">
        <f t="shared" ref="E82" ca="1" si="4">IF(ISERROR(D82/$D$5),0,D82/$D$5)</f>
        <v>3.5840598917639431E-2</v>
      </c>
      <c r="F82" s="1411">
        <v>22</v>
      </c>
      <c r="G82" s="1411">
        <v>62</v>
      </c>
      <c r="H82" s="1411">
        <v>220</v>
      </c>
      <c r="I82" s="1411">
        <v>2</v>
      </c>
      <c r="J82" s="1411">
        <v>30</v>
      </c>
      <c r="K82" s="1411">
        <v>9</v>
      </c>
      <c r="L82" s="640"/>
    </row>
    <row r="83" spans="3:12" ht="16.5">
      <c r="C83" s="979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:D27 E32:E35 D35:D36 D12:D18 E21 E22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85E9-FF15-4669-9C65-0AABD41DF3CB}">
  <sheetPr codeName="Planilha9"/>
  <dimension ref="B1:X29"/>
  <sheetViews>
    <sheetView showGridLines="0" workbookViewId="0">
      <selection activeCell="D7" sqref="D7"/>
    </sheetView>
  </sheetViews>
  <sheetFormatPr defaultRowHeight="12.75"/>
  <cols>
    <col min="1" max="1" width="3.7109375" style="1674" customWidth="1"/>
    <col min="2" max="2" width="11.42578125" style="1674" bestFit="1" customWidth="1"/>
    <col min="3" max="3" width="19.28515625" style="1674" customWidth="1"/>
    <col min="4" max="4" width="17.7109375" style="1674" customWidth="1"/>
    <col min="5" max="5" width="13.7109375" style="1674" customWidth="1"/>
    <col min="6" max="8" width="14.7109375" style="1674" customWidth="1"/>
    <col min="9" max="9" width="16.42578125" style="1674" customWidth="1"/>
    <col min="10" max="10" width="19.5703125" style="1674" customWidth="1"/>
    <col min="11" max="18" width="15.7109375" style="1674" customWidth="1"/>
    <col min="19" max="40" width="9" style="1674" customWidth="1"/>
    <col min="41" max="16384" width="9.140625" style="1674"/>
  </cols>
  <sheetData>
    <row r="1" spans="2:24" ht="14.1" customHeight="1"/>
    <row r="2" spans="2:24" ht="14.1" customHeight="1"/>
    <row r="3" spans="2:24" ht="42" customHeight="1">
      <c r="B3" s="1675" t="s">
        <v>2340</v>
      </c>
      <c r="C3" s="1676"/>
      <c r="D3" s="1677" t="s">
        <v>2341</v>
      </c>
      <c r="E3" s="1678" t="s">
        <v>2342</v>
      </c>
      <c r="F3" s="1676"/>
      <c r="G3" s="1677" t="s">
        <v>2343</v>
      </c>
      <c r="H3" s="1677" t="s">
        <v>2344</v>
      </c>
      <c r="I3" s="1677" t="s">
        <v>2345</v>
      </c>
      <c r="J3" s="1677" t="s">
        <v>2346</v>
      </c>
      <c r="K3" s="1677" t="s">
        <v>2347</v>
      </c>
      <c r="L3" s="1677" t="s">
        <v>2348</v>
      </c>
      <c r="M3" s="1677" t="s">
        <v>2349</v>
      </c>
      <c r="N3" s="1677" t="s">
        <v>2350</v>
      </c>
      <c r="O3" s="1677" t="s">
        <v>2351</v>
      </c>
      <c r="P3" s="1677" t="s">
        <v>2352</v>
      </c>
      <c r="Q3" s="1677" t="s">
        <v>2353</v>
      </c>
      <c r="R3" s="1679" t="s">
        <v>2354</v>
      </c>
    </row>
    <row r="4" spans="2:24" ht="14.1" customHeight="1">
      <c r="B4" s="1680" t="s">
        <v>2355</v>
      </c>
      <c r="C4" s="1680"/>
      <c r="D4" s="1680">
        <v>952606.25</v>
      </c>
      <c r="E4" s="1681" t="s">
        <v>138</v>
      </c>
      <c r="F4" s="1682"/>
      <c r="G4" s="1680">
        <v>0</v>
      </c>
      <c r="H4" s="1683">
        <f>D4+G4</f>
        <v>952606.25</v>
      </c>
      <c r="I4" s="1684">
        <f>+D6</f>
        <v>288000</v>
      </c>
      <c r="J4" s="1684">
        <f>+F27</f>
        <v>39764.446654232124</v>
      </c>
      <c r="K4" s="1685"/>
      <c r="L4" s="1686">
        <f>K4*VLOOKUP(SAS_RA0_DataFim,Índices!$B$6:$F$50000,5,0)/VLOOKUP(DATE(YEAR(SAS_RA0_DataFim)-2,MONTH(CAPA!C15),1),Índices!$B$6:$F$50000,5,0)</f>
        <v>0</v>
      </c>
      <c r="M4" s="1680"/>
      <c r="N4" s="1684">
        <f>M4*VLOOKUP(SAS_RA0_DataFim,Índices!$B$6:$F$50000,5,0)/VLOOKUP(DATE(YEAR(SAS_RA0_DataFim)-1,MONTH(SAS_RA0_DataFim),1),Índices!$B$6:$F$50000,5,0)</f>
        <v>0</v>
      </c>
      <c r="O4" s="1684">
        <f>G27</f>
        <v>0</v>
      </c>
      <c r="P4" s="1684">
        <f>J4+L4+N4-O4</f>
        <v>39764.446654232124</v>
      </c>
      <c r="Q4" s="1684">
        <f>IF(I4*12&gt;(D4+K4+M4-P4),D4+K4+M4-P4,I4*12)</f>
        <v>912841.8033457679</v>
      </c>
      <c r="R4" s="1687">
        <f>P4+Q4</f>
        <v>952606.25</v>
      </c>
    </row>
    <row r="5" spans="2:24" ht="14.1" customHeight="1"/>
    <row r="6" spans="2:24" ht="14.1" customHeight="1">
      <c r="B6" s="1688" t="s">
        <v>2356</v>
      </c>
      <c r="C6" s="1689"/>
      <c r="D6" s="1690">
        <v>288000</v>
      </c>
      <c r="N6" s="1691"/>
    </row>
    <row r="7" spans="2:24" ht="14.1" customHeight="1"/>
    <row r="8" spans="2:24" ht="42" customHeight="1">
      <c r="B8" s="1675" t="s">
        <v>34</v>
      </c>
      <c r="C8" s="1677" t="s">
        <v>2357</v>
      </c>
      <c r="D8" s="1677" t="s">
        <v>2358</v>
      </c>
      <c r="E8" s="1677" t="s">
        <v>2359</v>
      </c>
      <c r="F8" s="1677" t="s">
        <v>2360</v>
      </c>
      <c r="G8" s="1677" t="s">
        <v>2361</v>
      </c>
      <c r="H8" s="1677" t="s">
        <v>2362</v>
      </c>
    </row>
    <row r="9" spans="2:24" ht="14.1" customHeight="1">
      <c r="B9" s="1692">
        <v>44197</v>
      </c>
      <c r="C9" s="1693"/>
      <c r="D9" s="1694"/>
      <c r="E9" s="1695"/>
      <c r="F9" s="1704">
        <f>C9*VLOOKUP(SAS_RA0_DataFim,Índices!$B$6:$F$50000,5,0)/VLOOKUP(DATE(YEAR($B9),MONTH($B9)-1,1),Índices!$B$6:$F$50000,5,0)</f>
        <v>0</v>
      </c>
      <c r="G9" s="1704">
        <f>D9*VLOOKUP(SAS_RA0_DataFim,Índices!$B$6:$F$50000,5,0)/VLOOKUP(DATE(YEAR($B9),MONTH($B9)-1,1),Índices!$B$6:$F$50000,5,0)</f>
        <v>0</v>
      </c>
      <c r="H9" s="1704">
        <f>E9*VLOOKUP(SAS_RA0_DataFim,Índices!$B$6:$F$50000,5,0)/VLOOKUP(DATE(YEAR($B9),MONTH($B9)-1,1),Índices!$B$6:$F$50000,5,0)</f>
        <v>0</v>
      </c>
    </row>
    <row r="10" spans="2:24" ht="14.1" customHeight="1">
      <c r="B10" s="1692">
        <v>44228</v>
      </c>
      <c r="C10" s="1696"/>
      <c r="D10" s="1694"/>
      <c r="E10" s="1697"/>
      <c r="F10" s="1698">
        <f>C10*VLOOKUP(SAS_RA0_DataFim,Índices!$B$6:$F$50000,5,0)/VLOOKUP(DATE(YEAR($B10),MONTH($B10)-1,1),Índices!$B$6:$F$50000,5,0)</f>
        <v>0</v>
      </c>
      <c r="G10" s="1698">
        <f>D10*VLOOKUP(SAS_RA0_DataFim,Índices!$B$6:$F$50000,5,0)/VLOOKUP(DATE(YEAR($B10),MONTH($B10)-1,1),Índices!$B$6:$F$50000,5,0)</f>
        <v>0</v>
      </c>
      <c r="H10" s="1698">
        <f>E10*VLOOKUP(SAS_RA0_DataFim,Índices!$B$6:$F$50000,5,0)/VLOOKUP(DATE(YEAR($B10),MONTH($B10)-1,1),Índices!$B$6:$F$50000,5,0)</f>
        <v>0</v>
      </c>
      <c r="X10" s="1699"/>
    </row>
    <row r="11" spans="2:24" ht="14.1" customHeight="1">
      <c r="B11" s="1692">
        <v>44256</v>
      </c>
      <c r="C11" s="1696"/>
      <c r="D11" s="1694"/>
      <c r="E11" s="1697"/>
      <c r="F11" s="1698">
        <f>C11*VLOOKUP(SAS_RA0_DataFim,Índices!$B$6:$F$50000,5,0)/VLOOKUP(DATE(YEAR($B11),MONTH($B11)-1,1),Índices!$B$6:$F$50000,5,0)</f>
        <v>0</v>
      </c>
      <c r="G11" s="1698">
        <f>D11*VLOOKUP(SAS_RA0_DataFim,Índices!$B$6:$F$50000,5,0)/VLOOKUP(DATE(YEAR($B11),MONTH($B11)-1,1),Índices!$B$6:$F$50000,5,0)</f>
        <v>0</v>
      </c>
      <c r="H11" s="1698">
        <f>E11*VLOOKUP(SAS_RA0_DataFim,Índices!$B$6:$F$50000,5,0)/VLOOKUP(DATE(YEAR($B11),MONTH($B11)-1,1),Índices!$B$6:$F$50000,5,0)</f>
        <v>0</v>
      </c>
    </row>
    <row r="12" spans="2:24" ht="14.1" customHeight="1">
      <c r="B12" s="1692">
        <v>44287</v>
      </c>
      <c r="C12" s="1696"/>
      <c r="D12" s="1694"/>
      <c r="E12" s="1697"/>
      <c r="F12" s="1698">
        <f>C12*VLOOKUP(SAS_RA0_DataFim,Índices!$B$6:$F$50000,5,0)/VLOOKUP(DATE(YEAR($B12),MONTH($B12)-1,1),Índices!$B$6:$F$50000,5,0)</f>
        <v>0</v>
      </c>
      <c r="G12" s="1698">
        <f>D12*VLOOKUP(SAS_RA0_DataFim,Índices!$B$6:$F$50000,5,0)/VLOOKUP(DATE(YEAR($B12),MONTH($B12)-1,1),Índices!$B$6:$F$50000,5,0)</f>
        <v>0</v>
      </c>
      <c r="H12" s="1698">
        <f>E12*VLOOKUP(SAS_RA0_DataFim,Índices!$B$6:$F$50000,5,0)/VLOOKUP(DATE(YEAR($B12),MONTH($B12)-1,1),Índices!$B$6:$F$50000,5,0)</f>
        <v>0</v>
      </c>
    </row>
    <row r="13" spans="2:24" ht="14.1" customHeight="1">
      <c r="B13" s="1692">
        <v>44317</v>
      </c>
      <c r="C13" s="1697"/>
      <c r="D13" s="1700"/>
      <c r="E13" s="1697"/>
      <c r="F13" s="1698">
        <f>C13*VLOOKUP(SAS_RA0_DataFim,Índices!$B$6:$F$50000,5,0)/VLOOKUP(DATE(YEAR($B13),MONTH($B13)-1,1),Índices!$B$6:$F$50000,5,0)</f>
        <v>0</v>
      </c>
      <c r="G13" s="1698">
        <f>D13*VLOOKUP(SAS_RA0_DataFim,Índices!$B$6:$F$50000,5,0)/VLOOKUP(DATE(YEAR($B13),MONTH($B13)-1,1),Índices!$B$6:$F$50000,5,0)</f>
        <v>0</v>
      </c>
      <c r="H13" s="1698">
        <f>E13*VLOOKUP(SAS_RA0_DataFim,Índices!$B$6:$F$50000,5,0)/VLOOKUP(DATE(YEAR($B13),MONTH($B13)-1,1),Índices!$B$6:$F$50000,5,0)</f>
        <v>0</v>
      </c>
    </row>
    <row r="14" spans="2:24" ht="14.1" customHeight="1">
      <c r="B14" s="1692">
        <v>44348</v>
      </c>
      <c r="C14" s="1701"/>
      <c r="D14" s="1700"/>
      <c r="E14" s="1697"/>
      <c r="F14" s="1698">
        <f>C14*VLOOKUP(SAS_RA0_DataFim,Índices!$B$6:$F$50000,5,0)/VLOOKUP(DATE(YEAR($B14),MONTH($B14)-1,1),Índices!$B$6:$F$50000,5,0)</f>
        <v>0</v>
      </c>
      <c r="G14" s="1698">
        <f>D14*VLOOKUP(SAS_RA0_DataFim,Índices!$B$6:$F$50000,5,0)/VLOOKUP(DATE(YEAR($B14),MONTH($B14)-1,1),Índices!$B$6:$F$50000,5,0)</f>
        <v>0</v>
      </c>
      <c r="H14" s="1698">
        <f>E14*VLOOKUP(SAS_RA0_DataFim,Índices!$B$6:$F$50000,5,0)/VLOOKUP(DATE(YEAR($B14),MONTH($B14)-1,1),Índices!$B$6:$F$50000,5,0)</f>
        <v>0</v>
      </c>
    </row>
    <row r="15" spans="2:24" ht="14.1" customHeight="1">
      <c r="B15" s="1692">
        <v>44378</v>
      </c>
      <c r="C15" s="1701"/>
      <c r="D15" s="1700"/>
      <c r="E15" s="1697"/>
      <c r="F15" s="1698">
        <f>C15*VLOOKUP(SAS_RA0_DataFim,Índices!$B$6:$F$50000,5,0)/VLOOKUP(DATE(YEAR($B15),MONTH($B15)-1,1),Índices!$B$6:$F$50000,5,0)</f>
        <v>0</v>
      </c>
      <c r="G15" s="1698">
        <f>D15*VLOOKUP(SAS_RA0_DataFim,Índices!$B$6:$F$50000,5,0)/VLOOKUP(DATE(YEAR($B15),MONTH($B15)-1,1),Índices!$B$6:$F$50000,5,0)</f>
        <v>0</v>
      </c>
      <c r="H15" s="1698">
        <f>E15*VLOOKUP(SAS_RA0_DataFim,Índices!$B$6:$F$50000,5,0)/VLOOKUP(DATE(YEAR($B15),MONTH($B15)-1,1),Índices!$B$6:$F$50000,5,0)</f>
        <v>0</v>
      </c>
    </row>
    <row r="16" spans="2:24" ht="14.1" customHeight="1">
      <c r="B16" s="1692">
        <v>44409</v>
      </c>
      <c r="C16" s="1701"/>
      <c r="D16" s="1700"/>
      <c r="E16" s="1697"/>
      <c r="F16" s="1698">
        <f>C16*VLOOKUP(SAS_RA0_DataFim,Índices!$B$6:$F$50000,5,0)/VLOOKUP(DATE(YEAR($B16),MONTH($B16)-1,1),Índices!$B$6:$F$50000,5,0)</f>
        <v>0</v>
      </c>
      <c r="G16" s="1698">
        <f>D16*VLOOKUP(SAS_RA0_DataFim,Índices!$B$6:$F$50000,5,0)/VLOOKUP(DATE(YEAR($B16),MONTH($B16)-1,1),Índices!$B$6:$F$50000,5,0)</f>
        <v>0</v>
      </c>
      <c r="H16" s="1698">
        <f>E16*VLOOKUP(SAS_RA0_DataFim,Índices!$B$6:$F$50000,5,0)/VLOOKUP(DATE(YEAR($B16),MONTH($B16)-1,1),Índices!$B$6:$F$50000,5,0)</f>
        <v>0</v>
      </c>
    </row>
    <row r="17" spans="2:8" ht="14.1" customHeight="1">
      <c r="B17" s="1692">
        <v>44440</v>
      </c>
      <c r="C17" s="1701"/>
      <c r="D17" s="1700"/>
      <c r="E17" s="1697"/>
      <c r="F17" s="1698">
        <f>C17*VLOOKUP(SAS_RA0_DataFim,Índices!$B$6:$F$50000,5,0)/VLOOKUP(DATE(YEAR($B17),MONTH($B17)-1,1),Índices!$B$6:$F$50000,5,0)</f>
        <v>0</v>
      </c>
      <c r="G17" s="1698">
        <f>D17*VLOOKUP(SAS_RA0_DataFim,Índices!$B$6:$F$50000,5,0)/VLOOKUP(DATE(YEAR($B17),MONTH($B17)-1,1),Índices!$B$6:$F$50000,5,0)</f>
        <v>0</v>
      </c>
      <c r="H17" s="1698">
        <f>E17*VLOOKUP(SAS_RA0_DataFim,Índices!$B$6:$F$50000,5,0)/VLOOKUP(DATE(YEAR($B17),MONTH($B17)-1,1),Índices!$B$6:$F$50000,5,0)</f>
        <v>0</v>
      </c>
    </row>
    <row r="18" spans="2:8" ht="14.1" customHeight="1">
      <c r="B18" s="1692">
        <v>44470</v>
      </c>
      <c r="C18" s="1701"/>
      <c r="D18" s="1700"/>
      <c r="E18" s="1697"/>
      <c r="F18" s="1698">
        <f>C18*VLOOKUP(SAS_RA0_DataFim,Índices!$B$6:$F$50000,5,0)/VLOOKUP(DATE(YEAR($B18),MONTH($B18)-1,1),Índices!$B$6:$F$50000,5,0)</f>
        <v>0</v>
      </c>
      <c r="G18" s="1698">
        <f>D18*VLOOKUP(SAS_RA0_DataFim,Índices!$B$6:$F$50000,5,0)/VLOOKUP(DATE(YEAR($B18),MONTH($B18)-1,1),Índices!$B$6:$F$50000,5,0)</f>
        <v>0</v>
      </c>
      <c r="H18" s="1698">
        <f>E18*VLOOKUP(SAS_RA0_DataFim,Índices!$B$6:$F$50000,5,0)/VLOOKUP(DATE(YEAR($B18),MONTH($B18)-1,1),Índices!$B$6:$F$50000,5,0)</f>
        <v>0</v>
      </c>
    </row>
    <row r="19" spans="2:8" ht="14.1" customHeight="1">
      <c r="B19" s="1692">
        <v>44501</v>
      </c>
      <c r="C19" s="1701"/>
      <c r="D19" s="1700"/>
      <c r="E19" s="1697"/>
      <c r="F19" s="1698">
        <f>C19*VLOOKUP(SAS_RA0_DataFim,Índices!$B$6:$F$50000,5,0)/VLOOKUP(DATE(YEAR($B19),MONTH($B19)-1,1),Índices!$B$6:$F$50000,5,0)</f>
        <v>0</v>
      </c>
      <c r="G19" s="1698">
        <f>D19*VLOOKUP(SAS_RA0_DataFim,Índices!$B$6:$F$50000,5,0)/VLOOKUP(DATE(YEAR($B19),MONTH($B19)-1,1),Índices!$B$6:$F$50000,5,0)</f>
        <v>0</v>
      </c>
      <c r="H19" s="1698">
        <f>E19*VLOOKUP(SAS_RA0_DataFim,Índices!$B$6:$F$50000,5,0)/VLOOKUP(DATE(YEAR($B19),MONTH($B19)-1,1),Índices!$B$6:$F$50000,5,0)</f>
        <v>0</v>
      </c>
    </row>
    <row r="20" spans="2:8" ht="14.1" customHeight="1">
      <c r="B20" s="1692">
        <v>44531</v>
      </c>
      <c r="C20" s="1701"/>
      <c r="D20" s="1700"/>
      <c r="E20" s="1697"/>
      <c r="F20" s="1698">
        <f>C20*VLOOKUP(SAS_RA0_DataFim,Índices!$B$6:$F$50000,5,0)/VLOOKUP(DATE(YEAR($B20),MONTH($B20)-1,1),Índices!$B$6:$F$50000,5,0)</f>
        <v>0</v>
      </c>
      <c r="G20" s="1698">
        <f>D20*VLOOKUP(SAS_RA0_DataFim,Índices!$B$6:$F$50000,5,0)/VLOOKUP(DATE(YEAR($B20),MONTH($B20)-1,1),Índices!$B$6:$F$50000,5,0)</f>
        <v>0</v>
      </c>
      <c r="H20" s="1698">
        <f>E20*VLOOKUP(SAS_RA0_DataFim,Índices!$B$6:$F$50000,5,0)/VLOOKUP(DATE(YEAR($B20),MONTH($B20)-1,1),Índices!$B$6:$F$50000,5,0)</f>
        <v>0</v>
      </c>
    </row>
    <row r="21" spans="2:8" ht="14.1" customHeight="1">
      <c r="B21" s="1692">
        <v>44562</v>
      </c>
      <c r="C21" s="1701"/>
      <c r="D21" s="1700"/>
      <c r="E21" s="1697"/>
      <c r="F21" s="1698">
        <f>C21*VLOOKUP(SAS_RA0_DataFim,Índices!$B$6:$F$50000,5,0)/VLOOKUP(DATE(YEAR($B21),MONTH($B21)-1,1),Índices!$B$6:$F$50000,5,0)</f>
        <v>0</v>
      </c>
      <c r="G21" s="1698">
        <f>D21*VLOOKUP(SAS_RA0_DataFim,Índices!$B$6:$F$50000,5,0)/VLOOKUP(DATE(YEAR($B21),MONTH($B21)-1,1),Índices!$B$6:$F$50000,5,0)</f>
        <v>0</v>
      </c>
      <c r="H21" s="1698">
        <f>E21*VLOOKUP(SAS_RA0_DataFim,Índices!$B$6:$F$50000,5,0)/VLOOKUP(DATE(YEAR($B21),MONTH($B21)-1,1),Índices!$B$6:$F$50000,5,0)</f>
        <v>0</v>
      </c>
    </row>
    <row r="22" spans="2:8" ht="14.1" customHeight="1">
      <c r="B22" s="1692">
        <v>44593</v>
      </c>
      <c r="C22" s="1701"/>
      <c r="D22" s="1700"/>
      <c r="E22" s="1697"/>
      <c r="F22" s="1698">
        <f>C22*VLOOKUP(SAS_RA0_DataFim,Índices!$B$6:$F$50000,5,0)/VLOOKUP(DATE(YEAR($B22),MONTH($B22)-1,1),Índices!$B$6:$F$50000,5,0)</f>
        <v>0</v>
      </c>
      <c r="G22" s="1698">
        <f>D22*VLOOKUP(SAS_RA0_DataFim,Índices!$B$6:$F$50000,5,0)/VLOOKUP(DATE(YEAR($B22),MONTH($B22)-1,1),Índices!$B$6:$F$50000,5,0)</f>
        <v>0</v>
      </c>
      <c r="H22" s="1698">
        <f>E22*VLOOKUP(SAS_RA0_DataFim,Índices!$B$6:$F$50000,5,0)/VLOOKUP(DATE(YEAR($B22),MONTH($B22)-1,1),Índices!$B$6:$F$50000,5,0)</f>
        <v>0</v>
      </c>
    </row>
    <row r="23" spans="2:8" ht="14.1" customHeight="1">
      <c r="B23" s="1692">
        <v>44621</v>
      </c>
      <c r="C23" s="1701"/>
      <c r="D23" s="1700"/>
      <c r="E23" s="1697"/>
      <c r="F23" s="1698">
        <f>C23*VLOOKUP(SAS_RA0_DataFim,Índices!$B$6:$F$50000,5,0)/VLOOKUP(DATE(YEAR($B23),MONTH($B23)-1,1),Índices!$B$6:$F$50000,5,0)</f>
        <v>0</v>
      </c>
      <c r="G23" s="1698">
        <f>D23*VLOOKUP(SAS_RA0_DataFim,Índices!$B$6:$F$50000,5,0)/VLOOKUP(DATE(YEAR($B23),MONTH($B23)-1,1),Índices!$B$6:$F$50000,5,0)</f>
        <v>0</v>
      </c>
      <c r="H23" s="1698">
        <f>E23*VLOOKUP(SAS_RA0_DataFim,Índices!$B$6:$F$50000,5,0)/VLOOKUP(DATE(YEAR($B23),MONTH($B23)-1,1),Índices!$B$6:$F$50000,5,0)</f>
        <v>0</v>
      </c>
    </row>
    <row r="24" spans="2:8" ht="14.1" customHeight="1">
      <c r="B24" s="1692">
        <v>44652</v>
      </c>
      <c r="C24" s="1701"/>
      <c r="D24" s="1700"/>
      <c r="E24" s="1697"/>
      <c r="F24" s="1698">
        <f>C24*VLOOKUP(SAS_RA0_DataFim,Índices!$B$6:$F$50000,5,0)/VLOOKUP(DATE(YEAR($B24),MONTH($B24)-1,1),Índices!$B$6:$F$50000,5,0)</f>
        <v>0</v>
      </c>
      <c r="G24" s="1698">
        <f>D24*VLOOKUP(SAS_RA0_DataFim,Índices!$B$6:$F$50000,5,0)/VLOOKUP(DATE(YEAR($B24),MONTH($B24)-1,1),Índices!$B$6:$F$50000,5,0)</f>
        <v>0</v>
      </c>
      <c r="H24" s="1698">
        <f>E24*VLOOKUP(SAS_RA0_DataFim,Índices!$B$6:$F$50000,5,0)/VLOOKUP(DATE(YEAR($B24),MONTH($B24)-1,1),Índices!$B$6:$F$50000,5,0)</f>
        <v>0</v>
      </c>
    </row>
    <row r="25" spans="2:8" ht="14.1" customHeight="1">
      <c r="B25" s="1692">
        <v>44682</v>
      </c>
      <c r="C25" s="1701"/>
      <c r="D25" s="1700"/>
      <c r="E25" s="1697"/>
      <c r="F25" s="1698">
        <f>C25*VLOOKUP(SAS_RA0_DataFim,Índices!$B$6:$F$50000,5,0)/VLOOKUP(DATE(YEAR($B25),MONTH($B25)-1,1),Índices!$B$6:$F$50000,5,0)</f>
        <v>0</v>
      </c>
      <c r="G25" s="1698">
        <f>D25*VLOOKUP(SAS_RA0_DataFim,Índices!$B$6:$F$50000,5,0)/VLOOKUP(DATE(YEAR($B25),MONTH($B25)-1,1),Índices!$B$6:$F$50000,5,0)</f>
        <v>0</v>
      </c>
      <c r="H25" s="1698">
        <f>E25*VLOOKUP(SAS_RA0_DataFim,Índices!$B$6:$F$50000,5,0)/VLOOKUP(DATE(YEAR($B25),MONTH($B25)-1,1),Índices!$B$6:$F$50000,5,0)</f>
        <v>0</v>
      </c>
    </row>
    <row r="26" spans="2:8" ht="14.1" customHeight="1">
      <c r="B26" s="1692">
        <v>44713</v>
      </c>
      <c r="C26" s="1764">
        <v>39364.769999999997</v>
      </c>
      <c r="D26" s="1700"/>
      <c r="E26" s="1697"/>
      <c r="F26" s="1698">
        <f>C26*VLOOKUP(SAS_RA0_DataFim,Índices!$B$6:$F$50000,5,0)/VLOOKUP(DATE(YEAR($B26),MONTH($B26)-1,1),Índices!$B$6:$F$50000,5,0)</f>
        <v>39764.446654232124</v>
      </c>
      <c r="G26" s="1698">
        <f>D26*VLOOKUP(SAS_RA0_DataFim,Índices!$B$6:$F$50000,5,0)/VLOOKUP(DATE(YEAR($B26),MONTH($B26)-1,1),Índices!$B$6:$F$50000,5,0)</f>
        <v>0</v>
      </c>
      <c r="H26" s="1698">
        <f>E26*VLOOKUP(SAS_RA0_DataFim,Índices!$B$6:$F$50000,5,0)/VLOOKUP(DATE(YEAR($B26),MONTH($B26)-1,1),Índices!$B$6:$F$50000,5,0)</f>
        <v>0</v>
      </c>
    </row>
    <row r="27" spans="2:8" ht="14.1" customHeight="1">
      <c r="B27" s="1702" t="s">
        <v>837</v>
      </c>
      <c r="C27" s="1703">
        <f>SUM(C9:C26)</f>
        <v>39364.769999999997</v>
      </c>
      <c r="D27" s="1703">
        <f t="shared" ref="D27:E27" si="0">SUM(D9:D26)</f>
        <v>0</v>
      </c>
      <c r="E27" s="1703">
        <f t="shared" si="0"/>
        <v>0</v>
      </c>
      <c r="F27" s="1703">
        <f>SUM(F9:F26)</f>
        <v>39764.446654232124</v>
      </c>
      <c r="G27" s="1703">
        <f t="shared" ref="G27:H27" si="1">SUM(G9:G26)</f>
        <v>0</v>
      </c>
      <c r="H27" s="1703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2184</v>
      </c>
    </row>
    <row r="4" spans="1:5">
      <c r="B4" t="s">
        <v>2185</v>
      </c>
    </row>
    <row r="7" spans="1:5">
      <c r="A7" s="755"/>
      <c r="B7" s="755" t="s">
        <v>2179</v>
      </c>
    </row>
    <row r="8" spans="1:5">
      <c r="A8" s="755" t="s">
        <v>1032</v>
      </c>
      <c r="B8" s="1568"/>
    </row>
    <row r="9" spans="1:5">
      <c r="A9" s="755" t="s">
        <v>1051</v>
      </c>
      <c r="B9" s="1568"/>
    </row>
    <row r="11" spans="1:5" ht="47.25">
      <c r="A11" s="1570"/>
      <c r="B11" s="1571" t="s">
        <v>2186</v>
      </c>
      <c r="C11" s="1572" t="s">
        <v>2180</v>
      </c>
      <c r="D11" s="1572" t="s">
        <v>2181</v>
      </c>
      <c r="E11" s="1572" t="s">
        <v>846</v>
      </c>
    </row>
    <row r="12" spans="1:5">
      <c r="A12" s="892" t="s">
        <v>846</v>
      </c>
      <c r="B12" s="1569">
        <f>B13+B14</f>
        <v>0</v>
      </c>
      <c r="C12" s="1569">
        <f>Indexador!R49</f>
        <v>0</v>
      </c>
      <c r="D12" s="1569">
        <f>C12*85%</f>
        <v>0</v>
      </c>
      <c r="E12" s="1569">
        <f>SUM(B12:D12)</f>
        <v>0</v>
      </c>
    </row>
    <row r="13" spans="1:5">
      <c r="A13" s="755" t="s">
        <v>1032</v>
      </c>
      <c r="B13" s="1569">
        <f>Indexador!V49</f>
        <v>0</v>
      </c>
      <c r="C13" s="1569">
        <f ca="1">IFERROR($C$12*(Resultado!D32/(Resultado!$D$32+Resultado!$D$33)),0)</f>
        <v>0</v>
      </c>
      <c r="D13" s="1569">
        <f t="shared" ref="D13:D14" ca="1" si="0">C13*85%</f>
        <v>0</v>
      </c>
      <c r="E13" s="1569">
        <f t="shared" ref="E13:E14" ca="1" si="1">SUM(B13:D13)</f>
        <v>0</v>
      </c>
    </row>
    <row r="14" spans="1:5">
      <c r="A14" s="755" t="s">
        <v>1051</v>
      </c>
      <c r="B14" s="1569">
        <f>Indexador!T49</f>
        <v>0</v>
      </c>
      <c r="C14" s="1569">
        <f ca="1">IFERROR($C$12*(Resultado!D33/(Resultado!$D$32+Resultado!$D$33)),0)</f>
        <v>0</v>
      </c>
      <c r="D14" s="1569">
        <f t="shared" ca="1" si="0"/>
        <v>0</v>
      </c>
      <c r="E14" s="1569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C31" sqref="C31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46" t="s">
        <v>2303</v>
      </c>
    </row>
    <row r="4" spans="1:15">
      <c r="B4" s="1637" t="s">
        <v>2291</v>
      </c>
      <c r="C4" s="1639" t="s">
        <v>2292</v>
      </c>
      <c r="D4" s="1638" t="s">
        <v>2293</v>
      </c>
      <c r="E4" s="1644"/>
      <c r="F4" s="1644"/>
      <c r="G4" s="1644"/>
      <c r="N4" t="s">
        <v>34</v>
      </c>
      <c r="O4" t="s">
        <v>2294</v>
      </c>
    </row>
    <row r="5" spans="1:15">
      <c r="A5" s="836" t="s">
        <v>2219</v>
      </c>
      <c r="B5" s="905" t="s">
        <v>2301</v>
      </c>
      <c r="C5" s="1647">
        <f>IFERROR(VLOOKUP(A5,Escassez[#All],2,FALSE),0)</f>
        <v>0</v>
      </c>
      <c r="D5" s="1647" t="e">
        <f>C5/$C$8*$O$87</f>
        <v>#DIV/0!</v>
      </c>
      <c r="E5" s="1645"/>
      <c r="F5" s="1643"/>
      <c r="G5" s="1633"/>
      <c r="N5" s="8">
        <v>44690</v>
      </c>
      <c r="O5" s="234">
        <f>C8</f>
        <v>0</v>
      </c>
    </row>
    <row r="6" spans="1:15">
      <c r="A6" s="1621" t="s">
        <v>2220</v>
      </c>
      <c r="B6" s="905" t="s">
        <v>2302</v>
      </c>
      <c r="C6" s="1647">
        <f>IFERROR(VLOOKUP(A6,Escassez[#All],2,FALSE),0)</f>
        <v>0</v>
      </c>
      <c r="D6" s="1647" t="e">
        <f>C6/$C$8*$O$87</f>
        <v>#DIV/0!</v>
      </c>
      <c r="E6" s="1645"/>
      <c r="F6" s="1643"/>
      <c r="G6" s="1633"/>
      <c r="N6" s="8">
        <f>N5+1</f>
        <v>44691</v>
      </c>
      <c r="O6" s="234">
        <f>O5*VLOOKUP(N6,Índices!$K$6:$N$3249,4,FALSE)/VLOOKUP(N5,Índices!$K$6:$N$3249,4,FALSE)</f>
        <v>0</v>
      </c>
    </row>
    <row r="7" spans="1:15">
      <c r="A7" s="1621" t="s">
        <v>2221</v>
      </c>
      <c r="B7" s="905" t="s">
        <v>111</v>
      </c>
      <c r="C7" s="1647">
        <f>IFERROR(VLOOKUP(A7,Escassez[#All],2,FALSE),0)</f>
        <v>0</v>
      </c>
      <c r="D7" s="1647" t="e">
        <f>C7/$C$8*$O$87</f>
        <v>#DIV/0!</v>
      </c>
      <c r="E7" s="1645"/>
      <c r="F7" s="1643"/>
      <c r="G7" s="1633"/>
      <c r="N7" s="8">
        <f t="shared" ref="N7:N70" si="0">N6+1</f>
        <v>44692</v>
      </c>
      <c r="O7" s="234">
        <f>O6*VLOOKUP(N7,Índices!$K$6:$N$3249,4,FALSE)/VLOOKUP(N6,Índices!$K$6:$N$3249,4,FALSE)</f>
        <v>0</v>
      </c>
    </row>
    <row r="8" spans="1:15">
      <c r="B8" s="1640"/>
      <c r="C8" s="1648">
        <f>SUM(C5:C7)</f>
        <v>0</v>
      </c>
      <c r="D8" s="1648" t="e">
        <f>SUM(D5:D7)</f>
        <v>#DIV/0!</v>
      </c>
      <c r="E8" s="905"/>
      <c r="F8" s="1634"/>
      <c r="G8" s="1634"/>
      <c r="N8" s="8">
        <f t="shared" si="0"/>
        <v>44693</v>
      </c>
      <c r="O8" s="234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4">
        <f>O8*VLOOKUP(N9,Índices!$K$6:$N$3249,4,FALSE)/VLOOKUP(N8,Índices!$K$6:$N$3249,4,FALSE)</f>
        <v>0</v>
      </c>
    </row>
    <row r="10" spans="1:15">
      <c r="B10" s="1649" t="s">
        <v>2304</v>
      </c>
      <c r="C10" s="1641"/>
      <c r="D10" s="1650">
        <v>-190521.25</v>
      </c>
      <c r="E10" s="1642"/>
      <c r="L10" s="8">
        <f>N9+1</f>
        <v>44695</v>
      </c>
      <c r="M10" s="234"/>
      <c r="N10" s="8">
        <f t="shared" si="0"/>
        <v>44695</v>
      </c>
      <c r="O10" s="234">
        <f>O9*VLOOKUP(N10,Índices!$K$6:$N$3249,4,FALSE)/VLOOKUP(N9,Índices!$K$6:$N$3249,4,FALSE)</f>
        <v>0</v>
      </c>
    </row>
    <row r="11" spans="1:15">
      <c r="N11" s="8">
        <f>L10+1</f>
        <v>44696</v>
      </c>
      <c r="O11" s="234">
        <f>O10*VLOOKUP(N11,Índices!$K$6:$N$3249,4,FALSE)/VLOOKUP(N10,Índices!$K$6:$N$3249,4,FALSE)</f>
        <v>0</v>
      </c>
    </row>
    <row r="12" spans="1:15">
      <c r="B12" s="1649" t="s">
        <v>1394</v>
      </c>
      <c r="C12" s="1641"/>
      <c r="D12" s="1650">
        <v>-3652.3295493700653</v>
      </c>
      <c r="E12" s="1631"/>
      <c r="F12" s="1631"/>
      <c r="G12" s="1631"/>
      <c r="H12" s="1631"/>
      <c r="I12" s="1631"/>
      <c r="J12" s="1631"/>
      <c r="K12" s="1631"/>
      <c r="L12" s="1631"/>
      <c r="N12" s="8">
        <f t="shared" si="0"/>
        <v>44697</v>
      </c>
      <c r="O12" s="234">
        <f>O11*VLOOKUP(N12,Índices!$K$6:$N$3249,4,FALSE)/VLOOKUP(N11,Índices!$K$6:$N$3249,4,FALSE)</f>
        <v>0</v>
      </c>
    </row>
    <row r="13" spans="1:15">
      <c r="B13" s="1651"/>
      <c r="C13" s="1632"/>
      <c r="D13" s="1632"/>
      <c r="E13" s="1632"/>
      <c r="F13" s="1632"/>
      <c r="G13" s="1632"/>
      <c r="H13" s="1632"/>
      <c r="I13" s="1632"/>
      <c r="J13" s="1632"/>
      <c r="K13" s="1632"/>
      <c r="L13" s="1632"/>
      <c r="N13" s="8">
        <f t="shared" si="0"/>
        <v>44698</v>
      </c>
      <c r="O13" s="234">
        <f>O12*VLOOKUP(N13,Índices!$K$6:$N$3249,4,FALSE)/VLOOKUP(N12,Índices!$K$6:$N$3249,4,FALSE)</f>
        <v>0</v>
      </c>
    </row>
    <row r="14" spans="1:15">
      <c r="B14" s="1652"/>
      <c r="C14" s="1653"/>
      <c r="D14" s="1653"/>
      <c r="E14" s="1654"/>
      <c r="F14" s="1655"/>
      <c r="G14" s="1633"/>
      <c r="H14" s="1633"/>
      <c r="I14" s="1633"/>
      <c r="J14" s="1633"/>
      <c r="K14" s="1633"/>
      <c r="L14" s="1633"/>
      <c r="N14" s="8">
        <f t="shared" si="0"/>
        <v>44699</v>
      </c>
      <c r="O14" s="234">
        <f>O13*VLOOKUP(N14,Índices!$K$6:$N$3249,4,FALSE)/VLOOKUP(N13,Índices!$K$6:$N$3249,4,FALSE)</f>
        <v>0</v>
      </c>
    </row>
    <row r="15" spans="1:15">
      <c r="B15" s="1652"/>
      <c r="C15" s="1653"/>
      <c r="D15" s="1653"/>
      <c r="E15" s="1654"/>
      <c r="F15" s="1655"/>
      <c r="G15" s="1633"/>
      <c r="H15" s="1633"/>
      <c r="I15" s="1633"/>
      <c r="J15" s="1633"/>
      <c r="K15" s="1633"/>
      <c r="L15" s="1633"/>
      <c r="N15" s="8">
        <f t="shared" si="0"/>
        <v>44700</v>
      </c>
      <c r="O15" s="234">
        <f>O14*VLOOKUP(N15,Índices!$K$6:$N$3249,4,FALSE)/VLOOKUP(N14,Índices!$K$6:$N$3249,4,FALSE)</f>
        <v>0</v>
      </c>
    </row>
    <row r="16" spans="1:15">
      <c r="B16" s="1652"/>
      <c r="C16" s="1653"/>
      <c r="D16" s="1653"/>
      <c r="E16" s="1654"/>
      <c r="F16" s="1655"/>
      <c r="G16" s="1633"/>
      <c r="H16" s="1633"/>
      <c r="I16" s="1633"/>
      <c r="J16" s="1633"/>
      <c r="K16" s="1633"/>
      <c r="L16" s="1633"/>
      <c r="N16" s="8">
        <f t="shared" si="0"/>
        <v>44701</v>
      </c>
      <c r="O16" s="234">
        <f>O15*VLOOKUP(N16,Índices!$K$6:$N$3249,4,FALSE)/VLOOKUP(N15,Índices!$K$6:$N$3249,4,FALSE)</f>
        <v>0</v>
      </c>
    </row>
    <row r="17" spans="2:15">
      <c r="B17" s="1652"/>
      <c r="C17" s="1653"/>
      <c r="D17" s="1653"/>
      <c r="E17" s="1654"/>
      <c r="F17" s="1655"/>
      <c r="G17" s="1633"/>
      <c r="H17" s="1633"/>
      <c r="I17" s="1633"/>
      <c r="J17" s="1633"/>
      <c r="K17" s="1633"/>
      <c r="L17" s="1633"/>
      <c r="N17" s="8">
        <f t="shared" si="0"/>
        <v>44702</v>
      </c>
      <c r="O17" s="234">
        <f>O16*VLOOKUP(N17,Índices!$K$6:$N$3249,4,FALSE)/VLOOKUP(N16,Índices!$K$6:$N$3249,4,FALSE)</f>
        <v>0</v>
      </c>
    </row>
    <row r="18" spans="2:15">
      <c r="B18" s="1652"/>
      <c r="C18" s="1653"/>
      <c r="D18" s="1653"/>
      <c r="E18" s="1654"/>
      <c r="F18" s="1655"/>
      <c r="G18" s="1633"/>
      <c r="H18" s="1633"/>
      <c r="I18" s="1633"/>
      <c r="J18" s="1633"/>
      <c r="K18" s="1633"/>
      <c r="L18" s="1633"/>
      <c r="N18" s="8">
        <f t="shared" si="0"/>
        <v>44703</v>
      </c>
      <c r="O18" s="234">
        <f>O17*VLOOKUP(N18,Índices!$K$6:$N$3249,4,FALSE)/VLOOKUP(N17,Índices!$K$6:$N$3249,4,FALSE)</f>
        <v>0</v>
      </c>
    </row>
    <row r="19" spans="2:15">
      <c r="B19" s="1652"/>
      <c r="C19" s="1653"/>
      <c r="D19" s="1653"/>
      <c r="E19" s="1653"/>
      <c r="F19" s="1655"/>
      <c r="G19" s="1633"/>
      <c r="H19" s="1633"/>
      <c r="I19" s="1633"/>
      <c r="J19" s="1633"/>
      <c r="K19" s="1633"/>
      <c r="L19" s="1633"/>
      <c r="N19" s="8">
        <f t="shared" si="0"/>
        <v>44704</v>
      </c>
      <c r="O19" s="234">
        <f>O18*VLOOKUP(N19,Índices!$K$6:$N$3249,4,FALSE)/VLOOKUP(N18,Índices!$K$6:$N$3249,4,FALSE)</f>
        <v>0</v>
      </c>
    </row>
    <row r="20" spans="2:15">
      <c r="B20" s="1652"/>
      <c r="C20" s="1653"/>
      <c r="D20" s="1653"/>
      <c r="E20" s="1653"/>
      <c r="F20" s="1655"/>
      <c r="G20" s="1633"/>
      <c r="H20" s="1633"/>
      <c r="I20" s="1633"/>
      <c r="J20" s="1633"/>
      <c r="K20" s="1633"/>
      <c r="L20" s="1633"/>
      <c r="N20" s="8">
        <f t="shared" si="0"/>
        <v>44705</v>
      </c>
      <c r="O20" s="234">
        <f>O19*VLOOKUP(N20,Índices!$K$6:$N$3249,4,FALSE)/VLOOKUP(N19,Índices!$K$6:$N$3249,4,FALSE)</f>
        <v>0</v>
      </c>
    </row>
    <row r="21" spans="2:15">
      <c r="B21" s="1652"/>
      <c r="C21" s="1653"/>
      <c r="D21" s="1653"/>
      <c r="E21" s="1653"/>
      <c r="F21" s="1655"/>
      <c r="G21" s="1633"/>
      <c r="H21" s="1633"/>
      <c r="I21" s="1633"/>
      <c r="J21" s="1633"/>
      <c r="K21" s="1633"/>
      <c r="L21" s="1633"/>
      <c r="N21" s="8">
        <f t="shared" si="0"/>
        <v>44706</v>
      </c>
      <c r="O21" s="234">
        <f>O20*VLOOKUP(N21,Índices!$K$6:$N$3249,4,FALSE)/VLOOKUP(N20,Índices!$K$6:$N$3249,4,FALSE)</f>
        <v>0</v>
      </c>
    </row>
    <row r="22" spans="2:15">
      <c r="B22" s="1652"/>
      <c r="C22" s="1653"/>
      <c r="D22" s="1653"/>
      <c r="E22" s="1653"/>
      <c r="F22" s="1655"/>
      <c r="G22" s="1633"/>
      <c r="H22" s="1633"/>
      <c r="I22" s="1633"/>
      <c r="J22" s="1633"/>
      <c r="K22" s="1633"/>
      <c r="L22" s="1633"/>
      <c r="N22" s="8">
        <f t="shared" si="0"/>
        <v>44707</v>
      </c>
      <c r="O22" s="234">
        <f>O21*VLOOKUP(N22,Índices!$K$6:$N$3249,4,FALSE)/VLOOKUP(N21,Índices!$K$6:$N$3249,4,FALSE)</f>
        <v>0</v>
      </c>
    </row>
    <row r="23" spans="2:15">
      <c r="B23" s="1652"/>
      <c r="C23" s="1653"/>
      <c r="D23" s="1653"/>
      <c r="E23" s="1653"/>
      <c r="F23" s="1655"/>
      <c r="G23" s="1633"/>
      <c r="H23" s="1633"/>
      <c r="I23" s="1633"/>
      <c r="J23" s="1633"/>
      <c r="K23" s="1633"/>
      <c r="L23" s="1633"/>
      <c r="N23" s="8">
        <f t="shared" si="0"/>
        <v>44708</v>
      </c>
      <c r="O23" s="234">
        <f>O22*VLOOKUP(N23,Índices!$K$6:$N$3249,4,FALSE)/VLOOKUP(N22,Índices!$K$6:$N$3249,4,FALSE)</f>
        <v>0</v>
      </c>
    </row>
    <row r="24" spans="2:15">
      <c r="B24" s="1652"/>
      <c r="C24" s="1653"/>
      <c r="D24" s="1653"/>
      <c r="E24" s="1653"/>
      <c r="F24" s="1655"/>
      <c r="G24" s="1633"/>
      <c r="H24" s="1633"/>
      <c r="I24" s="1633"/>
      <c r="J24" s="1633"/>
      <c r="K24" s="1633"/>
      <c r="L24" s="1633"/>
      <c r="N24" s="8">
        <f t="shared" si="0"/>
        <v>44709</v>
      </c>
      <c r="O24" s="234">
        <f>O23*VLOOKUP(N24,Índices!$K$6:$N$3249,4,FALSE)/VLOOKUP(N23,Índices!$K$6:$N$3249,4,FALSE)</f>
        <v>0</v>
      </c>
    </row>
    <row r="25" spans="2:15">
      <c r="B25" s="1656"/>
      <c r="C25" s="1653"/>
      <c r="D25" s="1653"/>
      <c r="E25" s="1657"/>
      <c r="F25" s="1655"/>
      <c r="G25" s="1633"/>
      <c r="H25" s="1633"/>
      <c r="I25" s="1633"/>
      <c r="J25" s="1633"/>
      <c r="K25" s="1633"/>
      <c r="L25" s="1633"/>
      <c r="N25" s="8">
        <f t="shared" si="0"/>
        <v>44710</v>
      </c>
      <c r="O25" s="234">
        <f>O24*VLOOKUP(N25,Índices!$K$6:$N$3249,4,FALSE)/VLOOKUP(N24,Índices!$K$6:$N$3249,4,FALSE)</f>
        <v>0</v>
      </c>
    </row>
    <row r="26" spans="2:15">
      <c r="B26" s="1658"/>
      <c r="C26" s="905"/>
      <c r="D26" s="905"/>
      <c r="E26" s="905"/>
      <c r="F26" s="1634"/>
      <c r="G26" s="1634"/>
      <c r="H26" s="1634"/>
      <c r="I26" s="1634"/>
      <c r="J26" s="1634"/>
      <c r="K26" s="1634"/>
      <c r="L26" s="1634"/>
      <c r="N26" s="8">
        <f t="shared" si="0"/>
        <v>44711</v>
      </c>
      <c r="O26" s="234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4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4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4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4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4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4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4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4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4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4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4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4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4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4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4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4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4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4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4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4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4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4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4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4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4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4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4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4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4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4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4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4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4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4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4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4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4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4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4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4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4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4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4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4">
        <f>O69*VLOOKUP(N70,Índices!$K$6:$N$3249,4,FALSE)/VLOOKUP(N69,Índices!$K$6:$N$3249,4,FALSE)</f>
        <v>0</v>
      </c>
    </row>
    <row r="71" spans="14:15">
      <c r="N71" s="8">
        <f t="shared" ref="N71:N87" si="1">N70+1</f>
        <v>44756</v>
      </c>
      <c r="O71" s="234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4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4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4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4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4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4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4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4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4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4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4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4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4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4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4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4">
        <f>O86*VLOOKUP(N87,Índices!$K$6:$N$3249,4,FALSE)/VLOOKUP(N86,Índices!$K$6:$N$3249,4,FALSE)</f>
        <v>0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4" zoomScale="85" zoomScaleNormal="85" workbookViewId="0">
      <selection activeCell="H40" sqref="H40"/>
    </sheetView>
  </sheetViews>
  <sheetFormatPr defaultColWidth="9.140625" defaultRowHeight="15" customHeight="1"/>
  <cols>
    <col min="1" max="1" width="4.42578125" style="914" customWidth="1"/>
    <col min="2" max="2" width="27.28515625" style="914" customWidth="1"/>
    <col min="3" max="5" width="17.7109375" style="915" customWidth="1"/>
    <col min="6" max="7" width="17.7109375" style="914" customWidth="1"/>
    <col min="8" max="8" width="46.42578125" style="914" customWidth="1"/>
    <col min="9" max="9" width="14.7109375" style="914" customWidth="1"/>
    <col min="10" max="13" width="12.7109375" style="914" customWidth="1"/>
    <col min="14" max="17" width="9.140625" style="914"/>
    <col min="18" max="18" width="17" style="914" customWidth="1"/>
    <col min="19" max="19" width="14.28515625" style="914" customWidth="1"/>
    <col min="20" max="20" width="15.42578125" style="914" customWidth="1"/>
    <col min="21" max="21" width="13.85546875" style="914" customWidth="1"/>
    <col min="22" max="22" width="17.140625" style="914" customWidth="1"/>
    <col min="23" max="23" width="13" style="914" customWidth="1"/>
    <col min="24" max="24" width="14.140625" style="914" customWidth="1"/>
    <col min="25" max="25" width="17.7109375" style="914" customWidth="1"/>
    <col min="26" max="26" width="17" style="914" customWidth="1"/>
    <col min="27" max="27" width="14" style="914" customWidth="1"/>
    <col min="28" max="28" width="14.85546875" style="914" customWidth="1"/>
    <col min="29" max="16384" width="9.140625" style="914"/>
  </cols>
  <sheetData>
    <row r="1" spans="1:18" ht="14.45" customHeight="1"/>
    <row r="2" spans="1:18" ht="14.45" customHeight="1">
      <c r="B2" s="916" t="s">
        <v>2365</v>
      </c>
      <c r="C2" s="917"/>
      <c r="D2" s="917"/>
      <c r="E2" s="917"/>
      <c r="F2" s="918"/>
      <c r="G2" s="918"/>
      <c r="H2" s="919" t="s">
        <v>13</v>
      </c>
      <c r="I2" s="920">
        <f>Resultado!$D$6</f>
        <v>0</v>
      </c>
      <c r="J2" s="921"/>
      <c r="K2" s="921"/>
    </row>
    <row r="3" spans="1:18" ht="14.45" customHeight="1">
      <c r="B3" s="922"/>
      <c r="C3" s="923"/>
      <c r="D3" s="923"/>
      <c r="E3" s="923"/>
      <c r="H3" s="924" t="s">
        <v>14</v>
      </c>
      <c r="I3" s="925">
        <f>Resultado!$D$8</f>
        <v>0</v>
      </c>
      <c r="J3" s="921"/>
      <c r="K3" s="921"/>
    </row>
    <row r="4" spans="1:18" ht="14.45" customHeight="1">
      <c r="B4" s="921"/>
      <c r="C4" s="923"/>
      <c r="D4" s="923"/>
      <c r="E4" s="923"/>
      <c r="F4" s="926"/>
      <c r="G4" s="921"/>
      <c r="H4" s="921"/>
      <c r="I4" s="921"/>
      <c r="J4" s="921"/>
      <c r="K4" s="921"/>
    </row>
    <row r="5" spans="1:18" ht="15" customHeight="1">
      <c r="B5" s="921"/>
      <c r="C5" s="927"/>
      <c r="D5" s="923"/>
      <c r="E5" s="923"/>
      <c r="F5" s="926"/>
      <c r="G5" s="921"/>
      <c r="H5" s="921"/>
      <c r="I5" s="921"/>
      <c r="J5" s="921"/>
      <c r="K5" s="921"/>
      <c r="R5" s="1412" t="s">
        <v>954</v>
      </c>
    </row>
    <row r="6" spans="1:18" s="931" customFormat="1" ht="15" customHeight="1">
      <c r="A6" s="928"/>
      <c r="B6" s="929"/>
      <c r="C6" s="930"/>
      <c r="D6" s="930"/>
      <c r="E6" s="930"/>
      <c r="F6" s="929"/>
      <c r="G6" s="929"/>
      <c r="H6" s="929"/>
      <c r="I6" s="929"/>
      <c r="J6" s="929"/>
      <c r="K6" s="929"/>
      <c r="R6" s="953">
        <f>DATE(YEAR(R8),MONTH(R8)-1,1)</f>
        <v>44378</v>
      </c>
    </row>
    <row r="7" spans="1:18" s="931" customFormat="1" ht="15" customHeight="1">
      <c r="A7" s="928"/>
      <c r="B7" s="932" t="s">
        <v>2306</v>
      </c>
      <c r="C7" s="930"/>
      <c r="D7" s="933"/>
      <c r="E7" s="933"/>
      <c r="F7" s="934"/>
      <c r="G7" s="929"/>
      <c r="H7" s="929"/>
      <c r="I7" s="929"/>
      <c r="J7" s="929"/>
      <c r="K7" s="929"/>
      <c r="R7" s="1412" t="s">
        <v>954</v>
      </c>
    </row>
    <row r="8" spans="1:18" ht="27.95" customHeight="1">
      <c r="B8" s="935" t="s">
        <v>855</v>
      </c>
      <c r="C8" s="935" t="s">
        <v>1397</v>
      </c>
      <c r="D8" s="935" t="s">
        <v>1398</v>
      </c>
      <c r="E8" s="935" t="s">
        <v>1399</v>
      </c>
      <c r="F8" s="921"/>
      <c r="G8" s="921"/>
      <c r="H8" s="921"/>
      <c r="I8" s="936"/>
      <c r="R8" s="953">
        <f>DATE(YEAR(R10),MONTH(R10)-1,1)</f>
        <v>44409</v>
      </c>
    </row>
    <row r="9" spans="1:18" ht="14.45" customHeight="1">
      <c r="B9" s="1413" t="s">
        <v>1400</v>
      </c>
      <c r="C9" s="1414"/>
      <c r="D9" s="1414"/>
      <c r="E9" s="1414"/>
      <c r="F9" s="921"/>
      <c r="G9" s="448"/>
      <c r="H9" s="1415" t="s">
        <v>1401</v>
      </c>
      <c r="I9" s="1416">
        <v>-95232.920499999993</v>
      </c>
      <c r="R9" s="1412" t="s">
        <v>954</v>
      </c>
    </row>
    <row r="10" spans="1:18" ht="14.45" customHeight="1">
      <c r="B10" s="937" t="s">
        <v>41</v>
      </c>
      <c r="C10" s="938"/>
      <c r="D10" s="938"/>
      <c r="E10" s="938"/>
      <c r="F10" s="921"/>
      <c r="G10" s="448"/>
      <c r="H10" s="939" t="s">
        <v>1402</v>
      </c>
      <c r="I10" s="940">
        <f>Indexador!F173</f>
        <v>0</v>
      </c>
      <c r="R10" s="953">
        <f>DATE(YEAR(R12),MONTH(R12)-1,1)</f>
        <v>44440</v>
      </c>
    </row>
    <row r="11" spans="1:18" ht="14.45" customHeight="1">
      <c r="B11" s="937" t="s">
        <v>1403</v>
      </c>
      <c r="C11" s="938"/>
      <c r="D11" s="938"/>
      <c r="E11" s="938"/>
      <c r="F11" s="921"/>
      <c r="G11" s="921"/>
      <c r="H11" s="939" t="s">
        <v>1404</v>
      </c>
      <c r="I11" s="941"/>
      <c r="R11" s="1412" t="s">
        <v>954</v>
      </c>
    </row>
    <row r="12" spans="1:18" ht="14.45" customHeight="1">
      <c r="B12" s="937" t="s">
        <v>705</v>
      </c>
      <c r="C12" s="938"/>
      <c r="D12" s="938"/>
      <c r="E12" s="938"/>
      <c r="F12" s="921"/>
      <c r="G12" s="448"/>
      <c r="H12" s="939" t="s">
        <v>1405</v>
      </c>
      <c r="I12" s="941"/>
      <c r="R12" s="953">
        <f>DATE(YEAR(R14),MONTH(R14)-1,1)</f>
        <v>44470</v>
      </c>
    </row>
    <row r="13" spans="1:18" ht="14.45" customHeight="1">
      <c r="B13" s="937" t="s">
        <v>1406</v>
      </c>
      <c r="C13" s="938">
        <v>326046.875</v>
      </c>
      <c r="D13" s="938">
        <v>443159.8615</v>
      </c>
      <c r="E13" s="938"/>
      <c r="F13" s="921"/>
      <c r="G13" s="448"/>
      <c r="H13" s="939" t="s">
        <v>1407</v>
      </c>
      <c r="I13" s="1417"/>
      <c r="R13" s="1412" t="s">
        <v>954</v>
      </c>
    </row>
    <row r="14" spans="1:18" ht="14.45" customHeight="1">
      <c r="B14" s="937" t="s">
        <v>126</v>
      </c>
      <c r="C14" s="938"/>
      <c r="D14" s="938"/>
      <c r="E14" s="938"/>
      <c r="F14" s="921"/>
      <c r="G14" s="448"/>
      <c r="H14" s="1415" t="s">
        <v>1408</v>
      </c>
      <c r="I14" s="1418">
        <v>742337.70352578606</v>
      </c>
      <c r="J14" s="921"/>
      <c r="K14" s="921"/>
      <c r="R14" s="953">
        <f>DATE(YEAR(R16),MONTH(R16)-1,1)</f>
        <v>44501</v>
      </c>
    </row>
    <row r="15" spans="1:18" ht="14.45" customHeight="1">
      <c r="B15" s="937" t="s">
        <v>1409</v>
      </c>
      <c r="C15" s="938"/>
      <c r="D15" s="938"/>
      <c r="E15" s="938"/>
      <c r="F15" s="921"/>
      <c r="G15" s="448"/>
      <c r="H15" s="1419" t="s">
        <v>1410</v>
      </c>
      <c r="I15" s="1420">
        <f>Indexador!N49</f>
        <v>782677.23987553886</v>
      </c>
      <c r="J15" s="921"/>
      <c r="K15" s="921"/>
      <c r="R15" s="1412" t="s">
        <v>954</v>
      </c>
    </row>
    <row r="16" spans="1:18" ht="14.45" customHeight="1">
      <c r="B16" s="937" t="s">
        <v>122</v>
      </c>
      <c r="C16" s="938"/>
      <c r="D16" s="938"/>
      <c r="E16" s="938"/>
      <c r="F16" s="922"/>
      <c r="G16" s="448"/>
      <c r="H16" s="921"/>
      <c r="I16" s="936"/>
      <c r="J16" s="921"/>
      <c r="K16" s="921"/>
      <c r="R16" s="953">
        <f>DATE(YEAR(R18),MONTH(R18)-1,1)</f>
        <v>44531</v>
      </c>
    </row>
    <row r="17" spans="1:18" ht="14.45" customHeight="1">
      <c r="B17" s="937" t="s">
        <v>46</v>
      </c>
      <c r="C17" s="938">
        <v>675533.99549999996</v>
      </c>
      <c r="D17" s="938">
        <v>699864.49190000002</v>
      </c>
      <c r="E17" s="938"/>
      <c r="F17" s="921"/>
      <c r="G17" s="448"/>
      <c r="H17" s="921"/>
      <c r="I17" s="921"/>
      <c r="J17" s="921"/>
      <c r="K17" s="921"/>
      <c r="R17" s="1412" t="s">
        <v>954</v>
      </c>
    </row>
    <row r="18" spans="1:18" ht="14.45" customHeight="1">
      <c r="B18" s="942" t="s">
        <v>846</v>
      </c>
      <c r="C18" s="943">
        <f>SUM(C9:C17)</f>
        <v>1001580.8705</v>
      </c>
      <c r="D18" s="943">
        <f t="shared" ref="D18:E18" si="0">SUM(D9:D17)</f>
        <v>1143024.3533999999</v>
      </c>
      <c r="E18" s="943">
        <f t="shared" si="0"/>
        <v>0</v>
      </c>
      <c r="F18" s="921"/>
      <c r="G18" s="921"/>
      <c r="H18" s="921"/>
      <c r="I18" s="921"/>
      <c r="J18" s="921"/>
      <c r="K18" s="921"/>
      <c r="R18" s="953">
        <f>DATE(YEAR(R20),MONTH(R20)-1,1)</f>
        <v>44562</v>
      </c>
    </row>
    <row r="19" spans="1:18" ht="14.45" hidden="1" customHeight="1">
      <c r="B19" s="921"/>
      <c r="C19" s="923"/>
      <c r="D19" s="923"/>
      <c r="E19" s="923"/>
      <c r="F19" s="921"/>
      <c r="G19" s="921"/>
      <c r="R19" s="1412" t="s">
        <v>954</v>
      </c>
    </row>
    <row r="20" spans="1:18" ht="14.45" customHeight="1">
      <c r="B20" s="921"/>
      <c r="C20" s="923"/>
      <c r="D20" s="923"/>
      <c r="E20" s="923"/>
      <c r="F20" s="921"/>
      <c r="G20" s="921"/>
      <c r="R20" s="953">
        <f>DATE(YEAR(R22),MONTH(R22)-1,1)</f>
        <v>44593</v>
      </c>
    </row>
    <row r="21" spans="1:18" s="931" customFormat="1" ht="14.45" customHeight="1">
      <c r="A21" s="1713"/>
      <c r="B21" s="1714"/>
      <c r="C21" s="1715"/>
      <c r="D21" s="1715"/>
      <c r="E21" s="1715"/>
      <c r="F21" s="1714"/>
      <c r="G21" s="1714"/>
      <c r="H21" s="1716"/>
      <c r="I21" s="1716"/>
      <c r="R21" s="1412" t="s">
        <v>954</v>
      </c>
    </row>
    <row r="22" spans="1:18" ht="14.45" customHeight="1">
      <c r="A22" s="1717"/>
      <c r="B22" s="1718" t="s">
        <v>1411</v>
      </c>
      <c r="C22" s="1719"/>
      <c r="D22" s="1719"/>
      <c r="E22" s="1719"/>
      <c r="F22" s="1720"/>
      <c r="G22" s="1720"/>
      <c r="H22" s="1717"/>
      <c r="I22" s="1717"/>
      <c r="R22" s="953">
        <f>DATE(YEAR(R24),MONTH(R24)-1,1)</f>
        <v>44621</v>
      </c>
    </row>
    <row r="23" spans="1:18" ht="42" customHeight="1">
      <c r="A23" s="1717"/>
      <c r="B23" s="1721" t="s">
        <v>855</v>
      </c>
      <c r="C23" s="1721" t="s">
        <v>1412</v>
      </c>
      <c r="D23" s="1721" t="s">
        <v>1413</v>
      </c>
      <c r="E23" s="1721" t="s">
        <v>1414</v>
      </c>
      <c r="F23" s="1721" t="s">
        <v>1415</v>
      </c>
      <c r="G23" s="1721" t="s">
        <v>1416</v>
      </c>
      <c r="H23" s="1717"/>
      <c r="I23" s="1717"/>
      <c r="R23" s="1412" t="s">
        <v>954</v>
      </c>
    </row>
    <row r="24" spans="1:18" ht="14.45" customHeight="1">
      <c r="A24" s="1717"/>
      <c r="B24" s="1722" t="s">
        <v>1400</v>
      </c>
      <c r="C24" s="1723">
        <f>BD!AM7</f>
        <v>0</v>
      </c>
      <c r="D24" s="1724"/>
      <c r="E24" s="1725">
        <f t="shared" ref="E24:E32" si="1">D24-C24</f>
        <v>0</v>
      </c>
      <c r="F24" s="1726"/>
      <c r="G24" s="1726"/>
      <c r="H24" s="1727"/>
      <c r="I24" s="1728"/>
      <c r="J24" s="944"/>
      <c r="K24" s="955"/>
      <c r="R24" s="953">
        <f>DATE(YEAR(R26),MONTH(R26)-1,1)</f>
        <v>44652</v>
      </c>
    </row>
    <row r="25" spans="1:18" ht="14.45" customHeight="1">
      <c r="A25" s="1717"/>
      <c r="B25" s="1729" t="s">
        <v>41</v>
      </c>
      <c r="C25" s="1730">
        <f>BD!AM8</f>
        <v>0</v>
      </c>
      <c r="D25" s="1731"/>
      <c r="E25" s="1732">
        <f t="shared" si="1"/>
        <v>0</v>
      </c>
      <c r="F25" s="1728">
        <f ca="1">M66</f>
        <v>0</v>
      </c>
      <c r="G25" s="1733" t="e">
        <f ca="1">(D25+D39)/$D$33*Indexador!$X$80-M67</f>
        <v>#DIV/0!</v>
      </c>
      <c r="H25" s="1727"/>
      <c r="I25" s="1728"/>
      <c r="J25" s="944"/>
      <c r="K25" s="936"/>
      <c r="R25" s="1412" t="s">
        <v>954</v>
      </c>
    </row>
    <row r="26" spans="1:18" ht="14.45" customHeight="1">
      <c r="A26" s="1717"/>
      <c r="B26" s="1729" t="s">
        <v>1403</v>
      </c>
      <c r="C26" s="1730">
        <f>BD!AM14</f>
        <v>0</v>
      </c>
      <c r="D26" s="1731"/>
      <c r="E26" s="1732">
        <f t="shared" si="1"/>
        <v>0</v>
      </c>
      <c r="F26" s="1728">
        <f ca="1">X66</f>
        <v>0</v>
      </c>
      <c r="G26" s="1733" t="e">
        <f ca="1">(D26+D40)/$D$33*Indexador!$X$80-X67</f>
        <v>#DIV/0!</v>
      </c>
      <c r="H26" s="1727"/>
      <c r="I26" s="1728"/>
      <c r="J26" s="944"/>
      <c r="K26" s="936"/>
      <c r="R26" s="953">
        <f>DATE(YEAR(R28),MONTH(R28)-1,1)</f>
        <v>44682</v>
      </c>
    </row>
    <row r="27" spans="1:18" ht="14.45" customHeight="1">
      <c r="A27" s="1717"/>
      <c r="B27" s="1729" t="s">
        <v>705</v>
      </c>
      <c r="C27" s="1730">
        <f>BD!AM6</f>
        <v>0</v>
      </c>
      <c r="D27" s="1731"/>
      <c r="E27" s="1734">
        <f t="shared" si="1"/>
        <v>0</v>
      </c>
      <c r="F27" s="1735">
        <f ca="1">L66</f>
        <v>0</v>
      </c>
      <c r="G27" s="1736" t="e">
        <f ca="1">D27/$D$33*Indexador!$X$80-L67</f>
        <v>#DIV/0!</v>
      </c>
      <c r="H27" s="1727"/>
      <c r="I27" s="1735"/>
      <c r="J27" s="945"/>
      <c r="K27" s="936"/>
      <c r="R27" s="1412" t="s">
        <v>954</v>
      </c>
    </row>
    <row r="28" spans="1:18" ht="14.45" customHeight="1">
      <c r="A28" s="1717"/>
      <c r="B28" s="1729" t="s">
        <v>1406</v>
      </c>
      <c r="C28" s="1730">
        <f>BD!AM13</f>
        <v>0</v>
      </c>
      <c r="D28" s="1731"/>
      <c r="E28" s="1734">
        <f t="shared" si="1"/>
        <v>0</v>
      </c>
      <c r="F28" s="1735">
        <f ca="1">K66</f>
        <v>0</v>
      </c>
      <c r="G28" s="1736" t="e">
        <f ca="1">(IF(C42=0,D28,C42)+D42)/$D$33*Indexador!$X$80-K67</f>
        <v>#DIV/0!</v>
      </c>
      <c r="H28" s="1727"/>
      <c r="I28" s="1735"/>
      <c r="J28" s="945"/>
      <c r="K28" s="936"/>
      <c r="R28" s="953">
        <f>B65</f>
        <v>44713</v>
      </c>
    </row>
    <row r="29" spans="1:18" ht="14.45" customHeight="1">
      <c r="A29" s="1717"/>
      <c r="B29" s="1729" t="s">
        <v>126</v>
      </c>
      <c r="C29" s="1730">
        <f>BD!AM9</f>
        <v>0</v>
      </c>
      <c r="D29" s="1731"/>
      <c r="E29" s="1734">
        <f t="shared" si="1"/>
        <v>0</v>
      </c>
      <c r="F29" s="1735">
        <f ca="1">N66</f>
        <v>0</v>
      </c>
      <c r="G29" s="1736" t="e">
        <f ca="1">D29/$D$33*Indexador!$X$80-N67</f>
        <v>#DIV/0!</v>
      </c>
      <c r="H29" s="1727"/>
      <c r="I29" s="1735"/>
      <c r="J29" s="945"/>
      <c r="K29" s="936"/>
    </row>
    <row r="30" spans="1:18" ht="14.45" customHeight="1">
      <c r="A30" s="1717"/>
      <c r="B30" s="1729" t="s">
        <v>1409</v>
      </c>
      <c r="C30" s="1730">
        <f>BD!AM12</f>
        <v>0</v>
      </c>
      <c r="D30" s="1731"/>
      <c r="E30" s="1734">
        <f t="shared" si="1"/>
        <v>0</v>
      </c>
      <c r="F30" s="1735">
        <f ca="1">O66</f>
        <v>0</v>
      </c>
      <c r="G30" s="1736" t="e">
        <f ca="1">D30/$D$33*Indexador!$X$80-O67</f>
        <v>#DIV/0!</v>
      </c>
      <c r="H30" s="1720"/>
      <c r="I30" s="1735"/>
      <c r="J30" s="945"/>
      <c r="K30" s="936"/>
    </row>
    <row r="31" spans="1:18" ht="14.45" customHeight="1">
      <c r="A31" s="1717"/>
      <c r="B31" s="1729" t="s">
        <v>122</v>
      </c>
      <c r="C31" s="1730">
        <f>BD!AM11</f>
        <v>0</v>
      </c>
      <c r="D31" s="1731"/>
      <c r="E31" s="1734">
        <f t="shared" si="1"/>
        <v>0</v>
      </c>
      <c r="F31" s="1735">
        <f ca="1">Q66</f>
        <v>0</v>
      </c>
      <c r="G31" s="1736" t="e">
        <f ca="1">D31/$D$33*Indexador!$X$80-Q67</f>
        <v>#DIV/0!</v>
      </c>
      <c r="H31" s="1717"/>
      <c r="I31" s="1735"/>
      <c r="J31" s="945"/>
      <c r="K31" s="921"/>
    </row>
    <row r="32" spans="1:18" ht="14.45" customHeight="1">
      <c r="A32" s="1717"/>
      <c r="B32" s="1737" t="s">
        <v>46</v>
      </c>
      <c r="C32" s="1738">
        <f>BD!AM10</f>
        <v>0</v>
      </c>
      <c r="D32" s="1731"/>
      <c r="E32" s="1739">
        <f t="shared" si="1"/>
        <v>0</v>
      </c>
      <c r="F32" s="1740">
        <f ca="1">P66</f>
        <v>0</v>
      </c>
      <c r="G32" s="1741" t="e">
        <f ca="1">IF(C46=0,D32,C46)/$D$33*Indexador!$X$80-P67</f>
        <v>#DIV/0!</v>
      </c>
      <c r="H32" s="1717"/>
      <c r="I32" s="1735"/>
      <c r="J32" s="945"/>
      <c r="K32" s="921"/>
    </row>
    <row r="33" spans="1:11" ht="14.45" customHeight="1">
      <c r="A33" s="1717"/>
      <c r="B33" s="1742" t="s">
        <v>846</v>
      </c>
      <c r="C33" s="1743">
        <f>SUM(C24:C32)</f>
        <v>0</v>
      </c>
      <c r="D33" s="1744">
        <f>SUM(D24:D32)</f>
        <v>0</v>
      </c>
      <c r="E33" s="1743">
        <f>SUM(E24:E32)</f>
        <v>0</v>
      </c>
      <c r="F33" s="1745">
        <f ca="1">SUM(F24:F32)</f>
        <v>0</v>
      </c>
      <c r="G33" s="1745" t="e">
        <f ca="1">SUM(G24:G32)</f>
        <v>#DIV/0!</v>
      </c>
      <c r="H33" s="1717"/>
      <c r="I33" s="1746"/>
      <c r="J33" s="954"/>
      <c r="K33" s="921"/>
    </row>
    <row r="34" spans="1:11" ht="14.45" customHeight="1">
      <c r="A34" s="1717"/>
      <c r="B34" s="1720"/>
      <c r="C34" s="1747"/>
      <c r="D34" s="1719"/>
      <c r="E34" s="1719"/>
      <c r="F34" s="1720"/>
      <c r="G34" s="1720"/>
      <c r="H34" s="1717"/>
      <c r="I34" s="1717"/>
      <c r="K34" s="921"/>
    </row>
    <row r="35" spans="1:11" ht="14.45" customHeight="1">
      <c r="A35" s="1717"/>
      <c r="B35" s="1720"/>
      <c r="C35" s="1719"/>
      <c r="D35" s="1719"/>
      <c r="E35" s="1719"/>
      <c r="F35" s="1748"/>
      <c r="G35" s="1720"/>
      <c r="H35" s="1717"/>
      <c r="I35" s="1717"/>
      <c r="K35" s="921"/>
    </row>
    <row r="36" spans="1:11" ht="14.45" customHeight="1">
      <c r="A36" s="1717"/>
      <c r="B36" s="1718" t="s">
        <v>1417</v>
      </c>
      <c r="C36" s="1747"/>
      <c r="D36" s="1719"/>
      <c r="E36" s="1719"/>
      <c r="F36" s="1720"/>
      <c r="G36" s="1749"/>
      <c r="H36" s="1717"/>
      <c r="I36" s="1717"/>
      <c r="K36" s="921"/>
    </row>
    <row r="37" spans="1:11" ht="43.5" customHeight="1">
      <c r="A37" s="1717"/>
      <c r="B37" s="1750" t="s">
        <v>855</v>
      </c>
      <c r="C37" s="1750" t="s">
        <v>1418</v>
      </c>
      <c r="D37" s="1750" t="s">
        <v>1419</v>
      </c>
      <c r="E37" s="1751"/>
      <c r="F37" s="1748"/>
      <c r="G37" s="1720"/>
      <c r="H37" s="1720"/>
      <c r="I37" s="1720"/>
      <c r="J37" s="921"/>
      <c r="K37" s="921"/>
    </row>
    <row r="38" spans="1:11" ht="14.45" customHeight="1">
      <c r="A38" s="1717"/>
      <c r="B38" s="1752" t="s">
        <v>1400</v>
      </c>
      <c r="C38" s="1753"/>
      <c r="D38" s="1754"/>
      <c r="E38" s="1751"/>
      <c r="F38" s="1748"/>
      <c r="G38" s="1720"/>
      <c r="H38" s="1720"/>
      <c r="I38" s="1720"/>
      <c r="J38" s="921"/>
      <c r="K38" s="921"/>
    </row>
    <row r="39" spans="1:11" ht="14.45" customHeight="1">
      <c r="A39" s="1717"/>
      <c r="B39" s="1755" t="s">
        <v>41</v>
      </c>
      <c r="C39" s="1719"/>
      <c r="D39" s="1756">
        <v>0</v>
      </c>
      <c r="E39" s="1751"/>
      <c r="F39" s="1748"/>
      <c r="G39" s="1748"/>
      <c r="H39" s="1720"/>
      <c r="I39" s="1720"/>
      <c r="J39" s="921"/>
      <c r="K39" s="921"/>
    </row>
    <row r="40" spans="1:11" ht="14.45" customHeight="1">
      <c r="A40" s="1717"/>
      <c r="B40" s="1755" t="s">
        <v>1403</v>
      </c>
      <c r="C40" s="1751"/>
      <c r="D40" s="1756">
        <v>0</v>
      </c>
      <c r="E40" s="1751"/>
      <c r="F40" s="1748"/>
      <c r="G40" s="1720"/>
      <c r="H40" s="1720"/>
      <c r="I40" s="1720"/>
      <c r="J40" s="921"/>
      <c r="K40" s="921"/>
    </row>
    <row r="41" spans="1:11" ht="14.45" customHeight="1">
      <c r="A41" s="1717"/>
      <c r="B41" s="1755" t="s">
        <v>705</v>
      </c>
      <c r="C41" s="1751"/>
      <c r="D41" s="1757"/>
      <c r="E41" s="1751"/>
      <c r="F41" s="1748"/>
      <c r="G41" s="1720"/>
      <c r="H41" s="1720"/>
      <c r="I41" s="1720"/>
      <c r="J41" s="921"/>
      <c r="K41" s="921"/>
    </row>
    <row r="42" spans="1:11" ht="14.45" customHeight="1">
      <c r="A42" s="1717"/>
      <c r="B42" s="1755" t="s">
        <v>1406</v>
      </c>
      <c r="C42" s="1758"/>
      <c r="D42" s="1756">
        <v>0</v>
      </c>
      <c r="E42" s="1751"/>
      <c r="F42" s="1748"/>
      <c r="G42" s="1720"/>
      <c r="H42" s="1720"/>
      <c r="I42" s="1720"/>
      <c r="J42" s="921"/>
      <c r="K42" s="921"/>
    </row>
    <row r="43" spans="1:11" ht="14.45" customHeight="1">
      <c r="A43" s="1717"/>
      <c r="B43" s="1755" t="s">
        <v>126</v>
      </c>
      <c r="C43" s="1759"/>
      <c r="D43" s="1754"/>
      <c r="E43" s="1751"/>
      <c r="F43" s="1748"/>
      <c r="G43" s="1720"/>
      <c r="H43" s="1720"/>
      <c r="I43" s="1720"/>
      <c r="J43" s="921"/>
      <c r="K43" s="921"/>
    </row>
    <row r="44" spans="1:11" ht="14.45" customHeight="1">
      <c r="A44" s="1717"/>
      <c r="B44" s="1755" t="s">
        <v>1409</v>
      </c>
      <c r="C44" s="1759"/>
      <c r="D44" s="1754"/>
      <c r="E44" s="1751"/>
      <c r="F44" s="1748"/>
      <c r="G44" s="1720"/>
      <c r="H44" s="1720"/>
      <c r="I44" s="1720"/>
      <c r="J44" s="921"/>
      <c r="K44" s="921"/>
    </row>
    <row r="45" spans="1:11" ht="14.45" customHeight="1">
      <c r="A45" s="1717"/>
      <c r="B45" s="1755" t="s">
        <v>122</v>
      </c>
      <c r="C45" s="1759"/>
      <c r="D45" s="1754"/>
      <c r="E45" s="1751"/>
      <c r="F45" s="1748"/>
      <c r="G45" s="1720"/>
      <c r="H45" s="1720"/>
      <c r="I45" s="1720"/>
      <c r="J45" s="921"/>
      <c r="K45" s="921"/>
    </row>
    <row r="46" spans="1:11" ht="14.45" customHeight="1">
      <c r="A46" s="1717"/>
      <c r="B46" s="1737" t="s">
        <v>46</v>
      </c>
      <c r="C46" s="1760"/>
      <c r="D46" s="1761"/>
      <c r="E46" s="1751"/>
      <c r="F46" s="1748"/>
      <c r="G46" s="1720"/>
      <c r="H46" s="1720"/>
      <c r="I46" s="1720"/>
      <c r="J46" s="921"/>
      <c r="K46" s="921"/>
    </row>
    <row r="47" spans="1:11" ht="14.45" customHeight="1">
      <c r="A47" s="1717"/>
      <c r="B47" s="1748"/>
      <c r="C47" s="1751"/>
      <c r="D47" s="1751"/>
      <c r="E47" s="1751"/>
      <c r="F47" s="1748"/>
      <c r="G47" s="1720"/>
      <c r="H47" s="1720"/>
      <c r="I47" s="1720"/>
      <c r="J47" s="921"/>
      <c r="K47" s="921"/>
    </row>
    <row r="48" spans="1:11" ht="14.45" customHeight="1">
      <c r="B48" s="65"/>
      <c r="C48" s="946"/>
      <c r="D48" s="946"/>
      <c r="E48" s="946"/>
      <c r="F48" s="65"/>
    </row>
    <row r="49" spans="2:28" ht="14.45" customHeight="1">
      <c r="B49" s="65"/>
      <c r="C49" s="946"/>
      <c r="D49" s="946"/>
      <c r="E49" s="946"/>
      <c r="F49" s="65"/>
    </row>
    <row r="50" spans="2:28" ht="14.45" customHeight="1"/>
    <row r="52" spans="2:28" ht="15" customHeight="1">
      <c r="B52" s="905" t="s">
        <v>1004</v>
      </c>
      <c r="C52" s="905"/>
      <c r="D52" s="905"/>
      <c r="E52" s="905"/>
      <c r="F52" s="905"/>
      <c r="G52" s="905"/>
      <c r="H52" s="905"/>
      <c r="I52" s="905"/>
      <c r="J52" s="905"/>
      <c r="K52" s="947"/>
      <c r="L52" s="947"/>
      <c r="M52" s="947"/>
      <c r="N52" s="947"/>
      <c r="O52" s="947"/>
      <c r="P52" s="947"/>
      <c r="Q52" s="947"/>
      <c r="R52" s="947"/>
      <c r="S52" s="947"/>
      <c r="T52" s="947"/>
      <c r="U52" s="947"/>
      <c r="V52" s="947"/>
      <c r="W52" s="947"/>
      <c r="X52" s="947"/>
      <c r="Y52" s="947"/>
      <c r="Z52" s="947"/>
      <c r="AA52" s="947"/>
      <c r="AB52" s="947"/>
    </row>
    <row r="53" spans="2:28" ht="15" customHeight="1">
      <c r="B53" s="1421" t="s">
        <v>1005</v>
      </c>
      <c r="C53" s="1421"/>
      <c r="D53" s="948" t="s">
        <v>968</v>
      </c>
      <c r="E53" s="948" t="s">
        <v>49</v>
      </c>
      <c r="F53" s="948" t="s">
        <v>971</v>
      </c>
      <c r="G53" s="948" t="s">
        <v>47</v>
      </c>
      <c r="H53" s="948" t="s">
        <v>41</v>
      </c>
      <c r="I53" s="948" t="s">
        <v>40</v>
      </c>
      <c r="J53" s="948" t="s">
        <v>126</v>
      </c>
      <c r="K53" s="948" t="s">
        <v>1063</v>
      </c>
      <c r="L53" s="948" t="s">
        <v>1064</v>
      </c>
      <c r="M53" s="948" t="s">
        <v>1057</v>
      </c>
      <c r="N53" s="948" t="s">
        <v>1061</v>
      </c>
      <c r="O53" s="948" t="s">
        <v>1059</v>
      </c>
      <c r="P53" s="948" t="s">
        <v>1060</v>
      </c>
      <c r="Q53" s="948" t="s">
        <v>1058</v>
      </c>
      <c r="R53" s="1422" t="s">
        <v>1420</v>
      </c>
      <c r="S53" s="948" t="s">
        <v>1077</v>
      </c>
      <c r="T53" s="948" t="s">
        <v>1078</v>
      </c>
      <c r="U53" s="948" t="s">
        <v>1079</v>
      </c>
      <c r="V53" s="948" t="s">
        <v>1076</v>
      </c>
      <c r="W53" s="948" t="s">
        <v>1080</v>
      </c>
      <c r="X53" s="948" t="s">
        <v>1062</v>
      </c>
      <c r="Y53" s="948" t="s">
        <v>1056</v>
      </c>
      <c r="Z53" s="948" t="s">
        <v>1033</v>
      </c>
      <c r="AA53" s="948" t="s">
        <v>1421</v>
      </c>
      <c r="AB53" s="948" t="s">
        <v>1092</v>
      </c>
    </row>
    <row r="54" spans="2:28" ht="15" customHeight="1">
      <c r="B54" s="949">
        <f t="shared" ref="B54:B64" si="2">DATE(YEAR(B55),MONTH(B55)-1,1)</f>
        <v>44378</v>
      </c>
      <c r="C54" s="950"/>
      <c r="D54" s="1423" cm="1">
        <f t="array" aca="1" ref="D54" ca="1">DSUM(MercadoBase1,D$53,INDIRECT("r"&amp;5+2*(ROW()-54)&amp;":r"&amp;6+2*(ROW()-54)))</f>
        <v>0</v>
      </c>
      <c r="E54" s="1423" cm="1">
        <f t="array" aca="1" ref="E54" ca="1">DSUM(MercadoBase1,E$53,INDIRECT("r"&amp;5+2*(ROW()-54)&amp;":r"&amp;6+2*(ROW()-54)))</f>
        <v>0</v>
      </c>
      <c r="F54" s="1423" cm="1">
        <f t="array" aca="1" ref="F54" ca="1">DSUM(MercadoBase1,F$53,INDIRECT("r"&amp;5+2*(ROW()-54)&amp;":r"&amp;6+2*(ROW()-54)))</f>
        <v>14783.086431526148</v>
      </c>
      <c r="G54" s="1423" cm="1">
        <f t="array" aca="1" ref="G54" ca="1">DSUM(MercadoBase1,G$53,INDIRECT("r"&amp;5+2*(ROW()-54)&amp;":r"&amp;6+2*(ROW()-54)))</f>
        <v>45189.708577404766</v>
      </c>
      <c r="H54" s="1423" cm="1">
        <f t="array" aca="1" ref="H54" ca="1">DSUM(MercadoBase1,H$53,INDIRECT("r"&amp;5+2*(ROW()-54)&amp;":r"&amp;6+2*(ROW()-54)))</f>
        <v>288528.57878662122</v>
      </c>
      <c r="I54" s="1423" cm="1">
        <f t="array" aca="1" ref="I54" ca="1">DSUM(MercadoBase1,I$53,INDIRECT("r"&amp;5+2*(ROW()-54)&amp;":r"&amp;6+2*(ROW()-54)))</f>
        <v>9025.4275354509391</v>
      </c>
      <c r="J54" s="1423" cm="1">
        <f t="array" aca="1" ref="J54" ca="1">DSUM(MercadoBase1,J$53,INDIRECT("r"&amp;5+2*(ROW()-54)&amp;":r"&amp;6+2*(ROW()-54)))</f>
        <v>0</v>
      </c>
      <c r="K54" s="1423" cm="1">
        <f t="array" aca="1" ref="K54" ca="1">DSUM(MercadoBase1,K$53,INDIRECT("r"&amp;5+2*(ROW()-54)&amp;":r"&amp;6+2*(ROW()-54)))</f>
        <v>0</v>
      </c>
      <c r="L54" s="1423" cm="1">
        <f t="array" aca="1" ref="L54" ca="1">DSUM(MercadoBase1,L$53,INDIRECT("r"&amp;5+2*(ROW()-54)&amp;":r"&amp;6+2*(ROW()-54)))</f>
        <v>0</v>
      </c>
      <c r="M54" s="1423" cm="1">
        <f t="array" aca="1" ref="M54" ca="1">DSUM(MercadoBase1,M$53,INDIRECT("r"&amp;5+2*(ROW()-54)&amp;":r"&amp;6+2*(ROW()-54)))</f>
        <v>0</v>
      </c>
      <c r="N54" s="1423" cm="1">
        <f t="array" aca="1" ref="N54" ca="1">DSUM(MercadoBase1,N$53,INDIRECT("r"&amp;5+2*(ROW()-54)&amp;":r"&amp;6+2*(ROW()-54)))</f>
        <v>0</v>
      </c>
      <c r="O54" s="1423" cm="1">
        <f t="array" aca="1" ref="O54" ca="1">DSUM(MercadoBase1,O$53,INDIRECT("r"&amp;5+2*(ROW()-54)&amp;":r"&amp;6+2*(ROW()-54)))</f>
        <v>0</v>
      </c>
      <c r="P54" s="1423" cm="1">
        <f t="array" aca="1" ref="P54" ca="1">DSUM(MercadoBase1,P$53,INDIRECT("r"&amp;5+2*(ROW()-54)&amp;":r"&amp;6+2*(ROW()-54)))</f>
        <v>0</v>
      </c>
      <c r="Q54" s="1424" cm="1">
        <f t="array" aca="1" ref="Q54" ca="1">DSUM(MercadoBase1,Q$53,INDIRECT("r"&amp;5+2*(ROW()-54)&amp;":r"&amp;6+2*(ROW()-54)))</f>
        <v>0</v>
      </c>
      <c r="R54" s="1425">
        <f>VLOOKUP(CAPA!$C$17,Índices!B:F,5,FALSE)/VLOOKUP(DATE(YEAR(B54),MONTH(B54),1),Índices!B:F,5,FALSE)</f>
        <v>1.0830593980554473</v>
      </c>
      <c r="S54" s="1426" cm="1">
        <f t="array" aca="1" ref="S54" ca="1">DSUM(MercadoBase1,S$53,INDIRECT("r"&amp;5+2*(ROW()-54)&amp;":r"&amp;6+2*(ROW()-54)))</f>
        <v>0</v>
      </c>
      <c r="T54" s="1423" cm="1">
        <f t="array" aca="1" ref="T54" ca="1">DSUM(MercadoBase1,T$53,INDIRECT("r"&amp;5+2*(ROW()-54)&amp;":r"&amp;6+2*(ROW()-54)))</f>
        <v>0</v>
      </c>
      <c r="U54" s="1423" cm="1">
        <f t="array" aca="1" ref="U54" ca="1">DSUM(MercadoBase1,U$53,INDIRECT("r"&amp;5+2*(ROW()-54)&amp;":r"&amp;6+2*(ROW()-54)))</f>
        <v>0</v>
      </c>
      <c r="V54" s="1423" cm="1">
        <f t="array" aca="1" ref="V54" ca="1">DSUM(MercadoBase1,V$53,INDIRECT("r"&amp;5+2*(ROW()-54)&amp;":r"&amp;6+2*(ROW()-54)))</f>
        <v>0</v>
      </c>
      <c r="W54" s="1423" cm="1">
        <f t="array" aca="1" ref="W54" ca="1">DSUM(MercadoBase1,W$53,INDIRECT("r"&amp;5+2*(ROW()-54)&amp;":r"&amp;6+2*(ROW()-54)))</f>
        <v>0</v>
      </c>
      <c r="X54" s="1423" cm="1">
        <f t="array" aca="1" ref="X54" ca="1">DSUM(MercadoBase1,X$53,INDIRECT("r"&amp;5+2*(ROW()-54)&amp;":r"&amp;6+2*(ROW()-54)))</f>
        <v>0</v>
      </c>
      <c r="Y54" s="1423" cm="1">
        <f t="array" aca="1" ref="Y54" ca="1">DSUM(MercadoBase1,Y$53,INDIRECT("r"&amp;5+2*(ROW()-54)&amp;":r"&amp;6+2*(ROW()-54)))</f>
        <v>0</v>
      </c>
      <c r="Z54" s="1423" cm="1">
        <f t="array" aca="1" ref="Z54" ca="1">DSUM(MercadoBase1,Z$53,INDIRECT("r"&amp;5+2*(ROW()-54)&amp;":r"&amp;6+2*(ROW()-54)))</f>
        <v>2036060.9232369256</v>
      </c>
      <c r="AA54" s="1423" cm="1">
        <f t="array" aca="1" ref="AA54" ca="1">DSUM(MercadoBase1,AA$53,INDIRECT("r"&amp;5+2*(ROW()-54)&amp;":r"&amp;6+2*(ROW()-54)))</f>
        <v>0</v>
      </c>
      <c r="AB54" s="1423" cm="1">
        <f t="array" aca="1" ref="AB54" ca="1">DSUM(MercadoBase1,AB$53,INDIRECT("r"&amp;5+2*(ROW()-54)&amp;":r"&amp;6+2*(ROW()-54)))</f>
        <v>0</v>
      </c>
    </row>
    <row r="55" spans="2:28" ht="15" customHeight="1">
      <c r="B55" s="949">
        <f t="shared" si="2"/>
        <v>44409</v>
      </c>
      <c r="C55" s="950"/>
      <c r="D55" s="951" cm="1">
        <f t="array" aca="1" ref="D55" ca="1">DSUM(MercadoBase1,D$53,INDIRECT("r"&amp;5+2*(ROW()-54)&amp;":r"&amp;6+2*(ROW()-54)))</f>
        <v>0</v>
      </c>
      <c r="E55" s="951" cm="1">
        <f t="array" aca="1" ref="E55" ca="1">DSUM(MercadoBase1,E$53,INDIRECT("r"&amp;5+2*(ROW()-54)&amp;":r"&amp;6+2*(ROW()-54)))</f>
        <v>0</v>
      </c>
      <c r="F55" s="951" cm="1">
        <f t="array" aca="1" ref="F55" ca="1">DSUM(MercadoBase1,F$53,INDIRECT("r"&amp;5+2*(ROW()-54)&amp;":r"&amp;6+2*(ROW()-54)))</f>
        <v>16516.148160378245</v>
      </c>
      <c r="G55" s="951" cm="1">
        <f t="array" aca="1" ref="G55" ca="1">DSUM(MercadoBase1,G$53,INDIRECT("r"&amp;5+2*(ROW()-54)&amp;":r"&amp;6+2*(ROW()-54)))</f>
        <v>50677.118552516098</v>
      </c>
      <c r="H55" s="951" cm="1">
        <f t="array" aca="1" ref="H55" ca="1">DSUM(MercadoBase1,H$53,INDIRECT("r"&amp;5+2*(ROW()-54)&amp;":r"&amp;6+2*(ROW()-54)))</f>
        <v>323253.25590085186</v>
      </c>
      <c r="I55" s="951" cm="1">
        <f t="array" aca="1" ref="I55" ca="1">DSUM(MercadoBase1,I$53,INDIRECT("r"&amp;5+2*(ROW()-54)&amp;":r"&amp;6+2*(ROW()-54)))</f>
        <v>10098.395423041902</v>
      </c>
      <c r="J55" s="951" cm="1">
        <f t="array" aca="1" ref="J55" ca="1">DSUM(MercadoBase1,J$53,INDIRECT("r"&amp;5+2*(ROW()-54)&amp;":r"&amp;6+2*(ROW()-54)))</f>
        <v>0</v>
      </c>
      <c r="K55" s="951" cm="1">
        <f t="array" aca="1" ref="K55" ca="1">DSUM(MercadoBase1,K$53,INDIRECT("r"&amp;5+2*(ROW()-54)&amp;":r"&amp;6+2*(ROW()-54)))</f>
        <v>0</v>
      </c>
      <c r="L55" s="951" cm="1">
        <f t="array" aca="1" ref="L55" ca="1">DSUM(MercadoBase1,L$53,INDIRECT("r"&amp;5+2*(ROW()-54)&amp;":r"&amp;6+2*(ROW()-54)))</f>
        <v>0</v>
      </c>
      <c r="M55" s="951" cm="1">
        <f t="array" aca="1" ref="M55" ca="1">DSUM(MercadoBase1,M$53,INDIRECT("r"&amp;5+2*(ROW()-54)&amp;":r"&amp;6+2*(ROW()-54)))</f>
        <v>0</v>
      </c>
      <c r="N55" s="951" cm="1">
        <f t="array" aca="1" ref="N55" ca="1">DSUM(MercadoBase1,N$53,INDIRECT("r"&amp;5+2*(ROW()-54)&amp;":r"&amp;6+2*(ROW()-54)))</f>
        <v>0</v>
      </c>
      <c r="O55" s="951" cm="1">
        <f t="array" aca="1" ref="O55" ca="1">DSUM(MercadoBase1,O$53,INDIRECT("r"&amp;5+2*(ROW()-54)&amp;":r"&amp;6+2*(ROW()-54)))</f>
        <v>0</v>
      </c>
      <c r="P55" s="951" cm="1">
        <f t="array" aca="1" ref="P55" ca="1">DSUM(MercadoBase1,P$53,INDIRECT("r"&amp;5+2*(ROW()-54)&amp;":r"&amp;6+2*(ROW()-54)))</f>
        <v>0</v>
      </c>
      <c r="Q55" s="956" cm="1">
        <f t="array" aca="1" ref="Q55" ca="1">DSUM(MercadoBase1,Q$53,INDIRECT("r"&amp;5+2*(ROW()-54)&amp;":r"&amp;6+2*(ROW()-54)))</f>
        <v>0</v>
      </c>
      <c r="R55" s="952">
        <f>VLOOKUP(CAPA!$C$17,Índices!B:F,5,FALSE)/VLOOKUP(DATE(YEAR(B55),MONTH(B55),1),Índices!B:F,5,FALSE)</f>
        <v>1.0784441695152505</v>
      </c>
      <c r="S55" s="958" cm="1">
        <f t="array" aca="1" ref="S55" ca="1">DSUM(MercadoBase1,S$53,INDIRECT("r"&amp;5+2*(ROW()-54)&amp;":r"&amp;6+2*(ROW()-54)))</f>
        <v>0</v>
      </c>
      <c r="T55" s="951" cm="1">
        <f t="array" aca="1" ref="T55" ca="1">DSUM(MercadoBase1,T$53,INDIRECT("r"&amp;5+2*(ROW()-54)&amp;":r"&amp;6+2*(ROW()-54)))</f>
        <v>0</v>
      </c>
      <c r="U55" s="951" cm="1">
        <f t="array" aca="1" ref="U55" ca="1">DSUM(MercadoBase1,U$53,INDIRECT("r"&amp;5+2*(ROW()-54)&amp;":r"&amp;6+2*(ROW()-54)))</f>
        <v>0</v>
      </c>
      <c r="V55" s="951" cm="1">
        <f t="array" aca="1" ref="V55" ca="1">DSUM(MercadoBase1,V$53,INDIRECT("r"&amp;5+2*(ROW()-54)&amp;":r"&amp;6+2*(ROW()-54)))</f>
        <v>0</v>
      </c>
      <c r="W55" s="951" cm="1">
        <f t="array" aca="1" ref="W55" ca="1">DSUM(MercadoBase1,W$53,INDIRECT("r"&amp;5+2*(ROW()-54)&amp;":r"&amp;6+2*(ROW()-54)))</f>
        <v>0</v>
      </c>
      <c r="X55" s="951" cm="1">
        <f t="array" aca="1" ref="X55" ca="1">DSUM(MercadoBase1,X$53,INDIRECT("r"&amp;5+2*(ROW()-54)&amp;":r"&amp;6+2*(ROW()-54)))</f>
        <v>0</v>
      </c>
      <c r="Y55" s="951" cm="1">
        <f t="array" aca="1" ref="Y55" ca="1">DSUM(MercadoBase1,Y$53,INDIRECT("r"&amp;5+2*(ROW()-54)&amp;":r"&amp;6+2*(ROW()-54)))</f>
        <v>0</v>
      </c>
      <c r="Z55" s="951" cm="1">
        <f t="array" aca="1" ref="Z55" ca="1">DSUM(MercadoBase1,Z$53,INDIRECT("r"&amp;5+2*(ROW()-54)&amp;":r"&amp;6+2*(ROW()-54)))</f>
        <v>2297739.3561228579</v>
      </c>
      <c r="AA55" s="951" cm="1">
        <f t="array" aca="1" ref="AA55" ca="1">DSUM(MercadoBase1,AA$53,INDIRECT("r"&amp;5+2*(ROW()-54)&amp;":r"&amp;6+2*(ROW()-54)))</f>
        <v>0</v>
      </c>
      <c r="AB55" s="951" cm="1">
        <f t="array" aca="1" ref="AB55" ca="1">DSUM(MercadoBase1,AB$53,INDIRECT("r"&amp;5+2*(ROW()-54)&amp;":r"&amp;6+2*(ROW()-54)))</f>
        <v>0</v>
      </c>
    </row>
    <row r="56" spans="2:28" ht="15" customHeight="1">
      <c r="B56" s="949">
        <f t="shared" si="2"/>
        <v>44440</v>
      </c>
      <c r="C56" s="950"/>
      <c r="D56" s="951" cm="1">
        <f t="array" aca="1" ref="D56" ca="1">DSUM(MercadoBase1,D$53,INDIRECT("r"&amp;5+2*(ROW()-54)&amp;":r"&amp;6+2*(ROW()-54)))</f>
        <v>0</v>
      </c>
      <c r="E56" s="951" cm="1">
        <f t="array" aca="1" ref="E56" ca="1">DSUM(MercadoBase1,E$53,INDIRECT("r"&amp;5+2*(ROW()-54)&amp;":r"&amp;6+2*(ROW()-54)))</f>
        <v>0</v>
      </c>
      <c r="F56" s="951" cm="1">
        <f t="array" aca="1" ref="F56" ca="1">DSUM(MercadoBase1,F$53,INDIRECT("r"&amp;5+2*(ROW()-54)&amp;":r"&amp;6+2*(ROW()-54)))</f>
        <v>17275.071908656853</v>
      </c>
      <c r="G56" s="951" cm="1">
        <f t="array" aca="1" ref="G56" ca="1">DSUM(MercadoBase1,G$53,INDIRECT("r"&amp;5+2*(ROW()-54)&amp;":r"&amp;6+2*(ROW()-54)))</f>
        <v>53091.205570989223</v>
      </c>
      <c r="H56" s="951" cm="1">
        <f t="array" aca="1" ref="H56" ca="1">DSUM(MercadoBase1,H$53,INDIRECT("r"&amp;5+2*(ROW()-54)&amp;":r"&amp;6+2*(ROW()-54)))</f>
        <v>338985.39251265925</v>
      </c>
      <c r="I56" s="951" cm="1">
        <f t="array" aca="1" ref="I56" ca="1">DSUM(MercadoBase1,I$53,INDIRECT("r"&amp;5+2*(ROW()-54)&amp;":r"&amp;6+2*(ROW()-54)))</f>
        <v>10604.853388623293</v>
      </c>
      <c r="J56" s="951" cm="1">
        <f t="array" aca="1" ref="J56" ca="1">DSUM(MercadoBase1,J$53,INDIRECT("r"&amp;5+2*(ROW()-54)&amp;":r"&amp;6+2*(ROW()-54)))</f>
        <v>0</v>
      </c>
      <c r="K56" s="951" cm="1">
        <f t="array" aca="1" ref="K56" ca="1">DSUM(MercadoBase1,K$53,INDIRECT("r"&amp;5+2*(ROW()-54)&amp;":r"&amp;6+2*(ROW()-54)))</f>
        <v>0</v>
      </c>
      <c r="L56" s="951" cm="1">
        <f t="array" aca="1" ref="L56" ca="1">DSUM(MercadoBase1,L$53,INDIRECT("r"&amp;5+2*(ROW()-54)&amp;":r"&amp;6+2*(ROW()-54)))</f>
        <v>0</v>
      </c>
      <c r="M56" s="951" cm="1">
        <f t="array" aca="1" ref="M56" ca="1">DSUM(MercadoBase1,M$53,INDIRECT("r"&amp;5+2*(ROW()-54)&amp;":r"&amp;6+2*(ROW()-54)))</f>
        <v>0</v>
      </c>
      <c r="N56" s="951" cm="1">
        <f t="array" aca="1" ref="N56" ca="1">DSUM(MercadoBase1,N$53,INDIRECT("r"&amp;5+2*(ROW()-54)&amp;":r"&amp;6+2*(ROW()-54)))</f>
        <v>0</v>
      </c>
      <c r="O56" s="951" cm="1">
        <f t="array" aca="1" ref="O56" ca="1">DSUM(MercadoBase1,O$53,INDIRECT("r"&amp;5+2*(ROW()-54)&amp;":r"&amp;6+2*(ROW()-54)))</f>
        <v>0</v>
      </c>
      <c r="P56" s="951" cm="1">
        <f t="array" aca="1" ref="P56" ca="1">DSUM(MercadoBase1,P$53,INDIRECT("r"&amp;5+2*(ROW()-54)&amp;":r"&amp;6+2*(ROW()-54)))</f>
        <v>0</v>
      </c>
      <c r="Q56" s="956" cm="1">
        <f t="array" aca="1" ref="Q56" ca="1">DSUM(MercadoBase1,Q$53,INDIRECT("r"&amp;5+2*(ROW()-54)&amp;":r"&amp;6+2*(ROW()-54)))</f>
        <v>0</v>
      </c>
      <c r="R56" s="952">
        <f>VLOOKUP(CAPA!$C$17,Índices!B:F,5,FALSE)/VLOOKUP(DATE(YEAR(B56),MONTH(B56),1),Índices!B:F,5,FALSE)</f>
        <v>1.073698429626083</v>
      </c>
      <c r="S56" s="958" cm="1">
        <f t="array" aca="1" ref="S56" ca="1">DSUM(MercadoBase1,S$53,INDIRECT("r"&amp;5+2*(ROW()-54)&amp;":r"&amp;6+2*(ROW()-54)))</f>
        <v>0</v>
      </c>
      <c r="T56" s="951" cm="1">
        <f t="array" aca="1" ref="T56" ca="1">DSUM(MercadoBase1,T$53,INDIRECT("r"&amp;5+2*(ROW()-54)&amp;":r"&amp;6+2*(ROW()-54)))</f>
        <v>0</v>
      </c>
      <c r="U56" s="951" cm="1">
        <f t="array" aca="1" ref="U56" ca="1">DSUM(MercadoBase1,U$53,INDIRECT("r"&amp;5+2*(ROW()-54)&amp;":r"&amp;6+2*(ROW()-54)))</f>
        <v>0</v>
      </c>
      <c r="V56" s="951" cm="1">
        <f t="array" aca="1" ref="V56" ca="1">DSUM(MercadoBase1,V$53,INDIRECT("r"&amp;5+2*(ROW()-54)&amp;":r"&amp;6+2*(ROW()-54)))</f>
        <v>0</v>
      </c>
      <c r="W56" s="951" cm="1">
        <f t="array" aca="1" ref="W56" ca="1">DSUM(MercadoBase1,W$53,INDIRECT("r"&amp;5+2*(ROW()-54)&amp;":r"&amp;6+2*(ROW()-54)))</f>
        <v>0</v>
      </c>
      <c r="X56" s="951" cm="1">
        <f t="array" aca="1" ref="X56" ca="1">DSUM(MercadoBase1,X$53,INDIRECT("r"&amp;5+2*(ROW()-54)&amp;":r"&amp;6+2*(ROW()-54)))</f>
        <v>0</v>
      </c>
      <c r="Y56" s="951" cm="1">
        <f t="array" aca="1" ref="Y56" ca="1">DSUM(MercadoBase1,Y$53,INDIRECT("r"&amp;5+2*(ROW()-54)&amp;":r"&amp;6+2*(ROW()-54)))</f>
        <v>0</v>
      </c>
      <c r="Z56" s="951" cm="1">
        <f t="array" aca="1" ref="Z56" ca="1">DSUM(MercadoBase1,Z$53,INDIRECT("r"&amp;5+2*(ROW()-54)&amp;":r"&amp;6+2*(ROW()-54)))</f>
        <v>2413646.9456846793</v>
      </c>
      <c r="AA56" s="951" cm="1">
        <f t="array" aca="1" ref="AA56" ca="1">DSUM(MercadoBase1,AA$53,INDIRECT("r"&amp;5+2*(ROW()-54)&amp;":r"&amp;6+2*(ROW()-54)))</f>
        <v>0</v>
      </c>
      <c r="AB56" s="951" cm="1">
        <f t="array" aca="1" ref="AB56" ca="1">DSUM(MercadoBase1,AB$53,INDIRECT("r"&amp;5+2*(ROW()-54)&amp;":r"&amp;6+2*(ROW()-54)))</f>
        <v>0</v>
      </c>
    </row>
    <row r="57" spans="2:28" ht="15" customHeight="1">
      <c r="B57" s="949">
        <f t="shared" si="2"/>
        <v>44470</v>
      </c>
      <c r="C57" s="950"/>
      <c r="D57" s="951" cm="1">
        <f t="array" aca="1" ref="D57" ca="1">DSUM(MercadoBase1,D$53,INDIRECT("r"&amp;5+2*(ROW()-54)&amp;":r"&amp;6+2*(ROW()-54)))</f>
        <v>0</v>
      </c>
      <c r="E57" s="951" cm="1">
        <f t="array" aca="1" ref="E57" ca="1">DSUM(MercadoBase1,E$53,INDIRECT("r"&amp;5+2*(ROW()-54)&amp;":r"&amp;6+2*(ROW()-54)))</f>
        <v>0</v>
      </c>
      <c r="F57" s="951" cm="1">
        <f t="array" aca="1" ref="F57" ca="1">DSUM(MercadoBase1,F$53,INDIRECT("r"&amp;5+2*(ROW()-54)&amp;":r"&amp;6+2*(ROW()-54)))</f>
        <v>17151.308115667627</v>
      </c>
      <c r="G57" s="951" cm="1">
        <f t="array" aca="1" ref="G57" ca="1">DSUM(MercadoBase1,G$53,INDIRECT("r"&amp;5+2*(ROW()-54)&amp;":r"&amp;6+2*(ROW()-54)))</f>
        <v>52811.243723190382</v>
      </c>
      <c r="H57" s="951" cm="1">
        <f t="array" aca="1" ref="H57" ca="1">DSUM(MercadoBase1,H$53,INDIRECT("r"&amp;5+2*(ROW()-54)&amp;":r"&amp;6+2*(ROW()-54)))</f>
        <v>335869.01278247597</v>
      </c>
      <c r="I57" s="951" cm="1">
        <f t="array" aca="1" ref="I57" ca="1">DSUM(MercadoBase1,I$53,INDIRECT("r"&amp;5+2*(ROW()-54)&amp;":r"&amp;6+2*(ROW()-54)))</f>
        <v>10454.079052815569</v>
      </c>
      <c r="J57" s="951" cm="1">
        <f t="array" aca="1" ref="J57" ca="1">DSUM(MercadoBase1,J$53,INDIRECT("r"&amp;5+2*(ROW()-54)&amp;":r"&amp;6+2*(ROW()-54)))</f>
        <v>0</v>
      </c>
      <c r="K57" s="951" cm="1">
        <f t="array" aca="1" ref="K57" ca="1">DSUM(MercadoBase1,K$53,INDIRECT("r"&amp;5+2*(ROW()-54)&amp;":r"&amp;6+2*(ROW()-54)))</f>
        <v>0</v>
      </c>
      <c r="L57" s="951" cm="1">
        <f t="array" aca="1" ref="L57" ca="1">DSUM(MercadoBase1,L$53,INDIRECT("r"&amp;5+2*(ROW()-54)&amp;":r"&amp;6+2*(ROW()-54)))</f>
        <v>0</v>
      </c>
      <c r="M57" s="951" cm="1">
        <f t="array" aca="1" ref="M57" ca="1">DSUM(MercadoBase1,M$53,INDIRECT("r"&amp;5+2*(ROW()-54)&amp;":r"&amp;6+2*(ROW()-54)))</f>
        <v>0</v>
      </c>
      <c r="N57" s="951" cm="1">
        <f t="array" aca="1" ref="N57" ca="1">DSUM(MercadoBase1,N$53,INDIRECT("r"&amp;5+2*(ROW()-54)&amp;":r"&amp;6+2*(ROW()-54)))</f>
        <v>0</v>
      </c>
      <c r="O57" s="951" cm="1">
        <f t="array" aca="1" ref="O57" ca="1">DSUM(MercadoBase1,O$53,INDIRECT("r"&amp;5+2*(ROW()-54)&amp;":r"&amp;6+2*(ROW()-54)))</f>
        <v>0</v>
      </c>
      <c r="P57" s="951" cm="1">
        <f t="array" aca="1" ref="P57" ca="1">DSUM(MercadoBase1,P$53,INDIRECT("r"&amp;5+2*(ROW()-54)&amp;":r"&amp;6+2*(ROW()-54)))</f>
        <v>0</v>
      </c>
      <c r="Q57" s="956" cm="1">
        <f t="array" aca="1" ref="Q57" ca="1">DSUM(MercadoBase1,Q$53,INDIRECT("r"&amp;5+2*(ROW()-54)&amp;":r"&amp;6+2*(ROW()-54)))</f>
        <v>0</v>
      </c>
      <c r="R57" s="952">
        <f>VLOOKUP(CAPA!$C$17,Índices!B:F,5,FALSE)/VLOOKUP(DATE(YEAR(B57),MONTH(B57),1),Índices!B:F,5,FALSE)</f>
        <v>1.0685055343738492</v>
      </c>
      <c r="S57" s="958" cm="1">
        <f t="array" aca="1" ref="S57" ca="1">DSUM(MercadoBase1,S$53,INDIRECT("r"&amp;5+2*(ROW()-54)&amp;":r"&amp;6+2*(ROW()-54)))</f>
        <v>0</v>
      </c>
      <c r="T57" s="951" cm="1">
        <f t="array" aca="1" ref="T57" ca="1">DSUM(MercadoBase1,T$53,INDIRECT("r"&amp;5+2*(ROW()-54)&amp;":r"&amp;6+2*(ROW()-54)))</f>
        <v>0</v>
      </c>
      <c r="U57" s="951" cm="1">
        <f t="array" aca="1" ref="U57" ca="1">DSUM(MercadoBase1,U$53,INDIRECT("r"&amp;5+2*(ROW()-54)&amp;":r"&amp;6+2*(ROW()-54)))</f>
        <v>0</v>
      </c>
      <c r="V57" s="951" cm="1">
        <f t="array" aca="1" ref="V57" ca="1">DSUM(MercadoBase1,V$53,INDIRECT("r"&amp;5+2*(ROW()-54)&amp;":r"&amp;6+2*(ROW()-54)))</f>
        <v>0</v>
      </c>
      <c r="W57" s="951" cm="1">
        <f t="array" aca="1" ref="W57" ca="1">DSUM(MercadoBase1,W$53,INDIRECT("r"&amp;5+2*(ROW()-54)&amp;":r"&amp;6+2*(ROW()-54)))</f>
        <v>0</v>
      </c>
      <c r="X57" s="951" cm="1">
        <f t="array" aca="1" ref="X57" ca="1">DSUM(MercadoBase1,X$53,INDIRECT("r"&amp;5+2*(ROW()-54)&amp;":r"&amp;6+2*(ROW()-54)))</f>
        <v>0</v>
      </c>
      <c r="Y57" s="951" cm="1">
        <f t="array" aca="1" ref="Y57" ca="1">DSUM(MercadoBase1,Y$53,INDIRECT("r"&amp;5+2*(ROW()-54)&amp;":r"&amp;6+2*(ROW()-54)))</f>
        <v>0</v>
      </c>
      <c r="Z57" s="951" cm="1">
        <f t="array" aca="1" ref="Z57" ca="1">DSUM(MercadoBase1,Z$53,INDIRECT("r"&amp;5+2*(ROW()-54)&amp;":r"&amp;6+2*(ROW()-54)))</f>
        <v>2375275.2640013066</v>
      </c>
      <c r="AA57" s="951" cm="1">
        <f t="array" aca="1" ref="AA57" ca="1">DSUM(MercadoBase1,AA$53,INDIRECT("r"&amp;5+2*(ROW()-54)&amp;":r"&amp;6+2*(ROW()-54)))</f>
        <v>0</v>
      </c>
      <c r="AB57" s="951" cm="1">
        <f t="array" aca="1" ref="AB57" ca="1">DSUM(MercadoBase1,AB$53,INDIRECT("r"&amp;5+2*(ROW()-54)&amp;":r"&amp;6+2*(ROW()-54)))</f>
        <v>0</v>
      </c>
    </row>
    <row r="58" spans="2:28" ht="15" customHeight="1">
      <c r="B58" s="949">
        <f t="shared" si="2"/>
        <v>44501</v>
      </c>
      <c r="C58" s="950"/>
      <c r="D58" s="951" cm="1">
        <f t="array" aca="1" ref="D58" ca="1">DSUM(MercadoBase1,D$53,INDIRECT("r"&amp;5+2*(ROW()-54)&amp;":r"&amp;6+2*(ROW()-54)))</f>
        <v>0</v>
      </c>
      <c r="E58" s="951" cm="1">
        <f t="array" aca="1" ref="E58" ca="1">DSUM(MercadoBase1,E$53,INDIRECT("r"&amp;5+2*(ROW()-54)&amp;":r"&amp;6+2*(ROW()-54)))</f>
        <v>0</v>
      </c>
      <c r="F58" s="951" cm="1">
        <f t="array" aca="1" ref="F58" ca="1">DSUM(MercadoBase1,F$53,INDIRECT("r"&amp;5+2*(ROW()-54)&amp;":r"&amp;6+2*(ROW()-54)))</f>
        <v>18635.634551229596</v>
      </c>
      <c r="G58" s="951" cm="1">
        <f t="array" aca="1" ref="G58" ca="1">DSUM(MercadoBase1,G$53,INDIRECT("r"&amp;5+2*(ROW()-54)&amp;":r"&amp;6+2*(ROW()-54)))</f>
        <v>57258.270349083628</v>
      </c>
      <c r="H58" s="951" cm="1">
        <f t="array" aca="1" ref="H58" ca="1">DSUM(MercadoBase1,H$53,INDIRECT("r"&amp;5+2*(ROW()-54)&amp;":r"&amp;6+2*(ROW()-54)))</f>
        <v>362442.64198547893</v>
      </c>
      <c r="I58" s="951" cm="1">
        <f t="array" aca="1" ref="I58" ca="1">DSUM(MercadoBase1,I$53,INDIRECT("r"&amp;5+2*(ROW()-54)&amp;":r"&amp;6+2*(ROW()-54)))</f>
        <v>11219.225104355501</v>
      </c>
      <c r="J58" s="951" cm="1">
        <f t="array" aca="1" ref="J58" ca="1">DSUM(MercadoBase1,J$53,INDIRECT("r"&amp;5+2*(ROW()-54)&amp;":r"&amp;6+2*(ROW()-54)))</f>
        <v>0</v>
      </c>
      <c r="K58" s="951" cm="1">
        <f t="array" aca="1" ref="K58" ca="1">DSUM(MercadoBase1,K$53,INDIRECT("r"&amp;5+2*(ROW()-54)&amp;":r"&amp;6+2*(ROW()-54)))</f>
        <v>0</v>
      </c>
      <c r="L58" s="951" cm="1">
        <f t="array" aca="1" ref="L58" ca="1">DSUM(MercadoBase1,L$53,INDIRECT("r"&amp;5+2*(ROW()-54)&amp;":r"&amp;6+2*(ROW()-54)))</f>
        <v>0</v>
      </c>
      <c r="M58" s="951" cm="1">
        <f t="array" aca="1" ref="M58" ca="1">DSUM(MercadoBase1,M$53,INDIRECT("r"&amp;5+2*(ROW()-54)&amp;":r"&amp;6+2*(ROW()-54)))</f>
        <v>0</v>
      </c>
      <c r="N58" s="951" cm="1">
        <f t="array" aca="1" ref="N58" ca="1">DSUM(MercadoBase1,N$53,INDIRECT("r"&amp;5+2*(ROW()-54)&amp;":r"&amp;6+2*(ROW()-54)))</f>
        <v>0</v>
      </c>
      <c r="O58" s="951" cm="1">
        <f t="array" aca="1" ref="O58" ca="1">DSUM(MercadoBase1,O$53,INDIRECT("r"&amp;5+2*(ROW()-54)&amp;":r"&amp;6+2*(ROW()-54)))</f>
        <v>0</v>
      </c>
      <c r="P58" s="951" cm="1">
        <f t="array" aca="1" ref="P58" ca="1">DSUM(MercadoBase1,P$53,INDIRECT("r"&amp;5+2*(ROW()-54)&amp;":r"&amp;6+2*(ROW()-54)))</f>
        <v>0</v>
      </c>
      <c r="Q58" s="956" cm="1">
        <f t="array" aca="1" ref="Q58" ca="1">DSUM(MercadoBase1,Q$53,INDIRECT("r"&amp;5+2*(ROW()-54)&amp;":r"&amp;6+2*(ROW()-54)))</f>
        <v>0</v>
      </c>
      <c r="R58" s="952">
        <f>VLOOKUP(CAPA!$C$17,Índices!B:F,5,FALSE)/VLOOKUP(DATE(YEAR(B58),MONTH(B58),1),Índices!B:F,5,FALSE)</f>
        <v>1.0622726591714087</v>
      </c>
      <c r="S58" s="958" cm="1">
        <f t="array" aca="1" ref="S58" ca="1">DSUM(MercadoBase1,S$53,INDIRECT("r"&amp;5+2*(ROW()-54)&amp;":r"&amp;6+2*(ROW()-54)))</f>
        <v>0</v>
      </c>
      <c r="T58" s="951" cm="1">
        <f t="array" aca="1" ref="T58" ca="1">DSUM(MercadoBase1,T$53,INDIRECT("r"&amp;5+2*(ROW()-54)&amp;":r"&amp;6+2*(ROW()-54)))</f>
        <v>0</v>
      </c>
      <c r="U58" s="951" cm="1">
        <f t="array" aca="1" ref="U58" ca="1">DSUM(MercadoBase1,U$53,INDIRECT("r"&amp;5+2*(ROW()-54)&amp;":r"&amp;6+2*(ROW()-54)))</f>
        <v>0</v>
      </c>
      <c r="V58" s="951" cm="1">
        <f t="array" aca="1" ref="V58" ca="1">DSUM(MercadoBase1,V$53,INDIRECT("r"&amp;5+2*(ROW()-54)&amp;":r"&amp;6+2*(ROW()-54)))</f>
        <v>0</v>
      </c>
      <c r="W58" s="951" cm="1">
        <f t="array" aca="1" ref="W58" ca="1">DSUM(MercadoBase1,W$53,INDIRECT("r"&amp;5+2*(ROW()-54)&amp;":r"&amp;6+2*(ROW()-54)))</f>
        <v>0</v>
      </c>
      <c r="X58" s="951" cm="1">
        <f t="array" aca="1" ref="X58" ca="1">DSUM(MercadoBase1,X$53,INDIRECT("r"&amp;5+2*(ROW()-54)&amp;":r"&amp;6+2*(ROW()-54)))</f>
        <v>0</v>
      </c>
      <c r="Y58" s="951" cm="1">
        <f t="array" aca="1" ref="Y58" ca="1">DSUM(MercadoBase1,Y$53,INDIRECT("r"&amp;5+2*(ROW()-54)&amp;":r"&amp;6+2*(ROW()-54)))</f>
        <v>0</v>
      </c>
      <c r="Z58" s="951" cm="1">
        <f t="array" aca="1" ref="Z58" ca="1">DSUM(MercadoBase1,Z$53,INDIRECT("r"&amp;5+2*(ROW()-54)&amp;":r"&amp;6+2*(ROW()-54)))</f>
        <v>2430681.2470453563</v>
      </c>
      <c r="AA58" s="951" cm="1">
        <f t="array" aca="1" ref="AA58" ca="1">DSUM(MercadoBase1,AA$53,INDIRECT("r"&amp;5+2*(ROW()-54)&amp;":r"&amp;6+2*(ROW()-54)))</f>
        <v>0</v>
      </c>
      <c r="AB58" s="951" cm="1">
        <f t="array" aca="1" ref="AB58" ca="1">DSUM(MercadoBase1,AB$53,INDIRECT("r"&amp;5+2*(ROW()-54)&amp;":r"&amp;6+2*(ROW()-54)))</f>
        <v>0</v>
      </c>
    </row>
    <row r="59" spans="2:28" ht="15" customHeight="1">
      <c r="B59" s="949">
        <f t="shared" si="2"/>
        <v>44531</v>
      </c>
      <c r="C59" s="950"/>
      <c r="D59" s="951" cm="1">
        <f t="array" aca="1" ref="D59" ca="1">DSUM(MercadoBase1,D$53,INDIRECT("r"&amp;5+2*(ROW()-54)&amp;":r"&amp;6+2*(ROW()-54)))</f>
        <v>0</v>
      </c>
      <c r="E59" s="951" cm="1">
        <f t="array" aca="1" ref="E59" ca="1">DSUM(MercadoBase1,E$53,INDIRECT("r"&amp;5+2*(ROW()-54)&amp;":r"&amp;6+2*(ROW()-54)))</f>
        <v>0</v>
      </c>
      <c r="F59" s="951" cm="1">
        <f t="array" aca="1" ref="F59" ca="1">DSUM(MercadoBase1,F$53,INDIRECT("r"&amp;5+2*(ROW()-54)&amp;":r"&amp;6+2*(ROW()-54)))</f>
        <v>20498.208128393631</v>
      </c>
      <c r="G59" s="951" cm="1">
        <f t="array" aca="1" ref="G59" ca="1">DSUM(MercadoBase1,G$53,INDIRECT("r"&amp;5+2*(ROW()-54)&amp;":r"&amp;6+2*(ROW()-54)))</f>
        <v>62702.209629421683</v>
      </c>
      <c r="H59" s="951" cm="1">
        <f t="array" aca="1" ref="H59" ca="1">DSUM(MercadoBase1,H$53,INDIRECT("r"&amp;5+2*(ROW()-54)&amp;":r"&amp;6+2*(ROW()-54)))</f>
        <v>396333.15699715441</v>
      </c>
      <c r="I59" s="951" cm="1">
        <f t="array" aca="1" ref="I59" ca="1">DSUM(MercadoBase1,I$53,INDIRECT("r"&amp;5+2*(ROW()-54)&amp;":r"&amp;6+2*(ROW()-54)))</f>
        <v>12244.071884640292</v>
      </c>
      <c r="J59" s="951" cm="1">
        <f t="array" aca="1" ref="J59" ca="1">DSUM(MercadoBase1,J$53,INDIRECT("r"&amp;5+2*(ROW()-54)&amp;":r"&amp;6+2*(ROW()-54)))</f>
        <v>0</v>
      </c>
      <c r="K59" s="951" cm="1">
        <f t="array" aca="1" ref="K59" ca="1">DSUM(MercadoBase1,K$53,INDIRECT("r"&amp;5+2*(ROW()-54)&amp;":r"&amp;6+2*(ROW()-54)))</f>
        <v>0</v>
      </c>
      <c r="L59" s="951" cm="1">
        <f t="array" aca="1" ref="L59" ca="1">DSUM(MercadoBase1,L$53,INDIRECT("r"&amp;5+2*(ROW()-54)&amp;":r"&amp;6+2*(ROW()-54)))</f>
        <v>0</v>
      </c>
      <c r="M59" s="951" cm="1">
        <f t="array" aca="1" ref="M59" ca="1">DSUM(MercadoBase1,M$53,INDIRECT("r"&amp;5+2*(ROW()-54)&amp;":r"&amp;6+2*(ROW()-54)))</f>
        <v>0</v>
      </c>
      <c r="N59" s="951" cm="1">
        <f t="array" aca="1" ref="N59" ca="1">DSUM(MercadoBase1,N$53,INDIRECT("r"&amp;5+2*(ROW()-54)&amp;":r"&amp;6+2*(ROW()-54)))</f>
        <v>0</v>
      </c>
      <c r="O59" s="951" cm="1">
        <f t="array" aca="1" ref="O59" ca="1">DSUM(MercadoBase1,O$53,INDIRECT("r"&amp;5+2*(ROW()-54)&amp;":r"&amp;6+2*(ROW()-54)))</f>
        <v>0</v>
      </c>
      <c r="P59" s="951" cm="1">
        <f t="array" aca="1" ref="P59" ca="1">DSUM(MercadoBase1,P$53,INDIRECT("r"&amp;5+2*(ROW()-54)&amp;":r"&amp;6+2*(ROW()-54)))</f>
        <v>0</v>
      </c>
      <c r="Q59" s="956" cm="1">
        <f t="array" aca="1" ref="Q59" ca="1">DSUM(MercadoBase1,Q$53,INDIRECT("r"&amp;5+2*(ROW()-54)&amp;":r"&amp;6+2*(ROW()-54)))</f>
        <v>0</v>
      </c>
      <c r="R59" s="952">
        <f>VLOOKUP(CAPA!$C$17,Índices!B:F,5,FALSE)/VLOOKUP(DATE(YEAR(B59),MONTH(B59),1),Índices!B:F,5,FALSE)</f>
        <v>1.0541652525590945</v>
      </c>
      <c r="S59" s="958" cm="1">
        <f t="array" aca="1" ref="S59" ca="1">DSUM(MercadoBase1,S$53,INDIRECT("r"&amp;5+2*(ROW()-54)&amp;":r"&amp;6+2*(ROW()-54)))</f>
        <v>0</v>
      </c>
      <c r="T59" s="951" cm="1">
        <f t="array" aca="1" ref="T59" ca="1">DSUM(MercadoBase1,T$53,INDIRECT("r"&amp;5+2*(ROW()-54)&amp;":r"&amp;6+2*(ROW()-54)))</f>
        <v>0</v>
      </c>
      <c r="U59" s="951" cm="1">
        <f t="array" aca="1" ref="U59" ca="1">DSUM(MercadoBase1,U$53,INDIRECT("r"&amp;5+2*(ROW()-54)&amp;":r"&amp;6+2*(ROW()-54)))</f>
        <v>0</v>
      </c>
      <c r="V59" s="951" cm="1">
        <f t="array" aca="1" ref="V59" ca="1">DSUM(MercadoBase1,V$53,INDIRECT("r"&amp;5+2*(ROW()-54)&amp;":r"&amp;6+2*(ROW()-54)))</f>
        <v>0</v>
      </c>
      <c r="W59" s="951" cm="1">
        <f t="array" aca="1" ref="W59" ca="1">DSUM(MercadoBase1,W$53,INDIRECT("r"&amp;5+2*(ROW()-54)&amp;":r"&amp;6+2*(ROW()-54)))</f>
        <v>0</v>
      </c>
      <c r="X59" s="951" cm="1">
        <f t="array" aca="1" ref="X59" ca="1">DSUM(MercadoBase1,X$53,INDIRECT("r"&amp;5+2*(ROW()-54)&amp;":r"&amp;6+2*(ROW()-54)))</f>
        <v>0</v>
      </c>
      <c r="Y59" s="951" cm="1">
        <f t="array" aca="1" ref="Y59" ca="1">DSUM(MercadoBase1,Y$53,INDIRECT("r"&amp;5+2*(ROW()-54)&amp;":r"&amp;6+2*(ROW()-54)))</f>
        <v>0</v>
      </c>
      <c r="Z59" s="951" cm="1">
        <f t="array" aca="1" ref="Z59" ca="1">DSUM(MercadoBase1,Z$53,INDIRECT("r"&amp;5+2*(ROW()-54)&amp;":r"&amp;6+2*(ROW()-54)))</f>
        <v>2614509.0371314953</v>
      </c>
      <c r="AA59" s="951" cm="1">
        <f t="array" aca="1" ref="AA59" ca="1">DSUM(MercadoBase1,AA$53,INDIRECT("r"&amp;5+2*(ROW()-54)&amp;":r"&amp;6+2*(ROW()-54)))</f>
        <v>0</v>
      </c>
      <c r="AB59" s="951" cm="1">
        <f t="array" aca="1" ref="AB59" ca="1">DSUM(MercadoBase1,AB$53,INDIRECT("r"&amp;5+2*(ROW()-54)&amp;":r"&amp;6+2*(ROW()-54)))</f>
        <v>0</v>
      </c>
    </row>
    <row r="60" spans="2:28" ht="15" customHeight="1">
      <c r="B60" s="949">
        <f t="shared" si="2"/>
        <v>44562</v>
      </c>
      <c r="C60" s="950"/>
      <c r="D60" s="951" cm="1">
        <f t="array" aca="1" ref="D60" ca="1">DSUM(MercadoBase1,D$53,INDIRECT("r"&amp;5+2*(ROW()-54)&amp;":r"&amp;6+2*(ROW()-54)))</f>
        <v>0</v>
      </c>
      <c r="E60" s="951" cm="1">
        <f t="array" aca="1" ref="E60" ca="1">DSUM(MercadoBase1,E$53,INDIRECT("r"&amp;5+2*(ROW()-54)&amp;":r"&amp;6+2*(ROW()-54)))</f>
        <v>0</v>
      </c>
      <c r="F60" s="951" cm="1">
        <f t="array" aca="1" ref="F60" ca="1">DSUM(MercadoBase1,F$53,INDIRECT("r"&amp;5+2*(ROW()-54)&amp;":r"&amp;6+2*(ROW()-54)))</f>
        <v>25435.148276143689</v>
      </c>
      <c r="G60" s="951" cm="1">
        <f t="array" aca="1" ref="G60" ca="1">DSUM(MercadoBase1,G$53,INDIRECT("r"&amp;5+2*(ROW()-54)&amp;":r"&amp;6+2*(ROW()-54)))</f>
        <v>77285.830732662071</v>
      </c>
      <c r="H60" s="951" cm="1">
        <f t="array" aca="1" ref="H60" ca="1">DSUM(MercadoBase1,H$53,INDIRECT("r"&amp;5+2*(ROW()-54)&amp;":r"&amp;6+2*(ROW()-54)))</f>
        <v>491210.0136618191</v>
      </c>
      <c r="I60" s="951" cm="1">
        <f t="array" aca="1" ref="I60" ca="1">DSUM(MercadoBase1,I$53,INDIRECT("r"&amp;5+2*(ROW()-54)&amp;":r"&amp;6+2*(ROW()-54)))</f>
        <v>15275.357444547035</v>
      </c>
      <c r="J60" s="951" cm="1">
        <f t="array" aca="1" ref="J60" ca="1">DSUM(MercadoBase1,J$53,INDIRECT("r"&amp;5+2*(ROW()-54)&amp;":r"&amp;6+2*(ROW()-54)))</f>
        <v>0</v>
      </c>
      <c r="K60" s="951" cm="1">
        <f t="array" aca="1" ref="K60" ca="1">DSUM(MercadoBase1,K$53,INDIRECT("r"&amp;5+2*(ROW()-54)&amp;":r"&amp;6+2*(ROW()-54)))</f>
        <v>0</v>
      </c>
      <c r="L60" s="951" cm="1">
        <f t="array" aca="1" ref="L60" ca="1">DSUM(MercadoBase1,L$53,INDIRECT("r"&amp;5+2*(ROW()-54)&amp;":r"&amp;6+2*(ROW()-54)))</f>
        <v>0</v>
      </c>
      <c r="M60" s="951" cm="1">
        <f t="array" aca="1" ref="M60" ca="1">DSUM(MercadoBase1,M$53,INDIRECT("r"&amp;5+2*(ROW()-54)&amp;":r"&amp;6+2*(ROW()-54)))</f>
        <v>0</v>
      </c>
      <c r="N60" s="951" cm="1">
        <f t="array" aca="1" ref="N60" ca="1">DSUM(MercadoBase1,N$53,INDIRECT("r"&amp;5+2*(ROW()-54)&amp;":r"&amp;6+2*(ROW()-54)))</f>
        <v>0</v>
      </c>
      <c r="O60" s="951" cm="1">
        <f t="array" aca="1" ref="O60" ca="1">DSUM(MercadoBase1,O$53,INDIRECT("r"&amp;5+2*(ROW()-54)&amp;":r"&amp;6+2*(ROW()-54)))</f>
        <v>0</v>
      </c>
      <c r="P60" s="951" cm="1">
        <f t="array" aca="1" ref="P60" ca="1">DSUM(MercadoBase1,P$53,INDIRECT("r"&amp;5+2*(ROW()-54)&amp;":r"&amp;6+2*(ROW()-54)))</f>
        <v>0</v>
      </c>
      <c r="Q60" s="956" cm="1">
        <f t="array" aca="1" ref="Q60" ca="1">DSUM(MercadoBase1,Q$53,INDIRECT("r"&amp;5+2*(ROW()-54)&amp;":r"&amp;6+2*(ROW()-54)))</f>
        <v>0</v>
      </c>
      <c r="R60" s="952">
        <f>VLOOKUP(CAPA!$C$17,Índices!B:F,5,FALSE)/VLOOKUP(DATE(YEAR(B60),MONTH(B60),1),Índices!B:F,5,FALSE)</f>
        <v>1.0465020287560824</v>
      </c>
      <c r="S60" s="958" cm="1">
        <f t="array" aca="1" ref="S60" ca="1">DSUM(MercadoBase1,S$53,INDIRECT("r"&amp;5+2*(ROW()-54)&amp;":r"&amp;6+2*(ROW()-54)))</f>
        <v>0</v>
      </c>
      <c r="T60" s="951" cm="1">
        <f t="array" aca="1" ref="T60" ca="1">DSUM(MercadoBase1,T$53,INDIRECT("r"&amp;5+2*(ROW()-54)&amp;":r"&amp;6+2*(ROW()-54)))</f>
        <v>0</v>
      </c>
      <c r="U60" s="951" cm="1">
        <f t="array" aca="1" ref="U60" ca="1">DSUM(MercadoBase1,U$53,INDIRECT("r"&amp;5+2*(ROW()-54)&amp;":r"&amp;6+2*(ROW()-54)))</f>
        <v>0</v>
      </c>
      <c r="V60" s="951" cm="1">
        <f t="array" aca="1" ref="V60" ca="1">DSUM(MercadoBase1,V$53,INDIRECT("r"&amp;5+2*(ROW()-54)&amp;":r"&amp;6+2*(ROW()-54)))</f>
        <v>0</v>
      </c>
      <c r="W60" s="951" cm="1">
        <f t="array" aca="1" ref="W60" ca="1">DSUM(MercadoBase1,W$53,INDIRECT("r"&amp;5+2*(ROW()-54)&amp;":r"&amp;6+2*(ROW()-54)))</f>
        <v>0</v>
      </c>
      <c r="X60" s="951" cm="1">
        <f t="array" aca="1" ref="X60" ca="1">DSUM(MercadoBase1,X$53,INDIRECT("r"&amp;5+2*(ROW()-54)&amp;":r"&amp;6+2*(ROW()-54)))</f>
        <v>0</v>
      </c>
      <c r="Y60" s="951" cm="1">
        <f t="array" aca="1" ref="Y60" ca="1">DSUM(MercadoBase1,Y$53,INDIRECT("r"&amp;5+2*(ROW()-54)&amp;":r"&amp;6+2*(ROW()-54)))</f>
        <v>0</v>
      </c>
      <c r="Z60" s="951" cm="1">
        <f t="array" aca="1" ref="Z60" ca="1">DSUM(MercadoBase1,Z$53,INDIRECT("r"&amp;5+2*(ROW()-54)&amp;":r"&amp;6+2*(ROW()-54)))</f>
        <v>3342765.533574075</v>
      </c>
      <c r="AA60" s="951" cm="1">
        <f t="array" aca="1" ref="AA60" ca="1">DSUM(MercadoBase1,AA$53,INDIRECT("r"&amp;5+2*(ROW()-54)&amp;":r"&amp;6+2*(ROW()-54)))</f>
        <v>0</v>
      </c>
      <c r="AB60" s="951" cm="1">
        <f t="array" aca="1" ref="AB60" ca="1">DSUM(MercadoBase1,AB$53,INDIRECT("r"&amp;5+2*(ROW()-54)&amp;":r"&amp;6+2*(ROW()-54)))</f>
        <v>0</v>
      </c>
    </row>
    <row r="61" spans="2:28" ht="15" customHeight="1">
      <c r="B61" s="949">
        <f t="shared" si="2"/>
        <v>44593</v>
      </c>
      <c r="C61" s="950"/>
      <c r="D61" s="951" cm="1">
        <f t="array" aca="1" ref="D61" ca="1">DSUM(MercadoBase1,D$53,INDIRECT("r"&amp;5+2*(ROW()-54)&amp;":r"&amp;6+2*(ROW()-54)))</f>
        <v>0</v>
      </c>
      <c r="E61" s="951" cm="1">
        <f t="array" aca="1" ref="E61" ca="1">DSUM(MercadoBase1,E$53,INDIRECT("r"&amp;5+2*(ROW()-54)&amp;":r"&amp;6+2*(ROW()-54)))</f>
        <v>0</v>
      </c>
      <c r="F61" s="951" cm="1">
        <f t="array" aca="1" ref="F61" ca="1">DSUM(MercadoBase1,F$53,INDIRECT("r"&amp;5+2*(ROW()-54)&amp;":r"&amp;6+2*(ROW()-54)))</f>
        <v>24769.208518651234</v>
      </c>
      <c r="G61" s="951" cm="1">
        <f t="array" aca="1" ref="G61" ca="1">DSUM(MercadoBase1,G$53,INDIRECT("r"&amp;5+2*(ROW()-54)&amp;":r"&amp;6+2*(ROW()-54)))</f>
        <v>75143.874359747759</v>
      </c>
      <c r="H61" s="951" cm="1">
        <f t="array" aca="1" ref="H61" ca="1">DSUM(MercadoBase1,H$53,INDIRECT("r"&amp;5+2*(ROW()-54)&amp;":r"&amp;6+2*(ROW()-54)))</f>
        <v>479785.38632404292</v>
      </c>
      <c r="I61" s="951" cm="1">
        <f t="array" aca="1" ref="I61" ca="1">DSUM(MercadoBase1,I$53,INDIRECT("r"&amp;5+2*(ROW()-54)&amp;":r"&amp;6+2*(ROW()-54)))</f>
        <v>15009.46801575706</v>
      </c>
      <c r="J61" s="951" cm="1">
        <f t="array" aca="1" ref="J61" ca="1">DSUM(MercadoBase1,J$53,INDIRECT("r"&amp;5+2*(ROW()-54)&amp;":r"&amp;6+2*(ROW()-54)))</f>
        <v>0</v>
      </c>
      <c r="K61" s="951" cm="1">
        <f t="array" aca="1" ref="K61" ca="1">DSUM(MercadoBase1,K$53,INDIRECT("r"&amp;5+2*(ROW()-54)&amp;":r"&amp;6+2*(ROW()-54)))</f>
        <v>0</v>
      </c>
      <c r="L61" s="951" cm="1">
        <f t="array" aca="1" ref="L61" ca="1">DSUM(MercadoBase1,L$53,INDIRECT("r"&amp;5+2*(ROW()-54)&amp;":r"&amp;6+2*(ROW()-54)))</f>
        <v>0</v>
      </c>
      <c r="M61" s="951" cm="1">
        <f t="array" aca="1" ref="M61" ca="1">DSUM(MercadoBase1,M$53,INDIRECT("r"&amp;5+2*(ROW()-54)&amp;":r"&amp;6+2*(ROW()-54)))</f>
        <v>0</v>
      </c>
      <c r="N61" s="951" cm="1">
        <f t="array" aca="1" ref="N61" ca="1">DSUM(MercadoBase1,N$53,INDIRECT("r"&amp;5+2*(ROW()-54)&amp;":r"&amp;6+2*(ROW()-54)))</f>
        <v>0</v>
      </c>
      <c r="O61" s="951" cm="1">
        <f t="array" aca="1" ref="O61" ca="1">DSUM(MercadoBase1,O$53,INDIRECT("r"&amp;5+2*(ROW()-54)&amp;":r"&amp;6+2*(ROW()-54)))</f>
        <v>0</v>
      </c>
      <c r="P61" s="951" cm="1">
        <f t="array" aca="1" ref="P61" ca="1">DSUM(MercadoBase1,P$53,INDIRECT("r"&amp;5+2*(ROW()-54)&amp;":r"&amp;6+2*(ROW()-54)))</f>
        <v>0</v>
      </c>
      <c r="Q61" s="956" cm="1">
        <f t="array" aca="1" ref="Q61" ca="1">DSUM(MercadoBase1,Q$53,INDIRECT("r"&amp;5+2*(ROW()-54)&amp;":r"&amp;6+2*(ROW()-54)))</f>
        <v>0</v>
      </c>
      <c r="R61" s="952">
        <f>VLOOKUP(CAPA!$C$17,Índices!B:F,5,FALSE)/VLOOKUP(DATE(YEAR(B61),MONTH(B61),1),Índices!B:F,5,FALSE)</f>
        <v>1.038659722138076</v>
      </c>
      <c r="S61" s="958" cm="1">
        <f t="array" aca="1" ref="S61" ca="1">DSUM(MercadoBase1,S$53,INDIRECT("r"&amp;5+2*(ROW()-54)&amp;":r"&amp;6+2*(ROW()-54)))</f>
        <v>0</v>
      </c>
      <c r="T61" s="951" cm="1">
        <f t="array" aca="1" ref="T61" ca="1">DSUM(MercadoBase1,T$53,INDIRECT("r"&amp;5+2*(ROW()-54)&amp;":r"&amp;6+2*(ROW()-54)))</f>
        <v>0</v>
      </c>
      <c r="U61" s="951" cm="1">
        <f t="array" aca="1" ref="U61" ca="1">DSUM(MercadoBase1,U$53,INDIRECT("r"&amp;5+2*(ROW()-54)&amp;":r"&amp;6+2*(ROW()-54)))</f>
        <v>0</v>
      </c>
      <c r="V61" s="951" cm="1">
        <f t="array" aca="1" ref="V61" ca="1">DSUM(MercadoBase1,V$53,INDIRECT("r"&amp;5+2*(ROW()-54)&amp;":r"&amp;6+2*(ROW()-54)))</f>
        <v>0</v>
      </c>
      <c r="W61" s="951" cm="1">
        <f t="array" aca="1" ref="W61" ca="1">DSUM(MercadoBase1,W$53,INDIRECT("r"&amp;5+2*(ROW()-54)&amp;":r"&amp;6+2*(ROW()-54)))</f>
        <v>0</v>
      </c>
      <c r="X61" s="951" cm="1">
        <f t="array" aca="1" ref="X61" ca="1">DSUM(MercadoBase1,X$53,INDIRECT("r"&amp;5+2*(ROW()-54)&amp;":r"&amp;6+2*(ROW()-54)))</f>
        <v>0</v>
      </c>
      <c r="Y61" s="951" cm="1">
        <f t="array" aca="1" ref="Y61" ca="1">DSUM(MercadoBase1,Y$53,INDIRECT("r"&amp;5+2*(ROW()-54)&amp;":r"&amp;6+2*(ROW()-54)))</f>
        <v>0</v>
      </c>
      <c r="Z61" s="951" cm="1">
        <f t="array" aca="1" ref="Z61" ca="1">DSUM(MercadoBase1,Z$53,INDIRECT("r"&amp;5+2*(ROW()-54)&amp;":r"&amp;6+2*(ROW()-54)))</f>
        <v>3344232.7220696658</v>
      </c>
      <c r="AA61" s="951" cm="1">
        <f t="array" aca="1" ref="AA61" ca="1">DSUM(MercadoBase1,AA$53,INDIRECT("r"&amp;5+2*(ROW()-54)&amp;":r"&amp;6+2*(ROW()-54)))</f>
        <v>0</v>
      </c>
      <c r="AB61" s="951" cm="1">
        <f t="array" aca="1" ref="AB61" ca="1">DSUM(MercadoBase1,AB$53,INDIRECT("r"&amp;5+2*(ROW()-54)&amp;":r"&amp;6+2*(ROW()-54)))</f>
        <v>0</v>
      </c>
    </row>
    <row r="62" spans="2:28" ht="15" customHeight="1">
      <c r="B62" s="949">
        <f t="shared" si="2"/>
        <v>44621</v>
      </c>
      <c r="C62" s="950"/>
      <c r="D62" s="951" cm="1">
        <f t="array" aca="1" ref="D62" ca="1">DSUM(MercadoBase1,D$53,INDIRECT("r"&amp;5+2*(ROW()-54)&amp;":r"&amp;6+2*(ROW()-54)))</f>
        <v>0</v>
      </c>
      <c r="E62" s="951" cm="1">
        <f t="array" aca="1" ref="E62" ca="1">DSUM(MercadoBase1,E$53,INDIRECT("r"&amp;5+2*(ROW()-54)&amp;":r"&amp;6+2*(ROW()-54)))</f>
        <v>0</v>
      </c>
      <c r="F62" s="951" cm="1">
        <f t="array" aca="1" ref="F62" ca="1">DSUM(MercadoBase1,F$53,INDIRECT("r"&amp;5+2*(ROW()-54)&amp;":r"&amp;6+2*(ROW()-54)))</f>
        <v>20837.292242476877</v>
      </c>
      <c r="G62" s="951" cm="1">
        <f t="array" aca="1" ref="G62" ca="1">DSUM(MercadoBase1,G$53,INDIRECT("r"&amp;5+2*(ROW()-54)&amp;":r"&amp;6+2*(ROW()-54)))</f>
        <v>63449.08482415929</v>
      </c>
      <c r="H62" s="951" cm="1">
        <f t="array" aca="1" ref="H62" ca="1">DSUM(MercadoBase1,H$53,INDIRECT("r"&amp;5+2*(ROW()-54)&amp;":r"&amp;6+2*(ROW()-54)))</f>
        <v>405040.69159107306</v>
      </c>
      <c r="I62" s="951" cm="1">
        <f t="array" aca="1" ref="I62" ca="1">DSUM(MercadoBase1,I$53,INDIRECT("r"&amp;5+2*(ROW()-54)&amp;":r"&amp;6+2*(ROW()-54)))</f>
        <v>12691.905092218627</v>
      </c>
      <c r="J62" s="951" cm="1">
        <f t="array" aca="1" ref="J62" ca="1">DSUM(MercadoBase1,J$53,INDIRECT("r"&amp;5+2*(ROW()-54)&amp;":r"&amp;6+2*(ROW()-54)))</f>
        <v>0</v>
      </c>
      <c r="K62" s="951" cm="1">
        <f t="array" aca="1" ref="K62" ca="1">DSUM(MercadoBase1,K$53,INDIRECT("r"&amp;5+2*(ROW()-54)&amp;":r"&amp;6+2*(ROW()-54)))</f>
        <v>0</v>
      </c>
      <c r="L62" s="951" cm="1">
        <f t="array" aca="1" ref="L62" ca="1">DSUM(MercadoBase1,L$53,INDIRECT("r"&amp;5+2*(ROW()-54)&amp;":r"&amp;6+2*(ROW()-54)))</f>
        <v>0</v>
      </c>
      <c r="M62" s="951" cm="1">
        <f t="array" aca="1" ref="M62" ca="1">DSUM(MercadoBase1,M$53,INDIRECT("r"&amp;5+2*(ROW()-54)&amp;":r"&amp;6+2*(ROW()-54)))</f>
        <v>0</v>
      </c>
      <c r="N62" s="951" cm="1">
        <f t="array" aca="1" ref="N62" ca="1">DSUM(MercadoBase1,N$53,INDIRECT("r"&amp;5+2*(ROW()-54)&amp;":r"&amp;6+2*(ROW()-54)))</f>
        <v>0</v>
      </c>
      <c r="O62" s="951" cm="1">
        <f t="array" aca="1" ref="O62" ca="1">DSUM(MercadoBase1,O$53,INDIRECT("r"&amp;5+2*(ROW()-54)&amp;":r"&amp;6+2*(ROW()-54)))</f>
        <v>0</v>
      </c>
      <c r="P62" s="951" cm="1">
        <f t="array" aca="1" ref="P62" ca="1">DSUM(MercadoBase1,P$53,INDIRECT("r"&amp;5+2*(ROW()-54)&amp;":r"&amp;6+2*(ROW()-54)))</f>
        <v>0</v>
      </c>
      <c r="Q62" s="956" cm="1">
        <f t="array" aca="1" ref="Q62" ca="1">DSUM(MercadoBase1,Q$53,INDIRECT("r"&amp;5+2*(ROW()-54)&amp;":r"&amp;6+2*(ROW()-54)))</f>
        <v>0</v>
      </c>
      <c r="R62" s="952">
        <f>VLOOKUP(CAPA!$C$17,Índices!B:F,5,FALSE)/VLOOKUP(DATE(YEAR(B62),MONTH(B62),1),Índices!B:F,5,FALSE)</f>
        <v>1.0291192325390464</v>
      </c>
      <c r="S62" s="958" cm="1">
        <f t="array" aca="1" ref="S62" ca="1">DSUM(MercadoBase1,S$53,INDIRECT("r"&amp;5+2*(ROW()-54)&amp;":r"&amp;6+2*(ROW()-54)))</f>
        <v>0</v>
      </c>
      <c r="T62" s="951" cm="1">
        <f t="array" aca="1" ref="T62" ca="1">DSUM(MercadoBase1,T$53,INDIRECT("r"&amp;5+2*(ROW()-54)&amp;":r"&amp;6+2*(ROW()-54)))</f>
        <v>0</v>
      </c>
      <c r="U62" s="951" cm="1">
        <f t="array" aca="1" ref="U62" ca="1">DSUM(MercadoBase1,U$53,INDIRECT("r"&amp;5+2*(ROW()-54)&amp;":r"&amp;6+2*(ROW()-54)))</f>
        <v>0</v>
      </c>
      <c r="V62" s="951" cm="1">
        <f t="array" aca="1" ref="V62" ca="1">DSUM(MercadoBase1,V$53,INDIRECT("r"&amp;5+2*(ROW()-54)&amp;":r"&amp;6+2*(ROW()-54)))</f>
        <v>0</v>
      </c>
      <c r="W62" s="951" cm="1">
        <f t="array" aca="1" ref="W62" ca="1">DSUM(MercadoBase1,W$53,INDIRECT("r"&amp;5+2*(ROW()-54)&amp;":r"&amp;6+2*(ROW()-54)))</f>
        <v>0</v>
      </c>
      <c r="X62" s="951" cm="1">
        <f t="array" aca="1" ref="X62" ca="1">DSUM(MercadoBase1,X$53,INDIRECT("r"&amp;5+2*(ROW()-54)&amp;":r"&amp;6+2*(ROW()-54)))</f>
        <v>0</v>
      </c>
      <c r="Y62" s="951" cm="1">
        <f t="array" aca="1" ref="Y62" ca="1">DSUM(MercadoBase1,Y$53,INDIRECT("r"&amp;5+2*(ROW()-54)&amp;":r"&amp;6+2*(ROW()-54)))</f>
        <v>0</v>
      </c>
      <c r="Z62" s="951" cm="1">
        <f t="array" aca="1" ref="Z62" ca="1">DSUM(MercadoBase1,Z$53,INDIRECT("r"&amp;5+2*(ROW()-54)&amp;":r"&amp;6+2*(ROW()-54)))</f>
        <v>2838470.0485587516</v>
      </c>
      <c r="AA62" s="951" cm="1">
        <f t="array" aca="1" ref="AA62" ca="1">DSUM(MercadoBase1,AA$53,INDIRECT("r"&amp;5+2*(ROW()-54)&amp;":r"&amp;6+2*(ROW()-54)))</f>
        <v>0</v>
      </c>
      <c r="AB62" s="951" cm="1">
        <f t="array" aca="1" ref="AB62" ca="1">DSUM(MercadoBase1,AB$53,INDIRECT("r"&amp;5+2*(ROW()-54)&amp;":r"&amp;6+2*(ROW()-54)))</f>
        <v>0</v>
      </c>
    </row>
    <row r="63" spans="2:28" ht="15" customHeight="1">
      <c r="B63" s="949">
        <f t="shared" si="2"/>
        <v>44652</v>
      </c>
      <c r="C63" s="950"/>
      <c r="D63" s="951" cm="1">
        <f t="array" aca="1" ref="D63" ca="1">DSUM(MercadoBase1,D$53,INDIRECT("r"&amp;5+2*(ROW()-54)&amp;":r"&amp;6+2*(ROW()-54)))</f>
        <v>0</v>
      </c>
      <c r="E63" s="951" cm="1">
        <f t="array" aca="1" ref="E63" ca="1">DSUM(MercadoBase1,E$53,INDIRECT("r"&amp;5+2*(ROW()-54)&amp;":r"&amp;6+2*(ROW()-54)))</f>
        <v>0</v>
      </c>
      <c r="F63" s="951" cm="1">
        <f t="array" aca="1" ref="F63" ca="1">DSUM(MercadoBase1,F$53,INDIRECT("r"&amp;5+2*(ROW()-54)&amp;":r"&amp;6+2*(ROW()-54)))</f>
        <v>16863.188145046173</v>
      </c>
      <c r="G63" s="951" cm="1">
        <f t="array" aca="1" ref="G63" ca="1">DSUM(MercadoBase1,G$53,INDIRECT("r"&amp;5+2*(ROW()-54)&amp;":r"&amp;6+2*(ROW()-54)))</f>
        <v>51195.518457051337</v>
      </c>
      <c r="H63" s="951" cm="1">
        <f t="array" aca="1" ref="H63" ca="1">DSUM(MercadoBase1,H$53,INDIRECT("r"&amp;5+2*(ROW()-54)&amp;":r"&amp;6+2*(ROW()-54)))</f>
        <v>327070.5616568852</v>
      </c>
      <c r="I63" s="951" cm="1">
        <f t="array" aca="1" ref="I63" ca="1">DSUM(MercadoBase1,I$53,INDIRECT("r"&amp;5+2*(ROW()-54)&amp;":r"&amp;6+2*(ROW()-54)))</f>
        <v>10287.752573618316</v>
      </c>
      <c r="J63" s="951" cm="1">
        <f t="array" aca="1" ref="J63" ca="1">DSUM(MercadoBase1,J$53,INDIRECT("r"&amp;5+2*(ROW()-54)&amp;":r"&amp;6+2*(ROW()-54)))</f>
        <v>0</v>
      </c>
      <c r="K63" s="951" cm="1">
        <f t="array" aca="1" ref="K63" ca="1">DSUM(MercadoBase1,K$53,INDIRECT("r"&amp;5+2*(ROW()-54)&amp;":r"&amp;6+2*(ROW()-54)))</f>
        <v>0</v>
      </c>
      <c r="L63" s="951" cm="1">
        <f t="array" aca="1" ref="L63" ca="1">DSUM(MercadoBase1,L$53,INDIRECT("r"&amp;5+2*(ROW()-54)&amp;":r"&amp;6+2*(ROW()-54)))</f>
        <v>0</v>
      </c>
      <c r="M63" s="951" cm="1">
        <f t="array" aca="1" ref="M63" ca="1">DSUM(MercadoBase1,M$53,INDIRECT("r"&amp;5+2*(ROW()-54)&amp;":r"&amp;6+2*(ROW()-54)))</f>
        <v>0</v>
      </c>
      <c r="N63" s="951" cm="1">
        <f t="array" aca="1" ref="N63" ca="1">DSUM(MercadoBase1,N$53,INDIRECT("r"&amp;5+2*(ROW()-54)&amp;":r"&amp;6+2*(ROW()-54)))</f>
        <v>0</v>
      </c>
      <c r="O63" s="951" cm="1">
        <f t="array" aca="1" ref="O63" ca="1">DSUM(MercadoBase1,O$53,INDIRECT("r"&amp;5+2*(ROW()-54)&amp;":r"&amp;6+2*(ROW()-54)))</f>
        <v>0</v>
      </c>
      <c r="P63" s="951" cm="1">
        <f t="array" aca="1" ref="P63" ca="1">DSUM(MercadoBase1,P$53,INDIRECT("r"&amp;5+2*(ROW()-54)&amp;":r"&amp;6+2*(ROW()-54)))</f>
        <v>0</v>
      </c>
      <c r="Q63" s="956" cm="1">
        <f t="array" aca="1" ref="Q63" ca="1">DSUM(MercadoBase1,Q$53,INDIRECT("r"&amp;5+2*(ROW()-54)&amp;":r"&amp;6+2*(ROW()-54)))</f>
        <v>0</v>
      </c>
      <c r="R63" s="952">
        <f>VLOOKUP(CAPA!$C$17,Índices!B:F,5,FALSE)/VLOOKUP(DATE(YEAR(B63),MONTH(B63),1),Índices!B:F,5,FALSE)</f>
        <v>1.0206041228759459</v>
      </c>
      <c r="S63" s="958" cm="1">
        <f t="array" aca="1" ref="S63" ca="1">DSUM(MercadoBase1,S$53,INDIRECT("r"&amp;5+2*(ROW()-54)&amp;":r"&amp;6+2*(ROW()-54)))</f>
        <v>0</v>
      </c>
      <c r="T63" s="951" cm="1">
        <f t="array" aca="1" ref="T63" ca="1">DSUM(MercadoBase1,T$53,INDIRECT("r"&amp;5+2*(ROW()-54)&amp;":r"&amp;6+2*(ROW()-54)))</f>
        <v>0</v>
      </c>
      <c r="U63" s="951" cm="1">
        <f t="array" aca="1" ref="U63" ca="1">DSUM(MercadoBase1,U$53,INDIRECT("r"&amp;5+2*(ROW()-54)&amp;":r"&amp;6+2*(ROW()-54)))</f>
        <v>0</v>
      </c>
      <c r="V63" s="951" cm="1">
        <f t="array" aca="1" ref="V63" ca="1">DSUM(MercadoBase1,V$53,INDIRECT("r"&amp;5+2*(ROW()-54)&amp;":r"&amp;6+2*(ROW()-54)))</f>
        <v>0</v>
      </c>
      <c r="W63" s="951" cm="1">
        <f t="array" aca="1" ref="W63" ca="1">DSUM(MercadoBase1,W$53,INDIRECT("r"&amp;5+2*(ROW()-54)&amp;":r"&amp;6+2*(ROW()-54)))</f>
        <v>0</v>
      </c>
      <c r="X63" s="951" cm="1">
        <f t="array" aca="1" ref="X63" ca="1">DSUM(MercadoBase1,X$53,INDIRECT("r"&amp;5+2*(ROW()-54)&amp;":r"&amp;6+2*(ROW()-54)))</f>
        <v>0</v>
      </c>
      <c r="Y63" s="951" cm="1">
        <f t="array" aca="1" ref="Y63" ca="1">DSUM(MercadoBase1,Y$53,INDIRECT("r"&amp;5+2*(ROW()-54)&amp;":r"&amp;6+2*(ROW()-54)))</f>
        <v>0</v>
      </c>
      <c r="Z63" s="951" cm="1">
        <f t="array" aca="1" ref="Z63" ca="1">DSUM(MercadoBase1,Z$53,INDIRECT("r"&amp;5+2*(ROW()-54)&amp;":r"&amp;6+2*(ROW()-54)))</f>
        <v>2307870.3732823841</v>
      </c>
      <c r="AA63" s="951" cm="1">
        <f t="array" aca="1" ref="AA63" ca="1">DSUM(MercadoBase1,AA$53,INDIRECT("r"&amp;5+2*(ROW()-54)&amp;":r"&amp;6+2*(ROW()-54)))</f>
        <v>0</v>
      </c>
      <c r="AB63" s="951" cm="1">
        <f t="array" aca="1" ref="AB63" ca="1">DSUM(MercadoBase1,AB$53,INDIRECT("r"&amp;5+2*(ROW()-54)&amp;":r"&amp;6+2*(ROW()-54)))</f>
        <v>0</v>
      </c>
    </row>
    <row r="64" spans="2:28" ht="15" customHeight="1">
      <c r="B64" s="949">
        <f t="shared" si="2"/>
        <v>44682</v>
      </c>
      <c r="C64" s="950"/>
      <c r="D64" s="951" cm="1">
        <f t="array" aca="1" ref="D64" ca="1">DSUM(MercadoBase1,D$53,INDIRECT("r"&amp;5+2*(ROW()-54)&amp;":r"&amp;6+2*(ROW()-54)))</f>
        <v>0</v>
      </c>
      <c r="E64" s="951" cm="1">
        <f t="array" aca="1" ref="E64" ca="1">DSUM(MercadoBase1,E$53,INDIRECT("r"&amp;5+2*(ROW()-54)&amp;":r"&amp;6+2*(ROW()-54)))</f>
        <v>0</v>
      </c>
      <c r="F64" s="951" cm="1">
        <f t="array" aca="1" ref="F64" ca="1">DSUM(MercadoBase1,F$53,INDIRECT("r"&amp;5+2*(ROW()-54)&amp;":r"&amp;6+2*(ROW()-54)))</f>
        <v>15506.449119609273</v>
      </c>
      <c r="G64" s="951" cm="1">
        <f t="array" aca="1" ref="G64" ca="1">DSUM(MercadoBase1,G$53,INDIRECT("r"&amp;5+2*(ROW()-54)&amp;":r"&amp;6+2*(ROW()-54)))</f>
        <v>47147.208243777335</v>
      </c>
      <c r="H64" s="951" cm="1">
        <f t="array" aca="1" ref="H64" ca="1">DSUM(MercadoBase1,H$53,INDIRECT("r"&amp;5+2*(ROW()-54)&amp;":r"&amp;6+2*(ROW()-54)))</f>
        <v>301323.00364516809</v>
      </c>
      <c r="I64" s="951" cm="1">
        <f t="array" aca="1" ref="I64" ca="1">DSUM(MercadoBase1,I$53,INDIRECT("r"&amp;5+2*(ROW()-54)&amp;":r"&amp;6+2*(ROW()-54)))</f>
        <v>9477.685779145284</v>
      </c>
      <c r="J64" s="951" cm="1">
        <f t="array" aca="1" ref="J64" ca="1">DSUM(MercadoBase1,J$53,INDIRECT("r"&amp;5+2*(ROW()-54)&amp;":r"&amp;6+2*(ROW()-54)))</f>
        <v>0</v>
      </c>
      <c r="K64" s="951" cm="1">
        <f t="array" aca="1" ref="K64" ca="1">DSUM(MercadoBase1,K$53,INDIRECT("r"&amp;5+2*(ROW()-54)&amp;":r"&amp;6+2*(ROW()-54)))</f>
        <v>0</v>
      </c>
      <c r="L64" s="951" cm="1">
        <f t="array" aca="1" ref="L64" ca="1">DSUM(MercadoBase1,L$53,INDIRECT("r"&amp;5+2*(ROW()-54)&amp;":r"&amp;6+2*(ROW()-54)))</f>
        <v>0</v>
      </c>
      <c r="M64" s="951" cm="1">
        <f t="array" aca="1" ref="M64" ca="1">DSUM(MercadoBase1,M$53,INDIRECT("r"&amp;5+2*(ROW()-54)&amp;":r"&amp;6+2*(ROW()-54)))</f>
        <v>0</v>
      </c>
      <c r="N64" s="951" cm="1">
        <f t="array" aca="1" ref="N64" ca="1">DSUM(MercadoBase1,N$53,INDIRECT("r"&amp;5+2*(ROW()-54)&amp;":r"&amp;6+2*(ROW()-54)))</f>
        <v>0</v>
      </c>
      <c r="O64" s="951" cm="1">
        <f t="array" aca="1" ref="O64" ca="1">DSUM(MercadoBase1,O$53,INDIRECT("r"&amp;5+2*(ROW()-54)&amp;":r"&amp;6+2*(ROW()-54)))</f>
        <v>0</v>
      </c>
      <c r="P64" s="951" cm="1">
        <f t="array" aca="1" ref="P64" ca="1">DSUM(MercadoBase1,P$53,INDIRECT("r"&amp;5+2*(ROW()-54)&amp;":r"&amp;6+2*(ROW()-54)))</f>
        <v>0</v>
      </c>
      <c r="Q64" s="956" cm="1">
        <f t="array" aca="1" ref="Q64" ca="1">DSUM(MercadoBase1,Q$53,INDIRECT("r"&amp;5+2*(ROW()-54)&amp;":r"&amp;6+2*(ROW()-54)))</f>
        <v>0</v>
      </c>
      <c r="R64" s="952">
        <f>VLOOKUP(CAPA!$C$17,Índices!B:F,5,FALSE)/VLOOKUP(DATE(YEAR(B64),MONTH(B64),1),Índices!B:F,5,FALSE)</f>
        <v>1.0101531560893695</v>
      </c>
      <c r="S64" s="958" cm="1">
        <f t="array" aca="1" ref="S64" ca="1">DSUM(MercadoBase1,S$53,INDIRECT("r"&amp;5+2*(ROW()-54)&amp;":r"&amp;6+2*(ROW()-54)))</f>
        <v>0</v>
      </c>
      <c r="T64" s="951" cm="1">
        <f t="array" aca="1" ref="T64" ca="1">DSUM(MercadoBase1,T$53,INDIRECT("r"&amp;5+2*(ROW()-54)&amp;":r"&amp;6+2*(ROW()-54)))</f>
        <v>0</v>
      </c>
      <c r="U64" s="951" cm="1">
        <f t="array" aca="1" ref="U64" ca="1">DSUM(MercadoBase1,U$53,INDIRECT("r"&amp;5+2*(ROW()-54)&amp;":r"&amp;6+2*(ROW()-54)))</f>
        <v>0</v>
      </c>
      <c r="V64" s="951" cm="1">
        <f t="array" aca="1" ref="V64" ca="1">DSUM(MercadoBase1,V$53,INDIRECT("r"&amp;5+2*(ROW()-54)&amp;":r"&amp;6+2*(ROW()-54)))</f>
        <v>0</v>
      </c>
      <c r="W64" s="951" cm="1">
        <f t="array" aca="1" ref="W64" ca="1">DSUM(MercadoBase1,W$53,INDIRECT("r"&amp;5+2*(ROW()-54)&amp;":r"&amp;6+2*(ROW()-54)))</f>
        <v>0</v>
      </c>
      <c r="X64" s="951" cm="1">
        <f t="array" aca="1" ref="X64" ca="1">DSUM(MercadoBase1,X$53,INDIRECT("r"&amp;5+2*(ROW()-54)&amp;":r"&amp;6+2*(ROW()-54)))</f>
        <v>0</v>
      </c>
      <c r="Y64" s="951" cm="1">
        <f t="array" aca="1" ref="Y64" ca="1">DSUM(MercadoBase1,Y$53,INDIRECT("r"&amp;5+2*(ROW()-54)&amp;":r"&amp;6+2*(ROW()-54)))</f>
        <v>0</v>
      </c>
      <c r="Z64" s="951" cm="1">
        <f t="array" aca="1" ref="Z64" ca="1">DSUM(MercadoBase1,Z$53,INDIRECT("r"&amp;5+2*(ROW()-54)&amp;":r"&amp;6+2*(ROW()-54)))</f>
        <v>2126625.4297728413</v>
      </c>
      <c r="AA64" s="951" cm="1">
        <f t="array" aca="1" ref="AA64" ca="1">DSUM(MercadoBase1,AA$53,INDIRECT("r"&amp;5+2*(ROW()-54)&amp;":r"&amp;6+2*(ROW()-54)))</f>
        <v>0</v>
      </c>
      <c r="AB64" s="951" cm="1">
        <f t="array" aca="1" ref="AB64" ca="1">DSUM(MercadoBase1,AB$53,INDIRECT("r"&amp;5+2*(ROW()-54)&amp;":r"&amp;6+2*(ROW()-54)))</f>
        <v>0</v>
      </c>
    </row>
    <row r="65" spans="2:28" ht="15" customHeight="1">
      <c r="B65" s="949">
        <f>DATE(YEAR(CAPA!$C$15),MONTH(CAPA!$C$15)-1,1)</f>
        <v>44713</v>
      </c>
      <c r="C65" s="950"/>
      <c r="D65" s="1427" cm="1">
        <f t="array" aca="1" ref="D65" ca="1">DSUM(MercadoBase1,D$53,INDIRECT("r"&amp;5+2*(ROW()-54)&amp;":r"&amp;6+2*(ROW()-54)))</f>
        <v>0</v>
      </c>
      <c r="E65" s="1427" cm="1">
        <f t="array" aca="1" ref="E65" ca="1">DSUM(MercadoBase1,E$53,INDIRECT("r"&amp;5+2*(ROW()-54)&amp;":r"&amp;6+2*(ROW()-54)))</f>
        <v>0</v>
      </c>
      <c r="F65" s="951" cm="1">
        <f t="array" aca="1" ref="F65" ca="1">DSUM(MercadoBase1,F$53,INDIRECT("r"&amp;5+2*(ROW()-54)&amp;":r"&amp;6+2*(ROW()-54)))</f>
        <v>15955.047974846615</v>
      </c>
      <c r="G65" s="1427" cm="1">
        <f t="array" aca="1" ref="G65" ca="1">DSUM(MercadoBase1,G$53,INDIRECT("r"&amp;5+2*(ROW()-54)&amp;":r"&amp;6+2*(ROW()-54)))</f>
        <v>48469.428167525999</v>
      </c>
      <c r="H65" s="1427" cm="1">
        <f t="array" aca="1" ref="H65" ca="1">DSUM(MercadoBase1,H$53,INDIRECT("r"&amp;5+2*(ROW()-54)&amp;":r"&amp;6+2*(ROW()-54)))</f>
        <v>309958.17825392861</v>
      </c>
      <c r="I65" s="951" cm="1">
        <f t="array" aca="1" ref="I65" ca="1">DSUM(MercadoBase1,I$53,INDIRECT("r"&amp;5+2*(ROW()-54)&amp;":r"&amp;6+2*(ROW()-54)))</f>
        <v>9759.0370182238767</v>
      </c>
      <c r="J65" s="1427" cm="1">
        <f t="array" aca="1" ref="J65" ca="1">DSUM(MercadoBase1,J$53,INDIRECT("r"&amp;5+2*(ROW()-54)&amp;":r"&amp;6+2*(ROW()-54)))</f>
        <v>0</v>
      </c>
      <c r="K65" s="1427" cm="1">
        <f t="array" aca="1" ref="K65" ca="1">DSUM(MercadoBase1,K$53,INDIRECT("r"&amp;5+2*(ROW()-54)&amp;":r"&amp;6+2*(ROW()-54)))</f>
        <v>0</v>
      </c>
      <c r="L65" s="951" cm="1">
        <f t="array" aca="1" ref="L65" ca="1">DSUM(MercadoBase1,L$53,INDIRECT("r"&amp;5+2*(ROW()-54)&amp;":r"&amp;6+2*(ROW()-54)))</f>
        <v>0</v>
      </c>
      <c r="M65" s="1427" cm="1">
        <f t="array" aca="1" ref="M65" ca="1">DSUM(MercadoBase1,M$53,INDIRECT("r"&amp;5+2*(ROW()-54)&amp;":r"&amp;6+2*(ROW()-54)))</f>
        <v>0</v>
      </c>
      <c r="N65" s="1427" cm="1">
        <f t="array" aca="1" ref="N65" ca="1">DSUM(MercadoBase1,N$53,INDIRECT("r"&amp;5+2*(ROW()-54)&amp;":r"&amp;6+2*(ROW()-54)))</f>
        <v>0</v>
      </c>
      <c r="O65" s="951" cm="1">
        <f t="array" aca="1" ref="O65" ca="1">DSUM(MercadoBase1,O$53,INDIRECT("r"&amp;5+2*(ROW()-54)&amp;":r"&amp;6+2*(ROW()-54)))</f>
        <v>0</v>
      </c>
      <c r="P65" s="1427" cm="1">
        <f t="array" aca="1" ref="P65" ca="1">DSUM(MercadoBase1,P$53,INDIRECT("r"&amp;5+2*(ROW()-54)&amp;":r"&amp;6+2*(ROW()-54)))</f>
        <v>0</v>
      </c>
      <c r="Q65" s="957" cm="1">
        <f t="array" aca="1" ref="Q65" ca="1">DSUM(MercadoBase1,Q$53,INDIRECT("r"&amp;5+2*(ROW()-54)&amp;":r"&amp;6+2*(ROW()-54)))</f>
        <v>0</v>
      </c>
      <c r="R65" s="1428">
        <f>VLOOKUP(CAPA!$C$17,Índices!B:F,5,FALSE)/VLOOKUP(DATE(YEAR(B65),MONTH(B65),1),Índices!B:F,5,FALSE)</f>
        <v>1</v>
      </c>
      <c r="S65" s="958" cm="1">
        <f t="array" aca="1" ref="S65" ca="1">DSUM(MercadoBase1,S$53,INDIRECT("r"&amp;5+2*(ROW()-54)&amp;":r"&amp;6+2*(ROW()-54)))</f>
        <v>0</v>
      </c>
      <c r="T65" s="1427" cm="1">
        <f t="array" aca="1" ref="T65" ca="1">DSUM(MercadoBase1,T$53,INDIRECT("r"&amp;5+2*(ROW()-54)&amp;":r"&amp;6+2*(ROW()-54)))</f>
        <v>0</v>
      </c>
      <c r="U65" s="1427" cm="1">
        <f t="array" aca="1" ref="U65" ca="1">DSUM(MercadoBase1,U$53,INDIRECT("r"&amp;5+2*(ROW()-54)&amp;":r"&amp;6+2*(ROW()-54)))</f>
        <v>0</v>
      </c>
      <c r="V65" s="951" cm="1">
        <f t="array" aca="1" ref="V65" ca="1">DSUM(MercadoBase1,V$53,INDIRECT("r"&amp;5+2*(ROW()-54)&amp;":r"&amp;6+2*(ROW()-54)))</f>
        <v>0</v>
      </c>
      <c r="W65" s="1427" cm="1">
        <f t="array" aca="1" ref="W65" ca="1">DSUM(MercadoBase1,W$53,INDIRECT("r"&amp;5+2*(ROW()-54)&amp;":r"&amp;6+2*(ROW()-54)))</f>
        <v>0</v>
      </c>
      <c r="X65" s="1427" cm="1">
        <f t="array" aca="1" ref="X65" ca="1">DSUM(MercadoBase1,X$53,INDIRECT("r"&amp;5+2*(ROW()-54)&amp;":r"&amp;6+2*(ROW()-54)))</f>
        <v>0</v>
      </c>
      <c r="Y65" s="951" cm="1">
        <f t="array" aca="1" ref="Y65" ca="1">DSUM(MercadoBase1,Y$53,INDIRECT("r"&amp;5+2*(ROW()-54)&amp;":r"&amp;6+2*(ROW()-54)))</f>
        <v>0</v>
      </c>
      <c r="Z65" s="1427" cm="1">
        <f t="array" aca="1" ref="Z65" ca="1">DSUM(MercadoBase1,Z$53,INDIRECT("r"&amp;5+2*(ROW()-54)&amp;":r"&amp;6+2*(ROW()-54)))</f>
        <v>2181313.2298499853</v>
      </c>
      <c r="AA65" s="1427" cm="1">
        <f t="array" aca="1" ref="AA65" ca="1">DSUM(MercadoBase1,AA$53,INDIRECT("r"&amp;5+2*(ROW()-54)&amp;":r"&amp;6+2*(ROW()-54)))</f>
        <v>0</v>
      </c>
      <c r="AB65" s="951" cm="1">
        <f t="array" aca="1" ref="AB65" ca="1">DSUM(MercadoBase1,AB$53,INDIRECT("r"&amp;5+2*(ROW()-54)&amp;":r"&amp;6+2*(ROW()-54)))</f>
        <v>0</v>
      </c>
    </row>
    <row r="66" spans="2:28" ht="15" customHeight="1">
      <c r="B66" s="1429" t="s">
        <v>1014</v>
      </c>
      <c r="C66" s="1430"/>
      <c r="D66" s="1431">
        <f ca="1">SUM(D54:D65)</f>
        <v>0</v>
      </c>
      <c r="E66" s="1431">
        <f t="shared" ref="E66:Q66" ca="1" si="3">SUM(E54:E65)</f>
        <v>0</v>
      </c>
      <c r="F66" s="1431">
        <f t="shared" ca="1" si="3"/>
        <v>224225.79157262601</v>
      </c>
      <c r="G66" s="1431">
        <f ca="1">SUM(G54:G65)</f>
        <v>684420.70118752972</v>
      </c>
      <c r="H66" s="1431">
        <f t="shared" ca="1" si="3"/>
        <v>4359799.8740981584</v>
      </c>
      <c r="I66" s="1431">
        <f t="shared" ca="1" si="3"/>
        <v>136147.25831243768</v>
      </c>
      <c r="J66" s="1431">
        <f t="shared" ca="1" si="3"/>
        <v>0</v>
      </c>
      <c r="K66" s="1431">
        <f t="shared" ca="1" si="3"/>
        <v>0</v>
      </c>
      <c r="L66" s="1431">
        <f t="shared" ca="1" si="3"/>
        <v>0</v>
      </c>
      <c r="M66" s="1431">
        <f t="shared" ca="1" si="3"/>
        <v>0</v>
      </c>
      <c r="N66" s="1431">
        <f t="shared" ca="1" si="3"/>
        <v>0</v>
      </c>
      <c r="O66" s="1431">
        <f t="shared" ca="1" si="3"/>
        <v>0</v>
      </c>
      <c r="P66" s="1431">
        <f t="shared" ca="1" si="3"/>
        <v>0</v>
      </c>
      <c r="Q66" s="1431">
        <f t="shared" ca="1" si="3"/>
        <v>0</v>
      </c>
      <c r="R66" s="1427"/>
      <c r="S66" s="1431">
        <f t="shared" ref="S66:AB66" ca="1" si="4">SUM(S54:S65)</f>
        <v>0</v>
      </c>
      <c r="T66" s="1431">
        <f t="shared" ca="1" si="4"/>
        <v>0</v>
      </c>
      <c r="U66" s="1431">
        <f t="shared" ca="1" si="4"/>
        <v>0</v>
      </c>
      <c r="V66" s="1431">
        <f t="shared" ca="1" si="4"/>
        <v>0</v>
      </c>
      <c r="W66" s="1431">
        <f t="shared" ca="1" si="4"/>
        <v>0</v>
      </c>
      <c r="X66" s="1431">
        <f t="shared" ca="1" si="4"/>
        <v>0</v>
      </c>
      <c r="Y66" s="1431">
        <f t="shared" ca="1" si="4"/>
        <v>0</v>
      </c>
      <c r="Z66" s="1431">
        <f t="shared" ca="1" si="4"/>
        <v>30309190.110330328</v>
      </c>
      <c r="AA66" s="1431">
        <f t="shared" ca="1" si="4"/>
        <v>0</v>
      </c>
      <c r="AB66" s="1431">
        <f t="shared" ca="1" si="4"/>
        <v>0</v>
      </c>
    </row>
    <row r="67" spans="2:28" ht="15" customHeight="1">
      <c r="B67" s="1432" t="s">
        <v>1422</v>
      </c>
      <c r="C67" s="1433"/>
      <c r="D67" s="1434">
        <f t="shared" ref="D67:AB67" ca="1" si="5">SUMPRODUCT(D54:D65,$R$54:$R$65)</f>
        <v>0</v>
      </c>
      <c r="E67" s="1435">
        <f t="shared" ca="1" si="5"/>
        <v>0</v>
      </c>
      <c r="F67" s="1436">
        <f t="shared" ca="1" si="5"/>
        <v>234720.16096989714</v>
      </c>
      <c r="G67" s="1435">
        <f t="shared" ca="1" si="5"/>
        <v>716522.07198221656</v>
      </c>
      <c r="H67" s="1435">
        <f t="shared" ca="1" si="5"/>
        <v>4564135.0348494984</v>
      </c>
      <c r="I67" s="1436">
        <f t="shared" ca="1" si="5"/>
        <v>142517.01672429743</v>
      </c>
      <c r="J67" s="1434">
        <f t="shared" ca="1" si="5"/>
        <v>0</v>
      </c>
      <c r="K67" s="1435">
        <f t="shared" ca="1" si="5"/>
        <v>0</v>
      </c>
      <c r="L67" s="1436">
        <f t="shared" ca="1" si="5"/>
        <v>0</v>
      </c>
      <c r="M67" s="1435">
        <f t="shared" ca="1" si="5"/>
        <v>0</v>
      </c>
      <c r="N67" s="1435">
        <f t="shared" ca="1" si="5"/>
        <v>0</v>
      </c>
      <c r="O67" s="1436">
        <f t="shared" ca="1" si="5"/>
        <v>0</v>
      </c>
      <c r="P67" s="1434">
        <f t="shared" ca="1" si="5"/>
        <v>0</v>
      </c>
      <c r="Q67" s="1434">
        <f t="shared" ca="1" si="5"/>
        <v>0</v>
      </c>
      <c r="R67" s="1435">
        <f t="shared" si="5"/>
        <v>13.165388547125795</v>
      </c>
      <c r="S67" s="1436">
        <f t="shared" ca="1" si="5"/>
        <v>0</v>
      </c>
      <c r="T67" s="1435">
        <f t="shared" ca="1" si="5"/>
        <v>0</v>
      </c>
      <c r="U67" s="1435">
        <f t="shared" ca="1" si="5"/>
        <v>0</v>
      </c>
      <c r="V67" s="1436">
        <f t="shared" ca="1" si="5"/>
        <v>0</v>
      </c>
      <c r="W67" s="1434">
        <f t="shared" ca="1" si="5"/>
        <v>0</v>
      </c>
      <c r="X67" s="1435">
        <f t="shared" ca="1" si="5"/>
        <v>0</v>
      </c>
      <c r="Y67" s="1436">
        <f t="shared" ca="1" si="5"/>
        <v>0</v>
      </c>
      <c r="Z67" s="1435">
        <f t="shared" ca="1" si="5"/>
        <v>31728660.539403614</v>
      </c>
      <c r="AA67" s="1435">
        <f t="shared" ca="1" si="5"/>
        <v>0</v>
      </c>
      <c r="AB67" s="1436">
        <f t="shared" ca="1" si="5"/>
        <v>0</v>
      </c>
    </row>
    <row r="71" spans="2:28" ht="15" customHeight="1">
      <c r="H71" s="959"/>
      <c r="J71" s="959"/>
    </row>
    <row r="72" spans="2:28" ht="15" customHeight="1">
      <c r="H72" s="959"/>
      <c r="J72" s="959"/>
    </row>
    <row r="73" spans="2:28" ht="15" customHeight="1">
      <c r="H73" s="959"/>
      <c r="J73" s="959"/>
    </row>
    <row r="74" spans="2:28" ht="15" customHeight="1">
      <c r="H74" s="959"/>
      <c r="J74" s="959"/>
    </row>
    <row r="75" spans="2:28" ht="15" customHeight="1">
      <c r="H75" s="959"/>
      <c r="J75" s="959"/>
    </row>
    <row r="76" spans="2:28" ht="15" customHeight="1">
      <c r="H76" s="959"/>
      <c r="J76" s="959"/>
    </row>
    <row r="77" spans="2:28" ht="15" customHeight="1">
      <c r="H77" s="959"/>
      <c r="J77" s="959"/>
    </row>
    <row r="78" spans="2:28" ht="15" customHeight="1">
      <c r="H78" s="959"/>
      <c r="J78" s="959"/>
    </row>
    <row r="79" spans="2:28" ht="15" customHeight="1">
      <c r="H79" s="959"/>
      <c r="J79" s="959"/>
    </row>
    <row r="80" spans="2:28" ht="15" customHeight="1">
      <c r="H80" s="959"/>
      <c r="J80" s="959"/>
    </row>
    <row r="81" spans="8:10" ht="15" customHeight="1">
      <c r="H81" s="959"/>
      <c r="J81" s="959"/>
    </row>
    <row r="82" spans="8:10" ht="15" customHeight="1">
      <c r="H82" s="959"/>
      <c r="J82" s="959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L30" sqref="L30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82" t="str">
        <f>CAPA!C9</f>
        <v>Cooperluz</v>
      </c>
    </row>
    <row r="3" spans="1:14">
      <c r="A3" s="882" t="s">
        <v>1423</v>
      </c>
      <c r="B3" s="883">
        <v>0</v>
      </c>
    </row>
    <row r="7" spans="1:14">
      <c r="A7" s="884"/>
      <c r="B7" s="1841" t="s">
        <v>1424</v>
      </c>
      <c r="C7" s="1841"/>
      <c r="D7" s="1841"/>
      <c r="E7" s="884"/>
      <c r="F7" s="1841" t="s">
        <v>1425</v>
      </c>
      <c r="G7" s="1841"/>
      <c r="H7" s="1841"/>
      <c r="I7" s="884"/>
      <c r="J7" s="1841" t="s">
        <v>1426</v>
      </c>
      <c r="K7" s="1841"/>
      <c r="L7" s="1841"/>
    </row>
    <row r="8" spans="1:14">
      <c r="A8" s="1437" t="s">
        <v>1427</v>
      </c>
      <c r="B8" s="1437" t="s">
        <v>1428</v>
      </c>
      <c r="C8" s="1437" t="s">
        <v>110</v>
      </c>
      <c r="D8" s="1437" t="s">
        <v>1429</v>
      </c>
      <c r="E8" s="1437"/>
      <c r="F8" s="1437" t="s">
        <v>1428</v>
      </c>
      <c r="G8" s="1437" t="s">
        <v>1430</v>
      </c>
      <c r="H8" s="1437" t="s">
        <v>1431</v>
      </c>
      <c r="I8" s="1437"/>
      <c r="J8" s="1437" t="s">
        <v>1428</v>
      </c>
      <c r="K8" s="1437" t="s">
        <v>1430</v>
      </c>
      <c r="L8" s="1437" t="s">
        <v>1432</v>
      </c>
    </row>
    <row r="9" spans="1:14">
      <c r="A9" s="1438">
        <v>44013</v>
      </c>
      <c r="B9" s="1439">
        <f>SUMIFS(BDCOVID!F:F,BDCOVID!$C:$C,'Conta covid'!$A$1,BDCOVID!$AH:$AH,'Conta covid'!$A9)</f>
        <v>0</v>
      </c>
      <c r="C9" s="1439">
        <f>SUMIFS(BDCOVID!G:G,BDCOVID!$C:$C,'Conta covid'!$A$1,BDCOVID!$AH:$AH,'Conta covid'!$A9)</f>
        <v>0</v>
      </c>
      <c r="D9" s="1440">
        <f>B9-C9</f>
        <v>0</v>
      </c>
      <c r="E9" s="1439"/>
      <c r="F9" s="1441">
        <f>B9*VLOOKUP(SAS_RA0_DataFim,Índices!$B$6:$F$405,5,FALSE)/VLOOKUP(EDATE('Conta covid'!$A9,-1),Índices!$B$6:$F$405,5,FALSE)</f>
        <v>0</v>
      </c>
      <c r="G9" s="1441">
        <f>C9*VLOOKUP(SAS_RA0_DataFim,Índices!$B$6:$F$405,5,FALSE)/VLOOKUP(EDATE('Conta covid'!$A9,-1),Índices!$B$6:$F$405,5,FALSE)</f>
        <v>0</v>
      </c>
      <c r="H9" s="1441">
        <f>F9-G9</f>
        <v>0</v>
      </c>
      <c r="I9" s="1439"/>
      <c r="J9" s="1441">
        <f>IFERROR(IF($C$19,H9*$B$3,0),0)</f>
        <v>0</v>
      </c>
      <c r="K9" s="1441"/>
      <c r="L9" s="1441"/>
    </row>
    <row r="10" spans="1:14">
      <c r="A10" s="1438">
        <v>44044</v>
      </c>
      <c r="B10" s="1439">
        <f>SUMIFS(BDCOVID!F:F,BDCOVID!$C:$C,'Conta covid'!$A$1,BDCOVID!$AH:$AH,'Conta covid'!$A10)</f>
        <v>0</v>
      </c>
      <c r="C10" s="1439">
        <f>SUMIFS(BDCOVID!G:G,BDCOVID!$C:$C,'Conta covid'!$A$1,BDCOVID!$AH:$AH,'Conta covid'!$A10)</f>
        <v>0</v>
      </c>
      <c r="D10" s="1440">
        <f t="shared" ref="D10:D15" si="0">B10-C10</f>
        <v>0</v>
      </c>
      <c r="E10" s="1439"/>
      <c r="F10" s="1441">
        <f>B10*VLOOKUP(SAS_RA0_DataFim,Índices!$B$6:$F$405,5,FALSE)/VLOOKUP(EDATE('Conta covid'!$A10,-1),Índices!$B$6:$F$405,5,FALSE)</f>
        <v>0</v>
      </c>
      <c r="G10" s="1441">
        <f>C10*VLOOKUP(SAS_RA0_DataFim,Índices!$B$6:$F$405,5,FALSE)/VLOOKUP(EDATE('Conta covid'!$A10,-1),Índices!$B$6:$F$405,5,FALSE)</f>
        <v>0</v>
      </c>
      <c r="H10" s="1441">
        <f t="shared" ref="H10:H15" si="1">F10-G10</f>
        <v>0</v>
      </c>
      <c r="I10" s="1439"/>
      <c r="J10" s="1441">
        <f t="shared" ref="J10:J16" si="2">IFERROR(IF($C$19,H10*$B$3,0),0)</f>
        <v>0</v>
      </c>
      <c r="K10" s="1441"/>
      <c r="L10" s="1441"/>
    </row>
    <row r="11" spans="1:14">
      <c r="A11" s="1438">
        <v>44075</v>
      </c>
      <c r="B11" s="1439">
        <f>SUMIFS(BDCOVID!F:F,BDCOVID!$C:$C,'Conta covid'!$A$1,BDCOVID!$AH:$AH,'Conta covid'!$A11)</f>
        <v>0</v>
      </c>
      <c r="C11" s="1439">
        <f>SUMIFS(BDCOVID!G:G,BDCOVID!$C:$C,'Conta covid'!$A$1,BDCOVID!$AH:$AH,'Conta covid'!$A11)</f>
        <v>0</v>
      </c>
      <c r="D11" s="1440">
        <f t="shared" si="0"/>
        <v>0</v>
      </c>
      <c r="E11" s="1439"/>
      <c r="F11" s="1441">
        <f>B11*VLOOKUP(SAS_RA0_DataFim,Índices!$B$6:$F$405,5,FALSE)/VLOOKUP(EDATE('Conta covid'!$A11,-1),Índices!$B$6:$F$405,5,FALSE)</f>
        <v>0</v>
      </c>
      <c r="G11" s="1441">
        <f>C11*VLOOKUP(SAS_RA0_DataFim,Índices!$B$6:$F$405,5,FALSE)/VLOOKUP(EDATE('Conta covid'!$A11,-1),Índices!$B$6:$F$405,5,FALSE)</f>
        <v>0</v>
      </c>
      <c r="H11" s="1441">
        <f t="shared" si="1"/>
        <v>0</v>
      </c>
      <c r="I11" s="1439"/>
      <c r="J11" s="1441">
        <f t="shared" si="2"/>
        <v>0</v>
      </c>
      <c r="K11" s="1441"/>
      <c r="L11" s="1441"/>
    </row>
    <row r="12" spans="1:14">
      <c r="A12" s="1438">
        <v>44105</v>
      </c>
      <c r="B12" s="1439">
        <f>SUMIFS(BDCOVID!F:F,BDCOVID!$C:$C,'Conta covid'!$A$1,BDCOVID!$AH:$AH,'Conta covid'!$A12)</f>
        <v>0</v>
      </c>
      <c r="C12" s="1439">
        <f>SUMIFS(BDCOVID!G:G,BDCOVID!$C:$C,'Conta covid'!$A$1,BDCOVID!$AH:$AH,'Conta covid'!$A12)</f>
        <v>0</v>
      </c>
      <c r="D12" s="1440">
        <f t="shared" si="0"/>
        <v>0</v>
      </c>
      <c r="E12" s="1439"/>
      <c r="F12" s="1441">
        <f>B12*VLOOKUP(SAS_RA0_DataFim,Índices!$B$6:$F$405,5,FALSE)/VLOOKUP(EDATE('Conta covid'!$A12,-1),Índices!$B$6:$F$405,5,FALSE)</f>
        <v>0</v>
      </c>
      <c r="G12" s="1441">
        <f>C12*VLOOKUP(SAS_RA0_DataFim,Índices!$B$6:$F$405,5,FALSE)/VLOOKUP(EDATE('Conta covid'!$A12,-1),Índices!$B$6:$F$405,5,FALSE)</f>
        <v>0</v>
      </c>
      <c r="H12" s="1441">
        <f t="shared" si="1"/>
        <v>0</v>
      </c>
      <c r="I12" s="1439"/>
      <c r="J12" s="1441">
        <f t="shared" si="2"/>
        <v>0</v>
      </c>
      <c r="K12" s="1441"/>
      <c r="L12" s="1441"/>
    </row>
    <row r="13" spans="1:14">
      <c r="A13" s="1438">
        <v>44136</v>
      </c>
      <c r="B13" s="1439">
        <f>SUMIFS(BDCOVID!F:F,BDCOVID!$C:$C,'Conta covid'!$A$1,BDCOVID!$AH:$AH,'Conta covid'!$A13)</f>
        <v>0</v>
      </c>
      <c r="C13" s="1439">
        <f>SUMIFS(BDCOVID!G:G,BDCOVID!$C:$C,'Conta covid'!$A$1,BDCOVID!$AH:$AH,'Conta covid'!$A13)</f>
        <v>0</v>
      </c>
      <c r="D13" s="1440">
        <f t="shared" si="0"/>
        <v>0</v>
      </c>
      <c r="E13" s="1439"/>
      <c r="F13" s="1441">
        <f>B13*VLOOKUP(SAS_RA0_DataFim,Índices!$B$6:$F$405,5,FALSE)/VLOOKUP(EDATE('Conta covid'!$A13,-1),Índices!$B$6:$F$405,5,FALSE)</f>
        <v>0</v>
      </c>
      <c r="G13" s="1441">
        <f>C13*VLOOKUP(SAS_RA0_DataFim,Índices!$B$6:$F$405,5,FALSE)/VLOOKUP(EDATE('Conta covid'!$A13,-1),Índices!$B$6:$F$405,5,FALSE)</f>
        <v>0</v>
      </c>
      <c r="H13" s="1441">
        <f t="shared" si="1"/>
        <v>0</v>
      </c>
      <c r="I13" s="1439"/>
      <c r="J13" s="1441">
        <f t="shared" si="2"/>
        <v>0</v>
      </c>
      <c r="K13" s="1441"/>
      <c r="L13" s="1441"/>
      <c r="M13" s="885">
        <f t="shared" ref="M13:N13" si="3">SUM(M5:M12)</f>
        <v>0</v>
      </c>
      <c r="N13" s="885">
        <f t="shared" si="3"/>
        <v>0</v>
      </c>
    </row>
    <row r="14" spans="1:14">
      <c r="A14" s="1438">
        <v>44166</v>
      </c>
      <c r="B14" s="1439">
        <f>SUMIFS(BDCOVID!F:F,BDCOVID!$C:$C,'Conta covid'!$A$1,BDCOVID!$AH:$AH,'Conta covid'!$A14)</f>
        <v>0</v>
      </c>
      <c r="C14" s="1439">
        <f>SUMIFS(BDCOVID!G:G,BDCOVID!$C:$C,'Conta covid'!$A$1,BDCOVID!$AH:$AH,'Conta covid'!$A14)</f>
        <v>0</v>
      </c>
      <c r="D14" s="1440">
        <f t="shared" si="0"/>
        <v>0</v>
      </c>
      <c r="E14" s="1439"/>
      <c r="F14" s="1441">
        <f>B14*VLOOKUP(SAS_RA0_DataFim,Índices!$B$6:$F$405,5,FALSE)/VLOOKUP(EDATE('Conta covid'!$A14,-1),Índices!$B$6:$F$405,5,FALSE)</f>
        <v>0</v>
      </c>
      <c r="G14" s="1441">
        <f>C14*VLOOKUP(SAS_RA0_DataFim,Índices!$B$6:$F$405,5,FALSE)/VLOOKUP(EDATE('Conta covid'!$A14,-1),Índices!$B$6:$F$405,5,FALSE)</f>
        <v>0</v>
      </c>
      <c r="H14" s="1441">
        <f t="shared" si="1"/>
        <v>0</v>
      </c>
      <c r="I14" s="1439"/>
      <c r="J14" s="1441">
        <f t="shared" si="2"/>
        <v>0</v>
      </c>
      <c r="K14" s="1441"/>
      <c r="L14" s="1441"/>
    </row>
    <row r="15" spans="1:14">
      <c r="A15" s="1438">
        <v>44197</v>
      </c>
      <c r="B15" s="1439">
        <f>SUMIFS(BDCOVID!F:F,BDCOVID!$C:$C,'Conta covid'!$A$1,BDCOVID!$AH:$AH,'Conta covid'!$A15)</f>
        <v>0</v>
      </c>
      <c r="C15" s="1439">
        <f>SUMIFS(BDCOVID!G:G,BDCOVID!$C:$C,'Conta covid'!$A$1,BDCOVID!$AH:$AH,'Conta covid'!$A15)</f>
        <v>0</v>
      </c>
      <c r="D15" s="1440">
        <f t="shared" si="0"/>
        <v>0</v>
      </c>
      <c r="E15" s="1439"/>
      <c r="F15" s="1441">
        <f>B15*VLOOKUP(SAS_RA0_DataFim,Índices!$B$6:$F$405,5,FALSE)/VLOOKUP(EDATE('Conta covid'!$A15,-1),Índices!$B$6:$F$405,5,FALSE)</f>
        <v>0</v>
      </c>
      <c r="G15" s="1441">
        <f>C15*VLOOKUP(SAS_RA0_DataFim,Índices!$B$6:$F$405,5,FALSE)/VLOOKUP(EDATE('Conta covid'!$A15,-1),Índices!$B$6:$F$405,5,FALSE)</f>
        <v>0</v>
      </c>
      <c r="H15" s="1441">
        <f t="shared" si="1"/>
        <v>0</v>
      </c>
      <c r="I15" s="1439"/>
      <c r="J15" s="1441">
        <f t="shared" si="2"/>
        <v>0</v>
      </c>
      <c r="K15" s="1441"/>
      <c r="L15" s="1441"/>
    </row>
    <row r="16" spans="1:14">
      <c r="A16" s="1439"/>
      <c r="B16" s="1439"/>
      <c r="C16" s="1439"/>
      <c r="D16" s="1439"/>
      <c r="E16" s="1439"/>
      <c r="F16" s="1439"/>
      <c r="G16" s="1441"/>
      <c r="H16" s="1439"/>
      <c r="I16" s="1439"/>
      <c r="J16" s="1441">
        <f t="shared" si="2"/>
        <v>0</v>
      </c>
      <c r="K16" s="1439"/>
      <c r="L16" s="1439"/>
    </row>
    <row r="17" spans="1:12">
      <c r="A17" s="1442" t="s">
        <v>846</v>
      </c>
      <c r="B17" s="1443">
        <f>SUM(B9:B16)</f>
        <v>0</v>
      </c>
      <c r="C17" s="1443">
        <f t="shared" ref="C17:L17" si="4">SUM(C9:C16)</f>
        <v>0</v>
      </c>
      <c r="D17" s="1443">
        <f t="shared" si="4"/>
        <v>0</v>
      </c>
      <c r="E17" s="1443">
        <f t="shared" si="4"/>
        <v>0</v>
      </c>
      <c r="F17" s="1443">
        <f t="shared" si="4"/>
        <v>0</v>
      </c>
      <c r="G17" s="1443">
        <f t="shared" si="4"/>
        <v>0</v>
      </c>
      <c r="H17" s="1443">
        <f t="shared" si="4"/>
        <v>0</v>
      </c>
      <c r="I17" s="1443">
        <f t="shared" si="4"/>
        <v>0</v>
      </c>
      <c r="J17" s="1443">
        <f t="shared" si="4"/>
        <v>0</v>
      </c>
      <c r="K17" s="1443">
        <f t="shared" si="4"/>
        <v>0</v>
      </c>
      <c r="L17" s="1443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1433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1434</v>
      </c>
      <c r="B3" s="65"/>
      <c r="C3" s="65"/>
      <c r="D3" s="65"/>
      <c r="E3" s="65"/>
      <c r="F3" s="695"/>
      <c r="G3" s="358"/>
      <c r="H3" s="358"/>
      <c r="I3" s="697" t="s">
        <v>1435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444" t="s">
        <v>22</v>
      </c>
      <c r="B4" s="1445"/>
      <c r="C4" s="699" t="s">
        <v>930</v>
      </c>
      <c r="D4" s="699" t="s">
        <v>1436</v>
      </c>
      <c r="E4" s="699" t="s">
        <v>1437</v>
      </c>
      <c r="F4" s="699" t="s">
        <v>8</v>
      </c>
      <c r="G4" s="700" t="s">
        <v>1438</v>
      </c>
      <c r="H4" s="358"/>
      <c r="I4" s="1444" t="s">
        <v>22</v>
      </c>
      <c r="J4" s="1444"/>
      <c r="K4" s="1444"/>
      <c r="L4" s="699" t="s">
        <v>1437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46" t="s">
        <v>774</v>
      </c>
      <c r="B5" s="1447"/>
      <c r="C5" s="1448">
        <f>SUMPRODUCT(C16:Q16,$C$22:$Q$22)</f>
        <v>234061.3642305845</v>
      </c>
      <c r="D5" s="704">
        <f>SUMPRODUCT(C28:Q28,$C$34:$Q$34)</f>
        <v>6900.514626112903</v>
      </c>
      <c r="E5" s="1449">
        <f>C5-D5</f>
        <v>227160.84960447159</v>
      </c>
      <c r="F5" s="1450">
        <f>Resultado!M9</f>
        <v>243945.0156613756</v>
      </c>
      <c r="G5" s="701">
        <f>F5+E5</f>
        <v>471105.86526584718</v>
      </c>
      <c r="H5" s="358"/>
      <c r="I5" s="1446" t="s">
        <v>774</v>
      </c>
      <c r="J5" s="1446"/>
      <c r="K5" s="1446"/>
      <c r="L5" s="1450">
        <f t="shared" ref="L5:N10" si="0">E5/12</f>
        <v>18930.070800372632</v>
      </c>
      <c r="M5" s="1450">
        <f t="shared" si="0"/>
        <v>20328.751305114634</v>
      </c>
      <c r="N5" s="1448">
        <f t="shared" si="0"/>
        <v>39258.822105487263</v>
      </c>
      <c r="P5" s="358"/>
      <c r="Q5" s="358"/>
      <c r="R5" s="9"/>
      <c r="S5" s="9"/>
      <c r="T5" s="9"/>
      <c r="U5" s="9"/>
      <c r="V5" s="9"/>
    </row>
    <row r="6" spans="1:22">
      <c r="A6" s="65" t="s">
        <v>776</v>
      </c>
      <c r="B6" s="702"/>
      <c r="C6" s="703">
        <f t="shared" ref="C6:C10" si="1">SUMPRODUCT(C17:Q17,$C$22:$Q$22)</f>
        <v>16537.811184682887</v>
      </c>
      <c r="D6" s="704">
        <f t="shared" ref="D6:D10" si="2">SUMPRODUCT(C29:Q29,$C$34:$Q$34)</f>
        <v>16548.248851801691</v>
      </c>
      <c r="E6" s="722">
        <f t="shared" ref="E6:E10" si="3">C6-D6</f>
        <v>-10.437667118803802</v>
      </c>
      <c r="F6" s="704">
        <f>Resultado!M10</f>
        <v>13679.001766005784</v>
      </c>
      <c r="G6" s="701">
        <f t="shared" ref="G6:G10" si="4">F6+E6</f>
        <v>13668.56409888698</v>
      </c>
      <c r="H6" s="358"/>
      <c r="I6" s="65" t="s">
        <v>776</v>
      </c>
      <c r="J6" s="65"/>
      <c r="K6" s="65"/>
      <c r="L6" s="704">
        <f t="shared" si="0"/>
        <v>-0.86980559323365014</v>
      </c>
      <c r="M6" s="704">
        <f t="shared" si="0"/>
        <v>1139.9168138338152</v>
      </c>
      <c r="N6" s="703">
        <f t="shared" si="0"/>
        <v>1139.0470082405816</v>
      </c>
      <c r="P6" s="358"/>
      <c r="Q6" s="358"/>
      <c r="R6" s="9"/>
      <c r="S6" s="9"/>
      <c r="T6" s="9"/>
      <c r="U6" s="9"/>
      <c r="V6" s="9"/>
    </row>
    <row r="7" spans="1:22">
      <c r="A7" s="65" t="s">
        <v>778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-Financeiros!D37+Resultado!M11</f>
        <v>0</v>
      </c>
      <c r="G7" s="701">
        <f t="shared" si="4"/>
        <v>0</v>
      </c>
      <c r="H7" s="358"/>
      <c r="I7" s="65" t="s">
        <v>778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779</v>
      </c>
      <c r="B8" s="702"/>
      <c r="C8" s="703">
        <f t="shared" si="1"/>
        <v>90458.732815309748</v>
      </c>
      <c r="D8" s="704">
        <f t="shared" si="2"/>
        <v>84640.771605095317</v>
      </c>
      <c r="E8" s="722">
        <f t="shared" si="3"/>
        <v>5817.961210214431</v>
      </c>
      <c r="F8" s="704">
        <f>Resultado!M12</f>
        <v>41691.177520942903</v>
      </c>
      <c r="G8" s="701">
        <f t="shared" si="4"/>
        <v>47509.138731157334</v>
      </c>
      <c r="H8" s="358"/>
      <c r="I8" s="65" t="s">
        <v>779</v>
      </c>
      <c r="J8" s="65"/>
      <c r="K8" s="65"/>
      <c r="L8" s="704">
        <f t="shared" si="0"/>
        <v>484.83010085120259</v>
      </c>
      <c r="M8" s="704">
        <f t="shared" si="0"/>
        <v>3474.2647934119086</v>
      </c>
      <c r="N8" s="703">
        <f t="shared" si="0"/>
        <v>3959.0948942631112</v>
      </c>
      <c r="P8" s="358"/>
      <c r="Q8" s="358"/>
      <c r="R8" s="9"/>
      <c r="S8" s="9"/>
      <c r="T8" s="9"/>
      <c r="U8" s="9"/>
      <c r="V8" s="9"/>
    </row>
    <row r="9" spans="1:22">
      <c r="A9" s="65" t="s">
        <v>782</v>
      </c>
      <c r="B9" s="702"/>
      <c r="C9" s="703">
        <f t="shared" si="1"/>
        <v>3183488.088875365</v>
      </c>
      <c r="D9" s="704">
        <f t="shared" si="2"/>
        <v>3157944.1059523942</v>
      </c>
      <c r="E9" s="722">
        <f>C9-D9</f>
        <v>25543.982922970783</v>
      </c>
      <c r="F9" s="704">
        <f>Resultado!M13</f>
        <v>1463700.4466064132</v>
      </c>
      <c r="G9" s="701">
        <f t="shared" si="4"/>
        <v>1489244.429529384</v>
      </c>
      <c r="H9" s="358"/>
      <c r="I9" s="65" t="s">
        <v>782</v>
      </c>
      <c r="J9" s="65"/>
      <c r="K9" s="65"/>
      <c r="L9" s="704">
        <f t="shared" si="0"/>
        <v>2128.6652435808987</v>
      </c>
      <c r="M9" s="704">
        <f t="shared" si="0"/>
        <v>121975.0372172011</v>
      </c>
      <c r="N9" s="703">
        <f t="shared" si="0"/>
        <v>124103.70246078201</v>
      </c>
      <c r="P9" s="358"/>
      <c r="Q9" s="358"/>
      <c r="R9" s="9"/>
      <c r="S9" s="9"/>
      <c r="T9" s="9"/>
      <c r="U9" s="9"/>
      <c r="V9" s="9"/>
    </row>
    <row r="10" spans="1:22">
      <c r="A10" s="1152" t="s">
        <v>784</v>
      </c>
      <c r="B10" s="705"/>
      <c r="C10" s="703">
        <f t="shared" si="1"/>
        <v>516760.11308297329</v>
      </c>
      <c r="D10" s="704">
        <f t="shared" si="2"/>
        <v>344249.37378326262</v>
      </c>
      <c r="E10" s="1451">
        <f t="shared" si="3"/>
        <v>172510.73929971067</v>
      </c>
      <c r="F10" s="1452">
        <f>Resultado!M14</f>
        <v>463968.02664904279</v>
      </c>
      <c r="G10" s="701">
        <f t="shared" si="4"/>
        <v>636478.76594875345</v>
      </c>
      <c r="H10" s="358"/>
      <c r="I10" s="1152" t="s">
        <v>784</v>
      </c>
      <c r="J10" s="1152"/>
      <c r="K10" s="1152"/>
      <c r="L10" s="1452">
        <f t="shared" si="0"/>
        <v>14375.894941642555</v>
      </c>
      <c r="M10" s="1452">
        <f t="shared" si="0"/>
        <v>38664.002220753566</v>
      </c>
      <c r="N10" s="706">
        <f t="shared" si="0"/>
        <v>53039.897162396119</v>
      </c>
      <c r="P10" s="358"/>
      <c r="Q10" s="358"/>
      <c r="R10" s="9"/>
      <c r="S10" s="9"/>
      <c r="T10" s="9"/>
      <c r="U10" s="9"/>
      <c r="V10" s="9"/>
    </row>
    <row r="11" spans="1:22">
      <c r="A11" s="1453" t="s">
        <v>846</v>
      </c>
      <c r="B11" s="1453"/>
      <c r="C11" s="1454">
        <f>SUM(C5:C10)</f>
        <v>4041306.1101889154</v>
      </c>
      <c r="D11" s="1454">
        <f>SUM(D5:D10)</f>
        <v>3610283.0148186665</v>
      </c>
      <c r="E11" s="1454">
        <f t="shared" ref="E11" si="5">SUM(E5:E10)</f>
        <v>431023.09537024866</v>
      </c>
      <c r="F11" s="1454">
        <f>SUM(F5:F10)</f>
        <v>2226983.6682037804</v>
      </c>
      <c r="G11" s="1455">
        <f>SUM(G5:G10)</f>
        <v>2658006.7635740289</v>
      </c>
      <c r="H11" s="358"/>
      <c r="I11" s="1453" t="s">
        <v>846</v>
      </c>
      <c r="J11" s="1453"/>
      <c r="K11" s="1453"/>
      <c r="L11" s="1454">
        <f>SUM(L5:L10)</f>
        <v>35918.591280854052</v>
      </c>
      <c r="M11" s="1454">
        <f>SUM(M5:M10)</f>
        <v>185581.97235031502</v>
      </c>
      <c r="N11" s="1455">
        <f>SUM(N5:N10)</f>
        <v>221500.56363116909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1439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842" t="s">
        <v>22</v>
      </c>
      <c r="B14" s="1843" t="s">
        <v>1440</v>
      </c>
      <c r="C14" s="358"/>
      <c r="D14" s="358"/>
      <c r="E14" s="358"/>
      <c r="F14" s="707" t="s">
        <v>954</v>
      </c>
      <c r="G14" s="707" t="s">
        <v>954</v>
      </c>
      <c r="H14" s="707" t="s">
        <v>954</v>
      </c>
      <c r="I14" s="707" t="s">
        <v>954</v>
      </c>
      <c r="J14" s="707" t="s">
        <v>954</v>
      </c>
      <c r="K14" s="707" t="s">
        <v>954</v>
      </c>
      <c r="L14" s="707" t="s">
        <v>954</v>
      </c>
      <c r="M14" s="707" t="s">
        <v>954</v>
      </c>
      <c r="N14" s="707" t="s">
        <v>954</v>
      </c>
      <c r="O14" s="707" t="s">
        <v>954</v>
      </c>
      <c r="P14" s="707" t="s">
        <v>954</v>
      </c>
      <c r="Q14" s="707" t="s">
        <v>954</v>
      </c>
      <c r="R14" s="9"/>
      <c r="S14" s="9"/>
      <c r="T14" s="9"/>
      <c r="U14" s="9"/>
      <c r="V14" s="9"/>
    </row>
    <row r="15" spans="1:22">
      <c r="A15" s="1842"/>
      <c r="B15" s="1843"/>
      <c r="C15" s="708">
        <f t="shared" ref="C15:P15" si="6">EDATE(D15,-1)</f>
        <v>44287</v>
      </c>
      <c r="D15" s="708">
        <f>EDATE(E15,-1)</f>
        <v>44317</v>
      </c>
      <c r="E15" s="708">
        <f>EDATE(F15,-1)</f>
        <v>44348</v>
      </c>
      <c r="F15" s="709">
        <f>EDATE(G15,-1)</f>
        <v>44378</v>
      </c>
      <c r="G15" s="709">
        <f t="shared" si="6"/>
        <v>44409</v>
      </c>
      <c r="H15" s="709">
        <f t="shared" si="6"/>
        <v>44440</v>
      </c>
      <c r="I15" s="709">
        <f t="shared" si="6"/>
        <v>44470</v>
      </c>
      <c r="J15" s="709">
        <f t="shared" si="6"/>
        <v>44501</v>
      </c>
      <c r="K15" s="709">
        <f t="shared" si="6"/>
        <v>44531</v>
      </c>
      <c r="L15" s="709">
        <f t="shared" si="6"/>
        <v>44562</v>
      </c>
      <c r="M15" s="709">
        <f t="shared" si="6"/>
        <v>44593</v>
      </c>
      <c r="N15" s="709">
        <f t="shared" si="6"/>
        <v>44621</v>
      </c>
      <c r="O15" s="709">
        <f t="shared" si="6"/>
        <v>44652</v>
      </c>
      <c r="P15" s="709">
        <f t="shared" si="6"/>
        <v>44682</v>
      </c>
      <c r="Q15" s="709">
        <f>DATE(YEAR(DataRevRea),MONTH(DataRevRea)-1,1)</f>
        <v>44713</v>
      </c>
      <c r="R15" s="9" t="s">
        <v>1017</v>
      </c>
      <c r="S15" s="9"/>
      <c r="T15" s="9"/>
      <c r="U15" s="9"/>
      <c r="V15" s="9"/>
    </row>
    <row r="16" spans="1:22">
      <c r="A16" s="710" t="s">
        <v>1441</v>
      </c>
      <c r="B16" s="711" t="s">
        <v>1006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14210.11261</v>
      </c>
      <c r="G16" s="712">
        <f t="shared" si="8"/>
        <v>18676.877189999999</v>
      </c>
      <c r="H16" s="712">
        <f t="shared" si="8"/>
        <v>20840.126664999996</v>
      </c>
      <c r="I16" s="712">
        <f t="shared" si="8"/>
        <v>20561.540434999999</v>
      </c>
      <c r="J16" s="712">
        <f t="shared" si="8"/>
        <v>20999.131089999999</v>
      </c>
      <c r="K16" s="712">
        <f t="shared" si="8"/>
        <v>20470.63725</v>
      </c>
      <c r="L16" s="712">
        <f t="shared" si="8"/>
        <v>20401.767444999998</v>
      </c>
      <c r="M16" s="712">
        <f t="shared" si="8"/>
        <v>19713.599585</v>
      </c>
      <c r="N16" s="712">
        <f t="shared" si="8"/>
        <v>19500.936865</v>
      </c>
      <c r="O16" s="712">
        <f t="shared" si="8"/>
        <v>15027.220405</v>
      </c>
      <c r="P16" s="712">
        <f t="shared" si="8"/>
        <v>13834.848925</v>
      </c>
      <c r="Q16" s="712">
        <f t="shared" si="8"/>
        <v>14403.637005</v>
      </c>
      <c r="R16" s="9"/>
      <c r="S16" s="9"/>
      <c r="T16" s="9"/>
      <c r="U16" s="9"/>
      <c r="V16" s="9"/>
    </row>
    <row r="17" spans="1:22">
      <c r="A17" s="710" t="s">
        <v>1442</v>
      </c>
      <c r="B17" s="711" t="s">
        <v>1007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1291.3150000000001</v>
      </c>
      <c r="G17" s="712">
        <f t="shared" si="8"/>
        <v>1291.3150000000001</v>
      </c>
      <c r="H17" s="712">
        <f t="shared" si="8"/>
        <v>1291.3150000000001</v>
      </c>
      <c r="I17" s="712">
        <f t="shared" si="8"/>
        <v>1291.3150000000001</v>
      </c>
      <c r="J17" s="712">
        <f t="shared" si="8"/>
        <v>1291.3150000000001</v>
      </c>
      <c r="K17" s="712">
        <f t="shared" si="8"/>
        <v>1291.3150000000001</v>
      </c>
      <c r="L17" s="712">
        <f t="shared" si="8"/>
        <v>1291.3150000000001</v>
      </c>
      <c r="M17" s="712">
        <f t="shared" si="8"/>
        <v>1291.3150000000001</v>
      </c>
      <c r="N17" s="712">
        <f t="shared" si="8"/>
        <v>1291.3150000000001</v>
      </c>
      <c r="O17" s="712">
        <f t="shared" si="8"/>
        <v>1291.3150000000001</v>
      </c>
      <c r="P17" s="712">
        <f t="shared" si="8"/>
        <v>1291.3150000000001</v>
      </c>
      <c r="Q17" s="712">
        <f t="shared" si="8"/>
        <v>1291.3150000000001</v>
      </c>
      <c r="R17" s="9"/>
      <c r="S17" s="9"/>
      <c r="T17" s="9"/>
      <c r="U17" s="9"/>
      <c r="V17" s="9"/>
    </row>
    <row r="18" spans="1:22">
      <c r="A18" s="710" t="s">
        <v>1443</v>
      </c>
      <c r="B18" s="711" t="s">
        <v>1008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1007">
        <f t="shared" ref="F18:Q18" si="10">IFERROR(DSUM(MercadoBase,$B18,F$14:F$15)+(DSUM(MercadoBase,$R$15,F$14:F$15)/($D$53/12))*$F$30,0)</f>
        <v>0</v>
      </c>
      <c r="G18" s="1007">
        <f t="shared" si="10"/>
        <v>0</v>
      </c>
      <c r="H18" s="1007">
        <f t="shared" si="10"/>
        <v>0</v>
      </c>
      <c r="I18" s="1007">
        <f t="shared" si="10"/>
        <v>0</v>
      </c>
      <c r="J18" s="1007">
        <f t="shared" si="10"/>
        <v>0</v>
      </c>
      <c r="K18" s="1007">
        <f t="shared" si="10"/>
        <v>0</v>
      </c>
      <c r="L18" s="1007">
        <f t="shared" si="10"/>
        <v>0</v>
      </c>
      <c r="M18" s="1007">
        <f t="shared" si="10"/>
        <v>0</v>
      </c>
      <c r="N18" s="1007">
        <f t="shared" si="10"/>
        <v>0</v>
      </c>
      <c r="O18" s="1007">
        <f t="shared" si="10"/>
        <v>0</v>
      </c>
      <c r="P18" s="1007">
        <f t="shared" si="10"/>
        <v>0</v>
      </c>
      <c r="Q18" s="1007">
        <f t="shared" si="10"/>
        <v>0</v>
      </c>
      <c r="R18" s="9"/>
      <c r="S18" s="9"/>
      <c r="T18" s="9"/>
      <c r="U18" s="9"/>
      <c r="V18" s="9"/>
    </row>
    <row r="19" spans="1:22">
      <c r="A19" s="710" t="s">
        <v>1444</v>
      </c>
      <c r="B19" s="711" t="s">
        <v>1009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6290.0026632000008</v>
      </c>
      <c r="G19" s="712">
        <f t="shared" si="8"/>
        <v>6570.4170114000081</v>
      </c>
      <c r="H19" s="712">
        <f t="shared" si="8"/>
        <v>6760.6925579999997</v>
      </c>
      <c r="I19" s="712">
        <f t="shared" si="8"/>
        <v>6577.9015638000055</v>
      </c>
      <c r="J19" s="712">
        <f t="shared" si="8"/>
        <v>6440.6773512000018</v>
      </c>
      <c r="K19" s="712">
        <f t="shared" si="8"/>
        <v>7187.2746515999979</v>
      </c>
      <c r="L19" s="712">
        <f t="shared" si="8"/>
        <v>8246.9429921999981</v>
      </c>
      <c r="M19" s="712">
        <f t="shared" si="8"/>
        <v>8198.7487926000013</v>
      </c>
      <c r="N19" s="712">
        <f t="shared" si="8"/>
        <v>8024.4811134000074</v>
      </c>
      <c r="O19" s="712">
        <f t="shared" si="8"/>
        <v>6932.9311427999974</v>
      </c>
      <c r="P19" s="712">
        <f t="shared" si="8"/>
        <v>6961.6301868000064</v>
      </c>
      <c r="Q19" s="712">
        <f t="shared" si="8"/>
        <v>6617.539598400007</v>
      </c>
      <c r="R19" s="9"/>
      <c r="S19" s="9"/>
      <c r="T19" s="9"/>
      <c r="U19" s="9"/>
      <c r="V19" s="9"/>
    </row>
    <row r="20" spans="1:22">
      <c r="A20" s="710" t="s">
        <v>1445</v>
      </c>
      <c r="B20" s="711" t="s">
        <v>1010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200548.56829879995</v>
      </c>
      <c r="G20" s="712">
        <f t="shared" si="8"/>
        <v>226904.77500319996</v>
      </c>
      <c r="H20" s="712">
        <f t="shared" si="8"/>
        <v>242417.70938039996</v>
      </c>
      <c r="I20" s="712">
        <f t="shared" si="8"/>
        <v>232385.15481039986</v>
      </c>
      <c r="J20" s="712">
        <f t="shared" si="8"/>
        <v>237261.19336999991</v>
      </c>
      <c r="K20" s="712">
        <f t="shared" si="8"/>
        <v>255297.81999559992</v>
      </c>
      <c r="L20" s="712">
        <f t="shared" si="8"/>
        <v>323310.03751679999</v>
      </c>
      <c r="M20" s="712">
        <f t="shared" si="8"/>
        <v>329156.98126479983</v>
      </c>
      <c r="N20" s="712">
        <f t="shared" si="8"/>
        <v>276172.72667999996</v>
      </c>
      <c r="O20" s="712">
        <f t="shared" si="8"/>
        <v>229879.67408359994</v>
      </c>
      <c r="P20" s="712">
        <f t="shared" si="8"/>
        <v>210641.32219199996</v>
      </c>
      <c r="Q20" s="712">
        <f t="shared" si="8"/>
        <v>217531.36732679995</v>
      </c>
      <c r="R20" s="9"/>
      <c r="S20" s="9"/>
      <c r="T20" s="9"/>
      <c r="U20" s="9"/>
      <c r="V20" s="9"/>
    </row>
    <row r="21" spans="1:22">
      <c r="A21" s="710" t="s">
        <v>1446</v>
      </c>
      <c r="B21" s="711" t="s">
        <v>1011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5688.4753220000002</v>
      </c>
      <c r="G21" s="712">
        <f t="shared" si="8"/>
        <v>11246.004801999999</v>
      </c>
      <c r="H21" s="712">
        <f t="shared" si="8"/>
        <v>13792.035918</v>
      </c>
      <c r="I21" s="712">
        <f t="shared" si="8"/>
        <v>18123.417766000002</v>
      </c>
      <c r="J21" s="712">
        <f t="shared" si="8"/>
        <v>67065.384192000012</v>
      </c>
      <c r="K21" s="712">
        <f t="shared" si="8"/>
        <v>110726.23763999999</v>
      </c>
      <c r="L21" s="712">
        <f t="shared" si="8"/>
        <v>104606.662723</v>
      </c>
      <c r="M21" s="712">
        <f t="shared" si="8"/>
        <v>88308.501034999994</v>
      </c>
      <c r="N21" s="712">
        <f t="shared" si="8"/>
        <v>44368.284695000002</v>
      </c>
      <c r="O21" s="712">
        <f t="shared" si="8"/>
        <v>9167.0909749999992</v>
      </c>
      <c r="P21" s="712">
        <f>DSUM(MercadoBase,$B21,P$14:P$15)</f>
        <v>3391.0716469999998</v>
      </c>
      <c r="Q21" s="712">
        <f t="shared" si="8"/>
        <v>3064.0676739999999</v>
      </c>
      <c r="R21" s="9"/>
      <c r="S21" s="9"/>
      <c r="T21" s="9"/>
      <c r="U21" s="9"/>
      <c r="V21" s="9"/>
    </row>
    <row r="22" spans="1:22">
      <c r="A22" s="1456" t="s">
        <v>1447</v>
      </c>
      <c r="B22" s="1457" t="s">
        <v>1277</v>
      </c>
      <c r="C22" s="1458">
        <f>VLOOKUP($Q$15,Índices!$B:$F,2,FALSE)/VLOOKUP(EDATE(C15,-1),Índices!$B:$F,2,FALSE)</f>
        <v>1.1768213386458592</v>
      </c>
      <c r="D22" s="1458">
        <f>VLOOKUP($Q$15,Índices!$B:$F,2,FALSE)/VLOOKUP(EDATE(D15,-1),Índices!$B:$F,2,FALSE)</f>
        <v>1.1593353264324466</v>
      </c>
      <c r="E22" s="1458">
        <f>VLOOKUP($Q$15,Índices!$B:$F,2,FALSE)/VLOOKUP(EDATE(E15,-1),Índices!$B:$F,2,FALSE)</f>
        <v>1.1137138790355088</v>
      </c>
      <c r="F22" s="1458">
        <f>VLOOKUP($Q$15,Índices!$B:$F,2,FALSE)/VLOOKUP(EDATE(F15,-1),Índices!$B:$F,2,FALSE)</f>
        <v>1.1070423608832305</v>
      </c>
      <c r="G22" s="1458">
        <f>VLOOKUP($Q$15,Índices!$B:$F,2,FALSE)/VLOOKUP(EDATE(G15,-1),Índices!$B:$F,2,FALSE)</f>
        <v>1.0985033599453922</v>
      </c>
      <c r="H22" s="1458">
        <f>VLOOKUP($Q$15,Índices!$B:$F,2,FALSE)/VLOOKUP(EDATE(H15,-1),Índices!$B:$F,2,FALSE)</f>
        <v>1.0912608014368317</v>
      </c>
      <c r="I22" s="1458">
        <f>VLOOKUP($Q$15,Índices!$B:$F,2,FALSE)/VLOOKUP(EDATE(I15,-1),Índices!$B:$F,2,FALSE)</f>
        <v>1.0982835198725092</v>
      </c>
      <c r="J22" s="1458">
        <f>VLOOKUP($Q$15,Índices!$B:$F,2,FALSE)/VLOOKUP(EDATE(J15,-1),Índices!$B:$F,2,FALSE)</f>
        <v>1.0912678012944399</v>
      </c>
      <c r="K22" s="1458">
        <f>VLOOKUP($Q$15,Índices!$B:$F,2,FALSE)/VLOOKUP(EDATE(K15,-1),Índices!$B:$F,2,FALSE)</f>
        <v>1.0910678407267911</v>
      </c>
      <c r="L22" s="1458">
        <f>VLOOKUP($Q$15,Índices!$B:$F,2,FALSE)/VLOOKUP(EDATE(L15,-1),Índices!$B:$F,2,FALSE)</f>
        <v>1.0816484829989064</v>
      </c>
      <c r="M22" s="1458">
        <f>VLOOKUP($Q$15,Índices!$B:$F,2,FALSE)/VLOOKUP(EDATE(M15,-1),Índices!$B:$F,2,FALSE)</f>
        <v>1.0623399307225074</v>
      </c>
      <c r="N22" s="1458">
        <f>VLOOKUP($Q$15,Índices!$B:$F,2,FALSE)/VLOOKUP(EDATE(N15,-1),Índices!$B:$F,2,FALSE)</f>
        <v>1.0432185825187947</v>
      </c>
      <c r="O22" s="1458">
        <f>VLOOKUP($Q$15,Índices!$B:$F,2,FALSE)/VLOOKUP(EDATE(O15,-1),Índices!$B:$F,2,FALSE)</f>
        <v>1.0253689885984203</v>
      </c>
      <c r="P22" s="1458">
        <f>VLOOKUP($Q$15,Índices!$B:$F,2,FALSE)/VLOOKUP(EDATE(P15,-1),Índices!$B:$F,2,FALSE)</f>
        <v>1.011099422741718</v>
      </c>
      <c r="Q22" s="1458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59" t="s">
        <v>1448</v>
      </c>
      <c r="B23" s="1460"/>
      <c r="C23" s="1461">
        <f t="shared" ref="C23:Q23" si="11">SUM(C16:C21)*C22</f>
        <v>0</v>
      </c>
      <c r="D23" s="1461">
        <f t="shared" si="11"/>
        <v>0</v>
      </c>
      <c r="E23" s="1461">
        <f t="shared" si="11"/>
        <v>0</v>
      </c>
      <c r="F23" s="1462">
        <f>SUM(F16:F21)*F22</f>
        <v>252437.18008821382</v>
      </c>
      <c r="G23" s="1462">
        <f t="shared" si="11"/>
        <v>290762.18316564301</v>
      </c>
      <c r="H23" s="1462">
        <f t="shared" si="11"/>
        <v>311120.50553766987</v>
      </c>
      <c r="I23" s="1462">
        <f t="shared" si="11"/>
        <v>306354.46871672838</v>
      </c>
      <c r="J23" s="1462">
        <f t="shared" si="11"/>
        <v>363455.14507794293</v>
      </c>
      <c r="K23" s="1462">
        <f t="shared" si="11"/>
        <v>430942.64870477119</v>
      </c>
      <c r="L23" s="1462">
        <f t="shared" si="11"/>
        <v>495240.03275937343</v>
      </c>
      <c r="M23" s="1462">
        <f t="shared" si="11"/>
        <v>474514.46927481052</v>
      </c>
      <c r="N23" s="1462">
        <f t="shared" si="11"/>
        <v>364456.4908563174</v>
      </c>
      <c r="O23" s="1462">
        <f t="shared" si="11"/>
        <v>268952.47245340853</v>
      </c>
      <c r="P23" s="1462">
        <f t="shared" si="11"/>
        <v>238740.98573471981</v>
      </c>
      <c r="Q23" s="1462">
        <f t="shared" si="11"/>
        <v>244329.52781931622</v>
      </c>
      <c r="R23" s="9"/>
      <c r="S23" s="9"/>
      <c r="T23" s="9"/>
      <c r="U23" s="9"/>
      <c r="V23" s="9"/>
    </row>
    <row r="24" spans="1:22">
      <c r="A24" s="9"/>
      <c r="B24" s="9"/>
      <c r="C24" s="9" t="s">
        <v>1449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1450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842" t="s">
        <v>22</v>
      </c>
      <c r="B26" s="1843" t="s">
        <v>1440</v>
      </c>
      <c r="C26" s="707" t="s">
        <v>954</v>
      </c>
      <c r="D26" s="707" t="s">
        <v>954</v>
      </c>
      <c r="E26" s="707" t="s">
        <v>954</v>
      </c>
      <c r="F26" s="707" t="s">
        <v>954</v>
      </c>
      <c r="G26" s="707" t="s">
        <v>954</v>
      </c>
      <c r="H26" s="707" t="s">
        <v>954</v>
      </c>
      <c r="I26" s="707" t="s">
        <v>954</v>
      </c>
      <c r="J26" s="707" t="s">
        <v>954</v>
      </c>
      <c r="K26" s="707" t="s">
        <v>954</v>
      </c>
      <c r="L26" s="707" t="s">
        <v>954</v>
      </c>
      <c r="M26" s="707" t="s">
        <v>954</v>
      </c>
      <c r="N26" s="707" t="s">
        <v>954</v>
      </c>
      <c r="O26" s="707" t="s">
        <v>954</v>
      </c>
      <c r="P26" s="707" t="s">
        <v>954</v>
      </c>
      <c r="Q26" s="707" t="s">
        <v>954</v>
      </c>
      <c r="R26" s="9"/>
      <c r="S26" s="9"/>
      <c r="T26" s="9"/>
      <c r="U26" s="9"/>
      <c r="V26" s="9"/>
    </row>
    <row r="27" spans="1:22">
      <c r="A27" s="1842"/>
      <c r="B27" s="1843"/>
      <c r="C27" s="708">
        <f t="shared" ref="C27:Q27" si="12">C15</f>
        <v>44287</v>
      </c>
      <c r="D27" s="708">
        <f t="shared" si="12"/>
        <v>44317</v>
      </c>
      <c r="E27" s="708">
        <f t="shared" si="12"/>
        <v>44348</v>
      </c>
      <c r="F27" s="709">
        <f>F15</f>
        <v>44378</v>
      </c>
      <c r="G27" s="709">
        <f t="shared" si="12"/>
        <v>44409</v>
      </c>
      <c r="H27" s="709">
        <f t="shared" si="12"/>
        <v>44440</v>
      </c>
      <c r="I27" s="709">
        <f t="shared" si="12"/>
        <v>44470</v>
      </c>
      <c r="J27" s="709">
        <f t="shared" si="12"/>
        <v>44501</v>
      </c>
      <c r="K27" s="709">
        <f t="shared" si="12"/>
        <v>44531</v>
      </c>
      <c r="L27" s="709">
        <f t="shared" si="12"/>
        <v>44562</v>
      </c>
      <c r="M27" s="709">
        <f t="shared" si="12"/>
        <v>44593</v>
      </c>
      <c r="N27" s="709">
        <f t="shared" si="12"/>
        <v>44621</v>
      </c>
      <c r="O27" s="709">
        <f t="shared" si="12"/>
        <v>44652</v>
      </c>
      <c r="P27" s="709">
        <f t="shared" si="12"/>
        <v>44682</v>
      </c>
      <c r="Q27" s="709">
        <f t="shared" si="12"/>
        <v>44713</v>
      </c>
      <c r="S27" s="9"/>
      <c r="T27" s="9"/>
      <c r="U27" s="9"/>
      <c r="V27" s="9"/>
    </row>
    <row r="28" spans="1:22">
      <c r="A28" s="710" t="s">
        <v>1441</v>
      </c>
      <c r="B28" s="711" t="s">
        <v>774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538.80999999999995</v>
      </c>
      <c r="G28" s="712">
        <f>VLOOKUP($B28,BD!$B$61:$C$66,2,FALSE)</f>
        <v>538.80999999999995</v>
      </c>
      <c r="H28" s="712">
        <f>VLOOKUP($B28,BD!$B$61:$C$66,2,FALSE)</f>
        <v>538.80999999999995</v>
      </c>
      <c r="I28" s="712">
        <f>VLOOKUP($B28,BD!$B$61:$C$66,2,FALSE)</f>
        <v>538.80999999999995</v>
      </c>
      <c r="J28" s="712">
        <f>VLOOKUP($B28,BD!$B$61:$C$66,2,FALSE)</f>
        <v>538.80999999999995</v>
      </c>
      <c r="K28" s="712">
        <f>VLOOKUP($B28,BD!$B$61:$C$66,2,FALSE)</f>
        <v>538.80999999999995</v>
      </c>
      <c r="L28" s="712">
        <f>VLOOKUP($B28,BD!$B$61:$C$66,2,FALSE)</f>
        <v>538.80999999999995</v>
      </c>
      <c r="M28" s="712">
        <f>VLOOKUP($B28,BD!$B$61:$C$66,2,FALSE)</f>
        <v>538.80999999999995</v>
      </c>
      <c r="N28" s="712">
        <f>VLOOKUP($B28,BD!$B$61:$C$66,2,FALSE)</f>
        <v>538.80999999999995</v>
      </c>
      <c r="O28" s="712">
        <f>VLOOKUP($B28,BD!$B$61:$C$66,2,FALSE)</f>
        <v>538.80999999999995</v>
      </c>
      <c r="P28" s="712">
        <f>VLOOKUP($B28,BD!$B$61:$C$66,2,FALSE)</f>
        <v>538.80999999999995</v>
      </c>
      <c r="Q28" s="712">
        <f>VLOOKUP($B28,BD!$B$61:$C$66,2,FALSE)</f>
        <v>538.80999999999995</v>
      </c>
      <c r="S28" s="9"/>
      <c r="T28" s="9"/>
      <c r="U28" s="9"/>
      <c r="V28" s="9"/>
    </row>
    <row r="29" spans="1:22">
      <c r="A29" s="710" t="s">
        <v>1442</v>
      </c>
      <c r="B29" s="711" t="s">
        <v>776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1292.1300000000001</v>
      </c>
      <c r="G29" s="712">
        <f>VLOOKUP($B29,BD!$B$61:$C$66,2,FALSE)</f>
        <v>1292.1300000000001</v>
      </c>
      <c r="H29" s="712">
        <f>VLOOKUP($B29,BD!$B$61:$C$66,2,FALSE)</f>
        <v>1292.1300000000001</v>
      </c>
      <c r="I29" s="712">
        <f>VLOOKUP($B29,BD!$B$61:$C$66,2,FALSE)</f>
        <v>1292.1300000000001</v>
      </c>
      <c r="J29" s="712">
        <f>VLOOKUP($B29,BD!$B$61:$C$66,2,FALSE)</f>
        <v>1292.1300000000001</v>
      </c>
      <c r="K29" s="712">
        <f>VLOOKUP($B29,BD!$B$61:$C$66,2,FALSE)</f>
        <v>1292.1300000000001</v>
      </c>
      <c r="L29" s="712">
        <f>VLOOKUP($B29,BD!$B$61:$C$66,2,FALSE)</f>
        <v>1292.1300000000001</v>
      </c>
      <c r="M29" s="712">
        <f>VLOOKUP($B29,BD!$B$61:$C$66,2,FALSE)</f>
        <v>1292.1300000000001</v>
      </c>
      <c r="N29" s="712">
        <f>VLOOKUP($B29,BD!$B$61:$C$66,2,FALSE)</f>
        <v>1292.1300000000001</v>
      </c>
      <c r="O29" s="712">
        <f>VLOOKUP($B29,BD!$B$61:$C$66,2,FALSE)</f>
        <v>1292.1300000000001</v>
      </c>
      <c r="P29" s="712">
        <f>VLOOKUP($B29,BD!$B$61:$C$66,2,FALSE)</f>
        <v>1292.1300000000001</v>
      </c>
      <c r="Q29" s="712">
        <f>VLOOKUP($B29,BD!$B$61:$C$66,2,FALSE)</f>
        <v>1292.1300000000001</v>
      </c>
      <c r="S29" s="9"/>
      <c r="T29" s="9"/>
      <c r="U29" s="9"/>
      <c r="V29" s="9"/>
    </row>
    <row r="30" spans="1:22">
      <c r="A30" s="710" t="s">
        <v>1443</v>
      </c>
      <c r="B30" s="711" t="s">
        <v>778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1007">
        <f>VLOOKUP($B30,BD!$B$61:$C$66,2,FALSE)</f>
        <v>0</v>
      </c>
      <c r="G30" s="1007">
        <f>VLOOKUP($B30,BD!$B$61:$C$66,2,FALSE)</f>
        <v>0</v>
      </c>
      <c r="H30" s="1007">
        <f>VLOOKUP($B30,BD!$B$61:$C$66,2,FALSE)</f>
        <v>0</v>
      </c>
      <c r="I30" s="1007">
        <f>VLOOKUP($B30,BD!$B$61:$C$66,2,FALSE)</f>
        <v>0</v>
      </c>
      <c r="J30" s="1007">
        <f>VLOOKUP($B30,BD!$B$61:$C$66,2,FALSE)</f>
        <v>0</v>
      </c>
      <c r="K30" s="1007">
        <f>VLOOKUP($B30,BD!$B$61:$C$66,2,FALSE)</f>
        <v>0</v>
      </c>
      <c r="L30" s="1007">
        <f>VLOOKUP($B30,BD!$B$61:$C$66,2,FALSE)</f>
        <v>0</v>
      </c>
      <c r="M30" s="1007">
        <f>VLOOKUP($B30,BD!$B$61:$C$66,2,FALSE)</f>
        <v>0</v>
      </c>
      <c r="N30" s="1007">
        <f>VLOOKUP($B30,BD!$B$61:$C$66,2,FALSE)</f>
        <v>0</v>
      </c>
      <c r="O30" s="1007">
        <f>VLOOKUP($B30,BD!$B$61:$C$66,2,FALSE)</f>
        <v>0</v>
      </c>
      <c r="P30" s="1007">
        <f>VLOOKUP($B30,BD!$B$61:$C$66,2,FALSE)</f>
        <v>0</v>
      </c>
      <c r="Q30" s="1007">
        <f>VLOOKUP($B30,BD!$B$61:$C$66,2,FALSE)</f>
        <v>0</v>
      </c>
      <c r="S30" s="9"/>
      <c r="T30" s="9"/>
      <c r="U30" s="9"/>
      <c r="V30" s="9"/>
    </row>
    <row r="31" spans="1:22">
      <c r="A31" s="710" t="s">
        <v>1444</v>
      </c>
      <c r="B31" s="711" t="s">
        <v>779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6608.97</v>
      </c>
      <c r="G31" s="712">
        <f>VLOOKUP($B31,BD!$B$61:$C$66,2,FALSE)</f>
        <v>6608.97</v>
      </c>
      <c r="H31" s="712">
        <f>VLOOKUP($B31,BD!$B$61:$C$66,2,FALSE)</f>
        <v>6608.97</v>
      </c>
      <c r="I31" s="712">
        <f>VLOOKUP($B31,BD!$B$61:$C$66,2,FALSE)</f>
        <v>6608.97</v>
      </c>
      <c r="J31" s="712">
        <f>VLOOKUP($B31,BD!$B$61:$C$66,2,FALSE)</f>
        <v>6608.97</v>
      </c>
      <c r="K31" s="712">
        <f>VLOOKUP($B31,BD!$B$61:$C$66,2,FALSE)</f>
        <v>6608.97</v>
      </c>
      <c r="L31" s="712">
        <f>VLOOKUP($B31,BD!$B$61:$C$66,2,FALSE)</f>
        <v>6608.97</v>
      </c>
      <c r="M31" s="712">
        <f>VLOOKUP($B31,BD!$B$61:$C$66,2,FALSE)</f>
        <v>6608.97</v>
      </c>
      <c r="N31" s="712">
        <f>VLOOKUP($B31,BD!$B$61:$C$66,2,FALSE)</f>
        <v>6608.97</v>
      </c>
      <c r="O31" s="712">
        <f>VLOOKUP($B31,BD!$B$61:$C$66,2,FALSE)</f>
        <v>6608.97</v>
      </c>
      <c r="P31" s="712">
        <f>VLOOKUP($B31,BD!$B$61:$C$66,2,FALSE)</f>
        <v>6608.97</v>
      </c>
      <c r="Q31" s="712">
        <f>VLOOKUP($B31,BD!$B$61:$C$66,2,FALSE)</f>
        <v>6608.97</v>
      </c>
      <c r="S31" s="9"/>
      <c r="T31" s="9"/>
      <c r="U31" s="9"/>
      <c r="V31" s="9"/>
    </row>
    <row r="32" spans="1:22">
      <c r="A32" s="710" t="s">
        <v>1445</v>
      </c>
      <c r="B32" s="711" t="s">
        <v>782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246580.43</v>
      </c>
      <c r="G32" s="712">
        <f>VLOOKUP($B32,BD!$B$61:$C$66,2,FALSE)</f>
        <v>246580.43</v>
      </c>
      <c r="H32" s="712">
        <f>VLOOKUP($B32,BD!$B$61:$C$66,2,FALSE)</f>
        <v>246580.43</v>
      </c>
      <c r="I32" s="712">
        <f>VLOOKUP($B32,BD!$B$61:$C$66,2,FALSE)</f>
        <v>246580.43</v>
      </c>
      <c r="J32" s="712">
        <f>VLOOKUP($B32,BD!$B$61:$C$66,2,FALSE)</f>
        <v>246580.43</v>
      </c>
      <c r="K32" s="712">
        <f>VLOOKUP($B32,BD!$B$61:$C$66,2,FALSE)</f>
        <v>246580.43</v>
      </c>
      <c r="L32" s="712">
        <f>VLOOKUP($B32,BD!$B$61:$C$66,2,FALSE)</f>
        <v>246580.43</v>
      </c>
      <c r="M32" s="712">
        <f>VLOOKUP($B32,BD!$B$61:$C$66,2,FALSE)</f>
        <v>246580.43</v>
      </c>
      <c r="N32" s="712">
        <f>VLOOKUP($B32,BD!$B$61:$C$66,2,FALSE)</f>
        <v>246580.43</v>
      </c>
      <c r="O32" s="712">
        <f>VLOOKUP($B32,BD!$B$61:$C$66,2,FALSE)</f>
        <v>246580.43</v>
      </c>
      <c r="P32" s="712">
        <f>VLOOKUP($B32,BD!$B$61:$C$66,2,FALSE)</f>
        <v>246580.43</v>
      </c>
      <c r="Q32" s="712">
        <f>VLOOKUP($B32,BD!$B$61:$C$66,2,FALSE)</f>
        <v>246580.43</v>
      </c>
      <c r="S32" s="9"/>
      <c r="T32" s="9"/>
      <c r="U32" s="9"/>
      <c r="V32" s="9"/>
    </row>
    <row r="33" spans="1:22">
      <c r="A33" s="713" t="s">
        <v>1446</v>
      </c>
      <c r="B33" s="711" t="s">
        <v>784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26879.88</v>
      </c>
      <c r="G33" s="712">
        <f>VLOOKUP($B33,BD!$B$61:$C$66,2,FALSE)</f>
        <v>26879.88</v>
      </c>
      <c r="H33" s="712">
        <f>VLOOKUP($B33,BD!$B$61:$C$66,2,FALSE)</f>
        <v>26879.88</v>
      </c>
      <c r="I33" s="712">
        <f>VLOOKUP($B33,BD!$B$61:$C$66,2,FALSE)</f>
        <v>26879.88</v>
      </c>
      <c r="J33" s="712">
        <f>VLOOKUP($B33,BD!$B$61:$C$66,2,FALSE)</f>
        <v>26879.88</v>
      </c>
      <c r="K33" s="712">
        <f>VLOOKUP($B33,BD!$B$61:$C$66,2,FALSE)</f>
        <v>26879.88</v>
      </c>
      <c r="L33" s="712">
        <f>VLOOKUP($B33,BD!$B$61:$C$66,2,FALSE)</f>
        <v>26879.88</v>
      </c>
      <c r="M33" s="712">
        <f>VLOOKUP($B33,BD!$B$61:$C$66,2,FALSE)</f>
        <v>26879.88</v>
      </c>
      <c r="N33" s="712">
        <f>VLOOKUP($B33,BD!$B$61:$C$66,2,FALSE)</f>
        <v>26879.88</v>
      </c>
      <c r="O33" s="712">
        <f>VLOOKUP($B33,BD!$B$61:$C$66,2,FALSE)</f>
        <v>26879.88</v>
      </c>
      <c r="P33" s="712">
        <f>VLOOKUP($B33,BD!$B$61:$C$66,2,FALSE)</f>
        <v>26879.88</v>
      </c>
      <c r="Q33" s="712">
        <f>VLOOKUP($B33,BD!$B$61:$C$66,2,FALSE)</f>
        <v>26879.88</v>
      </c>
      <c r="S33" s="9"/>
      <c r="T33" s="9"/>
      <c r="U33" s="9"/>
      <c r="V33" s="9"/>
    </row>
    <row r="34" spans="1:22">
      <c r="A34" s="1456" t="s">
        <v>1447</v>
      </c>
      <c r="B34" s="1457" t="s">
        <v>1277</v>
      </c>
      <c r="C34" s="1463">
        <f t="shared" ref="C34:Q34" si="13">C22</f>
        <v>1.1768213386458592</v>
      </c>
      <c r="D34" s="1463">
        <f t="shared" si="13"/>
        <v>1.1593353264324466</v>
      </c>
      <c r="E34" s="1463">
        <f t="shared" si="13"/>
        <v>1.1137138790355088</v>
      </c>
      <c r="F34" s="1458">
        <f t="shared" si="13"/>
        <v>1.1070423608832305</v>
      </c>
      <c r="G34" s="1458">
        <f t="shared" si="13"/>
        <v>1.0985033599453922</v>
      </c>
      <c r="H34" s="1458">
        <f t="shared" si="13"/>
        <v>1.0912608014368317</v>
      </c>
      <c r="I34" s="1458">
        <f t="shared" si="13"/>
        <v>1.0982835198725092</v>
      </c>
      <c r="J34" s="1458">
        <f t="shared" si="13"/>
        <v>1.0912678012944399</v>
      </c>
      <c r="K34" s="1458">
        <f t="shared" si="13"/>
        <v>1.0910678407267911</v>
      </c>
      <c r="L34" s="1458">
        <f t="shared" si="13"/>
        <v>1.0816484829989064</v>
      </c>
      <c r="M34" s="1458">
        <f t="shared" si="13"/>
        <v>1.0623399307225074</v>
      </c>
      <c r="N34" s="1458">
        <f t="shared" si="13"/>
        <v>1.0432185825187947</v>
      </c>
      <c r="O34" s="1458">
        <f t="shared" si="13"/>
        <v>1.0253689885984203</v>
      </c>
      <c r="P34" s="1458">
        <f t="shared" si="13"/>
        <v>1.011099422741718</v>
      </c>
      <c r="Q34" s="1458">
        <f t="shared" si="13"/>
        <v>1.0058524282636221</v>
      </c>
      <c r="S34" s="9"/>
      <c r="T34" s="9"/>
      <c r="U34" s="9"/>
      <c r="V34" s="9"/>
    </row>
    <row r="35" spans="1:22">
      <c r="A35" s="1459" t="s">
        <v>1448</v>
      </c>
      <c r="B35" s="1460"/>
      <c r="C35" s="1461">
        <f>SUM(C28:C33)*C34</f>
        <v>0</v>
      </c>
      <c r="D35" s="1461">
        <f t="shared" ref="D35:Q35" si="14">SUM(D28:D33)*D34</f>
        <v>0</v>
      </c>
      <c r="E35" s="1461">
        <f t="shared" si="14"/>
        <v>0</v>
      </c>
      <c r="F35" s="1462">
        <f t="shared" si="14"/>
        <v>312075.48508230207</v>
      </c>
      <c r="G35" s="1462">
        <f t="shared" si="14"/>
        <v>309668.3388393452</v>
      </c>
      <c r="H35" s="1462">
        <f t="shared" si="14"/>
        <v>307626.66000241914</v>
      </c>
      <c r="I35" s="1462">
        <f t="shared" si="14"/>
        <v>309606.36587443465</v>
      </c>
      <c r="J35" s="1462">
        <f t="shared" si="14"/>
        <v>307628.63326381886</v>
      </c>
      <c r="K35" s="1462">
        <f t="shared" si="14"/>
        <v>307572.26433580735</v>
      </c>
      <c r="L35" s="1462">
        <f t="shared" si="14"/>
        <v>304916.94532005792</v>
      </c>
      <c r="M35" s="1462">
        <f t="shared" si="14"/>
        <v>299473.86018545955</v>
      </c>
      <c r="N35" s="1462">
        <f t="shared" si="14"/>
        <v>294083.54792013636</v>
      </c>
      <c r="O35" s="1462">
        <f t="shared" si="14"/>
        <v>289051.74346707214</v>
      </c>
      <c r="P35" s="1462">
        <f t="shared" si="14"/>
        <v>285029.14971276332</v>
      </c>
      <c r="Q35" s="1462">
        <f t="shared" si="14"/>
        <v>283550.02081504924</v>
      </c>
      <c r="R35" s="9"/>
      <c r="S35" s="9"/>
      <c r="T35" s="9"/>
      <c r="U35" s="9"/>
      <c r="V35" s="9"/>
    </row>
    <row r="36" spans="1:22">
      <c r="A36" s="1464"/>
      <c r="B36" s="1446"/>
      <c r="C36" s="1464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1451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2" t="s">
        <v>22</v>
      </c>
      <c r="B38" s="1843" t="s">
        <v>1440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842"/>
      <c r="B39" s="1844"/>
      <c r="C39" s="1465">
        <f>C27</f>
        <v>44287</v>
      </c>
      <c r="D39" s="1465">
        <f t="shared" ref="D39:E39" si="15">D27</f>
        <v>44317</v>
      </c>
      <c r="E39" s="1465">
        <f t="shared" si="15"/>
        <v>44348</v>
      </c>
      <c r="G39" s="897"/>
      <c r="H39" s="897"/>
      <c r="I39" s="897"/>
      <c r="J39" s="897"/>
      <c r="K39" s="897"/>
      <c r="L39" s="900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1441</v>
      </c>
      <c r="B40" s="714"/>
      <c r="C40" s="715"/>
      <c r="D40" s="716"/>
      <c r="E40" s="716"/>
      <c r="F40" s="65"/>
      <c r="G40" s="901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1442</v>
      </c>
      <c r="B41" s="714"/>
      <c r="C41" s="715"/>
      <c r="D41" s="716"/>
      <c r="E41" s="716"/>
      <c r="F41" s="65"/>
      <c r="G41" s="901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1443</v>
      </c>
      <c r="B42" s="714"/>
      <c r="C42" s="715"/>
      <c r="D42" s="716"/>
      <c r="E42" s="716"/>
      <c r="F42" s="65"/>
      <c r="G42" s="901"/>
      <c r="H42" s="712"/>
      <c r="I42" s="712"/>
      <c r="J42" s="712"/>
      <c r="K42" s="712"/>
      <c r="L42" s="902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1444</v>
      </c>
      <c r="B43" s="714"/>
      <c r="C43" s="715"/>
      <c r="D43" s="716"/>
      <c r="E43" s="716"/>
      <c r="F43" s="65"/>
      <c r="G43" s="901"/>
      <c r="H43" s="712"/>
      <c r="I43" s="712"/>
      <c r="J43" s="712"/>
      <c r="K43" s="712"/>
      <c r="L43" s="902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1445</v>
      </c>
      <c r="B44" s="714"/>
      <c r="C44" s="715"/>
      <c r="D44" s="716"/>
      <c r="E44" s="716"/>
      <c r="F44" s="65"/>
      <c r="G44" s="901"/>
      <c r="H44" s="712"/>
      <c r="I44" s="712"/>
      <c r="J44" s="712"/>
      <c r="K44" s="712"/>
      <c r="L44" s="902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1446</v>
      </c>
      <c r="B45" s="714"/>
      <c r="C45" s="717"/>
      <c r="D45" s="899"/>
      <c r="E45" s="899"/>
      <c r="F45" s="65"/>
      <c r="G45" s="901"/>
      <c r="H45" s="712"/>
      <c r="I45" s="712"/>
      <c r="J45" s="712"/>
      <c r="K45" s="712"/>
      <c r="L45" s="902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03"/>
      <c r="L46" s="904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66" t="s">
        <v>8</v>
      </c>
      <c r="B49" s="1467"/>
      <c r="C49" s="1466"/>
      <c r="D49" s="9" t="s">
        <v>1452</v>
      </c>
    </row>
    <row r="50" spans="1:10">
      <c r="A50" s="1467" t="s">
        <v>2</v>
      </c>
      <c r="B50" s="1467"/>
      <c r="C50" s="1441"/>
    </row>
    <row r="51" spans="1:10">
      <c r="A51" s="1467" t="s">
        <v>3</v>
      </c>
      <c r="B51" s="1467"/>
      <c r="C51" s="1441"/>
      <c r="D51" s="234"/>
    </row>
    <row r="52" spans="1:10">
      <c r="A52" s="1467" t="s">
        <v>4</v>
      </c>
      <c r="B52" s="1467"/>
      <c r="C52" s="1441"/>
      <c r="D52" s="234"/>
    </row>
    <row r="53" spans="1:10">
      <c r="A53" s="1467" t="s">
        <v>5</v>
      </c>
      <c r="B53" s="1467"/>
      <c r="C53" s="1441"/>
      <c r="D53" s="234">
        <f>VLOOKUP(idsreag,Subsidio!$A$1:$J$52,10,FALSE)</f>
        <v>0</v>
      </c>
    </row>
    <row r="54" spans="1:10">
      <c r="A54" s="1467" t="s">
        <v>6</v>
      </c>
      <c r="B54" s="1467"/>
      <c r="C54" s="1441"/>
      <c r="D54" s="234"/>
      <c r="H54" s="1468"/>
      <c r="I54" s="1469"/>
      <c r="J54" s="1470"/>
    </row>
    <row r="55" spans="1:10">
      <c r="A55" s="1467" t="s">
        <v>7</v>
      </c>
      <c r="B55" s="1467"/>
      <c r="C55" s="1441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I1" zoomScale="85" zoomScaleNormal="85" workbookViewId="0">
      <pane ySplit="3" topLeftCell="A19" activePane="bottomLeft" state="frozen"/>
      <selection activeCell="D36" sqref="D36"/>
      <selection pane="bottomLeft" activeCell="M45" sqref="M45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09" t="s">
        <v>1453</v>
      </c>
      <c r="C1" s="263"/>
      <c r="D1" s="263"/>
      <c r="E1" s="206"/>
      <c r="F1" s="1471"/>
      <c r="G1" s="1219" t="s">
        <v>953</v>
      </c>
      <c r="H1" s="1220">
        <f ca="1">LnkTXTIRTEco</f>
        <v>3.0300000000000001E-2</v>
      </c>
    </row>
    <row r="2" spans="2:26" ht="14.25">
      <c r="B2" s="138" t="str">
        <f>CAPA!C9</f>
        <v>Cooperluz</v>
      </c>
      <c r="C2" s="1472"/>
      <c r="D2" s="1472"/>
      <c r="E2" s="1472"/>
      <c r="F2" s="1473"/>
      <c r="G2" s="121" t="s">
        <v>957</v>
      </c>
      <c r="H2" s="122">
        <f ca="1">LnkTXTIRTTotal</f>
        <v>-0.30859999999999999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853"/>
      <c r="P4" s="1853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474" t="s">
        <v>1454</v>
      </c>
      <c r="M6" s="1475"/>
      <c r="O6" s="272"/>
      <c r="P6" s="292"/>
      <c r="Z6" s="68"/>
    </row>
    <row r="7" spans="2:26" ht="14.25">
      <c r="C7" s="71"/>
      <c r="L7" s="214" t="s">
        <v>1277</v>
      </c>
      <c r="M7" s="215">
        <v>1</v>
      </c>
      <c r="O7" s="272"/>
      <c r="P7" s="292"/>
      <c r="Z7" s="68"/>
    </row>
    <row r="8" spans="2:26" ht="14.25">
      <c r="L8" s="214" t="s">
        <v>849</v>
      </c>
      <c r="M8" s="215">
        <v>2</v>
      </c>
      <c r="O8" s="272"/>
      <c r="P8" s="292"/>
      <c r="Z8" s="68"/>
    </row>
    <row r="9" spans="2:26" ht="14.25">
      <c r="B9" s="293" t="s">
        <v>1455</v>
      </c>
      <c r="D9" s="294" t="s">
        <v>1456</v>
      </c>
      <c r="L9" s="214" t="s">
        <v>1457</v>
      </c>
      <c r="M9" s="215">
        <v>4</v>
      </c>
      <c r="O9" s="272"/>
      <c r="P9" s="292"/>
      <c r="Z9" s="68"/>
    </row>
    <row r="10" spans="2:26" ht="14.25">
      <c r="L10" s="214" t="s">
        <v>1458</v>
      </c>
      <c r="M10" s="216">
        <f>CAPA!K16</f>
        <v>0.10704236088323049</v>
      </c>
      <c r="O10" s="272"/>
      <c r="P10" s="292"/>
      <c r="Z10" s="68"/>
    </row>
    <row r="11" spans="2:26" ht="14.25">
      <c r="B11" s="1856" t="s">
        <v>1459</v>
      </c>
      <c r="C11" s="1857"/>
      <c r="D11" s="1476" t="s">
        <v>1460</v>
      </c>
      <c r="E11" s="1477" t="s">
        <v>1461</v>
      </c>
      <c r="F11" s="1478" t="s">
        <v>1462</v>
      </c>
      <c r="G11" s="1477" t="s">
        <v>2330</v>
      </c>
      <c r="H11" s="1477"/>
      <c r="I11" s="1477"/>
      <c r="J11" s="1477"/>
      <c r="L11" s="214" t="s">
        <v>1463</v>
      </c>
      <c r="M11" s="216">
        <f>CAPA!K17</f>
        <v>0.11886869625198027</v>
      </c>
      <c r="O11" s="272"/>
      <c r="P11" s="292"/>
      <c r="Z11" s="68"/>
    </row>
    <row r="12" spans="2:26" ht="14.25">
      <c r="B12" s="1862" t="s">
        <v>1464</v>
      </c>
      <c r="C12" s="1857"/>
      <c r="D12" s="1479" t="s">
        <v>1457</v>
      </c>
      <c r="E12" s="1479" t="s">
        <v>849</v>
      </c>
      <c r="F12" s="1479" t="s">
        <v>849</v>
      </c>
      <c r="G12" s="1479" t="s">
        <v>1457</v>
      </c>
      <c r="H12" s="1479" t="s">
        <v>849</v>
      </c>
      <c r="I12" s="1479" t="s">
        <v>849</v>
      </c>
      <c r="J12" s="1479" t="s">
        <v>849</v>
      </c>
      <c r="L12" s="1480" t="s">
        <v>1465</v>
      </c>
      <c r="M12" s="1481">
        <v>41275</v>
      </c>
      <c r="O12" s="272"/>
      <c r="P12" s="292"/>
      <c r="Z12" s="68"/>
    </row>
    <row r="13" spans="2:26" ht="14.25">
      <c r="B13" s="1863" t="s">
        <v>1466</v>
      </c>
      <c r="C13" s="1864"/>
      <c r="D13" s="1482">
        <v>44713</v>
      </c>
      <c r="E13" s="1482">
        <v>43617</v>
      </c>
      <c r="F13" s="1482">
        <v>43617</v>
      </c>
      <c r="G13" s="1482">
        <f>D13</f>
        <v>44713</v>
      </c>
      <c r="H13" s="1482">
        <f t="shared" ref="H13:J14" si="0">G13</f>
        <v>44713</v>
      </c>
      <c r="I13" s="1482">
        <f t="shared" si="0"/>
        <v>44713</v>
      </c>
      <c r="J13" s="1482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854" t="s">
        <v>1467</v>
      </c>
      <c r="C14" s="1855"/>
      <c r="D14" s="1482">
        <v>44348</v>
      </c>
      <c r="E14" s="1482">
        <v>43252</v>
      </c>
      <c r="F14" s="1482">
        <v>43252</v>
      </c>
      <c r="G14" s="1482">
        <f>D14</f>
        <v>44348</v>
      </c>
      <c r="H14" s="1482">
        <f t="shared" si="0"/>
        <v>44348</v>
      </c>
      <c r="I14" s="1482">
        <f t="shared" si="0"/>
        <v>44348</v>
      </c>
      <c r="J14" s="1482">
        <f t="shared" si="0"/>
        <v>44348</v>
      </c>
      <c r="L14" s="1483"/>
      <c r="M14" s="1484">
        <v>41334</v>
      </c>
      <c r="O14" s="272"/>
      <c r="P14" s="292"/>
      <c r="Z14" s="68"/>
    </row>
    <row r="15" spans="2:26" ht="14.25">
      <c r="B15" s="1854" t="s">
        <v>1468</v>
      </c>
      <c r="C15" s="1855"/>
      <c r="D15" s="1485">
        <f>VLOOKUP(D13,Índices!$B$6:$F$500,VLOOKUP(D12,$L$7:$M$9,2,FALSE)+1,FALSE)/VLOOKUP(D14,Índices!$B$6:$F$500,VLOOKUP(D12,$L$7:$M$9,2,FALSE)+1,FALSE)</f>
        <v>1.0869109324924897</v>
      </c>
      <c r="E15" s="1485">
        <f>VLOOKUP(E13,Índices!$B$6:$F$500,VLOOKUP(E12,$L$7:$M$9,2,FALSE)+1,FALSE)/VLOOKUP(E14,Índices!$B$6:$F$500,VLOOKUP(E12,$L$7:$M$9,2,FALSE)+1,FALSE)</f>
        <v>1.0336626715248016</v>
      </c>
      <c r="F15" s="1485">
        <f>VLOOKUP(F13,Índices!$B$6:$F$500,VLOOKUP(F12,$L$7:$M$9,2,FALSE)+1,FALSE)/VLOOKUP(F14,Índices!$B$6:$F$500,VLOOKUP(F12,$L$7:$M$9,2,FALSE)+1,FALSE)</f>
        <v>1.0336626715248016</v>
      </c>
      <c r="G15" s="1485">
        <f>VLOOKUP(G13,Índices!$B$6:$F$500,VLOOKUP(G12,$L$7:$M$9,2,FALSE)+1,FALSE)/VLOOKUP(G14,Índices!$B$6:$F$500,VLOOKUP(G12,$L$7:$M$9,2,FALSE)+1,FALSE)</f>
        <v>1.0869109324924897</v>
      </c>
      <c r="H15" s="1485">
        <f>VLOOKUP(H13,Índices!$B$6:$F$500,VLOOKUP(H12,$L$7:$M$9,2,FALSE)+1,FALSE)/VLOOKUP(H14,Índices!$B$6:$F$500,VLOOKUP(H12,$L$7:$M$9,2,FALSE)+1,FALSE)</f>
        <v>1.1188686962519803</v>
      </c>
      <c r="I15" s="1485">
        <f>VLOOKUP(I13,Índices!$B$6:$F$500,VLOOKUP(I12,$L$7:$M$9,2,FALSE)+1,FALSE)/VLOOKUP(I14,Índices!$B$6:$F$500,VLOOKUP(I12,$L$7:$M$9,2,FALSE)+1,FALSE)</f>
        <v>1.1188686962519803</v>
      </c>
      <c r="J15" s="1485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854" t="s">
        <v>1469</v>
      </c>
      <c r="C16" s="1855"/>
      <c r="D16" s="1486"/>
      <c r="E16" s="1486"/>
      <c r="F16" s="1486"/>
      <c r="G16" s="1486">
        <v>742337.70352578606</v>
      </c>
      <c r="H16" s="1486">
        <v>1339119.3853757277</v>
      </c>
      <c r="I16" s="1486"/>
      <c r="J16" s="1486"/>
      <c r="O16" s="272"/>
      <c r="P16" s="292"/>
      <c r="Z16" s="68"/>
    </row>
    <row r="17" spans="1:26" ht="14.25">
      <c r="B17" s="1860" t="s">
        <v>1470</v>
      </c>
      <c r="C17" s="1861"/>
      <c r="D17" s="1487">
        <f t="shared" ref="D17:E17" si="1">D16*D15</f>
        <v>0</v>
      </c>
      <c r="E17" s="1487">
        <f t="shared" si="1"/>
        <v>0</v>
      </c>
      <c r="F17" s="1487">
        <f>F16*F15</f>
        <v>0</v>
      </c>
      <c r="G17" s="1487">
        <f>G16*G15</f>
        <v>806854.96556354547</v>
      </c>
      <c r="H17" s="1487">
        <f>H16*H15</f>
        <v>1498298.7608410935</v>
      </c>
      <c r="I17" s="1487">
        <f>I16*I15</f>
        <v>0</v>
      </c>
      <c r="J17" s="1487">
        <f>J16*J15</f>
        <v>0</v>
      </c>
      <c r="O17" s="272"/>
      <c r="P17" s="93"/>
      <c r="Z17" s="68"/>
    </row>
    <row r="18" spans="1:26" ht="14.25">
      <c r="E18" s="295" t="s">
        <v>1471</v>
      </c>
      <c r="F18" s="505"/>
      <c r="H18" s="1663">
        <v>0.5</v>
      </c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1472</v>
      </c>
      <c r="F19" s="200">
        <f>F17*(1-F18)</f>
        <v>0</v>
      </c>
      <c r="H19" s="1664">
        <f>H17*H18</f>
        <v>749149.38042054675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1473</v>
      </c>
      <c r="E20" s="296" t="s">
        <v>1474</v>
      </c>
      <c r="F20" s="143">
        <f>F17-F19</f>
        <v>0</v>
      </c>
      <c r="H20" s="1664">
        <f>H17-H19</f>
        <v>749149.38042054675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488" t="s">
        <v>1459</v>
      </c>
      <c r="C22" s="1858" t="str">
        <f>Financeiros!C9</f>
        <v>Repasse de PIS COFINS</v>
      </c>
      <c r="D22" s="1859"/>
      <c r="E22" s="1847" t="s">
        <v>1475</v>
      </c>
      <c r="F22" s="1848"/>
      <c r="G22" s="1847" t="str">
        <f>Financeiros!C27</f>
        <v>Compensação DIC FIC</v>
      </c>
      <c r="H22" s="1848"/>
      <c r="I22" s="1849" t="s">
        <v>1259</v>
      </c>
      <c r="J22" s="1850"/>
      <c r="K22" s="1865" t="s">
        <v>1476</v>
      </c>
      <c r="L22" s="1866"/>
      <c r="M22" s="1867" t="s">
        <v>2366</v>
      </c>
      <c r="N22" s="1868"/>
      <c r="O22" s="1845" t="s">
        <v>1477</v>
      </c>
      <c r="P22" s="1846"/>
      <c r="Q22" s="1845" t="s">
        <v>233</v>
      </c>
      <c r="R22" s="1846"/>
      <c r="S22" s="1845" t="s">
        <v>2182</v>
      </c>
      <c r="T22" s="1846"/>
      <c r="U22" s="1845" t="s">
        <v>2183</v>
      </c>
      <c r="V22" s="1846"/>
      <c r="Z22" s="68"/>
    </row>
    <row r="23" spans="1:26" ht="14.25">
      <c r="B23" s="1489" t="s">
        <v>1005</v>
      </c>
      <c r="C23" s="1490" t="s">
        <v>1478</v>
      </c>
      <c r="D23" s="1491" t="s">
        <v>849</v>
      </c>
      <c r="E23" s="1490" t="s">
        <v>1478</v>
      </c>
      <c r="F23" s="1491" t="s">
        <v>849</v>
      </c>
      <c r="G23" s="1490" t="s">
        <v>1478</v>
      </c>
      <c r="H23" s="1491" t="s">
        <v>849</v>
      </c>
      <c r="I23" s="1490" t="s">
        <v>1478</v>
      </c>
      <c r="J23" s="1491" t="s">
        <v>849</v>
      </c>
      <c r="K23" s="1490" t="s">
        <v>1478</v>
      </c>
      <c r="L23" s="1491" t="s">
        <v>1457</v>
      </c>
      <c r="M23" s="1492" t="s">
        <v>1478</v>
      </c>
      <c r="N23" s="1493" t="s">
        <v>1457</v>
      </c>
      <c r="O23" s="1492" t="s">
        <v>1478</v>
      </c>
      <c r="P23" s="1493" t="s">
        <v>849</v>
      </c>
      <c r="Q23" s="1492" t="s">
        <v>1478</v>
      </c>
      <c r="R23" s="1493" t="s">
        <v>849</v>
      </c>
      <c r="S23" s="1492" t="s">
        <v>1478</v>
      </c>
      <c r="T23" s="1493" t="s">
        <v>849</v>
      </c>
      <c r="U23" s="1492" t="s">
        <v>1478</v>
      </c>
      <c r="V23" s="1493" t="s">
        <v>849</v>
      </c>
      <c r="Z23" s="68"/>
    </row>
    <row r="24" spans="1:26" ht="14.25">
      <c r="B24" s="1494">
        <f>DATE(YEAR(B25),MONTH(B25)-1,1)</f>
        <v>43983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8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8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8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93248.65</v>
      </c>
      <c r="D36" s="227">
        <f>VLOOKUP($B$48,Índices!$B$6:$F$500,VLOOKUP(D$23,$L$7:$M$9,2,FALSE)+1,FALSE)/VLOOKUP(DATE(YEAR($B36),MONTH($B36)-1,1),Índices!$B$6:$F$500,VLOOKUP(D$23,$L$7:$M$9,2,FALSE)+1,FALSE)*C36</f>
        <v>104885.9663637108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8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80" customFormat="1" ht="14.25">
      <c r="A37" s="874"/>
      <c r="B37" s="875">
        <f t="shared" si="2"/>
        <v>44378</v>
      </c>
      <c r="C37" s="876">
        <f>CAPA!C66</f>
        <v>104197.47</v>
      </c>
      <c r="D37" s="877">
        <f>VLOOKUP($B$48,Índices!$B$6:$F$500,VLOOKUP(D$23,$L$7:$M$9,2,FALSE)+1,FALSE)/VLOOKUP(DATE(YEAR($B37),MONTH($B37)-1,1),Índices!$B$6:$F$500,VLOOKUP(D$23,$L$7:$M$9,2,FALSE)+1,FALSE)*C37</f>
        <v>116583.28741165483</v>
      </c>
      <c r="E37" s="878"/>
      <c r="F37" s="877">
        <f>VLOOKUP($B$48,Índices!$B$6:$F$500,VLOOKUP(F$23,$L$7:$M$9,2,FALSE)+1,FALSE)/VLOOKUP(DATE(YEAR($B37),MONTH($B37)-1,1),Índices!$B$6:$F$500,VLOOKUP(H$23,$L$7:$M$9,2,FALSE)+1,FALSE)*E37</f>
        <v>0</v>
      </c>
      <c r="G37" s="878">
        <f>CAPA!E66</f>
        <v>-0.01</v>
      </c>
      <c r="H37" s="877">
        <f>VLOOKUP($B$48,Índices!$B$6:$F$500,VLOOKUP(H$23,$L$7:$M$9,2,FALSE)+1,FALSE)/VLOOKUP(DATE(YEAR($B37),MONTH($B37)-1,1),Índices!$B$6:$F$500,VLOOKUP(H$23,$L$7:$M$9,2,FALSE)+1,FALSE)*G37</f>
        <v>-1.1188686962519803E-2</v>
      </c>
      <c r="I37" s="879">
        <f>IFERROR(HLOOKUP(B37,'Rede Básica + Ajuste'!$E$70:$P$71,2,FALSE),0)</f>
        <v>0</v>
      </c>
      <c r="J37" s="879">
        <f>VLOOKUP($B$48,Índices!$B$6:$F$500,VLOOKUP(J$23,$L$7:$M$9,2,FALSE)+1,FALSE)/VLOOKUP(DATE(YEAR($B37),MONTH($B37)-1,1),Índices!$B$6:$F$500,VLOOKUP(J$23,$L$7:$M$9,2,FALSE)+1,FALSE)*I37</f>
        <v>0</v>
      </c>
      <c r="K37" s="878">
        <f>CAPA!H66</f>
        <v>0</v>
      </c>
      <c r="L37" s="877">
        <f>VLOOKUP($B$48,Índices!$B$6:$F$500,VLOOKUP(L$23,$L$7:$M$9,2,FALSE)+1,FALSE)/VLOOKUP(DATE(YEAR($B37),MONTH($B37)-1,1),Índices!$B$6:$F$500,VLOOKUP(L$23,$L$7:$M$9,2,FALSE)+1,FALSE)*K37</f>
        <v>0</v>
      </c>
      <c r="M37" s="878">
        <f>CVE!$I$14/12</f>
        <v>61861.475293815507</v>
      </c>
      <c r="N37" s="877">
        <f>VLOOKUP($B$48,Índices!$B$6:$F$500,VLOOKUP(N$23,$L$7:$M$9,2,FALSE)+1,FALSE)/VLOOKUP(DATE(YEAR($B37),MONTH($B37)-1,1),Índices!$B$6:$F$500,VLOOKUP(N$23,$L$7:$M$9,2,FALSE)+1,FALSE)*M37</f>
        <v>67237.913796962122</v>
      </c>
      <c r="O37" s="416">
        <f>CAPA!G66</f>
        <v>19819.09</v>
      </c>
      <c r="P37" s="877">
        <f>VLOOKUP($B$48,Índices!$B$6:$F$500,VLOOKUP(P$23,$L$7:$M$9,2,FALSE)+1,FALSE)/VLOOKUP(DATE(YEAR($B37),MONTH($B37)-1,1),Índices!$B$6:$F$500,VLOOKUP(P$23,$L$7:$M$9,2,FALSE)+1,FALSE)*O37</f>
        <v>22174.95938920066</v>
      </c>
      <c r="Q37" s="878">
        <f>CAPA!D66</f>
        <v>0</v>
      </c>
      <c r="R37" s="877">
        <f>VLOOKUP($B$48,Índices!$B$6:$F$500,VLOOKUP(R$23,$L$7:$M$9,2,FALSE)+1,FALSE)/VLOOKUP(DATE(YEAR($B37),MONTH($B37)-1,1),Índices!$B$6:$F$500,VLOOKUP(R$23,$L$7:$M$9,2,FALSE)+1,FALSE)*Q37</f>
        <v>0</v>
      </c>
      <c r="S37" s="878">
        <f>ICMS!$B$9/12</f>
        <v>0</v>
      </c>
      <c r="T37" s="877">
        <f>VLOOKUP($B$48,Índices!$B$6:$F$500,VLOOKUP(T$23,$L$7:$M$9,2,FALSE)+1,FALSE)/VLOOKUP(DATE(YEAR($B37),MONTH($B37)-1,1),Índices!$B$6:$F$500,VLOOKUP(T$23,$L$7:$M$9,2,FALSE)+1,FALSE)*S37</f>
        <v>0</v>
      </c>
      <c r="U37" s="878">
        <f>ICMS!$B$8/12</f>
        <v>0</v>
      </c>
      <c r="V37" s="877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122135.06</v>
      </c>
      <c r="D38" s="227">
        <f>VLOOKUP($B$48,Índices!$B$6:$F$500,VLOOKUP(D$23,$L$7:$M$9,2,FALSE)+1,FALSE)/VLOOKUP(DATE(YEAR($B38),MONTH($B38)-1,1),Índices!$B$6:$F$500,VLOOKUP(D$23,$L$7:$M$9,2,FALSE)+1,FALSE)*C38</f>
        <v>135353.74183974581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>
        <f>CVE!$I$14/12</f>
        <v>61861.475293815507</v>
      </c>
      <c r="N38" s="100">
        <f>VLOOKUP($B$48,Índices!$B$6:$F$500,VLOOKUP(N$23,$L$7:$M$9,2,FALSE)+1,FALSE)/VLOOKUP(DATE(YEAR($B38),MONTH($B38)-1,1),Índices!$B$6:$F$500,VLOOKUP(N$23,$L$7:$M$9,2,FALSE)+1,FALSE)*M38</f>
        <v>66999.652194541748</v>
      </c>
      <c r="O38" s="416">
        <f>CAPA!G67</f>
        <v>20153.37</v>
      </c>
      <c r="P38" s="100">
        <f>VLOOKUP($B$48,Índices!$B$6:$F$500,VLOOKUP(P$23,$L$7:$M$9,2,FALSE)+1,FALSE)/VLOOKUP(DATE(YEAR($B38),MONTH($B38)-1,1),Índices!$B$6:$F$500,VLOOKUP(P$23,$L$7:$M$9,2,FALSE)+1,FALSE)*O38</f>
        <v>22334.569943969225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8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8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123244.77</v>
      </c>
      <c r="D39" s="227">
        <f>VLOOKUP($B$48,Índices!$B$6:$F$500,VLOOKUP(D$23,$L$7:$M$9,2,FALSE)+1,FALSE)/VLOOKUP(DATE(YEAR($B39),MONTH($B39)-1,1),Índices!$B$6:$F$500,VLOOKUP(D$23,$L$7:$M$9,2,FALSE)+1,FALSE)*C39</f>
        <v>135405.54426944972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>
        <f>CVE!$I$14/12</f>
        <v>61861.475293815507</v>
      </c>
      <c r="N39" s="100">
        <f>VLOOKUP($B$48,Índices!$B$6:$F$500,VLOOKUP(N$23,$L$7:$M$9,2,FALSE)+1,FALSE)/VLOOKUP(DATE(YEAR($B39),MONTH($B39)-1,1),Índices!$B$6:$F$500,VLOOKUP(N$23,$L$7:$M$9,2,FALSE)+1,FALSE)*M39</f>
        <v>66714.147348227052</v>
      </c>
      <c r="O39" s="416">
        <f>CAPA!G68</f>
        <v>19637.349999999999</v>
      </c>
      <c r="P39" s="100">
        <f>VLOOKUP($B$48,Índices!$B$6:$F$500,VLOOKUP(P$23,$L$7:$M$9,2,FALSE)+1,FALSE)/VLOOKUP(DATE(YEAR($B39),MONTH($B39)-1,1),Índices!$B$6:$F$500,VLOOKUP(P$23,$L$7:$M$9,2,FALSE)+1,FALSE)*O39</f>
        <v>21575.001233396582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8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8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127026.98999999999</v>
      </c>
      <c r="D40" s="227">
        <f>VLOOKUP($B$48,Índices!$B$6:$F$500,VLOOKUP(D$23,$L$7:$M$9,2,FALSE)+1,FALSE)/VLOOKUP(DATE(YEAR($B40),MONTH($B40)-1,1),Índices!$B$6:$F$500,VLOOKUP(D$23,$L$7:$M$9,2,FALSE)+1,FALSE)*C40</f>
        <v>137960.66986050291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0</v>
      </c>
      <c r="H40" s="227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>
        <f>CVE!$I$14/12</f>
        <v>61861.475293815507</v>
      </c>
      <c r="N40" s="100">
        <f>VLOOKUP($B$48,Índices!$B$6:$F$500,VLOOKUP(N$23,$L$7:$M$9,2,FALSE)+1,FALSE)/VLOOKUP(DATE(YEAR($B40),MONTH($B40)-1,1),Índices!$B$6:$F$500,VLOOKUP(N$23,$L$7:$M$9,2,FALSE)+1,FALSE)*M40</f>
        <v>66420.568877322439</v>
      </c>
      <c r="O40" s="416">
        <f>CAPA!G69</f>
        <v>20773.73</v>
      </c>
      <c r="P40" s="100">
        <f>VLOOKUP($B$48,Índices!$B$6:$F$500,VLOOKUP(P$23,$L$7:$M$9,2,FALSE)+1,FALSE)/VLOOKUP(DATE(YEAR($B40),MONTH($B40)-1,1),Índices!$B$6:$F$500,VLOOKUP(P$23,$L$7:$M$9,2,FALSE)+1,FALSE)*O40</f>
        <v>22561.801285704911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8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8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103742.39</v>
      </c>
      <c r="D41" s="227">
        <f>VLOOKUP($B$48,Índices!$B$6:$F$500,VLOOKUP(D$23,$L$7:$M$9,2,FALSE)+1,FALSE)/VLOOKUP(DATE(YEAR($B41),MONTH($B41)-1,1),Índices!$B$6:$F$500,VLOOKUP(D$23,$L$7:$M$9,2,FALSE)+1,FALSE)*C41</f>
        <v>111280.91645299252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0</v>
      </c>
      <c r="H41" s="227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>
        <f>CVE!$I$14/12</f>
        <v>61861.475293815507</v>
      </c>
      <c r="N41" s="100">
        <f>VLOOKUP($B$48,Índices!$B$6:$F$500,VLOOKUP(N$23,$L$7:$M$9,2,FALSE)+1,FALSE)/VLOOKUP(DATE(YEAR($B41),MONTH($B41)-1,1),Índices!$B$6:$F$500,VLOOKUP(N$23,$L$7:$M$9,2,FALSE)+1,FALSE)*M41</f>
        <v>66099.32871597301</v>
      </c>
      <c r="O41" s="416">
        <f>CAPA!G70</f>
        <v>19537.03</v>
      </c>
      <c r="P41" s="100">
        <f>VLOOKUP($B$48,Índices!$B$6:$F$500,VLOOKUP(P$23,$L$7:$M$9,2,FALSE)+1,FALSE)/VLOOKUP(DATE(YEAR($B41),MONTH($B41)-1,1),Índices!$B$6:$F$500,VLOOKUP(P$23,$L$7:$M$9,2,FALSE)+1,FALSE)*O41</f>
        <v>20956.704421110873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8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8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69193.69</v>
      </c>
      <c r="D42" s="227">
        <f>VLOOKUP($B$48,Índices!$B$6:$F$500,VLOOKUP(D$23,$L$7:$M$9,2,FALSE)+1,FALSE)/VLOOKUP(DATE(YEAR($B42),MONTH($B42)-1,1),Índices!$B$6:$F$500,VLOOKUP(D$23,$L$7:$M$9,2,FALSE)+1,FALSE)*C42</f>
        <v>73523.185611263922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-460.65</v>
      </c>
      <c r="H42" s="227">
        <f>VLOOKUP($B$48,Índices!$B$6:$F$500,VLOOKUP(H$23,$L$7:$M$9,2,FALSE)+1,FALSE)/VLOOKUP(DATE(YEAR($B42),MONTH($B42)-1,1),Índices!$B$6:$F$500,VLOOKUP(H$23,$L$7:$M$9,2,FALSE)+1,FALSE)*G42</f>
        <v>-489.47317958947878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>
        <f>CVE!$I$14/12</f>
        <v>61861.475293815507</v>
      </c>
      <c r="N42" s="100">
        <f>VLOOKUP($B$48,Índices!$B$6:$F$500,VLOOKUP(N$23,$L$7:$M$9,2,FALSE)+1,FALSE)/VLOOKUP(DATE(YEAR($B42),MONTH($B42)-1,1),Índices!$B$6:$F$500,VLOOKUP(N$23,$L$7:$M$9,2,FALSE)+1,FALSE)*M42</f>
        <v>65713.753860627796</v>
      </c>
      <c r="O42" s="416">
        <f>CAPA!G71</f>
        <v>19117.21</v>
      </c>
      <c r="P42" s="100">
        <f>VLOOKUP($B$48,Índices!$B$6:$F$500,VLOOKUP(P$23,$L$7:$M$9,2,FALSE)+1,FALSE)/VLOOKUP(DATE(YEAR($B42),MONTH($B42)-1,1),Índices!$B$6:$F$500,VLOOKUP(P$23,$L$7:$M$9,2,FALSE)+1,FALSE)*O42</f>
        <v>20313.386657071049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8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8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37.78</v>
      </c>
      <c r="D43" s="227">
        <f>VLOOKUP($B$48,Índices!$B$6:$F$500,VLOOKUP(D$23,$L$7:$M$9,2,FALSE)+1,FALSE)/VLOOKUP(DATE(YEAR($B43),MONTH($B43)-1,1),Índices!$B$6:$F$500,VLOOKUP(D$23,$L$7:$M$9,2,FALSE)+1,FALSE)*C43</f>
        <v>39.853009620852148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-1694.28</v>
      </c>
      <c r="H43" s="227">
        <f>VLOOKUP($B$48,Índices!$B$6:$F$500,VLOOKUP(H$23,$L$7:$M$9,2,FALSE)+1,FALSE)/VLOOKUP(DATE(YEAR($B43),MONTH($B43)-1,1),Índices!$B$6:$F$500,VLOOKUP(H$23,$L$7:$M$9,2,FALSE)+1,FALSE)*G43</f>
        <v>-1787.2460863000895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>
        <f>CVE!$I$14/12</f>
        <v>61861.475293815507</v>
      </c>
      <c r="N43" s="100">
        <f>VLOOKUP($B$48,Índices!$B$6:$F$500,VLOOKUP(N$23,$L$7:$M$9,2,FALSE)+1,FALSE)/VLOOKUP(DATE(YEAR($B43),MONTH($B43)-1,1),Índices!$B$6:$F$500,VLOOKUP(N$23,$L$7:$M$9,2,FALSE)+1,FALSE)*M43</f>
        <v>65212.217726783208</v>
      </c>
      <c r="O43" s="416">
        <f>CAPA!G72</f>
        <v>19716.86</v>
      </c>
      <c r="P43" s="100">
        <f>VLOOKUP($B$48,Índices!$B$6:$F$500,VLOOKUP(P$23,$L$7:$M$9,2,FALSE)+1,FALSE)/VLOOKUP(DATE(YEAR($B43),MONTH($B43)-1,1),Índices!$B$6:$F$500,VLOOKUP(P$23,$L$7:$M$9,2,FALSE)+1,FALSE)*O43</f>
        <v>20798.735078692294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8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8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226.48000000000002</v>
      </c>
      <c r="D44" s="227">
        <f>VLOOKUP($B$48,Índices!$B$6:$F$500,VLOOKUP(D$23,$L$7:$M$9,2,FALSE)+1,FALSE)/VLOOKUP(DATE(YEAR($B44),MONTH($B44)-1,1),Índices!$B$6:$F$500,VLOOKUP(D$23,$L$7:$M$9,2,FALSE)+1,FALSE)*C44</f>
        <v>237.62384558002566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-0.01</v>
      </c>
      <c r="H44" s="227">
        <f>VLOOKUP($B$48,Índices!$B$6:$F$500,VLOOKUP(H$23,$L$7:$M$9,2,FALSE)+1,FALSE)/VLOOKUP(DATE(YEAR($B44),MONTH($B44)-1,1),Índices!$B$6:$F$500,VLOOKUP(H$23,$L$7:$M$9,2,FALSE)+1,FALSE)*G44</f>
        <v>-1.0492045460085909E-2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>
        <f>CVE!$I$14/12</f>
        <v>61861.475293815507</v>
      </c>
      <c r="N44" s="100">
        <f>VLOOKUP($B$48,Índices!$B$6:$F$500,VLOOKUP(N$23,$L$7:$M$9,2,FALSE)+1,FALSE)/VLOOKUP(DATE(YEAR($B44),MONTH($B44)-1,1),Índices!$B$6:$F$500,VLOOKUP(N$23,$L$7:$M$9,2,FALSE)+1,FALSE)*M44</f>
        <v>64738.159396822201</v>
      </c>
      <c r="O44" s="416">
        <f>CAPA!G73</f>
        <v>21072.46</v>
      </c>
      <c r="P44" s="100">
        <f>VLOOKUP($B$48,Índices!$B$6:$F$500,VLOOKUP(P$23,$L$7:$M$9,2,FALSE)+1,FALSE)/VLOOKUP(DATE(YEAR($B44),MONTH($B44)-1,1),Índices!$B$6:$F$500,VLOOKUP(P$23,$L$7:$M$9,2,FALSE)+1,FALSE)*O44</f>
        <v>22109.32082758419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8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8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1005.6700000000001</v>
      </c>
      <c r="D45" s="227">
        <f>VLOOKUP($B$48,Índices!$B$6:$F$500,VLOOKUP(D$23,$L$7:$M$9,2,FALSE)+1,FALSE)/VLOOKUP(DATE(YEAR($B45),MONTH($B45)-1,1),Índices!$B$6:$F$500,VLOOKUP(D$23,$L$7:$M$9,2,FALSE)+1,FALSE)*C45</f>
        <v>1044.6024078716189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0</v>
      </c>
      <c r="H45" s="227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>
        <f>CVE!$I$14/12</f>
        <v>61861.475293815507</v>
      </c>
      <c r="N45" s="100">
        <f>VLOOKUP($B$48,Índices!$B$6:$F$500,VLOOKUP(N$23,$L$7:$M$9,2,FALSE)+1,FALSE)/VLOOKUP(DATE(YEAR($B45),MONTH($B45)-1,1),Índices!$B$6:$F$500,VLOOKUP(N$23,$L$7:$M$9,2,FALSE)+1,FALSE)*M45</f>
        <v>64253.022739725871</v>
      </c>
      <c r="O45" s="416">
        <f>CAPA!G74</f>
        <v>25079.42</v>
      </c>
      <c r="P45" s="100">
        <f>VLOOKUP($B$48,Índices!$B$6:$F$500,VLOOKUP(P$23,$L$7:$M$9,2,FALSE)+1,FALSE)/VLOOKUP(DATE(YEAR($B45),MONTH($B45)-1,1),Índices!$B$6:$F$500,VLOOKUP(P$23,$L$7:$M$9,2,FALSE)+1,FALSE)*O45</f>
        <v>26050.317221378416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8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8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1026.83</v>
      </c>
      <c r="D46" s="227">
        <f>VLOOKUP($B$48,Índices!$B$6:$F$500,VLOOKUP(D$23,$L$7:$M$9,2,FALSE)+1,FALSE)/VLOOKUP(DATE(YEAR($B46),MONTH($B46)-1,1),Índices!$B$6:$F$500,VLOOKUP(D$23,$L$7:$M$9,2,FALSE)+1,FALSE)*C46</f>
        <v>1049.5778856795437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-0.01</v>
      </c>
      <c r="H46" s="227">
        <f>VLOOKUP($B$48,Índices!$B$6:$F$500,VLOOKUP(H$23,$L$7:$M$9,2,FALSE)+1,FALSE)/VLOOKUP(DATE(YEAR($B46),MONTH($B46)-1,1),Índices!$B$6:$F$500,VLOOKUP(H$23,$L$7:$M$9,2,FALSE)+1,FALSE)*G46</f>
        <v>-1.0221535070844674E-2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>
        <f>CVE!$I$14/12</f>
        <v>61861.475293815507</v>
      </c>
      <c r="N46" s="100">
        <f>VLOOKUP($B$48,Índices!$B$6:$F$500,VLOOKUP(N$23,$L$7:$M$9,2,FALSE)+1,FALSE)/VLOOKUP(DATE(YEAR($B46),MONTH($B46)-1,1),Índices!$B$6:$F$500,VLOOKUP(N$23,$L$7:$M$9,2,FALSE)+1,FALSE)*M46</f>
        <v>63662.833978104594</v>
      </c>
      <c r="O46" s="416">
        <f>CAPA!G75</f>
        <v>19971.02</v>
      </c>
      <c r="P46" s="100">
        <f>VLOOKUP($B$48,Índices!$B$6:$F$500,VLOOKUP(P$23,$L$7:$M$9,2,FALSE)+1,FALSE)/VLOOKUP(DATE(YEAR($B46),MONTH($B46)-1,1),Índices!$B$6:$F$500,VLOOKUP(P$23,$L$7:$M$9,2,FALSE)+1,FALSE)*O46</f>
        <v>20413.44813305404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8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8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786.64</v>
      </c>
      <c r="D47" s="227">
        <f>VLOOKUP($B$48,Índices!$B$6:$F$500,VLOOKUP(D$23,$L$7:$M$9,2,FALSE)+1,FALSE)/VLOOKUP(DATE(YEAR($B47),MONTH($B47)-1,1),Índices!$B$6:$F$500,VLOOKUP(D$23,$L$7:$M$9,2,FALSE)+1,FALSE)*C47</f>
        <v>795.63298135011144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0</v>
      </c>
      <c r="H47" s="227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>
        <f>CVE!$I$14/12</f>
        <v>61861.475293815507</v>
      </c>
      <c r="N47" s="100">
        <f>VLOOKUP($B$48,Índices!$B$6:$F$500,VLOOKUP(N$23,$L$7:$M$9,2,FALSE)+1,FALSE)/VLOOKUP(DATE(YEAR($B47),MONTH($B47)-1,1),Índices!$B$6:$F$500,VLOOKUP(N$23,$L$7:$M$9,2,FALSE)+1,FALSE)*M47</f>
        <v>63136.076732056572</v>
      </c>
      <c r="O47" s="416">
        <f>CAPA!G76</f>
        <v>19872.46</v>
      </c>
      <c r="P47" s="100">
        <f>VLOOKUP($B$48,Índices!$B$6:$F$500,VLOOKUP(P$23,$L$7:$M$9,2,FALSE)+1,FALSE)/VLOOKUP(DATE(YEAR($B47),MONTH($B47)-1,1),Índices!$B$6:$F$500,VLOOKUP(P$23,$L$7:$M$9,2,FALSE)+1,FALSE)*O47</f>
        <v>20099.644814096457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8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8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495">
        <f>DATE(YEAR(CAPA!$C$15),MONTH(CAPA!$C$15)-1,1)</f>
        <v>44713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6">
        <f>CVE!$I$14/12</f>
        <v>61861.475293815507</v>
      </c>
      <c r="N48" s="100">
        <f>VLOOKUP($B$48,Índices!$B$6:$F$500,VLOOKUP(N$23,$L$7:$M$9,2,FALSE)+1,FALSE)/VLOOKUP(DATE(YEAR($B48),MONTH($B48)-1,1),Índices!$B$6:$F$500,VLOOKUP(N$23,$L$7:$M$9,2,FALSE)+1,FALSE)*M48</f>
        <v>62489.564508392294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8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8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96">
        <f t="shared" ref="C49:P49" si="3">SUM(C25:C48)</f>
        <v>745872.42</v>
      </c>
      <c r="D49" s="1497">
        <f t="shared" si="3"/>
        <v>818160.60193942254</v>
      </c>
      <c r="E49" s="1496">
        <f t="shared" si="3"/>
        <v>0</v>
      </c>
      <c r="F49" s="1497">
        <f t="shared" si="3"/>
        <v>0</v>
      </c>
      <c r="G49" s="1496">
        <f t="shared" si="3"/>
        <v>-2154.9600000000005</v>
      </c>
      <c r="H49" s="1497">
        <f t="shared" si="3"/>
        <v>-2276.7511681570618</v>
      </c>
      <c r="I49" s="1498">
        <f>SUM(I24:I48)</f>
        <v>0</v>
      </c>
      <c r="J49" s="1498">
        <f>SUM(J24:J48)</f>
        <v>0</v>
      </c>
      <c r="K49" s="1499">
        <f t="shared" si="3"/>
        <v>0</v>
      </c>
      <c r="L49" s="1500">
        <f t="shared" si="3"/>
        <v>0</v>
      </c>
      <c r="M49" s="1501">
        <f t="shared" si="3"/>
        <v>742337.70352578594</v>
      </c>
      <c r="N49" s="1502">
        <f t="shared" si="3"/>
        <v>782677.23987553886</v>
      </c>
      <c r="O49" s="1501">
        <f t="shared" si="3"/>
        <v>224750</v>
      </c>
      <c r="P49" s="1502">
        <f t="shared" si="3"/>
        <v>239387.88900525868</v>
      </c>
      <c r="Q49" s="1501">
        <f t="shared" ref="Q49:R49" si="4">SUM(Q25:Q48)</f>
        <v>0</v>
      </c>
      <c r="R49" s="1502">
        <f t="shared" si="4"/>
        <v>0</v>
      </c>
      <c r="S49" s="1501">
        <f>-S51</f>
        <v>0</v>
      </c>
      <c r="T49" s="1502">
        <f t="shared" ref="T49:V49" si="5">SUM(T25:T48)</f>
        <v>0</v>
      </c>
      <c r="U49" s="1501">
        <f>-S52</f>
        <v>0</v>
      </c>
      <c r="V49" s="1502">
        <f t="shared" si="5"/>
        <v>0</v>
      </c>
      <c r="Z49" s="68"/>
    </row>
    <row r="50" spans="2:30" ht="14.25">
      <c r="J50" s="68" t="s">
        <v>928</v>
      </c>
      <c r="M50" s="200"/>
      <c r="N50" s="108"/>
      <c r="S50" s="1409"/>
      <c r="T50" s="68" t="s">
        <v>1479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51" t="s">
        <v>2255</v>
      </c>
      <c r="D53" s="1852"/>
      <c r="E53" s="1851" t="s">
        <v>1480</v>
      </c>
      <c r="F53" s="1852"/>
      <c r="G53" s="1851" t="s">
        <v>1481</v>
      </c>
      <c r="H53" s="1852"/>
      <c r="I53" s="1851" t="s">
        <v>1482</v>
      </c>
      <c r="J53" s="1852"/>
      <c r="K53" s="1847" t="s">
        <v>1483</v>
      </c>
      <c r="L53" s="1848"/>
      <c r="M53" s="1851" t="s">
        <v>1484</v>
      </c>
      <c r="N53" s="1852"/>
      <c r="O53" s="1851" t="s">
        <v>2257</v>
      </c>
      <c r="P53" s="1852"/>
      <c r="Q53" s="1851" t="s">
        <v>2258</v>
      </c>
      <c r="R53" s="1852"/>
      <c r="S53" s="1851" t="s">
        <v>1485</v>
      </c>
      <c r="T53" s="1852"/>
      <c r="U53" s="1851" t="s">
        <v>1486</v>
      </c>
      <c r="V53" s="1852"/>
      <c r="W53" s="1851" t="s">
        <v>36</v>
      </c>
      <c r="X53" s="1852"/>
      <c r="Z53" s="68"/>
    </row>
    <row r="54" spans="2:30" ht="14.25">
      <c r="C54" s="1492" t="s">
        <v>1478</v>
      </c>
      <c r="D54" s="1493" t="s">
        <v>849</v>
      </c>
      <c r="E54" s="1492" t="s">
        <v>1478</v>
      </c>
      <c r="F54" s="1493" t="s">
        <v>849</v>
      </c>
      <c r="G54" s="1492" t="s">
        <v>1478</v>
      </c>
      <c r="H54" s="1493" t="s">
        <v>849</v>
      </c>
      <c r="I54" s="1492" t="s">
        <v>1478</v>
      </c>
      <c r="J54" s="1493" t="s">
        <v>849</v>
      </c>
      <c r="K54" s="1490" t="s">
        <v>1478</v>
      </c>
      <c r="L54" s="1491" t="s">
        <v>849</v>
      </c>
      <c r="M54" s="1492" t="s">
        <v>1478</v>
      </c>
      <c r="N54" s="1493" t="s">
        <v>849</v>
      </c>
      <c r="O54" s="1492" t="s">
        <v>1478</v>
      </c>
      <c r="P54" s="1493" t="s">
        <v>849</v>
      </c>
      <c r="Q54" s="1492" t="s">
        <v>1478</v>
      </c>
      <c r="R54" s="1493" t="s">
        <v>849</v>
      </c>
      <c r="S54" s="1492" t="s">
        <v>1478</v>
      </c>
      <c r="T54" s="1493" t="s">
        <v>849</v>
      </c>
      <c r="U54" s="1492" t="s">
        <v>1478</v>
      </c>
      <c r="V54" s="1493" t="s">
        <v>849</v>
      </c>
      <c r="W54" s="1492" t="s">
        <v>1478</v>
      </c>
      <c r="X54" s="1503" t="s">
        <v>1457</v>
      </c>
      <c r="Z54" s="68"/>
    </row>
    <row r="55" spans="2:30" ht="14.25">
      <c r="B55" s="272">
        <f t="shared" ref="B55:B79" si="6">B24</f>
        <v>43983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3610.2794018071854</v>
      </c>
      <c r="F68" s="100">
        <f ca="1">VLOOKUP($B$79,Índices!$B$6:$F$500,VLOOKUP(F$54,$L$7:$M$9,2,FALSE)+1,FALSE)/VLOOKUP(DATE(YEAR($B68),MONTH($B68)-1,1),Índices!$B$6:$F$500,VLOOKUP(F$54,$L$7:$M$9,2,FALSE)+1,FALSE)*E68</f>
        <v>4039.4286074053848</v>
      </c>
      <c r="G68" s="209">
        <f ca="1">Encargos!E31</f>
        <v>1841.7813293859781</v>
      </c>
      <c r="H68" s="227">
        <f ca="1">VLOOKUP($B$48,Índices!$B$6:$F$500,VLOOKUP(H$54,$L$7:$M$9,2,FALSE)+1,FALSE)/VLOOKUP(DATE(YEAR($B68),MONTH($B68)-1,1),Índices!$B$6:$F$500,VLOOKUP(H$54,$L$7:$M$9,2,FALSE)+1,FALSE)*G68</f>
        <v>2060.7114747913283</v>
      </c>
      <c r="I68" s="209">
        <f ca="1">Encargos!F31</f>
        <v>59035.134818378778</v>
      </c>
      <c r="J68" s="227">
        <f ca="1">VLOOKUP($B$48,Índices!$B$6:$F$500,VLOOKUP(J$54,$L$7:$M$9,2,FALSE)+1,FALSE)/VLOOKUP(DATE(YEAR($B68),MONTH($B68)-1,1),Índices!$B$6:$F$500,VLOOKUP(J$54,$L$7:$M$9,2,FALSE)+1,FALSE)*I68</f>
        <v>66052.564327299347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9252.2629125952299</v>
      </c>
      <c r="N68" s="227">
        <f ca="1">VLOOKUP($B$48,Índices!$B$6:$F$500,VLOOKUP(N$54,$L$7:$M$9,2,FALSE)+1,FALSE)/VLOOKUP(DATE(YEAR($B68),MONTH($B68)-1,1),Índices!$B$6:$F$500,VLOOKUP(N$54,$L$7:$M$9,2,FALSE)+1,FALSE)*M68</f>
        <v>10352.067342395974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1877.2176729550883</v>
      </c>
      <c r="F69" s="100">
        <f ca="1">VLOOKUP($B$79,Índices!$B$6:$F$500,VLOOKUP(F$54,$L$7:$M$9,2,FALSE)+1,FALSE)/VLOOKUP(DATE(YEAR($B69),MONTH($B69)-1,1),Índices!$B$6:$F$500,VLOOKUP(F$54,$L$7:$M$9,2,FALSE)+1,FALSE)*E69</f>
        <v>2080.3890077277679</v>
      </c>
      <c r="G69" s="209">
        <f ca="1">Encargos!E32</f>
        <v>768.81344179501502</v>
      </c>
      <c r="H69" s="227">
        <f ca="1">VLOOKUP($B$48,Índices!$B$6:$F$500,VLOOKUP(H$54,$L$7:$M$9,2,FALSE)+1,FALSE)/VLOOKUP(DATE(YEAR($B69),MONTH($B69)-1,1),Índices!$B$6:$F$500,VLOOKUP(H$54,$L$7:$M$9,2,FALSE)+1,FALSE)*G69</f>
        <v>852.0221476425271</v>
      </c>
      <c r="I69" s="209">
        <f ca="1">Encargos!F32</f>
        <v>24310.457704148139</v>
      </c>
      <c r="J69" s="227">
        <f ca="1">VLOOKUP($B$48,Índices!$B$6:$F$500,VLOOKUP(J$54,$L$7:$M$9,2,FALSE)+1,FALSE)/VLOOKUP(DATE(YEAR($B69),MONTH($B69)-1,1),Índices!$B$6:$F$500,VLOOKUP(J$54,$L$7:$M$9,2,FALSE)+1,FALSE)*I69</f>
        <v>26941.579396557605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3764.8529374838981</v>
      </c>
      <c r="N69" s="227">
        <f ca="1">VLOOKUP($B$48,Índices!$B$6:$F$500,VLOOKUP(N$54,$L$7:$M$9,2,FALSE)+1,FALSE)/VLOOKUP(DATE(YEAR($B69),MONTH($B69)-1,1),Índices!$B$6:$F$500,VLOOKUP(N$54,$L$7:$M$9,2,FALSE)+1,FALSE)*M69</f>
        <v>4172.323103331707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1118.2939246764799</v>
      </c>
      <c r="F70" s="100">
        <f ca="1">VLOOKUP($B$79,Índices!$B$6:$F$500,VLOOKUP(F$54,$L$7:$M$9,2,FALSE)+1,FALSE)/VLOOKUP(DATE(YEAR($B70),MONTH($B70)-1,1),Índices!$B$6:$F$500,VLOOKUP(F$54,$L$7:$M$9,2,FALSE)+1,FALSE)*E70</f>
        <v>1228.6379172441782</v>
      </c>
      <c r="G70" s="209">
        <f ca="1">Encargos!E33</f>
        <v>262.35547621362457</v>
      </c>
      <c r="H70" s="227">
        <f ca="1">VLOOKUP($B$48,Índices!$B$6:$F$500,VLOOKUP(H$54,$L$7:$M$9,2,FALSE)+1,FALSE)/VLOOKUP(DATE(YEAR($B70),MONTH($B70)-1,1),Índices!$B$6:$F$500,VLOOKUP(H$54,$L$7:$M$9,2,FALSE)+1,FALSE)*G70</f>
        <v>288.24254407531049</v>
      </c>
      <c r="I70" s="209">
        <f ca="1">Encargos!F33</f>
        <v>8578.321092340746</v>
      </c>
      <c r="J70" s="227">
        <f ca="1">VLOOKUP($B$48,Índices!$B$6:$F$500,VLOOKUP(J$54,$L$7:$M$9,2,FALSE)+1,FALSE)/VLOOKUP(DATE(YEAR($B70),MONTH($B70)-1,1),Índices!$B$6:$F$500,VLOOKUP(J$54,$L$7:$M$9,2,FALSE)+1,FALSE)*I70</f>
        <v>9424.7588471827166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1350.7659190107734</v>
      </c>
      <c r="N70" s="227">
        <f ca="1">VLOOKUP($B$48,Índices!$B$6:$F$500,VLOOKUP(N$54,$L$7:$M$9,2,FALSE)+1,FALSE)/VLOOKUP(DATE(YEAR($B70),MONTH($B70)-1,1),Índices!$B$6:$F$500,VLOOKUP(N$54,$L$7:$M$9,2,FALSE)+1,FALSE)*M70</f>
        <v>1484.0483246816655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1242.0577176657062</v>
      </c>
      <c r="F71" s="100">
        <f ca="1">VLOOKUP($B$79,Índices!$B$6:$F$500,VLOOKUP(F$54,$L$7:$M$9,2,FALSE)+1,FALSE)/VLOOKUP(DATE(YEAR($B71),MONTH($B71)-1,1),Índices!$B$6:$F$500,VLOOKUP(F$54,$L$7:$M$9,2,FALSE)+1,FALSE)*E71</f>
        <v>1348.9661900558945</v>
      </c>
      <c r="G71" s="209">
        <f ca="1">Encargos!E34</f>
        <v>413.1298120213487</v>
      </c>
      <c r="H71" s="227">
        <f ca="1">VLOOKUP($B$48,Índices!$B$6:$F$500,VLOOKUP(H$54,$L$7:$M$9,2,FALSE)+1,FALSE)/VLOOKUP(DATE(YEAR($B71),MONTH($B71)-1,1),Índices!$B$6:$F$500,VLOOKUP(H$54,$L$7:$M$9,2,FALSE)+1,FALSE)*G71</f>
        <v>448.68941321689914</v>
      </c>
      <c r="I71" s="209">
        <f ca="1">Encargos!F34</f>
        <v>11694.700822524028</v>
      </c>
      <c r="J71" s="227">
        <f ca="1">VLOOKUP($B$48,Índices!$B$6:$F$500,VLOOKUP(J$54,$L$7:$M$9,2,FALSE)+1,FALSE)/VLOOKUP(DATE(YEAR($B71),MONTH($B71)-1,1),Índices!$B$6:$F$500,VLOOKUP(J$54,$L$7:$M$9,2,FALSE)+1,FALSE)*I71</f>
        <v>12701.306700989997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1630.727766809614</v>
      </c>
      <c r="N71" s="227">
        <f ca="1">VLOOKUP($B$48,Índices!$B$6:$F$500,VLOOKUP(N$54,$L$7:$M$9,2,FALSE)+1,FALSE)/VLOOKUP(DATE(YEAR($B71),MONTH($B71)-1,1),Índices!$B$6:$F$500,VLOOKUP(N$54,$L$7:$M$9,2,FALSE)+1,FALSE)*M71</f>
        <v>1771.0904987135123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-242.26871789626239</v>
      </c>
      <c r="F72" s="100">
        <f ca="1">VLOOKUP($B$79,Índices!$B$6:$F$500,VLOOKUP(F$54,$L$7:$M$9,2,FALSE)+1,FALSE)/VLOOKUP(DATE(YEAR($B72),MONTH($B72)-1,1),Índices!$B$6:$F$500,VLOOKUP(F$54,$L$7:$M$9,2,FALSE)+1,FALSE)*E72</f>
        <v>-259.87337437847333</v>
      </c>
      <c r="G72" s="209">
        <f ca="1">Encargos!E35</f>
        <v>-352.01623951858346</v>
      </c>
      <c r="H72" s="227">
        <f ca="1">VLOOKUP($B$48,Índices!$B$6:$F$500,VLOOKUP(H$54,$L$7:$M$9,2,FALSE)+1,FALSE)/VLOOKUP(DATE(YEAR($B72),MONTH($B72)-1,1),Índices!$B$6:$F$500,VLOOKUP(H$54,$L$7:$M$9,2,FALSE)+1,FALSE)*G72</f>
        <v>-377.59579030292332</v>
      </c>
      <c r="I72" s="209">
        <f ca="1">Encargos!F35</f>
        <v>-14878.92838047893</v>
      </c>
      <c r="J72" s="227">
        <f ca="1">VLOOKUP($B$48,Índices!$B$6:$F$500,VLOOKUP(J$54,$L$7:$M$9,2,FALSE)+1,FALSE)/VLOOKUP(DATE(YEAR($B72),MONTH($B72)-1,1),Índices!$B$6:$F$500,VLOOKUP(J$54,$L$7:$M$9,2,FALSE)+1,FALSE)*I72</f>
        <v>-15960.118000155338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-2816.2988590836321</v>
      </c>
      <c r="N72" s="227">
        <f ca="1">VLOOKUP($B$48,Índices!$B$6:$F$500,VLOOKUP(N$54,$L$7:$M$9,2,FALSE)+1,FALSE)/VLOOKUP(DATE(YEAR($B72),MONTH($B72)-1,1),Índices!$B$6:$F$500,VLOOKUP(N$54,$L$7:$M$9,2,FALSE)+1,FALSE)*M72</f>
        <v>-3020.9475417362551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-2104.8422950602981</v>
      </c>
      <c r="F73" s="100">
        <f ca="1">VLOOKUP($B$79,Índices!$B$6:$F$500,VLOOKUP(F$54,$L$7:$M$9,2,FALSE)+1,FALSE)/VLOOKUP(DATE(YEAR($B73),MONTH($B73)-1,1),Índices!$B$6:$F$500,VLOOKUP(F$54,$L$7:$M$9,2,FALSE)+1,FALSE)*E73</f>
        <v>-2236.5436897809182</v>
      </c>
      <c r="G73" s="209">
        <f ca="1">Encargos!E36</f>
        <v>-1376.8630198033752</v>
      </c>
      <c r="H73" s="227">
        <f ca="1">VLOOKUP($B$48,Índices!$B$6:$F$500,VLOOKUP(H$54,$L$7:$M$9,2,FALSE)+1,FALSE)/VLOOKUP(DATE(YEAR($B73),MONTH($B73)-1,1),Índices!$B$6:$F$500,VLOOKUP(H$54,$L$7:$M$9,2,FALSE)+1,FALSE)*G73</f>
        <v>-1463.0142628076187</v>
      </c>
      <c r="I73" s="209">
        <f ca="1">Encargos!F36</f>
        <v>-48769.443392154411</v>
      </c>
      <c r="J73" s="227">
        <f ca="1">VLOOKUP($B$48,Índices!$B$6:$F$500,VLOOKUP(J$54,$L$7:$M$9,2,FALSE)+1,FALSE)/VLOOKUP(DATE(YEAR($B73),MONTH($B73)-1,1),Índices!$B$6:$F$500,VLOOKUP(J$54,$L$7:$M$9,2,FALSE)+1,FALSE)*I73</f>
        <v>-51820.980188791742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-8260.2381394216864</v>
      </c>
      <c r="N73" s="227">
        <f ca="1">VLOOKUP($B$48,Índices!$B$6:$F$500,VLOOKUP(N$54,$L$7:$M$9,2,FALSE)+1,FALSE)/VLOOKUP(DATE(YEAR($B73),MONTH($B73)-1,1),Índices!$B$6:$F$500,VLOOKUP(N$54,$L$7:$M$9,2,FALSE)+1,FALSE)*M73</f>
        <v>-8777.0867823054668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-7041.7824428103559</v>
      </c>
      <c r="F74" s="100">
        <f ca="1">VLOOKUP($B$79,Índices!$B$6:$F$500,VLOOKUP(F$54,$L$7:$M$9,2,FALSE)+1,FALSE)/VLOOKUP(DATE(YEAR($B74),MONTH($B74)-1,1),Índices!$B$6:$F$500,VLOOKUP(F$54,$L$7:$M$9,2,FALSE)+1,FALSE)*E74</f>
        <v>-7428.1689635063221</v>
      </c>
      <c r="G74" s="209">
        <f ca="1">Encargos!E37</f>
        <v>-4408.1485797101177</v>
      </c>
      <c r="H74" s="227">
        <f ca="1">VLOOKUP($B$48,Índices!$B$6:$F$500,VLOOKUP(H$54,$L$7:$M$9,2,FALSE)+1,FALSE)/VLOOKUP(DATE(YEAR($B74),MONTH($B74)-1,1),Índices!$B$6:$F$500,VLOOKUP(H$54,$L$7:$M$9,2,FALSE)+1,FALSE)*G74</f>
        <v>-4650.0261449796999</v>
      </c>
      <c r="I74" s="209">
        <f ca="1">Encargos!F37</f>
        <v>-143646.30005681911</v>
      </c>
      <c r="J74" s="227">
        <f ca="1">VLOOKUP($B$48,Índices!$B$6:$F$500,VLOOKUP(J$54,$L$7:$M$9,2,FALSE)+1,FALSE)/VLOOKUP(DATE(YEAR($B74),MONTH($B74)-1,1),Índices!$B$6:$F$500,VLOOKUP(J$54,$L$7:$M$9,2,FALSE)+1,FALSE)*I74</f>
        <v>-151528.25246596683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-22843.859242662074</v>
      </c>
      <c r="N74" s="227">
        <f ca="1">VLOOKUP($B$48,Índices!$B$6:$F$500,VLOOKUP(N$54,$L$7:$M$9,2,FALSE)+1,FALSE)/VLOOKUP(DATE(YEAR($B74),MONTH($B74)-1,1),Índices!$B$6:$F$500,VLOOKUP(N$54,$L$7:$M$9,2,FALSE)+1,FALSE)*M74</f>
        <v>-24097.314509666594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-6375.8426853179008</v>
      </c>
      <c r="F75" s="100">
        <f ca="1">VLOOKUP($B$79,Índices!$B$6:$F$500,VLOOKUP(F$54,$L$7:$M$9,2,FALSE)+1,FALSE)/VLOOKUP(DATE(YEAR($B75),MONTH($B75)-1,1),Índices!$B$6:$F$500,VLOOKUP(F$54,$L$7:$M$9,2,FALSE)+1,FALSE)*E75</f>
        <v>-6689.563130071163</v>
      </c>
      <c r="G75" s="209">
        <f ca="1">Encargos!E38</f>
        <v>-4142.2591509201429</v>
      </c>
      <c r="H75" s="227">
        <f ca="1">VLOOKUP($B$48,Índices!$B$6:$F$500,VLOOKUP(H$54,$L$7:$M$9,2,FALSE)+1,FALSE)/VLOOKUP(DATE(YEAR($B75),MONTH($B75)-1,1),Índices!$B$6:$F$500,VLOOKUP(H$54,$L$7:$M$9,2,FALSE)+1,FALSE)*G75</f>
        <v>-4346.0771318910993</v>
      </c>
      <c r="I75" s="209">
        <f ca="1">Encargos!F38</f>
        <v>-132221.67271904292</v>
      </c>
      <c r="J75" s="227">
        <f ca="1">VLOOKUP($B$48,Índices!$B$6:$F$500,VLOOKUP(J$54,$L$7:$M$9,2,FALSE)+1,FALSE)/VLOOKUP(DATE(YEAR($B75),MONTH($B75)-1,1),Índices!$B$6:$F$500,VLOOKUP(J$54,$L$7:$M$9,2,FALSE)+1,FALSE)*I75</f>
        <v>-138727.58009767989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-20701.902869747762</v>
      </c>
      <c r="N75" s="227">
        <f ca="1">VLOOKUP($B$48,Índices!$B$6:$F$500,VLOOKUP(N$54,$L$7:$M$9,2,FALSE)+1,FALSE)/VLOOKUP(DATE(YEAR($B75),MONTH($B75)-1,1),Índices!$B$6:$F$500,VLOOKUP(N$54,$L$7:$M$9,2,FALSE)+1,FALSE)*M75</f>
        <v>-21720.530601967643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-2443.9264091435434</v>
      </c>
      <c r="F76" s="100">
        <f ca="1">VLOOKUP($B$79,Índices!$B$6:$F$500,VLOOKUP(F$54,$L$7:$M$9,2,FALSE)+1,FALSE)/VLOOKUP(DATE(YEAR($B76),MONTH($B76)-1,1),Índices!$B$6:$F$500,VLOOKUP(F$54,$L$7:$M$9,2,FALSE)+1,FALSE)*E76</f>
        <v>-2538.5379017494652</v>
      </c>
      <c r="G76" s="209">
        <f ca="1">Encargos!E39</f>
        <v>-1824.6962273817098</v>
      </c>
      <c r="H76" s="227">
        <f ca="1">VLOOKUP($B$48,Índices!$B$6:$F$500,VLOOKUP(H$54,$L$7:$M$9,2,FALSE)+1,FALSE)/VLOOKUP(DATE(YEAR($B76),MONTH($B76)-1,1),Índices!$B$6:$F$500,VLOOKUP(H$54,$L$7:$M$9,2,FALSE)+1,FALSE)*G76</f>
        <v>-1895.3355203567701</v>
      </c>
      <c r="I76" s="209">
        <f ca="1">Encargos!F39</f>
        <v>-57476.977986073063</v>
      </c>
      <c r="J76" s="227">
        <f ca="1">VLOOKUP($B$48,Índices!$B$6:$F$500,VLOOKUP(J$54,$L$7:$M$9,2,FALSE)+1,FALSE)/VLOOKUP(DATE(YEAR($B76),MONTH($B76)-1,1),Índices!$B$6:$F$500,VLOOKUP(J$54,$L$7:$M$9,2,FALSE)+1,FALSE)*I76</f>
        <v>-59702.078814557412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-9007.113334159294</v>
      </c>
      <c r="N76" s="227">
        <f ca="1">VLOOKUP($B$48,Índices!$B$6:$F$500,VLOOKUP(N$54,$L$7:$M$9,2,FALSE)+1,FALSE)/VLOOKUP(DATE(YEAR($B76),MONTH($B76)-1,1),Índices!$B$6:$F$500,VLOOKUP(N$54,$L$7:$M$9,2,FALSE)+1,FALSE)*M76</f>
        <v>-9355.8048632606751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1530.17768828716</v>
      </c>
      <c r="F77" s="100">
        <f ca="1">VLOOKUP($B$79,Índices!$B$6:$F$500,VLOOKUP(F$54,$L$7:$M$9,2,FALSE)+1,FALSE)/VLOOKUP(DATE(YEAR($B77),MONTH($B77)-1,1),Índices!$B$6:$F$500,VLOOKUP(F$54,$L$7:$M$9,2,FALSE)+1,FALSE)*E77</f>
        <v>1564.0764905451235</v>
      </c>
      <c r="G77" s="209">
        <f ca="1">Encargos!E40</f>
        <v>579.45629121860111</v>
      </c>
      <c r="H77" s="227">
        <f ca="1">VLOOKUP($B$48,Índices!$B$6:$F$500,VLOOKUP(H$54,$L$7:$M$9,2,FALSE)+1,FALSE)/VLOOKUP(DATE(YEAR($B77),MONTH($B77)-1,1),Índices!$B$6:$F$500,VLOOKUP(H$54,$L$7:$M$9,2,FALSE)+1,FALSE)*G77</f>
        <v>592.29328027125155</v>
      </c>
      <c r="I77" s="209">
        <f ca="1">Encargos!F40</f>
        <v>20493.151948114799</v>
      </c>
      <c r="J77" s="227">
        <f ca="1">VLOOKUP($B$48,Índices!$B$6:$F$500,VLOOKUP(J$54,$L$7:$M$9,2,FALSE)+1,FALSE)/VLOOKUP(DATE(YEAR($B77),MONTH($B77)-1,1),Índices!$B$6:$F$500,VLOOKUP(J$54,$L$7:$M$9,2,FALSE)+1,FALSE)*I77</f>
        <v>20947.147134980427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3246.4530329486588</v>
      </c>
      <c r="N77" s="227">
        <f ca="1">VLOOKUP($B$48,Índices!$B$6:$F$500,VLOOKUP(N$54,$L$7:$M$9,2,FALSE)+1,FALSE)/VLOOKUP(DATE(YEAR($B77),MONTH($B77)-1,1),Índices!$B$6:$F$500,VLOOKUP(N$54,$L$7:$M$9,2,FALSE)+1,FALSE)*M77</f>
        <v>3318.3733532134775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2886.9167137240602</v>
      </c>
      <c r="F78" s="100">
        <f ca="1">VLOOKUP($B$79,Índices!$B$6:$F$500,VLOOKUP(F$54,$L$7:$M$9,2,FALSE)+1,FALSE)/VLOOKUP(DATE(YEAR($B78),MONTH($B78)-1,1),Índices!$B$6:$F$500,VLOOKUP(F$54,$L$7:$M$9,2,FALSE)+1,FALSE)*E78</f>
        <v>2919.9203598211893</v>
      </c>
      <c r="G78" s="209">
        <f ca="1">Encargos!E41</f>
        <v>1389.5230856916332</v>
      </c>
      <c r="H78" s="227">
        <f ca="1">VLOOKUP($B$48,Índices!$B$6:$F$500,VLOOKUP(H$54,$L$7:$M$9,2,FALSE)+1,FALSE)/VLOOKUP(DATE(YEAR($B78),MONTH($B78)-1,1),Índices!$B$6:$F$500,VLOOKUP(H$54,$L$7:$M$9,2,FALSE)+1,FALSE)*G78</f>
        <v>1405.4083129813391</v>
      </c>
      <c r="I78" s="209">
        <f ca="1">Encargos!F41</f>
        <v>46240.709959831904</v>
      </c>
      <c r="J78" s="227">
        <f ca="1">VLOOKUP($B$48,Índices!$B$6:$F$500,VLOOKUP(J$54,$L$7:$M$9,2,FALSE)+1,FALSE)/VLOOKUP(DATE(YEAR($B78),MONTH($B78)-1,1),Índices!$B$6:$F$500,VLOOKUP(J$54,$L$7:$M$9,2,FALSE)+1,FALSE)*I78</f>
        <v>46769.340390886369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7294.7632462226611</v>
      </c>
      <c r="N78" s="227">
        <f ca="1">VLOOKUP($B$48,Índices!$B$6:$F$500,VLOOKUP(N$54,$L$7:$M$9,2,FALSE)+1,FALSE)/VLOOKUP(DATE(YEAR($B78),MONTH($B78)-1,1),Índices!$B$6:$F$500,VLOOKUP(N$54,$L$7:$M$9,2,FALSE)+1,FALSE)*M78</f>
        <v>7378.1580263339692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2438.3178584867183</v>
      </c>
      <c r="F79" s="100">
        <f ca="1">VLOOKUP($B$79,Índices!$B$6:$F$500,VLOOKUP(F$54,$L$7:$M$9,2,FALSE)+1,FALSE)/VLOOKUP(DATE(YEAR($B79),MONTH($B79)-1,1),Índices!$B$6:$F$500,VLOOKUP(F$54,$L$7:$M$9,2,FALSE)+1,FALSE)*E79</f>
        <v>2454.6559964807516</v>
      </c>
      <c r="G79" s="209">
        <f ca="1">Encargos!E42</f>
        <v>1108.1718466130405</v>
      </c>
      <c r="H79" s="227">
        <f ca="1">VLOOKUP($B$48,Índices!$B$6:$F$500,VLOOKUP(H$54,$L$7:$M$9,2,FALSE)+1,FALSE)/VLOOKUP(DATE(YEAR($B79),MONTH($B79)-1,1),Índices!$B$6:$F$500,VLOOKUP(H$54,$L$7:$M$9,2,FALSE)+1,FALSE)*G79</f>
        <v>1115.5972380516707</v>
      </c>
      <c r="I79" s="209">
        <f ca="1">Encargos!F42</f>
        <v>37605.53535107139</v>
      </c>
      <c r="J79" s="227">
        <f ca="1">VLOOKUP($B$48,Índices!$B$6:$F$500,VLOOKUP(J$54,$L$7:$M$9,2,FALSE)+1,FALSE)/VLOOKUP(DATE(YEAR($B79),MONTH($B79)-1,1),Índices!$B$6:$F$500,VLOOKUP(J$54,$L$7:$M$9,2,FALSE)+1,FALSE)*I79</f>
        <v>37857.51415841467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5972.5433224739973</v>
      </c>
      <c r="N79" s="227">
        <f ca="1">VLOOKUP($B$48,Índices!$B$6:$F$500,VLOOKUP(N$54,$L$7:$M$9,2,FALSE)+1,FALSE)/VLOOKUP(DATE(YEAR($B79),MONTH($B79)-1,1),Índices!$B$6:$F$500,VLOOKUP(N$54,$L$7:$M$9,2,FALSE)+1,FALSE)*M79</f>
        <v>6012.5628124015666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01">
        <f ca="1">SUM(C56:C79)</f>
        <v>0</v>
      </c>
      <c r="D80" s="1502">
        <f ca="1">SUM(D56:D79)</f>
        <v>0</v>
      </c>
      <c r="E80" s="1501">
        <f ca="1">SUM(E56:E79)</f>
        <v>-3505.4015726259622</v>
      </c>
      <c r="F80" s="1502">
        <f ca="1">SUM(F56:F79)</f>
        <v>-3516.6124902060506</v>
      </c>
      <c r="G80" s="1501">
        <f ca="1">SUM(G55:G79)</f>
        <v>-5740.7519343946879</v>
      </c>
      <c r="H80" s="1501">
        <f t="shared" ref="H80:N80" ca="1" si="7">SUM(H55:H79)</f>
        <v>-5969.0844393077859</v>
      </c>
      <c r="I80" s="1501">
        <f t="shared" ca="1" si="7"/>
        <v>-189035.31083815865</v>
      </c>
      <c r="J80" s="1501">
        <f t="shared" ca="1" si="7"/>
        <v>-197044.79861084011</v>
      </c>
      <c r="K80" s="1501">
        <f t="shared" ca="1" si="7"/>
        <v>0</v>
      </c>
      <c r="L80" s="1501">
        <f t="shared" ca="1" si="7"/>
        <v>0</v>
      </c>
      <c r="M80" s="1501">
        <f t="shared" ca="1" si="7"/>
        <v>-31117.043307529617</v>
      </c>
      <c r="N80" s="1501">
        <f t="shared" ca="1" si="7"/>
        <v>-32483.060837864756</v>
      </c>
      <c r="O80" s="1501">
        <f t="shared" ref="O80:R80" ca="1" si="8">SUM(O55:O79)</f>
        <v>0</v>
      </c>
      <c r="P80" s="1501">
        <f t="shared" ca="1" si="8"/>
        <v>0</v>
      </c>
      <c r="Q80" s="1501">
        <f t="shared" ca="1" si="8"/>
        <v>0</v>
      </c>
      <c r="R80" s="1501">
        <f t="shared" ca="1" si="8"/>
        <v>0</v>
      </c>
      <c r="S80" s="1501">
        <f t="shared" ref="S80:X80" si="9">SUM(S55:S79)</f>
        <v>0</v>
      </c>
      <c r="T80" s="1501">
        <f t="shared" si="9"/>
        <v>0</v>
      </c>
      <c r="U80" s="1501">
        <f t="shared" si="9"/>
        <v>0</v>
      </c>
      <c r="V80" s="1504">
        <f t="shared" si="9"/>
        <v>0</v>
      </c>
      <c r="W80" s="1501">
        <f t="shared" si="9"/>
        <v>0</v>
      </c>
      <c r="X80" s="1504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1487</v>
      </c>
      <c r="C1" s="9" t="s">
        <v>1488</v>
      </c>
      <c r="D1" s="9" t="s">
        <v>1489</v>
      </c>
      <c r="E1" s="235" t="s">
        <v>1490</v>
      </c>
      <c r="F1" s="235" t="s">
        <v>1491</v>
      </c>
      <c r="G1" s="235" t="s">
        <v>1492</v>
      </c>
      <c r="H1" s="235" t="s">
        <v>1493</v>
      </c>
      <c r="I1" s="9" t="s">
        <v>233</v>
      </c>
      <c r="J1" s="9" t="s">
        <v>1494</v>
      </c>
      <c r="K1" s="9" t="s">
        <v>1495</v>
      </c>
      <c r="L1" s="9" t="s">
        <v>1496</v>
      </c>
      <c r="M1" s="9" t="s">
        <v>1497</v>
      </c>
      <c r="N1" s="9" t="s">
        <v>1041</v>
      </c>
      <c r="O1" s="9" t="s">
        <v>955</v>
      </c>
      <c r="P1" s="9" t="s">
        <v>1498</v>
      </c>
      <c r="Q1" s="8" t="s">
        <v>949</v>
      </c>
      <c r="R1" s="17" t="s">
        <v>1499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1488</v>
      </c>
      <c r="B1" t="s">
        <v>1040</v>
      </c>
      <c r="C1" t="s">
        <v>1500</v>
      </c>
      <c r="D1" t="s">
        <v>959</v>
      </c>
      <c r="E1" t="s">
        <v>1501</v>
      </c>
      <c r="F1" t="s">
        <v>58</v>
      </c>
      <c r="G1" t="s">
        <v>588</v>
      </c>
      <c r="H1" t="s">
        <v>1041</v>
      </c>
      <c r="I1" t="s">
        <v>120</v>
      </c>
      <c r="J1" t="s">
        <v>1492</v>
      </c>
      <c r="K1" t="s">
        <v>1502</v>
      </c>
      <c r="L1" t="s">
        <v>1503</v>
      </c>
      <c r="M1" t="s">
        <v>1504</v>
      </c>
      <c r="N1" t="s">
        <v>1051</v>
      </c>
      <c r="O1" t="s">
        <v>1505</v>
      </c>
      <c r="P1" t="s">
        <v>1506</v>
      </c>
      <c r="Q1" t="s">
        <v>1507</v>
      </c>
      <c r="R1" t="s">
        <v>1508</v>
      </c>
      <c r="S1" t="s">
        <v>233</v>
      </c>
      <c r="T1" t="s">
        <v>1509</v>
      </c>
      <c r="U1" t="s">
        <v>1510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4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05" t="s">
        <v>1511</v>
      </c>
      <c r="D2" s="3" t="s">
        <v>1512</v>
      </c>
    </row>
    <row r="3" spans="2:15">
      <c r="B3" s="5"/>
    </row>
    <row r="6" spans="2:15">
      <c r="B6" s="1506" t="s">
        <v>1513</v>
      </c>
      <c r="C6" s="1506" t="s">
        <v>1514</v>
      </c>
      <c r="D6" s="1506" t="s">
        <v>849</v>
      </c>
      <c r="E6" s="6" t="s">
        <v>1515</v>
      </c>
      <c r="F6" s="6" t="s">
        <v>1516</v>
      </c>
      <c r="G6" s="1507" t="s">
        <v>1517</v>
      </c>
      <c r="K6" s="1622" t="s">
        <v>2295</v>
      </c>
      <c r="L6" s="1623" t="s">
        <v>37</v>
      </c>
      <c r="M6" s="1624" t="s">
        <v>2296</v>
      </c>
      <c r="N6" s="1623" t="s">
        <v>1420</v>
      </c>
      <c r="O6" s="1625" t="s">
        <v>2297</v>
      </c>
    </row>
    <row r="7" spans="2:15">
      <c r="B7" s="1508">
        <v>32629</v>
      </c>
      <c r="C7" s="1509">
        <v>2.5789999999999999E-5</v>
      </c>
      <c r="D7" s="1509">
        <v>3.4132578959999998E-4</v>
      </c>
      <c r="E7" s="1509">
        <v>0</v>
      </c>
      <c r="F7" s="1509">
        <v>1</v>
      </c>
      <c r="K7" s="1626">
        <v>42064</v>
      </c>
      <c r="L7" s="1627"/>
      <c r="M7" s="1628">
        <v>0</v>
      </c>
      <c r="N7" s="1629">
        <v>1</v>
      </c>
      <c r="O7" s="1629">
        <v>1</v>
      </c>
    </row>
    <row r="8" spans="2:15">
      <c r="B8" s="1508">
        <v>32660</v>
      </c>
      <c r="C8" s="1509">
        <v>3.0859999999999999E-5</v>
      </c>
      <c r="D8" s="1509">
        <v>4.3911559890000003E-4</v>
      </c>
      <c r="E8" s="1509">
        <v>0</v>
      </c>
      <c r="F8" s="1509">
        <v>1</v>
      </c>
      <c r="G8" s="10"/>
      <c r="K8" s="1626">
        <v>42065</v>
      </c>
      <c r="L8" s="1627" t="s">
        <v>2298</v>
      </c>
      <c r="M8" s="1628">
        <v>4.5512999999999998E-2</v>
      </c>
      <c r="N8" s="1629">
        <v>1.00045513</v>
      </c>
      <c r="O8" s="1629">
        <v>1.00045513</v>
      </c>
    </row>
    <row r="9" spans="2:15">
      <c r="B9" s="1508">
        <v>32690</v>
      </c>
      <c r="C9" s="1509">
        <v>4.1940000000000002E-5</v>
      </c>
      <c r="D9" s="1509">
        <v>5.6092617030000002E-4</v>
      </c>
      <c r="E9" s="1509">
        <v>0</v>
      </c>
      <c r="F9" s="1509">
        <v>1</v>
      </c>
      <c r="K9" s="1626">
        <v>42066</v>
      </c>
      <c r="L9" s="1627" t="s">
        <v>2298</v>
      </c>
      <c r="M9" s="1628">
        <v>4.5512999999999998E-2</v>
      </c>
      <c r="N9" s="1629">
        <v>1.0009104671433169</v>
      </c>
      <c r="O9" s="1629">
        <v>1.0009104671433169</v>
      </c>
    </row>
    <row r="10" spans="2:15">
      <c r="B10" s="1508">
        <v>32721</v>
      </c>
      <c r="C10" s="1509">
        <v>5.7429999999999997E-5</v>
      </c>
      <c r="D10" s="1509">
        <v>7.5001448160000002E-4</v>
      </c>
      <c r="E10" s="1509">
        <v>0</v>
      </c>
      <c r="F10" s="1509">
        <v>1</v>
      </c>
      <c r="K10" s="1626">
        <v>42067</v>
      </c>
      <c r="L10" s="1627" t="s">
        <v>2298</v>
      </c>
      <c r="M10" s="1628">
        <v>4.5512999999999998E-2</v>
      </c>
      <c r="N10" s="1629">
        <v>1.0013660115242278</v>
      </c>
      <c r="O10" s="1629">
        <v>1.0013660115242278</v>
      </c>
    </row>
    <row r="11" spans="2:15">
      <c r="B11" s="1508">
        <v>32752</v>
      </c>
      <c r="C11" s="1509">
        <v>8.0350000000000001E-5</v>
      </c>
      <c r="D11" s="1509">
        <v>1.031719911E-3</v>
      </c>
      <c r="E11" s="1509">
        <v>0</v>
      </c>
      <c r="F11" s="1509">
        <v>1</v>
      </c>
      <c r="K11" s="1626">
        <v>42068</v>
      </c>
      <c r="L11" s="1627" t="s">
        <v>2298</v>
      </c>
      <c r="M11" s="1628">
        <v>4.7279000000000002E-2</v>
      </c>
      <c r="N11" s="1629">
        <v>1.0018394473608161</v>
      </c>
      <c r="O11" s="1629">
        <v>1.0018394473608161</v>
      </c>
    </row>
    <row r="12" spans="2:15">
      <c r="B12" s="1508">
        <v>32782</v>
      </c>
      <c r="C12" s="1509">
        <v>1.13E-4</v>
      </c>
      <c r="D12" s="1509">
        <v>1.4420348808E-3</v>
      </c>
      <c r="E12" s="1509">
        <v>0</v>
      </c>
      <c r="F12" s="1509">
        <v>1</v>
      </c>
      <c r="K12" s="1626">
        <v>42069</v>
      </c>
      <c r="L12" s="1627" t="s">
        <v>2298</v>
      </c>
      <c r="M12" s="1628">
        <v>4.7279000000000002E-2</v>
      </c>
      <c r="N12" s="1629">
        <v>1.0023131070331337</v>
      </c>
      <c r="O12" s="1629">
        <v>1.0023131070331337</v>
      </c>
    </row>
    <row r="13" spans="2:15">
      <c r="B13" s="1508">
        <v>32813</v>
      </c>
      <c r="C13" s="1509">
        <v>1.5873999999999999E-4</v>
      </c>
      <c r="D13" s="1509">
        <v>2.1316159802999999E-3</v>
      </c>
      <c r="E13" s="1509">
        <v>0</v>
      </c>
      <c r="F13" s="1509">
        <v>1</v>
      </c>
      <c r="K13" s="1626">
        <v>42070</v>
      </c>
      <c r="L13" s="1627"/>
      <c r="M13" s="1628">
        <v>0</v>
      </c>
      <c r="N13" s="1629">
        <v>1.0023131070331337</v>
      </c>
      <c r="O13" s="1629">
        <v>1.0023131070331337</v>
      </c>
    </row>
    <row r="14" spans="2:15">
      <c r="B14" s="1508">
        <v>32843</v>
      </c>
      <c r="C14" s="1509">
        <v>2.3356000000000001E-4</v>
      </c>
      <c r="D14" s="1509">
        <v>3.2293981927000001E-3</v>
      </c>
      <c r="E14" s="1509">
        <v>0</v>
      </c>
      <c r="F14" s="1509">
        <v>1</v>
      </c>
      <c r="K14" s="1626">
        <v>42071</v>
      </c>
      <c r="L14" s="1627"/>
      <c r="M14" s="1628">
        <v>0</v>
      </c>
      <c r="N14" s="1629">
        <v>1.0023131070331337</v>
      </c>
      <c r="O14" s="1629">
        <v>1.0023131070331337</v>
      </c>
    </row>
    <row r="15" spans="2:15">
      <c r="B15" s="1508">
        <v>32874</v>
      </c>
      <c r="C15" s="1509">
        <v>3.7711E-4</v>
      </c>
      <c r="D15" s="1509">
        <v>5.4108567453999999E-3</v>
      </c>
      <c r="E15" s="1509">
        <v>0</v>
      </c>
      <c r="F15" s="1509">
        <v>1</v>
      </c>
      <c r="K15" s="1626">
        <v>42072</v>
      </c>
      <c r="L15" s="1627" t="s">
        <v>2298</v>
      </c>
      <c r="M15" s="1628">
        <v>4.7279000000000002E-2</v>
      </c>
      <c r="N15" s="1629">
        <v>1.0027869906470077</v>
      </c>
      <c r="O15" s="1629">
        <v>1.0027869906470077</v>
      </c>
    </row>
    <row r="16" spans="2:15">
      <c r="B16" s="1508">
        <v>32905</v>
      </c>
      <c r="C16" s="1509">
        <v>6.8364999999999995E-4</v>
      </c>
      <c r="D16" s="1509">
        <v>9.5084984832999996E-3</v>
      </c>
      <c r="E16" s="1509">
        <v>0</v>
      </c>
      <c r="F16" s="1509">
        <v>1</v>
      </c>
      <c r="K16" s="1626">
        <v>42073</v>
      </c>
      <c r="L16" s="1627" t="s">
        <v>2298</v>
      </c>
      <c r="M16" s="1628">
        <v>4.7279000000000002E-2</v>
      </c>
      <c r="N16" s="1629">
        <v>1.0032610983083157</v>
      </c>
      <c r="O16" s="1629">
        <v>1.0032610983083157</v>
      </c>
    </row>
    <row r="17" spans="2:15">
      <c r="B17" s="1508">
        <v>32933</v>
      </c>
      <c r="C17" s="1509">
        <v>1.2575500000000001E-3</v>
      </c>
      <c r="D17" s="1509">
        <v>1.7342550351000002E-2</v>
      </c>
      <c r="E17" s="1509">
        <v>0</v>
      </c>
      <c r="F17" s="1509">
        <v>1</v>
      </c>
      <c r="K17" s="1626">
        <v>42074</v>
      </c>
      <c r="L17" s="1627" t="s">
        <v>2298</v>
      </c>
      <c r="M17" s="1628">
        <v>4.7279000000000002E-2</v>
      </c>
      <c r="N17" s="1629">
        <v>1.0037354301229848</v>
      </c>
      <c r="O17" s="1629">
        <v>1.0037354301229848</v>
      </c>
    </row>
    <row r="18" spans="2:15">
      <c r="B18" s="1508">
        <v>32964</v>
      </c>
      <c r="C18" s="1509">
        <v>1.61407E-3</v>
      </c>
      <c r="D18" s="1509">
        <v>2.00341140678E-2</v>
      </c>
      <c r="E18" s="1509">
        <v>0</v>
      </c>
      <c r="F18" s="1509">
        <v>1</v>
      </c>
      <c r="K18" s="1626">
        <v>42075</v>
      </c>
      <c r="L18" s="1627" t="s">
        <v>2298</v>
      </c>
      <c r="M18" s="1628">
        <v>4.7279000000000002E-2</v>
      </c>
      <c r="N18" s="1629">
        <v>1.0042099861969926</v>
      </c>
      <c r="O18" s="1629">
        <v>1.0042099861969926</v>
      </c>
    </row>
    <row r="19" spans="2:15">
      <c r="B19" s="1508">
        <v>32994</v>
      </c>
      <c r="C19" s="1509">
        <v>1.70973E-3</v>
      </c>
      <c r="D19" s="1509">
        <v>2.1554703244099999E-2</v>
      </c>
      <c r="E19" s="1509">
        <v>0</v>
      </c>
      <c r="F19" s="1509">
        <v>1</v>
      </c>
      <c r="K19" s="1626">
        <v>42076</v>
      </c>
      <c r="L19" s="1627" t="s">
        <v>2298</v>
      </c>
      <c r="M19" s="1628">
        <v>4.7279000000000002E-2</v>
      </c>
      <c r="N19" s="1629">
        <v>1.0046847666363665</v>
      </c>
      <c r="O19" s="1629">
        <v>1.0046847666363665</v>
      </c>
    </row>
    <row r="20" spans="2:15">
      <c r="B20" s="1508">
        <v>33025</v>
      </c>
      <c r="C20" s="1509">
        <v>1.87962E-3</v>
      </c>
      <c r="D20" s="1509">
        <v>2.4087380951899998E-2</v>
      </c>
      <c r="E20" s="1509">
        <v>0</v>
      </c>
      <c r="F20" s="1509">
        <v>1</v>
      </c>
      <c r="K20" s="1626">
        <v>42077</v>
      </c>
      <c r="L20" s="1627"/>
      <c r="M20" s="1628">
        <v>0</v>
      </c>
      <c r="N20" s="1629">
        <v>1.0046847666363665</v>
      </c>
      <c r="O20" s="1629">
        <v>1.0046847666363665</v>
      </c>
    </row>
    <row r="21" spans="2:15">
      <c r="B21" s="1508">
        <v>33055</v>
      </c>
      <c r="C21" s="1509">
        <v>2.10539E-3</v>
      </c>
      <c r="D21" s="1509">
        <v>2.7199470492E-2</v>
      </c>
      <c r="E21" s="1509">
        <v>0</v>
      </c>
      <c r="F21" s="1509">
        <v>1</v>
      </c>
      <c r="K21" s="1626">
        <v>42078</v>
      </c>
      <c r="L21" s="1627"/>
      <c r="M21" s="1628">
        <v>0</v>
      </c>
      <c r="N21" s="1629">
        <v>1.0046847666363665</v>
      </c>
      <c r="O21" s="1629">
        <v>1.0046847666363665</v>
      </c>
    </row>
    <row r="22" spans="2:15">
      <c r="B22" s="1508">
        <v>33086</v>
      </c>
      <c r="C22" s="1509">
        <v>2.39215E-3</v>
      </c>
      <c r="D22" s="1509">
        <v>3.0702762318699998E-2</v>
      </c>
      <c r="E22" s="1509">
        <v>0</v>
      </c>
      <c r="F22" s="1509">
        <v>1</v>
      </c>
      <c r="K22" s="1626">
        <v>42079</v>
      </c>
      <c r="L22" s="1627" t="s">
        <v>2298</v>
      </c>
      <c r="M22" s="1628">
        <v>4.7279000000000002E-2</v>
      </c>
      <c r="N22" s="1629">
        <v>1.0051597715471845</v>
      </c>
      <c r="O22" s="1629">
        <v>1.0051597715471845</v>
      </c>
    </row>
    <row r="23" spans="2:15">
      <c r="B23" s="1508">
        <v>33117</v>
      </c>
      <c r="C23" s="1509">
        <v>2.6984000000000001E-3</v>
      </c>
      <c r="D23" s="1509">
        <v>3.51270304097E-2</v>
      </c>
      <c r="E23" s="1509">
        <v>0</v>
      </c>
      <c r="F23" s="1509">
        <v>1</v>
      </c>
      <c r="K23" s="1626">
        <v>42080</v>
      </c>
      <c r="L23" s="1627" t="s">
        <v>2298</v>
      </c>
      <c r="M23" s="1628">
        <v>4.7279000000000002E-2</v>
      </c>
      <c r="N23" s="1629">
        <v>1.0056350010355741</v>
      </c>
      <c r="O23" s="1629">
        <v>1.0056350010355741</v>
      </c>
    </row>
    <row r="24" spans="2:15">
      <c r="B24" s="1508">
        <v>33147</v>
      </c>
      <c r="C24" s="1509">
        <v>3.0483699999999999E-3</v>
      </c>
      <c r="D24" s="1509">
        <v>4.0171272055300002E-2</v>
      </c>
      <c r="E24" s="1509">
        <v>0</v>
      </c>
      <c r="F24" s="1509">
        <v>1</v>
      </c>
      <c r="K24" s="1626">
        <v>42081</v>
      </c>
      <c r="L24" s="1627" t="s">
        <v>2298</v>
      </c>
      <c r="M24" s="1628">
        <v>4.7279000000000002E-2</v>
      </c>
      <c r="N24" s="1629">
        <v>1.0061104552077136</v>
      </c>
      <c r="O24" s="1629">
        <v>1.0061104552077136</v>
      </c>
    </row>
    <row r="25" spans="2:15">
      <c r="B25" s="1508">
        <v>33178</v>
      </c>
      <c r="C25" s="1509">
        <v>3.5622900000000001E-3</v>
      </c>
      <c r="D25" s="1509">
        <v>4.6924062784199999E-2</v>
      </c>
      <c r="E25" s="1509">
        <v>0</v>
      </c>
      <c r="F25" s="1509">
        <v>1</v>
      </c>
      <c r="K25" s="1626">
        <v>42082</v>
      </c>
      <c r="L25" s="1627" t="s">
        <v>2298</v>
      </c>
      <c r="M25" s="1628">
        <v>4.7279000000000002E-2</v>
      </c>
      <c r="N25" s="1629">
        <v>1.0065861341698312</v>
      </c>
      <c r="O25" s="1629">
        <v>1.0065861341698312</v>
      </c>
    </row>
    <row r="26" spans="2:15">
      <c r="B26" s="1508">
        <v>33208</v>
      </c>
      <c r="C26" s="1509">
        <v>4.2034799999999999E-3</v>
      </c>
      <c r="D26" s="1509">
        <v>5.5576860018600002E-2</v>
      </c>
      <c r="E26" s="1509">
        <v>0</v>
      </c>
      <c r="F26" s="1509">
        <v>1</v>
      </c>
      <c r="K26" s="1626">
        <v>42083</v>
      </c>
      <c r="L26" s="1627" t="s">
        <v>2298</v>
      </c>
      <c r="M26" s="1628">
        <v>4.7279000000000002E-2</v>
      </c>
      <c r="N26" s="1629">
        <v>1.0070620380282054</v>
      </c>
      <c r="O26" s="1629">
        <v>1.0070620380282054</v>
      </c>
    </row>
    <row r="27" spans="2:15">
      <c r="B27" s="1508">
        <v>33239</v>
      </c>
      <c r="C27" s="1509">
        <v>4.9475200000000004E-3</v>
      </c>
      <c r="D27" s="1509">
        <v>6.7109058472399993E-2</v>
      </c>
      <c r="E27" s="1509">
        <v>0</v>
      </c>
      <c r="F27" s="1509">
        <v>1</v>
      </c>
      <c r="K27" s="1626">
        <v>42084</v>
      </c>
      <c r="L27" s="1627"/>
      <c r="M27" s="1628">
        <v>0</v>
      </c>
      <c r="N27" s="1629">
        <v>1.0070620380282054</v>
      </c>
      <c r="O27" s="1629">
        <v>1.0070620380282054</v>
      </c>
    </row>
    <row r="28" spans="2:15">
      <c r="B28" s="1508">
        <v>33270</v>
      </c>
      <c r="C28" s="1509">
        <v>5.9873900000000004E-3</v>
      </c>
      <c r="D28" s="1509">
        <v>8.1014388849100005E-2</v>
      </c>
      <c r="E28" s="1509">
        <v>0</v>
      </c>
      <c r="F28" s="1509">
        <v>1</v>
      </c>
      <c r="K28" s="1626">
        <v>42085</v>
      </c>
      <c r="L28" s="1627"/>
      <c r="M28" s="1628">
        <v>0</v>
      </c>
      <c r="N28" s="1629">
        <v>1.0070620380282054</v>
      </c>
      <c r="O28" s="1629">
        <v>1.0070620380282054</v>
      </c>
    </row>
    <row r="29" spans="2:15">
      <c r="B29" s="1508">
        <v>33298</v>
      </c>
      <c r="C29" s="1509">
        <v>6.5374099999999996E-3</v>
      </c>
      <c r="D29" s="1509">
        <v>9.0673647120300002E-2</v>
      </c>
      <c r="E29" s="1509">
        <v>0</v>
      </c>
      <c r="F29" s="1509">
        <v>1</v>
      </c>
      <c r="K29" s="1626">
        <v>42086</v>
      </c>
      <c r="L29" s="1627" t="s">
        <v>2298</v>
      </c>
      <c r="M29" s="1628">
        <v>4.7279000000000002E-2</v>
      </c>
      <c r="N29" s="1629">
        <v>1.0075381668891645</v>
      </c>
      <c r="O29" s="1629">
        <v>1.0075381668891645</v>
      </c>
    </row>
    <row r="30" spans="2:15">
      <c r="B30" s="1508">
        <v>33329</v>
      </c>
      <c r="C30" s="1509">
        <v>7.0477600000000001E-3</v>
      </c>
      <c r="D30" s="1509">
        <v>9.5197603525800006E-2</v>
      </c>
      <c r="E30" s="1509">
        <v>0</v>
      </c>
      <c r="F30" s="1509">
        <v>1</v>
      </c>
      <c r="K30" s="1626">
        <v>42087</v>
      </c>
      <c r="L30" s="1627" t="s">
        <v>2298</v>
      </c>
      <c r="M30" s="1628">
        <v>4.7279000000000002E-2</v>
      </c>
      <c r="N30" s="1629">
        <v>1.008014520859088</v>
      </c>
      <c r="O30" s="1629">
        <v>1.008014520859088</v>
      </c>
    </row>
    <row r="31" spans="2:15">
      <c r="B31" s="1508">
        <v>33359</v>
      </c>
      <c r="C31" s="1509">
        <v>7.57502E-3</v>
      </c>
      <c r="D31" s="1509">
        <v>0.10227253780620001</v>
      </c>
      <c r="E31" s="1509">
        <v>0</v>
      </c>
      <c r="F31" s="1509">
        <v>1</v>
      </c>
      <c r="K31" s="1626">
        <v>42088</v>
      </c>
      <c r="L31" s="1627" t="s">
        <v>2298</v>
      </c>
      <c r="M31" s="1628">
        <v>4.7279000000000002E-2</v>
      </c>
      <c r="N31" s="1629">
        <v>1.008491100044405</v>
      </c>
      <c r="O31" s="1629">
        <v>1.008491100044405</v>
      </c>
    </row>
    <row r="32" spans="2:15">
      <c r="B32" s="1508">
        <v>33390</v>
      </c>
      <c r="C32" s="1509">
        <v>8.2174099999999996E-3</v>
      </c>
      <c r="D32" s="1509">
        <v>0.113715813284</v>
      </c>
      <c r="E32" s="1509">
        <v>0</v>
      </c>
      <c r="F32" s="1509">
        <v>1</v>
      </c>
      <c r="K32" s="1626">
        <v>42089</v>
      </c>
      <c r="L32" s="1627" t="s">
        <v>2298</v>
      </c>
      <c r="M32" s="1628">
        <v>4.7279000000000002E-2</v>
      </c>
      <c r="N32" s="1629">
        <v>1.0089679045515949</v>
      </c>
      <c r="O32" s="1629">
        <v>1.0089679045515949</v>
      </c>
    </row>
    <row r="33" spans="2:15">
      <c r="B33" s="1508">
        <v>33420</v>
      </c>
      <c r="C33" s="1509">
        <v>9.3037399999999996E-3</v>
      </c>
      <c r="D33" s="1509">
        <v>0.12782677804270001</v>
      </c>
      <c r="E33" s="1509">
        <v>0</v>
      </c>
      <c r="F33" s="1509">
        <v>1</v>
      </c>
      <c r="K33" s="1626">
        <v>42090</v>
      </c>
      <c r="L33" s="1627" t="s">
        <v>2298</v>
      </c>
      <c r="M33" s="1628">
        <v>4.7279000000000002E-2</v>
      </c>
      <c r="N33" s="1629">
        <v>1.0094449344871876</v>
      </c>
      <c r="O33" s="1629">
        <v>1.0094449344871876</v>
      </c>
    </row>
    <row r="34" spans="2:15">
      <c r="B34" s="1508">
        <v>33451</v>
      </c>
      <c r="C34" s="1509">
        <v>1.072268E-2</v>
      </c>
      <c r="D34" s="1509">
        <v>0.14780665921940001</v>
      </c>
      <c r="E34" s="1510">
        <v>0</v>
      </c>
      <c r="F34" s="1510">
        <v>1</v>
      </c>
      <c r="K34" s="1626">
        <v>42091</v>
      </c>
      <c r="L34" s="1627"/>
      <c r="M34" s="1628">
        <v>0</v>
      </c>
      <c r="N34" s="1629">
        <v>1.0094449344871876</v>
      </c>
      <c r="O34" s="1629">
        <v>1.0094449344871876</v>
      </c>
    </row>
    <row r="35" spans="2:15">
      <c r="B35" s="1508">
        <v>33482</v>
      </c>
      <c r="C35" s="1509">
        <v>1.232337E-2</v>
      </c>
      <c r="D35" s="1509">
        <v>0.17090995992909999</v>
      </c>
      <c r="E35" s="1510">
        <v>0</v>
      </c>
      <c r="F35" s="1510">
        <v>1</v>
      </c>
      <c r="K35" s="1626">
        <v>42092</v>
      </c>
      <c r="L35" s="1627"/>
      <c r="M35" s="1628">
        <v>0</v>
      </c>
      <c r="N35" s="1629">
        <v>1.0094449344871876</v>
      </c>
      <c r="O35" s="1629">
        <v>1.0094449344871876</v>
      </c>
    </row>
    <row r="36" spans="2:15">
      <c r="B36" s="1508">
        <v>33512</v>
      </c>
      <c r="C36" s="1509">
        <v>1.5112230000000001E-2</v>
      </c>
      <c r="D36" s="1509">
        <v>0.20548432454660001</v>
      </c>
      <c r="E36" s="1510">
        <v>0</v>
      </c>
      <c r="F36" s="1510">
        <v>1</v>
      </c>
      <c r="K36" s="1626">
        <v>42093</v>
      </c>
      <c r="L36" s="1627" t="s">
        <v>2298</v>
      </c>
      <c r="M36" s="1628">
        <v>4.7279000000000002E-2</v>
      </c>
      <c r="N36" s="1629">
        <v>1.0099221899577637</v>
      </c>
      <c r="O36" s="1629">
        <v>1.0099221899577637</v>
      </c>
    </row>
    <row r="37" spans="2:15">
      <c r="B37" s="1508">
        <v>33543</v>
      </c>
      <c r="C37" s="1509">
        <v>1.8984250000000001E-2</v>
      </c>
      <c r="D37" s="1509">
        <v>0.2572875157699</v>
      </c>
      <c r="E37" s="1510">
        <v>0</v>
      </c>
      <c r="F37" s="1510">
        <v>1</v>
      </c>
      <c r="K37" s="1626">
        <v>42094</v>
      </c>
      <c r="L37" s="1627" t="s">
        <v>2298</v>
      </c>
      <c r="M37" s="1628">
        <v>4.7279000000000002E-2</v>
      </c>
      <c r="N37" s="1629">
        <v>1.0103996710699537</v>
      </c>
      <c r="O37" s="1629">
        <v>1.0103996710699537</v>
      </c>
    </row>
    <row r="38" spans="2:15">
      <c r="B38" s="1508">
        <v>33573</v>
      </c>
      <c r="C38" s="1509">
        <v>2.347107E-2</v>
      </c>
      <c r="D38" s="1509">
        <v>0.31828867732630001</v>
      </c>
      <c r="E38" s="1510">
        <v>0</v>
      </c>
      <c r="F38" s="1510">
        <v>1</v>
      </c>
      <c r="K38" s="1626">
        <v>42095</v>
      </c>
      <c r="L38" s="1627" t="s">
        <v>2298</v>
      </c>
      <c r="M38" s="1628">
        <v>4.7279000000000002E-2</v>
      </c>
      <c r="N38" s="1629">
        <v>1.0108773779304387</v>
      </c>
      <c r="O38" s="1629">
        <v>1.0108773779304387</v>
      </c>
    </row>
    <row r="39" spans="2:15">
      <c r="B39" s="1508">
        <v>33604</v>
      </c>
      <c r="C39" s="1509">
        <v>2.9000140000000001E-2</v>
      </c>
      <c r="D39" s="1509">
        <v>0.40085366056990002</v>
      </c>
      <c r="E39" s="1510">
        <v>0</v>
      </c>
      <c r="F39" s="1510">
        <v>1</v>
      </c>
      <c r="K39" s="1626">
        <v>42096</v>
      </c>
      <c r="L39" s="1627" t="s">
        <v>2298</v>
      </c>
      <c r="M39" s="1628">
        <v>4.7279000000000002E-2</v>
      </c>
      <c r="N39" s="1629">
        <v>1.0113553106459503</v>
      </c>
      <c r="O39" s="1629">
        <v>1.0113553106459503</v>
      </c>
    </row>
    <row r="40" spans="2:15">
      <c r="B40" s="1508">
        <v>33635</v>
      </c>
      <c r="C40" s="1509">
        <v>3.7078809999999997E-2</v>
      </c>
      <c r="D40" s="1509">
        <v>0.49834103072840003</v>
      </c>
      <c r="E40" s="1510">
        <v>0</v>
      </c>
      <c r="F40" s="1510">
        <v>1</v>
      </c>
      <c r="K40" s="1626">
        <v>42097</v>
      </c>
      <c r="L40" s="1627"/>
      <c r="M40" s="1628">
        <v>0</v>
      </c>
      <c r="N40" s="1629">
        <v>1.0113553106459503</v>
      </c>
      <c r="O40" s="1629">
        <v>1.0113553106459503</v>
      </c>
    </row>
    <row r="41" spans="2:15">
      <c r="B41" s="1508">
        <v>33664</v>
      </c>
      <c r="C41" s="1509">
        <v>4.501144E-2</v>
      </c>
      <c r="D41" s="1509">
        <v>0.60498746741809994</v>
      </c>
      <c r="E41" s="1510">
        <v>0</v>
      </c>
      <c r="F41" s="1510">
        <v>1</v>
      </c>
      <c r="K41" s="1626">
        <v>42098</v>
      </c>
      <c r="L41" s="1627"/>
      <c r="M41" s="1628">
        <v>0</v>
      </c>
      <c r="N41" s="1629">
        <v>1.0113553106459503</v>
      </c>
      <c r="O41" s="1629">
        <v>1.0113553106459503</v>
      </c>
    </row>
    <row r="42" spans="2:15">
      <c r="B42" s="1508">
        <v>33695</v>
      </c>
      <c r="C42" s="1509">
        <v>5.3986060000000002E-2</v>
      </c>
      <c r="D42" s="1509">
        <v>0.72556146522830001</v>
      </c>
      <c r="E42" s="1510">
        <v>0</v>
      </c>
      <c r="F42" s="1510">
        <v>1</v>
      </c>
      <c r="K42" s="1626">
        <v>42099</v>
      </c>
      <c r="L42" s="1627"/>
      <c r="M42" s="1628">
        <v>0</v>
      </c>
      <c r="N42" s="1629">
        <v>1.0113553106459503</v>
      </c>
      <c r="O42" s="1629">
        <v>1.0113553106459503</v>
      </c>
    </row>
    <row r="43" spans="2:15">
      <c r="B43" s="1508">
        <v>33725</v>
      </c>
      <c r="C43" s="1509">
        <v>6.5012799999999996E-2</v>
      </c>
      <c r="D43" s="1509">
        <v>0.90593616441860003</v>
      </c>
      <c r="E43" s="1510">
        <v>0</v>
      </c>
      <c r="F43" s="1510">
        <v>1</v>
      </c>
      <c r="K43" s="1626">
        <v>42100</v>
      </c>
      <c r="L43" s="1627" t="s">
        <v>2298</v>
      </c>
      <c r="M43" s="1628">
        <v>4.7279000000000002E-2</v>
      </c>
      <c r="N43" s="1629">
        <v>1.0118334693232705</v>
      </c>
      <c r="O43" s="1629">
        <v>1.0118334693232705</v>
      </c>
    </row>
    <row r="44" spans="2:15">
      <c r="B44" s="1508">
        <v>33756</v>
      </c>
      <c r="C44" s="1509">
        <v>8.0361459999999996E-2</v>
      </c>
      <c r="D44" s="1509">
        <v>1.0890285720637001</v>
      </c>
      <c r="E44" s="1510">
        <v>0</v>
      </c>
      <c r="F44" s="1510">
        <v>1</v>
      </c>
      <c r="K44" s="1626">
        <v>42101</v>
      </c>
      <c r="L44" s="1627" t="s">
        <v>2298</v>
      </c>
      <c r="M44" s="1628">
        <v>4.7279000000000002E-2</v>
      </c>
      <c r="N44" s="1629">
        <v>1.0123118540692317</v>
      </c>
      <c r="O44" s="1629">
        <v>1.0123118540692317</v>
      </c>
    </row>
    <row r="45" spans="2:15">
      <c r="B45" s="1508">
        <v>33786</v>
      </c>
      <c r="C45" s="1509">
        <v>9.7908469999999997E-2</v>
      </c>
      <c r="D45" s="1509">
        <v>1.3267641484791</v>
      </c>
      <c r="E45" s="1510">
        <v>0</v>
      </c>
      <c r="F45" s="1510">
        <v>1</v>
      </c>
      <c r="K45" s="1626">
        <v>42102</v>
      </c>
      <c r="L45" s="1627" t="s">
        <v>2298</v>
      </c>
      <c r="M45" s="1628">
        <v>4.7279000000000002E-2</v>
      </c>
      <c r="N45" s="1629">
        <v>1.0127904649907171</v>
      </c>
      <c r="O45" s="1629">
        <v>1.0127904649907171</v>
      </c>
    </row>
    <row r="46" spans="2:15">
      <c r="B46" s="1508">
        <v>33817</v>
      </c>
      <c r="C46" s="1509">
        <v>0.12202180999999999</v>
      </c>
      <c r="D46" s="1509">
        <v>1.6205100844213001</v>
      </c>
      <c r="E46" s="1510">
        <v>0</v>
      </c>
      <c r="F46" s="1510">
        <v>1</v>
      </c>
      <c r="K46" s="1626">
        <v>42103</v>
      </c>
      <c r="L46" s="1627" t="s">
        <v>2298</v>
      </c>
      <c r="M46" s="1628">
        <v>4.7279000000000002E-2</v>
      </c>
      <c r="N46" s="1629">
        <v>1.0132693021946599</v>
      </c>
      <c r="O46" s="1629">
        <v>1.0132693021946599</v>
      </c>
    </row>
    <row r="47" spans="2:15">
      <c r="B47" s="1508">
        <v>33848</v>
      </c>
      <c r="C47" s="1509">
        <v>0.15285811999999999</v>
      </c>
      <c r="D47" s="1509">
        <v>2.0196408623306001</v>
      </c>
      <c r="E47" s="1510">
        <v>0</v>
      </c>
      <c r="F47" s="1510">
        <v>1</v>
      </c>
      <c r="K47" s="1626">
        <v>42104</v>
      </c>
      <c r="L47" s="1627" t="s">
        <v>2298</v>
      </c>
      <c r="M47" s="1628">
        <v>4.7279000000000002E-2</v>
      </c>
      <c r="N47" s="1629">
        <v>1.0137483657880444</v>
      </c>
      <c r="O47" s="1629">
        <v>1.0137483657880444</v>
      </c>
    </row>
    <row r="48" spans="2:15">
      <c r="B48" s="1508">
        <v>33878</v>
      </c>
      <c r="C48" s="1509">
        <v>0.19376498</v>
      </c>
      <c r="D48" s="1509">
        <v>2.5293973801068002</v>
      </c>
      <c r="E48" s="1510">
        <v>0</v>
      </c>
      <c r="F48" s="1510">
        <v>1</v>
      </c>
      <c r="K48" s="1626">
        <v>42105</v>
      </c>
      <c r="L48" s="1627"/>
      <c r="M48" s="1628">
        <v>0</v>
      </c>
      <c r="N48" s="1629">
        <v>1.0137483657880444</v>
      </c>
      <c r="O48" s="1629">
        <v>1.0137483657880444</v>
      </c>
    </row>
    <row r="49" spans="2:15">
      <c r="B49" s="1508">
        <v>33909</v>
      </c>
      <c r="C49" s="1509">
        <v>0.23916162999999999</v>
      </c>
      <c r="D49" s="1509">
        <v>3.0982598885127999</v>
      </c>
      <c r="E49" s="1510">
        <v>0</v>
      </c>
      <c r="F49" s="1510">
        <v>1</v>
      </c>
      <c r="K49" s="1626">
        <v>42106</v>
      </c>
      <c r="L49" s="1627"/>
      <c r="M49" s="1628">
        <v>0</v>
      </c>
      <c r="N49" s="1629">
        <v>1.0137483657880444</v>
      </c>
      <c r="O49" s="1629">
        <v>1.0137483657880444</v>
      </c>
    </row>
    <row r="50" spans="2:15">
      <c r="B50" s="1508">
        <v>33939</v>
      </c>
      <c r="C50" s="1509">
        <v>0.29913278999999998</v>
      </c>
      <c r="D50" s="1509">
        <v>3.8802596550900001</v>
      </c>
      <c r="E50" s="1510">
        <v>0</v>
      </c>
      <c r="F50" s="1510">
        <v>1</v>
      </c>
      <c r="K50" s="1626">
        <v>42107</v>
      </c>
      <c r="L50" s="1627" t="s">
        <v>2298</v>
      </c>
      <c r="M50" s="1628">
        <v>4.7279000000000002E-2</v>
      </c>
      <c r="N50" s="1629">
        <v>1.0142276558779053</v>
      </c>
      <c r="O50" s="1629">
        <v>1.0142276558779053</v>
      </c>
    </row>
    <row r="51" spans="2:15">
      <c r="B51" s="1508">
        <v>33970</v>
      </c>
      <c r="C51" s="1509">
        <v>0.37638683000000001</v>
      </c>
      <c r="D51" s="1509">
        <v>5.0579166458253004</v>
      </c>
      <c r="E51" s="1510">
        <v>0</v>
      </c>
      <c r="F51" s="1510">
        <v>1</v>
      </c>
      <c r="K51" s="1626">
        <v>42108</v>
      </c>
      <c r="L51" s="1627" t="s">
        <v>2298</v>
      </c>
      <c r="M51" s="1628">
        <v>4.7279000000000002E-2</v>
      </c>
      <c r="N51" s="1629">
        <v>1.0147071725713277</v>
      </c>
      <c r="O51" s="1629">
        <v>1.0147071725713277</v>
      </c>
    </row>
    <row r="52" spans="2:15">
      <c r="B52" s="1508">
        <v>34001</v>
      </c>
      <c r="C52" s="1509">
        <v>0.48335073000000001</v>
      </c>
      <c r="D52" s="1509">
        <v>6.3213843084293</v>
      </c>
      <c r="E52" s="1510">
        <v>0</v>
      </c>
      <c r="F52" s="1510">
        <v>1</v>
      </c>
      <c r="K52" s="1626">
        <v>42109</v>
      </c>
      <c r="L52" s="1627" t="s">
        <v>2298</v>
      </c>
      <c r="M52" s="1628">
        <v>4.7279000000000002E-2</v>
      </c>
      <c r="N52" s="1629">
        <v>1.0151869159754476</v>
      </c>
      <c r="O52" s="1629">
        <v>1.0151869159754476</v>
      </c>
    </row>
    <row r="53" spans="2:15">
      <c r="B53" s="1508">
        <v>34029</v>
      </c>
      <c r="C53" s="1509">
        <v>0.61023090000000002</v>
      </c>
      <c r="D53" s="1509">
        <v>8.0445948724788998</v>
      </c>
      <c r="E53" s="1510">
        <v>0</v>
      </c>
      <c r="F53" s="1510">
        <v>1</v>
      </c>
      <c r="K53" s="1626">
        <v>42110</v>
      </c>
      <c r="L53" s="1627" t="s">
        <v>2298</v>
      </c>
      <c r="M53" s="1628">
        <v>4.7279000000000002E-2</v>
      </c>
      <c r="N53" s="1629">
        <v>1.0156668861974516</v>
      </c>
      <c r="O53" s="1629">
        <v>1.0156668861974516</v>
      </c>
    </row>
    <row r="54" spans="2:15">
      <c r="B54" s="1508">
        <v>34060</v>
      </c>
      <c r="C54" s="1509">
        <v>0.78617482000000005</v>
      </c>
      <c r="D54" s="1509">
        <v>10.2769672819025</v>
      </c>
      <c r="E54" s="1510">
        <v>0</v>
      </c>
      <c r="F54" s="1510">
        <v>1</v>
      </c>
      <c r="K54" s="1626">
        <v>42111</v>
      </c>
      <c r="L54" s="1627" t="s">
        <v>2298</v>
      </c>
      <c r="M54" s="1628">
        <v>4.7279000000000002E-2</v>
      </c>
      <c r="N54" s="1629">
        <v>1.0161470833445767</v>
      </c>
      <c r="O54" s="1629">
        <v>1.0161470833445767</v>
      </c>
    </row>
    <row r="55" spans="2:15">
      <c r="B55" s="1508">
        <v>34090</v>
      </c>
      <c r="C55" s="1509">
        <v>1.01968087</v>
      </c>
      <c r="D55" s="1509">
        <v>13.1226581300609</v>
      </c>
      <c r="E55" s="1510">
        <v>0</v>
      </c>
      <c r="F55" s="1510">
        <v>1</v>
      </c>
      <c r="K55" s="1626">
        <v>42112</v>
      </c>
      <c r="L55" s="1627"/>
      <c r="M55" s="1628">
        <v>0</v>
      </c>
      <c r="N55" s="1629">
        <v>1.0161470833445767</v>
      </c>
      <c r="O55" s="1629">
        <v>1.0161470833445767</v>
      </c>
    </row>
    <row r="56" spans="2:15">
      <c r="B56" s="1508">
        <v>34121</v>
      </c>
      <c r="C56" s="1509">
        <v>1.3408208699999999</v>
      </c>
      <c r="D56" s="1509">
        <v>17.068642979808899</v>
      </c>
      <c r="E56" s="1510">
        <v>0</v>
      </c>
      <c r="F56" s="1510">
        <v>1</v>
      </c>
      <c r="K56" s="1626">
        <v>42113</v>
      </c>
      <c r="L56" s="1627"/>
      <c r="M56" s="1628">
        <v>0</v>
      </c>
      <c r="N56" s="1629">
        <v>1.0161470833445767</v>
      </c>
      <c r="O56" s="1629">
        <v>1.0161470833445767</v>
      </c>
    </row>
    <row r="57" spans="2:15">
      <c r="B57" s="1508">
        <v>34151</v>
      </c>
      <c r="C57" s="1509">
        <v>1.75984608</v>
      </c>
      <c r="D57" s="1509">
        <v>22.312130761236201</v>
      </c>
      <c r="E57" s="1510">
        <v>0</v>
      </c>
      <c r="F57" s="1510">
        <v>1</v>
      </c>
      <c r="K57" s="1626">
        <v>42114</v>
      </c>
      <c r="L57" s="1627" t="s">
        <v>2298</v>
      </c>
      <c r="M57" s="1628">
        <v>4.7279000000000002E-2</v>
      </c>
      <c r="N57" s="1629">
        <v>1.0166275075241111</v>
      </c>
      <c r="O57" s="1629">
        <v>1.0166275075241111</v>
      </c>
    </row>
    <row r="58" spans="2:15">
      <c r="B58" s="1508">
        <v>34182</v>
      </c>
      <c r="C58" s="1509">
        <v>2.31923637</v>
      </c>
      <c r="D58" s="1509">
        <v>29.666210936414501</v>
      </c>
      <c r="E58" s="1510">
        <v>0</v>
      </c>
      <c r="F58" s="1510">
        <v>1</v>
      </c>
      <c r="K58" s="1626">
        <v>42115</v>
      </c>
      <c r="L58" s="1627"/>
      <c r="M58" s="1628">
        <v>0</v>
      </c>
      <c r="N58" s="1629">
        <v>1.0166275075241111</v>
      </c>
      <c r="O58" s="1629">
        <v>1.0166275075241111</v>
      </c>
    </row>
    <row r="59" spans="2:15">
      <c r="B59" s="1508">
        <v>34213</v>
      </c>
      <c r="C59" s="1509">
        <v>3.1375231000000001</v>
      </c>
      <c r="D59" s="1509">
        <v>40.254080730946797</v>
      </c>
      <c r="E59" s="1510">
        <v>0</v>
      </c>
      <c r="F59" s="1510">
        <v>1</v>
      </c>
      <c r="K59" s="1626">
        <v>42116</v>
      </c>
      <c r="L59" s="1627" t="s">
        <v>2298</v>
      </c>
      <c r="M59" s="1628">
        <v>4.7279000000000002E-2</v>
      </c>
      <c r="N59" s="1629">
        <v>1.0171081588433935</v>
      </c>
      <c r="O59" s="1629">
        <v>1.0171081588433935</v>
      </c>
    </row>
    <row r="60" spans="2:15">
      <c r="B60" s="1508">
        <v>34243</v>
      </c>
      <c r="C60" s="1509">
        <v>4.2367972299999996</v>
      </c>
      <c r="D60" s="1509">
        <v>53.908264834853298</v>
      </c>
      <c r="E60" s="1510">
        <v>0</v>
      </c>
      <c r="F60" s="1510">
        <v>1</v>
      </c>
      <c r="K60" s="1626">
        <v>42117</v>
      </c>
      <c r="L60" s="1627" t="s">
        <v>2298</v>
      </c>
      <c r="M60" s="1628">
        <v>4.7279000000000002E-2</v>
      </c>
      <c r="N60" s="1629">
        <v>1.0175890374098129</v>
      </c>
      <c r="O60" s="1629">
        <v>1.0175890374098129</v>
      </c>
    </row>
    <row r="61" spans="2:15">
      <c r="B61" s="1508">
        <v>34274</v>
      </c>
      <c r="C61" s="1509">
        <v>5.7685216500000003</v>
      </c>
      <c r="D61" s="1509">
        <v>73.078046584524003</v>
      </c>
      <c r="E61" s="1510">
        <v>0</v>
      </c>
      <c r="F61" s="1510">
        <v>1</v>
      </c>
      <c r="K61" s="1626">
        <v>42118</v>
      </c>
      <c r="L61" s="1627" t="s">
        <v>2298</v>
      </c>
      <c r="M61" s="1628">
        <v>4.7279000000000002E-2</v>
      </c>
      <c r="N61" s="1629">
        <v>1.0180701433308097</v>
      </c>
      <c r="O61" s="1629">
        <v>1.0180701433308097</v>
      </c>
    </row>
    <row r="62" spans="2:15">
      <c r="B62" s="1508">
        <v>34304</v>
      </c>
      <c r="C62" s="1509">
        <v>7.9792505900000004</v>
      </c>
      <c r="D62" s="1509">
        <v>100</v>
      </c>
      <c r="E62" s="1510">
        <v>0</v>
      </c>
      <c r="F62" s="1510">
        <v>1</v>
      </c>
      <c r="K62" s="1626">
        <v>42119</v>
      </c>
      <c r="L62" s="1627"/>
      <c r="M62" s="1628">
        <v>0</v>
      </c>
      <c r="N62" s="1629">
        <v>1.0180701433308097</v>
      </c>
      <c r="O62" s="1629">
        <v>1.0180701433308097</v>
      </c>
    </row>
    <row r="63" spans="2:15">
      <c r="B63" s="1508">
        <v>34335</v>
      </c>
      <c r="C63" s="1509">
        <v>11.0967647</v>
      </c>
      <c r="D63" s="1509">
        <v>141.31</v>
      </c>
      <c r="E63" s="1510">
        <v>0</v>
      </c>
      <c r="F63" s="1510">
        <v>1</v>
      </c>
      <c r="K63" s="1626">
        <v>42120</v>
      </c>
      <c r="L63" s="1627"/>
      <c r="M63" s="1628">
        <v>0</v>
      </c>
      <c r="N63" s="1629">
        <v>1.0180701433308097</v>
      </c>
      <c r="O63" s="1629">
        <v>1.0180701433308097</v>
      </c>
    </row>
    <row r="64" spans="2:15">
      <c r="B64" s="1508">
        <v>34366</v>
      </c>
      <c r="C64" s="1509">
        <v>15.62186911</v>
      </c>
      <c r="D64" s="1509">
        <v>198.22</v>
      </c>
      <c r="E64" s="1510">
        <v>0</v>
      </c>
      <c r="F64" s="1510">
        <v>1</v>
      </c>
      <c r="K64" s="1626">
        <v>42121</v>
      </c>
      <c r="L64" s="1627" t="s">
        <v>2298</v>
      </c>
      <c r="M64" s="1628">
        <v>4.7314000000000002E-2</v>
      </c>
      <c r="N64" s="1629">
        <v>1.0185518330384251</v>
      </c>
      <c r="O64" s="1629">
        <v>1.0185518330384251</v>
      </c>
    </row>
    <row r="65" spans="2:15">
      <c r="B65" s="1508">
        <v>34394</v>
      </c>
      <c r="C65" s="1509">
        <v>22.762782099999999</v>
      </c>
      <c r="D65" s="1509">
        <v>282.95999999999998</v>
      </c>
      <c r="E65" s="1510">
        <v>0</v>
      </c>
      <c r="F65" s="1510">
        <v>1</v>
      </c>
      <c r="K65" s="1626">
        <v>42122</v>
      </c>
      <c r="L65" s="1627" t="s">
        <v>2298</v>
      </c>
      <c r="M65" s="1628">
        <v>4.7350000000000003E-2</v>
      </c>
      <c r="N65" s="1629">
        <v>1.0190341173313688</v>
      </c>
      <c r="O65" s="1629">
        <v>1.0190341173313688</v>
      </c>
    </row>
    <row r="66" spans="2:15">
      <c r="B66" s="1508">
        <v>34425</v>
      </c>
      <c r="C66" s="1509">
        <v>32.074938510000003</v>
      </c>
      <c r="D66" s="1509">
        <v>403.73</v>
      </c>
      <c r="E66" s="1510">
        <v>0</v>
      </c>
      <c r="F66" s="1510">
        <v>1</v>
      </c>
      <c r="K66" s="1626">
        <v>42123</v>
      </c>
      <c r="L66" s="1627" t="s">
        <v>2298</v>
      </c>
      <c r="M66" s="1628">
        <v>4.7350000000000003E-2</v>
      </c>
      <c r="N66" s="1629">
        <v>1.0195166299859253</v>
      </c>
      <c r="O66" s="1629">
        <v>1.0195166299859253</v>
      </c>
    </row>
    <row r="67" spans="2:15">
      <c r="B67" s="1508">
        <v>34455</v>
      </c>
      <c r="C67" s="1509">
        <v>45.731576959999998</v>
      </c>
      <c r="D67" s="1509">
        <v>581.49</v>
      </c>
      <c r="E67" s="1510">
        <v>0</v>
      </c>
      <c r="F67" s="1510">
        <v>1</v>
      </c>
      <c r="K67" s="1626">
        <v>42124</v>
      </c>
      <c r="L67" s="1627" t="s">
        <v>2298</v>
      </c>
      <c r="M67" s="1628">
        <v>4.9036999999999997E-2</v>
      </c>
      <c r="N67" s="1629">
        <v>1.0200165703557715</v>
      </c>
      <c r="O67" s="1629">
        <v>1.0200165703557715</v>
      </c>
    </row>
    <row r="68" spans="2:15">
      <c r="B68" s="1508">
        <v>34486</v>
      </c>
      <c r="C68" s="1509">
        <v>66.408212939999999</v>
      </c>
      <c r="D68" s="1509">
        <v>857.29</v>
      </c>
      <c r="E68" s="1510">
        <v>0</v>
      </c>
      <c r="F68" s="1510">
        <v>1</v>
      </c>
      <c r="K68" s="1626">
        <v>42125</v>
      </c>
      <c r="L68" s="1627"/>
      <c r="M68" s="1628">
        <v>0</v>
      </c>
      <c r="N68" s="1629">
        <v>1.0200165703557715</v>
      </c>
      <c r="O68" s="1629">
        <v>1.0200165703557715</v>
      </c>
    </row>
    <row r="69" spans="2:15">
      <c r="B69" s="1508">
        <v>34516</v>
      </c>
      <c r="C69" s="1509">
        <v>92.968426030000003</v>
      </c>
      <c r="D69" s="1509">
        <v>915.93</v>
      </c>
      <c r="E69" s="1510">
        <v>0</v>
      </c>
      <c r="F69" s="1510">
        <v>1</v>
      </c>
      <c r="K69" s="1626">
        <v>42126</v>
      </c>
      <c r="L69" s="1627"/>
      <c r="M69" s="1628">
        <v>0</v>
      </c>
      <c r="N69" s="1629">
        <v>1.0200165703557715</v>
      </c>
      <c r="O69" s="1629">
        <v>1.0200165703557715</v>
      </c>
    </row>
    <row r="70" spans="2:15">
      <c r="B70" s="1508">
        <v>34547</v>
      </c>
      <c r="C70" s="1509">
        <v>100</v>
      </c>
      <c r="D70" s="1509">
        <v>932.97</v>
      </c>
      <c r="E70" s="1510">
        <v>1.0417031360600404</v>
      </c>
      <c r="F70" s="1510">
        <v>1.0417031360600404</v>
      </c>
      <c r="K70" s="1626">
        <v>42127</v>
      </c>
      <c r="L70" s="1627"/>
      <c r="M70" s="1628">
        <v>0</v>
      </c>
      <c r="N70" s="1629">
        <v>1.0200165703557715</v>
      </c>
      <c r="O70" s="1629">
        <v>1.0200165703557715</v>
      </c>
    </row>
    <row r="71" spans="2:15">
      <c r="B71" s="1508">
        <v>34578</v>
      </c>
      <c r="C71" s="1509">
        <v>101.751</v>
      </c>
      <c r="D71" s="1509">
        <v>947.24</v>
      </c>
      <c r="E71" s="1510">
        <v>1.040191380612066</v>
      </c>
      <c r="F71" s="1510">
        <v>1.0835706232862121</v>
      </c>
      <c r="K71" s="1626">
        <v>42128</v>
      </c>
      <c r="L71" s="1627" t="s">
        <v>2298</v>
      </c>
      <c r="M71" s="1628">
        <v>4.9036999999999997E-2</v>
      </c>
      <c r="N71" s="1629">
        <v>1.020516755881377</v>
      </c>
      <c r="O71" s="1629">
        <v>1.020516755881377</v>
      </c>
    </row>
    <row r="72" spans="2:15">
      <c r="B72" s="1508">
        <v>34608</v>
      </c>
      <c r="C72" s="1509">
        <v>103.602</v>
      </c>
      <c r="D72" s="1509">
        <v>972.06</v>
      </c>
      <c r="E72" s="1510">
        <v>1.0400235119965635</v>
      </c>
      <c r="F72" s="1510">
        <v>1.1269389251264317</v>
      </c>
      <c r="K72" s="1626">
        <v>42129</v>
      </c>
      <c r="L72" s="1627" t="s">
        <v>2298</v>
      </c>
      <c r="M72" s="1628">
        <v>4.9036999999999997E-2</v>
      </c>
      <c r="N72" s="1629">
        <v>1.0210171866829587</v>
      </c>
      <c r="O72" s="1629">
        <v>1.0210171866829587</v>
      </c>
    </row>
    <row r="73" spans="2:15">
      <c r="B73" s="1508">
        <v>34639</v>
      </c>
      <c r="C73" s="1509">
        <v>106.553</v>
      </c>
      <c r="D73" s="1509">
        <v>999.37</v>
      </c>
      <c r="E73" s="1510">
        <v>1.0448704061969656</v>
      </c>
      <c r="F73" s="1510">
        <v>1.1775051324560264</v>
      </c>
      <c r="K73" s="1626">
        <v>42130</v>
      </c>
      <c r="L73" s="1627" t="s">
        <v>2298</v>
      </c>
      <c r="M73" s="1628">
        <v>4.9036999999999997E-2</v>
      </c>
      <c r="N73" s="1629">
        <v>1.0215178628807926</v>
      </c>
      <c r="O73" s="1629">
        <v>1.0215178628807926</v>
      </c>
    </row>
    <row r="74" spans="2:15">
      <c r="B74" s="1508">
        <v>34669</v>
      </c>
      <c r="C74" s="1509">
        <v>107.45</v>
      </c>
      <c r="D74" s="1509">
        <v>1016.46</v>
      </c>
      <c r="E74" s="1510">
        <v>1.0379749903132509</v>
      </c>
      <c r="F74" s="1510">
        <v>1.2222208784548472</v>
      </c>
      <c r="K74" s="1626">
        <v>42131</v>
      </c>
      <c r="L74" s="1627" t="s">
        <v>2298</v>
      </c>
      <c r="M74" s="1628">
        <v>4.9036999999999997E-2</v>
      </c>
      <c r="N74" s="1629">
        <v>1.0220187845952136</v>
      </c>
      <c r="O74" s="1629">
        <v>1.0220187845952136</v>
      </c>
    </row>
    <row r="75" spans="2:15">
      <c r="B75" s="1508">
        <v>34700</v>
      </c>
      <c r="C75" s="1509">
        <v>108.44199999999999</v>
      </c>
      <c r="D75" s="1509">
        <v>1033.74</v>
      </c>
      <c r="E75" s="1510">
        <v>1.033745155557255</v>
      </c>
      <c r="F75" s="1510">
        <v>1.2634649121236308</v>
      </c>
      <c r="K75" s="1626">
        <v>42132</v>
      </c>
      <c r="L75" s="1627" t="s">
        <v>2298</v>
      </c>
      <c r="M75" s="1628">
        <v>4.9036999999999997E-2</v>
      </c>
      <c r="N75" s="1629">
        <v>1.0225199519466155</v>
      </c>
      <c r="O75" s="1629">
        <v>1.0225199519466155</v>
      </c>
    </row>
    <row r="76" spans="2:15">
      <c r="B76" s="1508">
        <v>34731</v>
      </c>
      <c r="C76" s="1509">
        <v>109.9455</v>
      </c>
      <c r="D76" s="1509">
        <v>1044.28</v>
      </c>
      <c r="E76" s="1510">
        <v>1.0361946548110796</v>
      </c>
      <c r="F76" s="1510">
        <v>1.3091955884838566</v>
      </c>
      <c r="K76" s="1626">
        <v>42133</v>
      </c>
      <c r="L76" s="1627"/>
      <c r="M76" s="1628">
        <v>0</v>
      </c>
      <c r="N76" s="1629">
        <v>1.0225199519466155</v>
      </c>
      <c r="O76" s="1629">
        <v>1.0225199519466155</v>
      </c>
    </row>
    <row r="77" spans="2:15">
      <c r="B77" s="1508">
        <v>34759</v>
      </c>
      <c r="C77" s="1509">
        <v>111.178</v>
      </c>
      <c r="D77" s="1509">
        <v>1060.47</v>
      </c>
      <c r="E77" s="1510">
        <v>1.0426211014987152</v>
      </c>
      <c r="F77" s="1510">
        <v>1.3649949465422972</v>
      </c>
      <c r="K77" s="1626">
        <v>42134</v>
      </c>
      <c r="L77" s="1627"/>
      <c r="M77" s="1628">
        <v>0</v>
      </c>
      <c r="N77" s="1629">
        <v>1.0225199519466155</v>
      </c>
      <c r="O77" s="1629">
        <v>1.0225199519466155</v>
      </c>
    </row>
    <row r="78" spans="2:15">
      <c r="B78" s="1508">
        <v>34790</v>
      </c>
      <c r="C78" s="1509">
        <v>113.518</v>
      </c>
      <c r="D78" s="1509">
        <v>1086.24</v>
      </c>
      <c r="E78" s="1510">
        <v>1.0502446731743562</v>
      </c>
      <c r="F78" s="1510">
        <v>1.4335786715159629</v>
      </c>
      <c r="K78" s="1626">
        <v>42135</v>
      </c>
      <c r="L78" s="1627" t="s">
        <v>2298</v>
      </c>
      <c r="M78" s="1628">
        <v>4.9036999999999997E-2</v>
      </c>
      <c r="N78" s="1629">
        <v>1.0230213650554516</v>
      </c>
      <c r="O78" s="1629">
        <v>1.0230213650554516</v>
      </c>
    </row>
    <row r="79" spans="2:15">
      <c r="B79" s="1508">
        <v>34820</v>
      </c>
      <c r="C79" s="1509">
        <v>114.17100000000001</v>
      </c>
      <c r="D79" s="1509">
        <v>1115.24</v>
      </c>
      <c r="E79" s="1510">
        <v>1.0450356278102417</v>
      </c>
      <c r="F79" s="1510">
        <v>1.4981407870030565</v>
      </c>
      <c r="K79" s="1626">
        <v>42136</v>
      </c>
      <c r="L79" s="1627" t="s">
        <v>2298</v>
      </c>
      <c r="M79" s="1628">
        <v>4.9036999999999997E-2</v>
      </c>
      <c r="N79" s="1629">
        <v>1.0235230240422339</v>
      </c>
      <c r="O79" s="1629">
        <v>1.0235230240422339</v>
      </c>
    </row>
    <row r="80" spans="2:15">
      <c r="B80" s="1508">
        <v>34851</v>
      </c>
      <c r="C80" s="1509">
        <v>116.98399999999999</v>
      </c>
      <c r="D80" s="1509">
        <v>1140.44</v>
      </c>
      <c r="E80" s="1510">
        <v>1.0423602226147934</v>
      </c>
      <c r="F80" s="1510">
        <v>1.5616023642488079</v>
      </c>
      <c r="K80" s="1626">
        <v>42137</v>
      </c>
      <c r="L80" s="1627" t="s">
        <v>2298</v>
      </c>
      <c r="M80" s="1628">
        <v>4.9036999999999997E-2</v>
      </c>
      <c r="N80" s="1629">
        <v>1.0240249290275336</v>
      </c>
      <c r="O80" s="1629">
        <v>1.0240249290275336</v>
      </c>
    </row>
    <row r="81" spans="2:15">
      <c r="B81" s="1508">
        <v>34881</v>
      </c>
      <c r="C81" s="1509">
        <v>119.114</v>
      </c>
      <c r="D81" s="1509">
        <v>1167.3499999999999</v>
      </c>
      <c r="E81" s="1510">
        <v>1.0402311780170954</v>
      </c>
      <c r="F81" s="1510">
        <v>1.6244274669568188</v>
      </c>
      <c r="K81" s="1626">
        <v>42138</v>
      </c>
      <c r="L81" s="1627" t="s">
        <v>2298</v>
      </c>
      <c r="M81" s="1628">
        <v>4.9036999999999997E-2</v>
      </c>
      <c r="N81" s="1629">
        <v>1.024527080131981</v>
      </c>
      <c r="O81" s="1629">
        <v>1.024527080131981</v>
      </c>
    </row>
    <row r="82" spans="2:15">
      <c r="B82" s="1508">
        <v>34912</v>
      </c>
      <c r="C82" s="1509">
        <v>121.729</v>
      </c>
      <c r="D82" s="1509">
        <v>1178.9100000000001</v>
      </c>
      <c r="E82" s="1509">
        <v>1.0383979241220025</v>
      </c>
      <c r="F82" s="1509">
        <v>1.6868021095747234</v>
      </c>
      <c r="G82" s="7">
        <v>41036.512291666666</v>
      </c>
      <c r="K82" s="1626">
        <v>42139</v>
      </c>
      <c r="L82" s="1627" t="s">
        <v>2298</v>
      </c>
      <c r="M82" s="1628">
        <v>4.9036999999999997E-2</v>
      </c>
      <c r="N82" s="1629">
        <v>1.0250294774762654</v>
      </c>
      <c r="O82" s="1629">
        <v>1.0250294774762654</v>
      </c>
    </row>
    <row r="83" spans="2:15">
      <c r="B83" s="1508">
        <v>34943</v>
      </c>
      <c r="C83" s="1509">
        <v>120.869</v>
      </c>
      <c r="D83" s="1509">
        <v>1190.58</v>
      </c>
      <c r="E83" s="1509">
        <v>1.0349384575781275</v>
      </c>
      <c r="F83" s="1509">
        <v>1.745736373522796</v>
      </c>
      <c r="K83" s="1626">
        <v>42140</v>
      </c>
      <c r="L83" s="1627"/>
      <c r="M83" s="1628">
        <v>0</v>
      </c>
      <c r="N83" s="1629">
        <v>1.0250294774762654</v>
      </c>
      <c r="O83" s="1629">
        <v>1.0250294774762654</v>
      </c>
    </row>
    <row r="84" spans="2:15">
      <c r="B84" s="1508">
        <v>34973</v>
      </c>
      <c r="C84" s="1509">
        <v>121.503</v>
      </c>
      <c r="D84" s="1509">
        <v>1207.3699999999999</v>
      </c>
      <c r="E84" s="1509">
        <v>1.0324041438440343</v>
      </c>
      <c r="F84" s="1509">
        <v>1.8023054660841915</v>
      </c>
      <c r="K84" s="1626">
        <v>42141</v>
      </c>
      <c r="L84" s="1627"/>
      <c r="M84" s="1628">
        <v>0</v>
      </c>
      <c r="N84" s="1629">
        <v>1.0250294774762654</v>
      </c>
      <c r="O84" s="1629">
        <v>1.0250294774762654</v>
      </c>
    </row>
    <row r="85" spans="2:15">
      <c r="B85" s="1508">
        <v>35004</v>
      </c>
      <c r="C85" s="1509">
        <v>122.955</v>
      </c>
      <c r="D85" s="1509">
        <v>1225.1199999999999</v>
      </c>
      <c r="E85" s="1509">
        <v>1.0316999077357936</v>
      </c>
      <c r="F85" s="1509">
        <v>1.8594383830707768</v>
      </c>
      <c r="K85" s="1626">
        <v>42142</v>
      </c>
      <c r="L85" s="1627" t="s">
        <v>2298</v>
      </c>
      <c r="M85" s="1628">
        <v>4.9036999999999997E-2</v>
      </c>
      <c r="N85" s="1629">
        <v>1.0255321211811355</v>
      </c>
      <c r="O85" s="1629">
        <v>1.0255321211811355</v>
      </c>
    </row>
    <row r="86" spans="2:15">
      <c r="B86" s="1508">
        <v>35034</v>
      </c>
      <c r="C86" s="1509">
        <v>123.833</v>
      </c>
      <c r="D86" s="1509">
        <v>1244.23</v>
      </c>
      <c r="E86" s="1509">
        <v>1.0292086837764389</v>
      </c>
      <c r="F86" s="1509">
        <v>1.913750130803664</v>
      </c>
      <c r="K86" s="1626">
        <v>42143</v>
      </c>
      <c r="L86" s="1627" t="s">
        <v>2298</v>
      </c>
      <c r="M86" s="1628">
        <v>4.9036999999999997E-2</v>
      </c>
      <c r="N86" s="1629">
        <v>1.0260350113673991</v>
      </c>
      <c r="O86" s="1629">
        <v>1.0260350113673991</v>
      </c>
    </row>
    <row r="87" spans="2:15">
      <c r="B87" s="1508">
        <v>35065</v>
      </c>
      <c r="C87" s="1509">
        <v>125.977</v>
      </c>
      <c r="D87" s="1509">
        <v>1260.9000000000001</v>
      </c>
      <c r="E87" s="1509">
        <v>1.0271429062533448</v>
      </c>
      <c r="F87" s="1509">
        <v>1.9656948711963942</v>
      </c>
      <c r="K87" s="1626">
        <v>42144</v>
      </c>
      <c r="L87" s="1627" t="s">
        <v>2298</v>
      </c>
      <c r="M87" s="1628">
        <v>4.9036999999999997E-2</v>
      </c>
      <c r="N87" s="1629">
        <v>1.0265381481559233</v>
      </c>
      <c r="O87" s="1629">
        <v>1.0265381481559233</v>
      </c>
    </row>
    <row r="88" spans="2:15">
      <c r="B88" s="1508">
        <v>35096</v>
      </c>
      <c r="C88" s="1509">
        <v>127.202</v>
      </c>
      <c r="D88" s="1509">
        <v>1273.8900000000001</v>
      </c>
      <c r="E88" s="1509">
        <v>1.026088709032714</v>
      </c>
      <c r="F88" s="1509">
        <v>2.0169773127381352</v>
      </c>
      <c r="K88" s="1626">
        <v>42145</v>
      </c>
      <c r="L88" s="1627" t="s">
        <v>2298</v>
      </c>
      <c r="M88" s="1628">
        <v>4.9036999999999997E-2</v>
      </c>
      <c r="N88" s="1629">
        <v>1.0270415316676345</v>
      </c>
      <c r="O88" s="1629">
        <v>1.0270415316676345</v>
      </c>
    </row>
    <row r="89" spans="2:15">
      <c r="B89" s="1508">
        <v>35125</v>
      </c>
      <c r="C89" s="1509">
        <v>127.715</v>
      </c>
      <c r="D89" s="1509">
        <v>1278.3499999999999</v>
      </c>
      <c r="E89" s="1509">
        <v>1.0222082178682002</v>
      </c>
      <c r="F89" s="1509">
        <v>2.0617707843346404</v>
      </c>
      <c r="K89" s="1626">
        <v>42146</v>
      </c>
      <c r="L89" s="1627" t="s">
        <v>2298</v>
      </c>
      <c r="M89" s="1628">
        <v>4.9036999999999997E-2</v>
      </c>
      <c r="N89" s="1629">
        <v>1.0275451620235183</v>
      </c>
      <c r="O89" s="1629">
        <v>1.0275451620235183</v>
      </c>
    </row>
    <row r="90" spans="2:15">
      <c r="B90" s="1508">
        <v>35156</v>
      </c>
      <c r="C90" s="1509">
        <v>128.13</v>
      </c>
      <c r="D90" s="1509">
        <v>1294.46</v>
      </c>
      <c r="E90" s="1509">
        <v>1.0227569082086725</v>
      </c>
      <c r="F90" s="1509">
        <v>2.1086903128210666</v>
      </c>
      <c r="K90" s="1626">
        <v>42147</v>
      </c>
      <c r="L90" s="1627"/>
      <c r="M90" s="1628">
        <v>0</v>
      </c>
      <c r="N90" s="1629">
        <v>1.0275451620235183</v>
      </c>
      <c r="O90" s="1629">
        <v>1.0275451620235183</v>
      </c>
    </row>
    <row r="91" spans="2:15">
      <c r="B91" s="1508">
        <v>35186</v>
      </c>
      <c r="C91" s="1509">
        <v>130.12100000000001</v>
      </c>
      <c r="D91" s="1509">
        <v>1310.25</v>
      </c>
      <c r="E91" s="1509">
        <v>1.0210626514511167</v>
      </c>
      <c r="F91" s="1509">
        <v>2.1531049218983629</v>
      </c>
      <c r="K91" s="1626">
        <v>42148</v>
      </c>
      <c r="L91" s="1627"/>
      <c r="M91" s="1628">
        <v>0</v>
      </c>
      <c r="N91" s="1629">
        <v>1.0275451620235183</v>
      </c>
      <c r="O91" s="1629">
        <v>1.0275451620235183</v>
      </c>
    </row>
    <row r="92" spans="2:15">
      <c r="B92" s="1508">
        <v>35217</v>
      </c>
      <c r="C92" s="1509">
        <v>131.44499999999999</v>
      </c>
      <c r="D92" s="1509">
        <v>1325.84</v>
      </c>
      <c r="E92" s="1509">
        <v>1.020826552130859</v>
      </c>
      <c r="F92" s="1509">
        <v>2.1979466737974884</v>
      </c>
      <c r="K92" s="1626">
        <v>42149</v>
      </c>
      <c r="L92" s="1627" t="s">
        <v>2298</v>
      </c>
      <c r="M92" s="1628">
        <v>4.9036999999999997E-2</v>
      </c>
      <c r="N92" s="1629">
        <v>1.0280490393446198</v>
      </c>
      <c r="O92" s="1629">
        <v>1.0280490393446198</v>
      </c>
    </row>
    <row r="93" spans="2:15">
      <c r="B93" s="1508">
        <v>35247</v>
      </c>
      <c r="C93" s="1509">
        <v>133.21299999999999</v>
      </c>
      <c r="D93" s="1509">
        <v>1340.56</v>
      </c>
      <c r="E93" s="1509">
        <v>1.0192856968560815</v>
      </c>
      <c r="F93" s="1509">
        <v>2.2403356070541793</v>
      </c>
      <c r="K93" s="1626">
        <v>42150</v>
      </c>
      <c r="L93" s="1627" t="s">
        <v>2298</v>
      </c>
      <c r="M93" s="1628">
        <v>4.9036999999999997E-2</v>
      </c>
      <c r="N93" s="1629">
        <v>1.0285531637520433</v>
      </c>
      <c r="O93" s="1629">
        <v>1.0285531637520433</v>
      </c>
    </row>
    <row r="94" spans="2:15">
      <c r="B94" s="1508">
        <v>35278</v>
      </c>
      <c r="C94" s="1509">
        <v>133.58699999999999</v>
      </c>
      <c r="D94" s="1509">
        <v>1346.46</v>
      </c>
      <c r="E94" s="1509">
        <v>1.0196791435025818</v>
      </c>
      <c r="F94" s="1509">
        <v>2.2844234929593421</v>
      </c>
      <c r="K94" s="1626">
        <v>42151</v>
      </c>
      <c r="L94" s="1627" t="s">
        <v>2298</v>
      </c>
      <c r="M94" s="1628">
        <v>4.9036999999999997E-2</v>
      </c>
      <c r="N94" s="1629">
        <v>1.0290575353669524</v>
      </c>
      <c r="O94" s="1629">
        <v>1.0290575353669524</v>
      </c>
    </row>
    <row r="95" spans="2:15">
      <c r="B95" s="1508">
        <v>35309</v>
      </c>
      <c r="C95" s="1509">
        <v>133.72200000000001</v>
      </c>
      <c r="D95" s="1509">
        <v>1348.48</v>
      </c>
      <c r="E95" s="1509">
        <v>1.0190405257020327</v>
      </c>
      <c r="F95" s="1509">
        <v>2.3279201171913617</v>
      </c>
      <c r="K95" s="1626">
        <v>42152</v>
      </c>
      <c r="L95" s="1627" t="s">
        <v>2298</v>
      </c>
      <c r="M95" s="1628">
        <v>4.9036999999999997E-2</v>
      </c>
      <c r="N95" s="1629">
        <v>1.0295621543105704</v>
      </c>
      <c r="O95" s="1629">
        <v>1.0295621543105704</v>
      </c>
    </row>
    <row r="96" spans="2:15">
      <c r="B96" s="1508">
        <v>35339</v>
      </c>
      <c r="C96" s="1509">
        <v>133.97800000000001</v>
      </c>
      <c r="D96" s="1509">
        <v>1352.53</v>
      </c>
      <c r="E96" s="1509">
        <v>1.0194350405573067</v>
      </c>
      <c r="F96" s="1509">
        <v>2.3731633390831459</v>
      </c>
      <c r="K96" s="1626">
        <v>42153</v>
      </c>
      <c r="L96" s="1627" t="s">
        <v>2298</v>
      </c>
      <c r="M96" s="1628">
        <v>4.9036999999999997E-2</v>
      </c>
      <c r="N96" s="1629">
        <v>1.0300670207041798</v>
      </c>
      <c r="O96" s="1629">
        <v>1.0300670207041798</v>
      </c>
    </row>
    <row r="97" spans="2:15">
      <c r="B97" s="1508">
        <v>35370</v>
      </c>
      <c r="C97" s="1509">
        <v>134.24199999999999</v>
      </c>
      <c r="D97" s="1509">
        <v>1356.86</v>
      </c>
      <c r="E97" s="1509">
        <v>1.018952291397875</v>
      </c>
      <c r="F97" s="1509">
        <v>2.4181402222202037</v>
      </c>
      <c r="K97" s="1626">
        <v>42154</v>
      </c>
      <c r="L97" s="1627"/>
      <c r="M97" s="1628">
        <v>0</v>
      </c>
      <c r="N97" s="1629">
        <v>1.0300670207041798</v>
      </c>
      <c r="O97" s="1629">
        <v>1.0300670207041798</v>
      </c>
    </row>
    <row r="98" spans="2:15">
      <c r="B98" s="1508">
        <v>35400</v>
      </c>
      <c r="C98" s="1509">
        <v>135.22499999999999</v>
      </c>
      <c r="D98" s="1509">
        <v>1363.24</v>
      </c>
      <c r="E98" s="1509">
        <v>1.0189221360623306</v>
      </c>
      <c r="F98" s="1509">
        <v>2.4638966005228489</v>
      </c>
      <c r="K98" s="1626">
        <v>42155</v>
      </c>
      <c r="L98" s="1627"/>
      <c r="M98" s="1628">
        <v>0</v>
      </c>
      <c r="N98" s="1629">
        <v>1.0300670207041798</v>
      </c>
      <c r="O98" s="1629">
        <v>1.0300670207041798</v>
      </c>
    </row>
    <row r="99" spans="2:15">
      <c r="B99" s="1508">
        <v>35431</v>
      </c>
      <c r="C99" s="1509">
        <v>137.613</v>
      </c>
      <c r="D99" s="1509">
        <v>1379.33</v>
      </c>
      <c r="E99" s="1509">
        <v>1.0182168360386268</v>
      </c>
      <c r="F99" s="1509">
        <v>2.5087810009107034</v>
      </c>
      <c r="K99" s="1626">
        <v>42156</v>
      </c>
      <c r="L99" s="1627" t="s">
        <v>2298</v>
      </c>
      <c r="M99" s="1628">
        <v>4.9036999999999997E-2</v>
      </c>
      <c r="N99" s="1629">
        <v>1.0305721346691226</v>
      </c>
      <c r="O99" s="1629">
        <v>1.0305721346691226</v>
      </c>
    </row>
    <row r="100" spans="2:15">
      <c r="B100" s="1508">
        <v>35462</v>
      </c>
      <c r="C100" s="1509">
        <v>138.20400000000001</v>
      </c>
      <c r="D100" s="1509">
        <v>1386.23</v>
      </c>
      <c r="E100" s="1509">
        <v>1.018615977536991</v>
      </c>
      <c r="F100" s="1509">
        <v>2.5554844116688868</v>
      </c>
      <c r="K100" s="1626">
        <v>42157</v>
      </c>
      <c r="L100" s="1627" t="s">
        <v>2298</v>
      </c>
      <c r="M100" s="1628">
        <v>4.9036999999999997E-2</v>
      </c>
      <c r="N100" s="1629">
        <v>1.0310774963268003</v>
      </c>
      <c r="O100" s="1629">
        <v>1.0310774963268003</v>
      </c>
    </row>
    <row r="101" spans="2:15">
      <c r="B101" s="1508">
        <v>35490</v>
      </c>
      <c r="C101" s="1509">
        <v>139.79499999999999</v>
      </c>
      <c r="D101" s="1509">
        <v>1393.3</v>
      </c>
      <c r="E101" s="1509">
        <v>1.0181653196053577</v>
      </c>
      <c r="F101" s="1509">
        <v>2.6019056027533618</v>
      </c>
      <c r="K101" s="1626">
        <v>42158</v>
      </c>
      <c r="L101" s="1627" t="s">
        <v>2298</v>
      </c>
      <c r="M101" s="1628">
        <v>4.9036999999999997E-2</v>
      </c>
      <c r="N101" s="1629">
        <v>1.0315831057986742</v>
      </c>
      <c r="O101" s="1629">
        <v>1.0315831057986742</v>
      </c>
    </row>
    <row r="102" spans="2:15">
      <c r="B102" s="1508">
        <v>35521</v>
      </c>
      <c r="C102" s="1509">
        <v>140.74199999999999</v>
      </c>
      <c r="D102" s="1509">
        <v>1405.56</v>
      </c>
      <c r="E102" s="1509">
        <v>1.0174130782041242</v>
      </c>
      <c r="F102" s="1509">
        <v>2.6472127884938548</v>
      </c>
      <c r="K102" s="1626">
        <v>42159</v>
      </c>
      <c r="L102" s="1627"/>
      <c r="M102" s="1628">
        <v>0</v>
      </c>
      <c r="N102" s="1629">
        <v>1.0315831057986742</v>
      </c>
      <c r="O102" s="1629">
        <v>1.0315831057986742</v>
      </c>
    </row>
    <row r="103" spans="2:15">
      <c r="B103" s="1508">
        <v>35551</v>
      </c>
      <c r="C103" s="1509">
        <v>141.04</v>
      </c>
      <c r="D103" s="1509">
        <v>1411.32</v>
      </c>
      <c r="E103" s="1509">
        <v>1.0173859708262292</v>
      </c>
      <c r="F103" s="1509">
        <v>2.6932371528054295</v>
      </c>
      <c r="K103" s="1626">
        <v>42160</v>
      </c>
      <c r="L103" s="1627" t="s">
        <v>2298</v>
      </c>
      <c r="M103" s="1628">
        <v>5.0788E-2</v>
      </c>
      <c r="N103" s="1629">
        <v>1.0321070262264471</v>
      </c>
      <c r="O103" s="1629">
        <v>1.0321070262264471</v>
      </c>
    </row>
    <row r="104" spans="2:15">
      <c r="B104" s="1508">
        <v>35582</v>
      </c>
      <c r="C104" s="1509">
        <v>142.09</v>
      </c>
      <c r="D104" s="1509">
        <v>1418.94</v>
      </c>
      <c r="E104" s="1509">
        <v>1.0160683269749473</v>
      </c>
      <c r="F104" s="1509">
        <v>2.7365129679977831</v>
      </c>
      <c r="K104" s="1626">
        <v>42161</v>
      </c>
      <c r="L104" s="1627"/>
      <c r="M104" s="1628">
        <v>0</v>
      </c>
      <c r="N104" s="1629">
        <v>1.0321070262264471</v>
      </c>
      <c r="O104" s="1629">
        <v>1.0321070262264471</v>
      </c>
    </row>
    <row r="105" spans="2:15">
      <c r="B105" s="1508">
        <v>35612</v>
      </c>
      <c r="C105" s="1509">
        <v>142.221</v>
      </c>
      <c r="D105" s="1509">
        <v>1422.06</v>
      </c>
      <c r="E105" s="1509">
        <v>1.0160384417373229</v>
      </c>
      <c r="F105" s="1509">
        <v>2.7804023717984441</v>
      </c>
      <c r="K105" s="1626">
        <v>42162</v>
      </c>
      <c r="L105" s="1627"/>
      <c r="M105" s="1628">
        <v>0</v>
      </c>
      <c r="N105" s="1629">
        <v>1.0321070262264471</v>
      </c>
      <c r="O105" s="1629">
        <v>1.0321070262264471</v>
      </c>
    </row>
    <row r="106" spans="2:15">
      <c r="B106" s="1508">
        <v>35643</v>
      </c>
      <c r="C106" s="1509">
        <v>142.35300000000001</v>
      </c>
      <c r="D106" s="1509">
        <v>1421.78</v>
      </c>
      <c r="E106" s="1509">
        <v>1.0158585469231169</v>
      </c>
      <c r="F106" s="1509">
        <v>2.8244955132767555</v>
      </c>
      <c r="K106" s="1626">
        <v>42163</v>
      </c>
      <c r="L106" s="1627" t="s">
        <v>2298</v>
      </c>
      <c r="M106" s="1628">
        <v>5.0788E-2</v>
      </c>
      <c r="N106" s="1629">
        <v>1.0326312127429271</v>
      </c>
      <c r="O106" s="1629">
        <v>1.0326312127429271</v>
      </c>
    </row>
    <row r="107" spans="2:15">
      <c r="B107" s="1508">
        <v>35674</v>
      </c>
      <c r="C107" s="1509">
        <v>143.042</v>
      </c>
      <c r="D107" s="1509">
        <v>1422.63</v>
      </c>
      <c r="E107" s="1509">
        <v>1.0159028051900765</v>
      </c>
      <c r="F107" s="1509">
        <v>2.869412915184641</v>
      </c>
      <c r="K107" s="1626">
        <v>42164</v>
      </c>
      <c r="L107" s="1627" t="s">
        <v>2298</v>
      </c>
      <c r="M107" s="1628">
        <v>5.0788E-2</v>
      </c>
      <c r="N107" s="1629">
        <v>1.033155665483255</v>
      </c>
      <c r="O107" s="1629">
        <v>1.033155665483255</v>
      </c>
    </row>
    <row r="108" spans="2:15">
      <c r="B108" s="1508">
        <v>35704</v>
      </c>
      <c r="C108" s="1509">
        <v>143.56700000000001</v>
      </c>
      <c r="D108" s="1509">
        <v>1425.9</v>
      </c>
      <c r="E108" s="1509">
        <v>1.0167288802763557</v>
      </c>
      <c r="F108" s="1509">
        <v>2.9174149803061935</v>
      </c>
      <c r="K108" s="1626">
        <v>42165</v>
      </c>
      <c r="L108" s="1627" t="s">
        <v>2298</v>
      </c>
      <c r="M108" s="1628">
        <v>5.0788E-2</v>
      </c>
      <c r="N108" s="1629">
        <v>1.0336803845826406</v>
      </c>
      <c r="O108" s="1629">
        <v>1.0336803845826406</v>
      </c>
    </row>
    <row r="109" spans="2:15">
      <c r="B109" s="1508">
        <v>35735</v>
      </c>
      <c r="C109" s="1509">
        <v>144.48099999999999</v>
      </c>
      <c r="D109" s="1509">
        <v>1428.32</v>
      </c>
      <c r="E109" s="1509">
        <v>1.0304347964479648</v>
      </c>
      <c r="F109" s="1509">
        <v>3.0062059113860555</v>
      </c>
      <c r="K109" s="1626">
        <v>42166</v>
      </c>
      <c r="L109" s="1627" t="s">
        <v>2298</v>
      </c>
      <c r="M109" s="1628">
        <v>5.0788E-2</v>
      </c>
      <c r="N109" s="1629">
        <v>1.0342053701763625</v>
      </c>
      <c r="O109" s="1629">
        <v>1.0342053701763625</v>
      </c>
    </row>
    <row r="110" spans="2:15">
      <c r="B110" s="1508">
        <v>35765</v>
      </c>
      <c r="C110" s="1509">
        <v>145.69499999999999</v>
      </c>
      <c r="D110" s="1509">
        <v>1434.46</v>
      </c>
      <c r="E110" s="1509">
        <v>1.0311549813439238</v>
      </c>
      <c r="F110" s="1509">
        <v>3.0998642004712815</v>
      </c>
      <c r="K110" s="1626">
        <v>42167</v>
      </c>
      <c r="L110" s="1627" t="s">
        <v>2298</v>
      </c>
      <c r="M110" s="1628">
        <v>5.0788E-2</v>
      </c>
      <c r="N110" s="1629">
        <v>1.0347306223997677</v>
      </c>
      <c r="O110" s="1629">
        <v>1.0347306223997677</v>
      </c>
    </row>
    <row r="111" spans="2:15">
      <c r="B111" s="1508">
        <v>35796</v>
      </c>
      <c r="C111" s="1509">
        <v>147.09100000000001</v>
      </c>
      <c r="D111" s="1509">
        <v>1444.64</v>
      </c>
      <c r="E111" s="1509">
        <v>1.0280960413836384</v>
      </c>
      <c r="F111" s="1509">
        <v>3.1869581133313818</v>
      </c>
      <c r="K111" s="1626">
        <v>42168</v>
      </c>
      <c r="L111" s="1627"/>
      <c r="M111" s="1628">
        <v>0</v>
      </c>
      <c r="N111" s="1629">
        <v>1.0347306223997677</v>
      </c>
      <c r="O111" s="1629">
        <v>1.0347306223997677</v>
      </c>
    </row>
    <row r="112" spans="2:15">
      <c r="B112" s="1508">
        <v>35827</v>
      </c>
      <c r="C112" s="1509">
        <v>147.35599999999999</v>
      </c>
      <c r="D112" s="1509">
        <v>1451.29</v>
      </c>
      <c r="E112" s="1509">
        <v>1.0236711069024262</v>
      </c>
      <c r="F112" s="1509">
        <v>3.2623969395256034</v>
      </c>
      <c r="K112" s="1626">
        <v>42169</v>
      </c>
      <c r="L112" s="1627"/>
      <c r="M112" s="1628">
        <v>0</v>
      </c>
      <c r="N112" s="1629">
        <v>1.0347306223997677</v>
      </c>
      <c r="O112" s="1629">
        <v>1.0347306223997677</v>
      </c>
    </row>
    <row r="113" spans="2:15">
      <c r="B113" s="1508">
        <v>35855</v>
      </c>
      <c r="C113" s="1509">
        <v>147.63499999999999</v>
      </c>
      <c r="D113" s="1509">
        <v>1456.22</v>
      </c>
      <c r="E113" s="1509">
        <v>1.0220072916308196</v>
      </c>
      <c r="F113" s="1509">
        <v>3.3341934603892365</v>
      </c>
      <c r="K113" s="1626">
        <v>42170</v>
      </c>
      <c r="L113" s="1627" t="s">
        <v>2298</v>
      </c>
      <c r="M113" s="1628">
        <v>5.0788E-2</v>
      </c>
      <c r="N113" s="1629">
        <v>1.0352561413882722</v>
      </c>
      <c r="O113" s="1629">
        <v>1.0352561413882722</v>
      </c>
    </row>
    <row r="114" spans="2:15">
      <c r="B114" s="1508">
        <v>35886</v>
      </c>
      <c r="C114" s="1509">
        <v>147.821</v>
      </c>
      <c r="D114" s="1509">
        <v>1459.71</v>
      </c>
      <c r="E114" s="1509">
        <v>1.0199031041694671</v>
      </c>
      <c r="F114" s="1509">
        <v>3.4005542601525192</v>
      </c>
      <c r="K114" s="1626">
        <v>42171</v>
      </c>
      <c r="L114" s="1627" t="s">
        <v>2298</v>
      </c>
      <c r="M114" s="1628">
        <v>5.0788E-2</v>
      </c>
      <c r="N114" s="1629">
        <v>1.0357819272773605</v>
      </c>
      <c r="O114" s="1629">
        <v>1.0357819272773605</v>
      </c>
    </row>
    <row r="115" spans="2:15">
      <c r="B115" s="1508">
        <v>35916</v>
      </c>
      <c r="C115" s="1509">
        <v>148.02099999999999</v>
      </c>
      <c r="D115" s="1509">
        <v>1467.01</v>
      </c>
      <c r="E115" s="1509">
        <v>1.0171306475499944</v>
      </c>
      <c r="F115" s="1509">
        <v>3.4588079566578238</v>
      </c>
      <c r="K115" s="1626">
        <v>42172</v>
      </c>
      <c r="L115" s="1627" t="s">
        <v>2298</v>
      </c>
      <c r="M115" s="1628">
        <v>5.0788E-2</v>
      </c>
      <c r="N115" s="1629">
        <v>1.0363079802025861</v>
      </c>
      <c r="O115" s="1629">
        <v>1.0363079802025861</v>
      </c>
    </row>
    <row r="116" spans="2:15">
      <c r="B116" s="1508">
        <v>35947</v>
      </c>
      <c r="C116" s="1509">
        <v>148.58799999999999</v>
      </c>
      <c r="D116" s="1509">
        <v>1467.3</v>
      </c>
      <c r="E116" s="1509">
        <v>1.0167959651913006</v>
      </c>
      <c r="F116" s="1509">
        <v>3.5169019747012422</v>
      </c>
      <c r="K116" s="1626">
        <v>42173</v>
      </c>
      <c r="L116" s="1627" t="s">
        <v>2298</v>
      </c>
      <c r="M116" s="1628">
        <v>5.0788E-2</v>
      </c>
      <c r="N116" s="1629">
        <v>1.0368343002995715</v>
      </c>
      <c r="O116" s="1629">
        <v>1.0368343002995715</v>
      </c>
    </row>
    <row r="117" spans="2:15">
      <c r="B117" s="1508">
        <v>35977</v>
      </c>
      <c r="C117" s="1509">
        <v>148.339</v>
      </c>
      <c r="D117" s="1509">
        <v>1465.54</v>
      </c>
      <c r="E117" s="1509">
        <v>1.0170373206405035</v>
      </c>
      <c r="F117" s="1509">
        <v>3.5768205613054471</v>
      </c>
      <c r="K117" s="1626">
        <v>42174</v>
      </c>
      <c r="L117" s="1627" t="s">
        <v>2298</v>
      </c>
      <c r="M117" s="1628">
        <v>5.0788E-2</v>
      </c>
      <c r="N117" s="1629">
        <v>1.0373608877040077</v>
      </c>
      <c r="O117" s="1629">
        <v>1.0373608877040077</v>
      </c>
    </row>
    <row r="118" spans="2:15">
      <c r="B118" s="1508">
        <v>36008</v>
      </c>
      <c r="C118" s="1509">
        <v>148.10900000000001</v>
      </c>
      <c r="D118" s="1509">
        <v>1458.07</v>
      </c>
      <c r="E118" s="1509">
        <v>1.0147631694962493</v>
      </c>
      <c r="F118" s="1509">
        <v>3.6296257695096692</v>
      </c>
      <c r="K118" s="1626">
        <v>42175</v>
      </c>
      <c r="L118" s="1627"/>
      <c r="M118" s="1628">
        <v>0</v>
      </c>
      <c r="N118" s="1629">
        <v>1.0373608877040077</v>
      </c>
      <c r="O118" s="1629">
        <v>1.0373608877040077</v>
      </c>
    </row>
    <row r="119" spans="2:15">
      <c r="B119" s="1508">
        <v>36039</v>
      </c>
      <c r="C119" s="1509">
        <v>147.98400000000001</v>
      </c>
      <c r="D119" s="1509">
        <v>1454.86</v>
      </c>
      <c r="E119" s="1509">
        <v>1.0255896332244516</v>
      </c>
      <c r="F119" s="1509">
        <v>3.7225065616934394</v>
      </c>
      <c r="K119" s="1626">
        <v>42176</v>
      </c>
      <c r="L119" s="1627"/>
      <c r="M119" s="1628">
        <v>0</v>
      </c>
      <c r="N119" s="1629">
        <v>1.0373608877040077</v>
      </c>
      <c r="O119" s="1629">
        <v>1.0373608877040077</v>
      </c>
    </row>
    <row r="120" spans="2:15">
      <c r="B120" s="1508">
        <v>36069</v>
      </c>
      <c r="C120" s="1509">
        <v>148.1</v>
      </c>
      <c r="D120" s="1509">
        <v>1455.15</v>
      </c>
      <c r="E120" s="1509">
        <v>1.0308188720930029</v>
      </c>
      <c r="F120" s="1509">
        <v>3.8372300152836338</v>
      </c>
      <c r="K120" s="1626">
        <v>42177</v>
      </c>
      <c r="L120" s="1627" t="s">
        <v>2298</v>
      </c>
      <c r="M120" s="1628">
        <v>5.0788E-2</v>
      </c>
      <c r="N120" s="1629">
        <v>1.0378877425516548</v>
      </c>
      <c r="O120" s="1629">
        <v>1.0378877425516548</v>
      </c>
    </row>
    <row r="121" spans="2:15">
      <c r="B121" s="1508">
        <v>36100</v>
      </c>
      <c r="C121" s="1509">
        <v>147.62799999999999</v>
      </c>
      <c r="D121" s="1509">
        <v>1453.4</v>
      </c>
      <c r="E121" s="1509">
        <v>1.0277678356785036</v>
      </c>
      <c r="F121" s="1509">
        <v>3.9437815878086515</v>
      </c>
      <c r="K121" s="1626">
        <v>42178</v>
      </c>
      <c r="L121" s="1627" t="s">
        <v>2298</v>
      </c>
      <c r="M121" s="1628">
        <v>5.0788E-2</v>
      </c>
      <c r="N121" s="1629">
        <v>1.038414864978342</v>
      </c>
      <c r="O121" s="1629">
        <v>1.038414864978342</v>
      </c>
    </row>
    <row r="122" spans="2:15">
      <c r="B122" s="1508">
        <v>36130</v>
      </c>
      <c r="C122" s="1509">
        <v>148.291</v>
      </c>
      <c r="D122" s="1509">
        <v>1458.2</v>
      </c>
      <c r="E122" s="1509">
        <v>1.025049538167373</v>
      </c>
      <c r="F122" s="1509">
        <v>4.0425714952162473</v>
      </c>
      <c r="K122" s="1626">
        <v>42179</v>
      </c>
      <c r="L122" s="1627" t="s">
        <v>2298</v>
      </c>
      <c r="M122" s="1628">
        <v>5.0788E-2</v>
      </c>
      <c r="N122" s="1629">
        <v>1.0389422551199672</v>
      </c>
      <c r="O122" s="1629">
        <v>1.0389422551199672</v>
      </c>
    </row>
    <row r="123" spans="2:15">
      <c r="B123" s="1508">
        <v>36161</v>
      </c>
      <c r="C123" s="1509">
        <v>149.53299999999999</v>
      </c>
      <c r="D123" s="1509">
        <v>1468.41</v>
      </c>
      <c r="E123" s="1509">
        <v>1.022811290449001</v>
      </c>
      <c r="F123" s="1509">
        <v>4.1347877677544771</v>
      </c>
      <c r="K123" s="1626">
        <v>42180</v>
      </c>
      <c r="L123" s="1627" t="s">
        <v>2298</v>
      </c>
      <c r="M123" s="1628">
        <v>5.0788E-2</v>
      </c>
      <c r="N123" s="1629">
        <v>1.0394699131124976</v>
      </c>
      <c r="O123" s="1629">
        <v>1.0394699131124976</v>
      </c>
    </row>
    <row r="124" spans="2:15">
      <c r="B124" s="1508">
        <v>36192</v>
      </c>
      <c r="C124" s="1509">
        <v>154.93299999999999</v>
      </c>
      <c r="D124" s="1509">
        <v>1483.83</v>
      </c>
      <c r="E124" s="1509">
        <v>1.0264662861429437</v>
      </c>
      <c r="F124" s="1509">
        <v>4.2442202439562102</v>
      </c>
      <c r="K124" s="1626">
        <v>42181</v>
      </c>
      <c r="L124" s="1627" t="s">
        <v>2298</v>
      </c>
      <c r="M124" s="1628">
        <v>5.0788E-2</v>
      </c>
      <c r="N124" s="1629">
        <v>1.0399978390919691</v>
      </c>
      <c r="O124" s="1629">
        <v>1.0399978390919691</v>
      </c>
    </row>
    <row r="125" spans="2:15">
      <c r="B125" s="1508">
        <v>36220</v>
      </c>
      <c r="C125" s="1509">
        <v>159.32499999999999</v>
      </c>
      <c r="D125" s="1509">
        <v>1500.15</v>
      </c>
      <c r="E125" s="1509">
        <v>1.033345195070198</v>
      </c>
      <c r="F125" s="1509">
        <v>4.3857445959118131</v>
      </c>
      <c r="K125" s="1626">
        <v>42182</v>
      </c>
      <c r="L125" s="1627"/>
      <c r="M125" s="1628">
        <v>0</v>
      </c>
      <c r="N125" s="1629">
        <v>1.0399978390919691</v>
      </c>
      <c r="O125" s="1629">
        <v>1.0399978390919691</v>
      </c>
    </row>
    <row r="126" spans="2:15">
      <c r="B126" s="1508">
        <v>36251</v>
      </c>
      <c r="C126" s="1509">
        <v>160.459</v>
      </c>
      <c r="D126" s="1509">
        <v>1508.55</v>
      </c>
      <c r="E126" s="1509">
        <v>1.027563660965396</v>
      </c>
      <c r="F126" s="1509">
        <v>4.5066317730343437</v>
      </c>
      <c r="K126" s="1626">
        <v>42183</v>
      </c>
      <c r="L126" s="1627"/>
      <c r="M126" s="1628">
        <v>0</v>
      </c>
      <c r="N126" s="1629">
        <v>1.0399978390919691</v>
      </c>
      <c r="O126" s="1629">
        <v>1.0399978390919691</v>
      </c>
    </row>
    <row r="127" spans="2:15">
      <c r="B127" s="1508">
        <v>36281</v>
      </c>
      <c r="C127" s="1509">
        <v>159.99600000000001</v>
      </c>
      <c r="D127" s="1509">
        <v>1513.08</v>
      </c>
      <c r="E127" s="1509">
        <v>1.0201883000304468</v>
      </c>
      <c r="F127" s="1509">
        <v>4.5976130073951058</v>
      </c>
      <c r="K127" s="1626">
        <v>42184</v>
      </c>
      <c r="L127" s="1627" t="s">
        <v>2298</v>
      </c>
      <c r="M127" s="1628">
        <v>5.0788E-2</v>
      </c>
      <c r="N127" s="1629">
        <v>1.0405260331944872</v>
      </c>
      <c r="O127" s="1629">
        <v>1.0405260331944872</v>
      </c>
    </row>
    <row r="128" spans="2:15">
      <c r="B128" s="1508">
        <v>36312</v>
      </c>
      <c r="C128" s="1509">
        <v>160.57300000000001</v>
      </c>
      <c r="D128" s="1509">
        <v>1515.95</v>
      </c>
      <c r="E128" s="1509">
        <v>1.0175637707499077</v>
      </c>
      <c r="F128" s="1509">
        <v>4.6783644282537873</v>
      </c>
      <c r="K128" s="1626">
        <v>42185</v>
      </c>
      <c r="L128" s="1627" t="s">
        <v>2298</v>
      </c>
      <c r="M128" s="1628">
        <v>5.0788E-2</v>
      </c>
      <c r="N128" s="1629">
        <v>1.041054495556226</v>
      </c>
      <c r="O128" s="1629">
        <v>1.041054495556226</v>
      </c>
    </row>
    <row r="129" spans="2:15">
      <c r="B129" s="1508">
        <v>36342</v>
      </c>
      <c r="C129" s="1509">
        <v>163.06</v>
      </c>
      <c r="D129" s="1509">
        <v>1532.47</v>
      </c>
      <c r="E129" s="1509">
        <v>1.0165876375704719</v>
      </c>
      <c r="F129" s="1509">
        <v>4.7559674418122491</v>
      </c>
      <c r="K129" s="1626">
        <v>42186</v>
      </c>
      <c r="L129" s="1627" t="s">
        <v>2298</v>
      </c>
      <c r="M129" s="1628">
        <v>5.0788E-2</v>
      </c>
      <c r="N129" s="1629">
        <v>1.041583226313429</v>
      </c>
      <c r="O129" s="1629">
        <v>1.041583226313429</v>
      </c>
    </row>
    <row r="130" spans="2:15">
      <c r="B130" s="1508">
        <v>36373</v>
      </c>
      <c r="C130" s="1509">
        <v>165.60300000000001</v>
      </c>
      <c r="D130" s="1509">
        <v>1541.05</v>
      </c>
      <c r="E130" s="1509">
        <v>1.0156847483880824</v>
      </c>
      <c r="F130" s="1509">
        <v>4.8305635944789866</v>
      </c>
      <c r="K130" s="1626">
        <v>42187</v>
      </c>
      <c r="L130" s="1627" t="s">
        <v>2298</v>
      </c>
      <c r="M130" s="1628">
        <v>5.0788E-2</v>
      </c>
      <c r="N130" s="1629">
        <v>1.0421122256024091</v>
      </c>
      <c r="O130" s="1629">
        <v>1.0421122256024091</v>
      </c>
    </row>
    <row r="131" spans="2:15">
      <c r="B131" s="1508">
        <v>36404</v>
      </c>
      <c r="C131" s="1509">
        <v>167.99700000000001</v>
      </c>
      <c r="D131" s="1509">
        <v>1545.83</v>
      </c>
      <c r="E131" s="1509">
        <v>1.0155901672784533</v>
      </c>
      <c r="F131" s="1509">
        <v>4.9058728889661207</v>
      </c>
      <c r="K131" s="1626">
        <v>42188</v>
      </c>
      <c r="L131" s="1627" t="s">
        <v>2298</v>
      </c>
      <c r="M131" s="1628">
        <v>5.0788E-2</v>
      </c>
      <c r="N131" s="1629">
        <v>1.042641493559548</v>
      </c>
      <c r="O131" s="1629">
        <v>1.042641493559548</v>
      </c>
    </row>
    <row r="132" spans="2:15">
      <c r="B132" s="1508">
        <v>36434</v>
      </c>
      <c r="C132" s="1509">
        <v>170.86099999999999</v>
      </c>
      <c r="D132" s="1509">
        <v>1564.23</v>
      </c>
      <c r="E132" s="1509">
        <v>1.0145370189540868</v>
      </c>
      <c r="F132" s="1509">
        <v>4.9771896561393616</v>
      </c>
      <c r="K132" s="1626">
        <v>42189</v>
      </c>
      <c r="L132" s="1627"/>
      <c r="M132" s="1628">
        <v>0</v>
      </c>
      <c r="N132" s="1629">
        <v>1.042641493559548</v>
      </c>
      <c r="O132" s="1629">
        <v>1.042641493559548</v>
      </c>
    </row>
    <row r="133" spans="2:15">
      <c r="B133" s="1508">
        <v>36465</v>
      </c>
      <c r="C133" s="1509">
        <v>174.93899999999999</v>
      </c>
      <c r="D133" s="1509">
        <v>1579.09</v>
      </c>
      <c r="E133" s="1509">
        <v>1.0152599173733607</v>
      </c>
      <c r="F133" s="1509">
        <v>5.0531411590435944</v>
      </c>
      <c r="K133" s="1626">
        <v>42190</v>
      </c>
      <c r="L133" s="1627"/>
      <c r="M133" s="1628">
        <v>0</v>
      </c>
      <c r="N133" s="1629">
        <v>1.042641493559548</v>
      </c>
      <c r="O133" s="1629">
        <v>1.042641493559548</v>
      </c>
    </row>
    <row r="134" spans="2:15">
      <c r="B134" s="1508">
        <v>36495</v>
      </c>
      <c r="C134" s="1509">
        <v>178.09899999999999</v>
      </c>
      <c r="D134" s="1509">
        <v>1588.56</v>
      </c>
      <c r="E134" s="1509">
        <v>1.0159962861507461</v>
      </c>
      <c r="F134" s="1509">
        <v>5.1339726509837682</v>
      </c>
      <c r="K134" s="1626">
        <v>42191</v>
      </c>
      <c r="L134" s="1627" t="s">
        <v>2298</v>
      </c>
      <c r="M134" s="1628">
        <v>5.0788E-2</v>
      </c>
      <c r="N134" s="1629">
        <v>1.0431710303212971</v>
      </c>
      <c r="O134" s="1629">
        <v>1.0431710303212971</v>
      </c>
    </row>
    <row r="135" spans="2:15">
      <c r="B135" s="1508">
        <v>36526</v>
      </c>
      <c r="C135" s="1509">
        <v>180.30099999999999</v>
      </c>
      <c r="D135" s="1509">
        <v>1598.41</v>
      </c>
      <c r="E135" s="1509">
        <v>1.0145573263269665</v>
      </c>
      <c r="F135" s="1509">
        <v>5.20870956621786</v>
      </c>
      <c r="K135" s="1626">
        <v>42192</v>
      </c>
      <c r="L135" s="1627" t="s">
        <v>2298</v>
      </c>
      <c r="M135" s="1628">
        <v>5.0788E-2</v>
      </c>
      <c r="N135" s="1629">
        <v>1.0437008360241766</v>
      </c>
      <c r="O135" s="1629">
        <v>1.0437008360241766</v>
      </c>
    </row>
    <row r="136" spans="2:15">
      <c r="B136" s="1508">
        <v>36557</v>
      </c>
      <c r="C136" s="1509">
        <v>180.935</v>
      </c>
      <c r="D136" s="1509">
        <v>1600.49</v>
      </c>
      <c r="E136" s="1509">
        <v>1.0145089461247463</v>
      </c>
      <c r="F136" s="1509">
        <v>5.2842824526935654</v>
      </c>
      <c r="K136" s="1626">
        <v>42193</v>
      </c>
      <c r="L136" s="1627" t="s">
        <v>2298</v>
      </c>
      <c r="M136" s="1628">
        <v>5.0788E-2</v>
      </c>
      <c r="N136" s="1629">
        <v>1.0442309108047767</v>
      </c>
      <c r="O136" s="1629">
        <v>1.0442309108047767</v>
      </c>
    </row>
    <row r="137" spans="2:15">
      <c r="B137" s="1508">
        <v>36586</v>
      </c>
      <c r="C137" s="1509">
        <v>181.214</v>
      </c>
      <c r="D137" s="1509">
        <v>1604.01</v>
      </c>
      <c r="E137" s="1509">
        <v>1.0158860407835757</v>
      </c>
      <c r="F137" s="1509">
        <v>5.3682287792489891</v>
      </c>
      <c r="K137" s="1626">
        <v>42194</v>
      </c>
      <c r="L137" s="1627" t="s">
        <v>2298</v>
      </c>
      <c r="M137" s="1628">
        <v>5.0788E-2</v>
      </c>
      <c r="N137" s="1629">
        <v>1.0447612547997562</v>
      </c>
      <c r="O137" s="1629">
        <v>1.0447612547997562</v>
      </c>
    </row>
    <row r="138" spans="2:15">
      <c r="B138" s="1508">
        <v>36617</v>
      </c>
      <c r="C138" s="1509">
        <v>181.63499999999999</v>
      </c>
      <c r="D138" s="1509">
        <v>1610.75</v>
      </c>
      <c r="E138" s="1509">
        <v>1.0136441914221253</v>
      </c>
      <c r="F138" s="1509">
        <v>5.4414739203108242</v>
      </c>
      <c r="K138" s="1626">
        <v>42195</v>
      </c>
      <c r="L138" s="1627" t="s">
        <v>2298</v>
      </c>
      <c r="M138" s="1628">
        <v>5.0788E-2</v>
      </c>
      <c r="N138" s="1629">
        <v>1.0452918681458438</v>
      </c>
      <c r="O138" s="1629">
        <v>1.0452918681458438</v>
      </c>
    </row>
    <row r="139" spans="2:15">
      <c r="B139" s="1508">
        <v>36647</v>
      </c>
      <c r="C139" s="1509">
        <v>182.18899999999999</v>
      </c>
      <c r="D139" s="1509">
        <v>1610.91</v>
      </c>
      <c r="E139" s="1509">
        <v>1.0156265899953318</v>
      </c>
      <c r="F139" s="1509">
        <v>5.5265056022338124</v>
      </c>
      <c r="K139" s="1626">
        <v>42196</v>
      </c>
      <c r="L139" s="1627"/>
      <c r="M139" s="1628">
        <v>0</v>
      </c>
      <c r="N139" s="1629">
        <v>1.0452918681458438</v>
      </c>
      <c r="O139" s="1629">
        <v>1.0452918681458438</v>
      </c>
    </row>
    <row r="140" spans="2:15">
      <c r="B140" s="1508">
        <v>36678</v>
      </c>
      <c r="C140" s="1509">
        <v>183.745</v>
      </c>
      <c r="D140" s="1509">
        <v>1614.62</v>
      </c>
      <c r="E140" s="1509">
        <v>1.0145668910909638</v>
      </c>
      <c r="F140" s="1509">
        <v>5.6070096074551534</v>
      </c>
      <c r="K140" s="1626">
        <v>42197</v>
      </c>
      <c r="L140" s="1627"/>
      <c r="M140" s="1628">
        <v>0</v>
      </c>
      <c r="N140" s="1629">
        <v>1.0452918681458438</v>
      </c>
      <c r="O140" s="1629">
        <v>1.0452918681458438</v>
      </c>
    </row>
    <row r="141" spans="2:15">
      <c r="B141" s="1508">
        <v>36708</v>
      </c>
      <c r="C141" s="1509">
        <v>186.63399999999999</v>
      </c>
      <c r="D141" s="1509">
        <v>1640.62</v>
      </c>
      <c r="E141" s="1509">
        <v>1.0130599958288005</v>
      </c>
      <c r="F141" s="1509">
        <v>5.6802371295405623</v>
      </c>
      <c r="K141" s="1626">
        <v>42198</v>
      </c>
      <c r="L141" s="1627" t="s">
        <v>2298</v>
      </c>
      <c r="M141" s="1628">
        <v>5.0788E-2</v>
      </c>
      <c r="N141" s="1629">
        <v>1.0458227509798377</v>
      </c>
      <c r="O141" s="1629">
        <v>1.0458227509798377</v>
      </c>
    </row>
    <row r="142" spans="2:15">
      <c r="B142" s="1508">
        <v>36739</v>
      </c>
      <c r="C142" s="1509">
        <v>191.08699999999999</v>
      </c>
      <c r="D142" s="1509">
        <v>1662.11</v>
      </c>
      <c r="E142" s="1509">
        <v>1.0140543715890855</v>
      </c>
      <c r="F142" s="1509">
        <v>5.7600692928732462</v>
      </c>
      <c r="K142" s="1626">
        <v>42199</v>
      </c>
      <c r="L142" s="1627" t="s">
        <v>2298</v>
      </c>
      <c r="M142" s="1628">
        <v>5.0788E-2</v>
      </c>
      <c r="N142" s="1629">
        <v>1.0463539034386053</v>
      </c>
      <c r="O142" s="1629">
        <v>1.0463539034386053</v>
      </c>
    </row>
    <row r="143" spans="2:15">
      <c r="B143" s="1508">
        <v>36770</v>
      </c>
      <c r="C143" s="1509">
        <v>193.297</v>
      </c>
      <c r="D143" s="1509">
        <v>1665.93</v>
      </c>
      <c r="E143" s="1509">
        <v>1.0128508890656427</v>
      </c>
      <c r="F143" s="1509">
        <v>5.8340913043663756</v>
      </c>
      <c r="K143" s="1626">
        <v>42200</v>
      </c>
      <c r="L143" s="1627" t="s">
        <v>2298</v>
      </c>
      <c r="M143" s="1628">
        <v>5.0788E-2</v>
      </c>
      <c r="N143" s="1629">
        <v>1.0468853256590838</v>
      </c>
      <c r="O143" s="1629">
        <v>1.0468853256590838</v>
      </c>
    </row>
    <row r="144" spans="2:15">
      <c r="B144" s="1508">
        <v>36800</v>
      </c>
      <c r="C144" s="1509">
        <v>194.04</v>
      </c>
      <c r="D144" s="1509">
        <v>1668.26</v>
      </c>
      <c r="E144" s="1509">
        <v>1.013495295624836</v>
      </c>
      <c r="F144" s="1509">
        <v>5.9128240912210845</v>
      </c>
      <c r="K144" s="1626">
        <v>42201</v>
      </c>
      <c r="L144" s="1627" t="s">
        <v>2298</v>
      </c>
      <c r="M144" s="1628">
        <v>5.0788E-2</v>
      </c>
      <c r="N144" s="1629">
        <v>1.0474170177782796</v>
      </c>
      <c r="O144" s="1629">
        <v>1.0474170177782796</v>
      </c>
    </row>
    <row r="145" spans="2:15">
      <c r="B145" s="1508">
        <v>36831</v>
      </c>
      <c r="C145" s="1509">
        <v>194.59899999999999</v>
      </c>
      <c r="D145" s="1509">
        <v>1673.6</v>
      </c>
      <c r="E145" s="1509">
        <v>1.013431060777086</v>
      </c>
      <c r="F145" s="1509">
        <v>5.992239590954493</v>
      </c>
      <c r="K145" s="1626">
        <v>42202</v>
      </c>
      <c r="L145" s="1627" t="s">
        <v>2298</v>
      </c>
      <c r="M145" s="1628">
        <v>5.0788E-2</v>
      </c>
      <c r="N145" s="1629">
        <v>1.0479489799332689</v>
      </c>
      <c r="O145" s="1629">
        <v>1.0479489799332689</v>
      </c>
    </row>
    <row r="146" spans="2:15">
      <c r="B146" s="1508">
        <v>36861</v>
      </c>
      <c r="C146" s="1509">
        <v>195.827</v>
      </c>
      <c r="D146" s="1509">
        <v>1683.47</v>
      </c>
      <c r="E146" s="1509">
        <v>1.0125716392096709</v>
      </c>
      <c r="F146" s="1509">
        <v>6.0675718651498789</v>
      </c>
      <c r="K146" s="1626">
        <v>42203</v>
      </c>
      <c r="L146" s="1627"/>
      <c r="M146" s="1628">
        <v>0</v>
      </c>
      <c r="N146" s="1629">
        <v>1.0479489799332689</v>
      </c>
      <c r="O146" s="1629">
        <v>1.0479489799332689</v>
      </c>
    </row>
    <row r="147" spans="2:15">
      <c r="B147" s="1508">
        <v>36892</v>
      </c>
      <c r="C147" s="1509">
        <v>197.04499999999999</v>
      </c>
      <c r="D147" s="1509">
        <v>1693.07</v>
      </c>
      <c r="E147" s="1509">
        <v>1.0126506879847863</v>
      </c>
      <c r="F147" s="1509">
        <v>6.144330823641158</v>
      </c>
      <c r="K147" s="1626">
        <v>42204</v>
      </c>
      <c r="L147" s="1627"/>
      <c r="M147" s="1628">
        <v>0</v>
      </c>
      <c r="N147" s="1629">
        <v>1.0479489799332689</v>
      </c>
      <c r="O147" s="1629">
        <v>1.0479489799332689</v>
      </c>
    </row>
    <row r="148" spans="2:15">
      <c r="B148" s="1508">
        <v>36923</v>
      </c>
      <c r="C148" s="1509">
        <v>197.49100000000001</v>
      </c>
      <c r="D148" s="1509">
        <v>1700.86</v>
      </c>
      <c r="E148" s="1509">
        <v>1.0101583510827936</v>
      </c>
      <c r="F148" s="1509">
        <v>6.206747093316535</v>
      </c>
      <c r="K148" s="1626">
        <v>42205</v>
      </c>
      <c r="L148" s="1627" t="s">
        <v>2298</v>
      </c>
      <c r="M148" s="1628">
        <v>5.0788E-2</v>
      </c>
      <c r="N148" s="1629">
        <v>1.0484812122611973</v>
      </c>
      <c r="O148" s="1629">
        <v>1.0484812122611973</v>
      </c>
    </row>
    <row r="149" spans="2:15">
      <c r="B149" s="1508">
        <v>36951</v>
      </c>
      <c r="C149" s="1509">
        <v>198.60599999999999</v>
      </c>
      <c r="D149" s="1509">
        <v>1707.32</v>
      </c>
      <c r="E149" s="1509">
        <v>1.0125785495836725</v>
      </c>
      <c r="F149" s="1509">
        <v>6.2848189693831324</v>
      </c>
      <c r="K149" s="1626">
        <v>42206</v>
      </c>
      <c r="L149" s="1627" t="s">
        <v>2298</v>
      </c>
      <c r="M149" s="1628">
        <v>5.0788E-2</v>
      </c>
      <c r="N149" s="1629">
        <v>1.0490137148992804</v>
      </c>
      <c r="O149" s="1629">
        <v>1.0490137148992804</v>
      </c>
    </row>
    <row r="150" spans="2:15">
      <c r="B150" s="1508">
        <v>36982</v>
      </c>
      <c r="C150" s="1509">
        <v>200.59100000000001</v>
      </c>
      <c r="D150" s="1509">
        <v>1717.22</v>
      </c>
      <c r="E150" s="1509">
        <v>1.0118637336714187</v>
      </c>
      <c r="F150" s="1509">
        <v>6.3593803878089741</v>
      </c>
      <c r="K150" s="1626">
        <v>42207</v>
      </c>
      <c r="L150" s="1627" t="s">
        <v>2298</v>
      </c>
      <c r="M150" s="1628">
        <v>5.0788E-2</v>
      </c>
      <c r="N150" s="1629">
        <v>1.0495464879848035</v>
      </c>
      <c r="O150" s="1629">
        <v>1.0495464879848035</v>
      </c>
    </row>
    <row r="151" spans="2:15">
      <c r="B151" s="1508">
        <v>37012</v>
      </c>
      <c r="C151" s="1509">
        <v>202.32400000000001</v>
      </c>
      <c r="D151" s="1509">
        <v>1724.26</v>
      </c>
      <c r="E151" s="1509">
        <v>1.0133677002760824</v>
      </c>
      <c r="F151" s="1509">
        <v>6.4443906787748011</v>
      </c>
      <c r="K151" s="1626">
        <v>42208</v>
      </c>
      <c r="L151" s="1627" t="s">
        <v>2298</v>
      </c>
      <c r="M151" s="1628">
        <v>5.0788E-2</v>
      </c>
      <c r="N151" s="1629">
        <v>1.0500795316551212</v>
      </c>
      <c r="O151" s="1629">
        <v>1.0500795316551212</v>
      </c>
    </row>
    <row r="152" spans="2:15">
      <c r="B152" s="1508">
        <v>37043</v>
      </c>
      <c r="C152" s="1509">
        <v>204.31</v>
      </c>
      <c r="D152" s="1509">
        <v>1733.23</v>
      </c>
      <c r="E152" s="1509">
        <v>1.0127331554566117</v>
      </c>
      <c r="F152" s="1509">
        <v>6.5264481071107801</v>
      </c>
      <c r="K152" s="1626">
        <v>42209</v>
      </c>
      <c r="L152" s="1627" t="s">
        <v>2298</v>
      </c>
      <c r="M152" s="1628">
        <v>5.0788E-2</v>
      </c>
      <c r="N152" s="1629">
        <v>1.0506128460476583</v>
      </c>
      <c r="O152" s="1629">
        <v>1.0506128460476583</v>
      </c>
    </row>
    <row r="153" spans="2:15">
      <c r="B153" s="1508">
        <v>37073</v>
      </c>
      <c r="C153" s="1509">
        <v>207.34100000000001</v>
      </c>
      <c r="D153" s="1509">
        <v>1756.28</v>
      </c>
      <c r="E153" s="1509">
        <v>1.014979822756394</v>
      </c>
      <c r="F153" s="1509">
        <v>6.6242131429841029</v>
      </c>
      <c r="K153" s="1626">
        <v>42210</v>
      </c>
      <c r="L153" s="1627"/>
      <c r="M153" s="1628">
        <v>0</v>
      </c>
      <c r="N153" s="1629">
        <v>1.0506128460476583</v>
      </c>
      <c r="O153" s="1629">
        <v>1.0506128460476583</v>
      </c>
    </row>
    <row r="154" spans="2:15">
      <c r="B154" s="1508">
        <v>37104</v>
      </c>
      <c r="C154" s="1509">
        <v>210.21100000000001</v>
      </c>
      <c r="D154" s="1509">
        <v>1768.57</v>
      </c>
      <c r="E154" s="1509">
        <v>1.0160000122718875</v>
      </c>
      <c r="F154" s="1509">
        <v>6.7302006345634471</v>
      </c>
      <c r="K154" s="1626">
        <v>42211</v>
      </c>
      <c r="L154" s="1627"/>
      <c r="M154" s="1628">
        <v>0</v>
      </c>
      <c r="N154" s="1629">
        <v>1.0506128460476583</v>
      </c>
      <c r="O154" s="1629">
        <v>1.0506128460476583</v>
      </c>
    </row>
    <row r="155" spans="2:15">
      <c r="B155" s="1508">
        <v>37135</v>
      </c>
      <c r="C155" s="1509">
        <v>210.85300000000001</v>
      </c>
      <c r="D155" s="1509">
        <v>1773.52</v>
      </c>
      <c r="E155" s="1509">
        <v>1.013243107438228</v>
      </c>
      <c r="F155" s="1509">
        <v>6.8193294046478012</v>
      </c>
      <c r="K155" s="1626">
        <v>42212</v>
      </c>
      <c r="L155" s="1627" t="s">
        <v>2298</v>
      </c>
      <c r="M155" s="1628">
        <v>5.0788E-2</v>
      </c>
      <c r="N155" s="1629">
        <v>1.051146431299909</v>
      </c>
      <c r="O155" s="1629">
        <v>1.051146431299909</v>
      </c>
    </row>
    <row r="156" spans="2:15">
      <c r="B156" s="1508">
        <v>37165</v>
      </c>
      <c r="C156" s="1509">
        <v>213.339</v>
      </c>
      <c r="D156" s="1509">
        <v>1788.24</v>
      </c>
      <c r="E156" s="1509">
        <v>1.0153493751182632</v>
      </c>
      <c r="F156" s="1509">
        <v>6.9240018497347426</v>
      </c>
      <c r="K156" s="1626">
        <v>42213</v>
      </c>
      <c r="L156" s="1627" t="s">
        <v>2298</v>
      </c>
      <c r="M156" s="1628">
        <v>5.0788E-2</v>
      </c>
      <c r="N156" s="1629">
        <v>1.0516802875494375</v>
      </c>
      <c r="O156" s="1629">
        <v>1.0516802875494375</v>
      </c>
    </row>
    <row r="157" spans="2:15">
      <c r="B157" s="1508">
        <v>37196</v>
      </c>
      <c r="C157" s="1509">
        <v>215.685</v>
      </c>
      <c r="D157" s="1509">
        <v>1800.94</v>
      </c>
      <c r="E157" s="1509">
        <v>1.0139343824698488</v>
      </c>
      <c r="F157" s="1509">
        <v>7.0204835397308871</v>
      </c>
      <c r="K157" s="1626">
        <v>42214</v>
      </c>
      <c r="L157" s="1627" t="s">
        <v>2298</v>
      </c>
      <c r="M157" s="1628">
        <v>5.0788E-2</v>
      </c>
      <c r="N157" s="1629">
        <v>1.0522144149338781</v>
      </c>
      <c r="O157" s="1629">
        <v>1.0522144149338781</v>
      </c>
    </row>
    <row r="158" spans="2:15">
      <c r="B158" s="1508">
        <v>37226</v>
      </c>
      <c r="C158" s="1509">
        <v>216.16300000000001</v>
      </c>
      <c r="D158" s="1509">
        <v>1812.65</v>
      </c>
      <c r="E158" s="1509">
        <v>1.0139354159682339</v>
      </c>
      <c r="F158" s="1509">
        <v>7.1183168981551761</v>
      </c>
      <c r="K158" s="1626">
        <v>42215</v>
      </c>
      <c r="L158" s="1627" t="s">
        <v>2298</v>
      </c>
      <c r="M158" s="1628">
        <v>5.2531000000000001E-2</v>
      </c>
      <c r="N158" s="1629">
        <v>1.0527671536881871</v>
      </c>
      <c r="O158" s="1629">
        <v>1.0527671536881871</v>
      </c>
    </row>
    <row r="159" spans="2:15">
      <c r="B159" s="1508">
        <v>37257</v>
      </c>
      <c r="C159" s="1509">
        <v>216.94399999999999</v>
      </c>
      <c r="D159" s="1509">
        <v>1822.08</v>
      </c>
      <c r="E159" s="1509">
        <v>1.0153395939759675</v>
      </c>
      <c r="F159" s="1509">
        <v>7.2275089891651447</v>
      </c>
      <c r="K159" s="1626">
        <v>42216</v>
      </c>
      <c r="L159" s="1627" t="s">
        <v>2298</v>
      </c>
      <c r="M159" s="1628">
        <v>5.2531000000000001E-2</v>
      </c>
      <c r="N159" s="1629">
        <v>1.0533201828016909</v>
      </c>
      <c r="O159" s="1629">
        <v>1.0533201828016909</v>
      </c>
    </row>
    <row r="160" spans="2:15">
      <c r="B160" s="1508">
        <v>37288</v>
      </c>
      <c r="C160" s="1509">
        <v>217.07400000000001</v>
      </c>
      <c r="D160" s="1509">
        <v>1828.64</v>
      </c>
      <c r="E160" s="1509">
        <v>1.012482154231837</v>
      </c>
      <c r="F160" s="1509">
        <v>7.3177238710798918</v>
      </c>
      <c r="K160" s="1626">
        <v>42217</v>
      </c>
      <c r="L160" s="1627"/>
      <c r="M160" s="1628">
        <v>0</v>
      </c>
      <c r="N160" s="1629">
        <v>1.0533201828016909</v>
      </c>
      <c r="O160" s="1629">
        <v>1.0533201828016909</v>
      </c>
    </row>
    <row r="161" spans="2:15">
      <c r="B161" s="1508">
        <v>37316</v>
      </c>
      <c r="C161" s="1509">
        <v>217.27600000000001</v>
      </c>
      <c r="D161" s="1509">
        <v>1839.61</v>
      </c>
      <c r="E161" s="1509">
        <v>1.013713327882185</v>
      </c>
      <c r="F161" s="1509">
        <v>7.4180742178753025</v>
      </c>
      <c r="K161" s="1626">
        <v>42218</v>
      </c>
      <c r="L161" s="1627"/>
      <c r="M161" s="1628">
        <v>0</v>
      </c>
      <c r="N161" s="1629">
        <v>1.0533201828016909</v>
      </c>
      <c r="O161" s="1629">
        <v>1.0533201828016909</v>
      </c>
    </row>
    <row r="162" spans="2:15">
      <c r="B162" s="1508">
        <v>37347</v>
      </c>
      <c r="C162" s="1509">
        <v>218.48599999999999</v>
      </c>
      <c r="D162" s="1509">
        <v>1854.33</v>
      </c>
      <c r="E162" s="1509">
        <v>1.0148356719718208</v>
      </c>
      <c r="F162" s="1509">
        <v>7.5281263336343214</v>
      </c>
      <c r="K162" s="1626">
        <v>42219</v>
      </c>
      <c r="L162" s="1627" t="s">
        <v>2298</v>
      </c>
      <c r="M162" s="1628">
        <v>5.2531000000000001E-2</v>
      </c>
      <c r="N162" s="1629">
        <v>1.0538735024269186</v>
      </c>
      <c r="O162" s="1629">
        <v>1.0538735024269186</v>
      </c>
    </row>
    <row r="163" spans="2:15">
      <c r="B163" s="1508">
        <v>37377</v>
      </c>
      <c r="C163" s="1509">
        <v>220.292</v>
      </c>
      <c r="D163" s="1509">
        <v>1858.22</v>
      </c>
      <c r="E163" s="1509">
        <v>1.0141498936566418</v>
      </c>
      <c r="F163" s="1509">
        <v>7.6346485206890113</v>
      </c>
      <c r="K163" s="1626">
        <v>42220</v>
      </c>
      <c r="L163" s="1627" t="s">
        <v>2298</v>
      </c>
      <c r="M163" s="1628">
        <v>5.2531000000000001E-2</v>
      </c>
      <c r="N163" s="1629">
        <v>1.0544271127164784</v>
      </c>
      <c r="O163" s="1629">
        <v>1.0544271127164784</v>
      </c>
    </row>
    <row r="164" spans="2:15">
      <c r="B164" s="1508">
        <v>37408</v>
      </c>
      <c r="C164" s="1509">
        <v>223.68799999999999</v>
      </c>
      <c r="D164" s="1509">
        <v>1866.02</v>
      </c>
      <c r="E164" s="1509">
        <v>1.0132903281280037</v>
      </c>
      <c r="F164" s="1509">
        <v>7.7361155046709458</v>
      </c>
      <c r="K164" s="1626">
        <v>42221</v>
      </c>
      <c r="L164" s="1627" t="s">
        <v>2298</v>
      </c>
      <c r="M164" s="1628">
        <v>5.2531000000000001E-2</v>
      </c>
      <c r="N164" s="1629">
        <v>1.0549810138230595</v>
      </c>
      <c r="O164" s="1629">
        <v>1.0549810138230595</v>
      </c>
    </row>
    <row r="165" spans="2:15">
      <c r="B165" s="1508">
        <v>37438</v>
      </c>
      <c r="C165" s="1509">
        <v>228.05699999999999</v>
      </c>
      <c r="D165" s="1509">
        <v>1888.23</v>
      </c>
      <c r="E165" s="1509">
        <v>1.0153543455443825</v>
      </c>
      <c r="F165" s="1509">
        <v>7.8548984953009189</v>
      </c>
      <c r="K165" s="1626">
        <v>42222</v>
      </c>
      <c r="L165" s="1627" t="s">
        <v>2298</v>
      </c>
      <c r="M165" s="1628">
        <v>5.2531000000000001E-2</v>
      </c>
      <c r="N165" s="1629">
        <v>1.055535205899431</v>
      </c>
      <c r="O165" s="1629">
        <v>1.055535205899431</v>
      </c>
    </row>
    <row r="166" spans="2:15">
      <c r="B166" s="1508">
        <v>37469</v>
      </c>
      <c r="C166" s="1509">
        <v>233.34800000000001</v>
      </c>
      <c r="D166" s="1509">
        <v>1900.5</v>
      </c>
      <c r="E166" s="1509">
        <v>1.0144340404848073</v>
      </c>
      <c r="F166" s="1509">
        <v>7.9682764181861447</v>
      </c>
      <c r="K166" s="1626">
        <v>42223</v>
      </c>
      <c r="L166" s="1627" t="s">
        <v>2298</v>
      </c>
      <c r="M166" s="1628">
        <v>5.2531000000000001E-2</v>
      </c>
      <c r="N166" s="1629">
        <v>1.0560896890984419</v>
      </c>
      <c r="O166" s="1629">
        <v>1.0560896890984419</v>
      </c>
    </row>
    <row r="167" spans="2:15">
      <c r="B167" s="1508">
        <v>37500</v>
      </c>
      <c r="C167" s="1509">
        <v>238.94300000000001</v>
      </c>
      <c r="D167" s="1509">
        <v>1914.18</v>
      </c>
      <c r="E167" s="1509">
        <v>1.0138126637754254</v>
      </c>
      <c r="F167" s="1509">
        <v>8.0783395412202008</v>
      </c>
      <c r="K167" s="1626">
        <v>42224</v>
      </c>
      <c r="L167" s="1627"/>
      <c r="M167" s="1628">
        <v>0</v>
      </c>
      <c r="N167" s="1629">
        <v>1.0560896890984419</v>
      </c>
      <c r="O167" s="1629">
        <v>1.0560896890984419</v>
      </c>
    </row>
    <row r="168" spans="2:15">
      <c r="B168" s="1508">
        <v>37530</v>
      </c>
      <c r="C168" s="1509">
        <v>248.19900000000001</v>
      </c>
      <c r="D168" s="1509">
        <v>1939.26</v>
      </c>
      <c r="E168" s="1509">
        <v>1.0164592520111337</v>
      </c>
      <c r="F168" s="1509">
        <v>8.2113029675606501</v>
      </c>
      <c r="K168" s="1626">
        <v>42225</v>
      </c>
      <c r="L168" s="1627"/>
      <c r="M168" s="1628">
        <v>0</v>
      </c>
      <c r="N168" s="1629">
        <v>1.0560896890984419</v>
      </c>
      <c r="O168" s="1629">
        <v>1.0560896890984419</v>
      </c>
    </row>
    <row r="169" spans="2:15">
      <c r="B169" s="1508">
        <v>37561</v>
      </c>
      <c r="C169" s="1509">
        <v>261.08</v>
      </c>
      <c r="D169" s="1509">
        <v>1997.83</v>
      </c>
      <c r="E169" s="1509">
        <v>1.0154093077816833</v>
      </c>
      <c r="F169" s="1509">
        <v>8.337833462276441</v>
      </c>
      <c r="K169" s="1626">
        <v>42226</v>
      </c>
      <c r="L169" s="1627" t="s">
        <v>2298</v>
      </c>
      <c r="M169" s="1628">
        <v>5.2531000000000001E-2</v>
      </c>
      <c r="N169" s="1629">
        <v>1.0566444635730223</v>
      </c>
      <c r="O169" s="1629">
        <v>1.0566444635730223</v>
      </c>
    </row>
    <row r="170" spans="2:15">
      <c r="B170" s="1508">
        <v>37591</v>
      </c>
      <c r="C170" s="1509">
        <v>270.86700000000002</v>
      </c>
      <c r="D170" s="1509">
        <v>2039.78</v>
      </c>
      <c r="E170" s="1509">
        <v>1.0174244857414556</v>
      </c>
      <c r="F170" s="1509">
        <v>8.483115922554509</v>
      </c>
      <c r="K170" s="1626">
        <v>42227</v>
      </c>
      <c r="L170" s="1627" t="s">
        <v>2298</v>
      </c>
      <c r="M170" s="1628">
        <v>5.2531000000000001E-2</v>
      </c>
      <c r="N170" s="1629">
        <v>1.0571995294761818</v>
      </c>
      <c r="O170" s="1629">
        <v>1.0571995294761818</v>
      </c>
    </row>
    <row r="171" spans="2:15">
      <c r="B171" s="1508">
        <v>37622</v>
      </c>
      <c r="C171" s="1509">
        <v>277.173</v>
      </c>
      <c r="D171" s="1509">
        <v>2085.6799999999998</v>
      </c>
      <c r="E171" s="1509">
        <v>1.0197126646415859</v>
      </c>
      <c r="F171" s="1509">
        <v>8.6503407418515241</v>
      </c>
      <c r="K171" s="1626">
        <v>42228</v>
      </c>
      <c r="L171" s="1627" t="s">
        <v>2298</v>
      </c>
      <c r="M171" s="1628">
        <v>5.2531000000000001E-2</v>
      </c>
      <c r="N171" s="1629">
        <v>1.0577548869610109</v>
      </c>
      <c r="O171" s="1629">
        <v>1.0577548869610109</v>
      </c>
    </row>
    <row r="172" spans="2:15">
      <c r="B172" s="1508">
        <v>37653</v>
      </c>
      <c r="C172" s="1509">
        <v>283.50599999999997</v>
      </c>
      <c r="D172" s="1509">
        <v>2118.4299999999998</v>
      </c>
      <c r="E172" s="1509">
        <v>1.0183037986307939</v>
      </c>
      <c r="F172" s="1509">
        <v>8.8086748368781276</v>
      </c>
      <c r="K172" s="1626">
        <v>42229</v>
      </c>
      <c r="L172" s="1627" t="s">
        <v>2298</v>
      </c>
      <c r="M172" s="1628">
        <v>5.2531000000000001E-2</v>
      </c>
      <c r="N172" s="1629">
        <v>1.0583105361806804</v>
      </c>
      <c r="O172" s="1629">
        <v>1.0583105361806804</v>
      </c>
    </row>
    <row r="173" spans="2:15">
      <c r="B173" s="1508">
        <v>37681</v>
      </c>
      <c r="C173" s="1509">
        <v>287.85500000000002</v>
      </c>
      <c r="D173" s="1509">
        <v>2144.4899999999998</v>
      </c>
      <c r="E173" s="1509">
        <v>1.0177701866474056</v>
      </c>
      <c r="F173" s="1509">
        <v>8.9652066328457565</v>
      </c>
      <c r="K173" s="1626">
        <v>42230</v>
      </c>
      <c r="L173" s="1627" t="s">
        <v>2298</v>
      </c>
      <c r="M173" s="1628">
        <v>5.2531000000000001E-2</v>
      </c>
      <c r="N173" s="1629">
        <v>1.0588664772884415</v>
      </c>
      <c r="O173" s="1629">
        <v>1.0588664772884415</v>
      </c>
    </row>
    <row r="174" spans="2:15">
      <c r="B174" s="1508">
        <v>37712</v>
      </c>
      <c r="C174" s="1509">
        <v>290.512</v>
      </c>
      <c r="D174" s="1509">
        <v>2165.29</v>
      </c>
      <c r="E174" s="1509">
        <v>1.0187159495984839</v>
      </c>
      <c r="F174" s="1509">
        <v>9.1329989883260918</v>
      </c>
      <c r="K174" s="1626">
        <v>42231</v>
      </c>
      <c r="L174" s="1627"/>
      <c r="M174" s="1628">
        <v>0</v>
      </c>
      <c r="N174" s="1629">
        <v>1.0588664772884415</v>
      </c>
      <c r="O174" s="1629">
        <v>1.0588664772884415</v>
      </c>
    </row>
    <row r="175" spans="2:15">
      <c r="B175" s="1508">
        <v>37742</v>
      </c>
      <c r="C175" s="1509">
        <v>289.74700000000001</v>
      </c>
      <c r="D175" s="1509">
        <v>2178.5</v>
      </c>
      <c r="E175" s="1509">
        <v>1.0196535248447016</v>
      </c>
      <c r="F175" s="1509">
        <v>9.312494610849793</v>
      </c>
      <c r="K175" s="1626">
        <v>42232</v>
      </c>
      <c r="L175" s="1627"/>
      <c r="M175" s="1628">
        <v>0</v>
      </c>
      <c r="N175" s="1629">
        <v>1.0588664772884415</v>
      </c>
      <c r="O175" s="1629">
        <v>1.0588664772884415</v>
      </c>
    </row>
    <row r="176" spans="2:15">
      <c r="B176" s="1508">
        <v>37773</v>
      </c>
      <c r="C176" s="1509">
        <v>286.84300000000002</v>
      </c>
      <c r="D176" s="1509">
        <v>2175.23</v>
      </c>
      <c r="E176" s="1509">
        <v>1.0185667947451373</v>
      </c>
      <c r="F176" s="1509">
        <v>9.4853977868546391</v>
      </c>
      <c r="K176" s="1626">
        <v>42233</v>
      </c>
      <c r="L176" s="1627" t="s">
        <v>2298</v>
      </c>
      <c r="M176" s="1628">
        <v>5.2531000000000001E-2</v>
      </c>
      <c r="N176" s="1629">
        <v>1.0594227104376259</v>
      </c>
      <c r="O176" s="1629">
        <v>1.0594227104376259</v>
      </c>
    </row>
    <row r="177" spans="2:15">
      <c r="B177" s="1508">
        <v>37803</v>
      </c>
      <c r="C177" s="1509">
        <v>285.649</v>
      </c>
      <c r="D177" s="1509">
        <v>2179.58</v>
      </c>
      <c r="E177" s="1509">
        <v>1.0208424747911398</v>
      </c>
      <c r="F177" s="1509">
        <v>9.6830969511110894</v>
      </c>
      <c r="K177" s="1626">
        <v>42234</v>
      </c>
      <c r="L177" s="1627" t="s">
        <v>2298</v>
      </c>
      <c r="M177" s="1628">
        <v>5.2531000000000001E-2</v>
      </c>
      <c r="N177" s="1629">
        <v>1.059979235781646</v>
      </c>
      <c r="O177" s="1629">
        <v>1.059979235781646</v>
      </c>
    </row>
    <row r="178" spans="2:15">
      <c r="B178" s="1508">
        <v>37834</v>
      </c>
      <c r="C178" s="1509">
        <v>286.73500000000001</v>
      </c>
      <c r="D178" s="1509">
        <v>2186.9899999999998</v>
      </c>
      <c r="E178" s="1509">
        <v>1.0177426111342931</v>
      </c>
      <c r="F178" s="1509">
        <v>9.8549003748903132</v>
      </c>
      <c r="K178" s="1626">
        <v>42235</v>
      </c>
      <c r="L178" s="1627" t="s">
        <v>2298</v>
      </c>
      <c r="M178" s="1628">
        <v>5.2531000000000001E-2</v>
      </c>
      <c r="N178" s="1629">
        <v>1.0605360534739945</v>
      </c>
      <c r="O178" s="1629">
        <v>1.0605360534739945</v>
      </c>
    </row>
    <row r="179" spans="2:15">
      <c r="B179" s="1508">
        <v>37865</v>
      </c>
      <c r="C179" s="1509">
        <v>290.12700000000001</v>
      </c>
      <c r="D179" s="1509">
        <v>2204.0500000000002</v>
      </c>
      <c r="E179" s="1509">
        <v>1.0167950902831471</v>
      </c>
      <c r="F179" s="1509">
        <v>10.020414316418016</v>
      </c>
      <c r="K179" s="1626">
        <v>42236</v>
      </c>
      <c r="L179" s="1627" t="s">
        <v>2298</v>
      </c>
      <c r="M179" s="1628">
        <v>5.2531000000000001E-2</v>
      </c>
      <c r="N179" s="1629">
        <v>1.061093163668245</v>
      </c>
      <c r="O179" s="1629">
        <v>1.061093163668245</v>
      </c>
    </row>
    <row r="180" spans="2:15">
      <c r="B180" s="1508">
        <v>37895</v>
      </c>
      <c r="C180" s="1509">
        <v>291.22899999999998</v>
      </c>
      <c r="D180" s="1509">
        <v>2210.44</v>
      </c>
      <c r="E180" s="1509">
        <v>1.0164205992977207</v>
      </c>
      <c r="F180" s="1509">
        <v>10.18495552470506</v>
      </c>
      <c r="K180" s="1626">
        <v>42237</v>
      </c>
      <c r="L180" s="1627" t="s">
        <v>2298</v>
      </c>
      <c r="M180" s="1628">
        <v>5.2531000000000001E-2</v>
      </c>
      <c r="N180" s="1629">
        <v>1.0616505665180516</v>
      </c>
      <c r="O180" s="1629">
        <v>1.0616505665180516</v>
      </c>
    </row>
    <row r="181" spans="2:15">
      <c r="B181" s="1508">
        <v>37926</v>
      </c>
      <c r="C181" s="1509">
        <v>292.65699999999998</v>
      </c>
      <c r="D181" s="1509">
        <v>2217.96</v>
      </c>
      <c r="E181" s="1509">
        <v>1.0134353138584866</v>
      </c>
      <c r="F181" s="1509">
        <v>10.3217935988142</v>
      </c>
      <c r="K181" s="1626">
        <v>42238</v>
      </c>
      <c r="L181" s="1627"/>
      <c r="M181" s="1628">
        <v>0</v>
      </c>
      <c r="N181" s="1629">
        <v>1.0616505665180516</v>
      </c>
      <c r="O181" s="1629">
        <v>1.0616505665180516</v>
      </c>
    </row>
    <row r="182" spans="2:15">
      <c r="B182" s="1508">
        <v>37956</v>
      </c>
      <c r="C182" s="1509">
        <v>294.45499999999998</v>
      </c>
      <c r="D182" s="1509">
        <v>2229.4899999999998</v>
      </c>
      <c r="E182" s="1509">
        <v>1.0137325047762002</v>
      </c>
      <c r="F182" s="1509">
        <v>10.463537678708869</v>
      </c>
      <c r="K182" s="1626">
        <v>42239</v>
      </c>
      <c r="L182" s="1627"/>
      <c r="M182" s="1628">
        <v>0</v>
      </c>
      <c r="N182" s="1629">
        <v>1.0616505665180516</v>
      </c>
      <c r="O182" s="1629">
        <v>1.0616505665180516</v>
      </c>
    </row>
    <row r="183" spans="2:15">
      <c r="B183" s="1508">
        <v>37987</v>
      </c>
      <c r="C183" s="1509">
        <v>297.03899999999999</v>
      </c>
      <c r="D183" s="1509">
        <v>2246.4299999999998</v>
      </c>
      <c r="E183" s="1509">
        <v>1.0126755135884871</v>
      </c>
      <c r="F183" s="1509">
        <v>10.59616839273899</v>
      </c>
      <c r="K183" s="1626">
        <v>42240</v>
      </c>
      <c r="L183" s="1627" t="s">
        <v>2298</v>
      </c>
      <c r="M183" s="1628">
        <v>5.2531000000000001E-2</v>
      </c>
      <c r="N183" s="1629">
        <v>1.0622082621771491</v>
      </c>
      <c r="O183" s="1629">
        <v>1.0622082621771491</v>
      </c>
    </row>
    <row r="184" spans="2:15">
      <c r="B184" s="1508">
        <v>38018</v>
      </c>
      <c r="C184" s="1509">
        <v>299.09699999999998</v>
      </c>
      <c r="D184" s="1509">
        <v>2260.13</v>
      </c>
      <c r="E184" s="1509">
        <v>1.0108439419169848</v>
      </c>
      <c r="F184" s="1509">
        <v>10.711072627332442</v>
      </c>
      <c r="K184" s="1626">
        <v>42241</v>
      </c>
      <c r="L184" s="1627" t="s">
        <v>2298</v>
      </c>
      <c r="M184" s="1628">
        <v>5.2531000000000001E-2</v>
      </c>
      <c r="N184" s="1629">
        <v>1.0627662507993534</v>
      </c>
      <c r="O184" s="1629">
        <v>1.0627662507993534</v>
      </c>
    </row>
    <row r="185" spans="2:15">
      <c r="B185" s="1508">
        <v>38047</v>
      </c>
      <c r="C185" s="1509">
        <v>302.48399999999998</v>
      </c>
      <c r="D185" s="1509">
        <v>2270.75</v>
      </c>
      <c r="E185" s="1509">
        <v>1.0137912342986635</v>
      </c>
      <c r="F185" s="1509">
        <v>10.858791539525985</v>
      </c>
      <c r="K185" s="1626">
        <v>42242</v>
      </c>
      <c r="L185" s="1627" t="s">
        <v>2298</v>
      </c>
      <c r="M185" s="1628">
        <v>5.2531000000000001E-2</v>
      </c>
      <c r="N185" s="1629">
        <v>1.0633245325385607</v>
      </c>
      <c r="O185" s="1629">
        <v>1.0633245325385607</v>
      </c>
    </row>
    <row r="186" spans="2:15">
      <c r="B186" s="1508">
        <v>38078</v>
      </c>
      <c r="C186" s="1509">
        <v>306.15100000000001</v>
      </c>
      <c r="D186" s="1509">
        <v>2279.15</v>
      </c>
      <c r="E186" s="1509">
        <v>1.011818501098614</v>
      </c>
      <c r="F186" s="1509">
        <v>10.987126179265493</v>
      </c>
      <c r="K186" s="1626">
        <v>42243</v>
      </c>
      <c r="L186" s="1627" t="s">
        <v>2298</v>
      </c>
      <c r="M186" s="1628">
        <v>5.2531000000000001E-2</v>
      </c>
      <c r="N186" s="1629">
        <v>1.0638831075487485</v>
      </c>
      <c r="O186" s="1629">
        <v>1.0638831075487485</v>
      </c>
    </row>
    <row r="187" spans="2:15">
      <c r="B187" s="1508">
        <v>38108</v>
      </c>
      <c r="C187" s="1509">
        <v>310.15199999999999</v>
      </c>
      <c r="D187" s="1509">
        <v>2290.77</v>
      </c>
      <c r="E187" s="1509">
        <v>1.0122780474663127</v>
      </c>
      <c r="F187" s="1509">
        <v>11.122026636012881</v>
      </c>
      <c r="K187" s="1626">
        <v>42244</v>
      </c>
      <c r="L187" s="1627" t="s">
        <v>2298</v>
      </c>
      <c r="M187" s="1628">
        <v>5.2531000000000001E-2</v>
      </c>
      <c r="N187" s="1629">
        <v>1.0644419759839749</v>
      </c>
      <c r="O187" s="1629">
        <v>1.0644419759839749</v>
      </c>
    </row>
    <row r="188" spans="2:15">
      <c r="B188" s="1508">
        <v>38139</v>
      </c>
      <c r="C188" s="1509">
        <v>314.41899999999998</v>
      </c>
      <c r="D188" s="1509">
        <v>2307.0300000000002</v>
      </c>
      <c r="E188" s="1509">
        <v>1.0122988884857291</v>
      </c>
      <c r="F188" s="1509">
        <v>11.258815201344513</v>
      </c>
      <c r="K188" s="1626">
        <v>42245</v>
      </c>
      <c r="L188" s="1627"/>
      <c r="M188" s="1628">
        <v>0</v>
      </c>
      <c r="N188" s="1629">
        <v>1.0644419759839749</v>
      </c>
      <c r="O188" s="1629">
        <v>1.0644419759839749</v>
      </c>
    </row>
    <row r="189" spans="2:15">
      <c r="B189" s="1508">
        <v>38169</v>
      </c>
      <c r="C189" s="1509">
        <v>318.53199999999998</v>
      </c>
      <c r="D189" s="1509">
        <v>2328.02</v>
      </c>
      <c r="E189" s="1509">
        <v>1.012868893920805</v>
      </c>
      <c r="F189" s="1509">
        <v>11.403703699844563</v>
      </c>
      <c r="K189" s="1626">
        <v>42246</v>
      </c>
      <c r="L189" s="1627"/>
      <c r="M189" s="1628">
        <v>0</v>
      </c>
      <c r="N189" s="1629">
        <v>1.0644419759839749</v>
      </c>
      <c r="O189" s="1629">
        <v>1.0644419759839749</v>
      </c>
    </row>
    <row r="190" spans="2:15">
      <c r="B190" s="1508">
        <v>38200</v>
      </c>
      <c r="C190" s="1509">
        <v>322.41199999999998</v>
      </c>
      <c r="D190" s="1509">
        <v>2344.08</v>
      </c>
      <c r="E190" s="1509">
        <v>1.0129358583775749</v>
      </c>
      <c r="F190" s="1509">
        <v>11.551220395885579</v>
      </c>
      <c r="K190" s="1626">
        <v>42247</v>
      </c>
      <c r="L190" s="1627" t="s">
        <v>2298</v>
      </c>
      <c r="M190" s="1628">
        <v>5.2531000000000001E-2</v>
      </c>
      <c r="N190" s="1629">
        <v>1.065001137998379</v>
      </c>
      <c r="O190" s="1629">
        <v>1.065001137998379</v>
      </c>
    </row>
    <row r="191" spans="2:15">
      <c r="B191" s="1508">
        <v>38231</v>
      </c>
      <c r="C191" s="1509">
        <v>324.65100000000001</v>
      </c>
      <c r="D191" s="1509">
        <v>2351.8200000000002</v>
      </c>
      <c r="E191" s="1509">
        <v>1.0125132709021758</v>
      </c>
      <c r="F191" s="1509">
        <v>11.695763945950034</v>
      </c>
      <c r="K191" s="1626">
        <v>42248</v>
      </c>
      <c r="L191" s="1627" t="s">
        <v>2298</v>
      </c>
      <c r="M191" s="1628">
        <v>5.2531000000000001E-2</v>
      </c>
      <c r="N191" s="1629">
        <v>1.065560593746181</v>
      </c>
      <c r="O191" s="1629">
        <v>1.065560593746181</v>
      </c>
    </row>
    <row r="192" spans="2:15">
      <c r="B192" s="1508">
        <v>38261</v>
      </c>
      <c r="C192" s="1509">
        <v>325.92500000000001</v>
      </c>
      <c r="D192" s="1509">
        <v>2362.17</v>
      </c>
      <c r="E192" s="1509">
        <v>1.0121322386789289</v>
      </c>
      <c r="F192" s="1509">
        <v>11.837659745674712</v>
      </c>
      <c r="K192" s="1626">
        <v>42249</v>
      </c>
      <c r="L192" s="1627" t="s">
        <v>2298</v>
      </c>
      <c r="M192" s="1628">
        <v>5.2531000000000001E-2</v>
      </c>
      <c r="N192" s="1629">
        <v>1.0661203433816817</v>
      </c>
      <c r="O192" s="1629">
        <v>1.0661203433816817</v>
      </c>
    </row>
    <row r="193" spans="2:15">
      <c r="B193" s="1508">
        <v>38292</v>
      </c>
      <c r="C193" s="1509">
        <v>328.58800000000002</v>
      </c>
      <c r="D193" s="1509">
        <v>2378.4699999999998</v>
      </c>
      <c r="E193" s="1509">
        <v>1.0125098562166484</v>
      </c>
      <c r="F193" s="1509">
        <v>11.985747167034708</v>
      </c>
      <c r="K193" s="1626">
        <v>42250</v>
      </c>
      <c r="L193" s="1627" t="s">
        <v>2298</v>
      </c>
      <c r="M193" s="1628">
        <v>5.2531000000000001E-2</v>
      </c>
      <c r="N193" s="1629">
        <v>1.0666803870592636</v>
      </c>
      <c r="O193" s="1629">
        <v>1.0666803870592636</v>
      </c>
    </row>
    <row r="194" spans="2:15">
      <c r="B194" s="1508">
        <v>38322</v>
      </c>
      <c r="C194" s="1509">
        <v>331.005</v>
      </c>
      <c r="D194" s="1509">
        <v>2398.92</v>
      </c>
      <c r="E194" s="1509">
        <v>1.0148282315457626</v>
      </c>
      <c r="F194" s="1509">
        <v>12.163474601276468</v>
      </c>
      <c r="K194" s="1626">
        <v>42251</v>
      </c>
      <c r="L194" s="1627" t="s">
        <v>2298</v>
      </c>
      <c r="M194" s="1628">
        <v>5.2531000000000001E-2</v>
      </c>
      <c r="N194" s="1629">
        <v>1.0672407249333897</v>
      </c>
      <c r="O194" s="1629">
        <v>1.0672407249333897</v>
      </c>
    </row>
    <row r="195" spans="2:15">
      <c r="B195" s="1508">
        <v>38353</v>
      </c>
      <c r="C195" s="1509">
        <v>332.298</v>
      </c>
      <c r="D195" s="1509">
        <v>2412.83</v>
      </c>
      <c r="E195" s="1509">
        <v>1.0138388229391033</v>
      </c>
      <c r="F195" s="1509">
        <v>12.331802772607814</v>
      </c>
      <c r="K195" s="1626">
        <v>42252</v>
      </c>
      <c r="L195" s="1627"/>
      <c r="M195" s="1628">
        <v>0</v>
      </c>
      <c r="N195" s="1629">
        <v>1.0672407249333897</v>
      </c>
      <c r="O195" s="1629">
        <v>1.0672407249333897</v>
      </c>
    </row>
    <row r="196" spans="2:15">
      <c r="B196" s="1508">
        <v>38384</v>
      </c>
      <c r="C196" s="1509">
        <v>333.28800000000001</v>
      </c>
      <c r="D196" s="1509">
        <v>2427.0700000000002</v>
      </c>
      <c r="E196" s="1509">
        <v>1.0121818576713373</v>
      </c>
      <c r="F196" s="1509">
        <v>12.482027038814724</v>
      </c>
      <c r="K196" s="1626">
        <v>42253</v>
      </c>
      <c r="L196" s="1627"/>
      <c r="M196" s="1628">
        <v>0</v>
      </c>
      <c r="N196" s="1629">
        <v>1.0672407249333897</v>
      </c>
      <c r="O196" s="1629">
        <v>1.0672407249333897</v>
      </c>
    </row>
    <row r="197" spans="2:15">
      <c r="B197" s="1508">
        <v>38412</v>
      </c>
      <c r="C197" s="1509">
        <v>336.12299999999999</v>
      </c>
      <c r="D197" s="1509">
        <v>2441.87</v>
      </c>
      <c r="E197" s="1509">
        <v>1.0152817807540921</v>
      </c>
      <c r="F197" s="1509">
        <v>12.672774639388541</v>
      </c>
      <c r="G197" s="67"/>
      <c r="K197" s="1626">
        <v>42254</v>
      </c>
      <c r="L197" s="1627"/>
      <c r="M197" s="1628">
        <v>0</v>
      </c>
      <c r="N197" s="1629">
        <v>1.0672407249333897</v>
      </c>
      <c r="O197" s="1629">
        <v>1.0672407249333897</v>
      </c>
    </row>
    <row r="198" spans="2:15">
      <c r="B198" s="1508">
        <v>38443</v>
      </c>
      <c r="C198" s="1509">
        <v>339.03</v>
      </c>
      <c r="D198" s="1509">
        <v>2463.11</v>
      </c>
      <c r="E198" s="1509">
        <v>1.0141152901477553</v>
      </c>
      <c r="F198" s="1509">
        <v>12.851654530400625</v>
      </c>
      <c r="K198" s="1626">
        <v>42255</v>
      </c>
      <c r="L198" s="1627" t="s">
        <v>2298</v>
      </c>
      <c r="M198" s="1628">
        <v>5.2531000000000001E-2</v>
      </c>
      <c r="N198" s="1629">
        <v>1.0678013571586045</v>
      </c>
      <c r="O198" s="1629">
        <v>1.0678013571586045</v>
      </c>
    </row>
    <row r="199" spans="2:15">
      <c r="B199" s="1508">
        <v>38473</v>
      </c>
      <c r="C199" s="1509">
        <v>338.29899999999998</v>
      </c>
      <c r="D199" s="1509">
        <v>2475.1799999999998</v>
      </c>
      <c r="E199" s="1509">
        <v>1.0150306502044895</v>
      </c>
      <c r="F199" s="1509">
        <v>13.044823254196018</v>
      </c>
      <c r="K199" s="1626">
        <v>42256</v>
      </c>
      <c r="L199" s="1627" t="s">
        <v>2298</v>
      </c>
      <c r="M199" s="1628">
        <v>5.2531000000000001E-2</v>
      </c>
      <c r="N199" s="1629">
        <v>1.0683622838895335</v>
      </c>
      <c r="O199" s="1629">
        <v>1.0683622838895335</v>
      </c>
    </row>
    <row r="200" spans="2:15">
      <c r="B200" s="1508">
        <v>38504</v>
      </c>
      <c r="C200" s="1509">
        <v>336.80099999999999</v>
      </c>
      <c r="D200" s="1509">
        <v>2474.6799999999998</v>
      </c>
      <c r="E200" s="1509">
        <v>1.0158560276185216</v>
      </c>
      <c r="F200" s="1509">
        <v>13.251662331993282</v>
      </c>
      <c r="K200" s="1626">
        <v>42257</v>
      </c>
      <c r="L200" s="1627" t="s">
        <v>2298</v>
      </c>
      <c r="M200" s="1628">
        <v>5.2531000000000001E-2</v>
      </c>
      <c r="N200" s="1629">
        <v>1.0689235052808834</v>
      </c>
      <c r="O200" s="1629">
        <v>1.0689235052808834</v>
      </c>
    </row>
    <row r="201" spans="2:15">
      <c r="B201" s="1508">
        <v>38534</v>
      </c>
      <c r="C201" s="1509">
        <v>335.66300000000001</v>
      </c>
      <c r="D201" s="1509">
        <v>2480.87</v>
      </c>
      <c r="E201" s="1509">
        <v>1.0151134516871545</v>
      </c>
      <c r="F201" s="1509">
        <v>13.451940690422347</v>
      </c>
      <c r="K201" s="1626">
        <v>42258</v>
      </c>
      <c r="L201" s="1627" t="s">
        <v>2298</v>
      </c>
      <c r="M201" s="1628">
        <v>5.2531000000000001E-2</v>
      </c>
      <c r="N201" s="1629">
        <v>1.0694850214874425</v>
      </c>
      <c r="O201" s="1629">
        <v>1.0694850214874425</v>
      </c>
    </row>
    <row r="202" spans="2:15">
      <c r="B202" s="1508">
        <v>38565</v>
      </c>
      <c r="C202" s="1509">
        <v>333.47399999999999</v>
      </c>
      <c r="D202" s="1509">
        <v>2485.09</v>
      </c>
      <c r="E202" s="1509">
        <v>1.0165848332092207</v>
      </c>
      <c r="F202" s="1509">
        <v>13.675038883113331</v>
      </c>
      <c r="K202" s="1626">
        <v>42259</v>
      </c>
      <c r="L202" s="1627"/>
      <c r="M202" s="1628">
        <v>0</v>
      </c>
      <c r="N202" s="1629">
        <v>1.0694850214874425</v>
      </c>
      <c r="O202" s="1629">
        <v>1.0694850214874425</v>
      </c>
    </row>
    <row r="203" spans="2:15">
      <c r="B203" s="1508">
        <v>38596</v>
      </c>
      <c r="C203" s="1509">
        <v>331.69</v>
      </c>
      <c r="D203" s="1509">
        <v>2493.79</v>
      </c>
      <c r="E203" s="1509">
        <v>1.0150313602253485</v>
      </c>
      <c r="F203" s="1509">
        <v>13.880593318661054</v>
      </c>
      <c r="K203" s="1626">
        <v>42260</v>
      </c>
      <c r="L203" s="1627"/>
      <c r="M203" s="1628">
        <v>0</v>
      </c>
      <c r="N203" s="1629">
        <v>1.0694850214874425</v>
      </c>
      <c r="O203" s="1629">
        <v>1.0694850214874425</v>
      </c>
    </row>
    <row r="204" spans="2:15">
      <c r="B204" s="1508">
        <v>38626</v>
      </c>
      <c r="C204" s="1509">
        <v>333.69400000000002</v>
      </c>
      <c r="D204" s="1509">
        <v>2512.4899999999998</v>
      </c>
      <c r="E204" s="1509">
        <v>1.0140716431638075</v>
      </c>
      <c r="F204" s="1509">
        <v>14.075916074743184</v>
      </c>
      <c r="K204" s="1626">
        <v>42261</v>
      </c>
      <c r="L204" s="1627" t="s">
        <v>2298</v>
      </c>
      <c r="M204" s="1628">
        <v>5.2531000000000001E-2</v>
      </c>
      <c r="N204" s="1629">
        <v>1.0700468326640802</v>
      </c>
      <c r="O204" s="1629">
        <v>1.0700468326640802</v>
      </c>
    </row>
    <row r="205" spans="2:15">
      <c r="B205" s="1508">
        <v>38657</v>
      </c>
      <c r="C205" s="1509">
        <v>335.03300000000002</v>
      </c>
      <c r="D205" s="1509">
        <v>2526.31</v>
      </c>
      <c r="E205" s="1509">
        <v>1.0138104099310956</v>
      </c>
      <c r="F205" s="1509">
        <v>14.270310245891086</v>
      </c>
      <c r="K205" s="1626">
        <v>42262</v>
      </c>
      <c r="L205" s="1627" t="s">
        <v>2298</v>
      </c>
      <c r="M205" s="1628">
        <v>5.2531000000000001E-2</v>
      </c>
      <c r="N205" s="1629">
        <v>1.0706089389657469</v>
      </c>
      <c r="O205" s="1629">
        <v>1.0706089389657469</v>
      </c>
    </row>
    <row r="206" spans="2:15">
      <c r="B206" s="1508">
        <v>38687</v>
      </c>
      <c r="C206" s="1509">
        <v>335.00599999999997</v>
      </c>
      <c r="D206" s="1509">
        <v>2535.4</v>
      </c>
      <c r="E206" s="1509">
        <v>1.0147357208231795</v>
      </c>
      <c r="F206" s="1509">
        <v>14.480593553734694</v>
      </c>
      <c r="K206" s="1626">
        <v>42263</v>
      </c>
      <c r="L206" s="1627" t="s">
        <v>2298</v>
      </c>
      <c r="M206" s="1628">
        <v>5.2531000000000001E-2</v>
      </c>
      <c r="N206" s="1629">
        <v>1.071171340547475</v>
      </c>
      <c r="O206" s="1629">
        <v>1.071171340547475</v>
      </c>
    </row>
    <row r="207" spans="2:15">
      <c r="B207" s="1508">
        <v>38718</v>
      </c>
      <c r="C207" s="1509">
        <v>338.08300000000003</v>
      </c>
      <c r="D207" s="1509">
        <v>2550.36</v>
      </c>
      <c r="E207" s="1509">
        <v>1.0142931741687891</v>
      </c>
      <c r="F207" s="1509">
        <v>14.687567199465668</v>
      </c>
      <c r="K207" s="1626">
        <v>42264</v>
      </c>
      <c r="L207" s="1627" t="s">
        <v>2298</v>
      </c>
      <c r="M207" s="1628">
        <v>5.2531000000000001E-2</v>
      </c>
      <c r="N207" s="1629">
        <v>1.071734037564378</v>
      </c>
      <c r="O207" s="1629">
        <v>1.071734037564378</v>
      </c>
    </row>
    <row r="208" spans="2:15">
      <c r="B208" s="1508">
        <v>38749</v>
      </c>
      <c r="C208" s="1509">
        <v>338.12799999999999</v>
      </c>
      <c r="D208" s="1509">
        <v>2560.8200000000002</v>
      </c>
      <c r="E208" s="1509">
        <v>1.0114506306443078</v>
      </c>
      <c r="F208" s="1509">
        <v>14.855749106530201</v>
      </c>
      <c r="K208" s="1626">
        <v>42265</v>
      </c>
      <c r="L208" s="1627" t="s">
        <v>2298</v>
      </c>
      <c r="M208" s="1628">
        <v>5.2531000000000001E-2</v>
      </c>
      <c r="N208" s="1629">
        <v>1.072297030171651</v>
      </c>
      <c r="O208" s="1629">
        <v>1.072297030171651</v>
      </c>
    </row>
    <row r="209" spans="2:15">
      <c r="B209" s="1508">
        <v>38777</v>
      </c>
      <c r="C209" s="1509">
        <v>337.339</v>
      </c>
      <c r="D209" s="1509">
        <v>2571.83</v>
      </c>
      <c r="E209" s="1509">
        <v>1.0142230199009199</v>
      </c>
      <c r="F209" s="1509">
        <v>15.067042721715453</v>
      </c>
      <c r="K209" s="1626">
        <v>42266</v>
      </c>
      <c r="L209" s="1627"/>
      <c r="M209" s="1628">
        <v>0</v>
      </c>
      <c r="N209" s="1629">
        <v>1.072297030171651</v>
      </c>
      <c r="O209" s="1629">
        <v>1.072297030171651</v>
      </c>
    </row>
    <row r="210" spans="2:15">
      <c r="B210" s="1508">
        <v>38808</v>
      </c>
      <c r="C210" s="1509">
        <v>335.92099999999999</v>
      </c>
      <c r="D210" s="1509">
        <v>2577.23</v>
      </c>
      <c r="E210" s="1509">
        <v>1.0107787821533378</v>
      </c>
      <c r="F210" s="1509">
        <v>15.229447092907858</v>
      </c>
      <c r="K210" s="1626">
        <v>42267</v>
      </c>
      <c r="L210" s="1627"/>
      <c r="M210" s="1628">
        <v>0</v>
      </c>
      <c r="N210" s="1629">
        <v>1.072297030171651</v>
      </c>
      <c r="O210" s="1629">
        <v>1.072297030171651</v>
      </c>
    </row>
    <row r="211" spans="2:15">
      <c r="B211" s="1508">
        <v>38838</v>
      </c>
      <c r="C211" s="1509">
        <v>337.185</v>
      </c>
      <c r="D211" s="1509">
        <v>2579.81</v>
      </c>
      <c r="E211" s="1509">
        <v>1.0128136552027243</v>
      </c>
      <c r="F211" s="1509">
        <v>15.424591976884511</v>
      </c>
      <c r="K211" s="1626">
        <v>42268</v>
      </c>
      <c r="L211" s="1627" t="s">
        <v>2298</v>
      </c>
      <c r="M211" s="1628">
        <v>5.2531000000000001E-2</v>
      </c>
      <c r="N211" s="1629">
        <v>1.0728603185245704</v>
      </c>
      <c r="O211" s="1629">
        <v>1.0728603185245704</v>
      </c>
    </row>
    <row r="212" spans="2:15">
      <c r="B212" s="1508">
        <v>38869</v>
      </c>
      <c r="C212" s="1509">
        <v>339.71199999999999</v>
      </c>
      <c r="D212" s="1509">
        <v>2574.39</v>
      </c>
      <c r="E212" s="1509">
        <v>1.0118439390435949</v>
      </c>
      <c r="F212" s="1509">
        <v>15.607279904031055</v>
      </c>
      <c r="K212" s="1626">
        <v>42269</v>
      </c>
      <c r="L212" s="1627" t="s">
        <v>2298</v>
      </c>
      <c r="M212" s="1628">
        <v>5.2531000000000001E-2</v>
      </c>
      <c r="N212" s="1629">
        <v>1.0734239027784946</v>
      </c>
      <c r="O212" s="1629">
        <v>1.0734239027784946</v>
      </c>
    </row>
    <row r="213" spans="2:15">
      <c r="B213" s="1508">
        <v>38899</v>
      </c>
      <c r="C213" s="1509">
        <v>340.31200000000001</v>
      </c>
      <c r="D213" s="1509">
        <v>2579.2800000000002</v>
      </c>
      <c r="E213" s="1509">
        <v>1.0116996590630269</v>
      </c>
      <c r="F213" s="1509">
        <v>15.78987975780945</v>
      </c>
      <c r="K213" s="1626">
        <v>42270</v>
      </c>
      <c r="L213" s="1627" t="s">
        <v>2298</v>
      </c>
      <c r="M213" s="1628">
        <v>5.2531000000000001E-2</v>
      </c>
      <c r="N213" s="1629">
        <v>1.0739877830888631</v>
      </c>
      <c r="O213" s="1629">
        <v>1.0739877830888631</v>
      </c>
    </row>
    <row r="214" spans="2:15">
      <c r="B214" s="1508">
        <v>38930</v>
      </c>
      <c r="C214" s="1509">
        <v>341.57400000000001</v>
      </c>
      <c r="D214" s="1509">
        <v>2580.5700000000002</v>
      </c>
      <c r="E214" s="1509">
        <v>1.012562646303421</v>
      </c>
      <c r="F214" s="1509">
        <v>15.988242432380357</v>
      </c>
      <c r="K214" s="1626">
        <v>42271</v>
      </c>
      <c r="L214" s="1627" t="s">
        <v>2298</v>
      </c>
      <c r="M214" s="1628">
        <v>5.2531000000000001E-2</v>
      </c>
      <c r="N214" s="1629">
        <v>1.0745519596111974</v>
      </c>
      <c r="O214" s="1629">
        <v>1.0745519596111974</v>
      </c>
    </row>
    <row r="215" spans="2:15" ht="13.5" customHeight="1">
      <c r="B215" s="1508">
        <v>38961</v>
      </c>
      <c r="C215" s="1509">
        <v>342.56099999999998</v>
      </c>
      <c r="D215" s="1509">
        <v>2585.9899999999998</v>
      </c>
      <c r="E215" s="1509">
        <v>1.0105730983323107</v>
      </c>
      <c r="F215" s="1509">
        <v>16.157287691778738</v>
      </c>
      <c r="K215" s="1626">
        <v>42272</v>
      </c>
      <c r="L215" s="1627" t="s">
        <v>2298</v>
      </c>
      <c r="M215" s="1628">
        <v>5.2531000000000001E-2</v>
      </c>
      <c r="N215" s="1629">
        <v>1.0751164325011009</v>
      </c>
      <c r="O215" s="1629">
        <v>1.0751164325011009</v>
      </c>
    </row>
    <row r="216" spans="2:15">
      <c r="B216" s="1508">
        <v>38991</v>
      </c>
      <c r="C216" s="1509">
        <v>344.15499999999997</v>
      </c>
      <c r="D216" s="1509">
        <v>2594.52</v>
      </c>
      <c r="E216" s="1509">
        <v>1.0109424441222723</v>
      </c>
      <c r="F216" s="1509">
        <v>16.334087909513503</v>
      </c>
      <c r="K216" s="1626">
        <v>42273</v>
      </c>
      <c r="L216" s="1627"/>
      <c r="M216" s="1628">
        <v>0</v>
      </c>
      <c r="N216" s="1629">
        <v>1.0751164325011009</v>
      </c>
      <c r="O216" s="1629">
        <v>1.0751164325011009</v>
      </c>
    </row>
    <row r="217" spans="2:15">
      <c r="B217" s="1508">
        <v>39022</v>
      </c>
      <c r="C217" s="1509">
        <v>346.74599999999998</v>
      </c>
      <c r="D217" s="1509">
        <v>2602.56</v>
      </c>
      <c r="E217" s="1509">
        <v>1.0102060517349183</v>
      </c>
      <c r="F217" s="1509">
        <v>16.500794455760701</v>
      </c>
      <c r="K217" s="1626">
        <v>42274</v>
      </c>
      <c r="L217" s="1627"/>
      <c r="M217" s="1628">
        <v>0</v>
      </c>
      <c r="N217" s="1629">
        <v>1.0751164325011009</v>
      </c>
      <c r="O217" s="1629">
        <v>1.0751164325011009</v>
      </c>
    </row>
    <row r="218" spans="2:15">
      <c r="B218" s="1508">
        <v>39052</v>
      </c>
      <c r="C218" s="1509">
        <v>347.84199999999998</v>
      </c>
      <c r="D218" s="1509">
        <v>2615.0500000000002</v>
      </c>
      <c r="E218" s="1509">
        <v>1.0098788606332807</v>
      </c>
      <c r="F218" s="1509">
        <v>16.663803504527571</v>
      </c>
      <c r="K218" s="1626">
        <v>42275</v>
      </c>
      <c r="L218" s="1627" t="s">
        <v>2298</v>
      </c>
      <c r="M218" s="1628">
        <v>5.2531000000000001E-2</v>
      </c>
      <c r="N218" s="1629">
        <v>1.0756812019142581</v>
      </c>
      <c r="O218" s="1629">
        <v>1.0756812019142581</v>
      </c>
    </row>
    <row r="219" spans="2:15">
      <c r="B219" s="1508">
        <v>39083</v>
      </c>
      <c r="C219" s="1509">
        <v>349.59300000000002</v>
      </c>
      <c r="D219" s="1509">
        <v>2626.56</v>
      </c>
      <c r="E219" s="1509">
        <v>1.0108280266006449</v>
      </c>
      <c r="F219" s="1509">
        <v>16.844239612142516</v>
      </c>
      <c r="K219" s="1626">
        <v>42276</v>
      </c>
      <c r="L219" s="1627" t="s">
        <v>2298</v>
      </c>
      <c r="M219" s="1628">
        <v>5.2531000000000001E-2</v>
      </c>
      <c r="N219" s="1629">
        <v>1.0762462680064357</v>
      </c>
      <c r="O219" s="1629">
        <v>1.0762462680064357</v>
      </c>
    </row>
    <row r="220" spans="2:15">
      <c r="B220" s="1508">
        <v>39114</v>
      </c>
      <c r="C220" s="1509">
        <v>350.524</v>
      </c>
      <c r="D220" s="1509">
        <v>2638.12</v>
      </c>
      <c r="E220" s="1509">
        <v>1.008724844950982</v>
      </c>
      <c r="F220" s="1509">
        <v>16.991202991075649</v>
      </c>
      <c r="K220" s="1626">
        <v>42277</v>
      </c>
      <c r="L220" s="1627" t="s">
        <v>2298</v>
      </c>
      <c r="M220" s="1628">
        <v>5.2531000000000001E-2</v>
      </c>
      <c r="N220" s="1629">
        <v>1.0768116309334823</v>
      </c>
      <c r="O220" s="1629">
        <v>1.0768116309334823</v>
      </c>
    </row>
    <row r="221" spans="2:15">
      <c r="B221" s="1508">
        <v>39142</v>
      </c>
      <c r="C221" s="1509">
        <v>351.71699999999998</v>
      </c>
      <c r="D221" s="1509">
        <v>2647.88</v>
      </c>
      <c r="E221" s="1509">
        <v>1.0105222327764332</v>
      </c>
      <c r="F221" s="1509">
        <v>17.169988384099376</v>
      </c>
      <c r="K221" s="1626">
        <v>42278</v>
      </c>
      <c r="L221" s="1627" t="s">
        <v>2298</v>
      </c>
      <c r="M221" s="1628">
        <v>5.2531000000000001E-2</v>
      </c>
      <c r="N221" s="1629">
        <v>1.0773772908513279</v>
      </c>
      <c r="O221" s="1629">
        <v>1.0773772908513279</v>
      </c>
    </row>
    <row r="222" spans="2:15">
      <c r="B222" s="1508">
        <v>39173</v>
      </c>
      <c r="C222" s="1509">
        <v>351.86900000000003</v>
      </c>
      <c r="D222" s="1509">
        <v>2654.5</v>
      </c>
      <c r="E222" s="1509">
        <v>1.0094482340398951</v>
      </c>
      <c r="F222" s="1509">
        <v>17.332214452814629</v>
      </c>
      <c r="K222" s="1626">
        <v>42279</v>
      </c>
      <c r="L222" s="1627" t="s">
        <v>2298</v>
      </c>
      <c r="M222" s="1628">
        <v>5.2531000000000001E-2</v>
      </c>
      <c r="N222" s="1629">
        <v>1.0779432479159849</v>
      </c>
      <c r="O222" s="1629">
        <v>1.0779432479159849</v>
      </c>
    </row>
    <row r="223" spans="2:15">
      <c r="B223" s="1508">
        <v>39203</v>
      </c>
      <c r="C223" s="1509">
        <v>352.02</v>
      </c>
      <c r="D223" s="1509">
        <v>2661.93</v>
      </c>
      <c r="E223" s="1509">
        <v>1.0102807696314628</v>
      </c>
      <c r="F223" s="1509">
        <v>17.510402956807127</v>
      </c>
      <c r="K223" s="1626">
        <v>42280</v>
      </c>
      <c r="L223" s="1627"/>
      <c r="M223" s="1628">
        <v>0</v>
      </c>
      <c r="N223" s="1629">
        <v>1.0779432479159849</v>
      </c>
      <c r="O223" s="1629">
        <v>1.0779432479159849</v>
      </c>
    </row>
    <row r="224" spans="2:15">
      <c r="B224" s="1508">
        <v>39234</v>
      </c>
      <c r="C224" s="1509">
        <v>352.93599999999998</v>
      </c>
      <c r="D224" s="1509">
        <v>2669.38</v>
      </c>
      <c r="E224" s="1509">
        <v>1.0090562894719608</v>
      </c>
      <c r="F224" s="1509">
        <v>17.668982234754651</v>
      </c>
      <c r="K224" s="1626">
        <v>42281</v>
      </c>
      <c r="L224" s="1627"/>
      <c r="M224" s="1628">
        <v>0</v>
      </c>
      <c r="N224" s="1629">
        <v>1.0779432479159849</v>
      </c>
      <c r="O224" s="1629">
        <v>1.0779432479159849</v>
      </c>
    </row>
    <row r="225" spans="2:15">
      <c r="B225" s="1508">
        <v>39264</v>
      </c>
      <c r="C225" s="1509">
        <v>353.92</v>
      </c>
      <c r="D225" s="1509">
        <v>2675.79</v>
      </c>
      <c r="E225" s="1509">
        <v>1.0097263257608722</v>
      </c>
      <c r="F225" s="1509">
        <v>17.840836511832936</v>
      </c>
      <c r="K225" s="1626">
        <v>42282</v>
      </c>
      <c r="L225" s="1627" t="s">
        <v>2298</v>
      </c>
      <c r="M225" s="1628">
        <v>5.2531000000000001E-2</v>
      </c>
      <c r="N225" s="1629">
        <v>1.0785095022835478</v>
      </c>
      <c r="O225" s="1629">
        <v>1.0785095022835478</v>
      </c>
    </row>
    <row r="226" spans="2:15">
      <c r="B226" s="1508">
        <v>39295</v>
      </c>
      <c r="C226" s="1509">
        <v>357.404</v>
      </c>
      <c r="D226" s="1509">
        <v>2688.37</v>
      </c>
      <c r="E226" s="1509">
        <v>1.0099263513682912</v>
      </c>
      <c r="F226" s="1509">
        <v>18.017930923753628</v>
      </c>
      <c r="K226" s="1626">
        <v>42283</v>
      </c>
      <c r="L226" s="1627" t="s">
        <v>2298</v>
      </c>
      <c r="M226" s="1628">
        <v>5.2531000000000001E-2</v>
      </c>
      <c r="N226" s="1629">
        <v>1.0790760541101925</v>
      </c>
      <c r="O226" s="1629">
        <v>1.0790760541101925</v>
      </c>
    </row>
    <row r="227" spans="2:15">
      <c r="B227" s="1508">
        <v>39326</v>
      </c>
      <c r="C227" s="1509">
        <v>361.99700000000001</v>
      </c>
      <c r="D227" s="1509">
        <v>2693.21</v>
      </c>
      <c r="E227" s="1509">
        <v>1.0080496134415582</v>
      </c>
      <c r="F227" s="1509">
        <v>18.162968302706542</v>
      </c>
      <c r="K227" s="1626">
        <v>42284</v>
      </c>
      <c r="L227" s="1627" t="s">
        <v>2298</v>
      </c>
      <c r="M227" s="1628">
        <v>5.2531000000000001E-2</v>
      </c>
      <c r="N227" s="1629">
        <v>1.0796429035521771</v>
      </c>
      <c r="O227" s="1629">
        <v>1.0796429035521771</v>
      </c>
    </row>
    <row r="228" spans="2:15">
      <c r="B228" s="1508">
        <v>39356</v>
      </c>
      <c r="C228" s="1509">
        <v>365.79399999999998</v>
      </c>
      <c r="D228" s="1509">
        <v>2701.29</v>
      </c>
      <c r="E228" s="1509">
        <v>1.0092949262855189</v>
      </c>
      <c r="F228" s="1509">
        <v>18.331791754206414</v>
      </c>
      <c r="K228" s="1626">
        <v>42285</v>
      </c>
      <c r="L228" s="1627" t="s">
        <v>2298</v>
      </c>
      <c r="M228" s="1628">
        <v>5.2531000000000001E-2</v>
      </c>
      <c r="N228" s="1629">
        <v>1.0802100507658421</v>
      </c>
      <c r="O228" s="1629">
        <v>1.0802100507658421</v>
      </c>
    </row>
    <row r="229" spans="2:15">
      <c r="B229" s="1508">
        <v>39387</v>
      </c>
      <c r="C229" s="1509">
        <v>368.334</v>
      </c>
      <c r="D229" s="1509">
        <v>2711.55</v>
      </c>
      <c r="E229" s="1509">
        <v>1.0084467048252397</v>
      </c>
      <c r="F229" s="1509">
        <v>18.486634988071959</v>
      </c>
      <c r="K229" s="1626">
        <v>42286</v>
      </c>
      <c r="L229" s="1627" t="s">
        <v>2298</v>
      </c>
      <c r="M229" s="1628">
        <v>5.2531000000000001E-2</v>
      </c>
      <c r="N229" s="1629">
        <v>1.08077749590761</v>
      </c>
      <c r="O229" s="1629">
        <v>1.08077749590761</v>
      </c>
    </row>
    <row r="230" spans="2:15">
      <c r="B230" s="1508">
        <v>39417</v>
      </c>
      <c r="C230" s="1509">
        <v>374.815</v>
      </c>
      <c r="D230" s="1509">
        <v>2731.62</v>
      </c>
      <c r="E230" s="1509">
        <v>1.0084467048252395</v>
      </c>
      <c r="F230" s="1509">
        <v>18.642786137028146</v>
      </c>
      <c r="K230" s="1626">
        <v>42287</v>
      </c>
      <c r="L230" s="1627"/>
      <c r="M230" s="1628">
        <v>0</v>
      </c>
      <c r="N230" s="1629">
        <v>1.08077749590761</v>
      </c>
      <c r="O230" s="1629">
        <v>1.08077749590761</v>
      </c>
    </row>
    <row r="231" spans="2:15">
      <c r="B231" s="1508">
        <v>39448</v>
      </c>
      <c r="C231" s="1509">
        <v>378.9</v>
      </c>
      <c r="D231" s="1509">
        <v>2746.37</v>
      </c>
      <c r="E231" s="1509">
        <v>1.0092938367057227</v>
      </c>
      <c r="F231" s="1509">
        <v>18.816049147125398</v>
      </c>
      <c r="K231" s="1626">
        <v>42288</v>
      </c>
      <c r="L231" s="1627"/>
      <c r="M231" s="1628">
        <v>0</v>
      </c>
      <c r="N231" s="1629">
        <v>1.08077749590761</v>
      </c>
      <c r="O231" s="1629">
        <v>1.08077749590761</v>
      </c>
    </row>
    <row r="232" spans="2:15">
      <c r="B232" s="1508">
        <v>39479</v>
      </c>
      <c r="C232" s="1509">
        <v>380.90600000000001</v>
      </c>
      <c r="D232" s="1509">
        <v>2759.83</v>
      </c>
      <c r="E232" s="1509">
        <v>1.0080223173492819</v>
      </c>
      <c r="F232" s="1509">
        <v>18.966997464643324</v>
      </c>
      <c r="K232" s="1626">
        <v>42289</v>
      </c>
      <c r="L232" s="1627"/>
      <c r="M232" s="1628">
        <v>0</v>
      </c>
      <c r="N232" s="1629">
        <v>1.08077749590761</v>
      </c>
      <c r="O232" s="1629">
        <v>1.08077749590761</v>
      </c>
    </row>
    <row r="233" spans="2:15">
      <c r="B233" s="1508">
        <v>39508</v>
      </c>
      <c r="C233" s="1509">
        <v>383.73099999999999</v>
      </c>
      <c r="D233" s="1509">
        <v>2773.08</v>
      </c>
      <c r="E233" s="1509">
        <v>1.0084459790490408</v>
      </c>
      <c r="F233" s="1509">
        <v>19.12719232785291</v>
      </c>
      <c r="K233" s="1626">
        <v>42290</v>
      </c>
      <c r="L233" s="1627" t="s">
        <v>2298</v>
      </c>
      <c r="M233" s="1628">
        <v>5.2531000000000001E-2</v>
      </c>
      <c r="N233" s="1629">
        <v>1.0813452391339853</v>
      </c>
      <c r="O233" s="1629">
        <v>1.0813452391339853</v>
      </c>
    </row>
    <row r="234" spans="2:15">
      <c r="B234" s="1508">
        <v>39539</v>
      </c>
      <c r="C234" s="1509">
        <v>386.38</v>
      </c>
      <c r="D234" s="1509">
        <v>2788.33</v>
      </c>
      <c r="E234" s="1509">
        <v>1.0090142575644072</v>
      </c>
      <c r="F234" s="1509">
        <v>19.299609765980129</v>
      </c>
      <c r="K234" s="1626">
        <v>42291</v>
      </c>
      <c r="L234" s="1627" t="s">
        <v>2298</v>
      </c>
      <c r="M234" s="1628">
        <v>5.2531000000000001E-2</v>
      </c>
      <c r="N234" s="1629">
        <v>1.0819132806015548</v>
      </c>
      <c r="O234" s="1629">
        <v>1.0819132806015548</v>
      </c>
    </row>
    <row r="235" spans="2:15">
      <c r="B235" s="1508">
        <v>39569</v>
      </c>
      <c r="C235" s="1509">
        <v>392.59199999999998</v>
      </c>
      <c r="D235" s="1509">
        <v>2810.36</v>
      </c>
      <c r="E235" s="1509">
        <v>1.0087678287685495</v>
      </c>
      <c r="F235" s="1509">
        <v>19.46882543970807</v>
      </c>
      <c r="K235" s="1626">
        <v>42292</v>
      </c>
      <c r="L235" s="1627" t="s">
        <v>2298</v>
      </c>
      <c r="M235" s="1628">
        <v>5.2531000000000001E-2</v>
      </c>
      <c r="N235" s="1629">
        <v>1.0824816204669876</v>
      </c>
      <c r="O235" s="1629">
        <v>1.0824816204669876</v>
      </c>
    </row>
    <row r="236" spans="2:15">
      <c r="B236" s="1508">
        <v>39600</v>
      </c>
      <c r="C236" s="1509">
        <v>400.38200000000001</v>
      </c>
      <c r="D236" s="1509">
        <v>2831.16</v>
      </c>
      <c r="E236" s="1509">
        <v>1.0095559246898425</v>
      </c>
      <c r="F236" s="1509">
        <v>19.654868069409609</v>
      </c>
      <c r="K236" s="1626">
        <v>42293</v>
      </c>
      <c r="L236" s="1627" t="s">
        <v>2298</v>
      </c>
      <c r="M236" s="1628">
        <v>5.2531000000000001E-2</v>
      </c>
      <c r="N236" s="1629">
        <v>1.0830502588870352</v>
      </c>
      <c r="O236" s="1629">
        <v>1.0830502588870352</v>
      </c>
    </row>
    <row r="237" spans="2:15">
      <c r="B237" s="1508">
        <v>39630</v>
      </c>
      <c r="C237" s="1509">
        <v>407.44600000000003</v>
      </c>
      <c r="D237" s="1509">
        <v>2846.16</v>
      </c>
      <c r="E237" s="1509">
        <v>1.0106967121371</v>
      </c>
      <c r="F237" s="1509">
        <v>19.865110535240763</v>
      </c>
      <c r="K237" s="1626">
        <v>42294</v>
      </c>
      <c r="L237" s="1627"/>
      <c r="M237" s="1628">
        <v>0</v>
      </c>
      <c r="N237" s="1629">
        <v>1.0830502588870352</v>
      </c>
      <c r="O237" s="1629">
        <v>1.0830502588870352</v>
      </c>
    </row>
    <row r="238" spans="2:15">
      <c r="B238" s="1508">
        <v>39661</v>
      </c>
      <c r="C238" s="1509">
        <v>406.12700000000001</v>
      </c>
      <c r="D238" s="1509">
        <v>2854.13</v>
      </c>
      <c r="E238" s="1509">
        <v>1.0101765713502602</v>
      </c>
      <c r="F238" s="1509">
        <v>20.067269249983447</v>
      </c>
      <c r="K238" s="1626">
        <v>42295</v>
      </c>
      <c r="L238" s="1627"/>
      <c r="M238" s="1628">
        <v>0</v>
      </c>
      <c r="N238" s="1629">
        <v>1.0830502588870352</v>
      </c>
      <c r="O238" s="1629">
        <v>1.0830502588870352</v>
      </c>
    </row>
    <row r="239" spans="2:15">
      <c r="B239" s="1508">
        <v>39692</v>
      </c>
      <c r="C239" s="1509">
        <v>406.55700000000002</v>
      </c>
      <c r="D239" s="1509">
        <v>2861.55</v>
      </c>
      <c r="E239" s="1509">
        <v>1.011030909274969</v>
      </c>
      <c r="F239" s="1509">
        <v>20.288629476476387</v>
      </c>
      <c r="K239" s="1626">
        <v>42296</v>
      </c>
      <c r="L239" s="1627" t="s">
        <v>2298</v>
      </c>
      <c r="M239" s="1628">
        <v>5.2531000000000001E-2</v>
      </c>
      <c r="N239" s="1629">
        <v>1.0836191960185311</v>
      </c>
      <c r="O239" s="1629">
        <v>1.0836191960185311</v>
      </c>
    </row>
    <row r="240" spans="2:15">
      <c r="B240" s="1508">
        <v>39722</v>
      </c>
      <c r="C240" s="1509">
        <v>410.524</v>
      </c>
      <c r="D240" s="1509">
        <v>2874.43</v>
      </c>
      <c r="E240" s="1509">
        <v>1.0117587656900342</v>
      </c>
      <c r="F240" s="1509">
        <v>20.527198716662195</v>
      </c>
      <c r="K240" s="1626">
        <v>42297</v>
      </c>
      <c r="L240" s="1627" t="s">
        <v>2298</v>
      </c>
      <c r="M240" s="1628">
        <v>5.2531000000000001E-2</v>
      </c>
      <c r="N240" s="1629">
        <v>1.0841884320183917</v>
      </c>
      <c r="O240" s="1629">
        <v>1.0841884320183917</v>
      </c>
    </row>
    <row r="241" spans="2:15">
      <c r="B241" s="1508">
        <v>39753</v>
      </c>
      <c r="C241" s="1509">
        <v>412.10399999999998</v>
      </c>
      <c r="D241" s="1509">
        <v>2884.78</v>
      </c>
      <c r="E241" s="1509">
        <v>1.0101996908301405</v>
      </c>
      <c r="F241" s="1509">
        <v>20.736569797181005</v>
      </c>
      <c r="K241" s="1626">
        <v>42298</v>
      </c>
      <c r="L241" s="1627" t="s">
        <v>2298</v>
      </c>
      <c r="M241" s="1628">
        <v>5.2531000000000001E-2</v>
      </c>
      <c r="N241" s="1629">
        <v>1.0847579670436152</v>
      </c>
      <c r="O241" s="1629">
        <v>1.0847579670436152</v>
      </c>
    </row>
    <row r="242" spans="2:15">
      <c r="B242" s="1508">
        <v>39783</v>
      </c>
      <c r="C242" s="1509">
        <v>411.57499999999999</v>
      </c>
      <c r="D242" s="1509">
        <v>2892.86</v>
      </c>
      <c r="E242" s="1509">
        <v>1.0112409294280835</v>
      </c>
      <c r="F242" s="1509">
        <v>20.969668114851643</v>
      </c>
      <c r="K242" s="1626">
        <v>42299</v>
      </c>
      <c r="L242" s="1627" t="s">
        <v>2298</v>
      </c>
      <c r="M242" s="1628">
        <v>5.2531000000000001E-2</v>
      </c>
      <c r="N242" s="1629">
        <v>1.0853278012512828</v>
      </c>
      <c r="O242" s="1629">
        <v>1.0853278012512828</v>
      </c>
    </row>
    <row r="243" spans="2:15">
      <c r="B243" s="1508">
        <v>39814</v>
      </c>
      <c r="C243" s="1509">
        <v>409.78199999999998</v>
      </c>
      <c r="D243" s="1509">
        <v>2906.74</v>
      </c>
      <c r="E243" s="1509">
        <v>1.0104780743150839</v>
      </c>
      <c r="F243" s="1509">
        <v>21.189389855721704</v>
      </c>
      <c r="K243" s="1626">
        <v>42300</v>
      </c>
      <c r="L243" s="1627" t="s">
        <v>2298</v>
      </c>
      <c r="M243" s="1628">
        <v>5.2531000000000001E-2</v>
      </c>
      <c r="N243" s="1629">
        <v>1.0858979347985582</v>
      </c>
      <c r="O243" s="1629">
        <v>1.0858979347985582</v>
      </c>
    </row>
    <row r="244" spans="2:15">
      <c r="B244" s="1508">
        <v>39845</v>
      </c>
      <c r="C244" s="1509">
        <v>410.84899999999999</v>
      </c>
      <c r="D244" s="1509">
        <v>2922.73</v>
      </c>
      <c r="E244" s="1509">
        <v>1.0085508573858042</v>
      </c>
      <c r="F244" s="1509">
        <v>21.370577306470185</v>
      </c>
      <c r="K244" s="1626">
        <v>42301</v>
      </c>
      <c r="L244" s="1627"/>
      <c r="M244" s="1628">
        <v>0</v>
      </c>
      <c r="N244" s="1629">
        <v>1.0858979347985582</v>
      </c>
      <c r="O244" s="1629">
        <v>1.0858979347985582</v>
      </c>
    </row>
    <row r="245" spans="2:15">
      <c r="B245" s="1508">
        <v>39873</v>
      </c>
      <c r="C245" s="1509">
        <v>407.80799999999999</v>
      </c>
      <c r="D245" s="1509">
        <v>2928.57</v>
      </c>
      <c r="E245" s="1509">
        <v>1.0097088387156097</v>
      </c>
      <c r="F245" s="1509">
        <v>21.578060794798173</v>
      </c>
      <c r="K245" s="1626">
        <v>42302</v>
      </c>
      <c r="L245" s="1627"/>
      <c r="M245" s="1628">
        <v>0</v>
      </c>
      <c r="N245" s="1629">
        <v>1.0858979347985582</v>
      </c>
      <c r="O245" s="1629">
        <v>1.0858979347985582</v>
      </c>
    </row>
    <row r="246" spans="2:15">
      <c r="B246" s="1508">
        <v>39904</v>
      </c>
      <c r="C246" s="1509">
        <v>407.18099999999998</v>
      </c>
      <c r="D246" s="1509">
        <v>2942.63</v>
      </c>
      <c r="E246" s="1509">
        <v>1.008395669248594</v>
      </c>
      <c r="F246" s="1509">
        <v>21.759223056257351</v>
      </c>
      <c r="K246" s="1626">
        <v>42303</v>
      </c>
      <c r="L246" s="1627" t="s">
        <v>2298</v>
      </c>
      <c r="M246" s="1628">
        <v>5.2531000000000001E-2</v>
      </c>
      <c r="N246" s="1629">
        <v>1.0864683678426872</v>
      </c>
      <c r="O246" s="1629">
        <v>1.0864683678426872</v>
      </c>
    </row>
    <row r="247" spans="2:15">
      <c r="B247" s="1508">
        <v>39934</v>
      </c>
      <c r="C247" s="1509">
        <v>406.88499999999999</v>
      </c>
      <c r="D247" s="1509">
        <v>2956.46</v>
      </c>
      <c r="E247" s="1509">
        <v>1.0077089274459567</v>
      </c>
      <c r="F247" s="1509">
        <v>21.926963328078429</v>
      </c>
      <c r="K247" s="1626">
        <v>42304</v>
      </c>
      <c r="L247" s="1627" t="s">
        <v>2298</v>
      </c>
      <c r="M247" s="1628">
        <v>5.2531000000000001E-2</v>
      </c>
      <c r="N247" s="1629">
        <v>1.0870391005409987</v>
      </c>
      <c r="O247" s="1629">
        <v>1.0870391005409987</v>
      </c>
    </row>
    <row r="248" spans="2:15">
      <c r="B248" s="1508">
        <v>39965</v>
      </c>
      <c r="C248" s="1509">
        <v>406.48599999999999</v>
      </c>
      <c r="D248" s="1509">
        <v>2967.1</v>
      </c>
      <c r="E248" s="1509">
        <v>1.0076218232644543</v>
      </c>
      <c r="F248" s="1509">
        <v>22.094086767291213</v>
      </c>
      <c r="K248" s="1626">
        <v>42305</v>
      </c>
      <c r="L248" s="1627" t="s">
        <v>2298</v>
      </c>
      <c r="M248" s="1628">
        <v>5.2531000000000001E-2</v>
      </c>
      <c r="N248" s="1629">
        <v>1.0876101330509038</v>
      </c>
      <c r="O248" s="1629">
        <v>1.0876101330509038</v>
      </c>
    </row>
    <row r="249" spans="2:15">
      <c r="B249" s="1508">
        <v>39995</v>
      </c>
      <c r="C249" s="1509">
        <v>404.71800000000002</v>
      </c>
      <c r="D249" s="1509">
        <v>2974.22</v>
      </c>
      <c r="E249" s="1509">
        <v>1.0079014252372847</v>
      </c>
      <c r="F249" s="1509">
        <v>22.268661542069044</v>
      </c>
      <c r="K249" s="1626">
        <v>42306</v>
      </c>
      <c r="L249" s="1627" t="s">
        <v>2298</v>
      </c>
      <c r="M249" s="1628">
        <v>5.2531000000000001E-2</v>
      </c>
      <c r="N249" s="1629">
        <v>1.0881814655298967</v>
      </c>
      <c r="O249" s="1629">
        <v>1.0881814655298967</v>
      </c>
    </row>
    <row r="250" spans="2:15">
      <c r="B250" s="1508">
        <v>40026</v>
      </c>
      <c r="C250" s="1509">
        <v>403.25299999999999</v>
      </c>
      <c r="D250" s="1509">
        <v>2978.68</v>
      </c>
      <c r="E250" s="1509">
        <v>1.0069374854840563</v>
      </c>
      <c r="F250" s="1509">
        <v>22.423150058266511</v>
      </c>
      <c r="K250" s="1626">
        <v>42307</v>
      </c>
      <c r="L250" s="1627" t="s">
        <v>2298</v>
      </c>
      <c r="M250" s="1628">
        <v>5.2531000000000001E-2</v>
      </c>
      <c r="N250" s="1629">
        <v>1.0887530981355542</v>
      </c>
      <c r="O250" s="1629">
        <v>1.0887530981355542</v>
      </c>
    </row>
    <row r="251" spans="2:15">
      <c r="B251" s="1508">
        <v>40057</v>
      </c>
      <c r="C251" s="1509">
        <v>404.94499999999999</v>
      </c>
      <c r="D251" s="1509">
        <v>2985.83</v>
      </c>
      <c r="E251" s="1509">
        <v>1.0069374854840563</v>
      </c>
      <c r="F251" s="1509">
        <v>22.578710336302549</v>
      </c>
      <c r="K251" s="1626">
        <v>42308</v>
      </c>
      <c r="L251" s="1627"/>
      <c r="M251" s="1628">
        <v>0</v>
      </c>
      <c r="N251" s="1629">
        <v>1.0887530981355542</v>
      </c>
      <c r="O251" s="1629">
        <v>1.0887530981355542</v>
      </c>
    </row>
    <row r="252" spans="2:15">
      <c r="B252" s="1508">
        <v>40087</v>
      </c>
      <c r="C252" s="1509">
        <v>405.12900000000002</v>
      </c>
      <c r="D252" s="1509">
        <v>2994.19</v>
      </c>
      <c r="E252" s="1509">
        <v>1.006937485484056</v>
      </c>
      <c r="F252" s="1509">
        <v>22.735349811509355</v>
      </c>
      <c r="K252" s="1626">
        <v>42309</v>
      </c>
      <c r="L252" s="1627"/>
      <c r="M252" s="1628">
        <v>0</v>
      </c>
      <c r="N252" s="1629">
        <v>1.0887530981355542</v>
      </c>
      <c r="O252" s="1629">
        <v>1.0887530981355542</v>
      </c>
    </row>
    <row r="253" spans="2:15">
      <c r="B253" s="1508">
        <v>40118</v>
      </c>
      <c r="C253" s="1509">
        <v>405.548</v>
      </c>
      <c r="D253" s="1509">
        <v>3006.47</v>
      </c>
      <c r="E253" s="1509">
        <v>1.006606040313162</v>
      </c>
      <c r="F253" s="1509">
        <v>22.885540448898027</v>
      </c>
      <c r="K253" s="1626">
        <v>42310</v>
      </c>
      <c r="L253" s="1627"/>
      <c r="M253" s="1628">
        <v>0</v>
      </c>
      <c r="N253" s="1629">
        <v>1.0887530981355542</v>
      </c>
      <c r="O253" s="1629">
        <v>1.0887530981355542</v>
      </c>
    </row>
    <row r="254" spans="2:15">
      <c r="B254" s="1508">
        <v>40148</v>
      </c>
      <c r="C254" s="1509">
        <v>404.49900000000002</v>
      </c>
      <c r="D254" s="1509">
        <v>3017.59</v>
      </c>
      <c r="E254" s="1509">
        <v>1.0072686672230315</v>
      </c>
      <c r="F254" s="1509">
        <v>23.051887826640293</v>
      </c>
      <c r="K254" s="1626">
        <v>42311</v>
      </c>
      <c r="L254" s="1627" t="s">
        <v>2298</v>
      </c>
      <c r="M254" s="1628">
        <v>5.2531000000000001E-2</v>
      </c>
      <c r="N254" s="1629">
        <v>1.0893250310255358</v>
      </c>
      <c r="O254" s="1629">
        <v>1.0893250310255358</v>
      </c>
    </row>
    <row r="255" spans="2:15">
      <c r="B255" s="1508">
        <v>40179</v>
      </c>
      <c r="C255" s="1509">
        <v>407.04899999999998</v>
      </c>
      <c r="D255" s="1509">
        <v>3040.22</v>
      </c>
      <c r="E255" s="1509">
        <v>1.0066056679915218</v>
      </c>
      <c r="F255" s="1509">
        <v>23.204160944200883</v>
      </c>
      <c r="K255" s="1626">
        <v>42312</v>
      </c>
      <c r="L255" s="1627" t="s">
        <v>2298</v>
      </c>
      <c r="M255" s="1628">
        <v>5.2531000000000001E-2</v>
      </c>
      <c r="N255" s="1629">
        <v>1.0898972643575837</v>
      </c>
      <c r="O255" s="1629">
        <v>1.0898972643575837</v>
      </c>
    </row>
    <row r="256" spans="2:15">
      <c r="B256" s="1508">
        <v>40210</v>
      </c>
      <c r="C256" s="1509">
        <v>411.84300000000002</v>
      </c>
      <c r="D256" s="1509">
        <v>3063.93</v>
      </c>
      <c r="E256" s="1509">
        <v>1.0059434772325486</v>
      </c>
      <c r="F256" s="1509">
        <v>23.342074346473133</v>
      </c>
      <c r="K256" s="1626">
        <v>42313</v>
      </c>
      <c r="L256" s="1627" t="s">
        <v>2298</v>
      </c>
      <c r="M256" s="1628">
        <v>5.2531000000000001E-2</v>
      </c>
      <c r="N256" s="1629">
        <v>1.0904697982895235</v>
      </c>
      <c r="O256" s="1629">
        <v>1.0904697982895235</v>
      </c>
    </row>
    <row r="257" spans="2:15">
      <c r="B257" s="1508">
        <v>40238</v>
      </c>
      <c r="C257" s="1509">
        <v>415.73399999999998</v>
      </c>
      <c r="D257" s="1509">
        <v>3079.86</v>
      </c>
      <c r="E257" s="1509">
        <v>1.0076007032666325</v>
      </c>
      <c r="F257" s="1509">
        <v>23.519490527208351</v>
      </c>
      <c r="K257" s="1626">
        <v>42314</v>
      </c>
      <c r="L257" s="1627" t="s">
        <v>2298</v>
      </c>
      <c r="M257" s="1628">
        <v>5.2531000000000001E-2</v>
      </c>
      <c r="N257" s="1629">
        <v>1.0910426329792631</v>
      </c>
      <c r="O257" s="1629">
        <v>1.0910426329792631</v>
      </c>
    </row>
    <row r="258" spans="2:15">
      <c r="B258" s="1508">
        <v>40269</v>
      </c>
      <c r="C258" s="1509">
        <v>418.91699999999997</v>
      </c>
      <c r="D258" s="1509">
        <v>3097.42</v>
      </c>
      <c r="E258" s="1509">
        <v>1.0066591320264642</v>
      </c>
      <c r="F258" s="1509">
        <v>23.676109919824206</v>
      </c>
      <c r="K258" s="1626">
        <v>42315</v>
      </c>
      <c r="L258" s="1627"/>
      <c r="M258" s="1628">
        <v>0</v>
      </c>
      <c r="N258" s="1629">
        <v>1.0910426329792631</v>
      </c>
      <c r="O258" s="1629">
        <v>1.0910426329792631</v>
      </c>
    </row>
    <row r="259" spans="2:15">
      <c r="B259" s="1508">
        <v>40299</v>
      </c>
      <c r="C259" s="1509">
        <v>423.88499999999999</v>
      </c>
      <c r="D259" s="1509">
        <v>3110.74</v>
      </c>
      <c r="E259" s="1509">
        <v>1.0075136425194853</v>
      </c>
      <c r="F259" s="1509">
        <v>23.854003746013806</v>
      </c>
      <c r="K259" s="1626">
        <v>42316</v>
      </c>
      <c r="L259" s="1627"/>
      <c r="M259" s="1628">
        <v>0</v>
      </c>
      <c r="N259" s="1629">
        <v>1.0910426329792631</v>
      </c>
      <c r="O259" s="1629">
        <v>1.0910426329792631</v>
      </c>
    </row>
    <row r="260" spans="2:15">
      <c r="B260" s="1508">
        <v>40330</v>
      </c>
      <c r="C260" s="1509">
        <v>427.48899999999998</v>
      </c>
      <c r="D260" s="1509">
        <v>3110.74</v>
      </c>
      <c r="E260" s="1509">
        <v>1.0079257581819461</v>
      </c>
      <c r="F260" s="1509">
        <v>24.043064811375949</v>
      </c>
      <c r="K260" s="1626">
        <v>42317</v>
      </c>
      <c r="L260" s="1627" t="s">
        <v>2298</v>
      </c>
      <c r="M260" s="1628">
        <v>5.2531000000000001E-2</v>
      </c>
      <c r="N260" s="1629">
        <v>1.0916157685847934</v>
      </c>
      <c r="O260" s="1629">
        <v>1.0916157685847934</v>
      </c>
    </row>
    <row r="261" spans="2:15">
      <c r="B261" s="1508">
        <v>40360</v>
      </c>
      <c r="C261" s="1509">
        <v>428.15</v>
      </c>
      <c r="D261" s="1509">
        <v>3111.05</v>
      </c>
      <c r="E261" s="1509">
        <v>1.0086102956499179</v>
      </c>
      <c r="F261" s="1509">
        <v>24.250082707732034</v>
      </c>
      <c r="K261" s="1626">
        <v>42318</v>
      </c>
      <c r="L261" s="1627" t="s">
        <v>2298</v>
      </c>
      <c r="M261" s="1628">
        <v>5.2531000000000001E-2</v>
      </c>
      <c r="N261" s="1629">
        <v>1.0921892052641886</v>
      </c>
      <c r="O261" s="1629">
        <v>1.0921892052641886</v>
      </c>
    </row>
    <row r="262" spans="2:15">
      <c r="B262" s="1508">
        <v>40391</v>
      </c>
      <c r="C262" s="1509">
        <v>431.44499999999999</v>
      </c>
      <c r="D262" s="1509">
        <v>3112.29</v>
      </c>
      <c r="E262" s="1509">
        <v>1.0088820963555043</v>
      </c>
      <c r="F262" s="1509">
        <v>24.465474278971058</v>
      </c>
      <c r="K262" s="1626">
        <v>42319</v>
      </c>
      <c r="L262" s="1627" t="s">
        <v>2298</v>
      </c>
      <c r="M262" s="1628">
        <v>5.2531000000000001E-2</v>
      </c>
      <c r="N262" s="1629">
        <v>1.0927629431756058</v>
      </c>
      <c r="O262" s="1629">
        <v>1.0927629431756058</v>
      </c>
    </row>
    <row r="263" spans="2:15">
      <c r="B263" s="1508">
        <v>40422</v>
      </c>
      <c r="C263" s="1509">
        <v>436.423</v>
      </c>
      <c r="D263" s="1509">
        <v>3126.29</v>
      </c>
      <c r="E263" s="1509">
        <v>1.0084766584844942</v>
      </c>
      <c r="F263" s="1509">
        <v>24.672859749095071</v>
      </c>
      <c r="K263" s="1626">
        <v>42320</v>
      </c>
      <c r="L263" s="1627" t="s">
        <v>2298</v>
      </c>
      <c r="M263" s="1628">
        <v>5.2531000000000001E-2</v>
      </c>
      <c r="N263" s="1629">
        <v>1.0933369824772854</v>
      </c>
      <c r="O263" s="1629">
        <v>1.0933369824772854</v>
      </c>
    </row>
    <row r="264" spans="2:15">
      <c r="B264" s="1508">
        <v>40452</v>
      </c>
      <c r="C264" s="1509">
        <v>440.82900000000001</v>
      </c>
      <c r="D264" s="1509">
        <v>3149.74</v>
      </c>
      <c r="E264" s="1509">
        <v>1.0080713835461668</v>
      </c>
      <c r="F264" s="1509">
        <v>24.872003863310798</v>
      </c>
      <c r="K264" s="1626">
        <v>42321</v>
      </c>
      <c r="L264" s="1627" t="s">
        <v>2298</v>
      </c>
      <c r="M264" s="1628">
        <v>5.2531000000000001E-2</v>
      </c>
      <c r="N264" s="1629">
        <v>1.0939113233275506</v>
      </c>
      <c r="O264" s="1629">
        <v>1.0939113233275506</v>
      </c>
    </row>
    <row r="265" spans="2:15">
      <c r="B265" s="1508">
        <v>40483</v>
      </c>
      <c r="C265" s="1509">
        <v>447.20600000000002</v>
      </c>
      <c r="D265" s="1509">
        <v>3175.88</v>
      </c>
      <c r="E265" s="1509">
        <v>1.008071383546167</v>
      </c>
      <c r="F265" s="1509">
        <v>25.072755346053327</v>
      </c>
      <c r="K265" s="1626">
        <v>42322</v>
      </c>
      <c r="L265" s="1627"/>
      <c r="M265" s="1628">
        <v>0</v>
      </c>
      <c r="N265" s="1629">
        <v>1.0939113233275506</v>
      </c>
      <c r="O265" s="1629">
        <v>1.0939113233275506</v>
      </c>
    </row>
    <row r="266" spans="2:15">
      <c r="B266" s="1508">
        <v>40513</v>
      </c>
      <c r="C266" s="1509">
        <v>450.30099999999999</v>
      </c>
      <c r="D266" s="1509">
        <v>3195.89</v>
      </c>
      <c r="E266" s="1509">
        <v>1.0092887868177591</v>
      </c>
      <c r="F266" s="1509">
        <v>25.305650825396647</v>
      </c>
      <c r="K266" s="1626">
        <v>42323</v>
      </c>
      <c r="L266" s="1627"/>
      <c r="M266" s="1628">
        <v>0</v>
      </c>
      <c r="N266" s="1629">
        <v>1.0939113233275506</v>
      </c>
      <c r="O266" s="1629">
        <v>1.0939113233275506</v>
      </c>
    </row>
    <row r="267" spans="2:15">
      <c r="B267" s="1508">
        <v>40544</v>
      </c>
      <c r="C267" s="1509">
        <v>453.875</v>
      </c>
      <c r="D267" s="1509">
        <v>3222.42</v>
      </c>
      <c r="E267" s="1509">
        <v>1.0086232010755674</v>
      </c>
      <c r="F267" s="1509">
        <v>25.52386654081214</v>
      </c>
      <c r="K267" s="1626">
        <v>42324</v>
      </c>
      <c r="L267" s="1627" t="s">
        <v>2298</v>
      </c>
      <c r="M267" s="1628">
        <v>5.2531000000000001E-2</v>
      </c>
      <c r="N267" s="1629">
        <v>1.0944859658848078</v>
      </c>
      <c r="O267" s="1629">
        <v>1.0944859658848078</v>
      </c>
    </row>
    <row r="268" spans="2:15">
      <c r="B268" s="1508">
        <v>40575</v>
      </c>
      <c r="C268" s="1509">
        <v>458.39699999999999</v>
      </c>
      <c r="D268" s="1509">
        <v>3248.2</v>
      </c>
      <c r="E268" s="1509">
        <v>1.0084390842010735</v>
      </c>
      <c r="F268" s="1509">
        <v>25.739264599687019</v>
      </c>
      <c r="K268" s="1626">
        <v>42325</v>
      </c>
      <c r="L268" s="1627" t="s">
        <v>2298</v>
      </c>
      <c r="M268" s="1628">
        <v>5.2531000000000001E-2</v>
      </c>
      <c r="N268" s="1629">
        <v>1.0950609103075468</v>
      </c>
      <c r="O268" s="1629">
        <v>1.0950609103075468</v>
      </c>
    </row>
    <row r="269" spans="2:15">
      <c r="B269" s="1508">
        <v>40603</v>
      </c>
      <c r="C269" s="1509">
        <v>461.24900000000002</v>
      </c>
      <c r="D269" s="1509">
        <v>3273.86</v>
      </c>
      <c r="E269" s="1509">
        <v>1.0092045846073012</v>
      </c>
      <c r="F269" s="1509">
        <v>25.97618383842455</v>
      </c>
      <c r="K269" s="1626">
        <v>42326</v>
      </c>
      <c r="L269" s="1627" t="s">
        <v>2298</v>
      </c>
      <c r="M269" s="1628">
        <v>5.2531000000000001E-2</v>
      </c>
      <c r="N269" s="1629">
        <v>1.0956361567543405</v>
      </c>
      <c r="O269" s="1629">
        <v>1.0956361567543405</v>
      </c>
    </row>
    <row r="270" spans="2:15">
      <c r="B270" s="1508">
        <v>40634</v>
      </c>
      <c r="C270" s="1509">
        <v>463.31099999999998</v>
      </c>
      <c r="D270" s="1509">
        <v>3299.07</v>
      </c>
      <c r="E270" s="1509">
        <v>1.0084015541577225</v>
      </c>
      <c r="F270" s="1509">
        <v>26.194424153754028</v>
      </c>
      <c r="K270" s="1626">
        <v>42327</v>
      </c>
      <c r="L270" s="1627" t="s">
        <v>2298</v>
      </c>
      <c r="M270" s="1628">
        <v>5.2531000000000001E-2</v>
      </c>
      <c r="N270" s="1629">
        <v>1.0962117053838452</v>
      </c>
      <c r="O270" s="1629">
        <v>1.0962117053838452</v>
      </c>
    </row>
    <row r="271" spans="2:15">
      <c r="B271" s="1508">
        <v>40664</v>
      </c>
      <c r="C271" s="1509">
        <v>465.31099999999998</v>
      </c>
      <c r="D271" s="1509">
        <v>3314.58</v>
      </c>
      <c r="E271" s="1509">
        <v>1.0098798495673293</v>
      </c>
      <c r="F271" s="1509">
        <v>26.453221123895936</v>
      </c>
      <c r="K271" s="1626">
        <v>42328</v>
      </c>
      <c r="L271" s="1627" t="s">
        <v>2298</v>
      </c>
      <c r="M271" s="1628">
        <v>5.2531000000000001E-2</v>
      </c>
      <c r="N271" s="1629">
        <v>1.0967875563548004</v>
      </c>
      <c r="O271" s="1629">
        <v>1.0967875563548004</v>
      </c>
    </row>
    <row r="272" spans="2:15">
      <c r="B272" s="1508">
        <v>40695</v>
      </c>
      <c r="C272" s="1509">
        <v>464.46300000000002</v>
      </c>
      <c r="D272" s="1509">
        <v>3319.55</v>
      </c>
      <c r="E272" s="1509">
        <v>1.0095627565914342</v>
      </c>
      <c r="F272" s="1509">
        <v>26.706186838563141</v>
      </c>
      <c r="K272" s="1626">
        <v>42329</v>
      </c>
      <c r="L272" s="1627"/>
      <c r="M272" s="1628">
        <v>0</v>
      </c>
      <c r="N272" s="1629">
        <v>1.0967875563548004</v>
      </c>
      <c r="O272" s="1629">
        <v>1.0967875563548004</v>
      </c>
    </row>
    <row r="273" spans="2:15">
      <c r="B273" s="1508">
        <v>40725</v>
      </c>
      <c r="C273" s="1509">
        <v>463.92700000000002</v>
      </c>
      <c r="D273" s="1509">
        <v>3324.86</v>
      </c>
      <c r="E273" s="1509">
        <v>1.0096788504099796</v>
      </c>
      <c r="F273" s="1509">
        <v>26.96467202599456</v>
      </c>
      <c r="K273" s="1626">
        <v>42330</v>
      </c>
      <c r="L273" s="1627"/>
      <c r="M273" s="1628">
        <v>0</v>
      </c>
      <c r="N273" s="1629">
        <v>1.0967875563548004</v>
      </c>
      <c r="O273" s="1629">
        <v>1.0967875563548004</v>
      </c>
    </row>
    <row r="274" spans="2:15">
      <c r="B274" s="1508">
        <v>40756</v>
      </c>
      <c r="C274" s="1509">
        <v>465.96800000000002</v>
      </c>
      <c r="D274" s="1509">
        <v>3337.16</v>
      </c>
      <c r="E274" s="1509">
        <v>1.0107406292787873</v>
      </c>
      <c r="F274" s="1509">
        <v>27.254289571849853</v>
      </c>
      <c r="K274" s="1626">
        <v>42331</v>
      </c>
      <c r="L274" s="1627" t="s">
        <v>2298</v>
      </c>
      <c r="M274" s="1628">
        <v>5.2531000000000001E-2</v>
      </c>
      <c r="N274" s="1629">
        <v>1.0973637098260292</v>
      </c>
      <c r="O274" s="1629">
        <v>1.0973637098260292</v>
      </c>
    </row>
    <row r="275" spans="2:15">
      <c r="B275" s="1508">
        <v>40787</v>
      </c>
      <c r="C275" s="1509">
        <v>468.97500000000002</v>
      </c>
      <c r="D275" s="1509">
        <v>3354.85</v>
      </c>
      <c r="E275" s="1509">
        <v>1.00941760689889</v>
      </c>
      <c r="F275" s="1509">
        <v>27.510959757346054</v>
      </c>
      <c r="K275" s="1626">
        <v>42332</v>
      </c>
      <c r="L275" s="1627" t="s">
        <v>2298</v>
      </c>
      <c r="M275" s="1628">
        <v>5.2531000000000001E-2</v>
      </c>
      <c r="N275" s="1629">
        <v>1.0979401659564378</v>
      </c>
      <c r="O275" s="1629">
        <v>1.0979401659564378</v>
      </c>
    </row>
    <row r="276" spans="2:15">
      <c r="B276" s="1508">
        <v>40817</v>
      </c>
      <c r="C276" s="1509">
        <v>471.46600000000001</v>
      </c>
      <c r="D276" s="1509">
        <v>3369.28</v>
      </c>
      <c r="E276" s="1509">
        <v>1.0088195463919019</v>
      </c>
      <c r="F276" s="1509">
        <v>27.753593943211712</v>
      </c>
      <c r="K276" s="1626">
        <v>42333</v>
      </c>
      <c r="L276" s="1627" t="s">
        <v>2298</v>
      </c>
      <c r="M276" s="1628">
        <v>5.2531000000000001E-2</v>
      </c>
      <c r="N276" s="1629">
        <v>1.0985169249050164</v>
      </c>
      <c r="O276" s="1629">
        <v>1.0985169249050164</v>
      </c>
    </row>
    <row r="277" spans="2:15">
      <c r="B277" s="1508">
        <v>40848</v>
      </c>
      <c r="C277" s="1509">
        <v>473.80799999999999</v>
      </c>
      <c r="D277" s="1509">
        <v>3386.8</v>
      </c>
      <c r="E277" s="1509">
        <v>1.0086047745492386</v>
      </c>
      <c r="F277" s="1509">
        <v>27.992407362024164</v>
      </c>
      <c r="K277" s="1626">
        <v>42334</v>
      </c>
      <c r="L277" s="1627" t="s">
        <v>2298</v>
      </c>
      <c r="M277" s="1628">
        <v>5.2531000000000001E-2</v>
      </c>
      <c r="N277" s="1629">
        <v>1.0990939868308383</v>
      </c>
      <c r="O277" s="1629">
        <v>1.0990939868308383</v>
      </c>
    </row>
    <row r="278" spans="2:15">
      <c r="B278" s="1508">
        <v>40878</v>
      </c>
      <c r="C278" s="1509">
        <v>473.25200000000001</v>
      </c>
      <c r="D278" s="1509">
        <v>3403.73</v>
      </c>
      <c r="E278" s="1509">
        <v>1.0090732804800764</v>
      </c>
      <c r="F278" s="1509">
        <v>28.246390325332364</v>
      </c>
      <c r="K278" s="1626">
        <v>42335</v>
      </c>
      <c r="L278" s="1627" t="s">
        <v>2298</v>
      </c>
      <c r="M278" s="1628">
        <v>5.2531000000000001E-2</v>
      </c>
      <c r="N278" s="1629">
        <v>1.0996713518930603</v>
      </c>
      <c r="O278" s="1629">
        <v>1.0996713518930603</v>
      </c>
    </row>
    <row r="279" spans="2:15">
      <c r="B279" s="1508">
        <v>40909</v>
      </c>
      <c r="C279" s="1509">
        <v>474.42899999999997</v>
      </c>
      <c r="D279" s="1509">
        <v>3422.79</v>
      </c>
      <c r="E279" s="1509">
        <v>1.0089101617717657</v>
      </c>
      <c r="F279" s="1509">
        <v>28.498070232599513</v>
      </c>
      <c r="K279" s="1626">
        <v>42336</v>
      </c>
      <c r="L279" s="1627"/>
      <c r="M279" s="1628">
        <v>0</v>
      </c>
      <c r="N279" s="1629">
        <v>1.0996713518930603</v>
      </c>
      <c r="O279" s="1629">
        <v>1.0996713518930603</v>
      </c>
    </row>
    <row r="280" spans="2:15">
      <c r="B280" s="1508">
        <v>40940</v>
      </c>
      <c r="C280" s="1509">
        <v>474.13799999999998</v>
      </c>
      <c r="D280" s="1509">
        <v>3438.19</v>
      </c>
      <c r="E280" s="1509">
        <v>1.0074877292470876</v>
      </c>
      <c r="F280" s="1509">
        <v>28.711456066565706</v>
      </c>
      <c r="K280" s="1626">
        <v>42337</v>
      </c>
      <c r="L280" s="1627"/>
      <c r="M280" s="1628">
        <v>0</v>
      </c>
      <c r="N280" s="1629">
        <v>1.0996713518930603</v>
      </c>
      <c r="O280" s="1629">
        <v>1.0996713518930603</v>
      </c>
    </row>
    <row r="281" spans="2:15">
      <c r="B281" s="1508">
        <v>40969</v>
      </c>
      <c r="C281" s="1509">
        <v>476.166</v>
      </c>
      <c r="D281" s="1509">
        <v>3445.41</v>
      </c>
      <c r="E281" s="1509">
        <v>1.0082113884808406</v>
      </c>
      <c r="F281" s="1509">
        <v>28.947216986178862</v>
      </c>
      <c r="K281" s="1626">
        <v>42338</v>
      </c>
      <c r="L281" s="1627" t="s">
        <v>2298</v>
      </c>
      <c r="M281" s="1628">
        <v>5.2531000000000001E-2</v>
      </c>
      <c r="N281" s="1629">
        <v>1.1002490202509232</v>
      </c>
      <c r="O281" s="1629">
        <v>1.1002490202509232</v>
      </c>
    </row>
    <row r="282" spans="2:15">
      <c r="B282" s="1508">
        <v>41000</v>
      </c>
      <c r="C282" s="1509">
        <v>480.22899999999998</v>
      </c>
      <c r="D282" s="1509">
        <v>3467.46</v>
      </c>
      <c r="E282" s="1509">
        <v>1.0071187588624242</v>
      </c>
      <c r="F282" s="1509">
        <v>29.15328524364174</v>
      </c>
      <c r="K282" s="1626">
        <v>42339</v>
      </c>
      <c r="L282" s="1627" t="s">
        <v>2298</v>
      </c>
      <c r="M282" s="1628">
        <v>5.2531000000000001E-2</v>
      </c>
      <c r="N282" s="1629">
        <v>1.1008269920637512</v>
      </c>
      <c r="O282" s="1629">
        <v>1.1008269920637512</v>
      </c>
    </row>
    <row r="283" spans="2:15">
      <c r="B283" s="1508">
        <v>41030</v>
      </c>
      <c r="C283" s="1509">
        <v>485.14</v>
      </c>
      <c r="D283" s="1509">
        <v>3479.94</v>
      </c>
      <c r="E283" s="1509">
        <v>1.007447242329657</v>
      </c>
      <c r="F283" s="1509">
        <v>29.370396823556753</v>
      </c>
      <c r="G283" s="11"/>
      <c r="K283" s="1626">
        <v>42340</v>
      </c>
      <c r="L283" s="1627" t="s">
        <v>2298</v>
      </c>
      <c r="M283" s="1628">
        <v>5.2531000000000001E-2</v>
      </c>
      <c r="N283" s="1629">
        <v>1.1014052674909522</v>
      </c>
      <c r="O283" s="1629">
        <v>1.1014052674909522</v>
      </c>
    </row>
    <row r="284" spans="2:15">
      <c r="B284" s="1508">
        <v>41061</v>
      </c>
      <c r="C284" s="1509">
        <v>488.34199999999998</v>
      </c>
      <c r="D284" s="1509">
        <v>3482.72</v>
      </c>
      <c r="E284" s="1509">
        <v>1.0064150263426446</v>
      </c>
      <c r="F284" s="1509">
        <v>29.558808692873793</v>
      </c>
      <c r="K284" s="1626">
        <v>42341</v>
      </c>
      <c r="L284" s="1627" t="s">
        <v>2298</v>
      </c>
      <c r="M284" s="1628">
        <v>5.2531000000000001E-2</v>
      </c>
      <c r="N284" s="1629">
        <v>1.101983846692018</v>
      </c>
      <c r="O284" s="1629">
        <v>1.101983846692018</v>
      </c>
    </row>
    <row r="285" spans="2:15">
      <c r="B285" s="1508">
        <v>41091</v>
      </c>
      <c r="C285" s="1509">
        <v>494.89100000000002</v>
      </c>
      <c r="D285" s="1509">
        <v>3497.7</v>
      </c>
      <c r="E285" s="1509">
        <v>1.0067996486835762</v>
      </c>
      <c r="F285" s="1509">
        <v>29.759798207490373</v>
      </c>
      <c r="K285" s="1626">
        <v>42342</v>
      </c>
      <c r="L285" s="1627" t="s">
        <v>2298</v>
      </c>
      <c r="M285" s="1628">
        <v>5.2531000000000001E-2</v>
      </c>
      <c r="N285" s="1629">
        <v>1.1025627298265237</v>
      </c>
      <c r="O285" s="1629">
        <v>1.1025627298265237</v>
      </c>
    </row>
    <row r="286" spans="2:15">
      <c r="B286" s="1508">
        <v>41122</v>
      </c>
      <c r="C286" s="1509">
        <v>501.95699999999999</v>
      </c>
      <c r="D286" s="1509">
        <v>3512.04</v>
      </c>
      <c r="E286" s="1509">
        <v>1.0069181066014252</v>
      </c>
      <c r="F286" s="1509">
        <v>29.965679663926696</v>
      </c>
      <c r="K286" s="1626">
        <v>42343</v>
      </c>
      <c r="L286" s="1627"/>
      <c r="M286" s="1628">
        <v>0</v>
      </c>
      <c r="N286" s="1629">
        <v>1.1025627298265237</v>
      </c>
      <c r="O286" s="1629">
        <v>1.1025627298265237</v>
      </c>
    </row>
    <row r="287" spans="2:15">
      <c r="B287" s="1508">
        <v>41153</v>
      </c>
      <c r="C287" s="1509">
        <v>506.80399999999997</v>
      </c>
      <c r="D287" s="1509">
        <v>3532.06</v>
      </c>
      <c r="E287" s="1509">
        <v>1.0053899533259578</v>
      </c>
      <c r="F287" s="1509">
        <v>30.127193278695866</v>
      </c>
      <c r="K287" s="1626">
        <v>42344</v>
      </c>
      <c r="L287" s="1627"/>
      <c r="M287" s="1628">
        <v>0</v>
      </c>
      <c r="N287" s="1629">
        <v>1.1025627298265237</v>
      </c>
      <c r="O287" s="1629">
        <v>1.1025627298265237</v>
      </c>
    </row>
    <row r="288" spans="2:15">
      <c r="B288" s="1508">
        <v>41183</v>
      </c>
      <c r="C288" s="1509">
        <v>506.92599999999999</v>
      </c>
      <c r="D288" s="1509">
        <v>3552.9</v>
      </c>
      <c r="E288" s="1509">
        <v>1.0061133864051108</v>
      </c>
      <c r="F288" s="1509">
        <v>30.311372452509993</v>
      </c>
      <c r="K288" s="1626">
        <v>42345</v>
      </c>
      <c r="L288" s="1627" t="s">
        <v>2298</v>
      </c>
      <c r="M288" s="1628">
        <v>5.2531000000000001E-2</v>
      </c>
      <c r="N288" s="1629">
        <v>1.1031419170541288</v>
      </c>
      <c r="O288" s="1629">
        <v>1.1031419170541288</v>
      </c>
    </row>
    <row r="289" spans="2:15">
      <c r="B289" s="1508">
        <v>41214</v>
      </c>
      <c r="C289" s="1509">
        <v>506.79500000000002</v>
      </c>
      <c r="D289" s="1509">
        <v>3574.22</v>
      </c>
      <c r="E289" s="1509">
        <v>1.0054884576647556</v>
      </c>
      <c r="F289" s="1509">
        <v>30.477735136976232</v>
      </c>
      <c r="K289" s="1626">
        <v>42346</v>
      </c>
      <c r="L289" s="1627" t="s">
        <v>2298</v>
      </c>
      <c r="M289" s="1628">
        <v>5.2531000000000001E-2</v>
      </c>
      <c r="N289" s="1629">
        <v>1.1037214085345766</v>
      </c>
      <c r="O289" s="1629">
        <v>1.1037214085345766</v>
      </c>
    </row>
    <row r="290" spans="2:15">
      <c r="B290" s="1508">
        <v>41244</v>
      </c>
      <c r="C290" s="1509">
        <v>510.25200000000001</v>
      </c>
      <c r="D290" s="1509">
        <v>3602.46</v>
      </c>
      <c r="E290" s="1509">
        <v>1.0055015154231364</v>
      </c>
      <c r="F290" s="1509">
        <v>30.645408866894574</v>
      </c>
      <c r="K290" s="1626">
        <v>42347</v>
      </c>
      <c r="L290" s="1627" t="s">
        <v>2298</v>
      </c>
      <c r="M290" s="1628">
        <v>5.2531000000000001E-2</v>
      </c>
      <c r="N290" s="1629">
        <v>1.1043012044276939</v>
      </c>
      <c r="O290" s="1629">
        <v>1.1043012044276939</v>
      </c>
    </row>
    <row r="291" spans="2:15">
      <c r="B291" s="1508">
        <v>41275</v>
      </c>
      <c r="C291" s="1509">
        <v>511.97699999999998</v>
      </c>
      <c r="D291" s="1509">
        <v>3633.44</v>
      </c>
      <c r="E291" s="1509">
        <v>1.0060143970219473</v>
      </c>
      <c r="F291" s="1509">
        <v>30.82972252271998</v>
      </c>
      <c r="K291" s="1626">
        <v>42348</v>
      </c>
      <c r="L291" s="1627" t="s">
        <v>2298</v>
      </c>
      <c r="M291" s="1628">
        <v>5.2531000000000001E-2</v>
      </c>
      <c r="N291" s="1629">
        <v>1.1048813048933919</v>
      </c>
      <c r="O291" s="1629">
        <v>1.1048813048933919</v>
      </c>
    </row>
    <row r="292" spans="2:15">
      <c r="B292" s="1508">
        <v>41306</v>
      </c>
      <c r="C292" s="1509">
        <v>513.46699999999998</v>
      </c>
      <c r="D292" s="1509">
        <v>3655.24</v>
      </c>
      <c r="E292" s="1509">
        <v>1.0049274991744226</v>
      </c>
      <c r="F292" s="1509">
        <v>30.98163595499836</v>
      </c>
      <c r="K292" s="1626">
        <v>42349</v>
      </c>
      <c r="L292" s="1627" t="s">
        <v>2298</v>
      </c>
      <c r="M292" s="1628">
        <v>5.2531000000000001E-2</v>
      </c>
      <c r="N292" s="1629">
        <v>1.1054617100916655</v>
      </c>
      <c r="O292" s="1629">
        <v>1.1054617100916655</v>
      </c>
    </row>
    <row r="293" spans="2:15">
      <c r="B293" s="1508">
        <v>41334</v>
      </c>
      <c r="C293" s="1509">
        <v>514.52599999999995</v>
      </c>
      <c r="D293" s="1509">
        <v>3672.42</v>
      </c>
      <c r="E293" s="1509">
        <v>1.0054940366101026</v>
      </c>
      <c r="F293" s="1509">
        <v>31.151850197175992</v>
      </c>
      <c r="K293" s="1626">
        <v>42350</v>
      </c>
      <c r="L293" s="1627"/>
      <c r="M293" s="1628">
        <v>0</v>
      </c>
      <c r="N293" s="1629">
        <v>1.1054617100916655</v>
      </c>
      <c r="O293" s="1629">
        <v>1.1054617100916655</v>
      </c>
    </row>
    <row r="294" spans="2:15">
      <c r="B294" s="1508">
        <v>41365</v>
      </c>
      <c r="C294" s="1509">
        <v>515.27599999999995</v>
      </c>
      <c r="D294" s="1509">
        <v>3692.62</v>
      </c>
      <c r="E294" s="1509">
        <v>1.0061364605097283</v>
      </c>
      <c r="F294" s="1509">
        <v>31.343012295715933</v>
      </c>
      <c r="K294" s="1626">
        <v>42351</v>
      </c>
      <c r="L294" s="1627"/>
      <c r="M294" s="1628">
        <v>0</v>
      </c>
      <c r="N294" s="1629">
        <v>1.1054617100916655</v>
      </c>
      <c r="O294" s="1629">
        <v>1.1054617100916655</v>
      </c>
    </row>
    <row r="295" spans="2:15">
      <c r="B295" s="1508">
        <v>41395</v>
      </c>
      <c r="C295" s="1509">
        <v>515.29899999999998</v>
      </c>
      <c r="D295" s="1509">
        <v>3706.28</v>
      </c>
      <c r="E295" s="1509">
        <v>1.0059853629993882</v>
      </c>
      <c r="F295" s="1509">
        <v>31.530611601800082</v>
      </c>
      <c r="K295" s="1626">
        <v>42352</v>
      </c>
      <c r="L295" s="1627" t="s">
        <v>2298</v>
      </c>
      <c r="M295" s="1628">
        <v>5.2531000000000001E-2</v>
      </c>
      <c r="N295" s="1629">
        <v>1.1060424201825938</v>
      </c>
      <c r="O295" s="1629">
        <v>1.1060424201825938</v>
      </c>
    </row>
    <row r="296" spans="2:15">
      <c r="B296" s="1508">
        <v>41426</v>
      </c>
      <c r="C296" s="1509">
        <v>519.15300000000002</v>
      </c>
      <c r="D296" s="1509">
        <v>3715.92</v>
      </c>
      <c r="E296" s="1509">
        <v>1.0060527337434972</v>
      </c>
      <c r="F296" s="1509">
        <v>31.721457998595405</v>
      </c>
      <c r="G296" s="66"/>
      <c r="K296" s="1626">
        <v>42353</v>
      </c>
      <c r="L296" s="1627" t="s">
        <v>2298</v>
      </c>
      <c r="M296" s="1628">
        <v>5.2531000000000001E-2</v>
      </c>
      <c r="N296" s="1629">
        <v>1.10662343532634</v>
      </c>
      <c r="O296" s="1629">
        <v>1.10662343532634</v>
      </c>
    </row>
    <row r="297" spans="2:15">
      <c r="B297" s="1508">
        <v>41456</v>
      </c>
      <c r="C297" s="1509">
        <v>520.50800000000004</v>
      </c>
      <c r="D297" s="1509">
        <v>3717.03</v>
      </c>
      <c r="E297" s="1509">
        <v>1.0072409169740031</v>
      </c>
      <c r="F297" s="1509">
        <v>31.951150442257561</v>
      </c>
      <c r="K297" s="1626">
        <v>42354</v>
      </c>
      <c r="L297" s="1627" t="s">
        <v>2298</v>
      </c>
      <c r="M297" s="1628">
        <v>5.2531000000000001E-2</v>
      </c>
      <c r="N297" s="1629">
        <v>1.1072047556831512</v>
      </c>
      <c r="O297" s="1629">
        <v>1.1072047556831512</v>
      </c>
    </row>
    <row r="298" spans="2:15">
      <c r="B298" s="1508">
        <v>41487</v>
      </c>
      <c r="C298" s="1509">
        <v>521.27</v>
      </c>
      <c r="D298" s="1509">
        <v>3725.95</v>
      </c>
      <c r="E298" s="1509">
        <v>1.0071031495053051</v>
      </c>
      <c r="F298" s="1509">
        <v>32.178104240715413</v>
      </c>
      <c r="K298" s="1626">
        <v>42355</v>
      </c>
      <c r="L298" s="1627" t="s">
        <v>2298</v>
      </c>
      <c r="M298" s="1628">
        <v>5.2531000000000001E-2</v>
      </c>
      <c r="N298" s="1629">
        <v>1.1077863814133591</v>
      </c>
      <c r="O298" s="1629">
        <v>1.1077863814133591</v>
      </c>
    </row>
    <row r="299" spans="2:15">
      <c r="B299" s="1508">
        <v>41518</v>
      </c>
      <c r="C299" s="1509">
        <v>529.08500000000004</v>
      </c>
      <c r="D299" s="1509">
        <v>3738.99</v>
      </c>
      <c r="E299" s="1509">
        <v>1.0071302882501354</v>
      </c>
      <c r="F299" s="1509">
        <v>32.407543399294617</v>
      </c>
      <c r="K299" s="1626">
        <v>42356</v>
      </c>
      <c r="L299" s="1627" t="s">
        <v>2298</v>
      </c>
      <c r="M299" s="1628">
        <v>5.2531000000000001E-2</v>
      </c>
      <c r="N299" s="1629">
        <v>1.1083683126773793</v>
      </c>
      <c r="O299" s="1629">
        <v>1.1083683126773793</v>
      </c>
    </row>
    <row r="300" spans="2:15">
      <c r="B300" s="1508">
        <v>41548</v>
      </c>
      <c r="C300" s="1509">
        <v>533.62099999999998</v>
      </c>
      <c r="D300" s="1509">
        <v>3760.3</v>
      </c>
      <c r="E300" s="1509">
        <v>1.0081051023495244</v>
      </c>
      <c r="F300" s="1509">
        <v>32.670209855442558</v>
      </c>
      <c r="G300" s="67"/>
      <c r="K300" s="1626">
        <v>42357</v>
      </c>
      <c r="L300" s="1627"/>
      <c r="M300" s="1628">
        <v>0</v>
      </c>
      <c r="N300" s="1629">
        <v>1.1083683126773793</v>
      </c>
      <c r="O300" s="1629">
        <v>1.1083683126773793</v>
      </c>
    </row>
    <row r="301" spans="2:15">
      <c r="B301" s="1508">
        <v>41579</v>
      </c>
      <c r="C301" s="1509">
        <v>535.16800000000001</v>
      </c>
      <c r="D301" s="1509">
        <v>3780.61</v>
      </c>
      <c r="E301" s="1509">
        <v>1.0071920752752215</v>
      </c>
      <c r="F301" s="1509">
        <v>32.905176463980183</v>
      </c>
      <c r="G301" s="67"/>
      <c r="K301" s="1626">
        <v>42358</v>
      </c>
      <c r="L301" s="1627"/>
      <c r="M301" s="1628">
        <v>0</v>
      </c>
      <c r="N301" s="1629">
        <v>1.1083683126773793</v>
      </c>
      <c r="O301" s="1629">
        <v>1.1083683126773793</v>
      </c>
    </row>
    <row r="302" spans="2:15">
      <c r="B302" s="1508">
        <v>41609</v>
      </c>
      <c r="C302" s="1509">
        <v>538.37</v>
      </c>
      <c r="D302" s="1509">
        <v>3815.39</v>
      </c>
      <c r="E302" s="1509">
        <v>1.0078974581644051</v>
      </c>
      <c r="F302" s="1509">
        <v>33.165043718496833</v>
      </c>
      <c r="G302" s="66"/>
      <c r="K302" s="1626">
        <v>42359</v>
      </c>
      <c r="L302" s="1627" t="s">
        <v>2298</v>
      </c>
      <c r="M302" s="1628">
        <v>5.2531000000000001E-2</v>
      </c>
      <c r="N302" s="1629">
        <v>1.1089505496357119</v>
      </c>
      <c r="O302" s="1629">
        <v>1.1089505496357119</v>
      </c>
    </row>
    <row r="303" spans="2:15">
      <c r="B303" s="1508">
        <v>41640</v>
      </c>
      <c r="C303" s="1509">
        <v>540.95899999999995</v>
      </c>
      <c r="D303" s="1509">
        <v>3836.38</v>
      </c>
      <c r="E303" s="1509">
        <v>1.0084934395272054</v>
      </c>
      <c r="F303" s="1509">
        <v>33.446729011737006</v>
      </c>
      <c r="K303" s="1626">
        <v>42360</v>
      </c>
      <c r="L303" s="1627" t="s">
        <v>2298</v>
      </c>
      <c r="M303" s="1628">
        <v>5.2531000000000001E-2</v>
      </c>
      <c r="N303" s="1629">
        <v>1.109533092448941</v>
      </c>
      <c r="O303" s="1629">
        <v>1.109533092448941</v>
      </c>
    </row>
    <row r="304" spans="2:15">
      <c r="B304" s="1508">
        <v>41671</v>
      </c>
      <c r="C304" s="1509">
        <v>543.03800000000001</v>
      </c>
      <c r="D304" s="1509">
        <v>3862.84</v>
      </c>
      <c r="E304" s="1509">
        <v>1.007901464239193</v>
      </c>
      <c r="F304" s="1509">
        <v>33.711007144941227</v>
      </c>
      <c r="K304" s="1626">
        <v>42361</v>
      </c>
      <c r="L304" s="1627" t="s">
        <v>2298</v>
      </c>
      <c r="M304" s="1628">
        <v>5.2531000000000001E-2</v>
      </c>
      <c r="N304" s="1629">
        <v>1.1101159412777355</v>
      </c>
      <c r="O304" s="1629">
        <v>1.1101159412777355</v>
      </c>
    </row>
    <row r="305" spans="2:15">
      <c r="B305" s="1508">
        <v>41699</v>
      </c>
      <c r="C305" s="1509">
        <v>552.08699999999999</v>
      </c>
      <c r="D305" s="1509">
        <v>3898.38</v>
      </c>
      <c r="E305" s="1509">
        <v>1.0076595732083427</v>
      </c>
      <c r="F305" s="1509">
        <v>33.969219072094866</v>
      </c>
      <c r="K305" s="1626">
        <v>42362</v>
      </c>
      <c r="L305" s="1627" t="s">
        <v>2298</v>
      </c>
      <c r="M305" s="1628">
        <v>5.2531000000000001E-2</v>
      </c>
      <c r="N305" s="1629">
        <v>1.110699096282848</v>
      </c>
      <c r="O305" s="1629">
        <v>1.110699096282848</v>
      </c>
    </row>
    <row r="306" spans="2:15">
      <c r="B306" s="1508">
        <v>41730</v>
      </c>
      <c r="C306" s="1509">
        <v>556.41999999999996</v>
      </c>
      <c r="D306" s="1509">
        <v>3924.5</v>
      </c>
      <c r="E306" s="1509">
        <v>1.0082266762081393</v>
      </c>
      <c r="F306" s="1509">
        <v>34.248672838444342</v>
      </c>
      <c r="K306" s="1626">
        <v>42363</v>
      </c>
      <c r="L306" s="1627"/>
      <c r="M306" s="1628">
        <v>0</v>
      </c>
      <c r="N306" s="1629">
        <v>1.110699096282848</v>
      </c>
      <c r="O306" s="1629">
        <v>1.110699096282848</v>
      </c>
    </row>
    <row r="307" spans="2:15">
      <c r="B307" s="1508">
        <v>41760</v>
      </c>
      <c r="C307" s="1509">
        <v>555.67899999999997</v>
      </c>
      <c r="D307" s="1509">
        <v>3942.55</v>
      </c>
      <c r="E307" s="1509">
        <v>1.0086587318278823</v>
      </c>
      <c r="F307" s="1509">
        <v>34.545222912013308</v>
      </c>
      <c r="K307" s="1626">
        <v>42364</v>
      </c>
      <c r="L307" s="1627"/>
      <c r="M307" s="1628">
        <v>0</v>
      </c>
      <c r="N307" s="1629">
        <v>1.110699096282848</v>
      </c>
      <c r="O307" s="1629">
        <v>1.110699096282848</v>
      </c>
    </row>
    <row r="308" spans="2:15">
      <c r="B308" s="1508">
        <v>41791</v>
      </c>
      <c r="C308" s="1509">
        <v>551.55399999999997</v>
      </c>
      <c r="D308" s="1509">
        <v>3958.32</v>
      </c>
      <c r="E308" s="1509">
        <v>1.0082447163000285</v>
      </c>
      <c r="F308" s="1509">
        <v>34.830038474444102</v>
      </c>
      <c r="K308" s="1626">
        <v>42365</v>
      </c>
      <c r="L308" s="1627"/>
      <c r="M308" s="1628">
        <v>0</v>
      </c>
      <c r="N308" s="1629">
        <v>1.110699096282848</v>
      </c>
      <c r="O308" s="1629">
        <v>1.110699096282848</v>
      </c>
    </row>
    <row r="309" spans="2:15">
      <c r="B309" s="1508">
        <v>41821</v>
      </c>
      <c r="C309" s="1509">
        <v>548.202</v>
      </c>
      <c r="D309" s="1509">
        <v>3958.72</v>
      </c>
      <c r="E309" s="1509">
        <v>1.0094872729749897</v>
      </c>
      <c r="F309" s="1509">
        <v>35.160480557180549</v>
      </c>
      <c r="K309" s="1626">
        <v>42366</v>
      </c>
      <c r="L309" s="1627" t="s">
        <v>2298</v>
      </c>
      <c r="M309" s="1628">
        <v>5.2531000000000001E-2</v>
      </c>
      <c r="N309" s="1629">
        <v>1.1112825576251164</v>
      </c>
      <c r="O309" s="1629">
        <v>1.1112825576251164</v>
      </c>
    </row>
    <row r="310" spans="2:15">
      <c r="B310" s="1508">
        <v>41852</v>
      </c>
      <c r="C310" s="1509">
        <v>546.745</v>
      </c>
      <c r="D310" s="1509">
        <v>3968.62</v>
      </c>
      <c r="E310" s="1509">
        <v>1.0086598207325679</v>
      </c>
      <c r="F310" s="1509">
        <v>35.464964015676671</v>
      </c>
      <c r="K310" s="1626">
        <v>42367</v>
      </c>
      <c r="L310" s="1627" t="s">
        <v>2298</v>
      </c>
      <c r="M310" s="1628">
        <v>5.2531000000000001E-2</v>
      </c>
      <c r="N310" s="1629">
        <v>1.1118663254654624</v>
      </c>
      <c r="O310" s="1629">
        <v>1.1118663254654624</v>
      </c>
    </row>
    <row r="311" spans="2:15">
      <c r="B311" s="1508">
        <v>41883</v>
      </c>
      <c r="C311" s="1509">
        <v>547.83900000000006</v>
      </c>
      <c r="D311" s="1509">
        <v>3991.24</v>
      </c>
      <c r="E311" s="1509">
        <v>1.0090729173629331</v>
      </c>
      <c r="F311" s="1509">
        <v>35.786734703470302</v>
      </c>
      <c r="K311" s="1626">
        <v>42368</v>
      </c>
      <c r="L311" s="1627" t="s">
        <v>2298</v>
      </c>
      <c r="M311" s="1628">
        <v>5.2531000000000001E-2</v>
      </c>
      <c r="N311" s="1629">
        <v>1.1124503999648927</v>
      </c>
      <c r="O311" s="1629">
        <v>1.1124503999648927</v>
      </c>
    </row>
    <row r="312" spans="2:15">
      <c r="B312" s="1508">
        <v>41913</v>
      </c>
      <c r="C312" s="1509">
        <v>549.39599999999996</v>
      </c>
      <c r="D312" s="1509">
        <v>4008</v>
      </c>
      <c r="E312" s="1509">
        <v>1.009505315279368</v>
      </c>
      <c r="F312" s="1509">
        <v>36.126898899645887</v>
      </c>
      <c r="K312" s="1626">
        <v>42369</v>
      </c>
      <c r="L312" s="1627" t="s">
        <v>2298</v>
      </c>
      <c r="M312" s="1628">
        <v>5.2531000000000001E-2</v>
      </c>
      <c r="N312" s="1629">
        <v>1.1130347812844983</v>
      </c>
      <c r="O312" s="1629">
        <v>1.1130347812844983</v>
      </c>
    </row>
    <row r="313" spans="2:15">
      <c r="B313" s="1508">
        <v>41944</v>
      </c>
      <c r="C313" s="1509">
        <v>554.76900000000001</v>
      </c>
      <c r="D313" s="1509">
        <v>4028.44</v>
      </c>
      <c r="E313" s="1509">
        <v>1.0084249317586502</v>
      </c>
      <c r="F313" s="1509">
        <v>36.431265557527063</v>
      </c>
      <c r="K313" s="1626">
        <v>42370</v>
      </c>
      <c r="L313" s="1627"/>
      <c r="M313" s="1628">
        <v>0</v>
      </c>
      <c r="N313" s="1629">
        <v>1.1130347812844983</v>
      </c>
      <c r="O313" s="1629">
        <v>1.1130347812844983</v>
      </c>
    </row>
    <row r="314" spans="2:15">
      <c r="B314" s="1508">
        <v>41974</v>
      </c>
      <c r="C314" s="1509">
        <v>558.21299999999997</v>
      </c>
      <c r="D314" s="1509">
        <v>4059.86</v>
      </c>
      <c r="E314" s="1509">
        <v>1.0096129495106978</v>
      </c>
      <c r="F314" s="1509">
        <v>36.781477473942395</v>
      </c>
      <c r="K314" s="1626">
        <v>42371</v>
      </c>
      <c r="L314" s="1627"/>
      <c r="M314" s="1628">
        <v>0</v>
      </c>
      <c r="N314" s="1629">
        <v>1.1130347812844983</v>
      </c>
      <c r="O314" s="1629">
        <v>1.1130347812844983</v>
      </c>
    </row>
    <row r="315" spans="2:15">
      <c r="B315" s="1508">
        <v>42005</v>
      </c>
      <c r="C315" s="1509">
        <v>562.48199999999997</v>
      </c>
      <c r="D315" s="1509">
        <v>4110.2</v>
      </c>
      <c r="E315" s="1509">
        <v>1.0093507541041149</v>
      </c>
      <c r="F315" s="1509">
        <v>37.12541202538727</v>
      </c>
      <c r="K315" s="1626">
        <v>42372</v>
      </c>
      <c r="L315" s="1627"/>
      <c r="M315" s="1628">
        <v>0</v>
      </c>
      <c r="N315" s="1629">
        <v>1.1130347812844983</v>
      </c>
      <c r="O315" s="1629">
        <v>1.1130347812844983</v>
      </c>
    </row>
    <row r="316" spans="2:15">
      <c r="B316" s="1508">
        <v>42036</v>
      </c>
      <c r="C316" s="1509">
        <v>564.00400000000002</v>
      </c>
      <c r="D316" s="1509">
        <v>4160.34</v>
      </c>
      <c r="E316" s="1509">
        <v>1.0082241099890967</v>
      </c>
      <c r="F316" s="1509">
        <v>37.43073549727459</v>
      </c>
      <c r="K316" s="1626">
        <v>42373</v>
      </c>
      <c r="L316" s="1627" t="s">
        <v>2298</v>
      </c>
      <c r="M316" s="1628">
        <v>5.2531000000000001E-2</v>
      </c>
      <c r="N316" s="1629">
        <v>1.1136194695854549</v>
      </c>
      <c r="O316" s="1629">
        <v>1.1136194695854549</v>
      </c>
    </row>
    <row r="317" spans="2:15">
      <c r="B317" s="1508">
        <v>42064</v>
      </c>
      <c r="C317" s="1509">
        <v>569.53599999999994</v>
      </c>
      <c r="D317" s="1509">
        <v>4215.26</v>
      </c>
      <c r="E317" s="1509">
        <v>1.0103996710699541</v>
      </c>
      <c r="F317" s="1509">
        <v>37.820002834352699</v>
      </c>
      <c r="K317" s="1626">
        <v>42374</v>
      </c>
      <c r="L317" s="1627" t="s">
        <v>2298</v>
      </c>
      <c r="M317" s="1628">
        <v>5.2531000000000001E-2</v>
      </c>
      <c r="N317" s="1629">
        <v>1.1142044650290228</v>
      </c>
      <c r="O317" s="1629">
        <v>1.1142044650290228</v>
      </c>
    </row>
    <row r="318" spans="2:15">
      <c r="B318" s="1508">
        <v>42095</v>
      </c>
      <c r="C318" s="1509">
        <v>576.17499999999995</v>
      </c>
      <c r="D318" s="1509">
        <v>4245.1899999999996</v>
      </c>
      <c r="E318" s="1509">
        <v>1.0095179160892187</v>
      </c>
      <c r="F318" s="1509">
        <v>38.179970447824083</v>
      </c>
      <c r="K318" s="1626">
        <v>42375</v>
      </c>
      <c r="L318" s="1627" t="s">
        <v>2298</v>
      </c>
      <c r="M318" s="1628">
        <v>5.2531000000000001E-2</v>
      </c>
      <c r="N318" s="1629">
        <v>1.1147897677765473</v>
      </c>
      <c r="O318" s="1629">
        <v>1.1147897677765473</v>
      </c>
    </row>
    <row r="319" spans="2:15">
      <c r="B319" s="1508">
        <v>42125</v>
      </c>
      <c r="C319" s="1509">
        <v>578.51599999999996</v>
      </c>
      <c r="D319" s="1509">
        <v>4276.6000000000004</v>
      </c>
      <c r="E319" s="1509">
        <v>1.0098532226245138</v>
      </c>
      <c r="F319" s="1509">
        <v>38.556166196443854</v>
      </c>
      <c r="K319" s="1626">
        <v>42376</v>
      </c>
      <c r="L319" s="1627" t="s">
        <v>2298</v>
      </c>
      <c r="M319" s="1628">
        <v>5.2531000000000001E-2</v>
      </c>
      <c r="N319" s="1629">
        <v>1.115375377989458</v>
      </c>
      <c r="O319" s="1629">
        <v>1.115375377989458</v>
      </c>
    </row>
    <row r="320" spans="2:15">
      <c r="B320" s="1508">
        <v>42156</v>
      </c>
      <c r="C320" s="1509">
        <v>582.40099999999995</v>
      </c>
      <c r="D320" s="1509">
        <v>4310.3900000000003</v>
      </c>
      <c r="E320" s="1509">
        <v>1.0106667572412273</v>
      </c>
      <c r="F320" s="1509">
        <v>38.967435461413736</v>
      </c>
      <c r="K320" s="1626">
        <v>42377</v>
      </c>
      <c r="L320" s="1627" t="s">
        <v>2298</v>
      </c>
      <c r="M320" s="1628">
        <v>5.2531000000000001E-2</v>
      </c>
      <c r="N320" s="1629">
        <v>1.1159612958292695</v>
      </c>
      <c r="O320" s="1629">
        <v>1.1159612958292695</v>
      </c>
    </row>
    <row r="321" spans="2:15">
      <c r="B321" s="1508">
        <v>42186</v>
      </c>
      <c r="C321" s="1509">
        <v>586.42600000000004</v>
      </c>
      <c r="D321" s="1509">
        <v>4337.1099999999997</v>
      </c>
      <c r="E321" s="1509">
        <v>1.0117819838421735</v>
      </c>
      <c r="F321" s="1509">
        <v>39.426549156391054</v>
      </c>
      <c r="K321" s="1626">
        <v>42378</v>
      </c>
      <c r="L321" s="1627"/>
      <c r="M321" s="1628">
        <v>0</v>
      </c>
      <c r="N321" s="1629">
        <v>1.1159612958292695</v>
      </c>
      <c r="O321" s="1629">
        <v>1.1159612958292695</v>
      </c>
    </row>
    <row r="322" spans="2:15">
      <c r="B322" s="1508">
        <v>42217</v>
      </c>
      <c r="C322" s="1509">
        <v>588.04200000000003</v>
      </c>
      <c r="D322" s="1509">
        <v>4346.6499999999996</v>
      </c>
      <c r="E322" s="1509">
        <v>1.0110896528780247</v>
      </c>
      <c r="F322" s="1509">
        <v>39.863775900713804</v>
      </c>
      <c r="K322" s="1626">
        <v>42379</v>
      </c>
      <c r="L322" s="1627"/>
      <c r="M322" s="1628">
        <v>0</v>
      </c>
      <c r="N322" s="1629">
        <v>1.1159612958292695</v>
      </c>
      <c r="O322" s="1629">
        <v>1.1159612958292695</v>
      </c>
    </row>
    <row r="323" spans="2:15">
      <c r="B323" s="1508">
        <v>42248</v>
      </c>
      <c r="C323" s="1509">
        <v>593.60599999999999</v>
      </c>
      <c r="D323" s="1509">
        <v>4370.12</v>
      </c>
      <c r="E323" s="1509">
        <v>1.0110896528780244</v>
      </c>
      <c r="F323" s="1509">
        <v>40.305851337860076</v>
      </c>
      <c r="K323" s="1626">
        <v>42380</v>
      </c>
      <c r="L323" s="1627" t="s">
        <v>2298</v>
      </c>
      <c r="M323" s="1628">
        <v>5.2531000000000001E-2</v>
      </c>
      <c r="N323" s="1629">
        <v>1.1165475214575815</v>
      </c>
      <c r="O323" s="1629">
        <v>1.1165475214575815</v>
      </c>
    </row>
    <row r="324" spans="2:15">
      <c r="B324" s="1508">
        <v>42278</v>
      </c>
      <c r="C324" s="1509">
        <v>604.83199999999999</v>
      </c>
      <c r="D324" s="1509">
        <v>4405.95</v>
      </c>
      <c r="E324" s="1509">
        <v>1.0110896528780242</v>
      </c>
      <c r="F324" s="1509">
        <v>40.752829238150191</v>
      </c>
      <c r="K324" s="1626">
        <v>42381</v>
      </c>
      <c r="L324" s="1627" t="s">
        <v>2298</v>
      </c>
      <c r="M324" s="1628">
        <v>5.2531000000000001E-2</v>
      </c>
      <c r="N324" s="1629">
        <v>1.1171340550360784</v>
      </c>
      <c r="O324" s="1629">
        <v>1.1171340550360784</v>
      </c>
    </row>
    <row r="325" spans="2:15">
      <c r="B325" s="1508">
        <v>42309</v>
      </c>
      <c r="C325" s="1509">
        <v>614.05100000000004</v>
      </c>
      <c r="D325" s="1509">
        <v>4450.45</v>
      </c>
      <c r="E325" s="1509">
        <v>1.0105587962367735</v>
      </c>
      <c r="F325" s="1509">
        <v>41.183130058147846</v>
      </c>
      <c r="K325" s="1626">
        <v>42382</v>
      </c>
      <c r="L325" s="1627" t="s">
        <v>2298</v>
      </c>
      <c r="M325" s="1628">
        <v>5.2531000000000001E-2</v>
      </c>
      <c r="N325" s="1629">
        <v>1.1177208967265295</v>
      </c>
      <c r="O325" s="1629">
        <v>1.1177208967265295</v>
      </c>
    </row>
    <row r="326" spans="2:15">
      <c r="B326" s="1508">
        <v>42339</v>
      </c>
      <c r="C326" s="1509">
        <v>617.04399999999998</v>
      </c>
      <c r="D326" s="1509">
        <v>4493.17</v>
      </c>
      <c r="E326" s="1509">
        <v>1.0116207883835777</v>
      </c>
      <c r="F326" s="1509">
        <v>41.66171049752694</v>
      </c>
      <c r="K326" s="1626">
        <v>42383</v>
      </c>
      <c r="L326" s="1627" t="s">
        <v>2298</v>
      </c>
      <c r="M326" s="1628">
        <v>5.2531000000000001E-2</v>
      </c>
      <c r="N326" s="1629">
        <v>1.1183080466907889</v>
      </c>
      <c r="O326" s="1629">
        <v>1.1183080466907889</v>
      </c>
    </row>
    <row r="327" spans="2:15">
      <c r="B327" s="1508">
        <v>42370</v>
      </c>
      <c r="C327" s="1509">
        <v>624.05999999999995</v>
      </c>
      <c r="D327" s="1509">
        <v>4550.2299999999996</v>
      </c>
      <c r="E327" s="1509">
        <v>1.0105587962367735</v>
      </c>
      <c r="F327" s="1509">
        <v>42.101608009545771</v>
      </c>
      <c r="K327" s="1626">
        <v>42384</v>
      </c>
      <c r="L327" s="1627" t="s">
        <v>2298</v>
      </c>
      <c r="M327" s="1628">
        <v>5.2531000000000001E-2</v>
      </c>
      <c r="N327" s="1629">
        <v>1.118895505090796</v>
      </c>
      <c r="O327" s="1629">
        <v>1.118895505090796</v>
      </c>
    </row>
    <row r="328" spans="2:15">
      <c r="B328" s="1508">
        <v>42401</v>
      </c>
      <c r="C328" s="1509">
        <v>632.11400000000003</v>
      </c>
      <c r="D328" s="1509">
        <v>4591.18</v>
      </c>
      <c r="E328" s="1509">
        <v>1.0100282183134115</v>
      </c>
      <c r="F328" s="1509">
        <v>42.523812126011173</v>
      </c>
      <c r="K328" s="1626">
        <v>42385</v>
      </c>
      <c r="L328" s="1627"/>
      <c r="M328" s="1628">
        <v>0</v>
      </c>
      <c r="N328" s="1629">
        <v>1.118895505090796</v>
      </c>
      <c r="O328" s="1629">
        <v>1.118895505090796</v>
      </c>
    </row>
    <row r="329" spans="2:15">
      <c r="B329" s="1508">
        <v>42430</v>
      </c>
      <c r="C329" s="1509">
        <v>635.34900000000005</v>
      </c>
      <c r="D329" s="1509">
        <v>4610.92</v>
      </c>
      <c r="E329" s="1509">
        <v>1.0116207883835779</v>
      </c>
      <c r="F329" s="1509">
        <v>43.017972347990572</v>
      </c>
      <c r="K329" s="1626">
        <v>42386</v>
      </c>
      <c r="L329" s="1627"/>
      <c r="M329" s="1628">
        <v>0</v>
      </c>
      <c r="N329" s="1629">
        <v>1.118895505090796</v>
      </c>
      <c r="O329" s="1629">
        <v>1.118895505090796</v>
      </c>
    </row>
    <row r="330" spans="2:15">
      <c r="B330" s="1508">
        <v>42461</v>
      </c>
      <c r="C330" s="1509">
        <v>637.43399999999997</v>
      </c>
      <c r="D330" s="1509">
        <v>4639.05</v>
      </c>
      <c r="E330" s="1509">
        <v>1.0105587962367735</v>
      </c>
      <c r="F330" s="1509">
        <v>43.472190352532159</v>
      </c>
      <c r="K330" s="1626">
        <v>42387</v>
      </c>
      <c r="L330" s="1627" t="s">
        <v>2298</v>
      </c>
      <c r="M330" s="1628">
        <v>5.2531000000000001E-2</v>
      </c>
      <c r="N330" s="1629">
        <v>1.1194832720885752</v>
      </c>
      <c r="O330" s="1629">
        <v>1.1194832720885752</v>
      </c>
    </row>
    <row r="331" spans="2:15">
      <c r="B331" s="1508">
        <v>42491</v>
      </c>
      <c r="C331" s="1509">
        <v>642.65099999999995</v>
      </c>
      <c r="D331" s="1509">
        <v>4675.2299999999996</v>
      </c>
      <c r="E331" s="1509">
        <v>1.0110896528780244</v>
      </c>
      <c r="F331" s="1509">
        <v>43.954281853389141</v>
      </c>
      <c r="K331" s="1626">
        <v>42388</v>
      </c>
      <c r="L331" s="1627" t="s">
        <v>2298</v>
      </c>
      <c r="M331" s="1628">
        <v>5.2531000000000001E-2</v>
      </c>
      <c r="N331" s="1629">
        <v>1.1200713478462361</v>
      </c>
      <c r="O331" s="1629">
        <v>1.1200713478462361</v>
      </c>
    </row>
    <row r="332" spans="2:15">
      <c r="B332" s="1508">
        <v>42522</v>
      </c>
      <c r="C332" s="1509">
        <v>653.49599999999998</v>
      </c>
      <c r="D332" s="1509">
        <v>4691.59</v>
      </c>
      <c r="E332" s="1509">
        <v>1.0116207883835777</v>
      </c>
      <c r="F332" s="1509">
        <v>44.465065261359506</v>
      </c>
      <c r="K332" s="1626">
        <v>42389</v>
      </c>
      <c r="L332" s="1627" t="s">
        <v>2298</v>
      </c>
      <c r="M332" s="1628">
        <v>5.2531000000000001E-2</v>
      </c>
      <c r="N332" s="1629">
        <v>1.1206597325259733</v>
      </c>
      <c r="O332" s="1629">
        <v>1.1206597325259733</v>
      </c>
    </row>
    <row r="333" spans="2:15">
      <c r="B333" s="1508">
        <v>42552</v>
      </c>
      <c r="C333" s="1509">
        <v>654.64099999999996</v>
      </c>
      <c r="D333" s="1509">
        <v>4715.99</v>
      </c>
      <c r="E333" s="1509">
        <v>1.0110896528780242</v>
      </c>
      <c r="F333" s="1509">
        <v>44.958167400306678</v>
      </c>
      <c r="K333" s="1626">
        <v>42390</v>
      </c>
      <c r="L333" s="1627" t="s">
        <v>2298</v>
      </c>
      <c r="M333" s="1628">
        <v>5.2531000000000001E-2</v>
      </c>
      <c r="N333" s="1629">
        <v>1.1212484262900666</v>
      </c>
      <c r="O333" s="1629">
        <v>1.1212484262900666</v>
      </c>
    </row>
    <row r="334" spans="2:15">
      <c r="B334" s="1508">
        <v>42583</v>
      </c>
      <c r="C334" s="1509">
        <v>655.60199999999998</v>
      </c>
      <c r="D334" s="1509">
        <v>4736.74</v>
      </c>
      <c r="E334" s="1509">
        <v>1.0121522028999232</v>
      </c>
      <c r="F334" s="1509">
        <v>45.504508172563916</v>
      </c>
      <c r="K334" s="1626">
        <v>42391</v>
      </c>
      <c r="L334" s="1627" t="s">
        <v>2298</v>
      </c>
      <c r="M334" s="1628">
        <v>5.2531000000000001E-2</v>
      </c>
      <c r="N334" s="1629">
        <v>1.121837429300881</v>
      </c>
      <c r="O334" s="1629">
        <v>1.121837429300881</v>
      </c>
    </row>
    <row r="335" spans="2:15">
      <c r="B335" s="1508">
        <v>42614</v>
      </c>
      <c r="C335" s="1509">
        <v>656.89400000000001</v>
      </c>
      <c r="D335" s="1509">
        <v>4740.53</v>
      </c>
      <c r="E335" s="1509">
        <v>1.0110896528780247</v>
      </c>
      <c r="F335" s="1509">
        <v>46.009137372582884</v>
      </c>
      <c r="K335" s="1626">
        <v>42392</v>
      </c>
      <c r="L335" s="1627"/>
      <c r="M335" s="1628">
        <v>0</v>
      </c>
      <c r="N335" s="1629">
        <v>1.121837429300881</v>
      </c>
      <c r="O335" s="1629">
        <v>1.121837429300881</v>
      </c>
    </row>
    <row r="336" spans="2:15">
      <c r="B336" s="1508">
        <v>42644</v>
      </c>
      <c r="C336" s="1509">
        <v>657.92700000000002</v>
      </c>
      <c r="D336" s="1509">
        <v>4752.8599999999997</v>
      </c>
      <c r="E336" s="1509">
        <v>1.0104884196148551</v>
      </c>
      <c r="F336" s="1509">
        <v>46.491700511464046</v>
      </c>
      <c r="K336" s="1626">
        <v>42393</v>
      </c>
      <c r="L336" s="1627"/>
      <c r="M336" s="1628">
        <v>0</v>
      </c>
      <c r="N336" s="1629">
        <v>1.121837429300881</v>
      </c>
      <c r="O336" s="1629">
        <v>1.121837429300881</v>
      </c>
    </row>
    <row r="337" spans="2:15">
      <c r="B337" s="1508">
        <v>42675</v>
      </c>
      <c r="C337" s="1509">
        <v>657.75199999999995</v>
      </c>
      <c r="D337" s="1509">
        <v>4761.42</v>
      </c>
      <c r="E337" s="1509">
        <v>1.0103828638714687</v>
      </c>
      <c r="F337" s="1509">
        <v>46.974417509027667</v>
      </c>
      <c r="K337" s="1626">
        <v>42394</v>
      </c>
      <c r="L337" s="1627" t="s">
        <v>2298</v>
      </c>
      <c r="M337" s="1628">
        <v>5.2531000000000001E-2</v>
      </c>
      <c r="N337" s="1629">
        <v>1.1224267417208671</v>
      </c>
      <c r="O337" s="1629">
        <v>1.1224267417208671</v>
      </c>
    </row>
    <row r="338" spans="2:15">
      <c r="B338" s="1508">
        <v>42705</v>
      </c>
      <c r="C338" s="1509">
        <v>661.30399999999997</v>
      </c>
      <c r="D338" s="1509">
        <v>4775.7</v>
      </c>
      <c r="E338" s="1509">
        <v>1.0112331468569866</v>
      </c>
      <c r="F338" s="1509">
        <v>47.502088039427981</v>
      </c>
      <c r="K338" s="1626">
        <v>42395</v>
      </c>
      <c r="L338" s="1627" t="s">
        <v>2298</v>
      </c>
      <c r="M338" s="1628">
        <v>5.2531000000000001E-2</v>
      </c>
      <c r="N338" s="1629">
        <v>1.1230163637125605</v>
      </c>
      <c r="O338" s="1629">
        <v>1.1230163637125605</v>
      </c>
    </row>
    <row r="339" spans="2:15">
      <c r="B339" s="1508">
        <v>42736</v>
      </c>
      <c r="C339" s="1509">
        <v>665.54200000000003</v>
      </c>
      <c r="D339" s="1509">
        <v>4793.8500000000004</v>
      </c>
      <c r="E339" s="1509">
        <v>1.0108612048503447</v>
      </c>
      <c r="F339" s="1509">
        <v>48.018017948443315</v>
      </c>
      <c r="K339" s="1626">
        <v>42396</v>
      </c>
      <c r="L339" s="1627" t="s">
        <v>2298</v>
      </c>
      <c r="M339" s="1628">
        <v>5.2531000000000001E-2</v>
      </c>
      <c r="N339" s="1629">
        <v>1.1236062954385824</v>
      </c>
      <c r="O339" s="1629">
        <v>1.1236062954385824</v>
      </c>
    </row>
    <row r="340" spans="2:15">
      <c r="B340" s="1508">
        <v>42767</v>
      </c>
      <c r="C340" s="1509">
        <v>666.09900000000005</v>
      </c>
      <c r="D340" s="1509">
        <v>4809.67</v>
      </c>
      <c r="E340" s="1509">
        <v>1.0086508422083289</v>
      </c>
      <c r="F340" s="1509">
        <v>48.433414244872004</v>
      </c>
      <c r="K340" s="1626">
        <v>42397</v>
      </c>
      <c r="L340" s="1627" t="s">
        <v>2298</v>
      </c>
      <c r="M340" s="1628">
        <v>5.2531000000000001E-2</v>
      </c>
      <c r="N340" s="1629">
        <v>1.1241965370616391</v>
      </c>
      <c r="O340" s="1629">
        <v>1.1241965370616391</v>
      </c>
    </row>
    <row r="341" spans="2:15">
      <c r="B341" s="1508">
        <v>42795</v>
      </c>
      <c r="C341" s="1509">
        <v>666.197</v>
      </c>
      <c r="D341" s="1509">
        <v>4821.6899999999996</v>
      </c>
      <c r="E341" s="1509">
        <v>1.0105205646045978</v>
      </c>
      <c r="F341" s="1509">
        <v>48.94296110845643</v>
      </c>
      <c r="K341" s="1626">
        <v>42398</v>
      </c>
      <c r="L341" s="1627" t="s">
        <v>2298</v>
      </c>
      <c r="M341" s="1628">
        <v>5.2531000000000001E-2</v>
      </c>
      <c r="N341" s="1629">
        <v>1.124787088744523</v>
      </c>
      <c r="O341" s="1629">
        <v>1.124787088744523</v>
      </c>
    </row>
    <row r="342" spans="2:15">
      <c r="B342" s="1508">
        <v>42826</v>
      </c>
      <c r="C342" s="1509">
        <v>658.89800000000002</v>
      </c>
      <c r="D342" s="1509">
        <v>4828.4399999999996</v>
      </c>
      <c r="E342" s="1509">
        <v>1.0078658059100756</v>
      </c>
      <c r="F342" s="1509">
        <v>49.327936941199923</v>
      </c>
      <c r="K342" s="1626">
        <v>42399</v>
      </c>
      <c r="L342" s="1627"/>
      <c r="M342" s="1628">
        <v>0</v>
      </c>
      <c r="N342" s="1629">
        <v>1.124787088744523</v>
      </c>
      <c r="O342" s="1629">
        <v>1.124787088744523</v>
      </c>
    </row>
    <row r="343" spans="2:15">
      <c r="B343" s="1508">
        <v>42856</v>
      </c>
      <c r="C343" s="1509">
        <v>652.75800000000004</v>
      </c>
      <c r="D343" s="1509">
        <v>4843.41</v>
      </c>
      <c r="E343" s="1509">
        <v>1.0092713189779878</v>
      </c>
      <c r="F343" s="1509">
        <v>49.785271979107854</v>
      </c>
      <c r="K343" s="1626">
        <v>42400</v>
      </c>
      <c r="L343" s="1627"/>
      <c r="M343" s="1628">
        <v>0</v>
      </c>
      <c r="N343" s="1629">
        <v>1.124787088744523</v>
      </c>
      <c r="O343" s="1629">
        <v>1.124787088744523</v>
      </c>
    </row>
    <row r="344" spans="2:15">
      <c r="B344" s="1508">
        <v>42887</v>
      </c>
      <c r="C344" s="1509">
        <v>648.40899999999999</v>
      </c>
      <c r="D344" s="1509">
        <v>4832.2700000000004</v>
      </c>
      <c r="E344" s="1509">
        <v>1.0080886926571575</v>
      </c>
      <c r="F344" s="1509">
        <v>50.187969742999854</v>
      </c>
      <c r="K344" s="1626">
        <v>42401</v>
      </c>
      <c r="L344" s="1627" t="s">
        <v>2298</v>
      </c>
      <c r="M344" s="1628">
        <v>5.2531000000000001E-2</v>
      </c>
      <c r="N344" s="1629">
        <v>1.1253779506501114</v>
      </c>
      <c r="O344" s="1629">
        <v>1.1253779506501114</v>
      </c>
    </row>
    <row r="345" spans="2:15">
      <c r="B345" s="1508">
        <v>42917</v>
      </c>
      <c r="C345" s="1509">
        <v>643.76599999999996</v>
      </c>
      <c r="D345" s="1509">
        <v>4843.87</v>
      </c>
      <c r="E345" s="1509">
        <v>1.0079792299470567</v>
      </c>
      <c r="F345" s="1509">
        <v>50.588431094155176</v>
      </c>
      <c r="K345" s="1626">
        <v>42402</v>
      </c>
      <c r="L345" s="1627" t="s">
        <v>2298</v>
      </c>
      <c r="M345" s="1628">
        <v>5.2531000000000001E-2</v>
      </c>
      <c r="N345" s="1629">
        <v>1.1259691229413673</v>
      </c>
      <c r="O345" s="1629">
        <v>1.1259691229413673</v>
      </c>
    </row>
    <row r="346" spans="2:15">
      <c r="B346" s="1508">
        <v>42948</v>
      </c>
      <c r="C346" s="1509">
        <v>644.38300000000004</v>
      </c>
      <c r="D346" s="1509">
        <v>4853.07</v>
      </c>
      <c r="E346" s="1509">
        <v>1.0080228940119034</v>
      </c>
      <c r="F346" s="1509">
        <v>50.994296715052059</v>
      </c>
      <c r="K346" s="1626">
        <v>42403</v>
      </c>
      <c r="L346" s="1627" t="s">
        <v>2298</v>
      </c>
      <c r="M346" s="1628">
        <v>5.2531000000000001E-2</v>
      </c>
      <c r="N346" s="1629">
        <v>1.1265606057813395</v>
      </c>
      <c r="O346" s="1629">
        <v>1.1265606057813395</v>
      </c>
    </row>
    <row r="347" spans="2:15">
      <c r="B347" s="1508">
        <v>42979</v>
      </c>
      <c r="C347" s="1509">
        <v>647.4</v>
      </c>
      <c r="D347" s="1509">
        <v>4860.83</v>
      </c>
      <c r="E347" s="1509">
        <v>1.0063846003708505</v>
      </c>
      <c r="F347" s="1509">
        <v>51.319874920770239</v>
      </c>
      <c r="K347" s="1626">
        <v>42404</v>
      </c>
      <c r="L347" s="1627" t="s">
        <v>2298</v>
      </c>
      <c r="M347" s="1628">
        <v>5.2531000000000001E-2</v>
      </c>
      <c r="N347" s="1629">
        <v>1.1271523993331625</v>
      </c>
      <c r="O347" s="1629">
        <v>1.1271523993331625</v>
      </c>
    </row>
    <row r="348" spans="2:15">
      <c r="B348" s="1508">
        <v>43009</v>
      </c>
      <c r="C348" s="1509">
        <v>648.67200000000003</v>
      </c>
      <c r="D348" s="1509">
        <v>4881.25</v>
      </c>
      <c r="E348" s="1509">
        <v>1.0064393014601032</v>
      </c>
      <c r="F348" s="1509">
        <v>51.650339066279869</v>
      </c>
      <c r="K348" s="1626">
        <v>42405</v>
      </c>
      <c r="L348" s="1627" t="s">
        <v>2298</v>
      </c>
      <c r="M348" s="1628">
        <v>5.2531000000000001E-2</v>
      </c>
      <c r="N348" s="1629">
        <v>1.1277445037600562</v>
      </c>
      <c r="O348" s="1629">
        <v>1.1277445037600562</v>
      </c>
    </row>
    <row r="349" spans="2:15">
      <c r="B349" s="1508">
        <v>43040</v>
      </c>
      <c r="C349" s="1509">
        <v>652.07299999999998</v>
      </c>
      <c r="D349" s="1509">
        <v>4894.92</v>
      </c>
      <c r="E349" s="1509">
        <v>1.0056818783789492</v>
      </c>
      <c r="F349" s="1509">
        <v>51.943810011085958</v>
      </c>
      <c r="K349" s="1626">
        <v>42406</v>
      </c>
      <c r="L349" s="1627"/>
      <c r="M349" s="1628">
        <v>0</v>
      </c>
      <c r="N349" s="1629">
        <v>1.1277445037600562</v>
      </c>
      <c r="O349" s="1629">
        <v>1.1277445037600562</v>
      </c>
    </row>
    <row r="350" spans="2:15">
      <c r="B350" s="1508">
        <v>43070</v>
      </c>
      <c r="C350" s="1509">
        <v>657.85900000000004</v>
      </c>
      <c r="D350" s="1509">
        <v>4916.46</v>
      </c>
      <c r="E350" s="1509">
        <v>1.0053840004998948</v>
      </c>
      <c r="F350" s="1509">
        <v>52.223475510152085</v>
      </c>
      <c r="K350" s="1626">
        <v>42407</v>
      </c>
      <c r="L350" s="1627"/>
      <c r="M350" s="1628">
        <v>0</v>
      </c>
      <c r="N350" s="1629">
        <v>1.1277445037600562</v>
      </c>
      <c r="O350" s="1629">
        <v>1.1277445037600562</v>
      </c>
    </row>
    <row r="351" spans="2:15">
      <c r="B351" s="1508">
        <v>43101</v>
      </c>
      <c r="C351" s="1509">
        <v>662.82600000000002</v>
      </c>
      <c r="D351" s="1509">
        <v>4930.72</v>
      </c>
      <c r="E351" s="1509">
        <v>1.0058420473548675</v>
      </c>
      <c r="F351" s="1509">
        <v>52.528567527118156</v>
      </c>
      <c r="K351" s="1626">
        <v>42408</v>
      </c>
      <c r="L351" s="1627"/>
      <c r="M351" s="1628">
        <v>0</v>
      </c>
      <c r="N351" s="1629">
        <v>1.1277445037600562</v>
      </c>
      <c r="O351" s="1629">
        <v>1.1277445037600562</v>
      </c>
    </row>
    <row r="352" spans="2:15">
      <c r="B352" s="1508">
        <v>43132</v>
      </c>
      <c r="C352" s="1509">
        <v>663.31100000000004</v>
      </c>
      <c r="D352" s="1509">
        <v>4946.5</v>
      </c>
      <c r="E352" s="1509">
        <v>1.0046560161193037</v>
      </c>
      <c r="F352" s="1509">
        <v>52.773141384248348</v>
      </c>
      <c r="K352" s="1626">
        <v>42409</v>
      </c>
      <c r="L352" s="1627"/>
      <c r="M352" s="1628">
        <v>0</v>
      </c>
      <c r="N352" s="1629">
        <v>1.1277445037600562</v>
      </c>
      <c r="O352" s="1629">
        <v>1.1277445037600562</v>
      </c>
    </row>
    <row r="353" spans="2:15">
      <c r="B353" s="1508">
        <v>43160</v>
      </c>
      <c r="C353" s="1509">
        <v>667.524</v>
      </c>
      <c r="D353" s="1509">
        <v>4950.95</v>
      </c>
      <c r="E353" s="1509">
        <v>1.0053234480536677</v>
      </c>
      <c r="F353" s="1509">
        <v>53.054076461036253</v>
      </c>
      <c r="K353" s="1626">
        <v>42410</v>
      </c>
      <c r="L353" s="1627" t="s">
        <v>2298</v>
      </c>
      <c r="M353" s="1628">
        <v>5.2531000000000001E-2</v>
      </c>
      <c r="N353" s="1629">
        <v>1.1283369192253263</v>
      </c>
      <c r="O353" s="1629">
        <v>1.1283369192253263</v>
      </c>
    </row>
    <row r="354" spans="2:15">
      <c r="B354" s="1508">
        <v>43191</v>
      </c>
      <c r="C354" s="1509">
        <v>671.327</v>
      </c>
      <c r="D354" s="1509">
        <v>4961.84</v>
      </c>
      <c r="E354" s="1509">
        <v>1.0051829489023658</v>
      </c>
      <c r="F354" s="1509">
        <v>53.329053028396011</v>
      </c>
      <c r="K354" s="1626">
        <v>42411</v>
      </c>
      <c r="L354" s="1627" t="s">
        <v>2298</v>
      </c>
      <c r="M354" s="1628">
        <v>5.2531000000000001E-2</v>
      </c>
      <c r="N354" s="1629">
        <v>1.1289296458923646</v>
      </c>
      <c r="O354" s="1629">
        <v>1.1289296458923646</v>
      </c>
    </row>
    <row r="355" spans="2:15">
      <c r="B355" s="1508">
        <v>43221</v>
      </c>
      <c r="C355" s="1509">
        <v>680.57899999999995</v>
      </c>
      <c r="D355" s="1509">
        <v>4981.6899999999996</v>
      </c>
      <c r="E355" s="1509">
        <v>1.0051829489023656</v>
      </c>
      <c r="F355" s="1509">
        <v>53.605454785253734</v>
      </c>
      <c r="G355" s="504"/>
      <c r="K355" s="1626">
        <v>42412</v>
      </c>
      <c r="L355" s="1627" t="s">
        <v>2298</v>
      </c>
      <c r="M355" s="1628">
        <v>5.2531000000000001E-2</v>
      </c>
      <c r="N355" s="1629">
        <v>1.1295226839246482</v>
      </c>
      <c r="O355" s="1629">
        <v>1.1295226839246482</v>
      </c>
    </row>
    <row r="356" spans="2:15">
      <c r="B356" s="1508">
        <v>43252</v>
      </c>
      <c r="C356" s="1509">
        <v>693.28700000000003</v>
      </c>
      <c r="D356" s="1509">
        <v>5044.46</v>
      </c>
      <c r="E356" s="1509">
        <v>1.0051829489023654</v>
      </c>
      <c r="F356" s="1509">
        <v>53.88328911829376</v>
      </c>
      <c r="G356" s="10"/>
      <c r="I356" s="10"/>
      <c r="K356" s="1626">
        <v>42413</v>
      </c>
      <c r="L356" s="1627"/>
      <c r="M356" s="1628">
        <v>0</v>
      </c>
      <c r="N356" s="1629">
        <v>1.1295226839246482</v>
      </c>
      <c r="O356" s="1629">
        <v>1.1295226839246482</v>
      </c>
    </row>
    <row r="357" spans="2:15">
      <c r="B357" s="1508">
        <v>43282</v>
      </c>
      <c r="C357" s="1509">
        <v>696.8</v>
      </c>
      <c r="D357" s="1509">
        <v>5061.1099999999997</v>
      </c>
      <c r="E357" s="1509">
        <v>1.0054304249443857</v>
      </c>
      <c r="F357" s="1509">
        <v>54.175898275607288</v>
      </c>
      <c r="G357" s="10"/>
      <c r="K357" s="1626">
        <v>42414</v>
      </c>
      <c r="L357" s="1627"/>
      <c r="M357" s="1628">
        <v>0</v>
      </c>
      <c r="N357" s="1629">
        <v>1.1295226839246482</v>
      </c>
      <c r="O357" s="1629">
        <v>1.1295226839246482</v>
      </c>
    </row>
    <row r="358" spans="2:15">
      <c r="B358" s="1508">
        <v>43313</v>
      </c>
      <c r="C358" s="1509">
        <v>701.67700000000002</v>
      </c>
      <c r="D358" s="1509">
        <v>5056.5600000000004</v>
      </c>
      <c r="E358" s="1509">
        <v>1.0056779619150069</v>
      </c>
      <c r="F358" s="1509">
        <v>54.483506962727475</v>
      </c>
      <c r="K358" s="1626">
        <v>42415</v>
      </c>
      <c r="L358" s="1627" t="s">
        <v>2298</v>
      </c>
      <c r="M358" s="1628">
        <v>5.2531000000000001E-2</v>
      </c>
      <c r="N358" s="1629">
        <v>1.1301160334857405</v>
      </c>
      <c r="O358" s="1629">
        <v>1.1301160334857405</v>
      </c>
    </row>
    <row r="359" spans="2:15">
      <c r="B359" s="1508">
        <v>43344</v>
      </c>
      <c r="C359" s="1509">
        <v>712.37300000000005</v>
      </c>
      <c r="D359" s="1509">
        <v>5080.83</v>
      </c>
      <c r="E359" s="1509">
        <v>1.0046881795441467</v>
      </c>
      <c r="F359" s="1509">
        <v>54.738935425563504</v>
      </c>
      <c r="K359" s="1626">
        <v>42416</v>
      </c>
      <c r="L359" s="1627" t="s">
        <v>2298</v>
      </c>
      <c r="M359" s="1628">
        <v>5.2531000000000001E-2</v>
      </c>
      <c r="N359" s="1629">
        <v>1.1307096947392909</v>
      </c>
      <c r="O359" s="1629">
        <v>1.1307096947392909</v>
      </c>
    </row>
    <row r="360" spans="2:15">
      <c r="B360" s="1508">
        <v>43374</v>
      </c>
      <c r="C360" s="1509">
        <v>718.68399999999997</v>
      </c>
      <c r="D360" s="1509">
        <v>5103.6899999999996</v>
      </c>
      <c r="E360" s="1509">
        <v>1.0054304249443855</v>
      </c>
      <c r="F360" s="1509">
        <v>55.036191105927593</v>
      </c>
      <c r="K360" s="1626">
        <v>42417</v>
      </c>
      <c r="L360" s="1627" t="s">
        <v>2298</v>
      </c>
      <c r="M360" s="1628">
        <v>5.2531000000000001E-2</v>
      </c>
      <c r="N360" s="1629">
        <v>1.1313036678490345</v>
      </c>
      <c r="O360" s="1629">
        <v>1.1313036678490345</v>
      </c>
    </row>
    <row r="361" spans="2:15">
      <c r="B361" s="1508">
        <v>43405</v>
      </c>
      <c r="C361" s="1509">
        <v>715.16600000000005</v>
      </c>
      <c r="D361" s="1509">
        <v>5092.97</v>
      </c>
      <c r="E361" s="1509">
        <v>1.0049355337739507</v>
      </c>
      <c r="F361" s="1509">
        <v>55.307824085920508</v>
      </c>
      <c r="K361" s="1626">
        <v>42418</v>
      </c>
      <c r="L361" s="1627" t="s">
        <v>2298</v>
      </c>
      <c r="M361" s="1628">
        <v>5.2531000000000001E-2</v>
      </c>
      <c r="N361" s="1629">
        <v>1.1318979529787923</v>
      </c>
      <c r="O361" s="1629">
        <v>1.1318979529787923</v>
      </c>
    </row>
    <row r="362" spans="2:15">
      <c r="B362" s="1508">
        <v>43435</v>
      </c>
      <c r="C362" s="1509">
        <v>707.44100000000003</v>
      </c>
      <c r="D362" s="1509">
        <v>5100.6099999999997</v>
      </c>
      <c r="E362" s="1509">
        <v>1.0049355337739507</v>
      </c>
      <c r="F362" s="1509">
        <v>55.580797719660296</v>
      </c>
      <c r="K362" s="1626">
        <v>42419</v>
      </c>
      <c r="L362" s="1627" t="s">
        <v>2298</v>
      </c>
      <c r="M362" s="1628">
        <v>5.2531000000000001E-2</v>
      </c>
      <c r="N362" s="1629">
        <v>1.1324925502924716</v>
      </c>
      <c r="O362" s="1629">
        <v>1.1324925502924716</v>
      </c>
    </row>
    <row r="363" spans="2:15">
      <c r="B363" s="1508">
        <v>43466</v>
      </c>
      <c r="C363" s="1509">
        <v>707.48800000000006</v>
      </c>
      <c r="D363" s="1509">
        <v>5116.93</v>
      </c>
      <c r="E363" s="1509">
        <v>1.0054304249443855</v>
      </c>
      <c r="F363" s="1509">
        <v>55.882625070025988</v>
      </c>
      <c r="K363" s="1626">
        <v>42420</v>
      </c>
      <c r="L363" s="1627"/>
      <c r="M363" s="1628">
        <v>0</v>
      </c>
      <c r="N363" s="1629">
        <v>1.1324925502924716</v>
      </c>
      <c r="O363" s="1629">
        <v>1.1324925502924716</v>
      </c>
    </row>
    <row r="364" spans="2:15">
      <c r="B364" s="1508">
        <v>43497</v>
      </c>
      <c r="C364" s="1509">
        <v>713.74699999999996</v>
      </c>
      <c r="D364" s="1509">
        <v>5138.93</v>
      </c>
      <c r="E364" s="1509">
        <v>1.0049355337739507</v>
      </c>
      <c r="F364" s="1509">
        <v>56.158435653436129</v>
      </c>
      <c r="K364" s="1626">
        <v>42421</v>
      </c>
      <c r="L364" s="1627"/>
      <c r="M364" s="1628">
        <v>0</v>
      </c>
      <c r="N364" s="1629">
        <v>1.1324925502924716</v>
      </c>
      <c r="O364" s="1629">
        <v>1.1324925502924716</v>
      </c>
    </row>
    <row r="365" spans="2:15">
      <c r="B365" s="1508">
        <v>43525</v>
      </c>
      <c r="C365" s="1509">
        <v>722.70699999999999</v>
      </c>
      <c r="D365" s="1509">
        <v>5177.47</v>
      </c>
      <c r="E365" s="1509">
        <v>1.0046881795441467</v>
      </c>
      <c r="F365" s="1509">
        <v>56.421716482697846</v>
      </c>
      <c r="K365" s="1626">
        <v>42422</v>
      </c>
      <c r="L365" s="1627" t="s">
        <v>2298</v>
      </c>
      <c r="M365" s="1628">
        <v>5.2531000000000001E-2</v>
      </c>
      <c r="N365" s="1629">
        <v>1.1330874599540657</v>
      </c>
      <c r="O365" s="1629">
        <v>1.1330874599540657</v>
      </c>
    </row>
    <row r="366" spans="2:15">
      <c r="B366" s="1508">
        <v>43556</v>
      </c>
      <c r="C366" s="1509">
        <v>729.346</v>
      </c>
      <c r="D366" s="1509">
        <v>5206.9799999999996</v>
      </c>
      <c r="E366" s="1509">
        <v>1.0051829489023654</v>
      </c>
      <c r="F366" s="1509">
        <v>56.714147356211413</v>
      </c>
      <c r="K366" s="1626">
        <v>42423</v>
      </c>
      <c r="L366" s="1627" t="s">
        <v>2298</v>
      </c>
      <c r="M366" s="1628">
        <v>5.2531000000000001E-2</v>
      </c>
      <c r="N366" s="1629">
        <v>1.1336826821276542</v>
      </c>
      <c r="O366" s="1629">
        <v>1.1336826821276542</v>
      </c>
    </row>
    <row r="367" spans="2:15">
      <c r="B367" s="1508">
        <v>43586</v>
      </c>
      <c r="C367" s="1509">
        <v>732.59500000000003</v>
      </c>
      <c r="D367" s="1509">
        <v>5213.75</v>
      </c>
      <c r="E367" s="1509">
        <v>1.0054304249443855</v>
      </c>
      <c r="F367" s="1509">
        <v>57.022129276714139</v>
      </c>
      <c r="K367" s="1626">
        <v>42424</v>
      </c>
      <c r="L367" s="1627" t="s">
        <v>2298</v>
      </c>
      <c r="M367" s="1628">
        <v>5.2531000000000001E-2</v>
      </c>
      <c r="N367" s="1629">
        <v>1.1342782169774026</v>
      </c>
      <c r="O367" s="1629">
        <v>1.1342782169774026</v>
      </c>
    </row>
    <row r="368" spans="2:15">
      <c r="B368" s="1508">
        <v>43617</v>
      </c>
      <c r="C368" s="1509">
        <v>738.42100000000005</v>
      </c>
      <c r="D368" s="1509">
        <v>5214.2700000000004</v>
      </c>
      <c r="E368" s="1509">
        <v>1.0046881795441465</v>
      </c>
      <c r="F368" s="1509">
        <v>57.289459256752906</v>
      </c>
      <c r="K368" s="1626">
        <v>42425</v>
      </c>
      <c r="L368" s="1627" t="s">
        <v>2298</v>
      </c>
      <c r="M368" s="1628">
        <v>5.2531000000000001E-2</v>
      </c>
      <c r="N368" s="1629">
        <v>1.134874064667563</v>
      </c>
      <c r="O368" s="1629">
        <v>1.134874064667563</v>
      </c>
    </row>
    <row r="369" spans="2:15">
      <c r="B369" s="1508">
        <v>43647</v>
      </c>
      <c r="C369" s="1509">
        <v>741.346</v>
      </c>
      <c r="D369" s="1509">
        <v>5224.18</v>
      </c>
      <c r="E369" s="1509">
        <v>1.0056779619150069</v>
      </c>
      <c r="F369" s="1509">
        <v>57.61474662454409</v>
      </c>
      <c r="K369" s="1626">
        <v>42426</v>
      </c>
      <c r="L369" s="1627" t="s">
        <v>2298</v>
      </c>
      <c r="M369" s="1628">
        <v>5.2531000000000001E-2</v>
      </c>
      <c r="N369" s="1629">
        <v>1.1354702253624736</v>
      </c>
      <c r="O369" s="1629">
        <v>1.1354702253624736</v>
      </c>
    </row>
    <row r="370" spans="2:15">
      <c r="B370" s="1508">
        <v>43678</v>
      </c>
      <c r="C370" s="1509">
        <v>736.40200000000004</v>
      </c>
      <c r="D370" s="1509">
        <v>5229.93</v>
      </c>
      <c r="E370" s="1509">
        <v>1.0050171948996307</v>
      </c>
      <c r="F370" s="1509">
        <v>57.903811037452265</v>
      </c>
      <c r="K370" s="1626">
        <v>42427</v>
      </c>
      <c r="L370" s="1627"/>
      <c r="M370" s="1628">
        <v>0</v>
      </c>
      <c r="N370" s="1629">
        <v>1.1354702253624736</v>
      </c>
      <c r="O370" s="1629">
        <v>1.1354702253624736</v>
      </c>
    </row>
    <row r="371" spans="2:15">
      <c r="B371" s="1508">
        <v>43709</v>
      </c>
      <c r="C371" s="1509">
        <v>736.36199999999997</v>
      </c>
      <c r="D371" s="1509">
        <v>5227.84</v>
      </c>
      <c r="E371" s="1509">
        <v>1.0046375999081099</v>
      </c>
      <c r="F371" s="1509">
        <v>58.172345746198765</v>
      </c>
      <c r="K371" s="1626">
        <v>42428</v>
      </c>
      <c r="L371" s="1627"/>
      <c r="M371" s="1628">
        <v>0</v>
      </c>
      <c r="N371" s="1629">
        <v>1.1354702253624736</v>
      </c>
      <c r="O371" s="1629">
        <v>1.1354702253624736</v>
      </c>
    </row>
    <row r="372" spans="2:15">
      <c r="B372" s="1508">
        <v>43739</v>
      </c>
      <c r="C372" s="1509">
        <v>741.33299999999997</v>
      </c>
      <c r="D372" s="1509">
        <v>5233.07</v>
      </c>
      <c r="E372" s="1509">
        <v>1.0047926409835022</v>
      </c>
      <c r="F372" s="1509">
        <v>58.451144914528456</v>
      </c>
      <c r="K372" s="1626">
        <v>42429</v>
      </c>
      <c r="L372" s="1627" t="s">
        <v>2298</v>
      </c>
      <c r="M372" s="1628">
        <v>5.2531000000000001E-2</v>
      </c>
      <c r="N372" s="1629">
        <v>1.1360666992265587</v>
      </c>
      <c r="O372" s="1629">
        <v>1.1360666992265587</v>
      </c>
    </row>
    <row r="373" spans="2:15">
      <c r="B373" s="1508">
        <v>43770</v>
      </c>
      <c r="C373" s="1509">
        <v>743.55799999999999</v>
      </c>
      <c r="D373" s="1509">
        <v>5259.76</v>
      </c>
      <c r="E373" s="1509">
        <v>1.0038038559813272</v>
      </c>
      <c r="F373" s="1509">
        <v>58.673484651727009</v>
      </c>
      <c r="K373" s="1626">
        <v>42430</v>
      </c>
      <c r="L373" s="1627" t="s">
        <v>2298</v>
      </c>
      <c r="M373" s="1628">
        <v>5.2531000000000001E-2</v>
      </c>
      <c r="N373" s="1629">
        <v>1.1366634864243295</v>
      </c>
      <c r="O373" s="1629">
        <v>1.1366634864243295</v>
      </c>
    </row>
    <row r="374" spans="2:15">
      <c r="B374" s="1508">
        <v>43800</v>
      </c>
      <c r="C374" s="1509">
        <v>759.11199999999997</v>
      </c>
      <c r="D374" s="1509">
        <v>5320.25</v>
      </c>
      <c r="E374" s="1509">
        <v>1.0037470387078873</v>
      </c>
      <c r="F374" s="1509">
        <v>58.893336469843661</v>
      </c>
      <c r="K374" s="1626">
        <v>42431</v>
      </c>
      <c r="L374" s="1627" t="s">
        <v>2298</v>
      </c>
      <c r="M374" s="1628">
        <v>5.2531000000000001E-2</v>
      </c>
      <c r="N374" s="1629">
        <v>1.1372605871203831</v>
      </c>
      <c r="O374" s="1629">
        <v>1.1372605871203831</v>
      </c>
    </row>
    <row r="375" spans="2:15">
      <c r="B375" s="1508">
        <v>43831</v>
      </c>
      <c r="C375" s="1509">
        <v>762.73299999999995</v>
      </c>
      <c r="D375" s="1509">
        <v>5331.42</v>
      </c>
      <c r="E375" s="1509">
        <v>1.00376633367529</v>
      </c>
      <c r="F375" s="1509">
        <v>59.115148426240218</v>
      </c>
      <c r="K375" s="1626">
        <v>42432</v>
      </c>
      <c r="L375" s="1627" t="s">
        <v>2298</v>
      </c>
      <c r="M375" s="1628">
        <v>5.2531000000000001E-2</v>
      </c>
      <c r="N375" s="1629">
        <v>1.1378580014794033</v>
      </c>
      <c r="O375" s="1629">
        <v>1.1378580014794033</v>
      </c>
    </row>
    <row r="376" spans="2:15">
      <c r="B376" s="1508">
        <v>43862</v>
      </c>
      <c r="C376" s="1509">
        <v>762.423</v>
      </c>
      <c r="D376" s="1509">
        <v>5344.75</v>
      </c>
      <c r="E376" s="1509">
        <v>1.0029372863155552</v>
      </c>
      <c r="F376" s="1509">
        <v>59.288786542754629</v>
      </c>
      <c r="K376" s="1626">
        <v>42433</v>
      </c>
      <c r="L376" s="1627" t="s">
        <v>2298</v>
      </c>
      <c r="M376" s="1628">
        <v>5.2531000000000001E-2</v>
      </c>
      <c r="N376" s="1629">
        <v>1.1384557296661604</v>
      </c>
      <c r="O376" s="1629">
        <v>1.1384557296661604</v>
      </c>
    </row>
    <row r="377" spans="2:15">
      <c r="B377" s="1508">
        <v>43891</v>
      </c>
      <c r="C377" s="1509">
        <v>771.90800000000002</v>
      </c>
      <c r="D377" s="1509">
        <v>5348.49</v>
      </c>
      <c r="E377" s="1509">
        <v>1.0033836914846632</v>
      </c>
      <c r="F377" s="1509">
        <v>59.489401504915364</v>
      </c>
      <c r="K377" s="1626">
        <v>42434</v>
      </c>
      <c r="L377" s="1627"/>
      <c r="M377" s="1628">
        <v>0</v>
      </c>
      <c r="N377" s="1629">
        <v>1.1384557296661604</v>
      </c>
      <c r="O377" s="1629">
        <v>1.1384557296661604</v>
      </c>
    </row>
    <row r="378" spans="2:15">
      <c r="B378" s="1508">
        <v>43922</v>
      </c>
      <c r="C378" s="1509">
        <v>778.101</v>
      </c>
      <c r="D378" s="1509">
        <v>5331.91</v>
      </c>
      <c r="E378" s="1509">
        <v>1.0028492490278405</v>
      </c>
      <c r="F378" s="1509">
        <v>59.658901624320052</v>
      </c>
      <c r="K378" s="1626">
        <v>42435</v>
      </c>
      <c r="L378" s="1627"/>
      <c r="M378" s="1628">
        <v>0</v>
      </c>
      <c r="N378" s="1629">
        <v>1.1384557296661604</v>
      </c>
      <c r="O378" s="1629">
        <v>1.1384557296661604</v>
      </c>
    </row>
    <row r="379" spans="2:15">
      <c r="B379" s="1508">
        <v>43952</v>
      </c>
      <c r="C379" s="1509">
        <v>780.28</v>
      </c>
      <c r="D379" s="1509">
        <v>5311.65</v>
      </c>
      <c r="E379" s="1509">
        <v>1.0023580961930716</v>
      </c>
      <c r="F379" s="1509">
        <v>59.799583053123193</v>
      </c>
      <c r="K379" s="1626">
        <v>42436</v>
      </c>
      <c r="L379" s="1627" t="s">
        <v>2298</v>
      </c>
      <c r="M379" s="1628">
        <v>5.2531000000000001E-2</v>
      </c>
      <c r="N379" s="1629">
        <v>1.1390537718455114</v>
      </c>
      <c r="O379" s="1629">
        <v>1.1390537718455114</v>
      </c>
    </row>
    <row r="380" spans="2:15">
      <c r="B380" s="1508">
        <v>43983</v>
      </c>
      <c r="C380" s="1509">
        <v>792.42899999999997</v>
      </c>
      <c r="D380" s="1509">
        <v>5325.46</v>
      </c>
      <c r="E380" s="1509">
        <v>1.0021233217736718</v>
      </c>
      <c r="F380" s="1509">
        <v>59.926556809876388</v>
      </c>
      <c r="K380" s="1626">
        <v>42437</v>
      </c>
      <c r="L380" s="1627" t="s">
        <v>2298</v>
      </c>
      <c r="M380" s="1628">
        <v>5.2531000000000001E-2</v>
      </c>
      <c r="N380" s="1629">
        <v>1.1396521281823995</v>
      </c>
      <c r="O380" s="1629">
        <v>1.1396521281823995</v>
      </c>
    </row>
    <row r="381" spans="2:15">
      <c r="B381" s="1508">
        <v>44013</v>
      </c>
      <c r="C381" s="1509">
        <v>810.08299999999997</v>
      </c>
      <c r="D381" s="1509">
        <v>5344.63</v>
      </c>
      <c r="E381" s="1509">
        <v>1.0019434641302636</v>
      </c>
      <c r="F381" s="1509">
        <v>60.043021923486585</v>
      </c>
      <c r="K381" s="1626">
        <v>42438</v>
      </c>
      <c r="L381" s="1627" t="s">
        <v>2298</v>
      </c>
      <c r="M381" s="1628">
        <v>5.2531000000000001E-2</v>
      </c>
      <c r="N381" s="1629">
        <v>1.1402507988418549</v>
      </c>
      <c r="O381" s="1629">
        <v>1.1402507988418549</v>
      </c>
    </row>
    <row r="382" spans="2:15">
      <c r="B382" s="1508">
        <v>44044</v>
      </c>
      <c r="C382" s="1509">
        <v>832.31299999999999</v>
      </c>
      <c r="D382" s="1509">
        <v>5357.46</v>
      </c>
      <c r="E382" s="1509">
        <v>1.0015988959789295</v>
      </c>
      <c r="F382" s="1509">
        <v>60.13902446980282</v>
      </c>
      <c r="K382" s="1626">
        <v>42439</v>
      </c>
      <c r="L382" s="1627" t="s">
        <v>2298</v>
      </c>
      <c r="M382" s="1628">
        <v>5.2531000000000001E-2</v>
      </c>
      <c r="N382" s="1629">
        <v>1.1408497839889944</v>
      </c>
      <c r="O382" s="1629">
        <v>1.1408497839889944</v>
      </c>
    </row>
    <row r="383" spans="2:15">
      <c r="B383" s="1508">
        <v>44075</v>
      </c>
      <c r="C383" s="1509">
        <v>868.44200000000001</v>
      </c>
      <c r="D383" s="1509">
        <v>5391.75</v>
      </c>
      <c r="E383" s="1509">
        <v>1.0015696620595307</v>
      </c>
      <c r="F383" s="1509">
        <v>60.233422414810256</v>
      </c>
      <c r="K383" s="1626">
        <v>42440</v>
      </c>
      <c r="L383" s="1627" t="s">
        <v>2298</v>
      </c>
      <c r="M383" s="1628">
        <v>5.2531000000000001E-2</v>
      </c>
      <c r="N383" s="1629">
        <v>1.1414490837890217</v>
      </c>
      <c r="O383" s="1629">
        <v>1.1414490837890217</v>
      </c>
    </row>
    <row r="384" spans="2:15">
      <c r="B384" s="1508">
        <v>44105</v>
      </c>
      <c r="C384" s="1509">
        <v>896.505</v>
      </c>
      <c r="D384" s="1509">
        <v>5438.12</v>
      </c>
      <c r="E384" s="1509">
        <v>1.00156966205953</v>
      </c>
      <c r="F384" s="1509">
        <v>60.327968532690427</v>
      </c>
      <c r="K384" s="1626">
        <v>42441</v>
      </c>
      <c r="L384" s="1627"/>
      <c r="M384" s="1628">
        <v>0</v>
      </c>
      <c r="N384" s="1629">
        <v>1.1414490837890217</v>
      </c>
      <c r="O384" s="1629">
        <v>1.1414490837890217</v>
      </c>
    </row>
    <row r="385" spans="2:15">
      <c r="B385" s="1508">
        <v>44136</v>
      </c>
      <c r="C385" s="1509">
        <v>925.88699999999994</v>
      </c>
      <c r="D385" s="1509">
        <v>5486.52</v>
      </c>
      <c r="E385" s="1509">
        <v>1.0014948604084073</v>
      </c>
      <c r="F385" s="1509">
        <v>60.418150424369585</v>
      </c>
      <c r="K385" s="1626">
        <v>42442</v>
      </c>
      <c r="L385" s="1627"/>
      <c r="M385" s="1628">
        <v>0</v>
      </c>
      <c r="N385" s="1629">
        <v>1.1414490837890217</v>
      </c>
      <c r="O385" s="1629">
        <v>1.1414490837890217</v>
      </c>
    </row>
    <row r="386" spans="2:15">
      <c r="B386" s="1508">
        <v>44166</v>
      </c>
      <c r="C386" s="1509">
        <v>934.75800000000004</v>
      </c>
      <c r="D386" s="1509">
        <v>5560.59</v>
      </c>
      <c r="E386" s="1509">
        <v>1.0016444692975899</v>
      </c>
      <c r="F386" s="1509">
        <v>60.517506217759632</v>
      </c>
      <c r="K386" s="1626">
        <v>42443</v>
      </c>
      <c r="L386" s="1627" t="s">
        <v>2298</v>
      </c>
      <c r="M386" s="1628">
        <v>5.2531000000000001E-2</v>
      </c>
      <c r="N386" s="1629">
        <v>1.1420486984072269</v>
      </c>
      <c r="O386" s="1629">
        <v>1.1420486984072269</v>
      </c>
    </row>
    <row r="387" spans="2:15">
      <c r="B387" s="1508">
        <v>44197</v>
      </c>
      <c r="C387" s="1509">
        <v>958.84400000000005</v>
      </c>
      <c r="D387" s="1509">
        <v>5574.49</v>
      </c>
      <c r="E387" s="1509">
        <v>1.0014948604084077</v>
      </c>
      <c r="F387" s="1509">
        <v>60.607971441820126</v>
      </c>
      <c r="K387" s="1626">
        <v>42444</v>
      </c>
      <c r="L387" s="1627" t="s">
        <v>2298</v>
      </c>
      <c r="M387" s="1628">
        <v>5.2531000000000001E-2</v>
      </c>
      <c r="N387" s="1629">
        <v>1.1426486280089871</v>
      </c>
      <c r="O387" s="1629">
        <v>1.1426486280089871</v>
      </c>
    </row>
    <row r="388" spans="2:15">
      <c r="B388" s="1508">
        <v>44228</v>
      </c>
      <c r="C388" s="1509">
        <v>983.06299999999999</v>
      </c>
      <c r="D388" s="1509">
        <v>5622.43</v>
      </c>
      <c r="E388" s="1509">
        <v>1.0013452738652961</v>
      </c>
      <c r="F388" s="1509">
        <v>60.689505761829423</v>
      </c>
      <c r="K388" s="1626">
        <v>42445</v>
      </c>
      <c r="L388" s="1627" t="s">
        <v>2298</v>
      </c>
      <c r="M388" s="1628">
        <v>5.2531000000000001E-2</v>
      </c>
      <c r="N388" s="1629">
        <v>1.1432488727597665</v>
      </c>
      <c r="O388" s="1629">
        <v>1.1432488727597665</v>
      </c>
    </row>
    <row r="389" spans="2:15">
      <c r="B389" s="1508">
        <v>44256</v>
      </c>
      <c r="C389" s="1509">
        <v>1011.948</v>
      </c>
      <c r="D389" s="1509">
        <v>5674.72</v>
      </c>
      <c r="E389" s="1509">
        <v>1.0020107988327946</v>
      </c>
      <c r="F389" s="1509">
        <v>60.811540149178192</v>
      </c>
      <c r="K389" s="1626">
        <v>42446</v>
      </c>
      <c r="L389" s="1627" t="s">
        <v>2298</v>
      </c>
      <c r="M389" s="1628">
        <v>5.2531000000000001E-2</v>
      </c>
      <c r="N389" s="1629">
        <v>1.1438494328251159</v>
      </c>
      <c r="O389" s="1629">
        <v>1.1438494328251159</v>
      </c>
    </row>
    <row r="390" spans="2:15">
      <c r="B390" s="1508">
        <v>44287</v>
      </c>
      <c r="C390" s="1509">
        <v>1027.211</v>
      </c>
      <c r="D390" s="1509">
        <v>5692.31</v>
      </c>
      <c r="E390" s="1509">
        <v>1.0020778480243349</v>
      </c>
      <c r="F390" s="1509">
        <v>60.937897287733925</v>
      </c>
      <c r="K390" s="1626">
        <v>42447</v>
      </c>
      <c r="L390" s="1627" t="s">
        <v>2298</v>
      </c>
      <c r="M390" s="1628">
        <v>5.2531000000000001E-2</v>
      </c>
      <c r="N390" s="1629">
        <v>1.1444503083706732</v>
      </c>
      <c r="O390" s="1629">
        <v>1.1444503083706732</v>
      </c>
    </row>
    <row r="391" spans="2:15">
      <c r="B391" s="1508">
        <v>44317</v>
      </c>
      <c r="C391" s="1509">
        <v>1069.289</v>
      </c>
      <c r="D391" s="1509">
        <v>5739.56</v>
      </c>
      <c r="E391" s="1509">
        <v>1.0027032626398216</v>
      </c>
      <c r="F391" s="1509">
        <v>61.102628428821141</v>
      </c>
      <c r="K391" s="1626">
        <v>42448</v>
      </c>
      <c r="L391" s="1627"/>
      <c r="M391" s="1628">
        <v>0</v>
      </c>
      <c r="N391" s="1629">
        <v>1.1444503083706732</v>
      </c>
      <c r="O391" s="1629">
        <v>1.1444503083706732</v>
      </c>
    </row>
    <row r="392" spans="2:15">
      <c r="B392" s="1508">
        <v>44348</v>
      </c>
      <c r="C392" s="1509">
        <v>1075.7329999999999</v>
      </c>
      <c r="D392" s="1509">
        <v>5769.98</v>
      </c>
      <c r="E392" s="1509">
        <v>1.0030777896833167</v>
      </c>
      <c r="F392" s="1509">
        <v>61.290689468222901</v>
      </c>
      <c r="K392" s="1626">
        <v>42449</v>
      </c>
      <c r="L392" s="1627"/>
      <c r="M392" s="1628">
        <v>0</v>
      </c>
      <c r="N392" s="1629">
        <v>1.1444503083706732</v>
      </c>
      <c r="O392" s="1629">
        <v>1.1444503083706732</v>
      </c>
    </row>
    <row r="393" spans="2:15">
      <c r="B393" s="1508">
        <v>44378</v>
      </c>
      <c r="C393" s="1509">
        <v>1084.095</v>
      </c>
      <c r="D393" s="1509">
        <v>5825.37</v>
      </c>
      <c r="E393" s="1509">
        <v>1.003556161780192</v>
      </c>
      <c r="F393" s="1509">
        <v>61.508649075591414</v>
      </c>
      <c r="K393" s="1626">
        <v>42450</v>
      </c>
      <c r="L393" s="1627" t="s">
        <v>2298</v>
      </c>
      <c r="M393" s="1628">
        <v>5.2531000000000001E-2</v>
      </c>
      <c r="N393" s="1629">
        <v>1.1450514995621635</v>
      </c>
      <c r="O393" s="1629">
        <v>1.1450514995621635</v>
      </c>
    </row>
    <row r="394" spans="2:15">
      <c r="B394" s="1508">
        <v>44409</v>
      </c>
      <c r="C394" s="1509">
        <v>1091.29</v>
      </c>
      <c r="D394" s="1509">
        <v>5876.05</v>
      </c>
      <c r="E394" s="1509">
        <v>1.0042795247734253</v>
      </c>
      <c r="F394" s="1509">
        <v>61.771876863090334</v>
      </c>
      <c r="K394" s="1626">
        <v>42451</v>
      </c>
      <c r="L394" s="1627" t="s">
        <v>2298</v>
      </c>
      <c r="M394" s="1628">
        <v>5.2531000000000001E-2</v>
      </c>
      <c r="N394" s="1629">
        <v>1.1456530065653985</v>
      </c>
      <c r="O394" s="1629">
        <v>1.1456530065653985</v>
      </c>
    </row>
    <row r="395" spans="2:15">
      <c r="B395" s="1508">
        <v>44440</v>
      </c>
      <c r="C395" s="1509">
        <v>1084.3119999999999</v>
      </c>
      <c r="D395" s="1509">
        <v>5944.21</v>
      </c>
      <c r="E395" s="1509">
        <v>1.0044199933223523</v>
      </c>
      <c r="F395" s="1509">
        <v>62.044908146334365</v>
      </c>
      <c r="K395" s="1626">
        <v>42452</v>
      </c>
      <c r="L395" s="1627" t="s">
        <v>2298</v>
      </c>
      <c r="M395" s="1628">
        <v>5.2531000000000001E-2</v>
      </c>
      <c r="N395" s="1629">
        <v>1.1462548295462773</v>
      </c>
      <c r="O395" s="1629">
        <v>1.1462548295462773</v>
      </c>
    </row>
    <row r="396" spans="2:15">
      <c r="B396" s="1508">
        <v>44470</v>
      </c>
      <c r="C396" s="1509">
        <v>1091.2829999999999</v>
      </c>
      <c r="D396" s="1509">
        <v>6018.51</v>
      </c>
      <c r="E396" s="1509">
        <v>1.0048599610251685</v>
      </c>
      <c r="F396" s="1509">
        <v>62.34644398173571</v>
      </c>
      <c r="K396" s="1626">
        <v>42453</v>
      </c>
      <c r="L396" s="1627" t="s">
        <v>2298</v>
      </c>
      <c r="M396" s="1628">
        <v>5.2531000000000001E-2</v>
      </c>
      <c r="N396" s="1629">
        <v>1.1468569686707863</v>
      </c>
      <c r="O396" s="1629">
        <v>1.1468569686707863</v>
      </c>
    </row>
    <row r="397" spans="2:15">
      <c r="B397" s="1508">
        <v>44501</v>
      </c>
      <c r="C397" s="1509">
        <v>1091.4829999999999</v>
      </c>
      <c r="D397" s="1509">
        <v>6075.69</v>
      </c>
      <c r="E397" s="1509">
        <v>1.0058674909390046</v>
      </c>
      <c r="F397" s="1509">
        <v>62.712261176877703</v>
      </c>
      <c r="K397" s="1626">
        <v>42454</v>
      </c>
      <c r="L397" s="1627"/>
      <c r="M397" s="1628">
        <v>0</v>
      </c>
      <c r="N397" s="1629">
        <v>1.1468569686707863</v>
      </c>
      <c r="O397" s="1629">
        <v>1.1468569686707863</v>
      </c>
    </row>
    <row r="398" spans="2:15">
      <c r="B398" s="1508">
        <v>44531</v>
      </c>
      <c r="C398" s="1509">
        <v>1100.9880000000001</v>
      </c>
      <c r="D398" s="1509">
        <v>6120.04</v>
      </c>
      <c r="E398" s="1509">
        <v>1.0076908308186336</v>
      </c>
      <c r="F398" s="1509">
        <v>63.194570567843037</v>
      </c>
      <c r="K398" s="1626">
        <v>42455</v>
      </c>
      <c r="L398" s="1627"/>
      <c r="M398" s="1628">
        <v>0</v>
      </c>
      <c r="N398" s="1629">
        <v>1.1468569686707863</v>
      </c>
      <c r="O398" s="1629">
        <v>1.1468569686707863</v>
      </c>
    </row>
    <row r="399" spans="2:15">
      <c r="B399" s="1508">
        <v>44562</v>
      </c>
      <c r="C399" s="1509">
        <v>1120.999</v>
      </c>
      <c r="D399" s="1509">
        <v>6153.09</v>
      </c>
      <c r="E399" s="1509">
        <v>1.0073227032460901</v>
      </c>
      <c r="F399" s="1509">
        <v>63.65732565487545</v>
      </c>
      <c r="K399" s="1626">
        <v>42456</v>
      </c>
      <c r="L399" s="1627"/>
      <c r="M399" s="1628">
        <v>0</v>
      </c>
      <c r="N399" s="1629">
        <v>1.1468569686707863</v>
      </c>
      <c r="O399" s="1629">
        <v>1.1468569686707863</v>
      </c>
    </row>
    <row r="400" spans="2:15">
      <c r="B400" s="1508">
        <v>44593</v>
      </c>
      <c r="C400" s="1509">
        <v>1141.546</v>
      </c>
      <c r="D400" s="1509">
        <v>6215.24</v>
      </c>
      <c r="E400" s="1509">
        <v>1.0075504098703885</v>
      </c>
      <c r="F400" s="1509">
        <v>64.13796455482256</v>
      </c>
      <c r="K400" s="1626">
        <v>42457</v>
      </c>
      <c r="L400" s="1627" t="s">
        <v>2298</v>
      </c>
      <c r="M400" s="1628">
        <v>5.2531000000000001E-2</v>
      </c>
      <c r="N400" s="1629">
        <v>1.1474594241049989</v>
      </c>
      <c r="O400" s="1629">
        <v>1.1474594241049989</v>
      </c>
    </row>
    <row r="401" spans="2:15">
      <c r="B401" s="1508">
        <v>44621</v>
      </c>
      <c r="C401" s="1509">
        <v>1161.4179999999999</v>
      </c>
      <c r="D401" s="1509">
        <v>6315.93</v>
      </c>
      <c r="E401" s="1509">
        <v>1.0092705386289318</v>
      </c>
      <c r="F401" s="1509">
        <v>64.732558032809095</v>
      </c>
      <c r="K401" s="1626">
        <v>42458</v>
      </c>
      <c r="L401" s="1627" t="s">
        <v>2298</v>
      </c>
      <c r="M401" s="1628">
        <v>5.2531000000000001E-2</v>
      </c>
      <c r="N401" s="1629">
        <v>1.1480621960150754</v>
      </c>
      <c r="O401" s="1629">
        <v>1.1480621960150754</v>
      </c>
    </row>
    <row r="402" spans="2:15">
      <c r="B402" s="1508">
        <v>44652</v>
      </c>
      <c r="C402" s="1509">
        <v>1177.809</v>
      </c>
      <c r="D402" s="1509">
        <v>6382.88</v>
      </c>
      <c r="E402" s="1509">
        <v>1.0083432052372134</v>
      </c>
      <c r="F402" s="1509">
        <v>65.272635050006656</v>
      </c>
      <c r="K402" s="1626">
        <v>42459</v>
      </c>
      <c r="L402" s="1627" t="s">
        <v>2298</v>
      </c>
      <c r="M402" s="1628">
        <v>5.2531000000000001E-2</v>
      </c>
      <c r="N402" s="1629">
        <v>1.148665284567264</v>
      </c>
      <c r="O402" s="1629">
        <v>1.148665284567264</v>
      </c>
    </row>
    <row r="403" spans="2:15">
      <c r="B403" s="1508">
        <v>44682</v>
      </c>
      <c r="C403" s="1509">
        <v>1183.953</v>
      </c>
      <c r="D403" s="1509">
        <v>6412.88</v>
      </c>
      <c r="E403" s="1509">
        <v>1.0103459230153136</v>
      </c>
      <c r="F403" s="1509">
        <v>65.947940707240676</v>
      </c>
      <c r="K403" s="1626">
        <v>42460</v>
      </c>
      <c r="L403" s="1627" t="s">
        <v>2298</v>
      </c>
      <c r="M403" s="1628">
        <v>5.2531000000000001E-2</v>
      </c>
      <c r="N403" s="1629">
        <v>1.1492686899279001</v>
      </c>
      <c r="O403" s="1629">
        <v>1.1492686899279001</v>
      </c>
    </row>
    <row r="404" spans="2:15">
      <c r="B404" s="1508">
        <v>44713</v>
      </c>
      <c r="C404" s="1509">
        <v>1190.8820000000001</v>
      </c>
      <c r="D404" s="1509">
        <v>6455.85</v>
      </c>
      <c r="E404" s="1509">
        <v>1.0101531560893695</v>
      </c>
      <c r="F404" s="1509">
        <v>66.617520443013774</v>
      </c>
      <c r="K404" s="1626">
        <v>42461</v>
      </c>
      <c r="L404" s="1627" t="s">
        <v>2298</v>
      </c>
      <c r="M404" s="1628">
        <v>5.2531000000000001E-2</v>
      </c>
      <c r="N404" s="1629">
        <v>1.1498724122634061</v>
      </c>
      <c r="O404" s="1629">
        <v>1.1498724122634061</v>
      </c>
    </row>
    <row r="405" spans="2:15">
      <c r="B405" s="1508">
        <v>44743</v>
      </c>
      <c r="C405" s="1509">
        <v>1197.0638684620001</v>
      </c>
      <c r="D405" s="1509">
        <v>6491.3184399000011</v>
      </c>
      <c r="E405" s="1509">
        <v>1.0103484243492924</v>
      </c>
      <c r="F405" s="1509">
        <v>67.306906813655743</v>
      </c>
      <c r="K405" s="1626">
        <v>42462</v>
      </c>
      <c r="L405" s="1627"/>
      <c r="M405" s="1628">
        <v>0</v>
      </c>
      <c r="N405" s="1629">
        <v>1.1498724122634061</v>
      </c>
      <c r="O405" s="1629">
        <v>1.1498724122634061</v>
      </c>
    </row>
    <row r="406" spans="2:15">
      <c r="B406" s="1508">
        <v>44774</v>
      </c>
      <c r="C406" s="1509">
        <v>1203.249097470343</v>
      </c>
      <c r="D406" s="1509">
        <v>6514.7391168311606</v>
      </c>
      <c r="E406" s="1509">
        <v>1.0113395564141356</v>
      </c>
      <c r="F406" s="1509">
        <v>68.070137280530162</v>
      </c>
      <c r="K406" s="1626">
        <v>42463</v>
      </c>
      <c r="L406" s="1627"/>
      <c r="M406" s="1628">
        <v>0</v>
      </c>
      <c r="N406" s="1629">
        <v>1.1498724122634061</v>
      </c>
      <c r="O406" s="1629">
        <v>1.1498724122634061</v>
      </c>
    </row>
    <row r="407" spans="2:15">
      <c r="B407" s="1508">
        <v>44805</v>
      </c>
      <c r="C407" s="1509">
        <v>1210.3554866400029</v>
      </c>
      <c r="D407" s="1509">
        <v>6541.5407535578033</v>
      </c>
      <c r="E407" s="1509">
        <v>1.0103484243492922</v>
      </c>
      <c r="F407" s="1509">
        <v>68.774555946623664</v>
      </c>
      <c r="K407" s="1626">
        <v>42464</v>
      </c>
      <c r="L407" s="1627" t="s">
        <v>2298</v>
      </c>
      <c r="M407" s="1628">
        <v>5.2531000000000001E-2</v>
      </c>
      <c r="N407" s="1629">
        <v>1.1504764517402921</v>
      </c>
      <c r="O407" s="1629">
        <v>1.1504764517402921</v>
      </c>
    </row>
    <row r="408" spans="2:15">
      <c r="B408" s="1508">
        <v>44835</v>
      </c>
      <c r="C408" s="1509">
        <v>1217.5885710281636</v>
      </c>
      <c r="D408" s="1509">
        <v>6571.7430472169799</v>
      </c>
      <c r="E408" s="1509">
        <v>1.0098532226245143</v>
      </c>
      <c r="F408" s="1509">
        <v>69.452206957267862</v>
      </c>
      <c r="K408" s="1626">
        <v>42465</v>
      </c>
      <c r="L408" s="1627" t="s">
        <v>2298</v>
      </c>
      <c r="M408" s="1628">
        <v>5.2531000000000001E-2</v>
      </c>
      <c r="N408" s="1629">
        <v>1.1510808085251558</v>
      </c>
      <c r="O408" s="1629">
        <v>1.1510808085251558</v>
      </c>
    </row>
    <row r="409" spans="2:15">
      <c r="B409" s="1508">
        <v>44866</v>
      </c>
      <c r="C409" s="1509">
        <v>1224.992727128586</v>
      </c>
      <c r="D409" s="1509">
        <v>6602.2359349560666</v>
      </c>
      <c r="E409" s="1509">
        <v>1.0098532226245134</v>
      </c>
      <c r="F409" s="1509">
        <v>70.136535014181604</v>
      </c>
      <c r="K409" s="1626">
        <v>42466</v>
      </c>
      <c r="L409" s="1627" t="s">
        <v>2298</v>
      </c>
      <c r="M409" s="1628">
        <v>5.2531000000000001E-2</v>
      </c>
      <c r="N409" s="1629">
        <v>1.1516854827846821</v>
      </c>
      <c r="O409" s="1629">
        <v>1.1516854827846821</v>
      </c>
    </row>
    <row r="410" spans="2:15">
      <c r="B410" s="1508">
        <v>44896</v>
      </c>
      <c r="C410" s="1509">
        <v>1232.3194086295421</v>
      </c>
      <c r="D410" s="1509">
        <v>6643.9422593571835</v>
      </c>
      <c r="E410" s="1509">
        <v>1.0108438689061403</v>
      </c>
      <c r="F410" s="1509">
        <v>70.897086405406313</v>
      </c>
      <c r="K410" s="1626">
        <v>42467</v>
      </c>
      <c r="L410" s="1627" t="s">
        <v>2298</v>
      </c>
      <c r="M410" s="1628">
        <v>5.2531000000000001E-2</v>
      </c>
      <c r="N410" s="1629">
        <v>1.1522904746856437</v>
      </c>
      <c r="O410" s="1629">
        <v>1.1522904746856437</v>
      </c>
    </row>
    <row r="411" spans="2:15">
      <c r="B411" s="1508">
        <v>44927</v>
      </c>
      <c r="C411" s="1509">
        <v>1238.1470471129512</v>
      </c>
      <c r="D411" s="1509">
        <v>6675.3880380707214</v>
      </c>
      <c r="E411" s="1509">
        <v>1.0108438689061405</v>
      </c>
      <c r="F411" s="1509">
        <v>71.665885116213857</v>
      </c>
      <c r="K411" s="1626">
        <v>42468</v>
      </c>
      <c r="L411" s="1627" t="s">
        <v>2298</v>
      </c>
      <c r="M411" s="1628">
        <v>5.2531000000000001E-2</v>
      </c>
      <c r="N411" s="1629">
        <v>1.1528957843949008</v>
      </c>
      <c r="O411" s="1629">
        <v>1.1528957843949008</v>
      </c>
    </row>
    <row r="412" spans="2:15">
      <c r="B412" s="1508">
        <v>44958</v>
      </c>
      <c r="C412" s="1509">
        <v>1242.8891503033938</v>
      </c>
      <c r="D412" s="1509">
        <v>6708.8651090816456</v>
      </c>
      <c r="E412" s="1509">
        <v>1.0088635471951473</v>
      </c>
      <c r="F412" s="1509">
        <v>72.301099071223419</v>
      </c>
      <c r="K412" s="1626">
        <v>42469</v>
      </c>
      <c r="L412" s="1627"/>
      <c r="M412" s="1628">
        <v>0</v>
      </c>
      <c r="N412" s="1629">
        <v>1.1528957843949008</v>
      </c>
      <c r="O412" s="1629">
        <v>1.1528957843949008</v>
      </c>
    </row>
    <row r="413" spans="2:15">
      <c r="B413" s="1508">
        <v>44986</v>
      </c>
      <c r="C413" s="1509">
        <v>1247.4530392633078</v>
      </c>
      <c r="D413" s="1509">
        <v>6733.7617075014477</v>
      </c>
      <c r="E413" s="1509">
        <v>1.0113395564141363</v>
      </c>
      <c r="F413" s="1509">
        <v>73.120961462945615</v>
      </c>
      <c r="K413" s="1626">
        <v>42470</v>
      </c>
      <c r="L413" s="1627"/>
      <c r="M413" s="1628">
        <v>0</v>
      </c>
      <c r="N413" s="1629">
        <v>1.1528957843949008</v>
      </c>
      <c r="O413" s="1629">
        <v>1.1528957843949008</v>
      </c>
    </row>
    <row r="414" spans="2:15">
      <c r="B414" s="1508">
        <v>45017</v>
      </c>
      <c r="C414" s="1509">
        <v>1251.4698380497357</v>
      </c>
      <c r="D414" s="1509">
        <v>6758.8113010533525</v>
      </c>
      <c r="E414" s="1509">
        <v>1.0088635471951479</v>
      </c>
      <c r="F414" s="1509">
        <v>73.769072555827023</v>
      </c>
      <c r="K414" s="1626">
        <v>42471</v>
      </c>
      <c r="L414" s="1627" t="s">
        <v>2298</v>
      </c>
      <c r="M414" s="1628">
        <v>5.2531000000000001E-2</v>
      </c>
      <c r="N414" s="1629">
        <v>1.1535014120794014</v>
      </c>
      <c r="O414" s="1629">
        <v>1.1535014120794014</v>
      </c>
    </row>
    <row r="415" spans="2:15">
      <c r="B415" s="1508">
        <v>45047</v>
      </c>
      <c r="C415" s="1509">
        <v>1255.0803285325092</v>
      </c>
      <c r="D415" s="1509">
        <v>6776.8505684158645</v>
      </c>
      <c r="E415" s="1509">
        <v>1.0108438689061405</v>
      </c>
      <c r="F415" s="1509">
        <v>74.569014707949975</v>
      </c>
      <c r="K415" s="1626">
        <v>42472</v>
      </c>
      <c r="L415" s="1627" t="s">
        <v>2298</v>
      </c>
      <c r="M415" s="1628">
        <v>5.2531000000000001E-2</v>
      </c>
      <c r="N415" s="1629">
        <v>1.1541073579061809</v>
      </c>
      <c r="O415" s="1629">
        <v>1.1541073579061809</v>
      </c>
    </row>
    <row r="416" spans="2:15">
      <c r="B416" s="1508">
        <v>45078</v>
      </c>
      <c r="C416" s="1509">
        <v>1259.3250102036061</v>
      </c>
      <c r="D416" s="1509">
        <v>6793.2031088374515</v>
      </c>
      <c r="E416" s="1509">
        <v>1.010348424349292</v>
      </c>
      <c r="F416" s="1509">
        <v>75.34068651545644</v>
      </c>
      <c r="K416" s="1626">
        <v>42473</v>
      </c>
      <c r="L416" s="1627" t="s">
        <v>2298</v>
      </c>
      <c r="M416" s="1628">
        <v>5.2531000000000001E-2</v>
      </c>
      <c r="N416" s="1629">
        <v>1.1547136220423626</v>
      </c>
      <c r="O416" s="1629">
        <v>1.1547136220423626</v>
      </c>
    </row>
    <row r="417" spans="2:15">
      <c r="B417" s="1508">
        <v>45108</v>
      </c>
      <c r="C417" s="1509" t="e">
        <v>#N/A</v>
      </c>
      <c r="D417" s="1509" t="e">
        <v>#N/A</v>
      </c>
      <c r="E417" s="1509" t="e">
        <v>#N/A</v>
      </c>
      <c r="F417" s="1509" t="e">
        <f t="shared" ref="F417:F419" si="0">F416*E417</f>
        <v>#N/A</v>
      </c>
      <c r="K417" s="1626">
        <v>42474</v>
      </c>
      <c r="L417" s="1627" t="s">
        <v>2298</v>
      </c>
      <c r="M417" s="1628">
        <v>5.2531000000000001E-2</v>
      </c>
      <c r="N417" s="1629">
        <v>1.1553202046551576</v>
      </c>
      <c r="O417" s="1629">
        <v>1.1553202046551576</v>
      </c>
    </row>
    <row r="418" spans="2:15">
      <c r="B418" s="1508">
        <v>45139</v>
      </c>
      <c r="C418" s="1509" t="e">
        <v>#N/A</v>
      </c>
      <c r="D418" s="1509" t="e">
        <v>#N/A</v>
      </c>
      <c r="E418" s="1509" t="e">
        <v>#N/A</v>
      </c>
      <c r="F418" s="1509" t="e">
        <f t="shared" si="0"/>
        <v>#N/A</v>
      </c>
      <c r="K418" s="1626">
        <v>42475</v>
      </c>
      <c r="L418" s="1627" t="s">
        <v>2298</v>
      </c>
      <c r="M418" s="1628">
        <v>5.2531000000000001E-2</v>
      </c>
      <c r="N418" s="1629">
        <v>1.155927105911865</v>
      </c>
      <c r="O418" s="1629">
        <v>1.155927105911865</v>
      </c>
    </row>
    <row r="419" spans="2:15">
      <c r="B419" s="1508">
        <v>45170</v>
      </c>
      <c r="C419" s="1509" t="e">
        <v>#N/A</v>
      </c>
      <c r="D419" s="1509" t="e">
        <v>#N/A</v>
      </c>
      <c r="E419" s="1509" t="e">
        <v>#N/A</v>
      </c>
      <c r="F419" s="1509" t="e">
        <f t="shared" si="0"/>
        <v>#N/A</v>
      </c>
      <c r="K419" s="1626">
        <v>42476</v>
      </c>
      <c r="L419" s="1627"/>
      <c r="M419" s="1628">
        <v>0</v>
      </c>
      <c r="N419" s="1629">
        <v>1.155927105911865</v>
      </c>
      <c r="O419" s="1629">
        <v>1.155927105911865</v>
      </c>
    </row>
    <row r="420" spans="2:15">
      <c r="B420" s="1508">
        <v>45200</v>
      </c>
      <c r="C420" s="1509" t="e">
        <v>#N/A</v>
      </c>
      <c r="D420" s="1509" t="e">
        <v>#N/A</v>
      </c>
      <c r="E420" s="1509" t="e">
        <v>#N/A</v>
      </c>
      <c r="F420" s="1509" t="e">
        <f t="shared" ref="F420:F483" si="1">F419*E420</f>
        <v>#N/A</v>
      </c>
      <c r="K420" s="1626">
        <v>42477</v>
      </c>
      <c r="L420" s="1627"/>
      <c r="M420" s="1628">
        <v>0</v>
      </c>
      <c r="N420" s="1629">
        <v>1.155927105911865</v>
      </c>
      <c r="O420" s="1629">
        <v>1.155927105911865</v>
      </c>
    </row>
    <row r="421" spans="2:15">
      <c r="B421" s="1508">
        <v>45231</v>
      </c>
      <c r="C421" s="1509" t="e">
        <v>#N/A</v>
      </c>
      <c r="D421" s="1509" t="e">
        <v>#N/A</v>
      </c>
      <c r="E421" s="1509" t="e">
        <v>#N/A</v>
      </c>
      <c r="F421" s="1509" t="e">
        <f t="shared" si="1"/>
        <v>#N/A</v>
      </c>
      <c r="K421" s="1626">
        <v>42478</v>
      </c>
      <c r="L421" s="1627" t="s">
        <v>2298</v>
      </c>
      <c r="M421" s="1628">
        <v>5.2531000000000001E-2</v>
      </c>
      <c r="N421" s="1629">
        <v>1.1565343259798715</v>
      </c>
      <c r="O421" s="1629">
        <v>1.1565343259798715</v>
      </c>
    </row>
    <row r="422" spans="2:15">
      <c r="B422" s="1508">
        <v>45261</v>
      </c>
      <c r="C422" s="1509" t="e">
        <v>#N/A</v>
      </c>
      <c r="D422" s="1509" t="e">
        <v>#N/A</v>
      </c>
      <c r="E422" s="1509" t="e">
        <v>#N/A</v>
      </c>
      <c r="F422" s="1509" t="e">
        <f t="shared" si="1"/>
        <v>#N/A</v>
      </c>
      <c r="K422" s="1626">
        <v>42479</v>
      </c>
      <c r="L422" s="1627" t="s">
        <v>2298</v>
      </c>
      <c r="M422" s="1628">
        <v>5.2531000000000001E-2</v>
      </c>
      <c r="N422" s="1629">
        <v>1.1571418650266521</v>
      </c>
      <c r="O422" s="1629">
        <v>1.1571418650266521</v>
      </c>
    </row>
    <row r="423" spans="2:15">
      <c r="B423" s="1508">
        <v>45292</v>
      </c>
      <c r="C423" s="1509" t="e">
        <v>#N/A</v>
      </c>
      <c r="D423" s="1509" t="e">
        <v>#N/A</v>
      </c>
      <c r="E423" s="1509" t="e">
        <v>#N/A</v>
      </c>
      <c r="F423" s="1509" t="e">
        <f t="shared" si="1"/>
        <v>#N/A</v>
      </c>
      <c r="K423" s="1626">
        <v>42480</v>
      </c>
      <c r="L423" s="1627" t="s">
        <v>2298</v>
      </c>
      <c r="M423" s="1628">
        <v>5.2531000000000001E-2</v>
      </c>
      <c r="N423" s="1629">
        <v>1.1577497232197693</v>
      </c>
      <c r="O423" s="1629">
        <v>1.1577497232197693</v>
      </c>
    </row>
    <row r="424" spans="2:15">
      <c r="B424" s="1508">
        <v>45323</v>
      </c>
      <c r="C424" s="1509" t="e">
        <v>#N/A</v>
      </c>
      <c r="D424" s="1509" t="e">
        <v>#N/A</v>
      </c>
      <c r="E424" s="1509" t="e">
        <v>#N/A</v>
      </c>
      <c r="F424" s="1509" t="e">
        <f t="shared" si="1"/>
        <v>#N/A</v>
      </c>
      <c r="K424" s="1626">
        <v>42481</v>
      </c>
      <c r="L424" s="1627"/>
      <c r="M424" s="1628">
        <v>0</v>
      </c>
      <c r="N424" s="1629">
        <v>1.1577497232197693</v>
      </c>
      <c r="O424" s="1629">
        <v>1.1577497232197693</v>
      </c>
    </row>
    <row r="425" spans="2:15">
      <c r="B425" s="1508">
        <v>45352</v>
      </c>
      <c r="C425" s="1509" t="e">
        <v>#N/A</v>
      </c>
      <c r="D425" s="1509" t="e">
        <v>#N/A</v>
      </c>
      <c r="E425" s="1509" t="e">
        <v>#N/A</v>
      </c>
      <c r="F425" s="1509" t="e">
        <f t="shared" si="1"/>
        <v>#N/A</v>
      </c>
      <c r="K425" s="1626">
        <v>42482</v>
      </c>
      <c r="L425" s="1627" t="s">
        <v>2298</v>
      </c>
      <c r="M425" s="1628">
        <v>5.2531000000000001E-2</v>
      </c>
      <c r="N425" s="1629">
        <v>1.1583579007268738</v>
      </c>
      <c r="O425" s="1629">
        <v>1.1583579007268738</v>
      </c>
    </row>
    <row r="426" spans="2:15">
      <c r="B426" s="1508">
        <v>45383</v>
      </c>
      <c r="C426" s="1509" t="e">
        <v>#N/A</v>
      </c>
      <c r="D426" s="1509" t="e">
        <v>#N/A</v>
      </c>
      <c r="E426" s="1509" t="e">
        <v>#N/A</v>
      </c>
      <c r="F426" s="1509" t="e">
        <f t="shared" si="1"/>
        <v>#N/A</v>
      </c>
      <c r="K426" s="1626">
        <v>42483</v>
      </c>
      <c r="L426" s="1627"/>
      <c r="M426" s="1628">
        <v>0</v>
      </c>
      <c r="N426" s="1629">
        <v>1.1583579007268738</v>
      </c>
      <c r="O426" s="1629">
        <v>1.1583579007268738</v>
      </c>
    </row>
    <row r="427" spans="2:15">
      <c r="B427" s="1508">
        <v>45413</v>
      </c>
      <c r="C427" s="1509" t="e">
        <v>#N/A</v>
      </c>
      <c r="D427" s="1509" t="e">
        <v>#N/A</v>
      </c>
      <c r="E427" s="1509" t="e">
        <v>#N/A</v>
      </c>
      <c r="F427" s="1509" t="e">
        <f t="shared" si="1"/>
        <v>#N/A</v>
      </c>
      <c r="K427" s="1626">
        <v>42484</v>
      </c>
      <c r="L427" s="1627"/>
      <c r="M427" s="1628">
        <v>0</v>
      </c>
      <c r="N427" s="1629">
        <v>1.1583579007268738</v>
      </c>
      <c r="O427" s="1629">
        <v>1.1583579007268738</v>
      </c>
    </row>
    <row r="428" spans="2:15">
      <c r="B428" s="1508">
        <v>45444</v>
      </c>
      <c r="C428" s="1509" t="e">
        <v>#N/A</v>
      </c>
      <c r="D428" s="1509" t="e">
        <v>#N/A</v>
      </c>
      <c r="E428" s="1509" t="e">
        <v>#N/A</v>
      </c>
      <c r="F428" s="1509" t="e">
        <f t="shared" si="1"/>
        <v>#N/A</v>
      </c>
      <c r="K428" s="1626">
        <v>42485</v>
      </c>
      <c r="L428" s="1627" t="s">
        <v>2298</v>
      </c>
      <c r="M428" s="1628">
        <v>5.2531000000000001E-2</v>
      </c>
      <c r="N428" s="1629">
        <v>1.1589663977157048</v>
      </c>
      <c r="O428" s="1629">
        <v>1.1589663977157048</v>
      </c>
    </row>
    <row r="429" spans="2:15">
      <c r="B429" s="1508">
        <v>45474</v>
      </c>
      <c r="C429" s="1509" t="e">
        <v>#N/A</v>
      </c>
      <c r="D429" s="1509" t="e">
        <v>#N/A</v>
      </c>
      <c r="E429" s="1509" t="e">
        <v>#N/A</v>
      </c>
      <c r="F429" s="1509" t="e">
        <f t="shared" si="1"/>
        <v>#N/A</v>
      </c>
      <c r="K429" s="1626">
        <v>42486</v>
      </c>
      <c r="L429" s="1627" t="s">
        <v>2298</v>
      </c>
      <c r="M429" s="1628">
        <v>5.2531000000000001E-2</v>
      </c>
      <c r="N429" s="1629">
        <v>1.1595752143540887</v>
      </c>
      <c r="O429" s="1629">
        <v>1.1595752143540887</v>
      </c>
    </row>
    <row r="430" spans="2:15">
      <c r="B430" s="1508">
        <v>45505</v>
      </c>
      <c r="C430" s="1509" t="e">
        <v>#N/A</v>
      </c>
      <c r="D430" s="1509" t="e">
        <v>#N/A</v>
      </c>
      <c r="E430" s="1509" t="e">
        <v>#N/A</v>
      </c>
      <c r="F430" s="1509" t="e">
        <f t="shared" si="1"/>
        <v>#N/A</v>
      </c>
      <c r="K430" s="1626">
        <v>42487</v>
      </c>
      <c r="L430" s="1627" t="s">
        <v>2298</v>
      </c>
      <c r="M430" s="1628">
        <v>5.2531000000000001E-2</v>
      </c>
      <c r="N430" s="1629">
        <v>1.160184350809941</v>
      </c>
      <c r="O430" s="1629">
        <v>1.160184350809941</v>
      </c>
    </row>
    <row r="431" spans="2:15">
      <c r="B431" s="1508">
        <v>45536</v>
      </c>
      <c r="C431" s="1509" t="e">
        <v>#N/A</v>
      </c>
      <c r="D431" s="1509" t="e">
        <v>#N/A</v>
      </c>
      <c r="E431" s="1509" t="e">
        <v>#N/A</v>
      </c>
      <c r="F431" s="1509" t="e">
        <f t="shared" si="1"/>
        <v>#N/A</v>
      </c>
      <c r="K431" s="1626">
        <v>42488</v>
      </c>
      <c r="L431" s="1627" t="s">
        <v>2298</v>
      </c>
      <c r="M431" s="1628">
        <v>5.2531000000000001E-2</v>
      </c>
      <c r="N431" s="1629">
        <v>1.1607938072512649</v>
      </c>
      <c r="O431" s="1629">
        <v>1.1607938072512649</v>
      </c>
    </row>
    <row r="432" spans="2:15">
      <c r="B432" s="1508">
        <v>45566</v>
      </c>
      <c r="C432" s="1509" t="e">
        <v>#N/A</v>
      </c>
      <c r="D432" s="1509" t="e">
        <v>#N/A</v>
      </c>
      <c r="E432" s="1509" t="e">
        <v>#N/A</v>
      </c>
      <c r="F432" s="1509" t="e">
        <f t="shared" si="1"/>
        <v>#N/A</v>
      </c>
      <c r="K432" s="1626">
        <v>42489</v>
      </c>
      <c r="L432" s="1627" t="s">
        <v>2298</v>
      </c>
      <c r="M432" s="1628">
        <v>5.2531000000000001E-2</v>
      </c>
      <c r="N432" s="1629">
        <v>1.1614035838461521</v>
      </c>
      <c r="O432" s="1629">
        <v>1.1614035838461521</v>
      </c>
    </row>
    <row r="433" spans="2:15">
      <c r="B433" s="1508">
        <v>45597</v>
      </c>
      <c r="C433" s="1509" t="e">
        <v>#N/A</v>
      </c>
      <c r="D433" s="1509" t="e">
        <v>#N/A</v>
      </c>
      <c r="E433" s="1509" t="e">
        <v>#N/A</v>
      </c>
      <c r="F433" s="1509" t="e">
        <f t="shared" si="1"/>
        <v>#N/A</v>
      </c>
      <c r="K433" s="1626">
        <v>42490</v>
      </c>
      <c r="L433" s="1627"/>
      <c r="M433" s="1628">
        <v>0</v>
      </c>
      <c r="N433" s="1629">
        <v>1.1614035838461521</v>
      </c>
      <c r="O433" s="1629">
        <v>1.1614035838461521</v>
      </c>
    </row>
    <row r="434" spans="2:15">
      <c r="B434" s="1508">
        <v>45627</v>
      </c>
      <c r="C434" s="1509" t="e">
        <v>#N/A</v>
      </c>
      <c r="D434" s="1509" t="e">
        <v>#N/A</v>
      </c>
      <c r="E434" s="1509" t="e">
        <v>#N/A</v>
      </c>
      <c r="F434" s="1509" t="e">
        <f t="shared" si="1"/>
        <v>#N/A</v>
      </c>
      <c r="K434" s="1626">
        <v>42491</v>
      </c>
      <c r="L434" s="1627"/>
      <c r="M434" s="1628">
        <v>0</v>
      </c>
      <c r="N434" s="1629">
        <v>1.1614035838461521</v>
      </c>
      <c r="O434" s="1629">
        <v>1.1614035838461521</v>
      </c>
    </row>
    <row r="435" spans="2:15">
      <c r="B435" s="1508">
        <v>45658</v>
      </c>
      <c r="C435" s="1509" t="e">
        <v>#N/A</v>
      </c>
      <c r="D435" s="1509" t="e">
        <v>#N/A</v>
      </c>
      <c r="E435" s="1509" t="e">
        <v>#N/A</v>
      </c>
      <c r="F435" s="1509" t="e">
        <f t="shared" si="1"/>
        <v>#N/A</v>
      </c>
      <c r="K435" s="1626">
        <v>42492</v>
      </c>
      <c r="L435" s="1627" t="s">
        <v>2298</v>
      </c>
      <c r="M435" s="1628">
        <v>5.2531000000000001E-2</v>
      </c>
      <c r="N435" s="1629">
        <v>1.1620136807627823</v>
      </c>
      <c r="O435" s="1629">
        <v>1.1620136807627823</v>
      </c>
    </row>
    <row r="436" spans="2:15">
      <c r="B436" s="1508">
        <v>45689</v>
      </c>
      <c r="C436" s="1509" t="e">
        <v>#N/A</v>
      </c>
      <c r="D436" s="1509" t="e">
        <v>#N/A</v>
      </c>
      <c r="E436" s="1509" t="e">
        <v>#N/A</v>
      </c>
      <c r="F436" s="1509" t="e">
        <f t="shared" si="1"/>
        <v>#N/A</v>
      </c>
      <c r="K436" s="1626">
        <v>42493</v>
      </c>
      <c r="L436" s="1627" t="s">
        <v>2298</v>
      </c>
      <c r="M436" s="1628">
        <v>5.2531000000000001E-2</v>
      </c>
      <c r="N436" s="1629">
        <v>1.1626240981694238</v>
      </c>
      <c r="O436" s="1629">
        <v>1.1626240981694238</v>
      </c>
    </row>
    <row r="437" spans="2:15">
      <c r="B437" s="1508">
        <v>45717</v>
      </c>
      <c r="C437" s="1509" t="e">
        <v>#N/A</v>
      </c>
      <c r="D437" s="1509" t="e">
        <v>#N/A</v>
      </c>
      <c r="E437" s="1509" t="e">
        <v>#N/A</v>
      </c>
      <c r="F437" s="1509" t="e">
        <f t="shared" si="1"/>
        <v>#N/A</v>
      </c>
      <c r="K437" s="1626">
        <v>42494</v>
      </c>
      <c r="L437" s="1627" t="s">
        <v>2298</v>
      </c>
      <c r="M437" s="1628">
        <v>5.2531000000000001E-2</v>
      </c>
      <c r="N437" s="1629">
        <v>1.1632348362344331</v>
      </c>
      <c r="O437" s="1629">
        <v>1.1632348362344331</v>
      </c>
    </row>
    <row r="438" spans="2:15">
      <c r="B438" s="1508">
        <v>45748</v>
      </c>
      <c r="C438" s="1509" t="e">
        <v>#N/A</v>
      </c>
      <c r="D438" s="1509" t="e">
        <v>#N/A</v>
      </c>
      <c r="E438" s="1509" t="e">
        <v>#N/A</v>
      </c>
      <c r="F438" s="1509" t="e">
        <f t="shared" si="1"/>
        <v>#N/A</v>
      </c>
      <c r="K438" s="1626">
        <v>42495</v>
      </c>
      <c r="L438" s="1627" t="s">
        <v>2298</v>
      </c>
      <c r="M438" s="1628">
        <v>5.2531000000000001E-2</v>
      </c>
      <c r="N438" s="1629">
        <v>1.1638458951262554</v>
      </c>
      <c r="O438" s="1629">
        <v>1.1638458951262554</v>
      </c>
    </row>
    <row r="439" spans="2:15">
      <c r="B439" s="1508">
        <v>45778</v>
      </c>
      <c r="C439" s="1509" t="e">
        <v>#N/A</v>
      </c>
      <c r="D439" s="1509" t="e">
        <v>#N/A</v>
      </c>
      <c r="E439" s="1509" t="e">
        <v>#N/A</v>
      </c>
      <c r="F439" s="1509" t="e">
        <f t="shared" si="1"/>
        <v>#N/A</v>
      </c>
      <c r="K439" s="1626">
        <v>42496</v>
      </c>
      <c r="L439" s="1627" t="s">
        <v>2298</v>
      </c>
      <c r="M439" s="1628">
        <v>5.2531000000000001E-2</v>
      </c>
      <c r="N439" s="1629">
        <v>1.1644572750134241</v>
      </c>
      <c r="O439" s="1629">
        <v>1.1644572750134241</v>
      </c>
    </row>
    <row r="440" spans="2:15">
      <c r="B440" s="1508">
        <v>45809</v>
      </c>
      <c r="C440" s="1509" t="e">
        <v>#N/A</v>
      </c>
      <c r="D440" s="1509" t="e">
        <v>#N/A</v>
      </c>
      <c r="E440" s="1509" t="e">
        <v>#N/A</v>
      </c>
      <c r="F440" s="1509" t="e">
        <f t="shared" si="1"/>
        <v>#N/A</v>
      </c>
      <c r="K440" s="1626">
        <v>42497</v>
      </c>
      <c r="L440" s="1627"/>
      <c r="M440" s="1628">
        <v>0</v>
      </c>
      <c r="N440" s="1629">
        <v>1.1644572750134241</v>
      </c>
      <c r="O440" s="1629">
        <v>1.1644572750134241</v>
      </c>
    </row>
    <row r="441" spans="2:15">
      <c r="B441" s="1508">
        <v>45839</v>
      </c>
      <c r="C441" s="1509" t="e">
        <v>#N/A</v>
      </c>
      <c r="D441" s="1509" t="e">
        <v>#N/A</v>
      </c>
      <c r="E441" s="1509" t="e">
        <v>#N/A</v>
      </c>
      <c r="F441" s="1509" t="e">
        <f t="shared" si="1"/>
        <v>#N/A</v>
      </c>
      <c r="K441" s="1626">
        <v>42498</v>
      </c>
      <c r="L441" s="1627"/>
      <c r="M441" s="1628">
        <v>0</v>
      </c>
      <c r="N441" s="1629">
        <v>1.1644572750134241</v>
      </c>
      <c r="O441" s="1629">
        <v>1.1644572750134241</v>
      </c>
    </row>
    <row r="442" spans="2:15">
      <c r="B442" s="1508">
        <v>45870</v>
      </c>
      <c r="C442" s="1509" t="e">
        <v>#N/A</v>
      </c>
      <c r="D442" s="1509" t="e">
        <v>#N/A</v>
      </c>
      <c r="E442" s="1509" t="e">
        <v>#N/A</v>
      </c>
      <c r="F442" s="1509" t="e">
        <f t="shared" si="1"/>
        <v>#N/A</v>
      </c>
      <c r="K442" s="1626">
        <v>42499</v>
      </c>
      <c r="L442" s="1627" t="s">
        <v>2298</v>
      </c>
      <c r="M442" s="1628">
        <v>5.2531000000000001E-2</v>
      </c>
      <c r="N442" s="1629">
        <v>1.1650689760645614</v>
      </c>
      <c r="O442" s="1629">
        <v>1.1650689760645614</v>
      </c>
    </row>
    <row r="443" spans="2:15">
      <c r="B443" s="1508">
        <v>45901</v>
      </c>
      <c r="C443" s="1509" t="e">
        <v>#N/A</v>
      </c>
      <c r="D443" s="1509" t="e">
        <v>#N/A</v>
      </c>
      <c r="E443" s="1509" t="e">
        <v>#N/A</v>
      </c>
      <c r="F443" s="1509" t="e">
        <f t="shared" si="1"/>
        <v>#N/A</v>
      </c>
      <c r="K443" s="1626">
        <v>42500</v>
      </c>
      <c r="L443" s="1627" t="s">
        <v>2298</v>
      </c>
      <c r="M443" s="1628">
        <v>5.2531000000000001E-2</v>
      </c>
      <c r="N443" s="1629">
        <v>1.1656809984483778</v>
      </c>
      <c r="O443" s="1629">
        <v>1.1656809984483778</v>
      </c>
    </row>
    <row r="444" spans="2:15">
      <c r="B444" s="1508">
        <v>45931</v>
      </c>
      <c r="C444" s="1509" t="e">
        <v>#N/A</v>
      </c>
      <c r="D444" s="1509" t="e">
        <v>#N/A</v>
      </c>
      <c r="E444" s="1509" t="e">
        <v>#N/A</v>
      </c>
      <c r="F444" s="1509" t="e">
        <f t="shared" si="1"/>
        <v>#N/A</v>
      </c>
      <c r="K444" s="1626">
        <v>42501</v>
      </c>
      <c r="L444" s="1627" t="s">
        <v>2298</v>
      </c>
      <c r="M444" s="1628">
        <v>5.2531000000000001E-2</v>
      </c>
      <c r="N444" s="1629">
        <v>1.1662933423336728</v>
      </c>
      <c r="O444" s="1629">
        <v>1.1662933423336728</v>
      </c>
    </row>
    <row r="445" spans="2:15">
      <c r="B445" s="1508">
        <v>45962</v>
      </c>
      <c r="C445" s="1509" t="e">
        <v>#N/A</v>
      </c>
      <c r="D445" s="1509" t="e">
        <v>#N/A</v>
      </c>
      <c r="E445" s="1509" t="e">
        <v>#N/A</v>
      </c>
      <c r="F445" s="1509" t="e">
        <f t="shared" si="1"/>
        <v>#N/A</v>
      </c>
      <c r="K445" s="1626">
        <v>42502</v>
      </c>
      <c r="L445" s="1627" t="s">
        <v>2298</v>
      </c>
      <c r="M445" s="1628">
        <v>5.2531000000000001E-2</v>
      </c>
      <c r="N445" s="1629">
        <v>1.1669060078893341</v>
      </c>
      <c r="O445" s="1629">
        <v>1.1669060078893341</v>
      </c>
    </row>
    <row r="446" spans="2:15">
      <c r="B446" s="1508">
        <v>45992</v>
      </c>
      <c r="C446" s="1509" t="e">
        <v>#N/A</v>
      </c>
      <c r="D446" s="1509" t="e">
        <v>#N/A</v>
      </c>
      <c r="E446" s="1509" t="e">
        <v>#N/A</v>
      </c>
      <c r="F446" s="1509" t="e">
        <f t="shared" si="1"/>
        <v>#N/A</v>
      </c>
      <c r="K446" s="1626">
        <v>42503</v>
      </c>
      <c r="L446" s="1627" t="s">
        <v>2298</v>
      </c>
      <c r="M446" s="1628">
        <v>5.2531000000000001E-2</v>
      </c>
      <c r="N446" s="1629">
        <v>1.1675189952843383</v>
      </c>
      <c r="O446" s="1629">
        <v>1.1675189952843383</v>
      </c>
    </row>
    <row r="447" spans="2:15">
      <c r="B447" s="1508">
        <v>46023</v>
      </c>
      <c r="C447" s="1509" t="e">
        <v>#N/A</v>
      </c>
      <c r="D447" s="1509" t="e">
        <v>#N/A</v>
      </c>
      <c r="E447" s="1509" t="e">
        <v>#N/A</v>
      </c>
      <c r="F447" s="1509" t="e">
        <f t="shared" si="1"/>
        <v>#N/A</v>
      </c>
      <c r="K447" s="1626">
        <v>42504</v>
      </c>
      <c r="L447" s="1627"/>
      <c r="M447" s="1628">
        <v>0</v>
      </c>
      <c r="N447" s="1629">
        <v>1.1675189952843383</v>
      </c>
      <c r="O447" s="1629">
        <v>1.1675189952843383</v>
      </c>
    </row>
    <row r="448" spans="2:15">
      <c r="B448" s="1508">
        <v>46054</v>
      </c>
      <c r="C448" s="1509" t="e">
        <v>#N/A</v>
      </c>
      <c r="D448" s="1509" t="e">
        <v>#N/A</v>
      </c>
      <c r="E448" s="1509" t="e">
        <v>#N/A</v>
      </c>
      <c r="F448" s="1509" t="e">
        <f t="shared" si="1"/>
        <v>#N/A</v>
      </c>
      <c r="K448" s="1626">
        <v>42505</v>
      </c>
      <c r="L448" s="1627"/>
      <c r="M448" s="1628">
        <v>0</v>
      </c>
      <c r="N448" s="1629">
        <v>1.1675189952843383</v>
      </c>
      <c r="O448" s="1629">
        <v>1.1675189952843383</v>
      </c>
    </row>
    <row r="449" spans="2:15">
      <c r="B449" s="1508">
        <v>46082</v>
      </c>
      <c r="C449" s="1509" t="e">
        <v>#N/A</v>
      </c>
      <c r="D449" s="1509" t="e">
        <v>#N/A</v>
      </c>
      <c r="E449" s="1509" t="e">
        <v>#N/A</v>
      </c>
      <c r="F449" s="1509" t="e">
        <f t="shared" si="1"/>
        <v>#N/A</v>
      </c>
      <c r="K449" s="1626">
        <v>42506</v>
      </c>
      <c r="L449" s="1627" t="s">
        <v>2298</v>
      </c>
      <c r="M449" s="1628">
        <v>5.2531000000000001E-2</v>
      </c>
      <c r="N449" s="1629">
        <v>1.1681323046877512</v>
      </c>
      <c r="O449" s="1629">
        <v>1.1681323046877512</v>
      </c>
    </row>
    <row r="450" spans="2:15">
      <c r="B450" s="1508">
        <v>46113</v>
      </c>
      <c r="C450" s="1509" t="e">
        <v>#N/A</v>
      </c>
      <c r="D450" s="1509" t="e">
        <v>#N/A</v>
      </c>
      <c r="E450" s="1509" t="e">
        <v>#N/A</v>
      </c>
      <c r="F450" s="1509" t="e">
        <f t="shared" si="1"/>
        <v>#N/A</v>
      </c>
      <c r="K450" s="1626">
        <v>42507</v>
      </c>
      <c r="L450" s="1627" t="s">
        <v>2298</v>
      </c>
      <c r="M450" s="1628">
        <v>5.2531000000000001E-2</v>
      </c>
      <c r="N450" s="1629">
        <v>1.1687459362687267</v>
      </c>
      <c r="O450" s="1629">
        <v>1.1687459362687267</v>
      </c>
    </row>
    <row r="451" spans="2:15">
      <c r="B451" s="1508">
        <v>46143</v>
      </c>
      <c r="C451" s="1509" t="e">
        <v>#N/A</v>
      </c>
      <c r="D451" s="1509" t="e">
        <v>#N/A</v>
      </c>
      <c r="E451" s="1509" t="e">
        <v>#N/A</v>
      </c>
      <c r="F451" s="1509" t="e">
        <f t="shared" si="1"/>
        <v>#N/A</v>
      </c>
      <c r="K451" s="1626">
        <v>42508</v>
      </c>
      <c r="L451" s="1627" t="s">
        <v>2298</v>
      </c>
      <c r="M451" s="1628">
        <v>5.2531000000000001E-2</v>
      </c>
      <c r="N451" s="1629">
        <v>1.1693598901965081</v>
      </c>
      <c r="O451" s="1629">
        <v>1.1693598901965081</v>
      </c>
    </row>
    <row r="452" spans="2:15">
      <c r="B452" s="1508">
        <v>46174</v>
      </c>
      <c r="C452" s="1509" t="e">
        <v>#N/A</v>
      </c>
      <c r="D452" s="1509" t="e">
        <v>#N/A</v>
      </c>
      <c r="E452" s="1509" t="e">
        <v>#N/A</v>
      </c>
      <c r="F452" s="1509" t="e">
        <f t="shared" si="1"/>
        <v>#N/A</v>
      </c>
      <c r="K452" s="1626">
        <v>42509</v>
      </c>
      <c r="L452" s="1627" t="s">
        <v>2298</v>
      </c>
      <c r="M452" s="1628">
        <v>5.2531000000000001E-2</v>
      </c>
      <c r="N452" s="1629">
        <v>1.1699741666404273</v>
      </c>
      <c r="O452" s="1629">
        <v>1.1699741666404273</v>
      </c>
    </row>
    <row r="453" spans="2:15">
      <c r="B453" s="1508">
        <v>46204</v>
      </c>
      <c r="C453" s="1509" t="e">
        <v>#N/A</v>
      </c>
      <c r="D453" s="1509" t="e">
        <v>#N/A</v>
      </c>
      <c r="E453" s="1509" t="e">
        <v>#N/A</v>
      </c>
      <c r="F453" s="1509" t="e">
        <f t="shared" si="1"/>
        <v>#N/A</v>
      </c>
      <c r="K453" s="1626">
        <v>42510</v>
      </c>
      <c r="L453" s="1627" t="s">
        <v>2298</v>
      </c>
      <c r="M453" s="1628">
        <v>5.2531000000000001E-2</v>
      </c>
      <c r="N453" s="1629">
        <v>1.1705887657699052</v>
      </c>
      <c r="O453" s="1629">
        <v>1.1705887657699052</v>
      </c>
    </row>
    <row r="454" spans="2:15">
      <c r="B454" s="1508">
        <v>46235</v>
      </c>
      <c r="C454" s="1509" t="e">
        <v>#N/A</v>
      </c>
      <c r="D454" s="1509" t="e">
        <v>#N/A</v>
      </c>
      <c r="E454" s="1509" t="e">
        <v>#N/A</v>
      </c>
      <c r="F454" s="1509" t="e">
        <f t="shared" si="1"/>
        <v>#N/A</v>
      </c>
      <c r="K454" s="1626">
        <v>42511</v>
      </c>
      <c r="L454" s="1627"/>
      <c r="M454" s="1628">
        <v>0</v>
      </c>
      <c r="N454" s="1629">
        <v>1.1705887657699052</v>
      </c>
      <c r="O454" s="1629">
        <v>1.1705887657699052</v>
      </c>
    </row>
    <row r="455" spans="2:15">
      <c r="B455" s="1508">
        <v>46266</v>
      </c>
      <c r="C455" s="1509" t="e">
        <v>#N/A</v>
      </c>
      <c r="D455" s="1509" t="e">
        <v>#N/A</v>
      </c>
      <c r="E455" s="1509" t="e">
        <v>#N/A</v>
      </c>
      <c r="F455" s="1509" t="e">
        <f t="shared" si="1"/>
        <v>#N/A</v>
      </c>
      <c r="K455" s="1626">
        <v>42512</v>
      </c>
      <c r="L455" s="1627"/>
      <c r="M455" s="1628">
        <v>0</v>
      </c>
      <c r="N455" s="1629">
        <v>1.1705887657699052</v>
      </c>
      <c r="O455" s="1629">
        <v>1.1705887657699052</v>
      </c>
    </row>
    <row r="456" spans="2:15">
      <c r="B456" s="1508">
        <v>46296</v>
      </c>
      <c r="C456" s="1509" t="e">
        <v>#N/A</v>
      </c>
      <c r="D456" s="1509" t="e">
        <v>#N/A</v>
      </c>
      <c r="E456" s="1509" t="e">
        <v>#N/A</v>
      </c>
      <c r="F456" s="1509" t="e">
        <f t="shared" si="1"/>
        <v>#N/A</v>
      </c>
      <c r="K456" s="1626">
        <v>42513</v>
      </c>
      <c r="L456" s="1627" t="s">
        <v>2298</v>
      </c>
      <c r="M456" s="1628">
        <v>5.2531000000000001E-2</v>
      </c>
      <c r="N456" s="1629">
        <v>1.1712036877544518</v>
      </c>
      <c r="O456" s="1629">
        <v>1.1712036877544518</v>
      </c>
    </row>
    <row r="457" spans="2:15">
      <c r="B457" s="1508">
        <v>46327</v>
      </c>
      <c r="C457" s="1509" t="e">
        <v>#N/A</v>
      </c>
      <c r="D457" s="1509" t="e">
        <v>#N/A</v>
      </c>
      <c r="E457" s="1509" t="e">
        <v>#N/A</v>
      </c>
      <c r="F457" s="1509" t="e">
        <f t="shared" si="1"/>
        <v>#N/A</v>
      </c>
      <c r="K457" s="1626">
        <v>42514</v>
      </c>
      <c r="L457" s="1627" t="s">
        <v>2298</v>
      </c>
      <c r="M457" s="1628">
        <v>5.2531000000000001E-2</v>
      </c>
      <c r="N457" s="1629">
        <v>1.1718189327636661</v>
      </c>
      <c r="O457" s="1629">
        <v>1.1718189327636661</v>
      </c>
    </row>
    <row r="458" spans="2:15">
      <c r="B458" s="1508">
        <v>46357</v>
      </c>
      <c r="C458" s="1509" t="e">
        <v>#N/A</v>
      </c>
      <c r="D458" s="1509" t="e">
        <v>#N/A</v>
      </c>
      <c r="E458" s="1509" t="e">
        <v>#N/A</v>
      </c>
      <c r="F458" s="1509" t="e">
        <f t="shared" si="1"/>
        <v>#N/A</v>
      </c>
      <c r="K458" s="1626">
        <v>42515</v>
      </c>
      <c r="L458" s="1627" t="s">
        <v>2298</v>
      </c>
      <c r="M458" s="1628">
        <v>5.2531000000000001E-2</v>
      </c>
      <c r="N458" s="1629">
        <v>1.1724345009672361</v>
      </c>
      <c r="O458" s="1629">
        <v>1.1724345009672361</v>
      </c>
    </row>
    <row r="459" spans="2:15">
      <c r="B459" s="1508">
        <v>46388</v>
      </c>
      <c r="C459" s="1509" t="e">
        <v>#N/A</v>
      </c>
      <c r="D459" s="1509" t="e">
        <v>#N/A</v>
      </c>
      <c r="E459" s="1509" t="e">
        <v>#N/A</v>
      </c>
      <c r="F459" s="1509" t="e">
        <f t="shared" si="1"/>
        <v>#N/A</v>
      </c>
      <c r="K459" s="1626">
        <v>42516</v>
      </c>
      <c r="L459" s="1627"/>
      <c r="M459" s="1628">
        <v>0</v>
      </c>
      <c r="N459" s="1629">
        <v>1.1724345009672361</v>
      </c>
      <c r="O459" s="1629">
        <v>1.1724345009672361</v>
      </c>
    </row>
    <row r="460" spans="2:15">
      <c r="B460" s="1508">
        <v>46419</v>
      </c>
      <c r="C460" s="1509" t="e">
        <v>#N/A</v>
      </c>
      <c r="D460" s="1509" t="e">
        <v>#N/A</v>
      </c>
      <c r="E460" s="1509" t="e">
        <v>#N/A</v>
      </c>
      <c r="F460" s="1509" t="e">
        <f t="shared" si="1"/>
        <v>#N/A</v>
      </c>
      <c r="K460" s="1626">
        <v>42517</v>
      </c>
      <c r="L460" s="1627" t="s">
        <v>2298</v>
      </c>
      <c r="M460" s="1628">
        <v>5.2531000000000001E-2</v>
      </c>
      <c r="N460" s="1629">
        <v>1.1730503925349391</v>
      </c>
      <c r="O460" s="1629">
        <v>1.1730503925349391</v>
      </c>
    </row>
    <row r="461" spans="2:15">
      <c r="B461" s="1508">
        <v>46447</v>
      </c>
      <c r="C461" s="1509" t="e">
        <v>#N/A</v>
      </c>
      <c r="D461" s="1509" t="e">
        <v>#N/A</v>
      </c>
      <c r="E461" s="1509" t="e">
        <v>#N/A</v>
      </c>
      <c r="F461" s="1509" t="e">
        <f t="shared" si="1"/>
        <v>#N/A</v>
      </c>
      <c r="K461" s="1626">
        <v>42518</v>
      </c>
      <c r="L461" s="1627"/>
      <c r="M461" s="1628">
        <v>0</v>
      </c>
      <c r="N461" s="1629">
        <v>1.1730503925349391</v>
      </c>
      <c r="O461" s="1629">
        <v>1.1730503925349391</v>
      </c>
    </row>
    <row r="462" spans="2:15">
      <c r="B462" s="1508">
        <v>46478</v>
      </c>
      <c r="C462" s="1509" t="e">
        <v>#N/A</v>
      </c>
      <c r="D462" s="1509" t="e">
        <v>#N/A</v>
      </c>
      <c r="E462" s="1509" t="e">
        <v>#N/A</v>
      </c>
      <c r="F462" s="1509" t="e">
        <f t="shared" si="1"/>
        <v>#N/A</v>
      </c>
      <c r="K462" s="1626">
        <v>42519</v>
      </c>
      <c r="L462" s="1627"/>
      <c r="M462" s="1628">
        <v>0</v>
      </c>
      <c r="N462" s="1629">
        <v>1.1730503925349391</v>
      </c>
      <c r="O462" s="1629">
        <v>1.1730503925349391</v>
      </c>
    </row>
    <row r="463" spans="2:15">
      <c r="B463" s="1508">
        <v>46508</v>
      </c>
      <c r="C463" s="1509" t="e">
        <v>#N/A</v>
      </c>
      <c r="D463" s="1509" t="e">
        <v>#N/A</v>
      </c>
      <c r="E463" s="1509" t="e">
        <v>#N/A</v>
      </c>
      <c r="F463" s="1509" t="e">
        <f t="shared" si="1"/>
        <v>#N/A</v>
      </c>
      <c r="K463" s="1626">
        <v>42520</v>
      </c>
      <c r="L463" s="1627" t="s">
        <v>2298</v>
      </c>
      <c r="M463" s="1628">
        <v>5.2531000000000001E-2</v>
      </c>
      <c r="N463" s="1629">
        <v>1.1736666076366418</v>
      </c>
      <c r="O463" s="1629">
        <v>1.1736666076366418</v>
      </c>
    </row>
    <row r="464" spans="2:15">
      <c r="B464" s="1508">
        <v>46539</v>
      </c>
      <c r="C464" s="1509" t="e">
        <v>#N/A</v>
      </c>
      <c r="D464" s="1509" t="e">
        <v>#N/A</v>
      </c>
      <c r="E464" s="1509" t="e">
        <v>#N/A</v>
      </c>
      <c r="F464" s="1509" t="e">
        <f t="shared" si="1"/>
        <v>#N/A</v>
      </c>
      <c r="K464" s="1626">
        <v>42521</v>
      </c>
      <c r="L464" s="1627" t="s">
        <v>2298</v>
      </c>
      <c r="M464" s="1628">
        <v>5.2531000000000001E-2</v>
      </c>
      <c r="N464" s="1629">
        <v>1.1742831464422994</v>
      </c>
      <c r="O464" s="1629">
        <v>1.1742831464422994</v>
      </c>
    </row>
    <row r="465" spans="2:15">
      <c r="B465" s="1508">
        <v>46569</v>
      </c>
      <c r="C465" s="1509" t="e">
        <v>#N/A</v>
      </c>
      <c r="D465" s="1509" t="e">
        <v>#N/A</v>
      </c>
      <c r="E465" s="1509" t="e">
        <v>#N/A</v>
      </c>
      <c r="F465" s="1509" t="e">
        <f t="shared" si="1"/>
        <v>#N/A</v>
      </c>
      <c r="K465" s="1626">
        <v>42522</v>
      </c>
      <c r="L465" s="1627" t="s">
        <v>2298</v>
      </c>
      <c r="M465" s="1628">
        <v>5.2531000000000001E-2</v>
      </c>
      <c r="N465" s="1629">
        <v>1.174900009121957</v>
      </c>
      <c r="O465" s="1629">
        <v>1.174900009121957</v>
      </c>
    </row>
    <row r="466" spans="2:15">
      <c r="B466" s="1508">
        <v>46600</v>
      </c>
      <c r="C466" s="1509" t="e">
        <v>#N/A</v>
      </c>
      <c r="D466" s="1509" t="e">
        <v>#N/A</v>
      </c>
      <c r="E466" s="1509" t="e">
        <v>#N/A</v>
      </c>
      <c r="F466" s="1509" t="e">
        <f t="shared" si="1"/>
        <v>#N/A</v>
      </c>
      <c r="K466" s="1626">
        <v>42523</v>
      </c>
      <c r="L466" s="1627" t="s">
        <v>2298</v>
      </c>
      <c r="M466" s="1628">
        <v>5.2531000000000001E-2</v>
      </c>
      <c r="N466" s="1629">
        <v>1.1755171958457489</v>
      </c>
      <c r="O466" s="1629">
        <v>1.1755171958457489</v>
      </c>
    </row>
    <row r="467" spans="2:15">
      <c r="B467" s="1508">
        <v>46631</v>
      </c>
      <c r="C467" s="1509" t="e">
        <v>#N/A</v>
      </c>
      <c r="D467" s="1509" t="e">
        <v>#N/A</v>
      </c>
      <c r="E467" s="1509" t="e">
        <v>#N/A</v>
      </c>
      <c r="F467" s="1509" t="e">
        <f t="shared" si="1"/>
        <v>#N/A</v>
      </c>
      <c r="K467" s="1626">
        <v>42524</v>
      </c>
      <c r="L467" s="1627" t="s">
        <v>2298</v>
      </c>
      <c r="M467" s="1628">
        <v>5.2531000000000001E-2</v>
      </c>
      <c r="N467" s="1629">
        <v>1.1761347067838985</v>
      </c>
      <c r="O467" s="1629">
        <v>1.1761347067838985</v>
      </c>
    </row>
    <row r="468" spans="2:15">
      <c r="B468" s="1508">
        <v>46661</v>
      </c>
      <c r="C468" s="1509" t="e">
        <v>#N/A</v>
      </c>
      <c r="D468" s="1509" t="e">
        <v>#N/A</v>
      </c>
      <c r="E468" s="1509" t="e">
        <v>#N/A</v>
      </c>
      <c r="F468" s="1509" t="e">
        <f t="shared" si="1"/>
        <v>#N/A</v>
      </c>
      <c r="K468" s="1626">
        <v>42525</v>
      </c>
      <c r="L468" s="1627"/>
      <c r="M468" s="1628">
        <v>0</v>
      </c>
      <c r="N468" s="1629">
        <v>1.1761347067838985</v>
      </c>
      <c r="O468" s="1629">
        <v>1.1761347067838985</v>
      </c>
    </row>
    <row r="469" spans="2:15">
      <c r="B469" s="1508">
        <v>46692</v>
      </c>
      <c r="C469" s="1509" t="e">
        <v>#N/A</v>
      </c>
      <c r="D469" s="1509" t="e">
        <v>#N/A</v>
      </c>
      <c r="E469" s="1509" t="e">
        <v>#N/A</v>
      </c>
      <c r="F469" s="1509" t="e">
        <f t="shared" si="1"/>
        <v>#N/A</v>
      </c>
      <c r="K469" s="1626">
        <v>42526</v>
      </c>
      <c r="L469" s="1627"/>
      <c r="M469" s="1628">
        <v>0</v>
      </c>
      <c r="N469" s="1629">
        <v>1.1761347067838985</v>
      </c>
      <c r="O469" s="1629">
        <v>1.1761347067838985</v>
      </c>
    </row>
    <row r="470" spans="2:15">
      <c r="B470" s="1508">
        <v>46722</v>
      </c>
      <c r="C470" s="1509" t="e">
        <v>#N/A</v>
      </c>
      <c r="D470" s="1509" t="e">
        <v>#N/A</v>
      </c>
      <c r="E470" s="1509" t="e">
        <v>#N/A</v>
      </c>
      <c r="F470" s="1509" t="e">
        <f t="shared" si="1"/>
        <v>#N/A</v>
      </c>
      <c r="K470" s="1626">
        <v>42527</v>
      </c>
      <c r="L470" s="1627" t="s">
        <v>2298</v>
      </c>
      <c r="M470" s="1628">
        <v>5.2531000000000001E-2</v>
      </c>
      <c r="N470" s="1629">
        <v>1.1767525421067191</v>
      </c>
      <c r="O470" s="1629">
        <v>1.1767525421067191</v>
      </c>
    </row>
    <row r="471" spans="2:15">
      <c r="B471" s="1508">
        <v>46753</v>
      </c>
      <c r="C471" s="1509" t="e">
        <v>#N/A</v>
      </c>
      <c r="D471" s="1509" t="e">
        <v>#N/A</v>
      </c>
      <c r="E471" s="1509" t="e">
        <v>#N/A</v>
      </c>
      <c r="F471" s="1509" t="e">
        <f t="shared" si="1"/>
        <v>#N/A</v>
      </c>
      <c r="K471" s="1626">
        <v>42528</v>
      </c>
      <c r="L471" s="1627" t="s">
        <v>2298</v>
      </c>
      <c r="M471" s="1628">
        <v>5.2531000000000001E-2</v>
      </c>
      <c r="N471" s="1629">
        <v>1.1773707019846131</v>
      </c>
      <c r="O471" s="1629">
        <v>1.1773707019846131</v>
      </c>
    </row>
    <row r="472" spans="2:15">
      <c r="B472" s="1508">
        <v>46784</v>
      </c>
      <c r="C472" s="1509" t="e">
        <v>#N/A</v>
      </c>
      <c r="D472" s="1509" t="e">
        <v>#N/A</v>
      </c>
      <c r="E472" s="1509" t="e">
        <v>#N/A</v>
      </c>
      <c r="F472" s="1509" t="e">
        <f t="shared" si="1"/>
        <v>#N/A</v>
      </c>
      <c r="K472" s="1626">
        <v>42529</v>
      </c>
      <c r="L472" s="1627" t="s">
        <v>2298</v>
      </c>
      <c r="M472" s="1628">
        <v>5.2531000000000001E-2</v>
      </c>
      <c r="N472" s="1629">
        <v>1.1779891865880727</v>
      </c>
      <c r="O472" s="1629">
        <v>1.1779891865880727</v>
      </c>
    </row>
    <row r="473" spans="2:15">
      <c r="B473" s="1508">
        <v>46813</v>
      </c>
      <c r="C473" s="1509" t="e">
        <v>#N/A</v>
      </c>
      <c r="D473" s="1509" t="e">
        <v>#N/A</v>
      </c>
      <c r="E473" s="1509" t="e">
        <v>#N/A</v>
      </c>
      <c r="F473" s="1509" t="e">
        <f t="shared" si="1"/>
        <v>#N/A</v>
      </c>
      <c r="K473" s="1626">
        <v>42530</v>
      </c>
      <c r="L473" s="1627" t="s">
        <v>2298</v>
      </c>
      <c r="M473" s="1628">
        <v>5.2531000000000001E-2</v>
      </c>
      <c r="N473" s="1629">
        <v>1.1786079960876794</v>
      </c>
      <c r="O473" s="1629">
        <v>1.1786079960876794</v>
      </c>
    </row>
    <row r="474" spans="2:15">
      <c r="B474" s="1508">
        <v>46844</v>
      </c>
      <c r="C474" s="1509" t="e">
        <v>#N/A</v>
      </c>
      <c r="D474" s="1509" t="e">
        <v>#N/A</v>
      </c>
      <c r="E474" s="1509" t="e">
        <v>#N/A</v>
      </c>
      <c r="F474" s="1509" t="e">
        <f t="shared" si="1"/>
        <v>#N/A</v>
      </c>
      <c r="K474" s="1626">
        <v>42531</v>
      </c>
      <c r="L474" s="1627" t="s">
        <v>2298</v>
      </c>
      <c r="M474" s="1628">
        <v>5.2531000000000001E-2</v>
      </c>
      <c r="N474" s="1629">
        <v>1.1792271306541042</v>
      </c>
      <c r="O474" s="1629">
        <v>1.1792271306541042</v>
      </c>
    </row>
    <row r="475" spans="2:15">
      <c r="B475" s="1508">
        <v>46874</v>
      </c>
      <c r="C475" s="1509" t="e">
        <v>#N/A</v>
      </c>
      <c r="D475" s="1509" t="e">
        <v>#N/A</v>
      </c>
      <c r="E475" s="1509" t="e">
        <v>#N/A</v>
      </c>
      <c r="F475" s="1509" t="e">
        <f t="shared" si="1"/>
        <v>#N/A</v>
      </c>
      <c r="K475" s="1626">
        <v>42532</v>
      </c>
      <c r="L475" s="1627"/>
      <c r="M475" s="1628">
        <v>0</v>
      </c>
      <c r="N475" s="1629">
        <v>1.1792271306541042</v>
      </c>
      <c r="O475" s="1629">
        <v>1.1792271306541042</v>
      </c>
    </row>
    <row r="476" spans="2:15">
      <c r="B476" s="1508">
        <v>46905</v>
      </c>
      <c r="C476" s="1509" t="e">
        <v>#N/A</v>
      </c>
      <c r="D476" s="1509" t="e">
        <v>#N/A</v>
      </c>
      <c r="E476" s="1509" t="e">
        <v>#N/A</v>
      </c>
      <c r="F476" s="1509" t="e">
        <f t="shared" si="1"/>
        <v>#N/A</v>
      </c>
      <c r="K476" s="1626">
        <v>42533</v>
      </c>
      <c r="L476" s="1627"/>
      <c r="M476" s="1628">
        <v>0</v>
      </c>
      <c r="N476" s="1629">
        <v>1.1792271306541042</v>
      </c>
      <c r="O476" s="1629">
        <v>1.1792271306541042</v>
      </c>
    </row>
    <row r="477" spans="2:15">
      <c r="B477" s="1508">
        <v>46935</v>
      </c>
      <c r="C477" s="1509" t="e">
        <v>#N/A</v>
      </c>
      <c r="D477" s="1509" t="e">
        <v>#N/A</v>
      </c>
      <c r="E477" s="1509" t="e">
        <v>#N/A</v>
      </c>
      <c r="F477" s="1509" t="e">
        <f t="shared" si="1"/>
        <v>#N/A</v>
      </c>
      <c r="K477" s="1626">
        <v>42534</v>
      </c>
      <c r="L477" s="1627" t="s">
        <v>2298</v>
      </c>
      <c r="M477" s="1628">
        <v>5.2531000000000001E-2</v>
      </c>
      <c r="N477" s="1629">
        <v>1.1798465904581081</v>
      </c>
      <c r="O477" s="1629">
        <v>1.1798465904581081</v>
      </c>
    </row>
    <row r="478" spans="2:15">
      <c r="B478" s="1508">
        <v>46966</v>
      </c>
      <c r="C478" s="1509" t="e">
        <v>#N/A</v>
      </c>
      <c r="D478" s="1509" t="e">
        <v>#N/A</v>
      </c>
      <c r="E478" s="1509" t="e">
        <v>#N/A</v>
      </c>
      <c r="F478" s="1509" t="e">
        <f t="shared" si="1"/>
        <v>#N/A</v>
      </c>
      <c r="K478" s="1626">
        <v>42535</v>
      </c>
      <c r="L478" s="1627" t="s">
        <v>2298</v>
      </c>
      <c r="M478" s="1628">
        <v>5.2531000000000001E-2</v>
      </c>
      <c r="N478" s="1629">
        <v>1.1804663756705416</v>
      </c>
      <c r="O478" s="1629">
        <v>1.1804663756705416</v>
      </c>
    </row>
    <row r="479" spans="2:15">
      <c r="B479" s="1508">
        <v>46997</v>
      </c>
      <c r="C479" s="1509" t="e">
        <v>#N/A</v>
      </c>
      <c r="D479" s="1509" t="e">
        <v>#N/A</v>
      </c>
      <c r="E479" s="1509" t="e">
        <v>#N/A</v>
      </c>
      <c r="F479" s="1509" t="e">
        <f t="shared" si="1"/>
        <v>#N/A</v>
      </c>
      <c r="K479" s="1626">
        <v>42536</v>
      </c>
      <c r="L479" s="1627" t="s">
        <v>2298</v>
      </c>
      <c r="M479" s="1628">
        <v>5.2531000000000001E-2</v>
      </c>
      <c r="N479" s="1629">
        <v>1.1810864864623452</v>
      </c>
      <c r="O479" s="1629">
        <v>1.1810864864623452</v>
      </c>
    </row>
    <row r="480" spans="2:15">
      <c r="B480" s="1508">
        <v>47027</v>
      </c>
      <c r="C480" s="1509" t="e">
        <v>#N/A</v>
      </c>
      <c r="D480" s="1509" t="e">
        <v>#N/A</v>
      </c>
      <c r="E480" s="1509" t="e">
        <v>#N/A</v>
      </c>
      <c r="F480" s="1509" t="e">
        <f t="shared" si="1"/>
        <v>#N/A</v>
      </c>
      <c r="K480" s="1626">
        <v>42537</v>
      </c>
      <c r="L480" s="1627" t="s">
        <v>2298</v>
      </c>
      <c r="M480" s="1628">
        <v>5.2531000000000001E-2</v>
      </c>
      <c r="N480" s="1629">
        <v>1.1817069230045487</v>
      </c>
      <c r="O480" s="1629">
        <v>1.1817069230045487</v>
      </c>
    </row>
    <row r="481" spans="2:15">
      <c r="B481" s="1508">
        <v>47058</v>
      </c>
      <c r="C481" s="1509" t="e">
        <v>#N/A</v>
      </c>
      <c r="D481" s="1509" t="e">
        <v>#N/A</v>
      </c>
      <c r="E481" s="1509" t="e">
        <v>#N/A</v>
      </c>
      <c r="F481" s="1509" t="e">
        <f t="shared" si="1"/>
        <v>#N/A</v>
      </c>
      <c r="K481" s="1626">
        <v>42538</v>
      </c>
      <c r="L481" s="1627" t="s">
        <v>2298</v>
      </c>
      <c r="M481" s="1628">
        <v>5.2531000000000001E-2</v>
      </c>
      <c r="N481" s="1629">
        <v>1.1823276854682723</v>
      </c>
      <c r="O481" s="1629">
        <v>1.1823276854682723</v>
      </c>
    </row>
    <row r="482" spans="2:15">
      <c r="B482" s="1508">
        <v>47088</v>
      </c>
      <c r="C482" s="1509" t="e">
        <v>#N/A</v>
      </c>
      <c r="D482" s="1509" t="e">
        <v>#N/A</v>
      </c>
      <c r="E482" s="1509" t="e">
        <v>#N/A</v>
      </c>
      <c r="F482" s="1509" t="e">
        <f t="shared" si="1"/>
        <v>#N/A</v>
      </c>
      <c r="K482" s="1626">
        <v>42539</v>
      </c>
      <c r="L482" s="1627"/>
      <c r="M482" s="1628">
        <v>0</v>
      </c>
      <c r="N482" s="1629">
        <v>1.1823276854682723</v>
      </c>
      <c r="O482" s="1629">
        <v>1.1823276854682723</v>
      </c>
    </row>
    <row r="483" spans="2:15">
      <c r="B483" s="1508">
        <v>47119</v>
      </c>
      <c r="C483" s="1509" t="e">
        <v>#N/A</v>
      </c>
      <c r="D483" s="1509" t="e">
        <v>#N/A</v>
      </c>
      <c r="E483" s="1509" t="e">
        <v>#N/A</v>
      </c>
      <c r="F483" s="1509" t="e">
        <f t="shared" si="1"/>
        <v>#N/A</v>
      </c>
      <c r="K483" s="1626">
        <v>42540</v>
      </c>
      <c r="L483" s="1627"/>
      <c r="M483" s="1628">
        <v>0</v>
      </c>
      <c r="N483" s="1629">
        <v>1.1823276854682723</v>
      </c>
      <c r="O483" s="1629">
        <v>1.1823276854682723</v>
      </c>
    </row>
    <row r="484" spans="2:15">
      <c r="B484" s="1508">
        <v>47150</v>
      </c>
      <c r="C484" s="1509" t="e">
        <v>#N/A</v>
      </c>
      <c r="D484" s="1509" t="e">
        <v>#N/A</v>
      </c>
      <c r="E484" s="1509" t="e">
        <v>#N/A</v>
      </c>
      <c r="F484" s="1509" t="e">
        <f t="shared" ref="F484:F500" si="2">F483*E484</f>
        <v>#N/A</v>
      </c>
      <c r="K484" s="1626">
        <v>42541</v>
      </c>
      <c r="L484" s="1627" t="s">
        <v>2298</v>
      </c>
      <c r="M484" s="1628">
        <v>5.2531000000000001E-2</v>
      </c>
      <c r="N484" s="1629">
        <v>1.1829487740247255</v>
      </c>
      <c r="O484" s="1629">
        <v>1.1829487740247255</v>
      </c>
    </row>
    <row r="485" spans="2:15">
      <c r="B485" s="1508">
        <v>47178</v>
      </c>
      <c r="C485" s="1509" t="e">
        <v>#N/A</v>
      </c>
      <c r="D485" s="1509" t="e">
        <v>#N/A</v>
      </c>
      <c r="E485" s="1509" t="e">
        <v>#N/A</v>
      </c>
      <c r="F485" s="1509" t="e">
        <f t="shared" si="2"/>
        <v>#N/A</v>
      </c>
      <c r="K485" s="1626">
        <v>42542</v>
      </c>
      <c r="L485" s="1627" t="s">
        <v>2298</v>
      </c>
      <c r="M485" s="1628">
        <v>5.2531000000000001E-2</v>
      </c>
      <c r="N485" s="1629">
        <v>1.1835701888452084</v>
      </c>
      <c r="O485" s="1629">
        <v>1.1835701888452084</v>
      </c>
    </row>
    <row r="486" spans="2:15">
      <c r="B486" s="1508">
        <v>47209</v>
      </c>
      <c r="C486" s="1509" t="e">
        <v>#N/A</v>
      </c>
      <c r="D486" s="1509" t="e">
        <v>#N/A</v>
      </c>
      <c r="E486" s="1509" t="e">
        <v>#N/A</v>
      </c>
      <c r="F486" s="1509" t="e">
        <f t="shared" si="2"/>
        <v>#N/A</v>
      </c>
      <c r="K486" s="1626">
        <v>42543</v>
      </c>
      <c r="L486" s="1627" t="s">
        <v>2298</v>
      </c>
      <c r="M486" s="1628">
        <v>5.2531000000000001E-2</v>
      </c>
      <c r="N486" s="1629">
        <v>1.1841919301011106</v>
      </c>
      <c r="O486" s="1629">
        <v>1.1841919301011106</v>
      </c>
    </row>
    <row r="487" spans="2:15">
      <c r="B487" s="1508">
        <v>47239</v>
      </c>
      <c r="C487" s="1509" t="e">
        <v>#N/A</v>
      </c>
      <c r="D487" s="1509" t="e">
        <v>#N/A</v>
      </c>
      <c r="E487" s="1509" t="e">
        <v>#N/A</v>
      </c>
      <c r="F487" s="1509" t="e">
        <f t="shared" si="2"/>
        <v>#N/A</v>
      </c>
      <c r="K487" s="1626">
        <v>42544</v>
      </c>
      <c r="L487" s="1627" t="s">
        <v>2298</v>
      </c>
      <c r="M487" s="1628">
        <v>5.2531000000000001E-2</v>
      </c>
      <c r="N487" s="1629">
        <v>1.1848139979639121</v>
      </c>
      <c r="O487" s="1629">
        <v>1.1848139979639121</v>
      </c>
    </row>
    <row r="488" spans="2:15">
      <c r="B488" s="1508">
        <v>47270</v>
      </c>
      <c r="C488" s="1509" t="e">
        <v>#N/A</v>
      </c>
      <c r="D488" s="1509" t="e">
        <v>#N/A</v>
      </c>
      <c r="E488" s="1509" t="e">
        <v>#N/A</v>
      </c>
      <c r="F488" s="1509" t="e">
        <f t="shared" si="2"/>
        <v>#N/A</v>
      </c>
      <c r="K488" s="1626">
        <v>42545</v>
      </c>
      <c r="L488" s="1627" t="s">
        <v>2298</v>
      </c>
      <c r="M488" s="1628">
        <v>5.2531000000000001E-2</v>
      </c>
      <c r="N488" s="1629">
        <v>1.1854363926051825</v>
      </c>
      <c r="O488" s="1629">
        <v>1.1854363926051825</v>
      </c>
    </row>
    <row r="489" spans="2:15">
      <c r="B489" s="1508">
        <v>47300</v>
      </c>
      <c r="C489" s="1509" t="e">
        <v>#N/A</v>
      </c>
      <c r="D489" s="1509" t="e">
        <v>#N/A</v>
      </c>
      <c r="E489" s="1509" t="e">
        <v>#N/A</v>
      </c>
      <c r="F489" s="1509" t="e">
        <f t="shared" si="2"/>
        <v>#N/A</v>
      </c>
      <c r="K489" s="1626">
        <v>42546</v>
      </c>
      <c r="L489" s="1627"/>
      <c r="M489" s="1628">
        <v>0</v>
      </c>
      <c r="N489" s="1629">
        <v>1.1854363926051825</v>
      </c>
      <c r="O489" s="1629">
        <v>1.1854363926051825</v>
      </c>
    </row>
    <row r="490" spans="2:15">
      <c r="B490" s="1508">
        <v>47331</v>
      </c>
      <c r="C490" s="1509" t="e">
        <v>#N/A</v>
      </c>
      <c r="D490" s="1509" t="e">
        <v>#N/A</v>
      </c>
      <c r="E490" s="1509" t="e">
        <v>#N/A</v>
      </c>
      <c r="F490" s="1509" t="e">
        <f t="shared" si="2"/>
        <v>#N/A</v>
      </c>
      <c r="K490" s="1626">
        <v>42547</v>
      </c>
      <c r="L490" s="1627"/>
      <c r="M490" s="1628">
        <v>0</v>
      </c>
      <c r="N490" s="1629">
        <v>1.1854363926051825</v>
      </c>
      <c r="O490" s="1629">
        <v>1.1854363926051825</v>
      </c>
    </row>
    <row r="491" spans="2:15">
      <c r="B491" s="1508">
        <v>47362</v>
      </c>
      <c r="C491" s="1509" t="e">
        <v>#N/A</v>
      </c>
      <c r="D491" s="1509" t="e">
        <v>#N/A</v>
      </c>
      <c r="E491" s="1509" t="e">
        <v>#N/A</v>
      </c>
      <c r="F491" s="1509" t="e">
        <f t="shared" si="2"/>
        <v>#N/A</v>
      </c>
      <c r="K491" s="1626">
        <v>42548</v>
      </c>
      <c r="L491" s="1627" t="s">
        <v>2298</v>
      </c>
      <c r="M491" s="1628">
        <v>5.2531000000000001E-2</v>
      </c>
      <c r="N491" s="1629">
        <v>1.1860591141965819</v>
      </c>
      <c r="O491" s="1629">
        <v>1.1860591141965819</v>
      </c>
    </row>
    <row r="492" spans="2:15">
      <c r="B492" s="1508">
        <v>47392</v>
      </c>
      <c r="C492" s="1509" t="e">
        <v>#N/A</v>
      </c>
      <c r="D492" s="1509" t="e">
        <v>#N/A</v>
      </c>
      <c r="E492" s="1509" t="e">
        <v>#N/A</v>
      </c>
      <c r="F492" s="1509" t="e">
        <f t="shared" si="2"/>
        <v>#N/A</v>
      </c>
      <c r="K492" s="1626">
        <v>42549</v>
      </c>
      <c r="L492" s="1627" t="s">
        <v>2298</v>
      </c>
      <c r="M492" s="1628">
        <v>5.2531000000000001E-2</v>
      </c>
      <c r="N492" s="1629">
        <v>1.1866821629098605</v>
      </c>
      <c r="O492" s="1629">
        <v>1.1866821629098605</v>
      </c>
    </row>
    <row r="493" spans="2:15">
      <c r="B493" s="1508">
        <v>47423</v>
      </c>
      <c r="C493" s="1509" t="e">
        <v>#N/A</v>
      </c>
      <c r="D493" s="1509" t="e">
        <v>#N/A</v>
      </c>
      <c r="E493" s="1509" t="e">
        <v>#N/A</v>
      </c>
      <c r="F493" s="1509" t="e">
        <f t="shared" si="2"/>
        <v>#N/A</v>
      </c>
      <c r="K493" s="1626">
        <v>42550</v>
      </c>
      <c r="L493" s="1627" t="s">
        <v>2298</v>
      </c>
      <c r="M493" s="1628">
        <v>5.2531000000000001E-2</v>
      </c>
      <c r="N493" s="1629">
        <v>1.1873055389168587</v>
      </c>
      <c r="O493" s="1629">
        <v>1.1873055389168587</v>
      </c>
    </row>
    <row r="494" spans="2:15">
      <c r="B494" s="1508">
        <v>47453</v>
      </c>
      <c r="C494" s="1509" t="e">
        <v>#N/A</v>
      </c>
      <c r="D494" s="1509" t="e">
        <v>#N/A</v>
      </c>
      <c r="E494" s="1509" t="e">
        <v>#N/A</v>
      </c>
      <c r="F494" s="1509" t="e">
        <f t="shared" si="2"/>
        <v>#N/A</v>
      </c>
      <c r="K494" s="1626">
        <v>42551</v>
      </c>
      <c r="L494" s="1627" t="s">
        <v>2298</v>
      </c>
      <c r="M494" s="1628">
        <v>5.2531000000000001E-2</v>
      </c>
      <c r="N494" s="1629">
        <v>1.1879292423895071</v>
      </c>
      <c r="O494" s="1629">
        <v>1.1879292423895071</v>
      </c>
    </row>
    <row r="495" spans="2:15">
      <c r="B495" s="1508">
        <v>47484</v>
      </c>
      <c r="C495" s="1509" t="e">
        <v>#N/A</v>
      </c>
      <c r="D495" s="1509" t="e">
        <v>#N/A</v>
      </c>
      <c r="E495" s="1509" t="e">
        <v>#N/A</v>
      </c>
      <c r="F495" s="1509" t="e">
        <f t="shared" si="2"/>
        <v>#N/A</v>
      </c>
      <c r="K495" s="1626">
        <v>42552</v>
      </c>
      <c r="L495" s="1627" t="s">
        <v>2298</v>
      </c>
      <c r="M495" s="1628">
        <v>5.2531000000000001E-2</v>
      </c>
      <c r="N495" s="1629">
        <v>1.1885532734998268</v>
      </c>
      <c r="O495" s="1629">
        <v>1.1885532734998268</v>
      </c>
    </row>
    <row r="496" spans="2:15">
      <c r="B496" s="1508">
        <v>47515</v>
      </c>
      <c r="C496" s="1509" t="e">
        <v>#N/A</v>
      </c>
      <c r="D496" s="1509" t="e">
        <v>#N/A</v>
      </c>
      <c r="E496" s="1509" t="e">
        <v>#N/A</v>
      </c>
      <c r="F496" s="1509" t="e">
        <f t="shared" si="2"/>
        <v>#N/A</v>
      </c>
      <c r="K496" s="1626">
        <v>42553</v>
      </c>
      <c r="L496" s="1627"/>
      <c r="M496" s="1628">
        <v>0</v>
      </c>
      <c r="N496" s="1629">
        <v>1.1885532734998268</v>
      </c>
      <c r="O496" s="1629">
        <v>1.1885532734998268</v>
      </c>
    </row>
    <row r="497" spans="2:15">
      <c r="B497" s="1508">
        <v>47543</v>
      </c>
      <c r="C497" s="1509" t="e">
        <v>#N/A</v>
      </c>
      <c r="D497" s="1509" t="e">
        <v>#N/A</v>
      </c>
      <c r="E497" s="1509" t="e">
        <v>#N/A</v>
      </c>
      <c r="F497" s="1509" t="e">
        <f t="shared" si="2"/>
        <v>#N/A</v>
      </c>
      <c r="K497" s="1626">
        <v>42554</v>
      </c>
      <c r="L497" s="1627"/>
      <c r="M497" s="1628">
        <v>0</v>
      </c>
      <c r="N497" s="1629">
        <v>1.1885532734998268</v>
      </c>
      <c r="O497" s="1629">
        <v>1.1885532734998268</v>
      </c>
    </row>
    <row r="498" spans="2:15">
      <c r="B498" s="1508">
        <v>47574</v>
      </c>
      <c r="C498" s="1509" t="e">
        <v>#N/A</v>
      </c>
      <c r="D498" s="1509" t="e">
        <v>#N/A</v>
      </c>
      <c r="E498" s="1509" t="e">
        <v>#N/A</v>
      </c>
      <c r="F498" s="1509" t="e">
        <f t="shared" si="2"/>
        <v>#N/A</v>
      </c>
      <c r="K498" s="1626">
        <v>42555</v>
      </c>
      <c r="L498" s="1627" t="s">
        <v>2298</v>
      </c>
      <c r="M498" s="1628">
        <v>5.2531000000000001E-2</v>
      </c>
      <c r="N498" s="1629">
        <v>1.189177632419929</v>
      </c>
      <c r="O498" s="1629">
        <v>1.189177632419929</v>
      </c>
    </row>
    <row r="499" spans="2:15">
      <c r="B499" s="1508">
        <v>47604</v>
      </c>
      <c r="C499" s="1509" t="e">
        <v>#N/A</v>
      </c>
      <c r="D499" s="1509" t="e">
        <v>#N/A</v>
      </c>
      <c r="E499" s="1509" t="e">
        <v>#N/A</v>
      </c>
      <c r="F499" s="1509" t="e">
        <f t="shared" si="2"/>
        <v>#N/A</v>
      </c>
      <c r="K499" s="1626">
        <v>42556</v>
      </c>
      <c r="L499" s="1627" t="s">
        <v>2298</v>
      </c>
      <c r="M499" s="1628">
        <v>5.2531000000000001E-2</v>
      </c>
      <c r="N499" s="1629">
        <v>1.1898023193220155</v>
      </c>
      <c r="O499" s="1629">
        <v>1.1898023193220155</v>
      </c>
    </row>
    <row r="500" spans="2:15">
      <c r="B500" s="1508">
        <v>47635</v>
      </c>
      <c r="C500" s="1509" t="e">
        <v>#N/A</v>
      </c>
      <c r="D500" s="1509" t="e">
        <v>#N/A</v>
      </c>
      <c r="E500" s="1509" t="e">
        <v>#N/A</v>
      </c>
      <c r="F500" s="1509" t="e">
        <f t="shared" si="2"/>
        <v>#N/A</v>
      </c>
      <c r="K500" s="1626">
        <v>42557</v>
      </c>
      <c r="L500" s="1627" t="s">
        <v>2298</v>
      </c>
      <c r="M500" s="1628">
        <v>5.2531000000000001E-2</v>
      </c>
      <c r="N500" s="1629">
        <v>1.1904273343783787</v>
      </c>
      <c r="O500" s="1629">
        <v>1.1904273343783787</v>
      </c>
    </row>
    <row r="501" spans="2:15">
      <c r="K501" s="1626">
        <v>42558</v>
      </c>
      <c r="L501" s="1627" t="s">
        <v>2298</v>
      </c>
      <c r="M501" s="1628">
        <v>5.2531000000000001E-2</v>
      </c>
      <c r="N501" s="1629">
        <v>1.191052677761401</v>
      </c>
      <c r="O501" s="1629">
        <v>1.191052677761401</v>
      </c>
    </row>
    <row r="502" spans="2:15">
      <c r="K502" s="1626">
        <v>42559</v>
      </c>
      <c r="L502" s="1627" t="s">
        <v>2298</v>
      </c>
      <c r="M502" s="1628">
        <v>5.2531000000000001E-2</v>
      </c>
      <c r="N502" s="1629">
        <v>1.1916783496435559</v>
      </c>
      <c r="O502" s="1629">
        <v>1.1916783496435559</v>
      </c>
    </row>
    <row r="503" spans="2:15">
      <c r="K503" s="1626">
        <v>42560</v>
      </c>
      <c r="L503" s="1627"/>
      <c r="M503" s="1628">
        <v>0</v>
      </c>
      <c r="N503" s="1629">
        <v>1.1916783496435559</v>
      </c>
      <c r="O503" s="1629">
        <v>1.1916783496435559</v>
      </c>
    </row>
    <row r="504" spans="2:15">
      <c r="K504" s="1626">
        <v>42561</v>
      </c>
      <c r="L504" s="1627"/>
      <c r="M504" s="1628">
        <v>0</v>
      </c>
      <c r="N504" s="1629">
        <v>1.1916783496435559</v>
      </c>
      <c r="O504" s="1629">
        <v>1.1916783496435559</v>
      </c>
    </row>
    <row r="505" spans="2:15">
      <c r="K505" s="1626">
        <v>42562</v>
      </c>
      <c r="L505" s="1627" t="s">
        <v>2298</v>
      </c>
      <c r="M505" s="1628">
        <v>5.2531000000000001E-2</v>
      </c>
      <c r="N505" s="1629">
        <v>1.1923043501974071</v>
      </c>
      <c r="O505" s="1629">
        <v>1.1923043501974071</v>
      </c>
    </row>
    <row r="506" spans="2:15">
      <c r="K506" s="1626">
        <v>42563</v>
      </c>
      <c r="L506" s="1627" t="s">
        <v>2298</v>
      </c>
      <c r="M506" s="1628">
        <v>5.2531000000000001E-2</v>
      </c>
      <c r="N506" s="1629">
        <v>1.1929306795956094</v>
      </c>
      <c r="O506" s="1629">
        <v>1.1929306795956094</v>
      </c>
    </row>
    <row r="507" spans="2:15">
      <c r="K507" s="1626">
        <v>42564</v>
      </c>
      <c r="L507" s="1627" t="s">
        <v>2298</v>
      </c>
      <c r="M507" s="1628">
        <v>5.2531000000000001E-2</v>
      </c>
      <c r="N507" s="1629">
        <v>1.1935573380109077</v>
      </c>
      <c r="O507" s="1629">
        <v>1.1935573380109077</v>
      </c>
    </row>
    <row r="508" spans="2:15">
      <c r="K508" s="1626">
        <v>42565</v>
      </c>
      <c r="L508" s="1627" t="s">
        <v>2298</v>
      </c>
      <c r="M508" s="1628">
        <v>5.2531000000000001E-2</v>
      </c>
      <c r="N508" s="1629">
        <v>1.1941843256161382</v>
      </c>
      <c r="O508" s="1629">
        <v>1.1941843256161382</v>
      </c>
    </row>
    <row r="509" spans="2:15">
      <c r="K509" s="1626">
        <v>42566</v>
      </c>
      <c r="L509" s="1627" t="s">
        <v>2298</v>
      </c>
      <c r="M509" s="1628">
        <v>5.2531000000000001E-2</v>
      </c>
      <c r="N509" s="1629">
        <v>1.1948116425842277</v>
      </c>
      <c r="O509" s="1629">
        <v>1.1948116425842277</v>
      </c>
    </row>
    <row r="510" spans="2:15">
      <c r="K510" s="1626">
        <v>42567</v>
      </c>
      <c r="L510" s="1627"/>
      <c r="M510" s="1628">
        <v>0</v>
      </c>
      <c r="N510" s="1629">
        <v>1.1948116425842277</v>
      </c>
      <c r="O510" s="1629">
        <v>1.1948116425842277</v>
      </c>
    </row>
    <row r="511" spans="2:15">
      <c r="K511" s="1626">
        <v>42568</v>
      </c>
      <c r="L511" s="1627"/>
      <c r="M511" s="1628">
        <v>0</v>
      </c>
      <c r="N511" s="1629">
        <v>1.1948116425842277</v>
      </c>
      <c r="O511" s="1629">
        <v>1.1948116425842277</v>
      </c>
    </row>
    <row r="512" spans="2:15">
      <c r="K512" s="1626">
        <v>42569</v>
      </c>
      <c r="L512" s="1627" t="s">
        <v>2298</v>
      </c>
      <c r="M512" s="1628">
        <v>5.2531000000000001E-2</v>
      </c>
      <c r="N512" s="1629">
        <v>1.1954392890881935</v>
      </c>
      <c r="O512" s="1629">
        <v>1.1954392890881935</v>
      </c>
    </row>
    <row r="513" spans="11:15">
      <c r="K513" s="1626">
        <v>42570</v>
      </c>
      <c r="L513" s="1627" t="s">
        <v>2298</v>
      </c>
      <c r="M513" s="1628">
        <v>5.2531000000000001E-2</v>
      </c>
      <c r="N513" s="1629">
        <v>1.1960672653011444</v>
      </c>
      <c r="O513" s="1629">
        <v>1.1960672653011444</v>
      </c>
    </row>
    <row r="514" spans="11:15">
      <c r="K514" s="1626">
        <v>42571</v>
      </c>
      <c r="L514" s="1627" t="s">
        <v>2298</v>
      </c>
      <c r="M514" s="1628">
        <v>5.2531000000000001E-2</v>
      </c>
      <c r="N514" s="1629">
        <v>1.1966955713962797</v>
      </c>
      <c r="O514" s="1629">
        <v>1.1966955713962797</v>
      </c>
    </row>
    <row r="515" spans="11:15">
      <c r="K515" s="1626">
        <v>42572</v>
      </c>
      <c r="L515" s="1627" t="s">
        <v>2298</v>
      </c>
      <c r="M515" s="1628">
        <v>5.2531000000000001E-2</v>
      </c>
      <c r="N515" s="1629">
        <v>1.19732420754689</v>
      </c>
      <c r="O515" s="1629">
        <v>1.19732420754689</v>
      </c>
    </row>
    <row r="516" spans="11:15">
      <c r="K516" s="1626">
        <v>42573</v>
      </c>
      <c r="L516" s="1627" t="s">
        <v>2298</v>
      </c>
      <c r="M516" s="1628">
        <v>5.2531000000000001E-2</v>
      </c>
      <c r="N516" s="1629">
        <v>1.1979531739263565</v>
      </c>
      <c r="O516" s="1629">
        <v>1.1979531739263565</v>
      </c>
    </row>
    <row r="517" spans="11:15">
      <c r="K517" s="1626">
        <v>42574</v>
      </c>
      <c r="L517" s="1627"/>
      <c r="M517" s="1628">
        <v>0</v>
      </c>
      <c r="N517" s="1629">
        <v>1.1979531739263565</v>
      </c>
      <c r="O517" s="1629">
        <v>1.1979531739263565</v>
      </c>
    </row>
    <row r="518" spans="11:15">
      <c r="K518" s="1626">
        <v>42575</v>
      </c>
      <c r="L518" s="1627"/>
      <c r="M518" s="1628">
        <v>0</v>
      </c>
      <c r="N518" s="1629">
        <v>1.1979531739263565</v>
      </c>
      <c r="O518" s="1629">
        <v>1.1979531739263565</v>
      </c>
    </row>
    <row r="519" spans="11:15">
      <c r="K519" s="1626">
        <v>42576</v>
      </c>
      <c r="L519" s="1627" t="s">
        <v>2298</v>
      </c>
      <c r="M519" s="1628">
        <v>5.2531000000000001E-2</v>
      </c>
      <c r="N519" s="1629">
        <v>1.1985824707081518</v>
      </c>
      <c r="O519" s="1629">
        <v>1.1985824707081518</v>
      </c>
    </row>
    <row r="520" spans="11:15">
      <c r="K520" s="1626">
        <v>42577</v>
      </c>
      <c r="L520" s="1627" t="s">
        <v>2298</v>
      </c>
      <c r="M520" s="1628">
        <v>5.2531000000000001E-2</v>
      </c>
      <c r="N520" s="1629">
        <v>1.1992120980658396</v>
      </c>
      <c r="O520" s="1629">
        <v>1.1992120980658396</v>
      </c>
    </row>
    <row r="521" spans="11:15">
      <c r="K521" s="1626">
        <v>42578</v>
      </c>
      <c r="L521" s="1627" t="s">
        <v>2298</v>
      </c>
      <c r="M521" s="1628">
        <v>5.2531000000000001E-2</v>
      </c>
      <c r="N521" s="1629">
        <v>1.1998420561730745</v>
      </c>
      <c r="O521" s="1629">
        <v>1.1998420561730745</v>
      </c>
    </row>
    <row r="522" spans="11:15">
      <c r="K522" s="1626">
        <v>42579</v>
      </c>
      <c r="L522" s="1627" t="s">
        <v>2298</v>
      </c>
      <c r="M522" s="1628">
        <v>5.2531000000000001E-2</v>
      </c>
      <c r="N522" s="1629">
        <v>1.2004723452036028</v>
      </c>
      <c r="O522" s="1629">
        <v>1.2004723452036028</v>
      </c>
    </row>
    <row r="523" spans="11:15">
      <c r="K523" s="1626">
        <v>42580</v>
      </c>
      <c r="L523" s="1627" t="s">
        <v>2298</v>
      </c>
      <c r="M523" s="1628">
        <v>5.2531000000000001E-2</v>
      </c>
      <c r="N523" s="1629">
        <v>1.2011029653312617</v>
      </c>
      <c r="O523" s="1629">
        <v>1.2011029653312617</v>
      </c>
    </row>
    <row r="524" spans="11:15">
      <c r="K524" s="1626">
        <v>42581</v>
      </c>
      <c r="L524" s="1627"/>
      <c r="M524" s="1628">
        <v>0</v>
      </c>
      <c r="N524" s="1629">
        <v>1.2011029653312617</v>
      </c>
      <c r="O524" s="1629">
        <v>1.2011029653312617</v>
      </c>
    </row>
    <row r="525" spans="11:15">
      <c r="K525" s="1626">
        <v>42582</v>
      </c>
      <c r="L525" s="1627"/>
      <c r="M525" s="1628">
        <v>0</v>
      </c>
      <c r="N525" s="1629">
        <v>1.2011029653312617</v>
      </c>
      <c r="O525" s="1629">
        <v>1.2011029653312617</v>
      </c>
    </row>
    <row r="526" spans="11:15">
      <c r="K526" s="1626">
        <v>42583</v>
      </c>
      <c r="L526" s="1627" t="s">
        <v>2298</v>
      </c>
      <c r="M526" s="1628">
        <v>5.2531000000000001E-2</v>
      </c>
      <c r="N526" s="1629">
        <v>1.2017339167299799</v>
      </c>
      <c r="O526" s="1629">
        <v>1.2017339167299799</v>
      </c>
    </row>
    <row r="527" spans="11:15">
      <c r="K527" s="1626">
        <v>42584</v>
      </c>
      <c r="L527" s="1627" t="s">
        <v>2298</v>
      </c>
      <c r="M527" s="1628">
        <v>5.2531000000000001E-2</v>
      </c>
      <c r="N527" s="1629">
        <v>1.2023651995737772</v>
      </c>
      <c r="O527" s="1629">
        <v>1.2023651995737772</v>
      </c>
    </row>
    <row r="528" spans="11:15">
      <c r="K528" s="1626">
        <v>42585</v>
      </c>
      <c r="L528" s="1627" t="s">
        <v>2298</v>
      </c>
      <c r="M528" s="1628">
        <v>5.2531000000000001E-2</v>
      </c>
      <c r="N528" s="1629">
        <v>1.2029968140367653</v>
      </c>
      <c r="O528" s="1629">
        <v>1.2029968140367653</v>
      </c>
    </row>
    <row r="529" spans="11:15">
      <c r="K529" s="1626">
        <v>42586</v>
      </c>
      <c r="L529" s="1627" t="s">
        <v>2298</v>
      </c>
      <c r="M529" s="1628">
        <v>5.2531000000000001E-2</v>
      </c>
      <c r="N529" s="1629">
        <v>1.203628760293147</v>
      </c>
      <c r="O529" s="1629">
        <v>1.203628760293147</v>
      </c>
    </row>
    <row r="530" spans="11:15">
      <c r="K530" s="1626">
        <v>42587</v>
      </c>
      <c r="L530" s="1627" t="s">
        <v>2298</v>
      </c>
      <c r="M530" s="1628">
        <v>5.2531000000000001E-2</v>
      </c>
      <c r="N530" s="1629">
        <v>1.2042610385172166</v>
      </c>
      <c r="O530" s="1629">
        <v>1.2042610385172166</v>
      </c>
    </row>
    <row r="531" spans="11:15">
      <c r="K531" s="1626">
        <v>42588</v>
      </c>
      <c r="L531" s="1627"/>
      <c r="M531" s="1628">
        <v>0</v>
      </c>
      <c r="N531" s="1629">
        <v>1.2042610385172166</v>
      </c>
      <c r="O531" s="1629">
        <v>1.2042610385172166</v>
      </c>
    </row>
    <row r="532" spans="11:15">
      <c r="K532" s="1626">
        <v>42589</v>
      </c>
      <c r="L532" s="1627"/>
      <c r="M532" s="1628">
        <v>0</v>
      </c>
      <c r="N532" s="1629">
        <v>1.2042610385172166</v>
      </c>
      <c r="O532" s="1629">
        <v>1.2042610385172166</v>
      </c>
    </row>
    <row r="533" spans="11:15">
      <c r="K533" s="1626">
        <v>42590</v>
      </c>
      <c r="L533" s="1627" t="s">
        <v>2298</v>
      </c>
      <c r="M533" s="1628">
        <v>5.2531000000000001E-2</v>
      </c>
      <c r="N533" s="1629">
        <v>1.2048936488833599</v>
      </c>
      <c r="O533" s="1629">
        <v>1.2048936488833599</v>
      </c>
    </row>
    <row r="534" spans="11:15">
      <c r="K534" s="1626">
        <v>42591</v>
      </c>
      <c r="L534" s="1627" t="s">
        <v>2298</v>
      </c>
      <c r="M534" s="1628">
        <v>5.2531000000000001E-2</v>
      </c>
      <c r="N534" s="1629">
        <v>1.2055265915660549</v>
      </c>
      <c r="O534" s="1629">
        <v>1.2055265915660549</v>
      </c>
    </row>
    <row r="535" spans="11:15">
      <c r="K535" s="1626">
        <v>42592</v>
      </c>
      <c r="L535" s="1627" t="s">
        <v>2298</v>
      </c>
      <c r="M535" s="1628">
        <v>5.2531000000000001E-2</v>
      </c>
      <c r="N535" s="1629">
        <v>1.2061598667398705</v>
      </c>
      <c r="O535" s="1629">
        <v>1.2061598667398705</v>
      </c>
    </row>
    <row r="536" spans="11:15">
      <c r="K536" s="1626">
        <v>42593</v>
      </c>
      <c r="L536" s="1627" t="s">
        <v>2298</v>
      </c>
      <c r="M536" s="1628">
        <v>5.2531000000000001E-2</v>
      </c>
      <c r="N536" s="1629">
        <v>1.2067934745794677</v>
      </c>
      <c r="O536" s="1629">
        <v>1.2067934745794677</v>
      </c>
    </row>
    <row r="537" spans="11:15">
      <c r="K537" s="1626">
        <v>42594</v>
      </c>
      <c r="L537" s="1627" t="s">
        <v>2298</v>
      </c>
      <c r="M537" s="1628">
        <v>5.2531000000000001E-2</v>
      </c>
      <c r="N537" s="1629">
        <v>1.2074274152595992</v>
      </c>
      <c r="O537" s="1629">
        <v>1.2074274152595992</v>
      </c>
    </row>
    <row r="538" spans="11:15">
      <c r="K538" s="1626">
        <v>42595</v>
      </c>
      <c r="L538" s="1627"/>
      <c r="M538" s="1628">
        <v>0</v>
      </c>
      <c r="N538" s="1629">
        <v>1.2074274152595992</v>
      </c>
      <c r="O538" s="1629">
        <v>1.2074274152595992</v>
      </c>
    </row>
    <row r="539" spans="11:15">
      <c r="K539" s="1626">
        <v>42596</v>
      </c>
      <c r="L539" s="1627"/>
      <c r="M539" s="1628">
        <v>0</v>
      </c>
      <c r="N539" s="1629">
        <v>1.2074274152595992</v>
      </c>
      <c r="O539" s="1629">
        <v>1.2074274152595992</v>
      </c>
    </row>
    <row r="540" spans="11:15">
      <c r="K540" s="1626">
        <v>42597</v>
      </c>
      <c r="L540" s="1627" t="s">
        <v>2298</v>
      </c>
      <c r="M540" s="1628">
        <v>5.2531000000000001E-2</v>
      </c>
      <c r="N540" s="1629">
        <v>1.2080616889551092</v>
      </c>
      <c r="O540" s="1629">
        <v>1.2080616889551092</v>
      </c>
    </row>
    <row r="541" spans="11:15">
      <c r="K541" s="1626">
        <v>42598</v>
      </c>
      <c r="L541" s="1627" t="s">
        <v>2298</v>
      </c>
      <c r="M541" s="1628">
        <v>5.2531000000000001E-2</v>
      </c>
      <c r="N541" s="1629">
        <v>1.2086962958409342</v>
      </c>
      <c r="O541" s="1629">
        <v>1.2086962958409342</v>
      </c>
    </row>
    <row r="542" spans="11:15">
      <c r="K542" s="1626">
        <v>42599</v>
      </c>
      <c r="L542" s="1627" t="s">
        <v>2298</v>
      </c>
      <c r="M542" s="1628">
        <v>5.2531000000000001E-2</v>
      </c>
      <c r="N542" s="1629">
        <v>1.2093312360921025</v>
      </c>
      <c r="O542" s="1629">
        <v>1.2093312360921025</v>
      </c>
    </row>
    <row r="543" spans="11:15">
      <c r="K543" s="1626">
        <v>42600</v>
      </c>
      <c r="L543" s="1627" t="s">
        <v>2298</v>
      </c>
      <c r="M543" s="1628">
        <v>5.2531000000000001E-2</v>
      </c>
      <c r="N543" s="1629">
        <v>1.209966509883734</v>
      </c>
      <c r="O543" s="1629">
        <v>1.209966509883734</v>
      </c>
    </row>
    <row r="544" spans="11:15">
      <c r="K544" s="1626">
        <v>42601</v>
      </c>
      <c r="L544" s="1627" t="s">
        <v>2298</v>
      </c>
      <c r="M544" s="1628">
        <v>5.2531000000000001E-2</v>
      </c>
      <c r="N544" s="1629">
        <v>1.2106021173910411</v>
      </c>
      <c r="O544" s="1629">
        <v>1.2106021173910411</v>
      </c>
    </row>
    <row r="545" spans="11:15">
      <c r="K545" s="1626">
        <v>42602</v>
      </c>
      <c r="L545" s="1627"/>
      <c r="M545" s="1628">
        <v>0</v>
      </c>
      <c r="N545" s="1629">
        <v>1.2106021173910411</v>
      </c>
      <c r="O545" s="1629">
        <v>1.2106021173910411</v>
      </c>
    </row>
    <row r="546" spans="11:15">
      <c r="K546" s="1626">
        <v>42603</v>
      </c>
      <c r="L546" s="1627"/>
      <c r="M546" s="1628">
        <v>0</v>
      </c>
      <c r="N546" s="1629">
        <v>1.2106021173910411</v>
      </c>
      <c r="O546" s="1629">
        <v>1.2106021173910411</v>
      </c>
    </row>
    <row r="547" spans="11:15">
      <c r="K547" s="1626">
        <v>42604</v>
      </c>
      <c r="L547" s="1627" t="s">
        <v>2298</v>
      </c>
      <c r="M547" s="1628">
        <v>5.2531000000000001E-2</v>
      </c>
      <c r="N547" s="1629">
        <v>1.2112380587893277</v>
      </c>
      <c r="O547" s="1629">
        <v>1.2112380587893277</v>
      </c>
    </row>
    <row r="548" spans="11:15">
      <c r="K548" s="1626">
        <v>42605</v>
      </c>
      <c r="L548" s="1627" t="s">
        <v>2298</v>
      </c>
      <c r="M548" s="1628">
        <v>5.2531000000000001E-2</v>
      </c>
      <c r="N548" s="1629">
        <v>1.2118743342539904</v>
      </c>
      <c r="O548" s="1629">
        <v>1.2118743342539904</v>
      </c>
    </row>
    <row r="549" spans="11:15">
      <c r="K549" s="1626">
        <v>42606</v>
      </c>
      <c r="L549" s="1627" t="s">
        <v>2298</v>
      </c>
      <c r="M549" s="1628">
        <v>5.2531000000000001E-2</v>
      </c>
      <c r="N549" s="1629">
        <v>1.2125109439605173</v>
      </c>
      <c r="O549" s="1629">
        <v>1.2125109439605173</v>
      </c>
    </row>
    <row r="550" spans="11:15">
      <c r="K550" s="1626">
        <v>42607</v>
      </c>
      <c r="L550" s="1627" t="s">
        <v>2298</v>
      </c>
      <c r="M550" s="1628">
        <v>5.2531000000000001E-2</v>
      </c>
      <c r="N550" s="1629">
        <v>1.2131478880844893</v>
      </c>
      <c r="O550" s="1629">
        <v>1.2131478880844893</v>
      </c>
    </row>
    <row r="551" spans="11:15">
      <c r="K551" s="1626">
        <v>42608</v>
      </c>
      <c r="L551" s="1627" t="s">
        <v>2298</v>
      </c>
      <c r="M551" s="1628">
        <v>5.2531000000000001E-2</v>
      </c>
      <c r="N551" s="1629">
        <v>1.2137851668015789</v>
      </c>
      <c r="O551" s="1629">
        <v>1.2137851668015789</v>
      </c>
    </row>
    <row r="552" spans="11:15">
      <c r="K552" s="1626">
        <v>42609</v>
      </c>
      <c r="L552" s="1627"/>
      <c r="M552" s="1628">
        <v>0</v>
      </c>
      <c r="N552" s="1629">
        <v>1.2137851668015789</v>
      </c>
      <c r="O552" s="1629">
        <v>1.2137851668015789</v>
      </c>
    </row>
    <row r="553" spans="11:15">
      <c r="K553" s="1626">
        <v>42610</v>
      </c>
      <c r="L553" s="1627"/>
      <c r="M553" s="1628">
        <v>0</v>
      </c>
      <c r="N553" s="1629">
        <v>1.2137851668015789</v>
      </c>
      <c r="O553" s="1629">
        <v>1.2137851668015789</v>
      </c>
    </row>
    <row r="554" spans="11:15">
      <c r="K554" s="1626">
        <v>42611</v>
      </c>
      <c r="L554" s="1627" t="s">
        <v>2298</v>
      </c>
      <c r="M554" s="1628">
        <v>5.2531000000000001E-2</v>
      </c>
      <c r="N554" s="1629">
        <v>1.2144227802875514</v>
      </c>
      <c r="O554" s="1629">
        <v>1.2144227802875514</v>
      </c>
    </row>
    <row r="555" spans="11:15">
      <c r="K555" s="1626">
        <v>42612</v>
      </c>
      <c r="L555" s="1627" t="s">
        <v>2298</v>
      </c>
      <c r="M555" s="1628">
        <v>5.2531000000000001E-2</v>
      </c>
      <c r="N555" s="1629">
        <v>1.2150607287182642</v>
      </c>
      <c r="O555" s="1629">
        <v>1.2150607287182642</v>
      </c>
    </row>
    <row r="556" spans="11:15">
      <c r="K556" s="1626">
        <v>42613</v>
      </c>
      <c r="L556" s="1627" t="s">
        <v>2298</v>
      </c>
      <c r="M556" s="1628">
        <v>5.2531000000000001E-2</v>
      </c>
      <c r="N556" s="1629">
        <v>1.2156990122696671</v>
      </c>
      <c r="O556" s="1629">
        <v>1.2156990122696671</v>
      </c>
    </row>
    <row r="557" spans="11:15">
      <c r="K557" s="1626">
        <v>42614</v>
      </c>
      <c r="L557" s="1627" t="s">
        <v>2298</v>
      </c>
      <c r="M557" s="1628">
        <v>5.2531000000000001E-2</v>
      </c>
      <c r="N557" s="1629">
        <v>1.2163376311178025</v>
      </c>
      <c r="O557" s="1629">
        <v>1.2163376311178025</v>
      </c>
    </row>
    <row r="558" spans="11:15">
      <c r="K558" s="1626">
        <v>42615</v>
      </c>
      <c r="L558" s="1627" t="s">
        <v>2298</v>
      </c>
      <c r="M558" s="1628">
        <v>5.2531000000000001E-2</v>
      </c>
      <c r="N558" s="1629">
        <v>1.216976585438805</v>
      </c>
      <c r="O558" s="1629">
        <v>1.216976585438805</v>
      </c>
    </row>
    <row r="559" spans="11:15">
      <c r="K559" s="1626">
        <v>42616</v>
      </c>
      <c r="L559" s="1627"/>
      <c r="M559" s="1628">
        <v>0</v>
      </c>
      <c r="N559" s="1629">
        <v>1.216976585438805</v>
      </c>
      <c r="O559" s="1629">
        <v>1.216976585438805</v>
      </c>
    </row>
    <row r="560" spans="11:15">
      <c r="K560" s="1626">
        <v>42617</v>
      </c>
      <c r="L560" s="1627"/>
      <c r="M560" s="1628">
        <v>0</v>
      </c>
      <c r="N560" s="1629">
        <v>1.216976585438805</v>
      </c>
      <c r="O560" s="1629">
        <v>1.216976585438805</v>
      </c>
    </row>
    <row r="561" spans="11:15">
      <c r="K561" s="1626">
        <v>42618</v>
      </c>
      <c r="L561" s="1627" t="s">
        <v>2298</v>
      </c>
      <c r="M561" s="1628">
        <v>5.2531000000000001E-2</v>
      </c>
      <c r="N561" s="1629">
        <v>1.2176158754089019</v>
      </c>
      <c r="O561" s="1629">
        <v>1.2176158754089019</v>
      </c>
    </row>
    <row r="562" spans="11:15">
      <c r="K562" s="1626">
        <v>42619</v>
      </c>
      <c r="L562" s="1627" t="s">
        <v>2298</v>
      </c>
      <c r="M562" s="1628">
        <v>5.2531000000000001E-2</v>
      </c>
      <c r="N562" s="1629">
        <v>1.2182555012044129</v>
      </c>
      <c r="O562" s="1629">
        <v>1.2182555012044129</v>
      </c>
    </row>
    <row r="563" spans="11:15">
      <c r="K563" s="1626">
        <v>42620</v>
      </c>
      <c r="L563" s="1627"/>
      <c r="M563" s="1628">
        <v>0</v>
      </c>
      <c r="N563" s="1629">
        <v>1.2182555012044129</v>
      </c>
      <c r="O563" s="1629">
        <v>1.2182555012044129</v>
      </c>
    </row>
    <row r="564" spans="11:15">
      <c r="K564" s="1626">
        <v>42621</v>
      </c>
      <c r="L564" s="1627" t="s">
        <v>2298</v>
      </c>
      <c r="M564" s="1628">
        <v>5.2531000000000001E-2</v>
      </c>
      <c r="N564" s="1629">
        <v>1.2188954630017506</v>
      </c>
      <c r="O564" s="1629">
        <v>1.2188954630017506</v>
      </c>
    </row>
    <row r="565" spans="11:15">
      <c r="K565" s="1626">
        <v>42622</v>
      </c>
      <c r="L565" s="1627" t="s">
        <v>2298</v>
      </c>
      <c r="M565" s="1628">
        <v>5.2531000000000001E-2</v>
      </c>
      <c r="N565" s="1629">
        <v>1.21953576097742</v>
      </c>
      <c r="O565" s="1629">
        <v>1.21953576097742</v>
      </c>
    </row>
    <row r="566" spans="11:15">
      <c r="K566" s="1626">
        <v>42623</v>
      </c>
      <c r="L566" s="1627"/>
      <c r="M566" s="1628">
        <v>0</v>
      </c>
      <c r="N566" s="1629">
        <v>1.21953576097742</v>
      </c>
      <c r="O566" s="1629">
        <v>1.21953576097742</v>
      </c>
    </row>
    <row r="567" spans="11:15">
      <c r="K567" s="1626">
        <v>42624</v>
      </c>
      <c r="L567" s="1627"/>
      <c r="M567" s="1628">
        <v>0</v>
      </c>
      <c r="N567" s="1629">
        <v>1.21953576097742</v>
      </c>
      <c r="O567" s="1629">
        <v>1.21953576097742</v>
      </c>
    </row>
    <row r="568" spans="11:15">
      <c r="K568" s="1626">
        <v>42625</v>
      </c>
      <c r="L568" s="1627" t="s">
        <v>2298</v>
      </c>
      <c r="M568" s="1628">
        <v>5.2531000000000001E-2</v>
      </c>
      <c r="N568" s="1629">
        <v>1.2201763953080191</v>
      </c>
      <c r="O568" s="1629">
        <v>1.2201763953080191</v>
      </c>
    </row>
    <row r="569" spans="11:15">
      <c r="K569" s="1626">
        <v>42626</v>
      </c>
      <c r="L569" s="1627" t="s">
        <v>2298</v>
      </c>
      <c r="M569" s="1628">
        <v>5.2531000000000001E-2</v>
      </c>
      <c r="N569" s="1629">
        <v>1.2208173661702384</v>
      </c>
      <c r="O569" s="1629">
        <v>1.2208173661702384</v>
      </c>
    </row>
    <row r="570" spans="11:15">
      <c r="K570" s="1626">
        <v>42627</v>
      </c>
      <c r="L570" s="1627" t="s">
        <v>2298</v>
      </c>
      <c r="M570" s="1628">
        <v>5.2531000000000001E-2</v>
      </c>
      <c r="N570" s="1629">
        <v>1.2214586737408613</v>
      </c>
      <c r="O570" s="1629">
        <v>1.2214586737408613</v>
      </c>
    </row>
    <row r="571" spans="11:15">
      <c r="K571" s="1626">
        <v>42628</v>
      </c>
      <c r="L571" s="1627" t="s">
        <v>2298</v>
      </c>
      <c r="M571" s="1628">
        <v>5.2531000000000001E-2</v>
      </c>
      <c r="N571" s="1629">
        <v>1.222100318196764</v>
      </c>
      <c r="O571" s="1629">
        <v>1.222100318196764</v>
      </c>
    </row>
    <row r="572" spans="11:15">
      <c r="K572" s="1626">
        <v>42629</v>
      </c>
      <c r="L572" s="1627" t="s">
        <v>2298</v>
      </c>
      <c r="M572" s="1628">
        <v>5.2531000000000001E-2</v>
      </c>
      <c r="N572" s="1629">
        <v>1.222742299714916</v>
      </c>
      <c r="O572" s="1629">
        <v>1.222742299714916</v>
      </c>
    </row>
    <row r="573" spans="11:15">
      <c r="K573" s="1626">
        <v>42630</v>
      </c>
      <c r="L573" s="1627"/>
      <c r="M573" s="1628">
        <v>0</v>
      </c>
      <c r="N573" s="1629">
        <v>1.222742299714916</v>
      </c>
      <c r="O573" s="1629">
        <v>1.222742299714916</v>
      </c>
    </row>
    <row r="574" spans="11:15">
      <c r="K574" s="1626">
        <v>42631</v>
      </c>
      <c r="L574" s="1627"/>
      <c r="M574" s="1628">
        <v>0</v>
      </c>
      <c r="N574" s="1629">
        <v>1.222742299714916</v>
      </c>
      <c r="O574" s="1629">
        <v>1.222742299714916</v>
      </c>
    </row>
    <row r="575" spans="11:15">
      <c r="K575" s="1626">
        <v>42632</v>
      </c>
      <c r="L575" s="1627" t="s">
        <v>2298</v>
      </c>
      <c r="M575" s="1628">
        <v>5.2531000000000001E-2</v>
      </c>
      <c r="N575" s="1629">
        <v>1.2233846184723793</v>
      </c>
      <c r="O575" s="1629">
        <v>1.2233846184723793</v>
      </c>
    </row>
    <row r="576" spans="11:15">
      <c r="K576" s="1626">
        <v>42633</v>
      </c>
      <c r="L576" s="1627" t="s">
        <v>2298</v>
      </c>
      <c r="M576" s="1628">
        <v>5.2531000000000001E-2</v>
      </c>
      <c r="N576" s="1629">
        <v>1.224027274646309</v>
      </c>
      <c r="O576" s="1629">
        <v>1.224027274646309</v>
      </c>
    </row>
    <row r="577" spans="11:15">
      <c r="K577" s="1626">
        <v>42634</v>
      </c>
      <c r="L577" s="1627" t="s">
        <v>2298</v>
      </c>
      <c r="M577" s="1628">
        <v>5.2531000000000001E-2</v>
      </c>
      <c r="N577" s="1629">
        <v>1.2246702684139534</v>
      </c>
      <c r="O577" s="1629">
        <v>1.2246702684139534</v>
      </c>
    </row>
    <row r="578" spans="11:15">
      <c r="K578" s="1626">
        <v>42635</v>
      </c>
      <c r="L578" s="1627" t="s">
        <v>2298</v>
      </c>
      <c r="M578" s="1628">
        <v>5.2531000000000001E-2</v>
      </c>
      <c r="N578" s="1629">
        <v>1.2253135999526539</v>
      </c>
      <c r="O578" s="1629">
        <v>1.2253135999526539</v>
      </c>
    </row>
    <row r="579" spans="11:15">
      <c r="K579" s="1626">
        <v>42636</v>
      </c>
      <c r="L579" s="1627" t="s">
        <v>2298</v>
      </c>
      <c r="M579" s="1628">
        <v>5.2531000000000001E-2</v>
      </c>
      <c r="N579" s="1629">
        <v>1.2259572694398451</v>
      </c>
      <c r="O579" s="1629">
        <v>1.2259572694398451</v>
      </c>
    </row>
    <row r="580" spans="11:15">
      <c r="K580" s="1626">
        <v>42637</v>
      </c>
      <c r="L580" s="1627"/>
      <c r="M580" s="1628">
        <v>0</v>
      </c>
      <c r="N580" s="1629">
        <v>1.2259572694398451</v>
      </c>
      <c r="O580" s="1629">
        <v>1.2259572694398451</v>
      </c>
    </row>
    <row r="581" spans="11:15">
      <c r="K581" s="1626">
        <v>42638</v>
      </c>
      <c r="L581" s="1627"/>
      <c r="M581" s="1628">
        <v>0</v>
      </c>
      <c r="N581" s="1629">
        <v>1.2259572694398451</v>
      </c>
      <c r="O581" s="1629">
        <v>1.2259572694398451</v>
      </c>
    </row>
    <row r="582" spans="11:15">
      <c r="K582" s="1626">
        <v>42639</v>
      </c>
      <c r="L582" s="1627" t="s">
        <v>2298</v>
      </c>
      <c r="M582" s="1628">
        <v>5.2531000000000001E-2</v>
      </c>
      <c r="N582" s="1629">
        <v>1.2266012770530546</v>
      </c>
      <c r="O582" s="1629">
        <v>1.2266012770530546</v>
      </c>
    </row>
    <row r="583" spans="11:15">
      <c r="K583" s="1626">
        <v>42640</v>
      </c>
      <c r="L583" s="1627" t="s">
        <v>2298</v>
      </c>
      <c r="M583" s="1628">
        <v>5.2531000000000001E-2</v>
      </c>
      <c r="N583" s="1629">
        <v>1.2272456229699034</v>
      </c>
      <c r="O583" s="1629">
        <v>1.2272456229699034</v>
      </c>
    </row>
    <row r="584" spans="11:15">
      <c r="K584" s="1626">
        <v>42641</v>
      </c>
      <c r="L584" s="1627" t="s">
        <v>2298</v>
      </c>
      <c r="M584" s="1628">
        <v>5.2531000000000001E-2</v>
      </c>
      <c r="N584" s="1629">
        <v>1.2278903073681058</v>
      </c>
      <c r="O584" s="1629">
        <v>1.2278903073681058</v>
      </c>
    </row>
    <row r="585" spans="11:15">
      <c r="K585" s="1626">
        <v>42642</v>
      </c>
      <c r="L585" s="1627" t="s">
        <v>2298</v>
      </c>
      <c r="M585" s="1628">
        <v>5.2531000000000001E-2</v>
      </c>
      <c r="N585" s="1629">
        <v>1.2285353304254694</v>
      </c>
      <c r="O585" s="1629">
        <v>1.2285353304254694</v>
      </c>
    </row>
    <row r="586" spans="11:15">
      <c r="K586" s="1626">
        <v>42643</v>
      </c>
      <c r="L586" s="1627" t="s">
        <v>2298</v>
      </c>
      <c r="M586" s="1628">
        <v>5.2531000000000001E-2</v>
      </c>
      <c r="N586" s="1629">
        <v>1.2291806923198951</v>
      </c>
      <c r="O586" s="1629">
        <v>1.2291806923198951</v>
      </c>
    </row>
    <row r="587" spans="11:15">
      <c r="K587" s="1626">
        <v>42644</v>
      </c>
      <c r="L587" s="1627"/>
      <c r="M587" s="1628">
        <v>0</v>
      </c>
      <c r="N587" s="1629">
        <v>1.2291806923198951</v>
      </c>
      <c r="O587" s="1629">
        <v>1.2291806923198951</v>
      </c>
    </row>
    <row r="588" spans="11:15">
      <c r="K588" s="1626">
        <v>42645</v>
      </c>
      <c r="L588" s="1627"/>
      <c r="M588" s="1628">
        <v>0</v>
      </c>
      <c r="N588" s="1629">
        <v>1.2291806923198951</v>
      </c>
      <c r="O588" s="1629">
        <v>1.2291806923198951</v>
      </c>
    </row>
    <row r="589" spans="11:15">
      <c r="K589" s="1626">
        <v>42646</v>
      </c>
      <c r="L589" s="1627" t="s">
        <v>2298</v>
      </c>
      <c r="M589" s="1628">
        <v>5.2531000000000001E-2</v>
      </c>
      <c r="N589" s="1629">
        <v>1.2298263932293776</v>
      </c>
      <c r="O589" s="1629">
        <v>1.2298263932293776</v>
      </c>
    </row>
    <row r="590" spans="11:15">
      <c r="K590" s="1626">
        <v>42647</v>
      </c>
      <c r="L590" s="1627" t="s">
        <v>2298</v>
      </c>
      <c r="M590" s="1628">
        <v>5.2531000000000001E-2</v>
      </c>
      <c r="N590" s="1629">
        <v>1.230472433332005</v>
      </c>
      <c r="O590" s="1629">
        <v>1.230472433332005</v>
      </c>
    </row>
    <row r="591" spans="11:15">
      <c r="K591" s="1626">
        <v>42648</v>
      </c>
      <c r="L591" s="1627" t="s">
        <v>2298</v>
      </c>
      <c r="M591" s="1628">
        <v>5.2531000000000001E-2</v>
      </c>
      <c r="N591" s="1629">
        <v>1.2311188128059587</v>
      </c>
      <c r="O591" s="1629">
        <v>1.2311188128059587</v>
      </c>
    </row>
    <row r="592" spans="11:15">
      <c r="K592" s="1626">
        <v>42649</v>
      </c>
      <c r="L592" s="1627" t="s">
        <v>2298</v>
      </c>
      <c r="M592" s="1628">
        <v>5.2531000000000001E-2</v>
      </c>
      <c r="N592" s="1629">
        <v>1.2317655318295138</v>
      </c>
      <c r="O592" s="1629">
        <v>1.2317655318295138</v>
      </c>
    </row>
    <row r="593" spans="11:15">
      <c r="K593" s="1626">
        <v>42650</v>
      </c>
      <c r="L593" s="1627" t="s">
        <v>2298</v>
      </c>
      <c r="M593" s="1628">
        <v>5.2531000000000001E-2</v>
      </c>
      <c r="N593" s="1629">
        <v>1.232412590581039</v>
      </c>
      <c r="O593" s="1629">
        <v>1.232412590581039</v>
      </c>
    </row>
    <row r="594" spans="11:15">
      <c r="K594" s="1626">
        <v>42651</v>
      </c>
      <c r="L594" s="1627"/>
      <c r="M594" s="1628">
        <v>0</v>
      </c>
      <c r="N594" s="1629">
        <v>1.232412590581039</v>
      </c>
      <c r="O594" s="1629">
        <v>1.232412590581039</v>
      </c>
    </row>
    <row r="595" spans="11:15">
      <c r="K595" s="1626">
        <v>42652</v>
      </c>
      <c r="L595" s="1627"/>
      <c r="M595" s="1628">
        <v>0</v>
      </c>
      <c r="N595" s="1629">
        <v>1.232412590581039</v>
      </c>
      <c r="O595" s="1629">
        <v>1.232412590581039</v>
      </c>
    </row>
    <row r="596" spans="11:15">
      <c r="K596" s="1626">
        <v>42653</v>
      </c>
      <c r="L596" s="1627" t="s">
        <v>2298</v>
      </c>
      <c r="M596" s="1628">
        <v>5.2531000000000001E-2</v>
      </c>
      <c r="N596" s="1629">
        <v>1.2330599892389971</v>
      </c>
      <c r="O596" s="1629">
        <v>1.2330599892389971</v>
      </c>
    </row>
    <row r="597" spans="11:15">
      <c r="K597" s="1626">
        <v>42654</v>
      </c>
      <c r="L597" s="1627" t="s">
        <v>2298</v>
      </c>
      <c r="M597" s="1628">
        <v>5.2531000000000001E-2</v>
      </c>
      <c r="N597" s="1629">
        <v>1.2337077279819442</v>
      </c>
      <c r="O597" s="1629">
        <v>1.2337077279819442</v>
      </c>
    </row>
    <row r="598" spans="11:15">
      <c r="K598" s="1626">
        <v>42655</v>
      </c>
      <c r="L598" s="1627"/>
      <c r="M598" s="1628">
        <v>0</v>
      </c>
      <c r="N598" s="1629">
        <v>1.2337077279819442</v>
      </c>
      <c r="O598" s="1629">
        <v>1.2337077279819442</v>
      </c>
    </row>
    <row r="599" spans="11:15">
      <c r="K599" s="1626">
        <v>42656</v>
      </c>
      <c r="L599" s="1627" t="s">
        <v>2298</v>
      </c>
      <c r="M599" s="1628">
        <v>5.2531000000000001E-2</v>
      </c>
      <c r="N599" s="1629">
        <v>1.2343558069885303</v>
      </c>
      <c r="O599" s="1629">
        <v>1.2343558069885303</v>
      </c>
    </row>
    <row r="600" spans="11:15">
      <c r="K600" s="1626">
        <v>42657</v>
      </c>
      <c r="L600" s="1627" t="s">
        <v>2298</v>
      </c>
      <c r="M600" s="1628">
        <v>5.2531000000000001E-2</v>
      </c>
      <c r="N600" s="1629">
        <v>1.2350042264374994</v>
      </c>
      <c r="O600" s="1629">
        <v>1.2350042264374994</v>
      </c>
    </row>
    <row r="601" spans="11:15">
      <c r="K601" s="1626">
        <v>42658</v>
      </c>
      <c r="L601" s="1627"/>
      <c r="M601" s="1628">
        <v>0</v>
      </c>
      <c r="N601" s="1629">
        <v>1.2350042264374994</v>
      </c>
      <c r="O601" s="1629">
        <v>1.2350042264374994</v>
      </c>
    </row>
    <row r="602" spans="11:15">
      <c r="K602" s="1626">
        <v>42659</v>
      </c>
      <c r="L602" s="1627"/>
      <c r="M602" s="1628">
        <v>0</v>
      </c>
      <c r="N602" s="1629">
        <v>1.2350042264374994</v>
      </c>
      <c r="O602" s="1629">
        <v>1.2350042264374994</v>
      </c>
    </row>
    <row r="603" spans="11:15">
      <c r="K603" s="1626">
        <v>42660</v>
      </c>
      <c r="L603" s="1627" t="s">
        <v>2298</v>
      </c>
      <c r="M603" s="1628">
        <v>5.2531000000000001E-2</v>
      </c>
      <c r="N603" s="1629">
        <v>1.2356529865076893</v>
      </c>
      <c r="O603" s="1629">
        <v>1.2356529865076893</v>
      </c>
    </row>
    <row r="604" spans="11:15">
      <c r="K604" s="1626">
        <v>42661</v>
      </c>
      <c r="L604" s="1627" t="s">
        <v>2298</v>
      </c>
      <c r="M604" s="1628">
        <v>5.2531000000000001E-2</v>
      </c>
      <c r="N604" s="1629">
        <v>1.2363020873780317</v>
      </c>
      <c r="O604" s="1629">
        <v>1.2363020873780317</v>
      </c>
    </row>
    <row r="605" spans="11:15">
      <c r="K605" s="1626">
        <v>42662</v>
      </c>
      <c r="L605" s="1627" t="s">
        <v>2298</v>
      </c>
      <c r="M605" s="1628">
        <v>5.2531000000000001E-2</v>
      </c>
      <c r="N605" s="1629">
        <v>1.2369515292275524</v>
      </c>
      <c r="O605" s="1629">
        <v>1.2369515292275524</v>
      </c>
    </row>
    <row r="606" spans="11:15">
      <c r="K606" s="1626">
        <v>42663</v>
      </c>
      <c r="L606" s="1627" t="s">
        <v>2298</v>
      </c>
      <c r="M606" s="1628">
        <v>5.1659999999999998E-2</v>
      </c>
      <c r="N606" s="1629">
        <v>1.2375905383875514</v>
      </c>
      <c r="O606" s="1629">
        <v>1.2376013122353708</v>
      </c>
    </row>
    <row r="607" spans="11:15">
      <c r="K607" s="1626">
        <v>42664</v>
      </c>
      <c r="L607" s="1627" t="s">
        <v>2298</v>
      </c>
      <c r="M607" s="1628">
        <v>5.1659999999999998E-2</v>
      </c>
      <c r="N607" s="1629">
        <v>1.2382298776596825</v>
      </c>
      <c r="O607" s="1629">
        <v>1.2382514365807011</v>
      </c>
    </row>
    <row r="608" spans="11:15">
      <c r="K608" s="1626">
        <v>42665</v>
      </c>
      <c r="L608" s="1627"/>
      <c r="M608" s="1628">
        <v>0</v>
      </c>
      <c r="N608" s="1629">
        <v>1.2382298776596825</v>
      </c>
      <c r="O608" s="1629">
        <v>1.2382514365807011</v>
      </c>
    </row>
    <row r="609" spans="11:15">
      <c r="K609" s="1626">
        <v>42666</v>
      </c>
      <c r="L609" s="1627"/>
      <c r="M609" s="1628">
        <v>0</v>
      </c>
      <c r="N609" s="1629">
        <v>1.2382298776596825</v>
      </c>
      <c r="O609" s="1629">
        <v>1.2382514365807011</v>
      </c>
    </row>
    <row r="610" spans="11:15">
      <c r="K610" s="1626">
        <v>42667</v>
      </c>
      <c r="L610" s="1627" t="s">
        <v>2298</v>
      </c>
      <c r="M610" s="1628">
        <v>5.1659999999999998E-2</v>
      </c>
      <c r="N610" s="1629">
        <v>1.2388695472144815</v>
      </c>
      <c r="O610" s="1629">
        <v>1.2389019024428514</v>
      </c>
    </row>
    <row r="611" spans="11:15">
      <c r="K611" s="1626">
        <v>42668</v>
      </c>
      <c r="L611" s="1627" t="s">
        <v>2298</v>
      </c>
      <c r="M611" s="1628">
        <v>5.1659999999999998E-2</v>
      </c>
      <c r="N611" s="1629">
        <v>1.2395095472225726</v>
      </c>
      <c r="O611" s="1629">
        <v>1.2395527100012236</v>
      </c>
    </row>
    <row r="612" spans="11:15">
      <c r="K612" s="1626">
        <v>42669</v>
      </c>
      <c r="L612" s="1627" t="s">
        <v>2298</v>
      </c>
      <c r="M612" s="1628">
        <v>5.1659999999999998E-2</v>
      </c>
      <c r="N612" s="1629">
        <v>1.2401498778546678</v>
      </c>
      <c r="O612" s="1629">
        <v>1.2402038594353144</v>
      </c>
    </row>
    <row r="613" spans="11:15">
      <c r="K613" s="1626">
        <v>42670</v>
      </c>
      <c r="L613" s="1627" t="s">
        <v>2298</v>
      </c>
      <c r="M613" s="1628">
        <v>5.1659999999999998E-2</v>
      </c>
      <c r="N613" s="1629">
        <v>1.2407905392815677</v>
      </c>
      <c r="O613" s="1629">
        <v>1.2408553509247144</v>
      </c>
    </row>
    <row r="614" spans="11:15">
      <c r="K614" s="1626">
        <v>42671</v>
      </c>
      <c r="L614" s="1627" t="s">
        <v>2298</v>
      </c>
      <c r="M614" s="1628">
        <v>5.1659999999999998E-2</v>
      </c>
      <c r="N614" s="1629">
        <v>1.2414315316741606</v>
      </c>
      <c r="O614" s="1629">
        <v>1.2415071846491088</v>
      </c>
    </row>
    <row r="615" spans="11:15">
      <c r="K615" s="1626">
        <v>42672</v>
      </c>
      <c r="L615" s="1627"/>
      <c r="M615" s="1628">
        <v>0</v>
      </c>
      <c r="N615" s="1629">
        <v>1.2414315316741606</v>
      </c>
      <c r="O615" s="1629">
        <v>1.2415071846491088</v>
      </c>
    </row>
    <row r="616" spans="11:15">
      <c r="K616" s="1626">
        <v>42673</v>
      </c>
      <c r="L616" s="1627"/>
      <c r="M616" s="1628">
        <v>0</v>
      </c>
      <c r="N616" s="1629">
        <v>1.2414315316741606</v>
      </c>
      <c r="O616" s="1629">
        <v>1.2415071846491088</v>
      </c>
    </row>
    <row r="617" spans="11:15">
      <c r="K617" s="1626">
        <v>42674</v>
      </c>
      <c r="L617" s="1627" t="s">
        <v>2298</v>
      </c>
      <c r="M617" s="1628">
        <v>5.1659999999999998E-2</v>
      </c>
      <c r="N617" s="1629">
        <v>1.2420728552034237</v>
      </c>
      <c r="O617" s="1629">
        <v>1.2421593607882768</v>
      </c>
    </row>
    <row r="618" spans="11:15">
      <c r="K618" s="1626">
        <v>42675</v>
      </c>
      <c r="L618" s="1627" t="s">
        <v>2298</v>
      </c>
      <c r="M618" s="1628">
        <v>5.1659999999999998E-2</v>
      </c>
      <c r="N618" s="1629">
        <v>1.242714510040422</v>
      </c>
      <c r="O618" s="1629">
        <v>1.2428118795220926</v>
      </c>
    </row>
    <row r="619" spans="11:15">
      <c r="K619" s="1626">
        <v>42676</v>
      </c>
      <c r="L619" s="1627"/>
      <c r="M619" s="1628">
        <v>0</v>
      </c>
      <c r="N619" s="1629">
        <v>1.242714510040422</v>
      </c>
      <c r="O619" s="1629">
        <v>1.2428118795220926</v>
      </c>
    </row>
    <row r="620" spans="11:15">
      <c r="K620" s="1626">
        <v>42677</v>
      </c>
      <c r="L620" s="1627" t="s">
        <v>2298</v>
      </c>
      <c r="M620" s="1628">
        <v>5.1659999999999998E-2</v>
      </c>
      <c r="N620" s="1629">
        <v>1.2433564963563091</v>
      </c>
      <c r="O620" s="1629">
        <v>1.2434647410305244</v>
      </c>
    </row>
    <row r="621" spans="11:15">
      <c r="K621" s="1626">
        <v>42678</v>
      </c>
      <c r="L621" s="1627" t="s">
        <v>2298</v>
      </c>
      <c r="M621" s="1628">
        <v>5.1659999999999998E-2</v>
      </c>
      <c r="N621" s="1629">
        <v>1.2439988143223268</v>
      </c>
      <c r="O621" s="1629">
        <v>1.2441179454936351</v>
      </c>
    </row>
    <row r="622" spans="11:15">
      <c r="K622" s="1626">
        <v>42679</v>
      </c>
      <c r="L622" s="1627"/>
      <c r="M622" s="1628">
        <v>0</v>
      </c>
      <c r="N622" s="1629">
        <v>1.2439988143223268</v>
      </c>
      <c r="O622" s="1629">
        <v>1.2441179454936351</v>
      </c>
    </row>
    <row r="623" spans="11:15">
      <c r="K623" s="1626">
        <v>42680</v>
      </c>
      <c r="L623" s="1627"/>
      <c r="M623" s="1628">
        <v>0</v>
      </c>
      <c r="N623" s="1629">
        <v>1.2439988143223268</v>
      </c>
      <c r="O623" s="1629">
        <v>1.2441179454936351</v>
      </c>
    </row>
    <row r="624" spans="11:15">
      <c r="K624" s="1626">
        <v>42681</v>
      </c>
      <c r="L624" s="1627" t="s">
        <v>2298</v>
      </c>
      <c r="M624" s="1628">
        <v>5.1659999999999998E-2</v>
      </c>
      <c r="N624" s="1629">
        <v>1.2446414641098058</v>
      </c>
      <c r="O624" s="1629">
        <v>1.2447714930915823</v>
      </c>
    </row>
    <row r="625" spans="11:15">
      <c r="K625" s="1626">
        <v>42682</v>
      </c>
      <c r="L625" s="1627" t="s">
        <v>2298</v>
      </c>
      <c r="M625" s="1628">
        <v>5.1659999999999998E-2</v>
      </c>
      <c r="N625" s="1629">
        <v>1.2452844458901651</v>
      </c>
      <c r="O625" s="1629">
        <v>1.2454253840046183</v>
      </c>
    </row>
    <row r="626" spans="11:15">
      <c r="K626" s="1626">
        <v>42683</v>
      </c>
      <c r="L626" s="1627" t="s">
        <v>2298</v>
      </c>
      <c r="M626" s="1628">
        <v>5.1659999999999998E-2</v>
      </c>
      <c r="N626" s="1629">
        <v>1.2459277598349121</v>
      </c>
      <c r="O626" s="1629">
        <v>1.2460796184130898</v>
      </c>
    </row>
    <row r="627" spans="11:15">
      <c r="K627" s="1626">
        <v>42684</v>
      </c>
      <c r="L627" s="1627" t="s">
        <v>2298</v>
      </c>
      <c r="M627" s="1628">
        <v>5.1659999999999998E-2</v>
      </c>
      <c r="N627" s="1629">
        <v>1.246571406115643</v>
      </c>
      <c r="O627" s="1629">
        <v>1.2467341964974383</v>
      </c>
    </row>
    <row r="628" spans="11:15">
      <c r="K628" s="1626">
        <v>42685</v>
      </c>
      <c r="L628" s="1627" t="s">
        <v>2298</v>
      </c>
      <c r="M628" s="1628">
        <v>5.1659999999999998E-2</v>
      </c>
      <c r="N628" s="1629">
        <v>1.2472153849040424</v>
      </c>
      <c r="O628" s="1629">
        <v>1.2473891184382004</v>
      </c>
    </row>
    <row r="629" spans="11:15">
      <c r="K629" s="1626">
        <v>42686</v>
      </c>
      <c r="L629" s="1627"/>
      <c r="M629" s="1628">
        <v>0</v>
      </c>
      <c r="N629" s="1629">
        <v>1.2472153849040424</v>
      </c>
      <c r="O629" s="1629">
        <v>1.2473891184382004</v>
      </c>
    </row>
    <row r="630" spans="11:15">
      <c r="K630" s="1626">
        <v>42687</v>
      </c>
      <c r="L630" s="1627"/>
      <c r="M630" s="1628">
        <v>0</v>
      </c>
      <c r="N630" s="1629">
        <v>1.2472153849040424</v>
      </c>
      <c r="O630" s="1629">
        <v>1.2473891184382004</v>
      </c>
    </row>
    <row r="631" spans="11:15">
      <c r="K631" s="1626">
        <v>42688</v>
      </c>
      <c r="L631" s="1627" t="s">
        <v>2298</v>
      </c>
      <c r="M631" s="1628">
        <v>5.1659999999999998E-2</v>
      </c>
      <c r="N631" s="1629">
        <v>1.247859696371884</v>
      </c>
      <c r="O631" s="1629">
        <v>1.2480443844160072</v>
      </c>
    </row>
    <row r="632" spans="11:15">
      <c r="K632" s="1626">
        <v>42689</v>
      </c>
      <c r="L632" s="1627"/>
      <c r="M632" s="1628">
        <v>0</v>
      </c>
      <c r="N632" s="1629">
        <v>1.247859696371884</v>
      </c>
      <c r="O632" s="1629">
        <v>1.2480443844160072</v>
      </c>
    </row>
    <row r="633" spans="11:15">
      <c r="K633" s="1626">
        <v>42690</v>
      </c>
      <c r="L633" s="1627" t="s">
        <v>2298</v>
      </c>
      <c r="M633" s="1628">
        <v>5.1659999999999998E-2</v>
      </c>
      <c r="N633" s="1629">
        <v>1.2485043406910299</v>
      </c>
      <c r="O633" s="1629">
        <v>1.2486999946115847</v>
      </c>
    </row>
    <row r="634" spans="11:15">
      <c r="K634" s="1626">
        <v>42691</v>
      </c>
      <c r="L634" s="1627" t="s">
        <v>2298</v>
      </c>
      <c r="M634" s="1628">
        <v>5.1659999999999998E-2</v>
      </c>
      <c r="N634" s="1629">
        <v>1.249149318033431</v>
      </c>
      <c r="O634" s="1629">
        <v>1.249355949205754</v>
      </c>
    </row>
    <row r="635" spans="11:15">
      <c r="K635" s="1626">
        <v>42692</v>
      </c>
      <c r="L635" s="1627" t="s">
        <v>2298</v>
      </c>
      <c r="M635" s="1628">
        <v>5.1659999999999998E-2</v>
      </c>
      <c r="N635" s="1629">
        <v>1.2497946285711272</v>
      </c>
      <c r="O635" s="1629">
        <v>1.2500122483794314</v>
      </c>
    </row>
    <row r="636" spans="11:15">
      <c r="K636" s="1626">
        <v>42693</v>
      </c>
      <c r="L636" s="1627"/>
      <c r="M636" s="1628">
        <v>0</v>
      </c>
      <c r="N636" s="1629">
        <v>1.2497946285711272</v>
      </c>
      <c r="O636" s="1629">
        <v>1.2500122483794314</v>
      </c>
    </row>
    <row r="637" spans="11:15">
      <c r="K637" s="1626">
        <v>42694</v>
      </c>
      <c r="L637" s="1627"/>
      <c r="M637" s="1628">
        <v>0</v>
      </c>
      <c r="N637" s="1629">
        <v>1.2497946285711272</v>
      </c>
      <c r="O637" s="1629">
        <v>1.2500122483794314</v>
      </c>
    </row>
    <row r="638" spans="11:15">
      <c r="K638" s="1626">
        <v>42695</v>
      </c>
      <c r="L638" s="1627" t="s">
        <v>2298</v>
      </c>
      <c r="M638" s="1628">
        <v>5.1659999999999998E-2</v>
      </c>
      <c r="N638" s="1629">
        <v>1.2504402724762471</v>
      </c>
      <c r="O638" s="1629">
        <v>1.2506688923136275</v>
      </c>
    </row>
    <row r="639" spans="11:15">
      <c r="K639" s="1626">
        <v>42696</v>
      </c>
      <c r="L639" s="1627" t="s">
        <v>2298</v>
      </c>
      <c r="M639" s="1628">
        <v>5.1659999999999998E-2</v>
      </c>
      <c r="N639" s="1629">
        <v>1.2510862499210085</v>
      </c>
      <c r="O639" s="1629">
        <v>1.2513258811894488</v>
      </c>
    </row>
    <row r="640" spans="11:15">
      <c r="K640" s="1626">
        <v>42697</v>
      </c>
      <c r="L640" s="1627" t="s">
        <v>2298</v>
      </c>
      <c r="M640" s="1628">
        <v>5.1659999999999998E-2</v>
      </c>
      <c r="N640" s="1629">
        <v>1.2517325610777177</v>
      </c>
      <c r="O640" s="1629">
        <v>1.2519832151880963</v>
      </c>
    </row>
    <row r="641" spans="11:15">
      <c r="K641" s="1626">
        <v>42698</v>
      </c>
      <c r="L641" s="1627" t="s">
        <v>2298</v>
      </c>
      <c r="M641" s="1628">
        <v>5.1659999999999998E-2</v>
      </c>
      <c r="N641" s="1629">
        <v>1.2523792061187706</v>
      </c>
      <c r="O641" s="1629">
        <v>1.2526408944908667</v>
      </c>
    </row>
    <row r="642" spans="11:15">
      <c r="K642" s="1626">
        <v>42699</v>
      </c>
      <c r="L642" s="1627" t="s">
        <v>2298</v>
      </c>
      <c r="M642" s="1628">
        <v>5.1659999999999998E-2</v>
      </c>
      <c r="N642" s="1629">
        <v>1.2530261852166518</v>
      </c>
      <c r="O642" s="1629">
        <v>1.2532989192791517</v>
      </c>
    </row>
    <row r="643" spans="11:15">
      <c r="K643" s="1626">
        <v>42700</v>
      </c>
      <c r="L643" s="1627"/>
      <c r="M643" s="1628">
        <v>0</v>
      </c>
      <c r="N643" s="1629">
        <v>1.2530261852166518</v>
      </c>
      <c r="O643" s="1629">
        <v>1.2532989192791517</v>
      </c>
    </row>
    <row r="644" spans="11:15">
      <c r="K644" s="1626">
        <v>42701</v>
      </c>
      <c r="L644" s="1627"/>
      <c r="M644" s="1628">
        <v>0</v>
      </c>
      <c r="N644" s="1629">
        <v>1.2530261852166518</v>
      </c>
      <c r="O644" s="1629">
        <v>1.2532989192791517</v>
      </c>
    </row>
    <row r="645" spans="11:15">
      <c r="K645" s="1626">
        <v>42702</v>
      </c>
      <c r="L645" s="1627" t="s">
        <v>2298</v>
      </c>
      <c r="M645" s="1628">
        <v>5.1659999999999998E-2</v>
      </c>
      <c r="N645" s="1629">
        <v>1.2536734985439348</v>
      </c>
      <c r="O645" s="1629">
        <v>1.2539572897344382</v>
      </c>
    </row>
    <row r="646" spans="11:15">
      <c r="K646" s="1626">
        <v>42703</v>
      </c>
      <c r="L646" s="1627" t="s">
        <v>2298</v>
      </c>
      <c r="M646" s="1628">
        <v>5.1659999999999998E-2</v>
      </c>
      <c r="N646" s="1629">
        <v>1.2543211462732828</v>
      </c>
      <c r="O646" s="1629">
        <v>1.2546160060383087</v>
      </c>
    </row>
    <row r="647" spans="11:15">
      <c r="K647" s="1626">
        <v>42704</v>
      </c>
      <c r="L647" s="1627" t="s">
        <v>2298</v>
      </c>
      <c r="M647" s="1628">
        <v>5.1659999999999998E-2</v>
      </c>
      <c r="N647" s="1629">
        <v>1.2549691285774478</v>
      </c>
      <c r="O647" s="1629">
        <v>1.2552750683724407</v>
      </c>
    </row>
    <row r="648" spans="11:15">
      <c r="K648" s="1626">
        <v>42705</v>
      </c>
      <c r="L648" s="1627" t="s">
        <v>2298</v>
      </c>
      <c r="M648" s="1628">
        <v>5.0788E-2</v>
      </c>
      <c r="N648" s="1629">
        <v>1.2556065022984697</v>
      </c>
      <c r="O648" s="1629">
        <v>1.2559344769186074</v>
      </c>
    </row>
    <row r="649" spans="11:15">
      <c r="K649" s="1626">
        <v>42706</v>
      </c>
      <c r="L649" s="1627" t="s">
        <v>2298</v>
      </c>
      <c r="M649" s="1628">
        <v>5.0788E-2</v>
      </c>
      <c r="N649" s="1629">
        <v>1.2562441997288571</v>
      </c>
      <c r="O649" s="1629">
        <v>1.2565942318586776</v>
      </c>
    </row>
    <row r="650" spans="11:15">
      <c r="K650" s="1626">
        <v>42707</v>
      </c>
      <c r="L650" s="1627"/>
      <c r="M650" s="1628">
        <v>0</v>
      </c>
      <c r="N650" s="1629">
        <v>1.2562441997288571</v>
      </c>
      <c r="O650" s="1629">
        <v>1.2565942318586776</v>
      </c>
    </row>
    <row r="651" spans="11:15">
      <c r="K651" s="1626">
        <v>42708</v>
      </c>
      <c r="L651" s="1627"/>
      <c r="M651" s="1628">
        <v>0</v>
      </c>
      <c r="N651" s="1629">
        <v>1.2562441997288571</v>
      </c>
      <c r="O651" s="1629">
        <v>1.2565942318586776</v>
      </c>
    </row>
    <row r="652" spans="11:15">
      <c r="K652" s="1626">
        <v>42709</v>
      </c>
      <c r="L652" s="1627" t="s">
        <v>2298</v>
      </c>
      <c r="M652" s="1628">
        <v>5.0788E-2</v>
      </c>
      <c r="N652" s="1629">
        <v>1.2568822210330155</v>
      </c>
      <c r="O652" s="1629">
        <v>1.2572543333746153</v>
      </c>
    </row>
    <row r="653" spans="11:15">
      <c r="K653" s="1626">
        <v>42710</v>
      </c>
      <c r="L653" s="1627" t="s">
        <v>2298</v>
      </c>
      <c r="M653" s="1628">
        <v>5.0788E-2</v>
      </c>
      <c r="N653" s="1629">
        <v>1.2575205663754339</v>
      </c>
      <c r="O653" s="1629">
        <v>1.2579147816484804</v>
      </c>
    </row>
    <row r="654" spans="11:15">
      <c r="K654" s="1626">
        <v>42711</v>
      </c>
      <c r="L654" s="1627" t="s">
        <v>2298</v>
      </c>
      <c r="M654" s="1628">
        <v>5.0788E-2</v>
      </c>
      <c r="N654" s="1629">
        <v>1.2581592359206846</v>
      </c>
      <c r="O654" s="1629">
        <v>1.258575576862428</v>
      </c>
    </row>
    <row r="655" spans="11:15">
      <c r="K655" s="1626">
        <v>42712</v>
      </c>
      <c r="L655" s="1627" t="s">
        <v>2298</v>
      </c>
      <c r="M655" s="1628">
        <v>5.0788E-2</v>
      </c>
      <c r="N655" s="1629">
        <v>1.2587982298334239</v>
      </c>
      <c r="O655" s="1629">
        <v>1.2592367191987097</v>
      </c>
    </row>
    <row r="656" spans="11:15">
      <c r="K656" s="1626">
        <v>42713</v>
      </c>
      <c r="L656" s="1627" t="s">
        <v>2298</v>
      </c>
      <c r="M656" s="1628">
        <v>5.0788E-2</v>
      </c>
      <c r="N656" s="1629">
        <v>1.2594375482783917</v>
      </c>
      <c r="O656" s="1629">
        <v>1.259898208839672</v>
      </c>
    </row>
    <row r="657" spans="11:15">
      <c r="K657" s="1626">
        <v>42714</v>
      </c>
      <c r="L657" s="1627"/>
      <c r="M657" s="1628">
        <v>0</v>
      </c>
      <c r="N657" s="1629">
        <v>1.2594375482783917</v>
      </c>
      <c r="O657" s="1629">
        <v>1.259898208839672</v>
      </c>
    </row>
    <row r="658" spans="11:15">
      <c r="K658" s="1626">
        <v>42715</v>
      </c>
      <c r="L658" s="1627"/>
      <c r="M658" s="1628">
        <v>0</v>
      </c>
      <c r="N658" s="1629">
        <v>1.2594375482783917</v>
      </c>
      <c r="O658" s="1629">
        <v>1.259898208839672</v>
      </c>
    </row>
    <row r="659" spans="11:15">
      <c r="K659" s="1626">
        <v>42716</v>
      </c>
      <c r="L659" s="1627" t="s">
        <v>2298</v>
      </c>
      <c r="M659" s="1628">
        <v>5.0788E-2</v>
      </c>
      <c r="N659" s="1629">
        <v>1.2600771914204114</v>
      </c>
      <c r="O659" s="1629">
        <v>1.2605600459677575</v>
      </c>
    </row>
    <row r="660" spans="11:15">
      <c r="K660" s="1626">
        <v>42717</v>
      </c>
      <c r="L660" s="1627" t="s">
        <v>2298</v>
      </c>
      <c r="M660" s="1628">
        <v>5.0788E-2</v>
      </c>
      <c r="N660" s="1629">
        <v>1.26071715942439</v>
      </c>
      <c r="O660" s="1629">
        <v>1.2612222307655048</v>
      </c>
    </row>
    <row r="661" spans="11:15">
      <c r="K661" s="1626">
        <v>42718</v>
      </c>
      <c r="L661" s="1627" t="s">
        <v>2298</v>
      </c>
      <c r="M661" s="1628">
        <v>5.0788E-2</v>
      </c>
      <c r="N661" s="1629">
        <v>1.2613574524553184</v>
      </c>
      <c r="O661" s="1629">
        <v>1.2618847634155481</v>
      </c>
    </row>
    <row r="662" spans="11:15">
      <c r="K662" s="1626">
        <v>42719</v>
      </c>
      <c r="L662" s="1627" t="s">
        <v>2298</v>
      </c>
      <c r="M662" s="1628">
        <v>5.0788E-2</v>
      </c>
      <c r="N662" s="1629">
        <v>1.2619980706782714</v>
      </c>
      <c r="O662" s="1629">
        <v>1.262547644100618</v>
      </c>
    </row>
    <row r="663" spans="11:15">
      <c r="K663" s="1626">
        <v>42720</v>
      </c>
      <c r="L663" s="1627" t="s">
        <v>2298</v>
      </c>
      <c r="M663" s="1628">
        <v>5.0788E-2</v>
      </c>
      <c r="N663" s="1629">
        <v>1.2626390142584074</v>
      </c>
      <c r="O663" s="1629">
        <v>1.2632108730035405</v>
      </c>
    </row>
    <row r="664" spans="11:15">
      <c r="K664" s="1626">
        <v>42721</v>
      </c>
      <c r="L664" s="1627"/>
      <c r="M664" s="1628">
        <v>0</v>
      </c>
      <c r="N664" s="1629">
        <v>1.2626390142584074</v>
      </c>
      <c r="O664" s="1629">
        <v>1.2632108730035405</v>
      </c>
    </row>
    <row r="665" spans="11:15">
      <c r="K665" s="1626">
        <v>42722</v>
      </c>
      <c r="L665" s="1627"/>
      <c r="M665" s="1628">
        <v>0</v>
      </c>
      <c r="N665" s="1629">
        <v>1.2626390142584074</v>
      </c>
      <c r="O665" s="1629">
        <v>1.2632108730035405</v>
      </c>
    </row>
    <row r="666" spans="11:15">
      <c r="K666" s="1626">
        <v>42723</v>
      </c>
      <c r="L666" s="1627" t="s">
        <v>2298</v>
      </c>
      <c r="M666" s="1628">
        <v>5.0788E-2</v>
      </c>
      <c r="N666" s="1629">
        <v>1.2632802833609691</v>
      </c>
      <c r="O666" s="1629">
        <v>1.2638744503072381</v>
      </c>
    </row>
    <row r="667" spans="11:15">
      <c r="K667" s="1626">
        <v>42724</v>
      </c>
      <c r="L667" s="1627" t="s">
        <v>2298</v>
      </c>
      <c r="M667" s="1628">
        <v>5.0788E-2</v>
      </c>
      <c r="N667" s="1629">
        <v>1.2639218781512824</v>
      </c>
      <c r="O667" s="1629">
        <v>1.2645383761947291</v>
      </c>
    </row>
    <row r="668" spans="11:15">
      <c r="K668" s="1626">
        <v>42725</v>
      </c>
      <c r="L668" s="1627" t="s">
        <v>2298</v>
      </c>
      <c r="M668" s="1628">
        <v>5.0788E-2</v>
      </c>
      <c r="N668" s="1629">
        <v>1.264563798794758</v>
      </c>
      <c r="O668" s="1629">
        <v>1.2652026508491279</v>
      </c>
    </row>
    <row r="669" spans="11:15">
      <c r="K669" s="1626">
        <v>42726</v>
      </c>
      <c r="L669" s="1627" t="s">
        <v>2298</v>
      </c>
      <c r="M669" s="1628">
        <v>5.0788E-2</v>
      </c>
      <c r="N669" s="1629">
        <v>1.2652060454568899</v>
      </c>
      <c r="O669" s="1629">
        <v>1.2658672744536454</v>
      </c>
    </row>
    <row r="670" spans="11:15">
      <c r="K670" s="1626">
        <v>42727</v>
      </c>
      <c r="L670" s="1627" t="s">
        <v>2298</v>
      </c>
      <c r="M670" s="1628">
        <v>5.0788E-2</v>
      </c>
      <c r="N670" s="1629">
        <v>1.2658486183032565</v>
      </c>
      <c r="O670" s="1629">
        <v>1.2665322471915887</v>
      </c>
    </row>
    <row r="671" spans="11:15">
      <c r="K671" s="1626">
        <v>42728</v>
      </c>
      <c r="L671" s="1627"/>
      <c r="M671" s="1628">
        <v>0</v>
      </c>
      <c r="N671" s="1629">
        <v>1.2658486183032565</v>
      </c>
      <c r="O671" s="1629">
        <v>1.2665322471915887</v>
      </c>
    </row>
    <row r="672" spans="11:15">
      <c r="K672" s="1626">
        <v>42729</v>
      </c>
      <c r="L672" s="1627"/>
      <c r="M672" s="1628">
        <v>0</v>
      </c>
      <c r="N672" s="1629">
        <v>1.2658486183032565</v>
      </c>
      <c r="O672" s="1629">
        <v>1.2665322471915887</v>
      </c>
    </row>
    <row r="673" spans="11:15">
      <c r="K673" s="1626">
        <v>42730</v>
      </c>
      <c r="L673" s="1627" t="s">
        <v>2298</v>
      </c>
      <c r="M673" s="1628">
        <v>5.0788E-2</v>
      </c>
      <c r="N673" s="1629">
        <v>1.2664915174995204</v>
      </c>
      <c r="O673" s="1629">
        <v>1.2671975692463611</v>
      </c>
    </row>
    <row r="674" spans="11:15">
      <c r="K674" s="1626">
        <v>42731</v>
      </c>
      <c r="L674" s="1627" t="s">
        <v>2298</v>
      </c>
      <c r="M674" s="1628">
        <v>5.0788E-2</v>
      </c>
      <c r="N674" s="1629">
        <v>1.2671347432114282</v>
      </c>
      <c r="O674" s="1629">
        <v>1.2678632408014618</v>
      </c>
    </row>
    <row r="675" spans="11:15">
      <c r="K675" s="1626">
        <v>42732</v>
      </c>
      <c r="L675" s="1627" t="s">
        <v>2298</v>
      </c>
      <c r="M675" s="1628">
        <v>5.0788E-2</v>
      </c>
      <c r="N675" s="1629">
        <v>1.2677782956048105</v>
      </c>
      <c r="O675" s="1629">
        <v>1.2685292620404873</v>
      </c>
    </row>
    <row r="676" spans="11:15">
      <c r="K676" s="1626">
        <v>42733</v>
      </c>
      <c r="L676" s="1627" t="s">
        <v>2298</v>
      </c>
      <c r="M676" s="1628">
        <v>5.0788E-2</v>
      </c>
      <c r="N676" s="1629">
        <v>1.2684221748455822</v>
      </c>
      <c r="O676" s="1629">
        <v>1.2691956331471299</v>
      </c>
    </row>
    <row r="677" spans="11:15">
      <c r="K677" s="1626">
        <v>42734</v>
      </c>
      <c r="L677" s="1627" t="s">
        <v>2298</v>
      </c>
      <c r="M677" s="1628">
        <v>5.0788E-2</v>
      </c>
      <c r="N677" s="1629">
        <v>1.2690663810997427</v>
      </c>
      <c r="O677" s="1629">
        <v>1.2698623543051784</v>
      </c>
    </row>
    <row r="678" spans="11:15">
      <c r="K678" s="1626">
        <v>42735</v>
      </c>
      <c r="L678" s="1627"/>
      <c r="M678" s="1628">
        <v>0</v>
      </c>
      <c r="N678" s="1629">
        <v>1.2690663810997427</v>
      </c>
      <c r="O678" s="1629">
        <v>1.2698623543051784</v>
      </c>
    </row>
    <row r="679" spans="11:15">
      <c r="K679" s="1626">
        <v>42736</v>
      </c>
      <c r="L679" s="1627"/>
      <c r="M679" s="1628">
        <v>0</v>
      </c>
      <c r="N679" s="1629">
        <v>1.2690663810997427</v>
      </c>
      <c r="O679" s="1629">
        <v>1.2698623543051784</v>
      </c>
    </row>
    <row r="680" spans="11:15">
      <c r="K680" s="1626">
        <v>42737</v>
      </c>
      <c r="L680" s="1627" t="s">
        <v>2298</v>
      </c>
      <c r="M680" s="1628">
        <v>5.0788E-2</v>
      </c>
      <c r="N680" s="1629">
        <v>1.2697109145333756</v>
      </c>
      <c r="O680" s="1629">
        <v>1.2705294256985185</v>
      </c>
    </row>
    <row r="681" spans="11:15">
      <c r="K681" s="1626">
        <v>42738</v>
      </c>
      <c r="L681" s="1627" t="s">
        <v>2298</v>
      </c>
      <c r="M681" s="1628">
        <v>5.0788E-2</v>
      </c>
      <c r="N681" s="1629">
        <v>1.2703557753126489</v>
      </c>
      <c r="O681" s="1629">
        <v>1.2711968475111322</v>
      </c>
    </row>
    <row r="682" spans="11:15">
      <c r="K682" s="1626">
        <v>42739</v>
      </c>
      <c r="L682" s="1627" t="s">
        <v>2298</v>
      </c>
      <c r="M682" s="1628">
        <v>5.0788E-2</v>
      </c>
      <c r="N682" s="1629">
        <v>1.2710009636038146</v>
      </c>
      <c r="O682" s="1629">
        <v>1.2718646199270982</v>
      </c>
    </row>
    <row r="683" spans="11:15">
      <c r="K683" s="1626">
        <v>42740</v>
      </c>
      <c r="L683" s="1627" t="s">
        <v>2298</v>
      </c>
      <c r="M683" s="1628">
        <v>5.0788E-2</v>
      </c>
      <c r="N683" s="1629">
        <v>1.2716464795732099</v>
      </c>
      <c r="O683" s="1629">
        <v>1.2725327431305922</v>
      </c>
    </row>
    <row r="684" spans="11:15">
      <c r="K684" s="1626">
        <v>42741</v>
      </c>
      <c r="L684" s="1627" t="s">
        <v>2298</v>
      </c>
      <c r="M684" s="1628">
        <v>5.0788E-2</v>
      </c>
      <c r="N684" s="1629">
        <v>1.2722923233872556</v>
      </c>
      <c r="O684" s="1629">
        <v>1.2732012173058862</v>
      </c>
    </row>
    <row r="685" spans="11:15">
      <c r="K685" s="1626">
        <v>42742</v>
      </c>
      <c r="L685" s="1627"/>
      <c r="M685" s="1628">
        <v>0</v>
      </c>
      <c r="N685" s="1629">
        <v>1.2722923233872556</v>
      </c>
      <c r="O685" s="1629">
        <v>1.2732012173058862</v>
      </c>
    </row>
    <row r="686" spans="11:15">
      <c r="K686" s="1626">
        <v>42743</v>
      </c>
      <c r="L686" s="1627"/>
      <c r="M686" s="1628">
        <v>0</v>
      </c>
      <c r="N686" s="1629">
        <v>1.2722923233872556</v>
      </c>
      <c r="O686" s="1629">
        <v>1.2732012173058862</v>
      </c>
    </row>
    <row r="687" spans="11:15">
      <c r="K687" s="1626">
        <v>42744</v>
      </c>
      <c r="L687" s="1627" t="s">
        <v>2298</v>
      </c>
      <c r="M687" s="1628">
        <v>5.0788E-2</v>
      </c>
      <c r="N687" s="1629">
        <v>1.2729384952124576</v>
      </c>
      <c r="O687" s="1629">
        <v>1.2738700426373493</v>
      </c>
    </row>
    <row r="688" spans="11:15">
      <c r="K688" s="1626">
        <v>42745</v>
      </c>
      <c r="L688" s="1627" t="s">
        <v>2298</v>
      </c>
      <c r="M688" s="1628">
        <v>5.0788E-2</v>
      </c>
      <c r="N688" s="1629">
        <v>1.2735849952154061</v>
      </c>
      <c r="O688" s="1629">
        <v>1.2745392193094471</v>
      </c>
    </row>
    <row r="689" spans="11:15">
      <c r="K689" s="1626">
        <v>42746</v>
      </c>
      <c r="L689" s="1627" t="s">
        <v>2298</v>
      </c>
      <c r="M689" s="1628">
        <v>5.0788E-2</v>
      </c>
      <c r="N689" s="1629">
        <v>1.2742318235627761</v>
      </c>
      <c r="O689" s="1629">
        <v>1.2752087475067426</v>
      </c>
    </row>
    <row r="690" spans="11:15">
      <c r="K690" s="1626">
        <v>42747</v>
      </c>
      <c r="L690" s="1627" t="s">
        <v>2298</v>
      </c>
      <c r="M690" s="1628">
        <v>4.8159E-2</v>
      </c>
      <c r="N690" s="1629">
        <v>1.2748454808666856</v>
      </c>
      <c r="O690" s="1629">
        <v>1.2758786274138953</v>
      </c>
    </row>
    <row r="691" spans="11:15">
      <c r="K691" s="1626">
        <v>42748</v>
      </c>
      <c r="L691" s="1627" t="s">
        <v>2298</v>
      </c>
      <c r="M691" s="1628">
        <v>4.8159E-2</v>
      </c>
      <c r="N691" s="1629">
        <v>1.2754594337018161</v>
      </c>
      <c r="O691" s="1629">
        <v>1.2765488592156622</v>
      </c>
    </row>
    <row r="692" spans="11:15">
      <c r="K692" s="1626">
        <v>42749</v>
      </c>
      <c r="L692" s="1627"/>
      <c r="M692" s="1628">
        <v>0</v>
      </c>
      <c r="N692" s="1629">
        <v>1.2754594337018161</v>
      </c>
      <c r="O692" s="1629">
        <v>1.2765488592156622</v>
      </c>
    </row>
    <row r="693" spans="11:15">
      <c r="K693" s="1626">
        <v>42750</v>
      </c>
      <c r="L693" s="1627"/>
      <c r="M693" s="1628">
        <v>0</v>
      </c>
      <c r="N693" s="1629">
        <v>1.2754594337018161</v>
      </c>
      <c r="O693" s="1629">
        <v>1.2765488592156622</v>
      </c>
    </row>
    <row r="694" spans="11:15">
      <c r="K694" s="1626">
        <v>42751</v>
      </c>
      <c r="L694" s="1627" t="s">
        <v>2298</v>
      </c>
      <c r="M694" s="1628">
        <v>4.8159E-2</v>
      </c>
      <c r="N694" s="1629">
        <v>1.2760736822104926</v>
      </c>
      <c r="O694" s="1629">
        <v>1.2772194430968968</v>
      </c>
    </row>
    <row r="695" spans="11:15">
      <c r="K695" s="1626">
        <v>42752</v>
      </c>
      <c r="L695" s="1627" t="s">
        <v>2298</v>
      </c>
      <c r="M695" s="1628">
        <v>4.8159E-2</v>
      </c>
      <c r="N695" s="1629">
        <v>1.2766882265351083</v>
      </c>
      <c r="O695" s="1629">
        <v>1.27789037924255</v>
      </c>
    </row>
    <row r="696" spans="11:15">
      <c r="K696" s="1626">
        <v>42753</v>
      </c>
      <c r="L696" s="1627" t="s">
        <v>2298</v>
      </c>
      <c r="M696" s="1628">
        <v>4.8159E-2</v>
      </c>
      <c r="N696" s="1629">
        <v>1.2773030668181251</v>
      </c>
      <c r="O696" s="1629">
        <v>1.2785616678376699</v>
      </c>
    </row>
    <row r="697" spans="11:15">
      <c r="K697" s="1626">
        <v>42754</v>
      </c>
      <c r="L697" s="1627" t="s">
        <v>2298</v>
      </c>
      <c r="M697" s="1628">
        <v>4.8159E-2</v>
      </c>
      <c r="N697" s="1629">
        <v>1.2779182032020739</v>
      </c>
      <c r="O697" s="1629">
        <v>1.2792333090674017</v>
      </c>
    </row>
    <row r="698" spans="11:15">
      <c r="K698" s="1626">
        <v>42755</v>
      </c>
      <c r="L698" s="1627" t="s">
        <v>2298</v>
      </c>
      <c r="M698" s="1628">
        <v>4.8159E-2</v>
      </c>
      <c r="N698" s="1629">
        <v>1.278533635829554</v>
      </c>
      <c r="O698" s="1629">
        <v>1.279905303116988</v>
      </c>
    </row>
    <row r="699" spans="11:15">
      <c r="K699" s="1626">
        <v>42756</v>
      </c>
      <c r="L699" s="1627"/>
      <c r="M699" s="1628">
        <v>0</v>
      </c>
      <c r="N699" s="1629">
        <v>1.278533635829554</v>
      </c>
      <c r="O699" s="1629">
        <v>1.279905303116988</v>
      </c>
    </row>
    <row r="700" spans="11:15">
      <c r="K700" s="1626">
        <v>42757</v>
      </c>
      <c r="L700" s="1627"/>
      <c r="M700" s="1628">
        <v>0</v>
      </c>
      <c r="N700" s="1629">
        <v>1.278533635829554</v>
      </c>
      <c r="O700" s="1629">
        <v>1.279905303116988</v>
      </c>
    </row>
    <row r="701" spans="11:15">
      <c r="K701" s="1626">
        <v>42758</v>
      </c>
      <c r="L701" s="1627" t="s">
        <v>2298</v>
      </c>
      <c r="M701" s="1628">
        <v>4.8159E-2</v>
      </c>
      <c r="N701" s="1629">
        <v>1.279149364843233</v>
      </c>
      <c r="O701" s="1629">
        <v>1.2805776501717685</v>
      </c>
    </row>
    <row r="702" spans="11:15">
      <c r="K702" s="1626">
        <v>42759</v>
      </c>
      <c r="L702" s="1627" t="s">
        <v>2298</v>
      </c>
      <c r="M702" s="1628">
        <v>4.8159E-2</v>
      </c>
      <c r="N702" s="1629">
        <v>1.2797653903858479</v>
      </c>
      <c r="O702" s="1629">
        <v>1.2812503504171802</v>
      </c>
    </row>
    <row r="703" spans="11:15">
      <c r="K703" s="1626">
        <v>42760</v>
      </c>
      <c r="L703" s="1627" t="s">
        <v>2298</v>
      </c>
      <c r="M703" s="1628">
        <v>4.8159E-2</v>
      </c>
      <c r="N703" s="1629">
        <v>1.2803817126002037</v>
      </c>
      <c r="O703" s="1629">
        <v>1.2819234040387577</v>
      </c>
    </row>
    <row r="704" spans="11:15">
      <c r="K704" s="1626">
        <v>42761</v>
      </c>
      <c r="L704" s="1627" t="s">
        <v>2298</v>
      </c>
      <c r="M704" s="1628">
        <v>4.8159E-2</v>
      </c>
      <c r="N704" s="1629">
        <v>1.2809983316291746</v>
      </c>
      <c r="O704" s="1629">
        <v>1.2825968112221333</v>
      </c>
    </row>
    <row r="705" spans="11:15">
      <c r="K705" s="1626">
        <v>42762</v>
      </c>
      <c r="L705" s="1627" t="s">
        <v>2298</v>
      </c>
      <c r="M705" s="1628">
        <v>4.8159E-2</v>
      </c>
      <c r="N705" s="1629">
        <v>1.2816152476157039</v>
      </c>
      <c r="O705" s="1629">
        <v>1.2832705721530364</v>
      </c>
    </row>
    <row r="706" spans="11:15">
      <c r="K706" s="1626">
        <v>42763</v>
      </c>
      <c r="L706" s="1627"/>
      <c r="M706" s="1628">
        <v>0</v>
      </c>
      <c r="N706" s="1629">
        <v>1.2816152476157039</v>
      </c>
      <c r="O706" s="1629">
        <v>1.2832705721530364</v>
      </c>
    </row>
    <row r="707" spans="11:15">
      <c r="K707" s="1626">
        <v>42764</v>
      </c>
      <c r="L707" s="1627"/>
      <c r="M707" s="1628">
        <v>0</v>
      </c>
      <c r="N707" s="1629">
        <v>1.2816152476157039</v>
      </c>
      <c r="O707" s="1629">
        <v>1.2832705721530364</v>
      </c>
    </row>
    <row r="708" spans="11:15">
      <c r="K708" s="1626">
        <v>42765</v>
      </c>
      <c r="L708" s="1627" t="s">
        <v>2298</v>
      </c>
      <c r="M708" s="1628">
        <v>4.8159E-2</v>
      </c>
      <c r="N708" s="1629">
        <v>1.2822324607028031</v>
      </c>
      <c r="O708" s="1629">
        <v>1.2839446870172941</v>
      </c>
    </row>
    <row r="709" spans="11:15">
      <c r="K709" s="1626">
        <v>42766</v>
      </c>
      <c r="L709" s="1627" t="s">
        <v>2298</v>
      </c>
      <c r="M709" s="1628">
        <v>4.8159E-2</v>
      </c>
      <c r="N709" s="1629">
        <v>1.2828499710335528</v>
      </c>
      <c r="O709" s="1629">
        <v>1.2846191560008311</v>
      </c>
    </row>
    <row r="710" spans="11:15">
      <c r="K710" s="1626">
        <v>42767</v>
      </c>
      <c r="L710" s="1627" t="s">
        <v>2298</v>
      </c>
      <c r="M710" s="1628">
        <v>4.8159E-2</v>
      </c>
      <c r="N710" s="1629">
        <v>1.2834677787511029</v>
      </c>
      <c r="O710" s="1629">
        <v>1.2852939792896698</v>
      </c>
    </row>
    <row r="711" spans="11:15">
      <c r="K711" s="1626">
        <v>42768</v>
      </c>
      <c r="L711" s="1627" t="s">
        <v>2298</v>
      </c>
      <c r="M711" s="1628">
        <v>4.8159E-2</v>
      </c>
      <c r="N711" s="1629">
        <v>1.2840858839986715</v>
      </c>
      <c r="O711" s="1629">
        <v>1.2859691570699305</v>
      </c>
    </row>
    <row r="712" spans="11:15">
      <c r="K712" s="1626">
        <v>42769</v>
      </c>
      <c r="L712" s="1627" t="s">
        <v>2298</v>
      </c>
      <c r="M712" s="1628">
        <v>4.8159E-2</v>
      </c>
      <c r="N712" s="1629">
        <v>1.2847042869195464</v>
      </c>
      <c r="O712" s="1629">
        <v>1.286644689527831</v>
      </c>
    </row>
    <row r="713" spans="11:15">
      <c r="K713" s="1626">
        <v>42770</v>
      </c>
      <c r="L713" s="1627"/>
      <c r="M713" s="1628">
        <v>0</v>
      </c>
      <c r="N713" s="1629">
        <v>1.2847042869195464</v>
      </c>
      <c r="O713" s="1629">
        <v>1.286644689527831</v>
      </c>
    </row>
    <row r="714" spans="11:15">
      <c r="K714" s="1626">
        <v>42771</v>
      </c>
      <c r="L714" s="1627"/>
      <c r="M714" s="1628">
        <v>0</v>
      </c>
      <c r="N714" s="1629">
        <v>1.2847042869195464</v>
      </c>
      <c r="O714" s="1629">
        <v>1.286644689527831</v>
      </c>
    </row>
    <row r="715" spans="11:15">
      <c r="K715" s="1626">
        <v>42772</v>
      </c>
      <c r="L715" s="1627" t="s">
        <v>2298</v>
      </c>
      <c r="M715" s="1628">
        <v>4.8159E-2</v>
      </c>
      <c r="N715" s="1629">
        <v>1.285322987657084</v>
      </c>
      <c r="O715" s="1629">
        <v>1.2873205768496869</v>
      </c>
    </row>
    <row r="716" spans="11:15">
      <c r="K716" s="1626">
        <v>42773</v>
      </c>
      <c r="L716" s="1627" t="s">
        <v>2298</v>
      </c>
      <c r="M716" s="1628">
        <v>4.8159E-2</v>
      </c>
      <c r="N716" s="1629">
        <v>1.2859419863547097</v>
      </c>
      <c r="O716" s="1629">
        <v>1.2879968192219118</v>
      </c>
    </row>
    <row r="717" spans="11:15">
      <c r="K717" s="1626">
        <v>42774</v>
      </c>
      <c r="L717" s="1627" t="s">
        <v>2298</v>
      </c>
      <c r="M717" s="1628">
        <v>4.8159E-2</v>
      </c>
      <c r="N717" s="1629">
        <v>1.2865612831559181</v>
      </c>
      <c r="O717" s="1629">
        <v>1.2886734168310172</v>
      </c>
    </row>
    <row r="718" spans="11:15">
      <c r="K718" s="1626">
        <v>42775</v>
      </c>
      <c r="L718" s="1627" t="s">
        <v>2298</v>
      </c>
      <c r="M718" s="1628">
        <v>4.8159E-2</v>
      </c>
      <c r="N718" s="1629">
        <v>1.2871808782042731</v>
      </c>
      <c r="O718" s="1629">
        <v>1.2893503698636126</v>
      </c>
    </row>
    <row r="719" spans="11:15">
      <c r="K719" s="1626">
        <v>42776</v>
      </c>
      <c r="L719" s="1627" t="s">
        <v>2298</v>
      </c>
      <c r="M719" s="1628">
        <v>4.8159E-2</v>
      </c>
      <c r="N719" s="1629">
        <v>1.2878007716434074</v>
      </c>
      <c r="O719" s="1629">
        <v>1.2900276785064058</v>
      </c>
    </row>
    <row r="720" spans="11:15">
      <c r="K720" s="1626">
        <v>42777</v>
      </c>
      <c r="L720" s="1627"/>
      <c r="M720" s="1628">
        <v>0</v>
      </c>
      <c r="N720" s="1629">
        <v>1.2878007716434074</v>
      </c>
      <c r="O720" s="1629">
        <v>1.2900276785064058</v>
      </c>
    </row>
    <row r="721" spans="11:15">
      <c r="K721" s="1626">
        <v>42778</v>
      </c>
      <c r="L721" s="1627"/>
      <c r="M721" s="1628">
        <v>0</v>
      </c>
      <c r="N721" s="1629">
        <v>1.2878007716434074</v>
      </c>
      <c r="O721" s="1629">
        <v>1.2900276785064058</v>
      </c>
    </row>
    <row r="722" spans="11:15">
      <c r="K722" s="1626">
        <v>42779</v>
      </c>
      <c r="L722" s="1627" t="s">
        <v>2298</v>
      </c>
      <c r="M722" s="1628">
        <v>4.8159E-2</v>
      </c>
      <c r="N722" s="1629">
        <v>1.2884209636170232</v>
      </c>
      <c r="O722" s="1629">
        <v>1.2907053429462019</v>
      </c>
    </row>
    <row r="723" spans="11:15">
      <c r="K723" s="1626">
        <v>42780</v>
      </c>
      <c r="L723" s="1627" t="s">
        <v>2298</v>
      </c>
      <c r="M723" s="1628">
        <v>4.8159E-2</v>
      </c>
      <c r="N723" s="1629">
        <v>1.2890414542688915</v>
      </c>
      <c r="O723" s="1629">
        <v>1.291383363369905</v>
      </c>
    </row>
    <row r="724" spans="11:15">
      <c r="K724" s="1626">
        <v>42781</v>
      </c>
      <c r="L724" s="1627" t="s">
        <v>2298</v>
      </c>
      <c r="M724" s="1628">
        <v>4.8159E-2</v>
      </c>
      <c r="N724" s="1629">
        <v>1.2896622437428527</v>
      </c>
      <c r="O724" s="1629">
        <v>1.2920617399645169</v>
      </c>
    </row>
    <row r="725" spans="11:15">
      <c r="K725" s="1626">
        <v>42782</v>
      </c>
      <c r="L725" s="1627" t="s">
        <v>2298</v>
      </c>
      <c r="M725" s="1628">
        <v>4.8159E-2</v>
      </c>
      <c r="N725" s="1629">
        <v>1.2902833321828167</v>
      </c>
      <c r="O725" s="1629">
        <v>1.2927404729171377</v>
      </c>
    </row>
    <row r="726" spans="11:15">
      <c r="K726" s="1626">
        <v>42783</v>
      </c>
      <c r="L726" s="1627" t="s">
        <v>2298</v>
      </c>
      <c r="M726" s="1628">
        <v>4.8159E-2</v>
      </c>
      <c r="N726" s="1629">
        <v>1.2909047197327626</v>
      </c>
      <c r="O726" s="1629">
        <v>1.2934195624149658</v>
      </c>
    </row>
    <row r="727" spans="11:15">
      <c r="K727" s="1626">
        <v>42784</v>
      </c>
      <c r="L727" s="1627"/>
      <c r="M727" s="1628">
        <v>0</v>
      </c>
      <c r="N727" s="1629">
        <v>1.2909047197327626</v>
      </c>
      <c r="O727" s="1629">
        <v>1.2934195624149658</v>
      </c>
    </row>
    <row r="728" spans="11:15">
      <c r="K728" s="1626">
        <v>42785</v>
      </c>
      <c r="L728" s="1627"/>
      <c r="M728" s="1628">
        <v>0</v>
      </c>
      <c r="N728" s="1629">
        <v>1.2909047197327626</v>
      </c>
      <c r="O728" s="1629">
        <v>1.2934195624149658</v>
      </c>
    </row>
    <row r="729" spans="11:15">
      <c r="K729" s="1626">
        <v>42786</v>
      </c>
      <c r="L729" s="1627" t="s">
        <v>2298</v>
      </c>
      <c r="M729" s="1628">
        <v>4.8159E-2</v>
      </c>
      <c r="N729" s="1629">
        <v>1.2915264065367384</v>
      </c>
      <c r="O729" s="1629">
        <v>1.2940990086452979</v>
      </c>
    </row>
    <row r="730" spans="11:15">
      <c r="K730" s="1626">
        <v>42787</v>
      </c>
      <c r="L730" s="1627" t="s">
        <v>2298</v>
      </c>
      <c r="M730" s="1628">
        <v>4.8159E-2</v>
      </c>
      <c r="N730" s="1629">
        <v>1.2921483927388624</v>
      </c>
      <c r="O730" s="1629">
        <v>1.2947788117955294</v>
      </c>
    </row>
    <row r="731" spans="11:15">
      <c r="K731" s="1626">
        <v>42788</v>
      </c>
      <c r="L731" s="1627" t="s">
        <v>2298</v>
      </c>
      <c r="M731" s="1628">
        <v>4.8159E-2</v>
      </c>
      <c r="N731" s="1629">
        <v>1.2927706784833215</v>
      </c>
      <c r="O731" s="1629">
        <v>1.2954589720531537</v>
      </c>
    </row>
    <row r="732" spans="11:15">
      <c r="K732" s="1626">
        <v>42789</v>
      </c>
      <c r="L732" s="1627" t="s">
        <v>2298</v>
      </c>
      <c r="M732" s="1628">
        <v>4.5512999999999998E-2</v>
      </c>
      <c r="N732" s="1629">
        <v>1.2933590572022196</v>
      </c>
      <c r="O732" s="1629">
        <v>1.296139489605763</v>
      </c>
    </row>
    <row r="733" spans="11:15">
      <c r="K733" s="1626">
        <v>42790</v>
      </c>
      <c r="L733" s="1627" t="s">
        <v>2298</v>
      </c>
      <c r="M733" s="1628">
        <v>4.5512999999999998E-2</v>
      </c>
      <c r="N733" s="1629">
        <v>1.2939477037099241</v>
      </c>
      <c r="O733" s="1629">
        <v>1.2968203646410479</v>
      </c>
    </row>
    <row r="734" spans="11:15">
      <c r="K734" s="1626">
        <v>42791</v>
      </c>
      <c r="L734" s="1627"/>
      <c r="M734" s="1628">
        <v>0</v>
      </c>
      <c r="N734" s="1629">
        <v>1.2939477037099241</v>
      </c>
      <c r="O734" s="1629">
        <v>1.2968203646410479</v>
      </c>
    </row>
    <row r="735" spans="11:15">
      <c r="K735" s="1626">
        <v>42792</v>
      </c>
      <c r="L735" s="1627"/>
      <c r="M735" s="1628">
        <v>0</v>
      </c>
      <c r="N735" s="1629">
        <v>1.2939477037099241</v>
      </c>
      <c r="O735" s="1629">
        <v>1.2968203646410479</v>
      </c>
    </row>
    <row r="736" spans="11:15">
      <c r="K736" s="1626">
        <v>42793</v>
      </c>
      <c r="L736" s="1627"/>
      <c r="M736" s="1628">
        <v>0</v>
      </c>
      <c r="N736" s="1629">
        <v>1.2939477037099241</v>
      </c>
      <c r="O736" s="1629">
        <v>1.2968203646410479</v>
      </c>
    </row>
    <row r="737" spans="11:15">
      <c r="K737" s="1626">
        <v>42794</v>
      </c>
      <c r="L737" s="1627"/>
      <c r="M737" s="1628">
        <v>0</v>
      </c>
      <c r="N737" s="1629">
        <v>1.2939477037099241</v>
      </c>
      <c r="O737" s="1629">
        <v>1.2968203646410479</v>
      </c>
    </row>
    <row r="738" spans="11:15">
      <c r="K738" s="1626">
        <v>42795</v>
      </c>
      <c r="L738" s="1627" t="s">
        <v>2298</v>
      </c>
      <c r="M738" s="1628">
        <v>4.5512999999999998E-2</v>
      </c>
      <c r="N738" s="1629">
        <v>1.2945366181283136</v>
      </c>
      <c r="O738" s="1629">
        <v>1.2975015973467974</v>
      </c>
    </row>
    <row r="739" spans="11:15">
      <c r="K739" s="1626">
        <v>42796</v>
      </c>
      <c r="L739" s="1627" t="s">
        <v>2298</v>
      </c>
      <c r="M739" s="1628">
        <v>4.5512999999999998E-2</v>
      </c>
      <c r="N739" s="1629">
        <v>1.2951258005793223</v>
      </c>
      <c r="O739" s="1629">
        <v>1.2981831879108996</v>
      </c>
    </row>
    <row r="740" spans="11:15">
      <c r="K740" s="1626">
        <v>42797</v>
      </c>
      <c r="L740" s="1627" t="s">
        <v>2298</v>
      </c>
      <c r="M740" s="1628">
        <v>4.5512999999999998E-2</v>
      </c>
      <c r="N740" s="1629">
        <v>1.2957152511849399</v>
      </c>
      <c r="O740" s="1629">
        <v>1.2988651365213411</v>
      </c>
    </row>
    <row r="741" spans="11:15">
      <c r="K741" s="1626">
        <v>42798</v>
      </c>
      <c r="L741" s="1627"/>
      <c r="M741" s="1628">
        <v>0</v>
      </c>
      <c r="N741" s="1629">
        <v>1.2957152511849399</v>
      </c>
      <c r="O741" s="1629">
        <v>1.2988651365213411</v>
      </c>
    </row>
    <row r="742" spans="11:15">
      <c r="K742" s="1626">
        <v>42799</v>
      </c>
      <c r="L742" s="1627"/>
      <c r="M742" s="1628">
        <v>0</v>
      </c>
      <c r="N742" s="1629">
        <v>1.2957152511849399</v>
      </c>
      <c r="O742" s="1629">
        <v>1.2988651365213411</v>
      </c>
    </row>
    <row r="743" spans="11:15">
      <c r="K743" s="1626">
        <v>42800</v>
      </c>
      <c r="L743" s="1627" t="s">
        <v>2298</v>
      </c>
      <c r="M743" s="1628">
        <v>4.5512999999999998E-2</v>
      </c>
      <c r="N743" s="1629">
        <v>1.2963049700672116</v>
      </c>
      <c r="O743" s="1629">
        <v>1.2995474433662071</v>
      </c>
    </row>
    <row r="744" spans="11:15">
      <c r="K744" s="1626">
        <v>42801</v>
      </c>
      <c r="L744" s="1627" t="s">
        <v>2298</v>
      </c>
      <c r="M744" s="1628">
        <v>4.5512999999999998E-2</v>
      </c>
      <c r="N744" s="1629">
        <v>1.2968949573482382</v>
      </c>
      <c r="O744" s="1629">
        <v>1.3002301086336818</v>
      </c>
    </row>
    <row r="745" spans="11:15">
      <c r="K745" s="1626">
        <v>42802</v>
      </c>
      <c r="L745" s="1627" t="s">
        <v>2298</v>
      </c>
      <c r="M745" s="1628">
        <v>4.5512999999999998E-2</v>
      </c>
      <c r="N745" s="1629">
        <v>1.2974852131501762</v>
      </c>
      <c r="O745" s="1629">
        <v>1.3009131325120482</v>
      </c>
    </row>
    <row r="746" spans="11:15">
      <c r="K746" s="1626">
        <v>42803</v>
      </c>
      <c r="L746" s="1627" t="s">
        <v>2298</v>
      </c>
      <c r="M746" s="1628">
        <v>4.5512999999999998E-2</v>
      </c>
      <c r="N746" s="1629">
        <v>1.2980757375952372</v>
      </c>
      <c r="O746" s="1629">
        <v>1.3015965151896882</v>
      </c>
    </row>
    <row r="747" spans="11:15">
      <c r="K747" s="1626">
        <v>42804</v>
      </c>
      <c r="L747" s="1627" t="s">
        <v>2298</v>
      </c>
      <c r="M747" s="1628">
        <v>4.5512999999999998E-2</v>
      </c>
      <c r="N747" s="1629">
        <v>1.2986665308056888</v>
      </c>
      <c r="O747" s="1629">
        <v>1.3022802568550824</v>
      </c>
    </row>
    <row r="748" spans="11:15">
      <c r="K748" s="1626">
        <v>42805</v>
      </c>
      <c r="L748" s="1627"/>
      <c r="M748" s="1628">
        <v>0</v>
      </c>
      <c r="N748" s="1629">
        <v>1.2986665308056888</v>
      </c>
      <c r="O748" s="1629">
        <v>1.3022802568550824</v>
      </c>
    </row>
    <row r="749" spans="11:15">
      <c r="K749" s="1626">
        <v>42806</v>
      </c>
      <c r="L749" s="1627"/>
      <c r="M749" s="1628">
        <v>0</v>
      </c>
      <c r="N749" s="1629">
        <v>1.2986665308056888</v>
      </c>
      <c r="O749" s="1629">
        <v>1.3022802568550824</v>
      </c>
    </row>
    <row r="750" spans="11:15">
      <c r="K750" s="1626">
        <v>42807</v>
      </c>
      <c r="L750" s="1627" t="s">
        <v>2298</v>
      </c>
      <c r="M750" s="1628">
        <v>4.5512999999999998E-2</v>
      </c>
      <c r="N750" s="1629">
        <v>1.2992575929038543</v>
      </c>
      <c r="O750" s="1629">
        <v>1.3029643576968111</v>
      </c>
    </row>
    <row r="751" spans="11:15">
      <c r="K751" s="1626">
        <v>42808</v>
      </c>
      <c r="L751" s="1627" t="s">
        <v>2298</v>
      </c>
      <c r="M751" s="1628">
        <v>4.5512999999999998E-2</v>
      </c>
      <c r="N751" s="1629">
        <v>1.2998489240121127</v>
      </c>
      <c r="O751" s="1629">
        <v>1.3036488179035528</v>
      </c>
    </row>
    <row r="752" spans="11:15">
      <c r="K752" s="1626">
        <v>42809</v>
      </c>
      <c r="L752" s="1627" t="s">
        <v>2298</v>
      </c>
      <c r="M752" s="1628">
        <v>4.5512999999999998E-2</v>
      </c>
      <c r="N752" s="1629">
        <v>1.3004405242528982</v>
      </c>
      <c r="O752" s="1629">
        <v>1.3043336376640857</v>
      </c>
    </row>
    <row r="753" spans="11:15">
      <c r="K753" s="1626">
        <v>42810</v>
      </c>
      <c r="L753" s="1627" t="s">
        <v>2298</v>
      </c>
      <c r="M753" s="1628">
        <v>4.5512999999999998E-2</v>
      </c>
      <c r="N753" s="1629">
        <v>1.3010323937487014</v>
      </c>
      <c r="O753" s="1629">
        <v>1.305018817167287</v>
      </c>
    </row>
    <row r="754" spans="11:15">
      <c r="K754" s="1626">
        <v>42811</v>
      </c>
      <c r="L754" s="1627" t="s">
        <v>2298</v>
      </c>
      <c r="M754" s="1628">
        <v>4.5512999999999998E-2</v>
      </c>
      <c r="N754" s="1629">
        <v>1.3016245326220681</v>
      </c>
      <c r="O754" s="1629">
        <v>1.3057043566021331</v>
      </c>
    </row>
    <row r="755" spans="11:15">
      <c r="K755" s="1626">
        <v>42812</v>
      </c>
      <c r="L755" s="1627"/>
      <c r="M755" s="1628">
        <v>0</v>
      </c>
      <c r="N755" s="1629">
        <v>1.3016245326220681</v>
      </c>
      <c r="O755" s="1629">
        <v>1.3057043566021331</v>
      </c>
    </row>
    <row r="756" spans="11:15">
      <c r="K756" s="1626">
        <v>42813</v>
      </c>
      <c r="L756" s="1627"/>
      <c r="M756" s="1628">
        <v>0</v>
      </c>
      <c r="N756" s="1629">
        <v>1.3016245326220681</v>
      </c>
      <c r="O756" s="1629">
        <v>1.3057043566021331</v>
      </c>
    </row>
    <row r="757" spans="11:15">
      <c r="K757" s="1626">
        <v>42814</v>
      </c>
      <c r="L757" s="1627" t="s">
        <v>2298</v>
      </c>
      <c r="M757" s="1628">
        <v>4.5512999999999998E-2</v>
      </c>
      <c r="N757" s="1629">
        <v>1.3022169409956004</v>
      </c>
      <c r="O757" s="1629">
        <v>1.3063902561576999</v>
      </c>
    </row>
    <row r="758" spans="11:15">
      <c r="K758" s="1626">
        <v>42815</v>
      </c>
      <c r="L758" s="1627" t="s">
        <v>2298</v>
      </c>
      <c r="M758" s="1628">
        <v>4.5512999999999998E-2</v>
      </c>
      <c r="N758" s="1629">
        <v>1.3028096189919556</v>
      </c>
      <c r="O758" s="1629">
        <v>1.3070765160231621</v>
      </c>
    </row>
    <row r="759" spans="11:15">
      <c r="K759" s="1626">
        <v>42816</v>
      </c>
      <c r="L759" s="1627" t="s">
        <v>2298</v>
      </c>
      <c r="M759" s="1628">
        <v>4.5512999999999998E-2</v>
      </c>
      <c r="N759" s="1629">
        <v>1.3034025667338474</v>
      </c>
      <c r="O759" s="1629">
        <v>1.3077631363877942</v>
      </c>
    </row>
    <row r="760" spans="11:15">
      <c r="K760" s="1626">
        <v>42817</v>
      </c>
      <c r="L760" s="1627" t="s">
        <v>2298</v>
      </c>
      <c r="M760" s="1628">
        <v>4.5512999999999998E-2</v>
      </c>
      <c r="N760" s="1629">
        <v>1.3039957843440448</v>
      </c>
      <c r="O760" s="1629">
        <v>1.30845011744097</v>
      </c>
    </row>
    <row r="761" spans="11:15">
      <c r="K761" s="1626">
        <v>42818</v>
      </c>
      <c r="L761" s="1627" t="s">
        <v>2298</v>
      </c>
      <c r="M761" s="1628">
        <v>4.5512999999999998E-2</v>
      </c>
      <c r="N761" s="1629">
        <v>1.3045892719453733</v>
      </c>
      <c r="O761" s="1629">
        <v>1.309137459372163</v>
      </c>
    </row>
    <row r="762" spans="11:15">
      <c r="K762" s="1626">
        <v>42819</v>
      </c>
      <c r="L762" s="1627"/>
      <c r="M762" s="1628">
        <v>0</v>
      </c>
      <c r="N762" s="1629">
        <v>1.3045892719453733</v>
      </c>
      <c r="O762" s="1629">
        <v>1.309137459372163</v>
      </c>
    </row>
    <row r="763" spans="11:15">
      <c r="K763" s="1626">
        <v>42820</v>
      </c>
      <c r="L763" s="1627"/>
      <c r="M763" s="1628">
        <v>0</v>
      </c>
      <c r="N763" s="1629">
        <v>1.3045892719453733</v>
      </c>
      <c r="O763" s="1629">
        <v>1.309137459372163</v>
      </c>
    </row>
    <row r="764" spans="11:15">
      <c r="K764" s="1626">
        <v>42821</v>
      </c>
      <c r="L764" s="1627" t="s">
        <v>2298</v>
      </c>
      <c r="M764" s="1628">
        <v>4.5512999999999998E-2</v>
      </c>
      <c r="N764" s="1629">
        <v>1.3051830296607139</v>
      </c>
      <c r="O764" s="1629">
        <v>1.3098251623709458</v>
      </c>
    </row>
    <row r="765" spans="11:15">
      <c r="K765" s="1626">
        <v>42822</v>
      </c>
      <c r="L765" s="1627" t="s">
        <v>2298</v>
      </c>
      <c r="M765" s="1628">
        <v>4.5512999999999998E-2</v>
      </c>
      <c r="N765" s="1629">
        <v>1.3057770576130032</v>
      </c>
      <c r="O765" s="1629">
        <v>1.310513226626991</v>
      </c>
    </row>
    <row r="766" spans="11:15">
      <c r="K766" s="1626">
        <v>42823</v>
      </c>
      <c r="L766" s="1627" t="s">
        <v>2298</v>
      </c>
      <c r="M766" s="1628">
        <v>4.5512999999999998E-2</v>
      </c>
      <c r="N766" s="1629">
        <v>1.3063713559252346</v>
      </c>
      <c r="O766" s="1629">
        <v>1.3112016523300705</v>
      </c>
    </row>
    <row r="767" spans="11:15">
      <c r="K767" s="1626">
        <v>42824</v>
      </c>
      <c r="L767" s="1627" t="s">
        <v>2298</v>
      </c>
      <c r="M767" s="1628">
        <v>4.5512999999999998E-2</v>
      </c>
      <c r="N767" s="1629">
        <v>1.3069659247204568</v>
      </c>
      <c r="O767" s="1629">
        <v>1.3118904396700559</v>
      </c>
    </row>
    <row r="768" spans="11:15">
      <c r="K768" s="1626">
        <v>42825</v>
      </c>
      <c r="L768" s="1627" t="s">
        <v>2298</v>
      </c>
      <c r="M768" s="1628">
        <v>4.5512999999999998E-2</v>
      </c>
      <c r="N768" s="1629">
        <v>1.3075607641217748</v>
      </c>
      <c r="O768" s="1629">
        <v>1.3125795888369189</v>
      </c>
    </row>
    <row r="769" spans="11:15">
      <c r="K769" s="1626">
        <v>42826</v>
      </c>
      <c r="L769" s="1627"/>
      <c r="M769" s="1628">
        <v>0</v>
      </c>
      <c r="N769" s="1629">
        <v>1.3075607641217748</v>
      </c>
      <c r="O769" s="1629">
        <v>1.3125795888369189</v>
      </c>
    </row>
    <row r="770" spans="11:15">
      <c r="K770" s="1626">
        <v>42827</v>
      </c>
      <c r="L770" s="1627"/>
      <c r="M770" s="1628">
        <v>0</v>
      </c>
      <c r="N770" s="1629">
        <v>1.3075607641217748</v>
      </c>
      <c r="O770" s="1629">
        <v>1.3125795888369189</v>
      </c>
    </row>
    <row r="771" spans="11:15">
      <c r="K771" s="1626">
        <v>42828</v>
      </c>
      <c r="L771" s="1627" t="s">
        <v>2298</v>
      </c>
      <c r="M771" s="1628">
        <v>4.5512999999999998E-2</v>
      </c>
      <c r="N771" s="1629">
        <v>1.3081558742523496</v>
      </c>
      <c r="O771" s="1629">
        <v>1.3132691000207308</v>
      </c>
    </row>
    <row r="772" spans="11:15">
      <c r="K772" s="1626">
        <v>42829</v>
      </c>
      <c r="L772" s="1627" t="s">
        <v>2298</v>
      </c>
      <c r="M772" s="1628">
        <v>4.5512999999999998E-2</v>
      </c>
      <c r="N772" s="1629">
        <v>1.3087512552353979</v>
      </c>
      <c r="O772" s="1629">
        <v>1.3139589734116628</v>
      </c>
    </row>
    <row r="773" spans="11:15">
      <c r="K773" s="1626">
        <v>42830</v>
      </c>
      <c r="L773" s="1627" t="s">
        <v>2298</v>
      </c>
      <c r="M773" s="1628">
        <v>4.5512999999999998E-2</v>
      </c>
      <c r="N773" s="1629">
        <v>1.3093469071941932</v>
      </c>
      <c r="O773" s="1629">
        <v>1.3146492091999857</v>
      </c>
    </row>
    <row r="774" spans="11:15">
      <c r="K774" s="1626">
        <v>42831</v>
      </c>
      <c r="L774" s="1627" t="s">
        <v>2298</v>
      </c>
      <c r="M774" s="1628">
        <v>4.5512999999999998E-2</v>
      </c>
      <c r="N774" s="1629">
        <v>1.3099428302520644</v>
      </c>
      <c r="O774" s="1629">
        <v>1.3153398075760705</v>
      </c>
    </row>
    <row r="775" spans="11:15">
      <c r="K775" s="1626">
        <v>42832</v>
      </c>
      <c r="L775" s="1627" t="s">
        <v>2298</v>
      </c>
      <c r="M775" s="1628">
        <v>4.5512999999999998E-2</v>
      </c>
      <c r="N775" s="1629">
        <v>1.3105390245323969</v>
      </c>
      <c r="O775" s="1629">
        <v>1.3160307687303883</v>
      </c>
    </row>
    <row r="776" spans="11:15">
      <c r="K776" s="1626">
        <v>42833</v>
      </c>
      <c r="L776" s="1627"/>
      <c r="M776" s="1628">
        <v>0</v>
      </c>
      <c r="N776" s="1629">
        <v>1.3105390245323969</v>
      </c>
      <c r="O776" s="1629">
        <v>1.3160307687303883</v>
      </c>
    </row>
    <row r="777" spans="11:15">
      <c r="K777" s="1626">
        <v>42834</v>
      </c>
      <c r="L777" s="1627"/>
      <c r="M777" s="1628">
        <v>0</v>
      </c>
      <c r="N777" s="1629">
        <v>1.3105390245323969</v>
      </c>
      <c r="O777" s="1629">
        <v>1.3160307687303883</v>
      </c>
    </row>
    <row r="778" spans="11:15">
      <c r="K778" s="1626">
        <v>42835</v>
      </c>
      <c r="L778" s="1627" t="s">
        <v>2298</v>
      </c>
      <c r="M778" s="1628">
        <v>4.5512999999999998E-2</v>
      </c>
      <c r="N778" s="1629">
        <v>1.3111354901586323</v>
      </c>
      <c r="O778" s="1629">
        <v>1.3167220928535099</v>
      </c>
    </row>
    <row r="779" spans="11:15">
      <c r="K779" s="1626">
        <v>42836</v>
      </c>
      <c r="L779" s="1627" t="s">
        <v>2298</v>
      </c>
      <c r="M779" s="1628">
        <v>4.5512999999999998E-2</v>
      </c>
      <c r="N779" s="1629">
        <v>1.3117322272542682</v>
      </c>
      <c r="O779" s="1629">
        <v>1.3174137801361068</v>
      </c>
    </row>
    <row r="780" spans="11:15">
      <c r="K780" s="1626">
        <v>42837</v>
      </c>
      <c r="L780" s="1627" t="s">
        <v>2298</v>
      </c>
      <c r="M780" s="1628">
        <v>4.5512999999999998E-2</v>
      </c>
      <c r="N780" s="1629">
        <v>1.3123292359428584</v>
      </c>
      <c r="O780" s="1629">
        <v>1.3181058307689502</v>
      </c>
    </row>
    <row r="781" spans="11:15">
      <c r="K781" s="1626">
        <v>42838</v>
      </c>
      <c r="L781" s="1627" t="s">
        <v>2298</v>
      </c>
      <c r="M781" s="1628">
        <v>4.1957000000000001E-2</v>
      </c>
      <c r="N781" s="1629">
        <v>1.3128798499203831</v>
      </c>
      <c r="O781" s="1629">
        <v>1.3187982449429114</v>
      </c>
    </row>
    <row r="782" spans="11:15">
      <c r="K782" s="1626">
        <v>42839</v>
      </c>
      <c r="L782" s="1627"/>
      <c r="M782" s="1628">
        <v>0</v>
      </c>
      <c r="N782" s="1629">
        <v>1.3128798499203831</v>
      </c>
      <c r="O782" s="1629">
        <v>1.3187982449429114</v>
      </c>
    </row>
    <row r="783" spans="11:15">
      <c r="K783" s="1626">
        <v>42840</v>
      </c>
      <c r="L783" s="1627"/>
      <c r="M783" s="1628">
        <v>0</v>
      </c>
      <c r="N783" s="1629">
        <v>1.3128798499203831</v>
      </c>
      <c r="O783" s="1629">
        <v>1.3187982449429114</v>
      </c>
    </row>
    <row r="784" spans="11:15">
      <c r="K784" s="1626">
        <v>42841</v>
      </c>
      <c r="L784" s="1627"/>
      <c r="M784" s="1628">
        <v>0</v>
      </c>
      <c r="N784" s="1629">
        <v>1.3128798499203831</v>
      </c>
      <c r="O784" s="1629">
        <v>1.3187982449429114</v>
      </c>
    </row>
    <row r="785" spans="11:15">
      <c r="K785" s="1626">
        <v>42842</v>
      </c>
      <c r="L785" s="1627" t="s">
        <v>2298</v>
      </c>
      <c r="M785" s="1628">
        <v>4.1957000000000001E-2</v>
      </c>
      <c r="N785" s="1629">
        <v>1.3134306949190142</v>
      </c>
      <c r="O785" s="1629">
        <v>1.3194910228489625</v>
      </c>
    </row>
    <row r="786" spans="11:15">
      <c r="K786" s="1626">
        <v>42843</v>
      </c>
      <c r="L786" s="1627" t="s">
        <v>2298</v>
      </c>
      <c r="M786" s="1628">
        <v>4.1957000000000001E-2</v>
      </c>
      <c r="N786" s="1629">
        <v>1.3139817710356814</v>
      </c>
      <c r="O786" s="1629">
        <v>1.3201841646781753</v>
      </c>
    </row>
    <row r="787" spans="11:15">
      <c r="K787" s="1626">
        <v>42844</v>
      </c>
      <c r="L787" s="1627" t="s">
        <v>2298</v>
      </c>
      <c r="M787" s="1628">
        <v>4.1957000000000001E-2</v>
      </c>
      <c r="N787" s="1629">
        <v>1.3145330783673548</v>
      </c>
      <c r="O787" s="1629">
        <v>1.3208776706217225</v>
      </c>
    </row>
    <row r="788" spans="11:15">
      <c r="K788" s="1626">
        <v>42845</v>
      </c>
      <c r="L788" s="1627" t="s">
        <v>2298</v>
      </c>
      <c r="M788" s="1628">
        <v>4.1957000000000001E-2</v>
      </c>
      <c r="N788" s="1629">
        <v>1.3150846170110455</v>
      </c>
      <c r="O788" s="1629">
        <v>1.3215715408708768</v>
      </c>
    </row>
    <row r="789" spans="11:15">
      <c r="K789" s="1626">
        <v>42846</v>
      </c>
      <c r="L789" s="1627"/>
      <c r="M789" s="1628">
        <v>0</v>
      </c>
      <c r="N789" s="1629">
        <v>1.3150846170110455</v>
      </c>
      <c r="O789" s="1629">
        <v>1.3215715408708768</v>
      </c>
    </row>
    <row r="790" spans="11:15">
      <c r="K790" s="1626">
        <v>42847</v>
      </c>
      <c r="L790" s="1627"/>
      <c r="M790" s="1628">
        <v>0</v>
      </c>
      <c r="N790" s="1629">
        <v>1.3150846170110455</v>
      </c>
      <c r="O790" s="1629">
        <v>1.3215715408708768</v>
      </c>
    </row>
    <row r="791" spans="11:15">
      <c r="K791" s="1626">
        <v>42848</v>
      </c>
      <c r="L791" s="1627"/>
      <c r="M791" s="1628">
        <v>0</v>
      </c>
      <c r="N791" s="1629">
        <v>1.3150846170110455</v>
      </c>
      <c r="O791" s="1629">
        <v>1.3215715408708768</v>
      </c>
    </row>
    <row r="792" spans="11:15">
      <c r="K792" s="1626">
        <v>42849</v>
      </c>
      <c r="L792" s="1627" t="s">
        <v>2298</v>
      </c>
      <c r="M792" s="1628">
        <v>4.1957000000000001E-2</v>
      </c>
      <c r="N792" s="1629">
        <v>1.3156363870638048</v>
      </c>
      <c r="O792" s="1629">
        <v>1.3222657756170118</v>
      </c>
    </row>
    <row r="793" spans="11:15">
      <c r="K793" s="1626">
        <v>42850</v>
      </c>
      <c r="L793" s="1627" t="s">
        <v>2298</v>
      </c>
      <c r="M793" s="1628">
        <v>4.1957000000000001E-2</v>
      </c>
      <c r="N793" s="1629">
        <v>1.3161883886227252</v>
      </c>
      <c r="O793" s="1629">
        <v>1.322960375051601</v>
      </c>
    </row>
    <row r="794" spans="11:15">
      <c r="K794" s="1626">
        <v>42851</v>
      </c>
      <c r="L794" s="1627" t="s">
        <v>2298</v>
      </c>
      <c r="M794" s="1628">
        <v>4.1957000000000001E-2</v>
      </c>
      <c r="N794" s="1629">
        <v>1.3167406217849398</v>
      </c>
      <c r="O794" s="1629">
        <v>1.3236553393662194</v>
      </c>
    </row>
    <row r="795" spans="11:15">
      <c r="K795" s="1626">
        <v>42852</v>
      </c>
      <c r="L795" s="1627" t="s">
        <v>2298</v>
      </c>
      <c r="M795" s="1628">
        <v>4.1957000000000001E-2</v>
      </c>
      <c r="N795" s="1629">
        <v>1.3172930866476222</v>
      </c>
      <c r="O795" s="1629">
        <v>1.3243506687525419</v>
      </c>
    </row>
    <row r="796" spans="11:15">
      <c r="K796" s="1626">
        <v>42853</v>
      </c>
      <c r="L796" s="1627" t="s">
        <v>2298</v>
      </c>
      <c r="M796" s="1628">
        <v>4.1957000000000001E-2</v>
      </c>
      <c r="N796" s="1629">
        <v>1.3178457833079871</v>
      </c>
      <c r="O796" s="1629">
        <v>1.3250463634023444</v>
      </c>
    </row>
    <row r="797" spans="11:15">
      <c r="K797" s="1626">
        <v>42854</v>
      </c>
      <c r="L797" s="1627"/>
      <c r="M797" s="1628">
        <v>0</v>
      </c>
      <c r="N797" s="1629">
        <v>1.3178457833079871</v>
      </c>
      <c r="O797" s="1629">
        <v>1.3250463634023444</v>
      </c>
    </row>
    <row r="798" spans="11:15">
      <c r="K798" s="1626">
        <v>42855</v>
      </c>
      <c r="L798" s="1627"/>
      <c r="M798" s="1628">
        <v>0</v>
      </c>
      <c r="N798" s="1629">
        <v>1.3178457833079871</v>
      </c>
      <c r="O798" s="1629">
        <v>1.3250463634023444</v>
      </c>
    </row>
    <row r="799" spans="11:15">
      <c r="K799" s="1626">
        <v>42856</v>
      </c>
      <c r="L799" s="1627"/>
      <c r="M799" s="1628">
        <v>0</v>
      </c>
      <c r="N799" s="1629">
        <v>1.3178457833079871</v>
      </c>
      <c r="O799" s="1629">
        <v>1.3250463634023444</v>
      </c>
    </row>
    <row r="800" spans="11:15">
      <c r="K800" s="1626">
        <v>42857</v>
      </c>
      <c r="L800" s="1627" t="s">
        <v>2298</v>
      </c>
      <c r="M800" s="1628">
        <v>4.1957000000000001E-2</v>
      </c>
      <c r="N800" s="1629">
        <v>1.3183987118632896</v>
      </c>
      <c r="O800" s="1629">
        <v>1.3257424235075033</v>
      </c>
    </row>
    <row r="801" spans="11:15">
      <c r="K801" s="1626">
        <v>42858</v>
      </c>
      <c r="L801" s="1627" t="s">
        <v>2298</v>
      </c>
      <c r="M801" s="1628">
        <v>4.1957000000000001E-2</v>
      </c>
      <c r="N801" s="1629">
        <v>1.3189518724108262</v>
      </c>
      <c r="O801" s="1629">
        <v>1.3264388492599959</v>
      </c>
    </row>
    <row r="802" spans="11:15">
      <c r="K802" s="1626">
        <v>42859</v>
      </c>
      <c r="L802" s="1627" t="s">
        <v>2298</v>
      </c>
      <c r="M802" s="1628">
        <v>4.1957000000000001E-2</v>
      </c>
      <c r="N802" s="1629">
        <v>1.3195052650479338</v>
      </c>
      <c r="O802" s="1629">
        <v>1.3271356408519006</v>
      </c>
    </row>
    <row r="803" spans="11:15">
      <c r="K803" s="1626">
        <v>42860</v>
      </c>
      <c r="L803" s="1627" t="s">
        <v>2298</v>
      </c>
      <c r="M803" s="1628">
        <v>4.1957000000000001E-2</v>
      </c>
      <c r="N803" s="1629">
        <v>1.32005888987199</v>
      </c>
      <c r="O803" s="1629">
        <v>1.3278327984753966</v>
      </c>
    </row>
    <row r="804" spans="11:15">
      <c r="K804" s="1626">
        <v>42861</v>
      </c>
      <c r="L804" s="1627"/>
      <c r="M804" s="1628">
        <v>0</v>
      </c>
      <c r="N804" s="1629">
        <v>1.32005888987199</v>
      </c>
      <c r="O804" s="1629">
        <v>1.3278327984753966</v>
      </c>
    </row>
    <row r="805" spans="11:15">
      <c r="K805" s="1626">
        <v>42862</v>
      </c>
      <c r="L805" s="1627"/>
      <c r="M805" s="1628">
        <v>0</v>
      </c>
      <c r="N805" s="1629">
        <v>1.32005888987199</v>
      </c>
      <c r="O805" s="1629">
        <v>1.3278327984753966</v>
      </c>
    </row>
    <row r="806" spans="11:15">
      <c r="K806" s="1626">
        <v>42863</v>
      </c>
      <c r="L806" s="1627" t="s">
        <v>2298</v>
      </c>
      <c r="M806" s="1628">
        <v>4.1957000000000001E-2</v>
      </c>
      <c r="N806" s="1629">
        <v>1.3206127469804136</v>
      </c>
      <c r="O806" s="1629">
        <v>1.3285303223227638</v>
      </c>
    </row>
    <row r="807" spans="11:15">
      <c r="K807" s="1626">
        <v>42864</v>
      </c>
      <c r="L807" s="1627" t="s">
        <v>2298</v>
      </c>
      <c r="M807" s="1628">
        <v>4.1957000000000001E-2</v>
      </c>
      <c r="N807" s="1629">
        <v>1.3211668364706644</v>
      </c>
      <c r="O807" s="1629">
        <v>1.3292282125863832</v>
      </c>
    </row>
    <row r="808" spans="11:15">
      <c r="K808" s="1626">
        <v>42865</v>
      </c>
      <c r="L808" s="1627" t="s">
        <v>2298</v>
      </c>
      <c r="M808" s="1628">
        <v>4.1957000000000001E-2</v>
      </c>
      <c r="N808" s="1629">
        <v>1.3217211584402424</v>
      </c>
      <c r="O808" s="1629">
        <v>1.3299264694587369</v>
      </c>
    </row>
    <row r="809" spans="11:15">
      <c r="K809" s="1626">
        <v>42866</v>
      </c>
      <c r="L809" s="1627" t="s">
        <v>2298</v>
      </c>
      <c r="M809" s="1628">
        <v>4.1957000000000001E-2</v>
      </c>
      <c r="N809" s="1629">
        <v>1.3222757129866893</v>
      </c>
      <c r="O809" s="1629">
        <v>1.3306250931324084</v>
      </c>
    </row>
    <row r="810" spans="11:15">
      <c r="K810" s="1626">
        <v>42867</v>
      </c>
      <c r="L810" s="1627" t="s">
        <v>2298</v>
      </c>
      <c r="M810" s="1628">
        <v>4.1957000000000001E-2</v>
      </c>
      <c r="N810" s="1629">
        <v>1.3228305002075873</v>
      </c>
      <c r="O810" s="1629">
        <v>1.3313240838000817</v>
      </c>
    </row>
    <row r="811" spans="11:15">
      <c r="K811" s="1626">
        <v>42868</v>
      </c>
      <c r="L811" s="1627"/>
      <c r="M811" s="1628">
        <v>0</v>
      </c>
      <c r="N811" s="1629">
        <v>1.3228305002075873</v>
      </c>
      <c r="O811" s="1629">
        <v>1.3313240838000817</v>
      </c>
    </row>
    <row r="812" spans="11:15">
      <c r="K812" s="1626">
        <v>42869</v>
      </c>
      <c r="L812" s="1627"/>
      <c r="M812" s="1628">
        <v>0</v>
      </c>
      <c r="N812" s="1629">
        <v>1.3228305002075873</v>
      </c>
      <c r="O812" s="1629">
        <v>1.3313240838000817</v>
      </c>
    </row>
    <row r="813" spans="11:15">
      <c r="K813" s="1626">
        <v>42870</v>
      </c>
      <c r="L813" s="1627" t="s">
        <v>2298</v>
      </c>
      <c r="M813" s="1628">
        <v>4.1957000000000001E-2</v>
      </c>
      <c r="N813" s="1629">
        <v>1.3233855202005596</v>
      </c>
      <c r="O813" s="1629">
        <v>1.3320234416545427</v>
      </c>
    </row>
    <row r="814" spans="11:15">
      <c r="K814" s="1626">
        <v>42871</v>
      </c>
      <c r="L814" s="1627" t="s">
        <v>2298</v>
      </c>
      <c r="M814" s="1628">
        <v>4.1957000000000001E-2</v>
      </c>
      <c r="N814" s="1629">
        <v>1.3239407730632702</v>
      </c>
      <c r="O814" s="1629">
        <v>1.3327231668886783</v>
      </c>
    </row>
    <row r="815" spans="11:15">
      <c r="K815" s="1626">
        <v>42872</v>
      </c>
      <c r="L815" s="1627" t="s">
        <v>2298</v>
      </c>
      <c r="M815" s="1628">
        <v>4.1957000000000001E-2</v>
      </c>
      <c r="N815" s="1629">
        <v>1.3244962588934244</v>
      </c>
      <c r="O815" s="1629">
        <v>1.3334232596954767</v>
      </c>
    </row>
    <row r="816" spans="11:15">
      <c r="K816" s="1626">
        <v>42873</v>
      </c>
      <c r="L816" s="1627" t="s">
        <v>2298</v>
      </c>
      <c r="M816" s="1628">
        <v>4.1957000000000001E-2</v>
      </c>
      <c r="N816" s="1629">
        <v>1.3250519777887684</v>
      </c>
      <c r="O816" s="1629">
        <v>1.3341237202680274</v>
      </c>
    </row>
    <row r="817" spans="11:15">
      <c r="K817" s="1626">
        <v>42874</v>
      </c>
      <c r="L817" s="1627" t="s">
        <v>2298</v>
      </c>
      <c r="M817" s="1628">
        <v>4.1957000000000001E-2</v>
      </c>
      <c r="N817" s="1629">
        <v>1.3256079298470893</v>
      </c>
      <c r="O817" s="1629">
        <v>1.3348245487995214</v>
      </c>
    </row>
    <row r="818" spans="11:15">
      <c r="K818" s="1626">
        <v>42875</v>
      </c>
      <c r="L818" s="1627"/>
      <c r="M818" s="1628">
        <v>0</v>
      </c>
      <c r="N818" s="1629">
        <v>1.3256079298470893</v>
      </c>
      <c r="O818" s="1629">
        <v>1.3348245487995214</v>
      </c>
    </row>
    <row r="819" spans="11:15">
      <c r="K819" s="1626">
        <v>42876</v>
      </c>
      <c r="L819" s="1627"/>
      <c r="M819" s="1628">
        <v>0</v>
      </c>
      <c r="N819" s="1629">
        <v>1.3256079298470893</v>
      </c>
      <c r="O819" s="1629">
        <v>1.3348245487995214</v>
      </c>
    </row>
    <row r="820" spans="11:15">
      <c r="K820" s="1626">
        <v>42877</v>
      </c>
      <c r="L820" s="1627" t="s">
        <v>2298</v>
      </c>
      <c r="M820" s="1628">
        <v>4.1957000000000001E-2</v>
      </c>
      <c r="N820" s="1629">
        <v>1.3261641151662154</v>
      </c>
      <c r="O820" s="1629">
        <v>1.3355257454832512</v>
      </c>
    </row>
    <row r="821" spans="11:15">
      <c r="K821" s="1626">
        <v>42878</v>
      </c>
      <c r="L821" s="1627" t="s">
        <v>2298</v>
      </c>
      <c r="M821" s="1628">
        <v>4.1957000000000001E-2</v>
      </c>
      <c r="N821" s="1629">
        <v>1.3267205338440158</v>
      </c>
      <c r="O821" s="1629">
        <v>1.336227310512611</v>
      </c>
    </row>
    <row r="822" spans="11:15">
      <c r="K822" s="1626">
        <v>42879</v>
      </c>
      <c r="L822" s="1627" t="s">
        <v>2298</v>
      </c>
      <c r="M822" s="1628">
        <v>4.1957000000000001E-2</v>
      </c>
      <c r="N822" s="1629">
        <v>1.3272771859784007</v>
      </c>
      <c r="O822" s="1629">
        <v>1.3369292440810965</v>
      </c>
    </row>
    <row r="823" spans="11:15">
      <c r="K823" s="1626">
        <v>42880</v>
      </c>
      <c r="L823" s="1627" t="s">
        <v>2298</v>
      </c>
      <c r="M823" s="1628">
        <v>4.1957000000000001E-2</v>
      </c>
      <c r="N823" s="1629">
        <v>1.3278340716673218</v>
      </c>
      <c r="O823" s="1629">
        <v>1.3376315463823047</v>
      </c>
    </row>
    <row r="824" spans="11:15">
      <c r="K824" s="1626">
        <v>42881</v>
      </c>
      <c r="L824" s="1627" t="s">
        <v>2298</v>
      </c>
      <c r="M824" s="1628">
        <v>4.1957000000000001E-2</v>
      </c>
      <c r="N824" s="1629">
        <v>1.3283911910087713</v>
      </c>
      <c r="O824" s="1629">
        <v>1.3383342176099349</v>
      </c>
    </row>
    <row r="825" spans="11:15">
      <c r="K825" s="1626">
        <v>42882</v>
      </c>
      <c r="L825" s="1627"/>
      <c r="M825" s="1628">
        <v>0</v>
      </c>
      <c r="N825" s="1629">
        <v>1.3283911910087713</v>
      </c>
      <c r="O825" s="1629">
        <v>1.3383342176099349</v>
      </c>
    </row>
    <row r="826" spans="11:15">
      <c r="K826" s="1626">
        <v>42883</v>
      </c>
      <c r="L826" s="1627"/>
      <c r="M826" s="1628">
        <v>0</v>
      </c>
      <c r="N826" s="1629">
        <v>1.3283911910087713</v>
      </c>
      <c r="O826" s="1629">
        <v>1.3383342176099349</v>
      </c>
    </row>
    <row r="827" spans="11:15">
      <c r="K827" s="1626">
        <v>42884</v>
      </c>
      <c r="L827" s="1627" t="s">
        <v>2298</v>
      </c>
      <c r="M827" s="1628">
        <v>4.1957000000000001E-2</v>
      </c>
      <c r="N827" s="1629">
        <v>1.3289485441007829</v>
      </c>
      <c r="O827" s="1629">
        <v>1.3390372579577876</v>
      </c>
    </row>
    <row r="828" spans="11:15">
      <c r="K828" s="1626">
        <v>42885</v>
      </c>
      <c r="L828" s="1627" t="s">
        <v>2298</v>
      </c>
      <c r="M828" s="1628">
        <v>4.1957000000000001E-2</v>
      </c>
      <c r="N828" s="1629">
        <v>1.3295061310414313</v>
      </c>
      <c r="O828" s="1629">
        <v>1.3397406676197654</v>
      </c>
    </row>
    <row r="829" spans="11:15">
      <c r="K829" s="1626">
        <v>42886</v>
      </c>
      <c r="L829" s="1627" t="s">
        <v>2298</v>
      </c>
      <c r="M829" s="1628">
        <v>4.1957000000000001E-2</v>
      </c>
      <c r="N829" s="1629">
        <v>1.3300639519288324</v>
      </c>
      <c r="O829" s="1629">
        <v>1.3404444467898728</v>
      </c>
    </row>
    <row r="830" spans="11:15">
      <c r="K830" s="1626">
        <v>42887</v>
      </c>
      <c r="L830" s="1627" t="s">
        <v>2298</v>
      </c>
      <c r="M830" s="1628">
        <v>3.8370000000000001E-2</v>
      </c>
      <c r="N830" s="1629">
        <v>1.3305742974671875</v>
      </c>
      <c r="O830" s="1629">
        <v>1.341148595662216</v>
      </c>
    </row>
    <row r="831" spans="11:15">
      <c r="K831" s="1626">
        <v>42888</v>
      </c>
      <c r="L831" s="1627" t="s">
        <v>2298</v>
      </c>
      <c r="M831" s="1628">
        <v>3.8370000000000001E-2</v>
      </c>
      <c r="N831" s="1629">
        <v>1.3310848388251255</v>
      </c>
      <c r="O831" s="1629">
        <v>1.3418531144310033</v>
      </c>
    </row>
    <row r="832" spans="11:15">
      <c r="K832" s="1626">
        <v>42889</v>
      </c>
      <c r="L832" s="1627"/>
      <c r="M832" s="1628">
        <v>0</v>
      </c>
      <c r="N832" s="1629">
        <v>1.3310848388251255</v>
      </c>
      <c r="O832" s="1629">
        <v>1.3418531144310033</v>
      </c>
    </row>
    <row r="833" spans="11:15">
      <c r="K833" s="1626">
        <v>42890</v>
      </c>
      <c r="L833" s="1627"/>
      <c r="M833" s="1628">
        <v>0</v>
      </c>
      <c r="N833" s="1629">
        <v>1.3310848388251255</v>
      </c>
      <c r="O833" s="1629">
        <v>1.3418531144310033</v>
      </c>
    </row>
    <row r="834" spans="11:15">
      <c r="K834" s="1626">
        <v>42891</v>
      </c>
      <c r="L834" s="1627" t="s">
        <v>2298</v>
      </c>
      <c r="M834" s="1628">
        <v>3.8370000000000001E-2</v>
      </c>
      <c r="N834" s="1629">
        <v>1.3315955760777827</v>
      </c>
      <c r="O834" s="1629">
        <v>1.3425580032905451</v>
      </c>
    </row>
    <row r="835" spans="11:15">
      <c r="K835" s="1626">
        <v>42892</v>
      </c>
      <c r="L835" s="1627" t="s">
        <v>2298</v>
      </c>
      <c r="M835" s="1628">
        <v>3.8370000000000001E-2</v>
      </c>
      <c r="N835" s="1629">
        <v>1.3321065093003237</v>
      </c>
      <c r="O835" s="1629">
        <v>1.3432632624352536</v>
      </c>
    </row>
    <row r="836" spans="11:15">
      <c r="K836" s="1626">
        <v>42893</v>
      </c>
      <c r="L836" s="1627" t="s">
        <v>2298</v>
      </c>
      <c r="M836" s="1628">
        <v>3.8370000000000001E-2</v>
      </c>
      <c r="N836" s="1629">
        <v>1.3326176385679422</v>
      </c>
      <c r="O836" s="1629">
        <v>1.3439688920596435</v>
      </c>
    </row>
    <row r="837" spans="11:15">
      <c r="K837" s="1626">
        <v>42894</v>
      </c>
      <c r="L837" s="1627" t="s">
        <v>2298</v>
      </c>
      <c r="M837" s="1628">
        <v>3.8370000000000001E-2</v>
      </c>
      <c r="N837" s="1629">
        <v>1.3331289639558608</v>
      </c>
      <c r="O837" s="1629">
        <v>1.3446748923583314</v>
      </c>
    </row>
    <row r="838" spans="11:15">
      <c r="K838" s="1626">
        <v>42895</v>
      </c>
      <c r="L838" s="1627" t="s">
        <v>2298</v>
      </c>
      <c r="M838" s="1628">
        <v>3.8370000000000001E-2</v>
      </c>
      <c r="N838" s="1629">
        <v>1.3336404855393307</v>
      </c>
      <c r="O838" s="1629">
        <v>1.345381263526036</v>
      </c>
    </row>
    <row r="839" spans="11:15">
      <c r="K839" s="1626">
        <v>42896</v>
      </c>
      <c r="L839" s="1627"/>
      <c r="M839" s="1628">
        <v>0</v>
      </c>
      <c r="N839" s="1629">
        <v>1.3336404855393307</v>
      </c>
      <c r="O839" s="1629">
        <v>1.345381263526036</v>
      </c>
    </row>
    <row r="840" spans="11:15">
      <c r="K840" s="1626">
        <v>42897</v>
      </c>
      <c r="L840" s="1627"/>
      <c r="M840" s="1628">
        <v>0</v>
      </c>
      <c r="N840" s="1629">
        <v>1.3336404855393307</v>
      </c>
      <c r="O840" s="1629">
        <v>1.345381263526036</v>
      </c>
    </row>
    <row r="841" spans="11:15">
      <c r="K841" s="1626">
        <v>42898</v>
      </c>
      <c r="L841" s="1627" t="s">
        <v>2298</v>
      </c>
      <c r="M841" s="1628">
        <v>3.8370000000000001E-2</v>
      </c>
      <c r="N841" s="1629">
        <v>1.3341522033936322</v>
      </c>
      <c r="O841" s="1629">
        <v>1.3460880057575788</v>
      </c>
    </row>
    <row r="842" spans="11:15">
      <c r="K842" s="1626">
        <v>42899</v>
      </c>
      <c r="L842" s="1627" t="s">
        <v>2298</v>
      </c>
      <c r="M842" s="1628">
        <v>3.8370000000000001E-2</v>
      </c>
      <c r="N842" s="1629">
        <v>1.3346641175940743</v>
      </c>
      <c r="O842" s="1629">
        <v>1.3467951192478833</v>
      </c>
    </row>
    <row r="843" spans="11:15">
      <c r="K843" s="1626">
        <v>42900</v>
      </c>
      <c r="L843" s="1627" t="s">
        <v>2298</v>
      </c>
      <c r="M843" s="1628">
        <v>3.8370000000000001E-2</v>
      </c>
      <c r="N843" s="1629">
        <v>1.3351762282159951</v>
      </c>
      <c r="O843" s="1629">
        <v>1.3475026041919753</v>
      </c>
    </row>
    <row r="844" spans="11:15">
      <c r="K844" s="1626">
        <v>42901</v>
      </c>
      <c r="L844" s="1627"/>
      <c r="M844" s="1628">
        <v>0</v>
      </c>
      <c r="N844" s="1629">
        <v>1.3351762282159951</v>
      </c>
      <c r="O844" s="1629">
        <v>1.3475026041919753</v>
      </c>
    </row>
    <row r="845" spans="11:15">
      <c r="K845" s="1626">
        <v>42902</v>
      </c>
      <c r="L845" s="1627" t="s">
        <v>2298</v>
      </c>
      <c r="M845" s="1628">
        <v>3.8370000000000001E-2</v>
      </c>
      <c r="N845" s="1629">
        <v>1.3356885353347616</v>
      </c>
      <c r="O845" s="1629">
        <v>1.3482104607849834</v>
      </c>
    </row>
    <row r="846" spans="11:15">
      <c r="K846" s="1626">
        <v>42903</v>
      </c>
      <c r="L846" s="1627"/>
      <c r="M846" s="1628">
        <v>0</v>
      </c>
      <c r="N846" s="1629">
        <v>1.3356885353347616</v>
      </c>
      <c r="O846" s="1629">
        <v>1.3482104607849834</v>
      </c>
    </row>
    <row r="847" spans="11:15">
      <c r="K847" s="1626">
        <v>42904</v>
      </c>
      <c r="L847" s="1627"/>
      <c r="M847" s="1628">
        <v>0</v>
      </c>
      <c r="N847" s="1629">
        <v>1.3356885353347616</v>
      </c>
      <c r="O847" s="1629">
        <v>1.3482104607849834</v>
      </c>
    </row>
    <row r="848" spans="11:15">
      <c r="K848" s="1626">
        <v>42905</v>
      </c>
      <c r="L848" s="1627" t="s">
        <v>2298</v>
      </c>
      <c r="M848" s="1628">
        <v>3.8370000000000001E-2</v>
      </c>
      <c r="N848" s="1629">
        <v>1.3362010390257695</v>
      </c>
      <c r="O848" s="1629">
        <v>1.3489186892221383</v>
      </c>
    </row>
    <row r="849" spans="11:15">
      <c r="K849" s="1626">
        <v>42906</v>
      </c>
      <c r="L849" s="1627" t="s">
        <v>2298</v>
      </c>
      <c r="M849" s="1628">
        <v>3.8370000000000001E-2</v>
      </c>
      <c r="N849" s="1629">
        <v>1.3367137393644437</v>
      </c>
      <c r="O849" s="1629">
        <v>1.3496272896987735</v>
      </c>
    </row>
    <row r="850" spans="11:15">
      <c r="K850" s="1626">
        <v>42907</v>
      </c>
      <c r="L850" s="1627" t="s">
        <v>2298</v>
      </c>
      <c r="M850" s="1628">
        <v>3.8370000000000001E-2</v>
      </c>
      <c r="N850" s="1629">
        <v>1.3372266364262377</v>
      </c>
      <c r="O850" s="1629">
        <v>1.3503362624103252</v>
      </c>
    </row>
    <row r="851" spans="11:15">
      <c r="K851" s="1626">
        <v>42908</v>
      </c>
      <c r="L851" s="1627" t="s">
        <v>2298</v>
      </c>
      <c r="M851" s="1628">
        <v>3.8370000000000001E-2</v>
      </c>
      <c r="N851" s="1629">
        <v>1.3377397302866345</v>
      </c>
      <c r="O851" s="1629">
        <v>1.3510456075523321</v>
      </c>
    </row>
    <row r="852" spans="11:15">
      <c r="K852" s="1626">
        <v>42909</v>
      </c>
      <c r="L852" s="1627" t="s">
        <v>2298</v>
      </c>
      <c r="M852" s="1628">
        <v>3.8370000000000001E-2</v>
      </c>
      <c r="N852" s="1629">
        <v>1.3382530210211454</v>
      </c>
      <c r="O852" s="1629">
        <v>1.3517553253204353</v>
      </c>
    </row>
    <row r="853" spans="11:15">
      <c r="K853" s="1626">
        <v>42910</v>
      </c>
      <c r="L853" s="1627"/>
      <c r="M853" s="1628">
        <v>0</v>
      </c>
      <c r="N853" s="1629">
        <v>1.3382530210211454</v>
      </c>
      <c r="O853" s="1629">
        <v>1.3517553253204353</v>
      </c>
    </row>
    <row r="854" spans="11:15">
      <c r="K854" s="1626">
        <v>42911</v>
      </c>
      <c r="L854" s="1627"/>
      <c r="M854" s="1628">
        <v>0</v>
      </c>
      <c r="N854" s="1629">
        <v>1.3382530210211454</v>
      </c>
      <c r="O854" s="1629">
        <v>1.3517553253204353</v>
      </c>
    </row>
    <row r="855" spans="11:15">
      <c r="K855" s="1626">
        <v>42912</v>
      </c>
      <c r="L855" s="1627" t="s">
        <v>2298</v>
      </c>
      <c r="M855" s="1628">
        <v>3.8370000000000001E-2</v>
      </c>
      <c r="N855" s="1629">
        <v>1.3387665087053111</v>
      </c>
      <c r="O855" s="1629">
        <v>1.3524654159103793</v>
      </c>
    </row>
    <row r="856" spans="11:15">
      <c r="K856" s="1626">
        <v>42913</v>
      </c>
      <c r="L856" s="1627" t="s">
        <v>2298</v>
      </c>
      <c r="M856" s="1628">
        <v>3.8370000000000001E-2</v>
      </c>
      <c r="N856" s="1629">
        <v>1.3392801934147014</v>
      </c>
      <c r="O856" s="1629">
        <v>1.3531758795180111</v>
      </c>
    </row>
    <row r="857" spans="11:15">
      <c r="K857" s="1626">
        <v>42914</v>
      </c>
      <c r="L857" s="1627" t="s">
        <v>2298</v>
      </c>
      <c r="M857" s="1628">
        <v>3.8370000000000001E-2</v>
      </c>
      <c r="N857" s="1629">
        <v>1.3397940752249147</v>
      </c>
      <c r="O857" s="1629">
        <v>1.3538867163392807</v>
      </c>
    </row>
    <row r="858" spans="11:15">
      <c r="K858" s="1626">
        <v>42915</v>
      </c>
      <c r="L858" s="1627" t="s">
        <v>2298</v>
      </c>
      <c r="M858" s="1628">
        <v>3.8370000000000001E-2</v>
      </c>
      <c r="N858" s="1629">
        <v>1.3403081542115785</v>
      </c>
      <c r="O858" s="1629">
        <v>1.3545979265702408</v>
      </c>
    </row>
    <row r="859" spans="11:15">
      <c r="K859" s="1626">
        <v>42916</v>
      </c>
      <c r="L859" s="1627" t="s">
        <v>2298</v>
      </c>
      <c r="M859" s="1628">
        <v>3.8370000000000001E-2</v>
      </c>
      <c r="N859" s="1629">
        <v>1.3408224304503493</v>
      </c>
      <c r="O859" s="1629">
        <v>1.3553095104070474</v>
      </c>
    </row>
    <row r="860" spans="11:15">
      <c r="K860" s="1626">
        <v>42917</v>
      </c>
      <c r="L860" s="1627"/>
      <c r="M860" s="1628">
        <v>0</v>
      </c>
      <c r="N860" s="1629">
        <v>1.3408224304503493</v>
      </c>
      <c r="O860" s="1629">
        <v>1.3553095104070474</v>
      </c>
    </row>
    <row r="861" spans="11:15">
      <c r="K861" s="1626">
        <v>42918</v>
      </c>
      <c r="L861" s="1627"/>
      <c r="M861" s="1628">
        <v>0</v>
      </c>
      <c r="N861" s="1629">
        <v>1.3408224304503493</v>
      </c>
      <c r="O861" s="1629">
        <v>1.3553095104070474</v>
      </c>
    </row>
    <row r="862" spans="11:15">
      <c r="K862" s="1626">
        <v>42919</v>
      </c>
      <c r="L862" s="1627" t="s">
        <v>2298</v>
      </c>
      <c r="M862" s="1628">
        <v>3.8370000000000001E-2</v>
      </c>
      <c r="N862" s="1629">
        <v>1.3413369040169132</v>
      </c>
      <c r="O862" s="1629">
        <v>1.3560214680459592</v>
      </c>
    </row>
    <row r="863" spans="11:15">
      <c r="K863" s="1626">
        <v>42920</v>
      </c>
      <c r="L863" s="1627" t="s">
        <v>2298</v>
      </c>
      <c r="M863" s="1628">
        <v>3.8370000000000001E-2</v>
      </c>
      <c r="N863" s="1629">
        <v>1.3418515749869844</v>
      </c>
      <c r="O863" s="1629">
        <v>1.3567337996833384</v>
      </c>
    </row>
    <row r="864" spans="11:15">
      <c r="K864" s="1626">
        <v>42921</v>
      </c>
      <c r="L864" s="1627" t="s">
        <v>2298</v>
      </c>
      <c r="M864" s="1628">
        <v>3.8370000000000001E-2</v>
      </c>
      <c r="N864" s="1629">
        <v>1.342366443436307</v>
      </c>
      <c r="O864" s="1629">
        <v>1.3574465055156502</v>
      </c>
    </row>
    <row r="865" spans="11:15">
      <c r="K865" s="1626">
        <v>42922</v>
      </c>
      <c r="L865" s="1627" t="s">
        <v>2298</v>
      </c>
      <c r="M865" s="1628">
        <v>3.8370000000000001E-2</v>
      </c>
      <c r="N865" s="1629">
        <v>1.3428815094406534</v>
      </c>
      <c r="O865" s="1629">
        <v>1.3581595857394626</v>
      </c>
    </row>
    <row r="866" spans="11:15">
      <c r="K866" s="1626">
        <v>42923</v>
      </c>
      <c r="L866" s="1627" t="s">
        <v>2298</v>
      </c>
      <c r="M866" s="1628">
        <v>3.8370000000000001E-2</v>
      </c>
      <c r="N866" s="1629">
        <v>1.3433967730758258</v>
      </c>
      <c r="O866" s="1629">
        <v>1.3588730405514473</v>
      </c>
    </row>
    <row r="867" spans="11:15">
      <c r="K867" s="1626">
        <v>42924</v>
      </c>
      <c r="L867" s="1627"/>
      <c r="M867" s="1628">
        <v>0</v>
      </c>
      <c r="N867" s="1629">
        <v>1.3433967730758258</v>
      </c>
      <c r="O867" s="1629">
        <v>1.3588730405514473</v>
      </c>
    </row>
    <row r="868" spans="11:15">
      <c r="K868" s="1626">
        <v>42925</v>
      </c>
      <c r="L868" s="1627"/>
      <c r="M868" s="1628">
        <v>0</v>
      </c>
      <c r="N868" s="1629">
        <v>1.3433967730758258</v>
      </c>
      <c r="O868" s="1629">
        <v>1.3588730405514473</v>
      </c>
    </row>
    <row r="869" spans="11:15">
      <c r="K869" s="1626">
        <v>42926</v>
      </c>
      <c r="L869" s="1627" t="s">
        <v>2298</v>
      </c>
      <c r="M869" s="1628">
        <v>3.8370000000000001E-2</v>
      </c>
      <c r="N869" s="1629">
        <v>1.3439122344176551</v>
      </c>
      <c r="O869" s="1629">
        <v>1.3595868701483793</v>
      </c>
    </row>
    <row r="870" spans="11:15">
      <c r="K870" s="1626">
        <v>42927</v>
      </c>
      <c r="L870" s="1627" t="s">
        <v>2298</v>
      </c>
      <c r="M870" s="1628">
        <v>3.8370000000000001E-2</v>
      </c>
      <c r="N870" s="1629">
        <v>1.3444278935420011</v>
      </c>
      <c r="O870" s="1629">
        <v>1.3603010747271369</v>
      </c>
    </row>
    <row r="871" spans="11:15">
      <c r="K871" s="1626">
        <v>42928</v>
      </c>
      <c r="L871" s="1627" t="s">
        <v>2298</v>
      </c>
      <c r="M871" s="1628">
        <v>3.8370000000000001E-2</v>
      </c>
      <c r="N871" s="1629">
        <v>1.3449437505247532</v>
      </c>
      <c r="O871" s="1629">
        <v>1.3610156544847019</v>
      </c>
    </row>
    <row r="872" spans="11:15">
      <c r="K872" s="1626">
        <v>42929</v>
      </c>
      <c r="L872" s="1627" t="s">
        <v>2298</v>
      </c>
      <c r="M872" s="1628">
        <v>3.8370000000000001E-2</v>
      </c>
      <c r="N872" s="1629">
        <v>1.3454598054418296</v>
      </c>
      <c r="O872" s="1629">
        <v>1.3617306096181592</v>
      </c>
    </row>
    <row r="873" spans="11:15">
      <c r="K873" s="1626">
        <v>42930</v>
      </c>
      <c r="L873" s="1627" t="s">
        <v>2298</v>
      </c>
      <c r="M873" s="1628">
        <v>3.8370000000000001E-2</v>
      </c>
      <c r="N873" s="1629">
        <v>1.3459760583691776</v>
      </c>
      <c r="O873" s="1629">
        <v>1.3624459403246978</v>
      </c>
    </row>
    <row r="874" spans="11:15">
      <c r="K874" s="1626">
        <v>42931</v>
      </c>
      <c r="L874" s="1627"/>
      <c r="M874" s="1628">
        <v>0</v>
      </c>
      <c r="N874" s="1629">
        <v>1.3459760583691776</v>
      </c>
      <c r="O874" s="1629">
        <v>1.3624459403246978</v>
      </c>
    </row>
    <row r="875" spans="11:15">
      <c r="K875" s="1626">
        <v>42932</v>
      </c>
      <c r="L875" s="1627"/>
      <c r="M875" s="1628">
        <v>0</v>
      </c>
      <c r="N875" s="1629">
        <v>1.3459760583691776</v>
      </c>
      <c r="O875" s="1629">
        <v>1.3624459403246978</v>
      </c>
    </row>
    <row r="876" spans="11:15">
      <c r="K876" s="1626">
        <v>42933</v>
      </c>
      <c r="L876" s="1627" t="s">
        <v>2298</v>
      </c>
      <c r="M876" s="1628">
        <v>3.8370000000000001E-2</v>
      </c>
      <c r="N876" s="1629">
        <v>1.3464925093827738</v>
      </c>
      <c r="O876" s="1629">
        <v>1.3631616468016097</v>
      </c>
    </row>
    <row r="877" spans="11:15">
      <c r="K877" s="1626">
        <v>42934</v>
      </c>
      <c r="L877" s="1627" t="s">
        <v>2298</v>
      </c>
      <c r="M877" s="1628">
        <v>3.8370000000000001E-2</v>
      </c>
      <c r="N877" s="1629">
        <v>1.3470091585586239</v>
      </c>
      <c r="O877" s="1629">
        <v>1.3638777292462911</v>
      </c>
    </row>
    <row r="878" spans="11:15">
      <c r="K878" s="1626">
        <v>42935</v>
      </c>
      <c r="L878" s="1627" t="s">
        <v>2298</v>
      </c>
      <c r="M878" s="1628">
        <v>3.8370000000000001E-2</v>
      </c>
      <c r="N878" s="1629">
        <v>1.3475260059727627</v>
      </c>
      <c r="O878" s="1629">
        <v>1.3645941878562415</v>
      </c>
    </row>
    <row r="879" spans="11:15">
      <c r="K879" s="1626">
        <v>42936</v>
      </c>
      <c r="L879" s="1627" t="s">
        <v>2298</v>
      </c>
      <c r="M879" s="1628">
        <v>3.8370000000000001E-2</v>
      </c>
      <c r="N879" s="1629">
        <v>1.3480430517012545</v>
      </c>
      <c r="O879" s="1629">
        <v>1.3653110228290644</v>
      </c>
    </row>
    <row r="880" spans="11:15">
      <c r="K880" s="1626">
        <v>42937</v>
      </c>
      <c r="L880" s="1627" t="s">
        <v>2298</v>
      </c>
      <c r="M880" s="1628">
        <v>3.8370000000000001E-2</v>
      </c>
      <c r="N880" s="1629">
        <v>1.3485602958201923</v>
      </c>
      <c r="O880" s="1629">
        <v>1.3660282343624668</v>
      </c>
    </row>
    <row r="881" spans="11:15">
      <c r="K881" s="1626">
        <v>42938</v>
      </c>
      <c r="L881" s="1627"/>
      <c r="M881" s="1628">
        <v>0</v>
      </c>
      <c r="N881" s="1629">
        <v>1.3485602958201923</v>
      </c>
      <c r="O881" s="1629">
        <v>1.3660282343624668</v>
      </c>
    </row>
    <row r="882" spans="11:15">
      <c r="K882" s="1626">
        <v>42939</v>
      </c>
      <c r="L882" s="1627"/>
      <c r="M882" s="1628">
        <v>0</v>
      </c>
      <c r="N882" s="1629">
        <v>1.3485602958201923</v>
      </c>
      <c r="O882" s="1629">
        <v>1.3660282343624668</v>
      </c>
    </row>
    <row r="883" spans="11:15">
      <c r="K883" s="1626">
        <v>42940</v>
      </c>
      <c r="L883" s="1627" t="s">
        <v>2298</v>
      </c>
      <c r="M883" s="1628">
        <v>3.8370000000000001E-2</v>
      </c>
      <c r="N883" s="1629">
        <v>1.3490777384056984</v>
      </c>
      <c r="O883" s="1629">
        <v>1.3667458226542597</v>
      </c>
    </row>
    <row r="884" spans="11:15">
      <c r="K884" s="1626">
        <v>42941</v>
      </c>
      <c r="L884" s="1627" t="s">
        <v>2298</v>
      </c>
      <c r="M884" s="1628">
        <v>3.8370000000000001E-2</v>
      </c>
      <c r="N884" s="1629">
        <v>1.3495953795339246</v>
      </c>
      <c r="O884" s="1629">
        <v>1.3674637879023581</v>
      </c>
    </row>
    <row r="885" spans="11:15">
      <c r="K885" s="1626">
        <v>42942</v>
      </c>
      <c r="L885" s="1627" t="s">
        <v>2298</v>
      </c>
      <c r="M885" s="1628">
        <v>3.8370000000000001E-2</v>
      </c>
      <c r="N885" s="1629">
        <v>1.3501132192810517</v>
      </c>
      <c r="O885" s="1629">
        <v>1.3681821303047812</v>
      </c>
    </row>
    <row r="886" spans="11:15">
      <c r="K886" s="1626">
        <v>42943</v>
      </c>
      <c r="L886" s="1627" t="s">
        <v>2298</v>
      </c>
      <c r="M886" s="1628">
        <v>3.4749000000000002E-2</v>
      </c>
      <c r="N886" s="1629">
        <v>1.3505823701236197</v>
      </c>
      <c r="O886" s="1629">
        <v>1.3689008500596516</v>
      </c>
    </row>
    <row r="887" spans="11:15">
      <c r="K887" s="1626">
        <v>42944</v>
      </c>
      <c r="L887" s="1627" t="s">
        <v>2298</v>
      </c>
      <c r="M887" s="1628">
        <v>3.4749000000000002E-2</v>
      </c>
      <c r="N887" s="1629">
        <v>1.351051683991414</v>
      </c>
      <c r="O887" s="1629">
        <v>1.3696199473651964</v>
      </c>
    </row>
    <row r="888" spans="11:15">
      <c r="K888" s="1626">
        <v>42945</v>
      </c>
      <c r="L888" s="1627"/>
      <c r="M888" s="1628">
        <v>0</v>
      </c>
      <c r="N888" s="1629">
        <v>1.351051683991414</v>
      </c>
      <c r="O888" s="1629">
        <v>1.3696199473651964</v>
      </c>
    </row>
    <row r="889" spans="11:15">
      <c r="K889" s="1626">
        <v>42946</v>
      </c>
      <c r="L889" s="1627"/>
      <c r="M889" s="1628">
        <v>0</v>
      </c>
      <c r="N889" s="1629">
        <v>1.351051683991414</v>
      </c>
      <c r="O889" s="1629">
        <v>1.3696199473651964</v>
      </c>
    </row>
    <row r="890" spans="11:15">
      <c r="K890" s="1626">
        <v>42947</v>
      </c>
      <c r="L890" s="1627" t="s">
        <v>2298</v>
      </c>
      <c r="M890" s="1628">
        <v>3.4749000000000002E-2</v>
      </c>
      <c r="N890" s="1629">
        <v>1.3515211609410842</v>
      </c>
      <c r="O890" s="1629">
        <v>1.3703394224197469</v>
      </c>
    </row>
    <row r="891" spans="11:15">
      <c r="K891" s="1626">
        <v>42948</v>
      </c>
      <c r="L891" s="1627" t="s">
        <v>2298</v>
      </c>
      <c r="M891" s="1628">
        <v>3.4749000000000002E-2</v>
      </c>
      <c r="N891" s="1629">
        <v>1.3519908010292996</v>
      </c>
      <c r="O891" s="1629">
        <v>1.3710592754217383</v>
      </c>
    </row>
    <row r="892" spans="11:15">
      <c r="K892" s="1626">
        <v>42949</v>
      </c>
      <c r="L892" s="1627" t="s">
        <v>2298</v>
      </c>
      <c r="M892" s="1628">
        <v>3.4749000000000002E-2</v>
      </c>
      <c r="N892" s="1629">
        <v>1.3524606043127492</v>
      </c>
      <c r="O892" s="1629">
        <v>1.37177950656971</v>
      </c>
    </row>
    <row r="893" spans="11:15">
      <c r="K893" s="1626">
        <v>42950</v>
      </c>
      <c r="L893" s="1627" t="s">
        <v>2298</v>
      </c>
      <c r="M893" s="1628">
        <v>3.4749000000000002E-2</v>
      </c>
      <c r="N893" s="1629">
        <v>1.3529305708481418</v>
      </c>
      <c r="O893" s="1629">
        <v>1.3725001160623063</v>
      </c>
    </row>
    <row r="894" spans="11:15">
      <c r="K894" s="1626">
        <v>42951</v>
      </c>
      <c r="L894" s="1627" t="s">
        <v>2298</v>
      </c>
      <c r="M894" s="1628">
        <v>3.4749000000000002E-2</v>
      </c>
      <c r="N894" s="1629">
        <v>1.353400700692206</v>
      </c>
      <c r="O894" s="1629">
        <v>1.3732211040982749</v>
      </c>
    </row>
    <row r="895" spans="11:15">
      <c r="K895" s="1626">
        <v>42952</v>
      </c>
      <c r="L895" s="1627"/>
      <c r="M895" s="1628">
        <v>0</v>
      </c>
      <c r="N895" s="1629">
        <v>1.353400700692206</v>
      </c>
      <c r="O895" s="1629">
        <v>1.3732211040982749</v>
      </c>
    </row>
    <row r="896" spans="11:15">
      <c r="K896" s="1626">
        <v>42953</v>
      </c>
      <c r="L896" s="1627"/>
      <c r="M896" s="1628">
        <v>0</v>
      </c>
      <c r="N896" s="1629">
        <v>1.353400700692206</v>
      </c>
      <c r="O896" s="1629">
        <v>1.3732211040982749</v>
      </c>
    </row>
    <row r="897" spans="11:15">
      <c r="K897" s="1626">
        <v>42954</v>
      </c>
      <c r="L897" s="1627" t="s">
        <v>2298</v>
      </c>
      <c r="M897" s="1628">
        <v>3.4749000000000002E-2</v>
      </c>
      <c r="N897" s="1629">
        <v>1.3538709939016895</v>
      </c>
      <c r="O897" s="1629">
        <v>1.3739424708764687</v>
      </c>
    </row>
    <row r="898" spans="11:15">
      <c r="K898" s="1626">
        <v>42955</v>
      </c>
      <c r="L898" s="1627" t="s">
        <v>2298</v>
      </c>
      <c r="M898" s="1628">
        <v>3.4749000000000002E-2</v>
      </c>
      <c r="N898" s="1629">
        <v>1.3543414505333604</v>
      </c>
      <c r="O898" s="1629">
        <v>1.3746642165958449</v>
      </c>
    </row>
    <row r="899" spans="11:15">
      <c r="K899" s="1626">
        <v>42956</v>
      </c>
      <c r="L899" s="1627" t="s">
        <v>2298</v>
      </c>
      <c r="M899" s="1628">
        <v>3.4749000000000002E-2</v>
      </c>
      <c r="N899" s="1629">
        <v>1.3548120706440063</v>
      </c>
      <c r="O899" s="1629">
        <v>1.3753863414554648</v>
      </c>
    </row>
    <row r="900" spans="11:15">
      <c r="K900" s="1626">
        <v>42957</v>
      </c>
      <c r="L900" s="1627" t="s">
        <v>2298</v>
      </c>
      <c r="M900" s="1628">
        <v>3.4749000000000002E-2</v>
      </c>
      <c r="N900" s="1629">
        <v>1.3552828542904345</v>
      </c>
      <c r="O900" s="1629">
        <v>1.3761088456544948</v>
      </c>
    </row>
    <row r="901" spans="11:15">
      <c r="K901" s="1626">
        <v>42958</v>
      </c>
      <c r="L901" s="1627" t="s">
        <v>2298</v>
      </c>
      <c r="M901" s="1628">
        <v>3.4749000000000002E-2</v>
      </c>
      <c r="N901" s="1629">
        <v>1.3557538015294719</v>
      </c>
      <c r="O901" s="1629">
        <v>1.3768317293922054</v>
      </c>
    </row>
    <row r="902" spans="11:15">
      <c r="K902" s="1626">
        <v>42959</v>
      </c>
      <c r="L902" s="1627"/>
      <c r="M902" s="1628">
        <v>0</v>
      </c>
      <c r="N902" s="1629">
        <v>1.3557538015294719</v>
      </c>
      <c r="O902" s="1629">
        <v>1.3768317293922054</v>
      </c>
    </row>
    <row r="903" spans="11:15">
      <c r="K903" s="1626">
        <v>42960</v>
      </c>
      <c r="L903" s="1627"/>
      <c r="M903" s="1628">
        <v>0</v>
      </c>
      <c r="N903" s="1629">
        <v>1.3557538015294719</v>
      </c>
      <c r="O903" s="1629">
        <v>1.3768317293922054</v>
      </c>
    </row>
    <row r="904" spans="11:15">
      <c r="K904" s="1626">
        <v>42961</v>
      </c>
      <c r="L904" s="1627" t="s">
        <v>2298</v>
      </c>
      <c r="M904" s="1628">
        <v>3.4749000000000002E-2</v>
      </c>
      <c r="N904" s="1629">
        <v>1.3562249124179653</v>
      </c>
      <c r="O904" s="1629">
        <v>1.3775549928679724</v>
      </c>
    </row>
    <row r="905" spans="11:15">
      <c r="K905" s="1626">
        <v>42962</v>
      </c>
      <c r="L905" s="1627" t="s">
        <v>2298</v>
      </c>
      <c r="M905" s="1628">
        <v>3.4749000000000002E-2</v>
      </c>
      <c r="N905" s="1629">
        <v>1.3566961870127814</v>
      </c>
      <c r="O905" s="1629">
        <v>1.378278636281276</v>
      </c>
    </row>
    <row r="906" spans="11:15">
      <c r="K906" s="1626">
        <v>42963</v>
      </c>
      <c r="L906" s="1627" t="s">
        <v>2298</v>
      </c>
      <c r="M906" s="1628">
        <v>3.4749000000000002E-2</v>
      </c>
      <c r="N906" s="1629">
        <v>1.3571676253708065</v>
      </c>
      <c r="O906" s="1629">
        <v>1.3790026598317009</v>
      </c>
    </row>
    <row r="907" spans="11:15">
      <c r="K907" s="1626">
        <v>42964</v>
      </c>
      <c r="L907" s="1627" t="s">
        <v>2298</v>
      </c>
      <c r="M907" s="1628">
        <v>3.4749000000000002E-2</v>
      </c>
      <c r="N907" s="1629">
        <v>1.3576392275489466</v>
      </c>
      <c r="O907" s="1629">
        <v>1.3797270637189372</v>
      </c>
    </row>
    <row r="908" spans="11:15">
      <c r="K908" s="1626">
        <v>42965</v>
      </c>
      <c r="L908" s="1627" t="s">
        <v>2298</v>
      </c>
      <c r="M908" s="1628">
        <v>3.4749000000000002E-2</v>
      </c>
      <c r="N908" s="1629">
        <v>1.3581109936041276</v>
      </c>
      <c r="O908" s="1629">
        <v>1.3804518481427794</v>
      </c>
    </row>
    <row r="909" spans="11:15">
      <c r="K909" s="1626">
        <v>42966</v>
      </c>
      <c r="L909" s="1627"/>
      <c r="M909" s="1628">
        <v>0</v>
      </c>
      <c r="N909" s="1629">
        <v>1.3581109936041276</v>
      </c>
      <c r="O909" s="1629">
        <v>1.3804518481427794</v>
      </c>
    </row>
    <row r="910" spans="11:15">
      <c r="K910" s="1626">
        <v>42967</v>
      </c>
      <c r="L910" s="1627"/>
      <c r="M910" s="1628">
        <v>0</v>
      </c>
      <c r="N910" s="1629">
        <v>1.3581109936041276</v>
      </c>
      <c r="O910" s="1629">
        <v>1.3804518481427794</v>
      </c>
    </row>
    <row r="911" spans="11:15">
      <c r="K911" s="1626">
        <v>42968</v>
      </c>
      <c r="L911" s="1627" t="s">
        <v>2298</v>
      </c>
      <c r="M911" s="1628">
        <v>3.4749000000000002E-2</v>
      </c>
      <c r="N911" s="1629">
        <v>1.3585829235932951</v>
      </c>
      <c r="O911" s="1629">
        <v>1.3811770133031274</v>
      </c>
    </row>
    <row r="912" spans="11:15">
      <c r="K912" s="1626">
        <v>42969</v>
      </c>
      <c r="L912" s="1627" t="s">
        <v>2298</v>
      </c>
      <c r="M912" s="1628">
        <v>3.4749000000000002E-2</v>
      </c>
      <c r="N912" s="1629">
        <v>1.3590550175734146</v>
      </c>
      <c r="O912" s="1629">
        <v>1.3819025593999856</v>
      </c>
    </row>
    <row r="913" spans="11:15">
      <c r="K913" s="1626">
        <v>42970</v>
      </c>
      <c r="L913" s="1627" t="s">
        <v>2298</v>
      </c>
      <c r="M913" s="1628">
        <v>3.4749000000000002E-2</v>
      </c>
      <c r="N913" s="1629">
        <v>1.3595272756014711</v>
      </c>
      <c r="O913" s="1629">
        <v>1.3826284866334639</v>
      </c>
    </row>
    <row r="914" spans="11:15">
      <c r="K914" s="1626">
        <v>42971</v>
      </c>
      <c r="L914" s="1627" t="s">
        <v>2298</v>
      </c>
      <c r="M914" s="1628">
        <v>3.4749000000000002E-2</v>
      </c>
      <c r="N914" s="1629">
        <v>1.3599996977344699</v>
      </c>
      <c r="O914" s="1629">
        <v>1.3833547952037775</v>
      </c>
    </row>
    <row r="915" spans="11:15">
      <c r="K915" s="1626">
        <v>42972</v>
      </c>
      <c r="L915" s="1627" t="s">
        <v>2298</v>
      </c>
      <c r="M915" s="1628">
        <v>3.4749000000000002E-2</v>
      </c>
      <c r="N915" s="1629">
        <v>1.3604722840294357</v>
      </c>
      <c r="O915" s="1629">
        <v>1.384081485311246</v>
      </c>
    </row>
    <row r="916" spans="11:15">
      <c r="K916" s="1626">
        <v>42973</v>
      </c>
      <c r="L916" s="1627"/>
      <c r="M916" s="1628">
        <v>0</v>
      </c>
      <c r="N916" s="1629">
        <v>1.3604722840294357</v>
      </c>
      <c r="O916" s="1629">
        <v>1.384081485311246</v>
      </c>
    </row>
    <row r="917" spans="11:15">
      <c r="K917" s="1626">
        <v>42974</v>
      </c>
      <c r="L917" s="1627"/>
      <c r="M917" s="1628">
        <v>0</v>
      </c>
      <c r="N917" s="1629">
        <v>1.3604722840294357</v>
      </c>
      <c r="O917" s="1629">
        <v>1.384081485311246</v>
      </c>
    </row>
    <row r="918" spans="11:15">
      <c r="K918" s="1626">
        <v>42975</v>
      </c>
      <c r="L918" s="1627" t="s">
        <v>2298</v>
      </c>
      <c r="M918" s="1628">
        <v>3.4749000000000002E-2</v>
      </c>
      <c r="N918" s="1629">
        <v>1.3609450345434131</v>
      </c>
      <c r="O918" s="1629">
        <v>1.3848085571562949</v>
      </c>
    </row>
    <row r="919" spans="11:15">
      <c r="K919" s="1626">
        <v>42976</v>
      </c>
      <c r="L919" s="1627" t="s">
        <v>2298</v>
      </c>
      <c r="M919" s="1628">
        <v>3.4749000000000002E-2</v>
      </c>
      <c r="N919" s="1629">
        <v>1.3614179493334666</v>
      </c>
      <c r="O919" s="1629">
        <v>1.3855360109394548</v>
      </c>
    </row>
    <row r="920" spans="11:15">
      <c r="K920" s="1626">
        <v>42977</v>
      </c>
      <c r="L920" s="1627" t="s">
        <v>2298</v>
      </c>
      <c r="M920" s="1628">
        <v>3.4749000000000002E-2</v>
      </c>
      <c r="N920" s="1629">
        <v>1.3618910284566805</v>
      </c>
      <c r="O920" s="1629">
        <v>1.3862638468613613</v>
      </c>
    </row>
    <row r="921" spans="11:15">
      <c r="K921" s="1626">
        <v>42978</v>
      </c>
      <c r="L921" s="1627" t="s">
        <v>2298</v>
      </c>
      <c r="M921" s="1628">
        <v>3.4749000000000002E-2</v>
      </c>
      <c r="N921" s="1629">
        <v>1.362364271970159</v>
      </c>
      <c r="O921" s="1629">
        <v>1.3869920651227561</v>
      </c>
    </row>
    <row r="922" spans="11:15">
      <c r="K922" s="1626">
        <v>42979</v>
      </c>
      <c r="L922" s="1627" t="s">
        <v>2298</v>
      </c>
      <c r="M922" s="1628">
        <v>3.4749000000000002E-2</v>
      </c>
      <c r="N922" s="1629">
        <v>1.3628376799310258</v>
      </c>
      <c r="O922" s="1629">
        <v>1.3877206659244856</v>
      </c>
    </row>
    <row r="923" spans="11:15">
      <c r="K923" s="1626">
        <v>42980</v>
      </c>
      <c r="L923" s="1627"/>
      <c r="M923" s="1628">
        <v>0</v>
      </c>
      <c r="N923" s="1629">
        <v>1.3628376799310258</v>
      </c>
      <c r="O923" s="1629">
        <v>1.3877206659244856</v>
      </c>
    </row>
    <row r="924" spans="11:15">
      <c r="K924" s="1626">
        <v>42981</v>
      </c>
      <c r="L924" s="1627"/>
      <c r="M924" s="1628">
        <v>0</v>
      </c>
      <c r="N924" s="1629">
        <v>1.3628376799310258</v>
      </c>
      <c r="O924" s="1629">
        <v>1.3877206659244856</v>
      </c>
    </row>
    <row r="925" spans="11:15">
      <c r="K925" s="1626">
        <v>42982</v>
      </c>
      <c r="L925" s="1627" t="s">
        <v>2298</v>
      </c>
      <c r="M925" s="1628">
        <v>3.4749000000000002E-2</v>
      </c>
      <c r="N925" s="1629">
        <v>1.363311252396425</v>
      </c>
      <c r="O925" s="1629">
        <v>1.3884496494675025</v>
      </c>
    </row>
    <row r="926" spans="11:15">
      <c r="K926" s="1626">
        <v>42983</v>
      </c>
      <c r="L926" s="1627" t="s">
        <v>2298</v>
      </c>
      <c r="M926" s="1628">
        <v>3.4749000000000002E-2</v>
      </c>
      <c r="N926" s="1629">
        <v>1.3637849894235203</v>
      </c>
      <c r="O926" s="1629">
        <v>1.3891790159528643</v>
      </c>
    </row>
    <row r="927" spans="11:15">
      <c r="K927" s="1626">
        <v>42984</v>
      </c>
      <c r="L927" s="1627" t="s">
        <v>2298</v>
      </c>
      <c r="M927" s="1628">
        <v>3.4749000000000002E-2</v>
      </c>
      <c r="N927" s="1629">
        <v>1.364258891069495</v>
      </c>
      <c r="O927" s="1629">
        <v>1.3899087655817346</v>
      </c>
    </row>
    <row r="928" spans="11:15">
      <c r="K928" s="1626">
        <v>42985</v>
      </c>
      <c r="L928" s="1627"/>
      <c r="M928" s="1628">
        <v>0</v>
      </c>
      <c r="N928" s="1629">
        <v>1.364258891069495</v>
      </c>
      <c r="O928" s="1629">
        <v>1.3899087655817346</v>
      </c>
    </row>
    <row r="929" spans="11:15">
      <c r="K929" s="1626">
        <v>42986</v>
      </c>
      <c r="L929" s="1627" t="s">
        <v>2298</v>
      </c>
      <c r="M929" s="1628">
        <v>3.1095999999999999E-2</v>
      </c>
      <c r="N929" s="1629">
        <v>1.364683121014262</v>
      </c>
      <c r="O929" s="1629">
        <v>1.3906388985553824</v>
      </c>
    </row>
    <row r="930" spans="11:15">
      <c r="K930" s="1626">
        <v>42987</v>
      </c>
      <c r="L930" s="1627"/>
      <c r="M930" s="1628">
        <v>0</v>
      </c>
      <c r="N930" s="1629">
        <v>1.364683121014262</v>
      </c>
      <c r="O930" s="1629">
        <v>1.3906388985553824</v>
      </c>
    </row>
    <row r="931" spans="11:15">
      <c r="K931" s="1626">
        <v>42988</v>
      </c>
      <c r="L931" s="1627"/>
      <c r="M931" s="1628">
        <v>0</v>
      </c>
      <c r="N931" s="1629">
        <v>1.364683121014262</v>
      </c>
      <c r="O931" s="1629">
        <v>1.3906388985553824</v>
      </c>
    </row>
    <row r="932" spans="11:15">
      <c r="K932" s="1626">
        <v>42989</v>
      </c>
      <c r="L932" s="1627" t="s">
        <v>2298</v>
      </c>
      <c r="M932" s="1628">
        <v>3.1095999999999999E-2</v>
      </c>
      <c r="N932" s="1629">
        <v>1.3651074828775727</v>
      </c>
      <c r="O932" s="1629">
        <v>1.3913694150751825</v>
      </c>
    </row>
    <row r="933" spans="11:15">
      <c r="K933" s="1626">
        <v>42990</v>
      </c>
      <c r="L933" s="1627" t="s">
        <v>2298</v>
      </c>
      <c r="M933" s="1628">
        <v>3.1095999999999999E-2</v>
      </c>
      <c r="N933" s="1629">
        <v>1.3655319767004481</v>
      </c>
      <c r="O933" s="1629">
        <v>1.3921003153426157</v>
      </c>
    </row>
    <row r="934" spans="11:15">
      <c r="K934" s="1626">
        <v>42991</v>
      </c>
      <c r="L934" s="1627" t="s">
        <v>2298</v>
      </c>
      <c r="M934" s="1628">
        <v>3.1095999999999999E-2</v>
      </c>
      <c r="N934" s="1629">
        <v>1.3659566025239229</v>
      </c>
      <c r="O934" s="1629">
        <v>1.3928315995592684</v>
      </c>
    </row>
    <row r="935" spans="11:15">
      <c r="K935" s="1626">
        <v>42992</v>
      </c>
      <c r="L935" s="1627" t="s">
        <v>2298</v>
      </c>
      <c r="M935" s="1628">
        <v>3.1095999999999999E-2</v>
      </c>
      <c r="N935" s="1629">
        <v>1.3663813603890438</v>
      </c>
      <c r="O935" s="1629">
        <v>1.3935632679268328</v>
      </c>
    </row>
    <row r="936" spans="11:15">
      <c r="K936" s="1626">
        <v>42993</v>
      </c>
      <c r="L936" s="1627" t="s">
        <v>2298</v>
      </c>
      <c r="M936" s="1628">
        <v>3.1095999999999999E-2</v>
      </c>
      <c r="N936" s="1629">
        <v>1.3668062503368703</v>
      </c>
      <c r="O936" s="1629">
        <v>1.3942953206471074</v>
      </c>
    </row>
    <row r="937" spans="11:15">
      <c r="K937" s="1626">
        <v>42994</v>
      </c>
      <c r="L937" s="1627"/>
      <c r="M937" s="1628">
        <v>0</v>
      </c>
      <c r="N937" s="1629">
        <v>1.3668062503368703</v>
      </c>
      <c r="O937" s="1629">
        <v>1.3942953206471074</v>
      </c>
    </row>
    <row r="938" spans="11:15">
      <c r="K938" s="1626">
        <v>42995</v>
      </c>
      <c r="L938" s="1627"/>
      <c r="M938" s="1628">
        <v>0</v>
      </c>
      <c r="N938" s="1629">
        <v>1.3668062503368703</v>
      </c>
      <c r="O938" s="1629">
        <v>1.3942953206471074</v>
      </c>
    </row>
    <row r="939" spans="11:15">
      <c r="K939" s="1626">
        <v>42996</v>
      </c>
      <c r="L939" s="1627" t="s">
        <v>2298</v>
      </c>
      <c r="M939" s="1628">
        <v>3.1095999999999999E-2</v>
      </c>
      <c r="N939" s="1629">
        <v>1.367231272408475</v>
      </c>
      <c r="O939" s="1629">
        <v>1.3950277579219965</v>
      </c>
    </row>
    <row r="940" spans="11:15">
      <c r="K940" s="1626">
        <v>42997</v>
      </c>
      <c r="L940" s="1627" t="s">
        <v>2298</v>
      </c>
      <c r="M940" s="1628">
        <v>3.1095999999999999E-2</v>
      </c>
      <c r="N940" s="1629">
        <v>1.3676564266449431</v>
      </c>
      <c r="O940" s="1629">
        <v>1.3957605799535104</v>
      </c>
    </row>
    <row r="941" spans="11:15">
      <c r="K941" s="1626">
        <v>42998</v>
      </c>
      <c r="L941" s="1627" t="s">
        <v>2298</v>
      </c>
      <c r="M941" s="1628">
        <v>3.1095999999999999E-2</v>
      </c>
      <c r="N941" s="1629">
        <v>1.3680817130873726</v>
      </c>
      <c r="O941" s="1629">
        <v>1.3964937869437659</v>
      </c>
    </row>
    <row r="942" spans="11:15">
      <c r="K942" s="1626">
        <v>42999</v>
      </c>
      <c r="L942" s="1627" t="s">
        <v>2298</v>
      </c>
      <c r="M942" s="1628">
        <v>3.1095999999999999E-2</v>
      </c>
      <c r="N942" s="1629">
        <v>1.3685071317768742</v>
      </c>
      <c r="O942" s="1629">
        <v>1.3972273790949854</v>
      </c>
    </row>
    <row r="943" spans="11:15">
      <c r="K943" s="1626">
        <v>43000</v>
      </c>
      <c r="L943" s="1627" t="s">
        <v>2298</v>
      </c>
      <c r="M943" s="1628">
        <v>3.1095999999999999E-2</v>
      </c>
      <c r="N943" s="1629">
        <v>1.3689326827545716</v>
      </c>
      <c r="O943" s="1629">
        <v>1.3979613566094977</v>
      </c>
    </row>
    <row r="944" spans="11:15">
      <c r="K944" s="1626">
        <v>43001</v>
      </c>
      <c r="L944" s="1627"/>
      <c r="M944" s="1628">
        <v>0</v>
      </c>
      <c r="N944" s="1629">
        <v>1.3689326827545716</v>
      </c>
      <c r="O944" s="1629">
        <v>1.3979613566094977</v>
      </c>
    </row>
    <row r="945" spans="11:15">
      <c r="K945" s="1626">
        <v>43002</v>
      </c>
      <c r="L945" s="1627"/>
      <c r="M945" s="1628">
        <v>0</v>
      </c>
      <c r="N945" s="1629">
        <v>1.3689326827545716</v>
      </c>
      <c r="O945" s="1629">
        <v>1.3979613566094977</v>
      </c>
    </row>
    <row r="946" spans="11:15">
      <c r="K946" s="1626">
        <v>43003</v>
      </c>
      <c r="L946" s="1627" t="s">
        <v>2298</v>
      </c>
      <c r="M946" s="1628">
        <v>3.1095999999999999E-2</v>
      </c>
      <c r="N946" s="1629">
        <v>1.3693583660616009</v>
      </c>
      <c r="O946" s="1629">
        <v>1.3986957196897383</v>
      </c>
    </row>
    <row r="947" spans="11:15">
      <c r="K947" s="1626">
        <v>43004</v>
      </c>
      <c r="L947" s="1627" t="s">
        <v>2298</v>
      </c>
      <c r="M947" s="1628">
        <v>3.1095999999999999E-2</v>
      </c>
      <c r="N947" s="1629">
        <v>1.3697841817391114</v>
      </c>
      <c r="O947" s="1629">
        <v>1.3994304685382486</v>
      </c>
    </row>
    <row r="948" spans="11:15">
      <c r="K948" s="1626">
        <v>43005</v>
      </c>
      <c r="L948" s="1627" t="s">
        <v>2298</v>
      </c>
      <c r="M948" s="1628">
        <v>3.1095999999999999E-2</v>
      </c>
      <c r="N948" s="1629">
        <v>1.370210129828265</v>
      </c>
      <c r="O948" s="1629">
        <v>1.4001656033576764</v>
      </c>
    </row>
    <row r="949" spans="11:15">
      <c r="K949" s="1626">
        <v>43006</v>
      </c>
      <c r="L949" s="1627" t="s">
        <v>2298</v>
      </c>
      <c r="M949" s="1628">
        <v>3.1095999999999999E-2</v>
      </c>
      <c r="N949" s="1629">
        <v>1.3706362103702363</v>
      </c>
      <c r="O949" s="1629">
        <v>1.4009011243507763</v>
      </c>
    </row>
    <row r="950" spans="11:15">
      <c r="K950" s="1626">
        <v>43007</v>
      </c>
      <c r="L950" s="1627" t="s">
        <v>2298</v>
      </c>
      <c r="M950" s="1628">
        <v>3.1095999999999999E-2</v>
      </c>
      <c r="N950" s="1629">
        <v>1.371062423406213</v>
      </c>
      <c r="O950" s="1629">
        <v>1.401637031720409</v>
      </c>
    </row>
    <row r="951" spans="11:15">
      <c r="K951" s="1626">
        <v>43008</v>
      </c>
      <c r="L951" s="1627"/>
      <c r="M951" s="1628">
        <v>0</v>
      </c>
      <c r="N951" s="1629">
        <v>1.371062423406213</v>
      </c>
      <c r="O951" s="1629">
        <v>1.401637031720409</v>
      </c>
    </row>
    <row r="952" spans="11:15">
      <c r="K952" s="1626">
        <v>43009</v>
      </c>
      <c r="L952" s="1627"/>
      <c r="M952" s="1628">
        <v>0</v>
      </c>
      <c r="N952" s="1629">
        <v>1.371062423406213</v>
      </c>
      <c r="O952" s="1629">
        <v>1.401637031720409</v>
      </c>
    </row>
    <row r="953" spans="11:15">
      <c r="K953" s="1626">
        <v>43010</v>
      </c>
      <c r="L953" s="1627" t="s">
        <v>2298</v>
      </c>
      <c r="M953" s="1628">
        <v>3.1095999999999999E-2</v>
      </c>
      <c r="N953" s="1629">
        <v>1.3714887689773954</v>
      </c>
      <c r="O953" s="1629">
        <v>1.4023733256695421</v>
      </c>
    </row>
    <row r="954" spans="11:15">
      <c r="K954" s="1626">
        <v>43011</v>
      </c>
      <c r="L954" s="1627" t="s">
        <v>2298</v>
      </c>
      <c r="M954" s="1628">
        <v>3.1095999999999999E-2</v>
      </c>
      <c r="N954" s="1629">
        <v>1.3719152471249965</v>
      </c>
      <c r="O954" s="1629">
        <v>1.4031100064012496</v>
      </c>
    </row>
    <row r="955" spans="11:15">
      <c r="K955" s="1626">
        <v>43012</v>
      </c>
      <c r="L955" s="1627" t="s">
        <v>2298</v>
      </c>
      <c r="M955" s="1628">
        <v>3.1095999999999999E-2</v>
      </c>
      <c r="N955" s="1629">
        <v>1.3723418578902424</v>
      </c>
      <c r="O955" s="1629">
        <v>1.4038470741187123</v>
      </c>
    </row>
    <row r="956" spans="11:15">
      <c r="K956" s="1626">
        <v>43013</v>
      </c>
      <c r="L956" s="1627" t="s">
        <v>2298</v>
      </c>
      <c r="M956" s="1628">
        <v>3.1095999999999999E-2</v>
      </c>
      <c r="N956" s="1629">
        <v>1.3727686013143718</v>
      </c>
      <c r="O956" s="1629">
        <v>1.4045845290252177</v>
      </c>
    </row>
    <row r="957" spans="11:15">
      <c r="K957" s="1626">
        <v>43014</v>
      </c>
      <c r="L957" s="1627" t="s">
        <v>2298</v>
      </c>
      <c r="M957" s="1628">
        <v>3.1095999999999999E-2</v>
      </c>
      <c r="N957" s="1629">
        <v>1.3731954774386366</v>
      </c>
      <c r="O957" s="1629">
        <v>1.4053223713241598</v>
      </c>
    </row>
    <row r="958" spans="11:15">
      <c r="K958" s="1626">
        <v>43015</v>
      </c>
      <c r="L958" s="1627"/>
      <c r="M958" s="1628">
        <v>0</v>
      </c>
      <c r="N958" s="1629">
        <v>1.3731954774386366</v>
      </c>
      <c r="O958" s="1629">
        <v>1.4053223713241598</v>
      </c>
    </row>
    <row r="959" spans="11:15">
      <c r="K959" s="1626">
        <v>43016</v>
      </c>
      <c r="L959" s="1627"/>
      <c r="M959" s="1628">
        <v>0</v>
      </c>
      <c r="N959" s="1629">
        <v>1.3731954774386366</v>
      </c>
      <c r="O959" s="1629">
        <v>1.4053223713241598</v>
      </c>
    </row>
    <row r="960" spans="11:15">
      <c r="K960" s="1626">
        <v>43017</v>
      </c>
      <c r="L960" s="1627" t="s">
        <v>2298</v>
      </c>
      <c r="M960" s="1628">
        <v>3.1095999999999999E-2</v>
      </c>
      <c r="N960" s="1629">
        <v>1.3736224863043009</v>
      </c>
      <c r="O960" s="1629">
        <v>1.4060606012190402</v>
      </c>
    </row>
    <row r="961" spans="11:15">
      <c r="K961" s="1626">
        <v>43018</v>
      </c>
      <c r="L961" s="1627" t="s">
        <v>2298</v>
      </c>
      <c r="M961" s="1628">
        <v>3.1095999999999999E-2</v>
      </c>
      <c r="N961" s="1629">
        <v>1.3740496279526422</v>
      </c>
      <c r="O961" s="1629">
        <v>1.4067992189134666</v>
      </c>
    </row>
    <row r="962" spans="11:15">
      <c r="K962" s="1626">
        <v>43019</v>
      </c>
      <c r="L962" s="1627" t="s">
        <v>2298</v>
      </c>
      <c r="M962" s="1628">
        <v>3.1095999999999999E-2</v>
      </c>
      <c r="N962" s="1629">
        <v>1.3744769024249504</v>
      </c>
      <c r="O962" s="1629">
        <v>1.4075382246111541</v>
      </c>
    </row>
    <row r="963" spans="11:15">
      <c r="K963" s="1626">
        <v>43020</v>
      </c>
      <c r="L963" s="1627"/>
      <c r="M963" s="1628">
        <v>0</v>
      </c>
      <c r="N963" s="1629">
        <v>1.3744769024249504</v>
      </c>
      <c r="O963" s="1629">
        <v>1.4075382246111541</v>
      </c>
    </row>
    <row r="964" spans="11:15">
      <c r="K964" s="1626">
        <v>43021</v>
      </c>
      <c r="L964" s="1627" t="s">
        <v>2298</v>
      </c>
      <c r="M964" s="1628">
        <v>3.1095999999999999E-2</v>
      </c>
      <c r="N964" s="1629">
        <v>1.3749043097625284</v>
      </c>
      <c r="O964" s="1629">
        <v>1.4082776185159245</v>
      </c>
    </row>
    <row r="965" spans="11:15">
      <c r="K965" s="1626">
        <v>43022</v>
      </c>
      <c r="L965" s="1627"/>
      <c r="M965" s="1628">
        <v>0</v>
      </c>
      <c r="N965" s="1629">
        <v>1.3749043097625284</v>
      </c>
      <c r="O965" s="1629">
        <v>1.4082776185159245</v>
      </c>
    </row>
    <row r="966" spans="11:15">
      <c r="K966" s="1626">
        <v>43023</v>
      </c>
      <c r="L966" s="1627"/>
      <c r="M966" s="1628">
        <v>0</v>
      </c>
      <c r="N966" s="1629">
        <v>1.3749043097625284</v>
      </c>
      <c r="O966" s="1629">
        <v>1.4082776185159245</v>
      </c>
    </row>
    <row r="967" spans="11:15">
      <c r="K967" s="1626">
        <v>43024</v>
      </c>
      <c r="L967" s="1627" t="s">
        <v>2298</v>
      </c>
      <c r="M967" s="1628">
        <v>3.1095999999999999E-2</v>
      </c>
      <c r="N967" s="1629">
        <v>1.3753318500066922</v>
      </c>
      <c r="O967" s="1629">
        <v>1.4090174008317071</v>
      </c>
    </row>
    <row r="968" spans="11:15">
      <c r="K968" s="1626">
        <v>43025</v>
      </c>
      <c r="L968" s="1627" t="s">
        <v>2298</v>
      </c>
      <c r="M968" s="1628">
        <v>3.1095999999999999E-2</v>
      </c>
      <c r="N968" s="1629">
        <v>1.3757595231987703</v>
      </c>
      <c r="O968" s="1629">
        <v>1.4097575717625381</v>
      </c>
    </row>
    <row r="969" spans="11:15">
      <c r="K969" s="1626">
        <v>43026</v>
      </c>
      <c r="L969" s="1627" t="s">
        <v>2298</v>
      </c>
      <c r="M969" s="1628">
        <v>3.1095999999999999E-2</v>
      </c>
      <c r="N969" s="1629">
        <v>1.3761873293801041</v>
      </c>
      <c r="O969" s="1629">
        <v>1.4104981315125606</v>
      </c>
    </row>
    <row r="970" spans="11:15">
      <c r="K970" s="1626">
        <v>43027</v>
      </c>
      <c r="L970" s="1627" t="s">
        <v>2298</v>
      </c>
      <c r="M970" s="1628">
        <v>3.1095999999999999E-2</v>
      </c>
      <c r="N970" s="1629">
        <v>1.3766152685920481</v>
      </c>
      <c r="O970" s="1629">
        <v>1.4112390802860255</v>
      </c>
    </row>
    <row r="971" spans="11:15">
      <c r="K971" s="1626">
        <v>43028</v>
      </c>
      <c r="L971" s="1627" t="s">
        <v>2298</v>
      </c>
      <c r="M971" s="1628">
        <v>3.1095999999999999E-2</v>
      </c>
      <c r="N971" s="1629">
        <v>1.3770433408759695</v>
      </c>
      <c r="O971" s="1629">
        <v>1.4119804182872906</v>
      </c>
    </row>
    <row r="972" spans="11:15">
      <c r="K972" s="1626">
        <v>43029</v>
      </c>
      <c r="L972" s="1627"/>
      <c r="M972" s="1628">
        <v>0</v>
      </c>
      <c r="N972" s="1629">
        <v>1.3770433408759695</v>
      </c>
      <c r="O972" s="1629">
        <v>1.4119804182872906</v>
      </c>
    </row>
    <row r="973" spans="11:15">
      <c r="K973" s="1626">
        <v>43030</v>
      </c>
      <c r="L973" s="1627"/>
      <c r="M973" s="1628">
        <v>0</v>
      </c>
      <c r="N973" s="1629">
        <v>1.3770433408759695</v>
      </c>
      <c r="O973" s="1629">
        <v>1.4119804182872906</v>
      </c>
    </row>
    <row r="974" spans="11:15">
      <c r="K974" s="1626">
        <v>43031</v>
      </c>
      <c r="L974" s="1627" t="s">
        <v>2298</v>
      </c>
      <c r="M974" s="1628">
        <v>3.1095999999999999E-2</v>
      </c>
      <c r="N974" s="1629">
        <v>1.3774715462732483</v>
      </c>
      <c r="O974" s="1629">
        <v>1.412722145720821</v>
      </c>
    </row>
    <row r="975" spans="11:15">
      <c r="K975" s="1626">
        <v>43032</v>
      </c>
      <c r="L975" s="1627" t="s">
        <v>2298</v>
      </c>
      <c r="M975" s="1628">
        <v>3.1095999999999999E-2</v>
      </c>
      <c r="N975" s="1629">
        <v>1.3778998848252775</v>
      </c>
      <c r="O975" s="1629">
        <v>1.4134642627911895</v>
      </c>
    </row>
    <row r="976" spans="11:15">
      <c r="K976" s="1626">
        <v>43033</v>
      </c>
      <c r="L976" s="1627" t="s">
        <v>2298</v>
      </c>
      <c r="M976" s="1628">
        <v>3.1095999999999999E-2</v>
      </c>
      <c r="N976" s="1629">
        <v>1.3783283565734628</v>
      </c>
      <c r="O976" s="1629">
        <v>1.4142067697030765</v>
      </c>
    </row>
    <row r="977" spans="11:15">
      <c r="K977" s="1626">
        <v>43034</v>
      </c>
      <c r="L977" s="1627" t="s">
        <v>2298</v>
      </c>
      <c r="M977" s="1628">
        <v>2.8333000000000001E-2</v>
      </c>
      <c r="N977" s="1629">
        <v>1.3787188783467308</v>
      </c>
      <c r="O977" s="1629">
        <v>1.4149496666612691</v>
      </c>
    </row>
    <row r="978" spans="11:15">
      <c r="K978" s="1626">
        <v>43035</v>
      </c>
      <c r="L978" s="1627" t="s">
        <v>2298</v>
      </c>
      <c r="M978" s="1628">
        <v>2.8333000000000001E-2</v>
      </c>
      <c r="N978" s="1629">
        <v>1.3791095107665328</v>
      </c>
      <c r="O978" s="1629">
        <v>1.4156929538706629</v>
      </c>
    </row>
    <row r="979" spans="11:15">
      <c r="K979" s="1626">
        <v>43036</v>
      </c>
      <c r="L979" s="1627"/>
      <c r="M979" s="1628">
        <v>0</v>
      </c>
      <c r="N979" s="1629">
        <v>1.3791095107665328</v>
      </c>
      <c r="O979" s="1629">
        <v>1.4156929538706629</v>
      </c>
    </row>
    <row r="980" spans="11:15">
      <c r="K980" s="1626">
        <v>43037</v>
      </c>
      <c r="L980" s="1627"/>
      <c r="M980" s="1628">
        <v>0</v>
      </c>
      <c r="N980" s="1629">
        <v>1.3791095107665328</v>
      </c>
      <c r="O980" s="1629">
        <v>1.4156929538706629</v>
      </c>
    </row>
    <row r="981" spans="11:15">
      <c r="K981" s="1626">
        <v>43038</v>
      </c>
      <c r="L981" s="1627" t="s">
        <v>2298</v>
      </c>
      <c r="M981" s="1628">
        <v>2.8333000000000001E-2</v>
      </c>
      <c r="N981" s="1629">
        <v>1.3795002538642183</v>
      </c>
      <c r="O981" s="1629">
        <v>1.4164366315362606</v>
      </c>
    </row>
    <row r="982" spans="11:15">
      <c r="K982" s="1626">
        <v>43039</v>
      </c>
      <c r="L982" s="1627" t="s">
        <v>2298</v>
      </c>
      <c r="M982" s="1628">
        <v>2.8333000000000001E-2</v>
      </c>
      <c r="N982" s="1629">
        <v>1.3798911076711458</v>
      </c>
      <c r="O982" s="1629">
        <v>1.4171806998631729</v>
      </c>
    </row>
    <row r="983" spans="11:15">
      <c r="K983" s="1626">
        <v>43040</v>
      </c>
      <c r="L983" s="1627" t="s">
        <v>2298</v>
      </c>
      <c r="M983" s="1628">
        <v>2.8333000000000001E-2</v>
      </c>
      <c r="N983" s="1629">
        <v>1.3802820722186822</v>
      </c>
      <c r="O983" s="1629">
        <v>1.417925159056618</v>
      </c>
    </row>
    <row r="984" spans="11:15">
      <c r="K984" s="1626">
        <v>43041</v>
      </c>
      <c r="L984" s="1627"/>
      <c r="M984" s="1628">
        <v>0</v>
      </c>
      <c r="N984" s="1629">
        <v>1.3802820722186822</v>
      </c>
      <c r="O984" s="1629">
        <v>1.417925159056618</v>
      </c>
    </row>
    <row r="985" spans="11:15">
      <c r="K985" s="1626">
        <v>43042</v>
      </c>
      <c r="L985" s="1627" t="s">
        <v>2298</v>
      </c>
      <c r="M985" s="1628">
        <v>2.8333000000000001E-2</v>
      </c>
      <c r="N985" s="1629">
        <v>1.3806731475382039</v>
      </c>
      <c r="O985" s="1629">
        <v>1.418670009321922</v>
      </c>
    </row>
    <row r="986" spans="11:15">
      <c r="K986" s="1626">
        <v>43043</v>
      </c>
      <c r="L986" s="1627"/>
      <c r="M986" s="1628">
        <v>0</v>
      </c>
      <c r="N986" s="1629">
        <v>1.3806731475382039</v>
      </c>
      <c r="O986" s="1629">
        <v>1.418670009321922</v>
      </c>
    </row>
    <row r="987" spans="11:15">
      <c r="K987" s="1626">
        <v>43044</v>
      </c>
      <c r="L987" s="1627"/>
      <c r="M987" s="1628">
        <v>0</v>
      </c>
      <c r="N987" s="1629">
        <v>1.3806731475382039</v>
      </c>
      <c r="O987" s="1629">
        <v>1.418670009321922</v>
      </c>
    </row>
    <row r="988" spans="11:15">
      <c r="K988" s="1626">
        <v>43045</v>
      </c>
      <c r="L988" s="1627" t="s">
        <v>2298</v>
      </c>
      <c r="M988" s="1628">
        <v>2.8333000000000001E-2</v>
      </c>
      <c r="N988" s="1629">
        <v>1.3810643336610959</v>
      </c>
      <c r="O988" s="1629">
        <v>1.4194152508645188</v>
      </c>
    </row>
    <row r="989" spans="11:15">
      <c r="K989" s="1626">
        <v>43046</v>
      </c>
      <c r="L989" s="1627" t="s">
        <v>2298</v>
      </c>
      <c r="M989" s="1628">
        <v>2.8333000000000001E-2</v>
      </c>
      <c r="N989" s="1629">
        <v>1.3814556306187522</v>
      </c>
      <c r="O989" s="1629">
        <v>1.4201608838899504</v>
      </c>
    </row>
    <row r="990" spans="11:15">
      <c r="K990" s="1626">
        <v>43047</v>
      </c>
      <c r="L990" s="1627" t="s">
        <v>2298</v>
      </c>
      <c r="M990" s="1628">
        <v>2.8333000000000001E-2</v>
      </c>
      <c r="N990" s="1629">
        <v>1.3818470384425754</v>
      </c>
      <c r="O990" s="1629">
        <v>1.4209069086038666</v>
      </c>
    </row>
    <row r="991" spans="11:15">
      <c r="K991" s="1626">
        <v>43048</v>
      </c>
      <c r="L991" s="1627" t="s">
        <v>2298</v>
      </c>
      <c r="M991" s="1628">
        <v>2.8333000000000001E-2</v>
      </c>
      <c r="N991" s="1629">
        <v>1.3822385571639773</v>
      </c>
      <c r="O991" s="1629">
        <v>1.4216533252120254</v>
      </c>
    </row>
    <row r="992" spans="11:15">
      <c r="K992" s="1626">
        <v>43049</v>
      </c>
      <c r="L992" s="1627" t="s">
        <v>2298</v>
      </c>
      <c r="M992" s="1628">
        <v>2.8333000000000001E-2</v>
      </c>
      <c r="N992" s="1629">
        <v>1.3826301868143787</v>
      </c>
      <c r="O992" s="1629">
        <v>1.4224001339202925</v>
      </c>
    </row>
    <row r="993" spans="11:15">
      <c r="K993" s="1626">
        <v>43050</v>
      </c>
      <c r="L993" s="1627"/>
      <c r="M993" s="1628">
        <v>0</v>
      </c>
      <c r="N993" s="1629">
        <v>1.3826301868143787</v>
      </c>
      <c r="O993" s="1629">
        <v>1.4224001339202925</v>
      </c>
    </row>
    <row r="994" spans="11:15">
      <c r="K994" s="1626">
        <v>43051</v>
      </c>
      <c r="L994" s="1627"/>
      <c r="M994" s="1628">
        <v>0</v>
      </c>
      <c r="N994" s="1629">
        <v>1.3826301868143787</v>
      </c>
      <c r="O994" s="1629">
        <v>1.4224001339202925</v>
      </c>
    </row>
    <row r="995" spans="11:15">
      <c r="K995" s="1626">
        <v>43052</v>
      </c>
      <c r="L995" s="1627" t="s">
        <v>2298</v>
      </c>
      <c r="M995" s="1628">
        <v>2.8333000000000001E-2</v>
      </c>
      <c r="N995" s="1629">
        <v>1.3830219274252089</v>
      </c>
      <c r="O995" s="1629">
        <v>1.4231473349346422</v>
      </c>
    </row>
    <row r="996" spans="11:15">
      <c r="K996" s="1626">
        <v>43053</v>
      </c>
      <c r="L996" s="1627" t="s">
        <v>2298</v>
      </c>
      <c r="M996" s="1628">
        <v>2.8333000000000001E-2</v>
      </c>
      <c r="N996" s="1629">
        <v>1.3834137790279064</v>
      </c>
      <c r="O996" s="1629">
        <v>1.4238949284611566</v>
      </c>
    </row>
    <row r="997" spans="11:15">
      <c r="K997" s="1626">
        <v>43054</v>
      </c>
      <c r="L997" s="1627"/>
      <c r="M997" s="1628">
        <v>0</v>
      </c>
      <c r="N997" s="1629">
        <v>1.3834137790279064</v>
      </c>
      <c r="O997" s="1629">
        <v>1.4238949284611566</v>
      </c>
    </row>
    <row r="998" spans="11:15">
      <c r="K998" s="1626">
        <v>43055</v>
      </c>
      <c r="L998" s="1627" t="s">
        <v>2298</v>
      </c>
      <c r="M998" s="1628">
        <v>2.8333000000000001E-2</v>
      </c>
      <c r="N998" s="1629">
        <v>1.3838057416539185</v>
      </c>
      <c r="O998" s="1629">
        <v>1.4246429147060264</v>
      </c>
    </row>
    <row r="999" spans="11:15">
      <c r="K999" s="1626">
        <v>43056</v>
      </c>
      <c r="L999" s="1627" t="s">
        <v>2298</v>
      </c>
      <c r="M999" s="1628">
        <v>2.8333000000000001E-2</v>
      </c>
      <c r="N999" s="1629">
        <v>1.3841978153347012</v>
      </c>
      <c r="O999" s="1629">
        <v>1.4253912938755506</v>
      </c>
    </row>
    <row r="1000" spans="11:15">
      <c r="K1000" s="1626">
        <v>43057</v>
      </c>
      <c r="L1000" s="1627"/>
      <c r="M1000" s="1628">
        <v>0</v>
      </c>
      <c r="N1000" s="1629">
        <v>1.3841978153347012</v>
      </c>
      <c r="O1000" s="1629">
        <v>1.4253912938755506</v>
      </c>
    </row>
    <row r="1001" spans="11:15">
      <c r="K1001" s="1626">
        <v>43058</v>
      </c>
      <c r="L1001" s="1627"/>
      <c r="M1001" s="1628">
        <v>0</v>
      </c>
      <c r="N1001" s="1629">
        <v>1.3841978153347012</v>
      </c>
      <c r="O1001" s="1629">
        <v>1.4253912938755506</v>
      </c>
    </row>
    <row r="1002" spans="11:15">
      <c r="K1002" s="1626">
        <v>43059</v>
      </c>
      <c r="L1002" s="1627" t="s">
        <v>2298</v>
      </c>
      <c r="M1002" s="1628">
        <v>2.8333000000000001E-2</v>
      </c>
      <c r="N1002" s="1629">
        <v>1.38459000010172</v>
      </c>
      <c r="O1002" s="1629">
        <v>1.4261400661761363</v>
      </c>
    </row>
    <row r="1003" spans="11:15">
      <c r="K1003" s="1626">
        <v>43060</v>
      </c>
      <c r="L1003" s="1627" t="s">
        <v>2298</v>
      </c>
      <c r="M1003" s="1628">
        <v>2.8333000000000001E-2</v>
      </c>
      <c r="N1003" s="1629">
        <v>1.3849822959864488</v>
      </c>
      <c r="O1003" s="1629">
        <v>1.4268892318142994</v>
      </c>
    </row>
    <row r="1004" spans="11:15">
      <c r="K1004" s="1626">
        <v>43061</v>
      </c>
      <c r="L1004" s="1627" t="s">
        <v>2298</v>
      </c>
      <c r="M1004" s="1628">
        <v>2.8333000000000001E-2</v>
      </c>
      <c r="N1004" s="1629">
        <v>1.3853747030203707</v>
      </c>
      <c r="O1004" s="1629">
        <v>1.4276387909966637</v>
      </c>
    </row>
    <row r="1005" spans="11:15">
      <c r="K1005" s="1626">
        <v>43062</v>
      </c>
      <c r="L1005" s="1627" t="s">
        <v>2298</v>
      </c>
      <c r="M1005" s="1628">
        <v>2.8333000000000001E-2</v>
      </c>
      <c r="N1005" s="1629">
        <v>1.3857672212349774</v>
      </c>
      <c r="O1005" s="1629">
        <v>1.4283887439299621</v>
      </c>
    </row>
    <row r="1006" spans="11:15">
      <c r="K1006" s="1626">
        <v>43063</v>
      </c>
      <c r="L1006" s="1627" t="s">
        <v>2298</v>
      </c>
      <c r="M1006" s="1628">
        <v>2.8333000000000001E-2</v>
      </c>
      <c r="N1006" s="1629">
        <v>1.3861598506617701</v>
      </c>
      <c r="O1006" s="1629">
        <v>1.429139090821036</v>
      </c>
    </row>
    <row r="1007" spans="11:15">
      <c r="K1007" s="1626">
        <v>43064</v>
      </c>
      <c r="L1007" s="1627"/>
      <c r="M1007" s="1628">
        <v>0</v>
      </c>
      <c r="N1007" s="1629">
        <v>1.3861598506617701</v>
      </c>
      <c r="O1007" s="1629">
        <v>1.429139090821036</v>
      </c>
    </row>
    <row r="1008" spans="11:15">
      <c r="K1008" s="1626">
        <v>43065</v>
      </c>
      <c r="L1008" s="1627"/>
      <c r="M1008" s="1628">
        <v>0</v>
      </c>
      <c r="N1008" s="1629">
        <v>1.3861598506617701</v>
      </c>
      <c r="O1008" s="1629">
        <v>1.429139090821036</v>
      </c>
    </row>
    <row r="1009" spans="11:15">
      <c r="K1009" s="1626">
        <v>43066</v>
      </c>
      <c r="L1009" s="1627" t="s">
        <v>2298</v>
      </c>
      <c r="M1009" s="1628">
        <v>2.8333000000000001E-2</v>
      </c>
      <c r="N1009" s="1629">
        <v>1.3865525913322581</v>
      </c>
      <c r="O1009" s="1629">
        <v>1.4298898318768352</v>
      </c>
    </row>
    <row r="1010" spans="11:15">
      <c r="K1010" s="1626">
        <v>43067</v>
      </c>
      <c r="L1010" s="1627" t="s">
        <v>2298</v>
      </c>
      <c r="M1010" s="1628">
        <v>2.8333000000000001E-2</v>
      </c>
      <c r="N1010" s="1629">
        <v>1.3869454432779602</v>
      </c>
      <c r="O1010" s="1629">
        <v>1.4306409673044185</v>
      </c>
    </row>
    <row r="1011" spans="11:15">
      <c r="K1011" s="1626">
        <v>43068</v>
      </c>
      <c r="L1011" s="1627" t="s">
        <v>2298</v>
      </c>
      <c r="M1011" s="1628">
        <v>2.8333000000000001E-2</v>
      </c>
      <c r="N1011" s="1629">
        <v>1.3873384065304042</v>
      </c>
      <c r="O1011" s="1629">
        <v>1.4313924973109531</v>
      </c>
    </row>
    <row r="1012" spans="11:15">
      <c r="K1012" s="1626">
        <v>43069</v>
      </c>
      <c r="L1012" s="1627" t="s">
        <v>2298</v>
      </c>
      <c r="M1012" s="1628">
        <v>2.8333000000000001E-2</v>
      </c>
      <c r="N1012" s="1629">
        <v>1.3877314811211265</v>
      </c>
      <c r="O1012" s="1629">
        <v>1.4321444221037154</v>
      </c>
    </row>
    <row r="1013" spans="11:15">
      <c r="K1013" s="1626">
        <v>43070</v>
      </c>
      <c r="L1013" s="1627" t="s">
        <v>2298</v>
      </c>
      <c r="M1013" s="1628">
        <v>2.8333000000000001E-2</v>
      </c>
      <c r="N1013" s="1629">
        <v>1.3881246670816727</v>
      </c>
      <c r="O1013" s="1629">
        <v>1.4328967418900906</v>
      </c>
    </row>
    <row r="1014" spans="11:15">
      <c r="K1014" s="1626">
        <v>43071</v>
      </c>
      <c r="L1014" s="1627"/>
      <c r="M1014" s="1628">
        <v>0</v>
      </c>
      <c r="N1014" s="1629">
        <v>1.3881246670816727</v>
      </c>
      <c r="O1014" s="1629">
        <v>1.4328967418900906</v>
      </c>
    </row>
    <row r="1015" spans="11:15">
      <c r="K1015" s="1626">
        <v>43072</v>
      </c>
      <c r="L1015" s="1627"/>
      <c r="M1015" s="1628">
        <v>0</v>
      </c>
      <c r="N1015" s="1629">
        <v>1.3881246670816727</v>
      </c>
      <c r="O1015" s="1629">
        <v>1.4328967418900906</v>
      </c>
    </row>
    <row r="1016" spans="11:15">
      <c r="K1016" s="1626">
        <v>43073</v>
      </c>
      <c r="L1016" s="1627" t="s">
        <v>2298</v>
      </c>
      <c r="M1016" s="1628">
        <v>2.8333000000000001E-2</v>
      </c>
      <c r="N1016" s="1629">
        <v>1.388517964443597</v>
      </c>
      <c r="O1016" s="1629">
        <v>1.4336494568775728</v>
      </c>
    </row>
    <row r="1017" spans="11:15">
      <c r="K1017" s="1626">
        <v>43074</v>
      </c>
      <c r="L1017" s="1627" t="s">
        <v>2298</v>
      </c>
      <c r="M1017" s="1628">
        <v>2.8333000000000001E-2</v>
      </c>
      <c r="N1017" s="1629">
        <v>1.3889113732384628</v>
      </c>
      <c r="O1017" s="1629">
        <v>1.4344025672737652</v>
      </c>
    </row>
    <row r="1018" spans="11:15">
      <c r="K1018" s="1626">
        <v>43075</v>
      </c>
      <c r="L1018" s="1627" t="s">
        <v>2298</v>
      </c>
      <c r="M1018" s="1628">
        <v>2.8333000000000001E-2</v>
      </c>
      <c r="N1018" s="1629">
        <v>1.3893048934978425</v>
      </c>
      <c r="O1018" s="1629">
        <v>1.4351560732863797</v>
      </c>
    </row>
    <row r="1019" spans="11:15">
      <c r="K1019" s="1626">
        <v>43076</v>
      </c>
      <c r="L1019" s="1627" t="s">
        <v>2298</v>
      </c>
      <c r="M1019" s="1628">
        <v>2.6481000000000001E-2</v>
      </c>
      <c r="N1019" s="1629">
        <v>1.3896727953266896</v>
      </c>
      <c r="O1019" s="1629">
        <v>1.4359099751232378</v>
      </c>
    </row>
    <row r="1020" spans="11:15">
      <c r="K1020" s="1626">
        <v>43077</v>
      </c>
      <c r="L1020" s="1627" t="s">
        <v>2298</v>
      </c>
      <c r="M1020" s="1628">
        <v>2.6481000000000001E-2</v>
      </c>
      <c r="N1020" s="1629">
        <v>1.39004079457962</v>
      </c>
      <c r="O1020" s="1629">
        <v>1.4366642729922698</v>
      </c>
    </row>
    <row r="1021" spans="11:15">
      <c r="K1021" s="1626">
        <v>43078</v>
      </c>
      <c r="L1021" s="1627"/>
      <c r="M1021" s="1628">
        <v>0</v>
      </c>
      <c r="N1021" s="1629">
        <v>1.39004079457962</v>
      </c>
      <c r="O1021" s="1629">
        <v>1.4366642729922698</v>
      </c>
    </row>
    <row r="1022" spans="11:15">
      <c r="K1022" s="1626">
        <v>43079</v>
      </c>
      <c r="L1022" s="1627"/>
      <c r="M1022" s="1628">
        <v>0</v>
      </c>
      <c r="N1022" s="1629">
        <v>1.39004079457962</v>
      </c>
      <c r="O1022" s="1629">
        <v>1.4366642729922698</v>
      </c>
    </row>
    <row r="1023" spans="11:15">
      <c r="K1023" s="1626">
        <v>43080</v>
      </c>
      <c r="L1023" s="1627" t="s">
        <v>2298</v>
      </c>
      <c r="M1023" s="1628">
        <v>2.6481000000000001E-2</v>
      </c>
      <c r="N1023" s="1629">
        <v>1.3904088912824326</v>
      </c>
      <c r="O1023" s="1629">
        <v>1.4374189671015154</v>
      </c>
    </row>
    <row r="1024" spans="11:15">
      <c r="K1024" s="1626">
        <v>43081</v>
      </c>
      <c r="L1024" s="1627" t="s">
        <v>2298</v>
      </c>
      <c r="M1024" s="1628">
        <v>2.6481000000000001E-2</v>
      </c>
      <c r="N1024" s="1629">
        <v>1.3907770854609331</v>
      </c>
      <c r="O1024" s="1629">
        <v>1.4381740576591235</v>
      </c>
    </row>
    <row r="1025" spans="11:15">
      <c r="K1025" s="1626">
        <v>43082</v>
      </c>
      <c r="L1025" s="1627" t="s">
        <v>2298</v>
      </c>
      <c r="M1025" s="1628">
        <v>2.6481000000000001E-2</v>
      </c>
      <c r="N1025" s="1629">
        <v>1.3911453771409341</v>
      </c>
      <c r="O1025" s="1629">
        <v>1.4389295448733526</v>
      </c>
    </row>
    <row r="1026" spans="11:15">
      <c r="K1026" s="1626">
        <v>43083</v>
      </c>
      <c r="L1026" s="1627" t="s">
        <v>2298</v>
      </c>
      <c r="M1026" s="1628">
        <v>2.6481000000000001E-2</v>
      </c>
      <c r="N1026" s="1629">
        <v>1.3915137663482549</v>
      </c>
      <c r="O1026" s="1629">
        <v>1.43968542895257</v>
      </c>
    </row>
    <row r="1027" spans="11:15">
      <c r="K1027" s="1626">
        <v>43084</v>
      </c>
      <c r="L1027" s="1627" t="s">
        <v>2298</v>
      </c>
      <c r="M1027" s="1628">
        <v>2.6481000000000001E-2</v>
      </c>
      <c r="N1027" s="1629">
        <v>1.3918822531087216</v>
      </c>
      <c r="O1027" s="1629">
        <v>1.4404417101052531</v>
      </c>
    </row>
    <row r="1028" spans="11:15">
      <c r="K1028" s="1626">
        <v>43085</v>
      </c>
      <c r="L1028" s="1627"/>
      <c r="M1028" s="1628">
        <v>0</v>
      </c>
      <c r="N1028" s="1629">
        <v>1.3918822531087216</v>
      </c>
      <c r="O1028" s="1629">
        <v>1.4404417101052531</v>
      </c>
    </row>
    <row r="1029" spans="11:15">
      <c r="K1029" s="1626">
        <v>43086</v>
      </c>
      <c r="L1029" s="1627"/>
      <c r="M1029" s="1628">
        <v>0</v>
      </c>
      <c r="N1029" s="1629">
        <v>1.3918822531087216</v>
      </c>
      <c r="O1029" s="1629">
        <v>1.4404417101052531</v>
      </c>
    </row>
    <row r="1030" spans="11:15">
      <c r="K1030" s="1626">
        <v>43087</v>
      </c>
      <c r="L1030" s="1627" t="s">
        <v>2298</v>
      </c>
      <c r="M1030" s="1628">
        <v>2.6481000000000001E-2</v>
      </c>
      <c r="N1030" s="1629">
        <v>1.3922508374481672</v>
      </c>
      <c r="O1030" s="1629">
        <v>1.4411983885399886</v>
      </c>
    </row>
    <row r="1031" spans="11:15">
      <c r="K1031" s="1626">
        <v>43088</v>
      </c>
      <c r="L1031" s="1627" t="s">
        <v>2298</v>
      </c>
      <c r="M1031" s="1628">
        <v>2.6481000000000001E-2</v>
      </c>
      <c r="N1031" s="1629">
        <v>1.392619519392432</v>
      </c>
      <c r="O1031" s="1629">
        <v>1.4419554644654726</v>
      </c>
    </row>
    <row r="1032" spans="11:15">
      <c r="K1032" s="1626">
        <v>43089</v>
      </c>
      <c r="L1032" s="1627" t="s">
        <v>2298</v>
      </c>
      <c r="M1032" s="1628">
        <v>2.6481000000000001E-2</v>
      </c>
      <c r="N1032" s="1629">
        <v>1.3929882989673623</v>
      </c>
      <c r="O1032" s="1629">
        <v>1.442712938090511</v>
      </c>
    </row>
    <row r="1033" spans="11:15">
      <c r="K1033" s="1626">
        <v>43090</v>
      </c>
      <c r="L1033" s="1627" t="s">
        <v>2298</v>
      </c>
      <c r="M1033" s="1628">
        <v>2.6481000000000001E-2</v>
      </c>
      <c r="N1033" s="1629">
        <v>1.3933571761988119</v>
      </c>
      <c r="O1033" s="1629">
        <v>1.4434708096240194</v>
      </c>
    </row>
    <row r="1034" spans="11:15">
      <c r="K1034" s="1626">
        <v>43091</v>
      </c>
      <c r="L1034" s="1627" t="s">
        <v>2298</v>
      </c>
      <c r="M1034" s="1628">
        <v>2.6481000000000001E-2</v>
      </c>
      <c r="N1034" s="1629">
        <v>1.3937261511126411</v>
      </c>
      <c r="O1034" s="1629">
        <v>1.444229079275023</v>
      </c>
    </row>
    <row r="1035" spans="11:15">
      <c r="K1035" s="1626">
        <v>43092</v>
      </c>
      <c r="L1035" s="1627"/>
      <c r="M1035" s="1628">
        <v>0</v>
      </c>
      <c r="N1035" s="1629">
        <v>1.3937261511126411</v>
      </c>
      <c r="O1035" s="1629">
        <v>1.444229079275023</v>
      </c>
    </row>
    <row r="1036" spans="11:15">
      <c r="K1036" s="1626">
        <v>43093</v>
      </c>
      <c r="L1036" s="1627"/>
      <c r="M1036" s="1628">
        <v>0</v>
      </c>
      <c r="N1036" s="1629">
        <v>1.3937261511126411</v>
      </c>
      <c r="O1036" s="1629">
        <v>1.444229079275023</v>
      </c>
    </row>
    <row r="1037" spans="11:15">
      <c r="K1037" s="1626">
        <v>43094</v>
      </c>
      <c r="L1037" s="1627"/>
      <c r="M1037" s="1628">
        <v>0</v>
      </c>
      <c r="N1037" s="1629">
        <v>1.3937261511126411</v>
      </c>
      <c r="O1037" s="1629">
        <v>1.444229079275023</v>
      </c>
    </row>
    <row r="1038" spans="11:15">
      <c r="K1038" s="1626">
        <v>43095</v>
      </c>
      <c r="L1038" s="1627" t="s">
        <v>2298</v>
      </c>
      <c r="M1038" s="1628">
        <v>2.6481000000000001E-2</v>
      </c>
      <c r="N1038" s="1629">
        <v>1.3940952237347173</v>
      </c>
      <c r="O1038" s="1629">
        <v>1.4449877472526569</v>
      </c>
    </row>
    <row r="1039" spans="11:15">
      <c r="K1039" s="1626">
        <v>43096</v>
      </c>
      <c r="L1039" s="1627" t="s">
        <v>2298</v>
      </c>
      <c r="M1039" s="1628">
        <v>2.6481000000000001E-2</v>
      </c>
      <c r="N1039" s="1629">
        <v>1.3944643940909145</v>
      </c>
      <c r="O1039" s="1629">
        <v>1.4457468137661662</v>
      </c>
    </row>
    <row r="1040" spans="11:15">
      <c r="K1040" s="1626">
        <v>43097</v>
      </c>
      <c r="L1040" s="1627" t="s">
        <v>2298</v>
      </c>
      <c r="M1040" s="1628">
        <v>2.6481000000000001E-2</v>
      </c>
      <c r="N1040" s="1629">
        <v>1.3948336622071138</v>
      </c>
      <c r="O1040" s="1629">
        <v>1.4465062790249057</v>
      </c>
    </row>
    <row r="1041" spans="11:15">
      <c r="K1041" s="1626">
        <v>43098</v>
      </c>
      <c r="L1041" s="1627" t="s">
        <v>2298</v>
      </c>
      <c r="M1041" s="1628">
        <v>2.6481000000000001E-2</v>
      </c>
      <c r="N1041" s="1629">
        <v>1.3952030281092029</v>
      </c>
      <c r="O1041" s="1629">
        <v>1.4472661432383402</v>
      </c>
    </row>
    <row r="1042" spans="11:15">
      <c r="K1042" s="1626">
        <v>43099</v>
      </c>
      <c r="L1042" s="1627"/>
      <c r="M1042" s="1628">
        <v>0</v>
      </c>
      <c r="N1042" s="1629">
        <v>1.3952030281092029</v>
      </c>
      <c r="O1042" s="1629">
        <v>1.4472661432383402</v>
      </c>
    </row>
    <row r="1043" spans="11:15">
      <c r="K1043" s="1626">
        <v>43100</v>
      </c>
      <c r="L1043" s="1627"/>
      <c r="M1043" s="1628">
        <v>0</v>
      </c>
      <c r="N1043" s="1629">
        <v>1.3952030281092029</v>
      </c>
      <c r="O1043" s="1629">
        <v>1.4472661432383402</v>
      </c>
    </row>
    <row r="1044" spans="11:15">
      <c r="K1044" s="1626">
        <v>43101</v>
      </c>
      <c r="L1044" s="1627"/>
      <c r="M1044" s="1628">
        <v>0</v>
      </c>
      <c r="N1044" s="1629">
        <v>1.3952030281092029</v>
      </c>
      <c r="O1044" s="1629">
        <v>1.4472661432383402</v>
      </c>
    </row>
    <row r="1045" spans="11:15">
      <c r="K1045" s="1626">
        <v>43102</v>
      </c>
      <c r="L1045" s="1627" t="s">
        <v>2298</v>
      </c>
      <c r="M1045" s="1628">
        <v>2.6481000000000001E-2</v>
      </c>
      <c r="N1045" s="1629">
        <v>1.3955724918230765</v>
      </c>
      <c r="O1045" s="1629"/>
    </row>
    <row r="1046" spans="11:15">
      <c r="K1046" s="1626">
        <v>43103</v>
      </c>
      <c r="L1046" s="1627" t="s">
        <v>2298</v>
      </c>
      <c r="M1046" s="1628">
        <v>2.6481000000000001E-2</v>
      </c>
      <c r="N1046" s="1629">
        <v>1.3959420533746363</v>
      </c>
      <c r="O1046" s="1629"/>
    </row>
    <row r="1047" spans="11:15">
      <c r="K1047" s="1626">
        <v>43104</v>
      </c>
      <c r="L1047" s="1627" t="s">
        <v>2298</v>
      </c>
      <c r="M1047" s="1628">
        <v>2.6481000000000001E-2</v>
      </c>
      <c r="N1047" s="1629">
        <v>1.3963117127897904</v>
      </c>
      <c r="O1047" s="1629"/>
    </row>
    <row r="1048" spans="11:15">
      <c r="K1048" s="1626">
        <v>43105</v>
      </c>
      <c r="L1048" s="1627" t="s">
        <v>2298</v>
      </c>
      <c r="M1048" s="1628">
        <v>2.6481000000000001E-2</v>
      </c>
      <c r="N1048" s="1629">
        <v>1.3966814700944543</v>
      </c>
      <c r="O1048" s="1629"/>
    </row>
    <row r="1049" spans="11:15">
      <c r="K1049" s="1626">
        <v>43106</v>
      </c>
      <c r="L1049" s="1627"/>
      <c r="M1049" s="1628">
        <v>0</v>
      </c>
      <c r="N1049" s="1629">
        <v>1.3966814700944543</v>
      </c>
      <c r="O1049" s="1629"/>
    </row>
    <row r="1050" spans="11:15">
      <c r="K1050" s="1626">
        <v>43107</v>
      </c>
      <c r="L1050" s="1627"/>
      <c r="M1050" s="1628">
        <v>0</v>
      </c>
      <c r="N1050" s="1629">
        <v>1.3966814700944543</v>
      </c>
      <c r="O1050" s="1629"/>
    </row>
    <row r="1051" spans="11:15">
      <c r="K1051" s="1626">
        <v>43108</v>
      </c>
      <c r="L1051" s="1627" t="s">
        <v>2298</v>
      </c>
      <c r="M1051" s="1628">
        <v>2.6481000000000001E-2</v>
      </c>
      <c r="N1051" s="1629">
        <v>1.39705132531455</v>
      </c>
      <c r="O1051" s="1629"/>
    </row>
    <row r="1052" spans="11:15">
      <c r="K1052" s="1626">
        <v>43109</v>
      </c>
      <c r="L1052" s="1627" t="s">
        <v>2298</v>
      </c>
      <c r="M1052" s="1628">
        <v>2.6481000000000001E-2</v>
      </c>
      <c r="N1052" s="1629">
        <v>1.3974212784760065</v>
      </c>
      <c r="O1052" s="1629"/>
    </row>
    <row r="1053" spans="11:15">
      <c r="K1053" s="1626">
        <v>43110</v>
      </c>
      <c r="L1053" s="1627" t="s">
        <v>2298</v>
      </c>
      <c r="M1053" s="1628">
        <v>2.6481000000000001E-2</v>
      </c>
      <c r="N1053" s="1629">
        <v>1.3977913296047597</v>
      </c>
      <c r="O1053" s="1629"/>
    </row>
    <row r="1054" spans="11:15">
      <c r="K1054" s="1626">
        <v>43111</v>
      </c>
      <c r="L1054" s="1627" t="s">
        <v>2298</v>
      </c>
      <c r="M1054" s="1628">
        <v>2.6481000000000001E-2</v>
      </c>
      <c r="N1054" s="1629">
        <v>1.3981614787267524</v>
      </c>
      <c r="O1054" s="1629"/>
    </row>
    <row r="1055" spans="11:15">
      <c r="K1055" s="1626">
        <v>43112</v>
      </c>
      <c r="L1055" s="1627" t="s">
        <v>2298</v>
      </c>
      <c r="M1055" s="1628">
        <v>2.6481000000000001E-2</v>
      </c>
      <c r="N1055" s="1629">
        <v>1.3985317258679342</v>
      </c>
      <c r="O1055" s="1629"/>
    </row>
    <row r="1056" spans="11:15">
      <c r="K1056" s="1626">
        <v>43113</v>
      </c>
      <c r="L1056" s="1627"/>
      <c r="M1056" s="1628">
        <v>0</v>
      </c>
      <c r="N1056" s="1629">
        <v>1.3985317258679342</v>
      </c>
      <c r="O1056" s="1629"/>
    </row>
    <row r="1057" spans="11:15">
      <c r="K1057" s="1626">
        <v>43114</v>
      </c>
      <c r="L1057" s="1627"/>
      <c r="M1057" s="1628">
        <v>0</v>
      </c>
      <c r="N1057" s="1629">
        <v>1.3985317258679342</v>
      </c>
      <c r="O1057" s="1629"/>
    </row>
    <row r="1058" spans="11:15">
      <c r="K1058" s="1626">
        <v>43115</v>
      </c>
      <c r="L1058" s="1627" t="s">
        <v>2298</v>
      </c>
      <c r="M1058" s="1628">
        <v>2.6481000000000001E-2</v>
      </c>
      <c r="N1058" s="1629">
        <v>1.3989020710542612</v>
      </c>
      <c r="O1058" s="1629"/>
    </row>
    <row r="1059" spans="11:15">
      <c r="K1059" s="1626">
        <v>43116</v>
      </c>
      <c r="L1059" s="1627" t="s">
        <v>2298</v>
      </c>
      <c r="M1059" s="1628">
        <v>2.6481000000000001E-2</v>
      </c>
      <c r="N1059" s="1629">
        <v>1.3992725143116971</v>
      </c>
      <c r="O1059" s="1629"/>
    </row>
    <row r="1060" spans="11:15">
      <c r="K1060" s="1626">
        <v>43117</v>
      </c>
      <c r="L1060" s="1627" t="s">
        <v>2298</v>
      </c>
      <c r="M1060" s="1628">
        <v>2.6481000000000001E-2</v>
      </c>
      <c r="N1060" s="1629">
        <v>1.3996430556662121</v>
      </c>
      <c r="O1060" s="1629"/>
    </row>
    <row r="1061" spans="11:15">
      <c r="K1061" s="1626">
        <v>43118</v>
      </c>
      <c r="L1061" s="1627" t="s">
        <v>2298</v>
      </c>
      <c r="M1061" s="1628">
        <v>2.6481000000000001E-2</v>
      </c>
      <c r="N1061" s="1629">
        <v>1.4000136951437829</v>
      </c>
      <c r="O1061" s="1629"/>
    </row>
    <row r="1062" spans="11:15">
      <c r="K1062" s="1626">
        <v>43119</v>
      </c>
      <c r="L1062" s="1627" t="s">
        <v>2298</v>
      </c>
      <c r="M1062" s="1628">
        <v>2.6481000000000001E-2</v>
      </c>
      <c r="N1062" s="1629">
        <v>1.400384432770394</v>
      </c>
      <c r="O1062" s="1629"/>
    </row>
    <row r="1063" spans="11:15">
      <c r="K1063" s="1626">
        <v>43120</v>
      </c>
      <c r="L1063" s="1627"/>
      <c r="M1063" s="1628">
        <v>0</v>
      </c>
      <c r="N1063" s="1629">
        <v>1.400384432770394</v>
      </c>
      <c r="O1063" s="1629"/>
    </row>
    <row r="1064" spans="11:15">
      <c r="K1064" s="1626">
        <v>43121</v>
      </c>
      <c r="L1064" s="1627"/>
      <c r="M1064" s="1628">
        <v>0</v>
      </c>
      <c r="N1064" s="1629">
        <v>1.400384432770394</v>
      </c>
      <c r="O1064" s="1629"/>
    </row>
    <row r="1065" spans="11:15">
      <c r="K1065" s="1626">
        <v>43122</v>
      </c>
      <c r="L1065" s="1627" t="s">
        <v>2298</v>
      </c>
      <c r="M1065" s="1628">
        <v>2.6481000000000001E-2</v>
      </c>
      <c r="N1065" s="1629">
        <v>1.4007552685720359</v>
      </c>
      <c r="O1065" s="1629"/>
    </row>
    <row r="1066" spans="11:15">
      <c r="K1066" s="1626">
        <v>43123</v>
      </c>
      <c r="L1066" s="1627" t="s">
        <v>2298</v>
      </c>
      <c r="M1066" s="1628">
        <v>2.6481000000000001E-2</v>
      </c>
      <c r="N1066" s="1629">
        <v>1.4011262025747064</v>
      </c>
      <c r="O1066" s="1629"/>
    </row>
    <row r="1067" spans="11:15">
      <c r="K1067" s="1626">
        <v>43124</v>
      </c>
      <c r="L1067" s="1627" t="s">
        <v>2298</v>
      </c>
      <c r="M1067" s="1628">
        <v>2.6481000000000001E-2</v>
      </c>
      <c r="N1067" s="1629">
        <v>1.4014972348044104</v>
      </c>
      <c r="O1067" s="1629"/>
    </row>
    <row r="1068" spans="11:15">
      <c r="K1068" s="1626">
        <v>43125</v>
      </c>
      <c r="L1068" s="1627" t="s">
        <v>2298</v>
      </c>
      <c r="M1068" s="1628">
        <v>2.6481000000000001E-2</v>
      </c>
      <c r="N1068" s="1629">
        <v>1.4018683652871589</v>
      </c>
      <c r="O1068" s="1629"/>
    </row>
    <row r="1069" spans="11:15">
      <c r="K1069" s="1626">
        <v>43126</v>
      </c>
      <c r="L1069" s="1627" t="s">
        <v>2298</v>
      </c>
      <c r="M1069" s="1628">
        <v>2.6481000000000001E-2</v>
      </c>
      <c r="N1069" s="1629">
        <v>1.4022395940489705</v>
      </c>
      <c r="O1069" s="1629"/>
    </row>
    <row r="1070" spans="11:15">
      <c r="K1070" s="1626">
        <v>43127</v>
      </c>
      <c r="L1070" s="1627"/>
      <c r="M1070" s="1628">
        <v>0</v>
      </c>
      <c r="N1070" s="1629">
        <v>1.4022395940489705</v>
      </c>
      <c r="O1070" s="1629"/>
    </row>
    <row r="1071" spans="11:15">
      <c r="K1071" s="1626">
        <v>43128</v>
      </c>
      <c r="L1071" s="1627"/>
      <c r="M1071" s="1628">
        <v>0</v>
      </c>
      <c r="N1071" s="1629">
        <v>1.4022395940489705</v>
      </c>
      <c r="O1071" s="1629"/>
    </row>
    <row r="1072" spans="11:15">
      <c r="K1072" s="1626">
        <v>43129</v>
      </c>
      <c r="L1072" s="1627" t="s">
        <v>2298</v>
      </c>
      <c r="M1072" s="1628">
        <v>2.6481000000000001E-2</v>
      </c>
      <c r="N1072" s="1629">
        <v>1.4026109211158706</v>
      </c>
      <c r="O1072" s="1629"/>
    </row>
    <row r="1073" spans="11:15">
      <c r="K1073" s="1626">
        <v>43130</v>
      </c>
      <c r="L1073" s="1627" t="s">
        <v>2298</v>
      </c>
      <c r="M1073" s="1628">
        <v>2.6481000000000001E-2</v>
      </c>
      <c r="N1073" s="1629">
        <v>1.4029823465138913</v>
      </c>
      <c r="O1073" s="1629"/>
    </row>
    <row r="1074" spans="11:15">
      <c r="K1074" s="1626">
        <v>43131</v>
      </c>
      <c r="L1074" s="1627" t="s">
        <v>2298</v>
      </c>
      <c r="M1074" s="1628">
        <v>2.6481000000000001E-2</v>
      </c>
      <c r="N1074" s="1629">
        <v>1.4033538702690718</v>
      </c>
      <c r="O1074" s="1629"/>
    </row>
    <row r="1075" spans="11:15">
      <c r="K1075" s="1626">
        <v>43132</v>
      </c>
      <c r="L1075" s="1627" t="s">
        <v>2298</v>
      </c>
      <c r="M1075" s="1628">
        <v>2.6481000000000001E-2</v>
      </c>
      <c r="N1075" s="1629">
        <v>1.4037254924074578</v>
      </c>
      <c r="O1075" s="1629"/>
    </row>
    <row r="1076" spans="11:15">
      <c r="K1076" s="1626">
        <v>43133</v>
      </c>
      <c r="L1076" s="1627" t="s">
        <v>2298</v>
      </c>
      <c r="M1076" s="1628">
        <v>2.6481000000000001E-2</v>
      </c>
      <c r="N1076" s="1629">
        <v>1.4040972129551021</v>
      </c>
      <c r="O1076" s="1629"/>
    </row>
    <row r="1077" spans="11:15">
      <c r="K1077" s="1626">
        <v>43134</v>
      </c>
      <c r="L1077" s="1627"/>
      <c r="M1077" s="1628">
        <v>0</v>
      </c>
      <c r="N1077" s="1629">
        <v>1.4040972129551021</v>
      </c>
      <c r="O1077" s="1629"/>
    </row>
    <row r="1078" spans="11:15">
      <c r="K1078" s="1626">
        <v>43135</v>
      </c>
      <c r="L1078" s="1627"/>
      <c r="M1078" s="1628">
        <v>0</v>
      </c>
      <c r="N1078" s="1629">
        <v>1.4040972129551021</v>
      </c>
      <c r="O1078" s="1629"/>
    </row>
    <row r="1079" spans="11:15">
      <c r="K1079" s="1626">
        <v>43136</v>
      </c>
      <c r="L1079" s="1627" t="s">
        <v>2298</v>
      </c>
      <c r="M1079" s="1628">
        <v>2.6481000000000001E-2</v>
      </c>
      <c r="N1079" s="1629">
        <v>1.4044690319380648</v>
      </c>
      <c r="O1079" s="1629"/>
    </row>
    <row r="1080" spans="11:15">
      <c r="K1080" s="1626">
        <v>43137</v>
      </c>
      <c r="L1080" s="1627" t="s">
        <v>2298</v>
      </c>
      <c r="M1080" s="1628">
        <v>2.6481000000000001E-2</v>
      </c>
      <c r="N1080" s="1629">
        <v>1.4048409493824123</v>
      </c>
      <c r="O1080" s="1629"/>
    </row>
    <row r="1081" spans="11:15">
      <c r="K1081" s="1626">
        <v>43138</v>
      </c>
      <c r="L1081" s="1627" t="s">
        <v>2298</v>
      </c>
      <c r="M1081" s="1628">
        <v>2.6481000000000001E-2</v>
      </c>
      <c r="N1081" s="1629">
        <v>1.4052129653142182</v>
      </c>
      <c r="O1081" s="1629"/>
    </row>
    <row r="1082" spans="11:15">
      <c r="K1082" s="1626">
        <v>43139</v>
      </c>
      <c r="L1082" s="1627" t="s">
        <v>2298</v>
      </c>
      <c r="M1082" s="1628">
        <v>2.5551999999999998E-2</v>
      </c>
      <c r="N1082" s="1629">
        <v>1.4055720253311155</v>
      </c>
      <c r="O1082" s="1629"/>
    </row>
    <row r="1083" spans="11:15">
      <c r="K1083" s="1626">
        <v>43140</v>
      </c>
      <c r="L1083" s="1627" t="s">
        <v>2298</v>
      </c>
      <c r="M1083" s="1628">
        <v>2.5551999999999998E-2</v>
      </c>
      <c r="N1083" s="1629">
        <v>1.4059311770950282</v>
      </c>
      <c r="O1083" s="1629"/>
    </row>
    <row r="1084" spans="11:15">
      <c r="K1084" s="1626">
        <v>43141</v>
      </c>
      <c r="L1084" s="1627"/>
      <c r="M1084" s="1628">
        <v>0</v>
      </c>
      <c r="N1084" s="1629">
        <v>1.4059311770950282</v>
      </c>
      <c r="O1084" s="1629"/>
    </row>
    <row r="1085" spans="11:15">
      <c r="K1085" s="1626">
        <v>43142</v>
      </c>
      <c r="L1085" s="1627"/>
      <c r="M1085" s="1628">
        <v>0</v>
      </c>
      <c r="N1085" s="1629">
        <v>1.4059311770950282</v>
      </c>
      <c r="O1085" s="1629"/>
    </row>
    <row r="1086" spans="11:15">
      <c r="K1086" s="1626">
        <v>43143</v>
      </c>
      <c r="L1086" s="1627"/>
      <c r="M1086" s="1628">
        <v>0</v>
      </c>
      <c r="N1086" s="1629">
        <v>1.4059311770950282</v>
      </c>
      <c r="O1086" s="1629"/>
    </row>
    <row r="1087" spans="11:15">
      <c r="K1087" s="1626">
        <v>43144</v>
      </c>
      <c r="L1087" s="1627"/>
      <c r="M1087" s="1628">
        <v>0</v>
      </c>
      <c r="N1087" s="1629">
        <v>1.4059311770950282</v>
      </c>
      <c r="O1087" s="1629"/>
    </row>
    <row r="1088" spans="11:15">
      <c r="K1088" s="1626">
        <v>43145</v>
      </c>
      <c r="L1088" s="1627" t="s">
        <v>2298</v>
      </c>
      <c r="M1088" s="1628">
        <v>2.5551999999999998E-2</v>
      </c>
      <c r="N1088" s="1629">
        <v>1.4062904206293996</v>
      </c>
      <c r="O1088" s="1629"/>
    </row>
    <row r="1089" spans="11:15">
      <c r="K1089" s="1626">
        <v>43146</v>
      </c>
      <c r="L1089" s="1627" t="s">
        <v>2298</v>
      </c>
      <c r="M1089" s="1628">
        <v>2.5551999999999998E-2</v>
      </c>
      <c r="N1089" s="1629">
        <v>1.4066497559576789</v>
      </c>
      <c r="O1089" s="1629"/>
    </row>
    <row r="1090" spans="11:15">
      <c r="K1090" s="1626">
        <v>43147</v>
      </c>
      <c r="L1090" s="1627" t="s">
        <v>2298</v>
      </c>
      <c r="M1090" s="1628">
        <v>2.5551999999999998E-2</v>
      </c>
      <c r="N1090" s="1629">
        <v>1.4070091831033213</v>
      </c>
      <c r="O1090" s="1629"/>
    </row>
    <row r="1091" spans="11:15">
      <c r="K1091" s="1626">
        <v>43148</v>
      </c>
      <c r="L1091" s="1627"/>
      <c r="M1091" s="1628">
        <v>0</v>
      </c>
      <c r="N1091" s="1629">
        <v>1.4070091831033213</v>
      </c>
      <c r="O1091" s="1629"/>
    </row>
    <row r="1092" spans="11:15">
      <c r="K1092" s="1626">
        <v>43149</v>
      </c>
      <c r="L1092" s="1627"/>
      <c r="M1092" s="1628">
        <v>0</v>
      </c>
      <c r="N1092" s="1629">
        <v>1.4070091831033213</v>
      </c>
      <c r="O1092" s="1629"/>
    </row>
    <row r="1093" spans="11:15">
      <c r="K1093" s="1626">
        <v>43150</v>
      </c>
      <c r="L1093" s="1627" t="s">
        <v>2298</v>
      </c>
      <c r="M1093" s="1628">
        <v>2.5551999999999998E-2</v>
      </c>
      <c r="N1093" s="1629">
        <v>1.407368702089788</v>
      </c>
      <c r="O1093" s="1629"/>
    </row>
    <row r="1094" spans="11:15">
      <c r="K1094" s="1626">
        <v>43151</v>
      </c>
      <c r="L1094" s="1627" t="s">
        <v>2298</v>
      </c>
      <c r="M1094" s="1628">
        <v>2.5551999999999998E-2</v>
      </c>
      <c r="N1094" s="1629">
        <v>1.407728312940546</v>
      </c>
      <c r="O1094" s="1629"/>
    </row>
    <row r="1095" spans="11:15">
      <c r="K1095" s="1626">
        <v>43152</v>
      </c>
      <c r="L1095" s="1627" t="s">
        <v>2298</v>
      </c>
      <c r="M1095" s="1628">
        <v>2.5551999999999998E-2</v>
      </c>
      <c r="N1095" s="1629">
        <v>1.4080880156790687</v>
      </c>
      <c r="O1095" s="1629"/>
    </row>
    <row r="1096" spans="11:15">
      <c r="K1096" s="1626">
        <v>43153</v>
      </c>
      <c r="L1096" s="1627" t="s">
        <v>2298</v>
      </c>
      <c r="M1096" s="1628">
        <v>2.5551999999999998E-2</v>
      </c>
      <c r="N1096" s="1629">
        <v>1.4084478103288351</v>
      </c>
      <c r="O1096" s="1629"/>
    </row>
    <row r="1097" spans="11:15">
      <c r="K1097" s="1626">
        <v>43154</v>
      </c>
      <c r="L1097" s="1627" t="s">
        <v>2298</v>
      </c>
      <c r="M1097" s="1628">
        <v>2.5551999999999998E-2</v>
      </c>
      <c r="N1097" s="1629">
        <v>1.4088076969133305</v>
      </c>
      <c r="O1097" s="1629"/>
    </row>
    <row r="1098" spans="11:15">
      <c r="K1098" s="1626">
        <v>43155</v>
      </c>
      <c r="L1098" s="1627"/>
      <c r="M1098" s="1628">
        <v>0</v>
      </c>
      <c r="N1098" s="1629">
        <v>1.4088076969133305</v>
      </c>
      <c r="O1098" s="1629"/>
    </row>
    <row r="1099" spans="11:15">
      <c r="K1099" s="1626">
        <v>43156</v>
      </c>
      <c r="L1099" s="1627"/>
      <c r="M1099" s="1628">
        <v>0</v>
      </c>
      <c r="N1099" s="1629">
        <v>1.4088076969133305</v>
      </c>
      <c r="O1099" s="1629"/>
    </row>
    <row r="1100" spans="11:15">
      <c r="K1100" s="1626">
        <v>43157</v>
      </c>
      <c r="L1100" s="1627" t="s">
        <v>2298</v>
      </c>
      <c r="M1100" s="1628">
        <v>2.5551999999999998E-2</v>
      </c>
      <c r="N1100" s="1629">
        <v>1.4091676754560458</v>
      </c>
      <c r="O1100" s="1629"/>
    </row>
    <row r="1101" spans="11:15">
      <c r="K1101" s="1626">
        <v>43158</v>
      </c>
      <c r="L1101" s="1627" t="s">
        <v>2298</v>
      </c>
      <c r="M1101" s="1628">
        <v>2.5551999999999998E-2</v>
      </c>
      <c r="N1101" s="1629">
        <v>1.4095277459804785</v>
      </c>
      <c r="O1101" s="1629"/>
    </row>
    <row r="1102" spans="11:15">
      <c r="K1102" s="1626">
        <v>43159</v>
      </c>
      <c r="L1102" s="1627" t="s">
        <v>2298</v>
      </c>
      <c r="M1102" s="1628">
        <v>2.5551999999999998E-2</v>
      </c>
      <c r="N1102" s="1629">
        <v>1.4098879085101315</v>
      </c>
      <c r="O1102" s="1629"/>
    </row>
    <row r="1103" spans="11:15">
      <c r="K1103" s="1626">
        <v>43160</v>
      </c>
      <c r="L1103" s="1627" t="s">
        <v>2298</v>
      </c>
      <c r="M1103" s="1628">
        <v>2.5551999999999998E-2</v>
      </c>
      <c r="N1103" s="1629">
        <v>1.410248163068514</v>
      </c>
      <c r="O1103" s="1629"/>
    </row>
    <row r="1104" spans="11:15">
      <c r="K1104" s="1626">
        <v>43161</v>
      </c>
      <c r="L1104" s="1627" t="s">
        <v>2298</v>
      </c>
      <c r="M1104" s="1628">
        <v>2.5551999999999998E-2</v>
      </c>
      <c r="N1104" s="1629">
        <v>1.4106085096791414</v>
      </c>
      <c r="O1104" s="1629"/>
    </row>
    <row r="1105" spans="11:15">
      <c r="K1105" s="1626">
        <v>43162</v>
      </c>
      <c r="L1105" s="1627"/>
      <c r="M1105" s="1628">
        <v>0</v>
      </c>
      <c r="N1105" s="1629">
        <v>1.4106085096791414</v>
      </c>
      <c r="O1105" s="1629"/>
    </row>
    <row r="1106" spans="11:15">
      <c r="K1106" s="1626">
        <v>43163</v>
      </c>
      <c r="L1106" s="1627"/>
      <c r="M1106" s="1628">
        <v>0</v>
      </c>
      <c r="N1106" s="1629">
        <v>1.4106085096791414</v>
      </c>
      <c r="O1106" s="1629"/>
    </row>
    <row r="1107" spans="11:15">
      <c r="K1107" s="1626">
        <v>43164</v>
      </c>
      <c r="L1107" s="1627" t="s">
        <v>2298</v>
      </c>
      <c r="M1107" s="1628">
        <v>2.5551999999999998E-2</v>
      </c>
      <c r="N1107" s="1629">
        <v>1.4109689483655348</v>
      </c>
      <c r="O1107" s="1629"/>
    </row>
    <row r="1108" spans="11:15">
      <c r="K1108" s="1626">
        <v>43165</v>
      </c>
      <c r="L1108" s="1627" t="s">
        <v>2298</v>
      </c>
      <c r="M1108" s="1628">
        <v>2.5551999999999998E-2</v>
      </c>
      <c r="N1108" s="1629">
        <v>1.4113294791512212</v>
      </c>
      <c r="O1108" s="1629"/>
    </row>
    <row r="1109" spans="11:15">
      <c r="K1109" s="1626">
        <v>43166</v>
      </c>
      <c r="L1109" s="1627" t="s">
        <v>2298</v>
      </c>
      <c r="M1109" s="1628">
        <v>2.5551999999999998E-2</v>
      </c>
      <c r="N1109" s="1629">
        <v>1.4116901020597341</v>
      </c>
      <c r="O1109" s="1629"/>
    </row>
    <row r="1110" spans="11:15">
      <c r="K1110" s="1626">
        <v>43167</v>
      </c>
      <c r="L1110" s="1627" t="s">
        <v>2298</v>
      </c>
      <c r="M1110" s="1628">
        <v>2.5551999999999998E-2</v>
      </c>
      <c r="N1110" s="1629">
        <v>1.4120508171146124</v>
      </c>
      <c r="O1110" s="1629"/>
    </row>
    <row r="1111" spans="11:15">
      <c r="K1111" s="1626">
        <v>43168</v>
      </c>
      <c r="L1111" s="1627" t="s">
        <v>2298</v>
      </c>
      <c r="M1111" s="1628">
        <v>2.5551999999999998E-2</v>
      </c>
      <c r="N1111" s="1629">
        <v>1.4124116243394016</v>
      </c>
      <c r="O1111" s="1629"/>
    </row>
    <row r="1112" spans="11:15">
      <c r="K1112" s="1626">
        <v>43169</v>
      </c>
      <c r="L1112" s="1627"/>
      <c r="M1112" s="1628">
        <v>0</v>
      </c>
      <c r="N1112" s="1629">
        <v>1.4124116243394016</v>
      </c>
      <c r="O1112" s="1629"/>
    </row>
    <row r="1113" spans="11:15">
      <c r="K1113" s="1626">
        <v>43170</v>
      </c>
      <c r="L1113" s="1627"/>
      <c r="M1113" s="1628">
        <v>0</v>
      </c>
      <c r="N1113" s="1629">
        <v>1.4124116243394016</v>
      </c>
      <c r="O1113" s="1629"/>
    </row>
    <row r="1114" spans="11:15">
      <c r="K1114" s="1626">
        <v>43171</v>
      </c>
      <c r="L1114" s="1627" t="s">
        <v>2298</v>
      </c>
      <c r="M1114" s="1628">
        <v>2.5551999999999998E-2</v>
      </c>
      <c r="N1114" s="1629">
        <v>1.4127725237576529</v>
      </c>
      <c r="O1114" s="1629"/>
    </row>
    <row r="1115" spans="11:15">
      <c r="K1115" s="1626">
        <v>43172</v>
      </c>
      <c r="L1115" s="1627" t="s">
        <v>2298</v>
      </c>
      <c r="M1115" s="1628">
        <v>2.5551999999999998E-2</v>
      </c>
      <c r="N1115" s="1629">
        <v>1.4131335153929236</v>
      </c>
      <c r="O1115" s="1629"/>
    </row>
    <row r="1116" spans="11:15">
      <c r="K1116" s="1626">
        <v>43173</v>
      </c>
      <c r="L1116" s="1627" t="s">
        <v>2298</v>
      </c>
      <c r="M1116" s="1628">
        <v>2.5551999999999998E-2</v>
      </c>
      <c r="N1116" s="1629">
        <v>1.4134945992687769</v>
      </c>
      <c r="O1116" s="1629"/>
    </row>
    <row r="1117" spans="11:15">
      <c r="K1117" s="1626">
        <v>43174</v>
      </c>
      <c r="L1117" s="1627" t="s">
        <v>2298</v>
      </c>
      <c r="M1117" s="1628">
        <v>2.5551999999999998E-2</v>
      </c>
      <c r="N1117" s="1629">
        <v>1.4138557754087822</v>
      </c>
      <c r="O1117" s="1629"/>
    </row>
    <row r="1118" spans="11:15">
      <c r="K1118" s="1626">
        <v>43175</v>
      </c>
      <c r="L1118" s="1627" t="s">
        <v>2298</v>
      </c>
      <c r="M1118" s="1628">
        <v>2.5551999999999998E-2</v>
      </c>
      <c r="N1118" s="1629">
        <v>1.4142170438365147</v>
      </c>
      <c r="O1118" s="1629"/>
    </row>
    <row r="1119" spans="11:15">
      <c r="K1119" s="1626">
        <v>43176</v>
      </c>
      <c r="L1119" s="1627"/>
      <c r="M1119" s="1628">
        <v>0</v>
      </c>
      <c r="N1119" s="1629">
        <v>1.4142170438365147</v>
      </c>
      <c r="O1119" s="1629"/>
    </row>
    <row r="1120" spans="11:15">
      <c r="K1120" s="1626">
        <v>43177</v>
      </c>
      <c r="L1120" s="1627"/>
      <c r="M1120" s="1628">
        <v>0</v>
      </c>
      <c r="N1120" s="1629">
        <v>1.4142170438365147</v>
      </c>
      <c r="O1120" s="1629"/>
    </row>
    <row r="1121" spans="11:15">
      <c r="K1121" s="1626">
        <v>43178</v>
      </c>
      <c r="L1121" s="1627" t="s">
        <v>2298</v>
      </c>
      <c r="M1121" s="1628">
        <v>2.5551999999999998E-2</v>
      </c>
      <c r="N1121" s="1629">
        <v>1.4145784045755558</v>
      </c>
      <c r="O1121" s="1629"/>
    </row>
    <row r="1122" spans="11:15">
      <c r="K1122" s="1626">
        <v>43179</v>
      </c>
      <c r="L1122" s="1627" t="s">
        <v>2298</v>
      </c>
      <c r="M1122" s="1628">
        <v>2.5551999999999998E-2</v>
      </c>
      <c r="N1122" s="1629">
        <v>1.4149398576494931</v>
      </c>
      <c r="O1122" s="1629"/>
    </row>
    <row r="1123" spans="11:15">
      <c r="K1123" s="1626">
        <v>43180</v>
      </c>
      <c r="L1123" s="1627" t="s">
        <v>2298</v>
      </c>
      <c r="M1123" s="1628">
        <v>2.5551999999999998E-2</v>
      </c>
      <c r="N1123" s="1629">
        <v>1.4153014030819198</v>
      </c>
      <c r="O1123" s="1629"/>
    </row>
    <row r="1124" spans="11:15">
      <c r="K1124" s="1626">
        <v>43181</v>
      </c>
      <c r="L1124" s="1627" t="s">
        <v>2298</v>
      </c>
      <c r="M1124" s="1628">
        <v>2.462E-2</v>
      </c>
      <c r="N1124" s="1629">
        <v>1.4156498502873587</v>
      </c>
      <c r="O1124" s="1629"/>
    </row>
    <row r="1125" spans="11:15">
      <c r="K1125" s="1626">
        <v>43182</v>
      </c>
      <c r="L1125" s="1627" t="s">
        <v>2298</v>
      </c>
      <c r="M1125" s="1628">
        <v>2.462E-2</v>
      </c>
      <c r="N1125" s="1629">
        <v>1.4159983832804997</v>
      </c>
      <c r="O1125" s="1629"/>
    </row>
    <row r="1126" spans="11:15">
      <c r="K1126" s="1626">
        <v>43183</v>
      </c>
      <c r="L1126" s="1627"/>
      <c r="M1126" s="1628">
        <v>0</v>
      </c>
      <c r="N1126" s="1629">
        <v>1.4159983832804997</v>
      </c>
      <c r="O1126" s="1629"/>
    </row>
    <row r="1127" spans="11:15">
      <c r="K1127" s="1626">
        <v>43184</v>
      </c>
      <c r="L1127" s="1627"/>
      <c r="M1127" s="1628">
        <v>0</v>
      </c>
      <c r="N1127" s="1629">
        <v>1.4159983832804997</v>
      </c>
      <c r="O1127" s="1629"/>
    </row>
    <row r="1128" spans="11:15">
      <c r="K1128" s="1626">
        <v>43185</v>
      </c>
      <c r="L1128" s="1627" t="s">
        <v>2298</v>
      </c>
      <c r="M1128" s="1628">
        <v>2.462E-2</v>
      </c>
      <c r="N1128" s="1629">
        <v>1.4163470020824633</v>
      </c>
      <c r="O1128" s="1629"/>
    </row>
    <row r="1129" spans="11:15">
      <c r="K1129" s="1626">
        <v>43186</v>
      </c>
      <c r="L1129" s="1627" t="s">
        <v>2298</v>
      </c>
      <c r="M1129" s="1628">
        <v>2.462E-2</v>
      </c>
      <c r="N1129" s="1629">
        <v>1.4166957067143762</v>
      </c>
      <c r="O1129" s="1629"/>
    </row>
    <row r="1130" spans="11:15">
      <c r="K1130" s="1626">
        <v>43187</v>
      </c>
      <c r="L1130" s="1627" t="s">
        <v>2298</v>
      </c>
      <c r="M1130" s="1628">
        <v>2.462E-2</v>
      </c>
      <c r="N1130" s="1629">
        <v>1.4170444971973695</v>
      </c>
      <c r="O1130" s="1629"/>
    </row>
    <row r="1131" spans="11:15">
      <c r="K1131" s="1626">
        <v>43188</v>
      </c>
      <c r="L1131" s="1627" t="s">
        <v>2298</v>
      </c>
      <c r="M1131" s="1628">
        <v>2.462E-2</v>
      </c>
      <c r="N1131" s="1629">
        <v>1.4173933735525797</v>
      </c>
      <c r="O1131" s="1629"/>
    </row>
    <row r="1132" spans="11:15">
      <c r="K1132" s="1626">
        <v>43189</v>
      </c>
      <c r="L1132" s="1627"/>
      <c r="M1132" s="1628">
        <v>0</v>
      </c>
      <c r="N1132" s="1629">
        <v>1.4173933735525797</v>
      </c>
      <c r="O1132" s="1629"/>
    </row>
    <row r="1133" spans="11:15">
      <c r="K1133" s="1626">
        <v>43190</v>
      </c>
      <c r="L1133" s="1627"/>
      <c r="M1133" s="1628">
        <v>0</v>
      </c>
      <c r="N1133" s="1629">
        <v>1.4173933735525797</v>
      </c>
      <c r="O1133" s="1629"/>
    </row>
    <row r="1134" spans="11:15">
      <c r="K1134" s="1626">
        <v>43191</v>
      </c>
      <c r="L1134" s="1627"/>
      <c r="M1134" s="1628">
        <v>0</v>
      </c>
      <c r="N1134" s="1629">
        <v>1.4173933735525797</v>
      </c>
      <c r="O1134" s="1629"/>
    </row>
    <row r="1135" spans="11:15">
      <c r="K1135" s="1626">
        <v>43192</v>
      </c>
      <c r="L1135" s="1627" t="s">
        <v>2298</v>
      </c>
      <c r="M1135" s="1628">
        <v>2.462E-2</v>
      </c>
      <c r="N1135" s="1629">
        <v>1.4177423358011485</v>
      </c>
      <c r="O1135" s="1629"/>
    </row>
    <row r="1136" spans="11:15">
      <c r="K1136" s="1626">
        <v>43193</v>
      </c>
      <c r="L1136" s="1627" t="s">
        <v>2298</v>
      </c>
      <c r="M1136" s="1628">
        <v>2.462E-2</v>
      </c>
      <c r="N1136" s="1629">
        <v>1.4180913839642229</v>
      </c>
      <c r="O1136" s="1629"/>
    </row>
    <row r="1137" spans="11:15">
      <c r="K1137" s="1626">
        <v>43194</v>
      </c>
      <c r="L1137" s="1627" t="s">
        <v>2298</v>
      </c>
      <c r="M1137" s="1628">
        <v>2.462E-2</v>
      </c>
      <c r="N1137" s="1629">
        <v>1.4184405180629549</v>
      </c>
      <c r="O1137" s="1629"/>
    </row>
    <row r="1138" spans="11:15">
      <c r="K1138" s="1626">
        <v>43195</v>
      </c>
      <c r="L1138" s="1627" t="s">
        <v>2298</v>
      </c>
      <c r="M1138" s="1628">
        <v>2.462E-2</v>
      </c>
      <c r="N1138" s="1629">
        <v>1.4187897381185022</v>
      </c>
      <c r="O1138" s="1629"/>
    </row>
    <row r="1139" spans="11:15">
      <c r="K1139" s="1626">
        <v>43196</v>
      </c>
      <c r="L1139" s="1627" t="s">
        <v>2298</v>
      </c>
      <c r="M1139" s="1628">
        <v>2.462E-2</v>
      </c>
      <c r="N1139" s="1629">
        <v>1.4191390441520271</v>
      </c>
      <c r="O1139" s="1629"/>
    </row>
    <row r="1140" spans="11:15">
      <c r="K1140" s="1626">
        <v>43197</v>
      </c>
      <c r="L1140" s="1627"/>
      <c r="M1140" s="1628">
        <v>0</v>
      </c>
      <c r="N1140" s="1629">
        <v>1.4191390441520271</v>
      </c>
      <c r="O1140" s="1629"/>
    </row>
    <row r="1141" spans="11:15">
      <c r="K1141" s="1626">
        <v>43198</v>
      </c>
      <c r="L1141" s="1627"/>
      <c r="M1141" s="1628">
        <v>0</v>
      </c>
      <c r="N1141" s="1629">
        <v>1.4191390441520271</v>
      </c>
      <c r="O1141" s="1629"/>
    </row>
    <row r="1142" spans="11:15">
      <c r="K1142" s="1626">
        <v>43199</v>
      </c>
      <c r="L1142" s="1627" t="s">
        <v>2298</v>
      </c>
      <c r="M1142" s="1628">
        <v>2.462E-2</v>
      </c>
      <c r="N1142" s="1629">
        <v>1.4194884361846973</v>
      </c>
      <c r="O1142" s="1629"/>
    </row>
    <row r="1143" spans="11:15">
      <c r="K1143" s="1626">
        <v>43200</v>
      </c>
      <c r="L1143" s="1627" t="s">
        <v>2298</v>
      </c>
      <c r="M1143" s="1628">
        <v>2.462E-2</v>
      </c>
      <c r="N1143" s="1629">
        <v>1.419837914237686</v>
      </c>
      <c r="O1143" s="1629"/>
    </row>
    <row r="1144" spans="11:15">
      <c r="K1144" s="1626">
        <v>43201</v>
      </c>
      <c r="L1144" s="1627" t="s">
        <v>2298</v>
      </c>
      <c r="M1144" s="1628">
        <v>2.462E-2</v>
      </c>
      <c r="N1144" s="1629">
        <v>1.4201874783321715</v>
      </c>
      <c r="O1144" s="1629"/>
    </row>
    <row r="1145" spans="11:15">
      <c r="K1145" s="1626">
        <v>43202</v>
      </c>
      <c r="L1145" s="1627" t="s">
        <v>2298</v>
      </c>
      <c r="M1145" s="1628">
        <v>2.462E-2</v>
      </c>
      <c r="N1145" s="1629">
        <v>1.4205371284893371</v>
      </c>
      <c r="O1145" s="1629"/>
    </row>
    <row r="1146" spans="11:15">
      <c r="K1146" s="1626">
        <v>43203</v>
      </c>
      <c r="L1146" s="1627" t="s">
        <v>2298</v>
      </c>
      <c r="M1146" s="1628">
        <v>2.462E-2</v>
      </c>
      <c r="N1146" s="1629">
        <v>1.4208868647303714</v>
      </c>
      <c r="O1146" s="1629"/>
    </row>
    <row r="1147" spans="11:15">
      <c r="K1147" s="1626">
        <v>43204</v>
      </c>
      <c r="L1147" s="1627"/>
      <c r="M1147" s="1628">
        <v>0</v>
      </c>
      <c r="N1147" s="1629">
        <v>1.4208868647303714</v>
      </c>
      <c r="O1147" s="1629"/>
    </row>
    <row r="1148" spans="11:15">
      <c r="K1148" s="1626">
        <v>43205</v>
      </c>
      <c r="L1148" s="1627"/>
      <c r="M1148" s="1628">
        <v>0</v>
      </c>
      <c r="N1148" s="1629">
        <v>1.4208868647303714</v>
      </c>
      <c r="O1148" s="1629"/>
    </row>
    <row r="1149" spans="11:15">
      <c r="K1149" s="1626">
        <v>43206</v>
      </c>
      <c r="L1149" s="1627" t="s">
        <v>2298</v>
      </c>
      <c r="M1149" s="1628">
        <v>2.462E-2</v>
      </c>
      <c r="N1149" s="1629">
        <v>1.4212366870764681</v>
      </c>
      <c r="O1149" s="1629"/>
    </row>
    <row r="1150" spans="11:15">
      <c r="K1150" s="1626">
        <v>43207</v>
      </c>
      <c r="L1150" s="1627" t="s">
        <v>2298</v>
      </c>
      <c r="M1150" s="1628">
        <v>2.462E-2</v>
      </c>
      <c r="N1150" s="1629">
        <v>1.4215865955488265</v>
      </c>
      <c r="O1150" s="1629"/>
    </row>
    <row r="1151" spans="11:15">
      <c r="K1151" s="1626">
        <v>43208</v>
      </c>
      <c r="L1151" s="1627" t="s">
        <v>2298</v>
      </c>
      <c r="M1151" s="1628">
        <v>2.462E-2</v>
      </c>
      <c r="N1151" s="1629">
        <v>1.4219365901686507</v>
      </c>
      <c r="O1151" s="1629"/>
    </row>
    <row r="1152" spans="11:15">
      <c r="K1152" s="1626">
        <v>43209</v>
      </c>
      <c r="L1152" s="1627" t="s">
        <v>2298</v>
      </c>
      <c r="M1152" s="1628">
        <v>2.462E-2</v>
      </c>
      <c r="N1152" s="1629">
        <v>1.4222866709571504</v>
      </c>
      <c r="O1152" s="1629"/>
    </row>
    <row r="1153" spans="11:15">
      <c r="K1153" s="1626">
        <v>43210</v>
      </c>
      <c r="L1153" s="1627" t="s">
        <v>2298</v>
      </c>
      <c r="M1153" s="1628">
        <v>2.462E-2</v>
      </c>
      <c r="N1153" s="1629">
        <v>1.4226368379355403</v>
      </c>
      <c r="O1153" s="1629"/>
    </row>
    <row r="1154" spans="11:15">
      <c r="K1154" s="1626">
        <v>43211</v>
      </c>
      <c r="L1154" s="1627"/>
      <c r="M1154" s="1628">
        <v>0</v>
      </c>
      <c r="N1154" s="1629">
        <v>1.4226368379355403</v>
      </c>
      <c r="O1154" s="1629"/>
    </row>
    <row r="1155" spans="11:15">
      <c r="K1155" s="1626">
        <v>43212</v>
      </c>
      <c r="L1155" s="1627"/>
      <c r="M1155" s="1628">
        <v>0</v>
      </c>
      <c r="N1155" s="1629">
        <v>1.4226368379355403</v>
      </c>
      <c r="O1155" s="1629"/>
    </row>
    <row r="1156" spans="11:15">
      <c r="K1156" s="1626">
        <v>43213</v>
      </c>
      <c r="L1156" s="1627" t="s">
        <v>2298</v>
      </c>
      <c r="M1156" s="1628">
        <v>2.462E-2</v>
      </c>
      <c r="N1156" s="1629">
        <v>1.4229870911250402</v>
      </c>
      <c r="O1156" s="1629"/>
    </row>
    <row r="1157" spans="11:15">
      <c r="K1157" s="1626">
        <v>43214</v>
      </c>
      <c r="L1157" s="1627" t="s">
        <v>2298</v>
      </c>
      <c r="M1157" s="1628">
        <v>2.462E-2</v>
      </c>
      <c r="N1157" s="1629">
        <v>1.4233374305468753</v>
      </c>
      <c r="O1157" s="1629"/>
    </row>
    <row r="1158" spans="11:15">
      <c r="K1158" s="1626">
        <v>43215</v>
      </c>
      <c r="L1158" s="1627" t="s">
        <v>2298</v>
      </c>
      <c r="M1158" s="1628">
        <v>2.462E-2</v>
      </c>
      <c r="N1158" s="1629">
        <v>1.4236878562222761</v>
      </c>
      <c r="O1158" s="1629"/>
    </row>
    <row r="1159" spans="11:15">
      <c r="K1159" s="1626">
        <v>43216</v>
      </c>
      <c r="L1159" s="1627" t="s">
        <v>2298</v>
      </c>
      <c r="M1159" s="1628">
        <v>2.462E-2</v>
      </c>
      <c r="N1159" s="1629">
        <v>1.4240383681724782</v>
      </c>
      <c r="O1159" s="1629"/>
    </row>
    <row r="1160" spans="11:15">
      <c r="K1160" s="1626">
        <v>43217</v>
      </c>
      <c r="L1160" s="1627" t="s">
        <v>2298</v>
      </c>
      <c r="M1160" s="1628">
        <v>2.462E-2</v>
      </c>
      <c r="N1160" s="1629">
        <v>1.4243889664187224</v>
      </c>
      <c r="O1160" s="1629"/>
    </row>
    <row r="1161" spans="11:15">
      <c r="K1161" s="1626">
        <v>43218</v>
      </c>
      <c r="L1161" s="1627"/>
      <c r="M1161" s="1628">
        <v>0</v>
      </c>
      <c r="N1161" s="1629">
        <v>1.4243889664187224</v>
      </c>
      <c r="O1161" s="1629"/>
    </row>
    <row r="1162" spans="11:15">
      <c r="K1162" s="1626">
        <v>43219</v>
      </c>
      <c r="L1162" s="1627"/>
      <c r="M1162" s="1628">
        <v>0</v>
      </c>
      <c r="N1162" s="1629">
        <v>1.4243889664187224</v>
      </c>
      <c r="O1162" s="1629"/>
    </row>
    <row r="1163" spans="11:15">
      <c r="K1163" s="1626">
        <v>43220</v>
      </c>
      <c r="L1163" s="1627" t="s">
        <v>2298</v>
      </c>
      <c r="M1163" s="1628">
        <v>2.462E-2</v>
      </c>
      <c r="N1163" s="1629">
        <v>1.4247396509822547</v>
      </c>
      <c r="O1163" s="1629"/>
    </row>
    <row r="1164" spans="11:15">
      <c r="K1164" s="1626">
        <v>43221</v>
      </c>
      <c r="L1164" s="1627"/>
      <c r="M1164" s="1628">
        <v>0</v>
      </c>
      <c r="N1164" s="1629">
        <v>1.4247396509822547</v>
      </c>
      <c r="O1164" s="1629"/>
    </row>
    <row r="1165" spans="11:15">
      <c r="K1165" s="1626">
        <v>43222</v>
      </c>
      <c r="L1165" s="1627" t="s">
        <v>2298</v>
      </c>
      <c r="M1165" s="1628">
        <v>2.462E-2</v>
      </c>
      <c r="N1165" s="1629">
        <v>1.4250904218843268</v>
      </c>
      <c r="O1165" s="1629"/>
    </row>
    <row r="1166" spans="11:15">
      <c r="K1166" s="1626">
        <v>43223</v>
      </c>
      <c r="L1166" s="1627" t="s">
        <v>2298</v>
      </c>
      <c r="M1166" s="1628">
        <v>2.462E-2</v>
      </c>
      <c r="N1166" s="1629">
        <v>1.4254412791461948</v>
      </c>
      <c r="O1166" s="1629"/>
    </row>
    <row r="1167" spans="11:15">
      <c r="K1167" s="1626">
        <v>43224</v>
      </c>
      <c r="L1167" s="1627" t="s">
        <v>2298</v>
      </c>
      <c r="M1167" s="1628">
        <v>2.462E-2</v>
      </c>
      <c r="N1167" s="1629">
        <v>1.4257922227891207</v>
      </c>
      <c r="O1167" s="1629"/>
    </row>
    <row r="1168" spans="11:15">
      <c r="K1168" s="1626">
        <v>43225</v>
      </c>
      <c r="L1168" s="1627"/>
      <c r="M1168" s="1628">
        <v>0</v>
      </c>
      <c r="N1168" s="1629">
        <v>1.4257922227891207</v>
      </c>
      <c r="O1168" s="1629"/>
    </row>
    <row r="1169" spans="11:15">
      <c r="K1169" s="1626">
        <v>43226</v>
      </c>
      <c r="L1169" s="1627"/>
      <c r="M1169" s="1628">
        <v>0</v>
      </c>
      <c r="N1169" s="1629">
        <v>1.4257922227891207</v>
      </c>
      <c r="O1169" s="1629"/>
    </row>
    <row r="1170" spans="11:15">
      <c r="K1170" s="1626">
        <v>43227</v>
      </c>
      <c r="L1170" s="1627" t="s">
        <v>2298</v>
      </c>
      <c r="M1170" s="1628">
        <v>2.462E-2</v>
      </c>
      <c r="N1170" s="1629">
        <v>1.4261432528343714</v>
      </c>
      <c r="O1170" s="1629"/>
    </row>
    <row r="1171" spans="11:15">
      <c r="K1171" s="1626">
        <v>43228</v>
      </c>
      <c r="L1171" s="1627" t="s">
        <v>2298</v>
      </c>
      <c r="M1171" s="1628">
        <v>2.462E-2</v>
      </c>
      <c r="N1171" s="1629">
        <v>1.4264943693032193</v>
      </c>
      <c r="O1171" s="1629"/>
    </row>
    <row r="1172" spans="11:15">
      <c r="K1172" s="1626">
        <v>43229</v>
      </c>
      <c r="L1172" s="1627" t="s">
        <v>2298</v>
      </c>
      <c r="M1172" s="1628">
        <v>2.462E-2</v>
      </c>
      <c r="N1172" s="1629">
        <v>1.4268455722169417</v>
      </c>
      <c r="O1172" s="1629"/>
    </row>
    <row r="1173" spans="11:15">
      <c r="K1173" s="1626">
        <v>43230</v>
      </c>
      <c r="L1173" s="1627" t="s">
        <v>2298</v>
      </c>
      <c r="M1173" s="1628">
        <v>2.462E-2</v>
      </c>
      <c r="N1173" s="1629">
        <v>1.4271968615968216</v>
      </c>
      <c r="O1173" s="1629"/>
    </row>
    <row r="1174" spans="11:15">
      <c r="K1174" s="1626">
        <v>43231</v>
      </c>
      <c r="L1174" s="1627" t="s">
        <v>2298</v>
      </c>
      <c r="M1174" s="1628">
        <v>2.462E-2</v>
      </c>
      <c r="N1174" s="1629">
        <v>1.4275482374641468</v>
      </c>
      <c r="O1174" s="1629"/>
    </row>
    <row r="1175" spans="11:15">
      <c r="K1175" s="1626">
        <v>43232</v>
      </c>
      <c r="L1175" s="1627"/>
      <c r="M1175" s="1628">
        <v>0</v>
      </c>
      <c r="N1175" s="1629">
        <v>1.4275482374641468</v>
      </c>
      <c r="O1175" s="1629"/>
    </row>
    <row r="1176" spans="11:15">
      <c r="K1176" s="1626">
        <v>43233</v>
      </c>
      <c r="L1176" s="1627"/>
      <c r="M1176" s="1628">
        <v>0</v>
      </c>
      <c r="N1176" s="1629">
        <v>1.4275482374641468</v>
      </c>
      <c r="O1176" s="1629"/>
    </row>
    <row r="1177" spans="11:15">
      <c r="K1177" s="1626">
        <v>43234</v>
      </c>
      <c r="L1177" s="1627" t="s">
        <v>2298</v>
      </c>
      <c r="M1177" s="1628">
        <v>2.462E-2</v>
      </c>
      <c r="N1177" s="1629">
        <v>1.4278996998402107</v>
      </c>
      <c r="O1177" s="1629"/>
    </row>
    <row r="1178" spans="11:15">
      <c r="K1178" s="1626">
        <v>43235</v>
      </c>
      <c r="L1178" s="1627" t="s">
        <v>2298</v>
      </c>
      <c r="M1178" s="1628">
        <v>2.462E-2</v>
      </c>
      <c r="N1178" s="1629">
        <v>1.4282512487463115</v>
      </c>
      <c r="O1178" s="1629"/>
    </row>
    <row r="1179" spans="11:15">
      <c r="K1179" s="1626">
        <v>43236</v>
      </c>
      <c r="L1179" s="1627" t="s">
        <v>2298</v>
      </c>
      <c r="M1179" s="1628">
        <v>2.462E-2</v>
      </c>
      <c r="N1179" s="1629">
        <v>1.428602884203753</v>
      </c>
      <c r="O1179" s="1629"/>
    </row>
    <row r="1180" spans="11:15">
      <c r="K1180" s="1626">
        <v>43237</v>
      </c>
      <c r="L1180" s="1627" t="s">
        <v>2298</v>
      </c>
      <c r="M1180" s="1628">
        <v>2.462E-2</v>
      </c>
      <c r="N1180" s="1629">
        <v>1.4289546062338441</v>
      </c>
      <c r="O1180" s="1629"/>
    </row>
    <row r="1181" spans="11:15">
      <c r="K1181" s="1626">
        <v>43238</v>
      </c>
      <c r="L1181" s="1627" t="s">
        <v>2298</v>
      </c>
      <c r="M1181" s="1628">
        <v>2.462E-2</v>
      </c>
      <c r="N1181" s="1629">
        <v>1.4293064148578989</v>
      </c>
      <c r="O1181" s="1629"/>
    </row>
    <row r="1182" spans="11:15">
      <c r="K1182" s="1626">
        <v>43239</v>
      </c>
      <c r="L1182" s="1627"/>
      <c r="M1182" s="1628">
        <v>0</v>
      </c>
      <c r="N1182" s="1629">
        <v>1.4293064148578989</v>
      </c>
      <c r="O1182" s="1629"/>
    </row>
    <row r="1183" spans="11:15">
      <c r="K1183" s="1626">
        <v>43240</v>
      </c>
      <c r="L1183" s="1627"/>
      <c r="M1183" s="1628">
        <v>0</v>
      </c>
      <c r="N1183" s="1629">
        <v>1.4293064148578989</v>
      </c>
      <c r="O1183" s="1629"/>
    </row>
    <row r="1184" spans="11:15">
      <c r="K1184" s="1626">
        <v>43241</v>
      </c>
      <c r="L1184" s="1627" t="s">
        <v>2298</v>
      </c>
      <c r="M1184" s="1628">
        <v>2.462E-2</v>
      </c>
      <c r="N1184" s="1629">
        <v>1.4296583100972371</v>
      </c>
      <c r="O1184" s="1629"/>
    </row>
    <row r="1185" spans="11:15">
      <c r="K1185" s="1626">
        <v>43242</v>
      </c>
      <c r="L1185" s="1627" t="s">
        <v>2298</v>
      </c>
      <c r="M1185" s="1628">
        <v>2.462E-2</v>
      </c>
      <c r="N1185" s="1629">
        <v>1.4300102919731832</v>
      </c>
      <c r="O1185" s="1629"/>
    </row>
    <row r="1186" spans="11:15">
      <c r="K1186" s="1626">
        <v>43243</v>
      </c>
      <c r="L1186" s="1627" t="s">
        <v>2298</v>
      </c>
      <c r="M1186" s="1628">
        <v>2.462E-2</v>
      </c>
      <c r="N1186" s="1629">
        <v>1.430362360507067</v>
      </c>
      <c r="O1186" s="1629"/>
    </row>
    <row r="1187" spans="11:15">
      <c r="K1187" s="1626">
        <v>43244</v>
      </c>
      <c r="L1187" s="1627" t="s">
        <v>2298</v>
      </c>
      <c r="M1187" s="1628">
        <v>2.462E-2</v>
      </c>
      <c r="N1187" s="1629">
        <v>1.4307145157202239</v>
      </c>
      <c r="O1187" s="1629"/>
    </row>
    <row r="1188" spans="11:15">
      <c r="K1188" s="1626">
        <v>43245</v>
      </c>
      <c r="L1188" s="1627" t="s">
        <v>2298</v>
      </c>
      <c r="M1188" s="1628">
        <v>2.462E-2</v>
      </c>
      <c r="N1188" s="1629">
        <v>1.4310667576339944</v>
      </c>
      <c r="O1188" s="1629"/>
    </row>
    <row r="1189" spans="11:15">
      <c r="K1189" s="1626">
        <v>43246</v>
      </c>
      <c r="L1189" s="1627"/>
      <c r="M1189" s="1628">
        <v>0</v>
      </c>
      <c r="N1189" s="1629">
        <v>1.4310667576339944</v>
      </c>
      <c r="O1189" s="1629"/>
    </row>
    <row r="1190" spans="11:15">
      <c r="K1190" s="1626">
        <v>43247</v>
      </c>
      <c r="L1190" s="1627"/>
      <c r="M1190" s="1628">
        <v>0</v>
      </c>
      <c r="N1190" s="1629">
        <v>1.4310667576339944</v>
      </c>
      <c r="O1190" s="1629"/>
    </row>
    <row r="1191" spans="11:15">
      <c r="K1191" s="1626">
        <v>43248</v>
      </c>
      <c r="L1191" s="1627" t="s">
        <v>2298</v>
      </c>
      <c r="M1191" s="1628">
        <v>2.462E-2</v>
      </c>
      <c r="N1191" s="1629">
        <v>1.431419086269724</v>
      </c>
      <c r="O1191" s="1629"/>
    </row>
    <row r="1192" spans="11:15">
      <c r="K1192" s="1626">
        <v>43249</v>
      </c>
      <c r="L1192" s="1627" t="s">
        <v>2298</v>
      </c>
      <c r="M1192" s="1628">
        <v>2.462E-2</v>
      </c>
      <c r="N1192" s="1629">
        <v>1.4317715016487638</v>
      </c>
      <c r="O1192" s="1629"/>
    </row>
    <row r="1193" spans="11:15">
      <c r="K1193" s="1626">
        <v>43250</v>
      </c>
      <c r="L1193" s="1627" t="s">
        <v>2298</v>
      </c>
      <c r="M1193" s="1628">
        <v>2.462E-2</v>
      </c>
      <c r="N1193" s="1629">
        <v>1.4321240037924698</v>
      </c>
      <c r="O1193" s="1629"/>
    </row>
    <row r="1194" spans="11:15">
      <c r="K1194" s="1626">
        <v>43251</v>
      </c>
      <c r="L1194" s="1627"/>
      <c r="M1194" s="1628">
        <v>0</v>
      </c>
      <c r="N1194" s="1629">
        <v>1.4321240037924698</v>
      </c>
      <c r="O1194" s="1629"/>
    </row>
    <row r="1195" spans="11:15">
      <c r="K1195" s="1626">
        <v>43252</v>
      </c>
      <c r="L1195" s="1627" t="s">
        <v>2298</v>
      </c>
      <c r="M1195" s="1628">
        <v>2.462E-2</v>
      </c>
      <c r="N1195" s="1629">
        <v>1.4324765927222036</v>
      </c>
      <c r="O1195" s="1629"/>
    </row>
    <row r="1196" spans="11:15">
      <c r="K1196" s="1626">
        <v>43253</v>
      </c>
      <c r="L1196" s="1627"/>
      <c r="M1196" s="1628">
        <v>0</v>
      </c>
      <c r="N1196" s="1629">
        <v>1.4324765927222036</v>
      </c>
      <c r="O1196" s="1629"/>
    </row>
    <row r="1197" spans="11:15">
      <c r="K1197" s="1626">
        <v>43254</v>
      </c>
      <c r="L1197" s="1627"/>
      <c r="M1197" s="1628">
        <v>0</v>
      </c>
      <c r="N1197" s="1629">
        <v>1.4324765927222036</v>
      </c>
      <c r="O1197" s="1629"/>
    </row>
    <row r="1198" spans="11:15">
      <c r="K1198" s="1626">
        <v>43255</v>
      </c>
      <c r="L1198" s="1627" t="s">
        <v>2298</v>
      </c>
      <c r="M1198" s="1628">
        <v>2.462E-2</v>
      </c>
      <c r="N1198" s="1629">
        <v>1.432829268459332</v>
      </c>
      <c r="O1198" s="1629"/>
    </row>
    <row r="1199" spans="11:15">
      <c r="K1199" s="1626">
        <v>43256</v>
      </c>
      <c r="L1199" s="1627" t="s">
        <v>2298</v>
      </c>
      <c r="M1199" s="1628">
        <v>2.462E-2</v>
      </c>
      <c r="N1199" s="1629">
        <v>1.4331820310252268</v>
      </c>
      <c r="O1199" s="1629"/>
    </row>
    <row r="1200" spans="11:15">
      <c r="K1200" s="1626">
        <v>43257</v>
      </c>
      <c r="L1200" s="1627" t="s">
        <v>2298</v>
      </c>
      <c r="M1200" s="1628">
        <v>2.462E-2</v>
      </c>
      <c r="N1200" s="1629">
        <v>1.4335348804412653</v>
      </c>
      <c r="O1200" s="1629"/>
    </row>
    <row r="1201" spans="11:15">
      <c r="K1201" s="1626">
        <v>43258</v>
      </c>
      <c r="L1201" s="1627" t="s">
        <v>2298</v>
      </c>
      <c r="M1201" s="1628">
        <v>2.462E-2</v>
      </c>
      <c r="N1201" s="1629">
        <v>1.43388781672883</v>
      </c>
      <c r="O1201" s="1629"/>
    </row>
    <row r="1202" spans="11:15">
      <c r="K1202" s="1626">
        <v>43259</v>
      </c>
      <c r="L1202" s="1627" t="s">
        <v>2298</v>
      </c>
      <c r="M1202" s="1628">
        <v>2.462E-2</v>
      </c>
      <c r="N1202" s="1629">
        <v>1.4342408399093087</v>
      </c>
      <c r="O1202" s="1629"/>
    </row>
    <row r="1203" spans="11:15">
      <c r="K1203" s="1626">
        <v>43260</v>
      </c>
      <c r="L1203" s="1627"/>
      <c r="M1203" s="1628">
        <v>0</v>
      </c>
      <c r="N1203" s="1629">
        <v>1.4342408399093087</v>
      </c>
      <c r="O1203" s="1629"/>
    </row>
    <row r="1204" spans="11:15">
      <c r="K1204" s="1626">
        <v>43261</v>
      </c>
      <c r="L1204" s="1627"/>
      <c r="M1204" s="1628">
        <v>0</v>
      </c>
      <c r="N1204" s="1629">
        <v>1.4342408399093087</v>
      </c>
      <c r="O1204" s="1629"/>
    </row>
    <row r="1205" spans="11:15">
      <c r="K1205" s="1626">
        <v>43262</v>
      </c>
      <c r="L1205" s="1627" t="s">
        <v>2298</v>
      </c>
      <c r="M1205" s="1628">
        <v>2.462E-2</v>
      </c>
      <c r="N1205" s="1629">
        <v>1.4345939500040945</v>
      </c>
      <c r="O1205" s="1629"/>
    </row>
    <row r="1206" spans="11:15">
      <c r="K1206" s="1626">
        <v>43263</v>
      </c>
      <c r="L1206" s="1627" t="s">
        <v>2298</v>
      </c>
      <c r="M1206" s="1628">
        <v>2.462E-2</v>
      </c>
      <c r="N1206" s="1629">
        <v>1.4349471470345856</v>
      </c>
      <c r="O1206" s="1629"/>
    </row>
    <row r="1207" spans="11:15">
      <c r="K1207" s="1626">
        <v>43264</v>
      </c>
      <c r="L1207" s="1627" t="s">
        <v>2298</v>
      </c>
      <c r="M1207" s="1628">
        <v>2.462E-2</v>
      </c>
      <c r="N1207" s="1629">
        <v>1.4353004310221855</v>
      </c>
      <c r="O1207" s="1629"/>
    </row>
    <row r="1208" spans="11:15">
      <c r="K1208" s="1626">
        <v>43265</v>
      </c>
      <c r="L1208" s="1627" t="s">
        <v>2298</v>
      </c>
      <c r="M1208" s="1628">
        <v>2.462E-2</v>
      </c>
      <c r="N1208" s="1629">
        <v>1.4356538019883034</v>
      </c>
      <c r="O1208" s="1629"/>
    </row>
    <row r="1209" spans="11:15">
      <c r="K1209" s="1626">
        <v>43266</v>
      </c>
      <c r="L1209" s="1627" t="s">
        <v>2298</v>
      </c>
      <c r="M1209" s="1628">
        <v>2.462E-2</v>
      </c>
      <c r="N1209" s="1629">
        <v>1.436007259954353</v>
      </c>
      <c r="O1209" s="1629"/>
    </row>
    <row r="1210" spans="11:15">
      <c r="K1210" s="1626">
        <v>43267</v>
      </c>
      <c r="L1210" s="1627"/>
      <c r="M1210" s="1628">
        <v>0</v>
      </c>
      <c r="N1210" s="1629">
        <v>1.436007259954353</v>
      </c>
      <c r="O1210" s="1629"/>
    </row>
    <row r="1211" spans="11:15">
      <c r="K1211" s="1626">
        <v>43268</v>
      </c>
      <c r="L1211" s="1627"/>
      <c r="M1211" s="1628">
        <v>0</v>
      </c>
      <c r="N1211" s="1629">
        <v>1.436007259954353</v>
      </c>
      <c r="O1211" s="1629"/>
    </row>
    <row r="1212" spans="11:15">
      <c r="K1212" s="1626">
        <v>43269</v>
      </c>
      <c r="L1212" s="1627" t="s">
        <v>2298</v>
      </c>
      <c r="M1212" s="1628">
        <v>2.462E-2</v>
      </c>
      <c r="N1212" s="1629">
        <v>1.4363608049417538</v>
      </c>
      <c r="O1212" s="1629"/>
    </row>
    <row r="1213" spans="11:15">
      <c r="K1213" s="1626">
        <v>43270</v>
      </c>
      <c r="L1213" s="1627" t="s">
        <v>2298</v>
      </c>
      <c r="M1213" s="1628">
        <v>2.462E-2</v>
      </c>
      <c r="N1213" s="1629">
        <v>1.4367144369719305</v>
      </c>
      <c r="O1213" s="1629"/>
    </row>
    <row r="1214" spans="11:15">
      <c r="K1214" s="1626">
        <v>43271</v>
      </c>
      <c r="L1214" s="1627" t="s">
        <v>2298</v>
      </c>
      <c r="M1214" s="1628">
        <v>2.462E-2</v>
      </c>
      <c r="N1214" s="1629">
        <v>1.437068156066313</v>
      </c>
      <c r="O1214" s="1629"/>
    </row>
    <row r="1215" spans="11:15">
      <c r="K1215" s="1626">
        <v>43272</v>
      </c>
      <c r="L1215" s="1627" t="s">
        <v>2298</v>
      </c>
      <c r="M1215" s="1628">
        <v>2.462E-2</v>
      </c>
      <c r="N1215" s="1629">
        <v>1.4374219622463367</v>
      </c>
      <c r="O1215" s="1629"/>
    </row>
    <row r="1216" spans="11:15">
      <c r="K1216" s="1626">
        <v>43273</v>
      </c>
      <c r="L1216" s="1627" t="s">
        <v>2298</v>
      </c>
      <c r="M1216" s="1628">
        <v>2.462E-2</v>
      </c>
      <c r="N1216" s="1629">
        <v>1.4377758555334419</v>
      </c>
      <c r="O1216" s="1629"/>
    </row>
    <row r="1217" spans="11:15">
      <c r="K1217" s="1626">
        <v>43274</v>
      </c>
      <c r="L1217" s="1627"/>
      <c r="M1217" s="1628">
        <v>0</v>
      </c>
      <c r="N1217" s="1629">
        <v>1.4377758555334419</v>
      </c>
      <c r="O1217" s="1629"/>
    </row>
    <row r="1218" spans="11:15">
      <c r="K1218" s="1626">
        <v>43275</v>
      </c>
      <c r="L1218" s="1627"/>
      <c r="M1218" s="1628">
        <v>0</v>
      </c>
      <c r="N1218" s="1629">
        <v>1.4377758555334419</v>
      </c>
      <c r="O1218" s="1629"/>
    </row>
    <row r="1219" spans="11:15">
      <c r="K1219" s="1626">
        <v>43276</v>
      </c>
      <c r="L1219" s="1627" t="s">
        <v>2298</v>
      </c>
      <c r="M1219" s="1628">
        <v>2.462E-2</v>
      </c>
      <c r="N1219" s="1629">
        <v>1.4381298359490744</v>
      </c>
      <c r="O1219" s="1629"/>
    </row>
    <row r="1220" spans="11:15">
      <c r="K1220" s="1626">
        <v>43277</v>
      </c>
      <c r="L1220" s="1627" t="s">
        <v>2298</v>
      </c>
      <c r="M1220" s="1628">
        <v>2.462E-2</v>
      </c>
      <c r="N1220" s="1629">
        <v>1.4384839035146852</v>
      </c>
      <c r="O1220" s="1629"/>
    </row>
    <row r="1221" spans="11:15">
      <c r="K1221" s="1626">
        <v>43278</v>
      </c>
      <c r="L1221" s="1627" t="s">
        <v>2298</v>
      </c>
      <c r="M1221" s="1628">
        <v>2.462E-2</v>
      </c>
      <c r="N1221" s="1629">
        <v>1.4388380582517306</v>
      </c>
      <c r="O1221" s="1629"/>
    </row>
    <row r="1222" spans="11:15">
      <c r="K1222" s="1626">
        <v>43279</v>
      </c>
      <c r="L1222" s="1627" t="s">
        <v>2298</v>
      </c>
      <c r="M1222" s="1628">
        <v>2.462E-2</v>
      </c>
      <c r="N1222" s="1629">
        <v>1.4391923001816722</v>
      </c>
      <c r="O1222" s="1629"/>
    </row>
    <row r="1223" spans="11:15">
      <c r="K1223" s="1626">
        <v>43280</v>
      </c>
      <c r="L1223" s="1627" t="s">
        <v>2298</v>
      </c>
      <c r="M1223" s="1628">
        <v>2.462E-2</v>
      </c>
      <c r="N1223" s="1629">
        <v>1.4395466293259771</v>
      </c>
      <c r="O1223" s="1629"/>
    </row>
    <row r="1224" spans="11:15">
      <c r="K1224" s="1626">
        <v>43281</v>
      </c>
      <c r="L1224" s="1627"/>
      <c r="M1224" s="1628">
        <v>0</v>
      </c>
      <c r="N1224" s="1629">
        <v>1.4395466293259771</v>
      </c>
      <c r="O1224" s="1629"/>
    </row>
    <row r="1225" spans="11:15">
      <c r="K1225" s="1626">
        <v>43282</v>
      </c>
      <c r="L1225" s="1627"/>
      <c r="M1225" s="1628">
        <v>0</v>
      </c>
      <c r="N1225" s="1629">
        <v>1.4395466293259771</v>
      </c>
      <c r="O1225" s="1629"/>
    </row>
    <row r="1226" spans="11:15">
      <c r="K1226" s="1626">
        <v>43283</v>
      </c>
      <c r="L1226" s="1627" t="s">
        <v>2298</v>
      </c>
      <c r="M1226" s="1628">
        <v>2.462E-2</v>
      </c>
      <c r="N1226" s="1629">
        <v>1.4399010457061172</v>
      </c>
      <c r="O1226" s="1629"/>
    </row>
    <row r="1227" spans="11:15">
      <c r="K1227" s="1626">
        <v>43284</v>
      </c>
      <c r="L1227" s="1627" t="s">
        <v>2298</v>
      </c>
      <c r="M1227" s="1628">
        <v>2.462E-2</v>
      </c>
      <c r="N1227" s="1629">
        <v>1.4402555493435703</v>
      </c>
      <c r="O1227" s="1629"/>
    </row>
    <row r="1228" spans="11:15">
      <c r="K1228" s="1626">
        <v>43285</v>
      </c>
      <c r="L1228" s="1627" t="s">
        <v>2298</v>
      </c>
      <c r="M1228" s="1628">
        <v>2.462E-2</v>
      </c>
      <c r="N1228" s="1629">
        <v>1.4406101402598188</v>
      </c>
      <c r="O1228" s="1629"/>
    </row>
    <row r="1229" spans="11:15">
      <c r="K1229" s="1626">
        <v>43286</v>
      </c>
      <c r="L1229" s="1627" t="s">
        <v>2298</v>
      </c>
      <c r="M1229" s="1628">
        <v>2.462E-2</v>
      </c>
      <c r="N1229" s="1629">
        <v>1.4409648184763508</v>
      </c>
      <c r="O1229" s="1629"/>
    </row>
    <row r="1230" spans="11:15">
      <c r="K1230" s="1626">
        <v>43287</v>
      </c>
      <c r="L1230" s="1627" t="s">
        <v>2298</v>
      </c>
      <c r="M1230" s="1628">
        <v>2.462E-2</v>
      </c>
      <c r="N1230" s="1629">
        <v>1.4413195840146598</v>
      </c>
      <c r="O1230" s="1629"/>
    </row>
    <row r="1231" spans="11:15">
      <c r="K1231" s="1626">
        <v>43288</v>
      </c>
      <c r="L1231" s="1627"/>
      <c r="M1231" s="1628">
        <v>0</v>
      </c>
      <c r="N1231" s="1629">
        <v>1.4413195840146598</v>
      </c>
      <c r="O1231" s="1629"/>
    </row>
    <row r="1232" spans="11:15">
      <c r="K1232" s="1626">
        <v>43289</v>
      </c>
      <c r="L1232" s="1627"/>
      <c r="M1232" s="1628">
        <v>0</v>
      </c>
      <c r="N1232" s="1629">
        <v>1.4413195840146598</v>
      </c>
      <c r="O1232" s="1629"/>
    </row>
    <row r="1233" spans="11:15">
      <c r="K1233" s="1626">
        <v>43290</v>
      </c>
      <c r="L1233" s="1627" t="s">
        <v>2298</v>
      </c>
      <c r="M1233" s="1628">
        <v>2.462E-2</v>
      </c>
      <c r="N1233" s="1629">
        <v>1.4416744368962442</v>
      </c>
      <c r="O1233" s="1629"/>
    </row>
    <row r="1234" spans="11:15">
      <c r="K1234" s="1626">
        <v>43291</v>
      </c>
      <c r="L1234" s="1627" t="s">
        <v>2298</v>
      </c>
      <c r="M1234" s="1628">
        <v>2.462E-2</v>
      </c>
      <c r="N1234" s="1629">
        <v>1.4420293771426083</v>
      </c>
      <c r="O1234" s="1629"/>
    </row>
    <row r="1235" spans="11:15">
      <c r="K1235" s="1626">
        <v>43292</v>
      </c>
      <c r="L1235" s="1627" t="s">
        <v>2298</v>
      </c>
      <c r="M1235" s="1628">
        <v>2.462E-2</v>
      </c>
      <c r="N1235" s="1629">
        <v>1.442384404775261</v>
      </c>
      <c r="O1235" s="1629"/>
    </row>
    <row r="1236" spans="11:15">
      <c r="K1236" s="1626">
        <v>43293</v>
      </c>
      <c r="L1236" s="1627" t="s">
        <v>2298</v>
      </c>
      <c r="M1236" s="1628">
        <v>2.462E-2</v>
      </c>
      <c r="N1236" s="1629">
        <v>1.4427395198157167</v>
      </c>
      <c r="O1236" s="1629"/>
    </row>
    <row r="1237" spans="11:15">
      <c r="K1237" s="1626">
        <v>43294</v>
      </c>
      <c r="L1237" s="1627" t="s">
        <v>2298</v>
      </c>
      <c r="M1237" s="1628">
        <v>2.462E-2</v>
      </c>
      <c r="N1237" s="1629">
        <v>1.4430947222854955</v>
      </c>
      <c r="O1237" s="1629"/>
    </row>
    <row r="1238" spans="11:15">
      <c r="K1238" s="1626">
        <v>43295</v>
      </c>
      <c r="L1238" s="1627"/>
      <c r="M1238" s="1628">
        <v>0</v>
      </c>
      <c r="N1238" s="1629">
        <v>1.4430947222854955</v>
      </c>
      <c r="O1238" s="1629"/>
    </row>
    <row r="1239" spans="11:15">
      <c r="K1239" s="1626">
        <v>43296</v>
      </c>
      <c r="L1239" s="1627"/>
      <c r="M1239" s="1628">
        <v>0</v>
      </c>
      <c r="N1239" s="1629">
        <v>1.4430947222854955</v>
      </c>
      <c r="O1239" s="1629"/>
    </row>
    <row r="1240" spans="11:15">
      <c r="K1240" s="1626">
        <v>43297</v>
      </c>
      <c r="L1240" s="1627" t="s">
        <v>2298</v>
      </c>
      <c r="M1240" s="1628">
        <v>2.462E-2</v>
      </c>
      <c r="N1240" s="1629">
        <v>1.4434500122061222</v>
      </c>
      <c r="O1240" s="1629"/>
    </row>
    <row r="1241" spans="11:15">
      <c r="K1241" s="1626">
        <v>43298</v>
      </c>
      <c r="L1241" s="1627" t="s">
        <v>2298</v>
      </c>
      <c r="M1241" s="1628">
        <v>2.462E-2</v>
      </c>
      <c r="N1241" s="1629">
        <v>1.4438053895991274</v>
      </c>
      <c r="O1241" s="1629"/>
    </row>
    <row r="1242" spans="11:15">
      <c r="K1242" s="1626">
        <v>43299</v>
      </c>
      <c r="L1242" s="1627" t="s">
        <v>2298</v>
      </c>
      <c r="M1242" s="1628">
        <v>2.462E-2</v>
      </c>
      <c r="N1242" s="1629">
        <v>1.4441608544860469</v>
      </c>
      <c r="O1242" s="1629"/>
    </row>
    <row r="1243" spans="11:15">
      <c r="K1243" s="1626">
        <v>43300</v>
      </c>
      <c r="L1243" s="1627" t="s">
        <v>2298</v>
      </c>
      <c r="M1243" s="1628">
        <v>2.462E-2</v>
      </c>
      <c r="N1243" s="1629">
        <v>1.4445164068884215</v>
      </c>
      <c r="O1243" s="1629"/>
    </row>
    <row r="1244" spans="11:15">
      <c r="K1244" s="1626">
        <v>43301</v>
      </c>
      <c r="L1244" s="1627" t="s">
        <v>2298</v>
      </c>
      <c r="M1244" s="1628">
        <v>2.462E-2</v>
      </c>
      <c r="N1244" s="1629">
        <v>1.4448720468277976</v>
      </c>
      <c r="O1244" s="1629"/>
    </row>
    <row r="1245" spans="11:15">
      <c r="K1245" s="1626">
        <v>43302</v>
      </c>
      <c r="L1245" s="1627"/>
      <c r="M1245" s="1628">
        <v>0</v>
      </c>
      <c r="N1245" s="1629">
        <v>1.4448720468277976</v>
      </c>
      <c r="O1245" s="1629"/>
    </row>
    <row r="1246" spans="11:15">
      <c r="K1246" s="1626">
        <v>43303</v>
      </c>
      <c r="L1246" s="1627"/>
      <c r="M1246" s="1628">
        <v>0</v>
      </c>
      <c r="N1246" s="1629">
        <v>1.4448720468277976</v>
      </c>
      <c r="O1246" s="1629"/>
    </row>
    <row r="1247" spans="11:15">
      <c r="K1247" s="1626">
        <v>43304</v>
      </c>
      <c r="L1247" s="1627" t="s">
        <v>2298</v>
      </c>
      <c r="M1247" s="1628">
        <v>2.462E-2</v>
      </c>
      <c r="N1247" s="1629">
        <v>1.4452277743257267</v>
      </c>
      <c r="O1247" s="1629"/>
    </row>
    <row r="1248" spans="11:15">
      <c r="K1248" s="1626">
        <v>43305</v>
      </c>
      <c r="L1248" s="1627" t="s">
        <v>2298</v>
      </c>
      <c r="M1248" s="1628">
        <v>2.462E-2</v>
      </c>
      <c r="N1248" s="1629">
        <v>1.4455835894037659</v>
      </c>
      <c r="O1248" s="1629"/>
    </row>
    <row r="1249" spans="11:15">
      <c r="K1249" s="1626">
        <v>43306</v>
      </c>
      <c r="L1249" s="1627" t="s">
        <v>2298</v>
      </c>
      <c r="M1249" s="1628">
        <v>2.462E-2</v>
      </c>
      <c r="N1249" s="1629">
        <v>1.4459394920834772</v>
      </c>
      <c r="O1249" s="1629"/>
    </row>
    <row r="1250" spans="11:15">
      <c r="K1250" s="1626">
        <v>43307</v>
      </c>
      <c r="L1250" s="1627" t="s">
        <v>2298</v>
      </c>
      <c r="M1250" s="1628">
        <v>2.462E-2</v>
      </c>
      <c r="N1250" s="1629">
        <v>1.4462954823864282</v>
      </c>
      <c r="O1250" s="1629"/>
    </row>
    <row r="1251" spans="11:15">
      <c r="K1251" s="1626">
        <v>43308</v>
      </c>
      <c r="L1251" s="1627" t="s">
        <v>2298</v>
      </c>
      <c r="M1251" s="1628">
        <v>2.462E-2</v>
      </c>
      <c r="N1251" s="1629">
        <v>1.4466515603341918</v>
      </c>
      <c r="O1251" s="1629"/>
    </row>
    <row r="1252" spans="11:15">
      <c r="K1252" s="1626">
        <v>43309</v>
      </c>
      <c r="L1252" s="1627"/>
      <c r="M1252" s="1628">
        <v>0</v>
      </c>
      <c r="N1252" s="1629">
        <v>1.4466515603341918</v>
      </c>
      <c r="O1252" s="1629"/>
    </row>
    <row r="1253" spans="11:15">
      <c r="K1253" s="1626">
        <v>43310</v>
      </c>
      <c r="L1253" s="1627"/>
      <c r="M1253" s="1628">
        <v>0</v>
      </c>
      <c r="N1253" s="1629">
        <v>1.4466515603341918</v>
      </c>
      <c r="O1253" s="1629"/>
    </row>
    <row r="1254" spans="11:15">
      <c r="K1254" s="1626">
        <v>43311</v>
      </c>
      <c r="L1254" s="1627" t="s">
        <v>2298</v>
      </c>
      <c r="M1254" s="1628">
        <v>2.462E-2</v>
      </c>
      <c r="N1254" s="1629">
        <v>1.4470077259483463</v>
      </c>
      <c r="O1254" s="1629"/>
    </row>
    <row r="1255" spans="11:15">
      <c r="K1255" s="1626">
        <v>43312</v>
      </c>
      <c r="L1255" s="1627" t="s">
        <v>2298</v>
      </c>
      <c r="M1255" s="1628">
        <v>2.462E-2</v>
      </c>
      <c r="N1255" s="1629">
        <v>1.4473639792504749</v>
      </c>
      <c r="O1255" s="1629"/>
    </row>
    <row r="1256" spans="11:15">
      <c r="K1256" s="1626">
        <v>43313</v>
      </c>
      <c r="L1256" s="1627" t="s">
        <v>2298</v>
      </c>
      <c r="M1256" s="1628">
        <v>2.462E-2</v>
      </c>
      <c r="N1256" s="1629">
        <v>1.4477203202621665</v>
      </c>
      <c r="O1256" s="1629"/>
    </row>
    <row r="1257" spans="11:15">
      <c r="K1257" s="1626">
        <v>43314</v>
      </c>
      <c r="L1257" s="1627" t="s">
        <v>2298</v>
      </c>
      <c r="M1257" s="1628">
        <v>2.462E-2</v>
      </c>
      <c r="N1257" s="1629">
        <v>1.448076749005015</v>
      </c>
      <c r="O1257" s="1629"/>
    </row>
    <row r="1258" spans="11:15">
      <c r="K1258" s="1626">
        <v>43315</v>
      </c>
      <c r="L1258" s="1627" t="s">
        <v>2298</v>
      </c>
      <c r="M1258" s="1628">
        <v>2.462E-2</v>
      </c>
      <c r="N1258" s="1629">
        <v>1.4484332655006202</v>
      </c>
      <c r="O1258" s="1629"/>
    </row>
    <row r="1259" spans="11:15">
      <c r="K1259" s="1626">
        <v>43316</v>
      </c>
      <c r="L1259" s="1627"/>
      <c r="M1259" s="1628">
        <v>0</v>
      </c>
      <c r="N1259" s="1629">
        <v>1.4484332655006202</v>
      </c>
      <c r="O1259" s="1629"/>
    </row>
    <row r="1260" spans="11:15">
      <c r="K1260" s="1626">
        <v>43317</v>
      </c>
      <c r="L1260" s="1627"/>
      <c r="M1260" s="1628">
        <v>0</v>
      </c>
      <c r="N1260" s="1629">
        <v>1.4484332655006202</v>
      </c>
      <c r="O1260" s="1629"/>
    </row>
    <row r="1261" spans="11:15">
      <c r="K1261" s="1626">
        <v>43318</v>
      </c>
      <c r="L1261" s="1627" t="s">
        <v>2298</v>
      </c>
      <c r="M1261" s="1628">
        <v>2.462E-2</v>
      </c>
      <c r="N1261" s="1629">
        <v>1.4487898697705865</v>
      </c>
      <c r="O1261" s="1629"/>
    </row>
    <row r="1262" spans="11:15">
      <c r="K1262" s="1626">
        <v>43319</v>
      </c>
      <c r="L1262" s="1627" t="s">
        <v>2298</v>
      </c>
      <c r="M1262" s="1628">
        <v>2.462E-2</v>
      </c>
      <c r="N1262" s="1629">
        <v>1.4491465618365242</v>
      </c>
      <c r="O1262" s="1629"/>
    </row>
    <row r="1263" spans="11:15">
      <c r="K1263" s="1626">
        <v>43320</v>
      </c>
      <c r="L1263" s="1627" t="s">
        <v>2298</v>
      </c>
      <c r="M1263" s="1628">
        <v>2.462E-2</v>
      </c>
      <c r="N1263" s="1629">
        <v>1.4495033417200485</v>
      </c>
      <c r="O1263" s="1629"/>
    </row>
    <row r="1264" spans="11:15">
      <c r="K1264" s="1626">
        <v>43321</v>
      </c>
      <c r="L1264" s="1627" t="s">
        <v>2298</v>
      </c>
      <c r="M1264" s="1628">
        <v>2.462E-2</v>
      </c>
      <c r="N1264" s="1629">
        <v>1.4498602094427802</v>
      </c>
      <c r="O1264" s="1629"/>
    </row>
    <row r="1265" spans="11:15">
      <c r="K1265" s="1626">
        <v>43322</v>
      </c>
      <c r="L1265" s="1627" t="s">
        <v>2298</v>
      </c>
      <c r="M1265" s="1628">
        <v>2.462E-2</v>
      </c>
      <c r="N1265" s="1629">
        <v>1.4502171650263451</v>
      </c>
      <c r="O1265" s="1629"/>
    </row>
    <row r="1266" spans="11:15">
      <c r="K1266" s="1626">
        <v>43323</v>
      </c>
      <c r="L1266" s="1627"/>
      <c r="M1266" s="1628">
        <v>0</v>
      </c>
      <c r="N1266" s="1629">
        <v>1.4502171650263451</v>
      </c>
      <c r="O1266" s="1629"/>
    </row>
    <row r="1267" spans="11:15">
      <c r="K1267" s="1626">
        <v>43324</v>
      </c>
      <c r="L1267" s="1627"/>
      <c r="M1267" s="1628">
        <v>0</v>
      </c>
      <c r="N1267" s="1629">
        <v>1.4502171650263451</v>
      </c>
      <c r="O1267" s="1629"/>
    </row>
    <row r="1268" spans="11:15">
      <c r="K1268" s="1626">
        <v>43325</v>
      </c>
      <c r="L1268" s="1627" t="s">
        <v>2298</v>
      </c>
      <c r="M1268" s="1628">
        <v>2.462E-2</v>
      </c>
      <c r="N1268" s="1629">
        <v>1.4505742084923747</v>
      </c>
      <c r="O1268" s="1629"/>
    </row>
    <row r="1269" spans="11:15">
      <c r="K1269" s="1626">
        <v>43326</v>
      </c>
      <c r="L1269" s="1627" t="s">
        <v>2298</v>
      </c>
      <c r="M1269" s="1628">
        <v>2.462E-2</v>
      </c>
      <c r="N1269" s="1629">
        <v>1.4509313398625057</v>
      </c>
      <c r="O1269" s="1629"/>
    </row>
    <row r="1270" spans="11:15">
      <c r="K1270" s="1626">
        <v>43327</v>
      </c>
      <c r="L1270" s="1627" t="s">
        <v>2298</v>
      </c>
      <c r="M1270" s="1628">
        <v>2.462E-2</v>
      </c>
      <c r="N1270" s="1629">
        <v>1.45128855915838</v>
      </c>
      <c r="O1270" s="1629"/>
    </row>
    <row r="1271" spans="11:15">
      <c r="K1271" s="1626">
        <v>43328</v>
      </c>
      <c r="L1271" s="1627" t="s">
        <v>2298</v>
      </c>
      <c r="M1271" s="1628">
        <v>2.462E-2</v>
      </c>
      <c r="N1271" s="1629">
        <v>1.4516458664016449</v>
      </c>
      <c r="O1271" s="1629"/>
    </row>
    <row r="1272" spans="11:15">
      <c r="K1272" s="1626">
        <v>43329</v>
      </c>
      <c r="L1272" s="1627" t="s">
        <v>2298</v>
      </c>
      <c r="M1272" s="1628">
        <v>2.462E-2</v>
      </c>
      <c r="N1272" s="1629">
        <v>1.4520032616139531</v>
      </c>
      <c r="O1272" s="1629"/>
    </row>
    <row r="1273" spans="11:15">
      <c r="K1273" s="1626">
        <v>43330</v>
      </c>
      <c r="L1273" s="1627"/>
      <c r="M1273" s="1628">
        <v>0</v>
      </c>
      <c r="N1273" s="1629">
        <v>1.4520032616139531</v>
      </c>
      <c r="O1273" s="1629"/>
    </row>
    <row r="1274" spans="11:15">
      <c r="K1274" s="1626">
        <v>43331</v>
      </c>
      <c r="L1274" s="1627"/>
      <c r="M1274" s="1628">
        <v>0</v>
      </c>
      <c r="N1274" s="1629">
        <v>1.4520032616139531</v>
      </c>
      <c r="O1274" s="1629"/>
    </row>
    <row r="1275" spans="11:15">
      <c r="K1275" s="1626">
        <v>43332</v>
      </c>
      <c r="L1275" s="1627" t="s">
        <v>2298</v>
      </c>
      <c r="M1275" s="1628">
        <v>2.462E-2</v>
      </c>
      <c r="N1275" s="1629">
        <v>1.4523607448169626</v>
      </c>
      <c r="O1275" s="1629"/>
    </row>
    <row r="1276" spans="11:15">
      <c r="K1276" s="1626">
        <v>43333</v>
      </c>
      <c r="L1276" s="1627" t="s">
        <v>2298</v>
      </c>
      <c r="M1276" s="1628">
        <v>2.462E-2</v>
      </c>
      <c r="N1276" s="1629">
        <v>1.4527183160323367</v>
      </c>
      <c r="O1276" s="1629"/>
    </row>
    <row r="1277" spans="11:15">
      <c r="K1277" s="1626">
        <v>43334</v>
      </c>
      <c r="L1277" s="1627" t="s">
        <v>2298</v>
      </c>
      <c r="M1277" s="1628">
        <v>2.462E-2</v>
      </c>
      <c r="N1277" s="1629">
        <v>1.4530759752817439</v>
      </c>
      <c r="O1277" s="1629"/>
    </row>
    <row r="1278" spans="11:15">
      <c r="K1278" s="1626">
        <v>43335</v>
      </c>
      <c r="L1278" s="1627" t="s">
        <v>2298</v>
      </c>
      <c r="M1278" s="1628">
        <v>2.462E-2</v>
      </c>
      <c r="N1278" s="1629">
        <v>1.4534337225868583</v>
      </c>
      <c r="O1278" s="1629"/>
    </row>
    <row r="1279" spans="11:15">
      <c r="K1279" s="1626">
        <v>43336</v>
      </c>
      <c r="L1279" s="1627" t="s">
        <v>2298</v>
      </c>
      <c r="M1279" s="1628">
        <v>2.462E-2</v>
      </c>
      <c r="N1279" s="1629">
        <v>1.4537915579693594</v>
      </c>
      <c r="O1279" s="1629"/>
    </row>
    <row r="1280" spans="11:15">
      <c r="K1280" s="1626">
        <v>43337</v>
      </c>
      <c r="L1280" s="1627"/>
      <c r="M1280" s="1628">
        <v>0</v>
      </c>
      <c r="N1280" s="1629">
        <v>1.4537915579693594</v>
      </c>
      <c r="O1280" s="1629"/>
    </row>
    <row r="1281" spans="11:15">
      <c r="K1281" s="1626">
        <v>43338</v>
      </c>
      <c r="L1281" s="1627"/>
      <c r="M1281" s="1628">
        <v>0</v>
      </c>
      <c r="N1281" s="1629">
        <v>1.4537915579693594</v>
      </c>
      <c r="O1281" s="1629"/>
    </row>
    <row r="1282" spans="11:15">
      <c r="K1282" s="1626">
        <v>43339</v>
      </c>
      <c r="L1282" s="1627" t="s">
        <v>2298</v>
      </c>
      <c r="M1282" s="1628">
        <v>2.462E-2</v>
      </c>
      <c r="N1282" s="1629">
        <v>1.4541494814509317</v>
      </c>
      <c r="O1282" s="1629"/>
    </row>
    <row r="1283" spans="11:15">
      <c r="K1283" s="1626">
        <v>43340</v>
      </c>
      <c r="L1283" s="1627" t="s">
        <v>2298</v>
      </c>
      <c r="M1283" s="1628">
        <v>2.462E-2</v>
      </c>
      <c r="N1283" s="1629">
        <v>1.4545074930532651</v>
      </c>
      <c r="O1283" s="1629"/>
    </row>
    <row r="1284" spans="11:15">
      <c r="K1284" s="1626">
        <v>43341</v>
      </c>
      <c r="L1284" s="1627" t="s">
        <v>2298</v>
      </c>
      <c r="M1284" s="1628">
        <v>2.462E-2</v>
      </c>
      <c r="N1284" s="1629">
        <v>1.4548655927980549</v>
      </c>
      <c r="O1284" s="1629"/>
    </row>
    <row r="1285" spans="11:15">
      <c r="K1285" s="1626">
        <v>43342</v>
      </c>
      <c r="L1285" s="1627" t="s">
        <v>2298</v>
      </c>
      <c r="M1285" s="1628">
        <v>2.462E-2</v>
      </c>
      <c r="N1285" s="1629">
        <v>1.4552237807070019</v>
      </c>
      <c r="O1285" s="1629"/>
    </row>
    <row r="1286" spans="11:15">
      <c r="K1286" s="1626">
        <v>43343</v>
      </c>
      <c r="L1286" s="1627" t="s">
        <v>2298</v>
      </c>
      <c r="M1286" s="1628">
        <v>2.462E-2</v>
      </c>
      <c r="N1286" s="1629">
        <v>1.4555820568018121</v>
      </c>
      <c r="O1286" s="1629"/>
    </row>
    <row r="1287" spans="11:15">
      <c r="K1287" s="1626">
        <v>43344</v>
      </c>
      <c r="L1287" s="1627"/>
      <c r="M1287" s="1628">
        <v>0</v>
      </c>
      <c r="N1287" s="1629">
        <v>1.4555820568018121</v>
      </c>
      <c r="O1287" s="1629"/>
    </row>
    <row r="1288" spans="11:15">
      <c r="K1288" s="1626">
        <v>43345</v>
      </c>
      <c r="L1288" s="1627"/>
      <c r="M1288" s="1628">
        <v>0</v>
      </c>
      <c r="N1288" s="1629">
        <v>1.4555820568018121</v>
      </c>
      <c r="O1288" s="1629"/>
    </row>
    <row r="1289" spans="11:15">
      <c r="K1289" s="1626">
        <v>43346</v>
      </c>
      <c r="L1289" s="1627" t="s">
        <v>2298</v>
      </c>
      <c r="M1289" s="1628">
        <v>2.462E-2</v>
      </c>
      <c r="N1289" s="1629">
        <v>1.4559404211041969</v>
      </c>
      <c r="O1289" s="1629"/>
    </row>
    <row r="1290" spans="11:15">
      <c r="K1290" s="1626">
        <v>43347</v>
      </c>
      <c r="L1290" s="1627" t="s">
        <v>2298</v>
      </c>
      <c r="M1290" s="1628">
        <v>2.462E-2</v>
      </c>
      <c r="N1290" s="1629">
        <v>1.4562988736358728</v>
      </c>
      <c r="O1290" s="1629"/>
    </row>
    <row r="1291" spans="11:15">
      <c r="K1291" s="1626">
        <v>43348</v>
      </c>
      <c r="L1291" s="1627" t="s">
        <v>2298</v>
      </c>
      <c r="M1291" s="1628">
        <v>2.462E-2</v>
      </c>
      <c r="N1291" s="1629">
        <v>1.4566574144185622</v>
      </c>
      <c r="O1291" s="1629"/>
    </row>
    <row r="1292" spans="11:15">
      <c r="K1292" s="1626">
        <v>43349</v>
      </c>
      <c r="L1292" s="1627" t="s">
        <v>2298</v>
      </c>
      <c r="M1292" s="1628">
        <v>2.462E-2</v>
      </c>
      <c r="N1292" s="1629">
        <v>1.4570160434739923</v>
      </c>
      <c r="O1292" s="1629"/>
    </row>
    <row r="1293" spans="11:15">
      <c r="K1293" s="1626">
        <v>43350</v>
      </c>
      <c r="L1293" s="1627"/>
      <c r="M1293" s="1628">
        <v>0</v>
      </c>
      <c r="N1293" s="1629">
        <v>1.4570160434739923</v>
      </c>
      <c r="O1293" s="1629"/>
    </row>
    <row r="1294" spans="11:15">
      <c r="K1294" s="1626">
        <v>43351</v>
      </c>
      <c r="L1294" s="1627"/>
      <c r="M1294" s="1628">
        <v>0</v>
      </c>
      <c r="N1294" s="1629">
        <v>1.4570160434739923</v>
      </c>
      <c r="O1294" s="1629"/>
    </row>
    <row r="1295" spans="11:15">
      <c r="K1295" s="1626">
        <v>43352</v>
      </c>
      <c r="L1295" s="1627"/>
      <c r="M1295" s="1628">
        <v>0</v>
      </c>
      <c r="N1295" s="1629">
        <v>1.4570160434739923</v>
      </c>
      <c r="O1295" s="1629"/>
    </row>
    <row r="1296" spans="11:15">
      <c r="K1296" s="1626">
        <v>43353</v>
      </c>
      <c r="L1296" s="1627" t="s">
        <v>2298</v>
      </c>
      <c r="M1296" s="1628">
        <v>2.462E-2</v>
      </c>
      <c r="N1296" s="1629">
        <v>1.4573747608238956</v>
      </c>
      <c r="O1296" s="1629"/>
    </row>
    <row r="1297" spans="11:15">
      <c r="K1297" s="1626">
        <v>43354</v>
      </c>
      <c r="L1297" s="1627" t="s">
        <v>2298</v>
      </c>
      <c r="M1297" s="1628">
        <v>2.462E-2</v>
      </c>
      <c r="N1297" s="1629">
        <v>1.4577335664900106</v>
      </c>
      <c r="O1297" s="1629"/>
    </row>
    <row r="1298" spans="11:15">
      <c r="K1298" s="1626">
        <v>43355</v>
      </c>
      <c r="L1298" s="1627" t="s">
        <v>2298</v>
      </c>
      <c r="M1298" s="1628">
        <v>2.462E-2</v>
      </c>
      <c r="N1298" s="1629">
        <v>1.4580924604940806</v>
      </c>
      <c r="O1298" s="1629"/>
    </row>
    <row r="1299" spans="11:15">
      <c r="K1299" s="1626">
        <v>43356</v>
      </c>
      <c r="L1299" s="1627" t="s">
        <v>2298</v>
      </c>
      <c r="M1299" s="1628">
        <v>2.462E-2</v>
      </c>
      <c r="N1299" s="1629">
        <v>1.4584514428578543</v>
      </c>
      <c r="O1299" s="1629"/>
    </row>
    <row r="1300" spans="11:15">
      <c r="K1300" s="1626">
        <v>43357</v>
      </c>
      <c r="L1300" s="1627" t="s">
        <v>2298</v>
      </c>
      <c r="M1300" s="1628">
        <v>2.462E-2</v>
      </c>
      <c r="N1300" s="1629">
        <v>1.458810513603086</v>
      </c>
      <c r="O1300" s="1629"/>
    </row>
    <row r="1301" spans="11:15">
      <c r="K1301" s="1626">
        <v>43358</v>
      </c>
      <c r="L1301" s="1627"/>
      <c r="M1301" s="1628">
        <v>0</v>
      </c>
      <c r="N1301" s="1629">
        <v>1.458810513603086</v>
      </c>
      <c r="O1301" s="1629"/>
    </row>
    <row r="1302" spans="11:15">
      <c r="K1302" s="1626">
        <v>43359</v>
      </c>
      <c r="L1302" s="1627"/>
      <c r="M1302" s="1628">
        <v>0</v>
      </c>
      <c r="N1302" s="1629">
        <v>1.458810513603086</v>
      </c>
      <c r="O1302" s="1629"/>
    </row>
    <row r="1303" spans="11:15">
      <c r="K1303" s="1626">
        <v>43360</v>
      </c>
      <c r="L1303" s="1627" t="s">
        <v>2298</v>
      </c>
      <c r="M1303" s="1628">
        <v>2.462E-2</v>
      </c>
      <c r="N1303" s="1629">
        <v>1.4591696727515353</v>
      </c>
      <c r="O1303" s="1629"/>
    </row>
    <row r="1304" spans="11:15">
      <c r="K1304" s="1626">
        <v>43361</v>
      </c>
      <c r="L1304" s="1627" t="s">
        <v>2298</v>
      </c>
      <c r="M1304" s="1628">
        <v>2.462E-2</v>
      </c>
      <c r="N1304" s="1629">
        <v>1.4595289203249668</v>
      </c>
      <c r="O1304" s="1629"/>
    </row>
    <row r="1305" spans="11:15">
      <c r="K1305" s="1626">
        <v>43362</v>
      </c>
      <c r="L1305" s="1627" t="s">
        <v>2298</v>
      </c>
      <c r="M1305" s="1628">
        <v>2.462E-2</v>
      </c>
      <c r="N1305" s="1629">
        <v>1.459888256345151</v>
      </c>
      <c r="O1305" s="1629"/>
    </row>
    <row r="1306" spans="11:15">
      <c r="K1306" s="1626">
        <v>43363</v>
      </c>
      <c r="L1306" s="1627" t="s">
        <v>2298</v>
      </c>
      <c r="M1306" s="1628">
        <v>2.462E-2</v>
      </c>
      <c r="N1306" s="1629">
        <v>1.4602476808338634</v>
      </c>
      <c r="O1306" s="1629"/>
    </row>
    <row r="1307" spans="11:15">
      <c r="K1307" s="1626">
        <v>43364</v>
      </c>
      <c r="L1307" s="1627" t="s">
        <v>2298</v>
      </c>
      <c r="M1307" s="1628">
        <v>2.462E-2</v>
      </c>
      <c r="N1307" s="1629">
        <v>1.4606071938128848</v>
      </c>
      <c r="O1307" s="1629"/>
    </row>
    <row r="1308" spans="11:15">
      <c r="K1308" s="1626">
        <v>43365</v>
      </c>
      <c r="L1308" s="1627"/>
      <c r="M1308" s="1628">
        <v>0</v>
      </c>
      <c r="N1308" s="1629">
        <v>1.4606071938128848</v>
      </c>
      <c r="O1308" s="1629"/>
    </row>
    <row r="1309" spans="11:15">
      <c r="K1309" s="1626">
        <v>43366</v>
      </c>
      <c r="L1309" s="1627"/>
      <c r="M1309" s="1628">
        <v>0</v>
      </c>
      <c r="N1309" s="1629">
        <v>1.4606071938128848</v>
      </c>
      <c r="O1309" s="1629"/>
    </row>
    <row r="1310" spans="11:15">
      <c r="K1310" s="1626">
        <v>43367</v>
      </c>
      <c r="L1310" s="1627" t="s">
        <v>2298</v>
      </c>
      <c r="M1310" s="1628">
        <v>2.462E-2</v>
      </c>
      <c r="N1310" s="1629">
        <v>1.4609667953040018</v>
      </c>
      <c r="O1310" s="1629"/>
    </row>
    <row r="1311" spans="11:15">
      <c r="K1311" s="1626">
        <v>43368</v>
      </c>
      <c r="L1311" s="1627" t="s">
        <v>2298</v>
      </c>
      <c r="M1311" s="1628">
        <v>2.462E-2</v>
      </c>
      <c r="N1311" s="1629">
        <v>1.4613264853290058</v>
      </c>
      <c r="O1311" s="1629"/>
    </row>
    <row r="1312" spans="11:15">
      <c r="K1312" s="1626">
        <v>43369</v>
      </c>
      <c r="L1312" s="1627" t="s">
        <v>2298</v>
      </c>
      <c r="M1312" s="1628">
        <v>2.462E-2</v>
      </c>
      <c r="N1312" s="1629">
        <v>1.4616862639096939</v>
      </c>
      <c r="O1312" s="1629"/>
    </row>
    <row r="1313" spans="11:15">
      <c r="K1313" s="1626">
        <v>43370</v>
      </c>
      <c r="L1313" s="1627" t="s">
        <v>2298</v>
      </c>
      <c r="M1313" s="1628">
        <v>2.462E-2</v>
      </c>
      <c r="N1313" s="1629">
        <v>1.4620461310678685</v>
      </c>
      <c r="O1313" s="1629"/>
    </row>
    <row r="1314" spans="11:15">
      <c r="K1314" s="1626">
        <v>43371</v>
      </c>
      <c r="L1314" s="1627" t="s">
        <v>2298</v>
      </c>
      <c r="M1314" s="1628">
        <v>2.462E-2</v>
      </c>
      <c r="N1314" s="1629">
        <v>1.4624060868253375</v>
      </c>
      <c r="O1314" s="1629"/>
    </row>
    <row r="1315" spans="11:15">
      <c r="K1315" s="1626">
        <v>43372</v>
      </c>
      <c r="L1315" s="1627"/>
      <c r="M1315" s="1628">
        <v>0</v>
      </c>
      <c r="N1315" s="1629">
        <v>1.4624060868253375</v>
      </c>
      <c r="O1315" s="1629"/>
    </row>
    <row r="1316" spans="11:15">
      <c r="K1316" s="1626">
        <v>43373</v>
      </c>
      <c r="L1316" s="1627"/>
      <c r="M1316" s="1628">
        <v>0</v>
      </c>
      <c r="N1316" s="1629">
        <v>1.4624060868253375</v>
      </c>
      <c r="O1316" s="1629"/>
    </row>
    <row r="1317" spans="11:15">
      <c r="K1317" s="1626">
        <v>43374</v>
      </c>
      <c r="L1317" s="1627" t="s">
        <v>2298</v>
      </c>
      <c r="M1317" s="1628">
        <v>2.462E-2</v>
      </c>
      <c r="N1317" s="1629">
        <v>1.462766131203914</v>
      </c>
      <c r="O1317" s="1629"/>
    </row>
    <row r="1318" spans="11:15">
      <c r="K1318" s="1626">
        <v>43375</v>
      </c>
      <c r="L1318" s="1627" t="s">
        <v>2298</v>
      </c>
      <c r="M1318" s="1628">
        <v>2.462E-2</v>
      </c>
      <c r="N1318" s="1629">
        <v>1.4631262642254166</v>
      </c>
      <c r="O1318" s="1629"/>
    </row>
    <row r="1319" spans="11:15">
      <c r="K1319" s="1626">
        <v>43376</v>
      </c>
      <c r="L1319" s="1627" t="s">
        <v>2298</v>
      </c>
      <c r="M1319" s="1628">
        <v>2.462E-2</v>
      </c>
      <c r="N1319" s="1629">
        <v>1.463486485911669</v>
      </c>
      <c r="O1319" s="1629"/>
    </row>
    <row r="1320" spans="11:15">
      <c r="K1320" s="1626">
        <v>43377</v>
      </c>
      <c r="L1320" s="1627" t="s">
        <v>2298</v>
      </c>
      <c r="M1320" s="1628">
        <v>2.462E-2</v>
      </c>
      <c r="N1320" s="1629">
        <v>1.4638467962845005</v>
      </c>
      <c r="O1320" s="1629"/>
    </row>
    <row r="1321" spans="11:15">
      <c r="K1321" s="1626">
        <v>43378</v>
      </c>
      <c r="L1321" s="1627" t="s">
        <v>2298</v>
      </c>
      <c r="M1321" s="1628">
        <v>2.462E-2</v>
      </c>
      <c r="N1321" s="1629">
        <v>1.4642071953657458</v>
      </c>
      <c r="O1321" s="1629"/>
    </row>
    <row r="1322" spans="11:15">
      <c r="K1322" s="1626">
        <v>43379</v>
      </c>
      <c r="L1322" s="1627"/>
      <c r="M1322" s="1628">
        <v>0</v>
      </c>
      <c r="N1322" s="1629">
        <v>1.4642071953657458</v>
      </c>
      <c r="O1322" s="1629"/>
    </row>
    <row r="1323" spans="11:15">
      <c r="K1323" s="1626">
        <v>43380</v>
      </c>
      <c r="L1323" s="1627"/>
      <c r="M1323" s="1628">
        <v>0</v>
      </c>
      <c r="N1323" s="1629">
        <v>1.4642071953657458</v>
      </c>
      <c r="O1323" s="1629"/>
    </row>
    <row r="1324" spans="11:15">
      <c r="K1324" s="1626">
        <v>43381</v>
      </c>
      <c r="L1324" s="1627" t="s">
        <v>2298</v>
      </c>
      <c r="M1324" s="1628">
        <v>2.462E-2</v>
      </c>
      <c r="N1324" s="1629">
        <v>1.4645676831772449</v>
      </c>
      <c r="O1324" s="1629"/>
    </row>
    <row r="1325" spans="11:15">
      <c r="K1325" s="1626">
        <v>43382</v>
      </c>
      <c r="L1325" s="1627" t="s">
        <v>2298</v>
      </c>
      <c r="M1325" s="1628">
        <v>2.462E-2</v>
      </c>
      <c r="N1325" s="1629">
        <v>1.4649282597408433</v>
      </c>
      <c r="O1325" s="1629"/>
    </row>
    <row r="1326" spans="11:15">
      <c r="K1326" s="1626">
        <v>43383</v>
      </c>
      <c r="L1326" s="1627" t="s">
        <v>2298</v>
      </c>
      <c r="M1326" s="1628">
        <v>2.462E-2</v>
      </c>
      <c r="N1326" s="1629">
        <v>1.4652889250783916</v>
      </c>
      <c r="O1326" s="1629"/>
    </row>
    <row r="1327" spans="11:15">
      <c r="K1327" s="1626">
        <v>43384</v>
      </c>
      <c r="L1327" s="1627" t="s">
        <v>2298</v>
      </c>
      <c r="M1327" s="1628">
        <v>2.462E-2</v>
      </c>
      <c r="N1327" s="1629">
        <v>1.4656496792117459</v>
      </c>
      <c r="O1327" s="1629"/>
    </row>
    <row r="1328" spans="11:15">
      <c r="K1328" s="1626">
        <v>43385</v>
      </c>
      <c r="L1328" s="1627"/>
      <c r="M1328" s="1628">
        <v>0</v>
      </c>
      <c r="N1328" s="1629">
        <v>1.4656496792117459</v>
      </c>
      <c r="O1328" s="1629"/>
    </row>
    <row r="1329" spans="11:15">
      <c r="K1329" s="1626">
        <v>43386</v>
      </c>
      <c r="L1329" s="1627"/>
      <c r="M1329" s="1628">
        <v>0</v>
      </c>
      <c r="N1329" s="1629">
        <v>1.4656496792117459</v>
      </c>
      <c r="O1329" s="1629"/>
    </row>
    <row r="1330" spans="11:15">
      <c r="K1330" s="1626">
        <v>43387</v>
      </c>
      <c r="L1330" s="1627"/>
      <c r="M1330" s="1628">
        <v>0</v>
      </c>
      <c r="N1330" s="1629">
        <v>1.4656496792117459</v>
      </c>
      <c r="O1330" s="1629"/>
    </row>
    <row r="1331" spans="11:15">
      <c r="K1331" s="1626">
        <v>43388</v>
      </c>
      <c r="L1331" s="1627" t="s">
        <v>2298</v>
      </c>
      <c r="M1331" s="1628">
        <v>2.462E-2</v>
      </c>
      <c r="N1331" s="1629">
        <v>1.4660105221627679</v>
      </c>
      <c r="O1331" s="1629"/>
    </row>
    <row r="1332" spans="11:15">
      <c r="K1332" s="1626">
        <v>43389</v>
      </c>
      <c r="L1332" s="1627" t="s">
        <v>2298</v>
      </c>
      <c r="M1332" s="1628">
        <v>2.462E-2</v>
      </c>
      <c r="N1332" s="1629">
        <v>1.4663714539533246</v>
      </c>
      <c r="O1332" s="1629"/>
    </row>
    <row r="1333" spans="11:15">
      <c r="K1333" s="1626">
        <v>43390</v>
      </c>
      <c r="L1333" s="1627" t="s">
        <v>2298</v>
      </c>
      <c r="M1333" s="1628">
        <v>2.462E-2</v>
      </c>
      <c r="N1333" s="1629">
        <v>1.4667324746052881</v>
      </c>
      <c r="O1333" s="1629"/>
    </row>
    <row r="1334" spans="11:15">
      <c r="K1334" s="1626">
        <v>43391</v>
      </c>
      <c r="L1334" s="1627" t="s">
        <v>2298</v>
      </c>
      <c r="M1334" s="1628">
        <v>2.462E-2</v>
      </c>
      <c r="N1334" s="1629">
        <v>1.4670935841405361</v>
      </c>
      <c r="O1334" s="1629"/>
    </row>
    <row r="1335" spans="11:15">
      <c r="K1335" s="1626">
        <v>43392</v>
      </c>
      <c r="L1335" s="1627" t="s">
        <v>2298</v>
      </c>
      <c r="M1335" s="1628">
        <v>2.462E-2</v>
      </c>
      <c r="N1335" s="1629">
        <v>1.4674547825809516</v>
      </c>
      <c r="O1335" s="1629"/>
    </row>
    <row r="1336" spans="11:15">
      <c r="K1336" s="1626">
        <v>43393</v>
      </c>
      <c r="L1336" s="1627"/>
      <c r="M1336" s="1628">
        <v>0</v>
      </c>
      <c r="N1336" s="1629">
        <v>1.4674547825809516</v>
      </c>
      <c r="O1336" s="1629"/>
    </row>
    <row r="1337" spans="11:15">
      <c r="K1337" s="1626">
        <v>43394</v>
      </c>
      <c r="L1337" s="1627"/>
      <c r="M1337" s="1628">
        <v>0</v>
      </c>
      <c r="N1337" s="1629">
        <v>1.4674547825809516</v>
      </c>
      <c r="O1337" s="1629"/>
    </row>
    <row r="1338" spans="11:15">
      <c r="K1338" s="1626">
        <v>43395</v>
      </c>
      <c r="L1338" s="1627" t="s">
        <v>2298</v>
      </c>
      <c r="M1338" s="1628">
        <v>2.462E-2</v>
      </c>
      <c r="N1338" s="1629">
        <v>1.4678160699484233</v>
      </c>
      <c r="O1338" s="1629"/>
    </row>
    <row r="1339" spans="11:15">
      <c r="K1339" s="1626">
        <v>43396</v>
      </c>
      <c r="L1339" s="1627" t="s">
        <v>2298</v>
      </c>
      <c r="M1339" s="1628">
        <v>2.462E-2</v>
      </c>
      <c r="N1339" s="1629">
        <v>1.4681774462648447</v>
      </c>
      <c r="O1339" s="1629"/>
    </row>
    <row r="1340" spans="11:15">
      <c r="K1340" s="1626">
        <v>43397</v>
      </c>
      <c r="L1340" s="1627" t="s">
        <v>2298</v>
      </c>
      <c r="M1340" s="1628">
        <v>2.462E-2</v>
      </c>
      <c r="N1340" s="1629">
        <v>1.4685389115521152</v>
      </c>
      <c r="O1340" s="1629"/>
    </row>
    <row r="1341" spans="11:15">
      <c r="K1341" s="1626">
        <v>43398</v>
      </c>
      <c r="L1341" s="1627" t="s">
        <v>2298</v>
      </c>
      <c r="M1341" s="1628">
        <v>2.462E-2</v>
      </c>
      <c r="N1341" s="1629">
        <v>1.4689004658321394</v>
      </c>
      <c r="O1341" s="1629"/>
    </row>
    <row r="1342" spans="11:15">
      <c r="K1342" s="1626">
        <v>43399</v>
      </c>
      <c r="L1342" s="1627" t="s">
        <v>2298</v>
      </c>
      <c r="M1342" s="1628">
        <v>2.462E-2</v>
      </c>
      <c r="N1342" s="1629">
        <v>1.4692621091268274</v>
      </c>
      <c r="O1342" s="1629"/>
    </row>
    <row r="1343" spans="11:15">
      <c r="K1343" s="1626">
        <v>43400</v>
      </c>
      <c r="L1343" s="1627"/>
      <c r="M1343" s="1628">
        <v>0</v>
      </c>
      <c r="N1343" s="1629">
        <v>1.4692621091268274</v>
      </c>
      <c r="O1343" s="1629"/>
    </row>
    <row r="1344" spans="11:15">
      <c r="K1344" s="1626">
        <v>43401</v>
      </c>
      <c r="L1344" s="1627"/>
      <c r="M1344" s="1628">
        <v>0</v>
      </c>
      <c r="N1344" s="1629">
        <v>1.4692621091268274</v>
      </c>
      <c r="O1344" s="1629"/>
    </row>
    <row r="1345" spans="11:15">
      <c r="K1345" s="1626">
        <v>43402</v>
      </c>
      <c r="L1345" s="1627" t="s">
        <v>2298</v>
      </c>
      <c r="M1345" s="1628">
        <v>2.462E-2</v>
      </c>
      <c r="N1345" s="1629">
        <v>1.4696238414580947</v>
      </c>
      <c r="O1345" s="1629"/>
    </row>
    <row r="1346" spans="11:15">
      <c r="K1346" s="1626">
        <v>43403</v>
      </c>
      <c r="L1346" s="1627" t="s">
        <v>2298</v>
      </c>
      <c r="M1346" s="1628">
        <v>2.462E-2</v>
      </c>
      <c r="N1346" s="1629">
        <v>1.4699856628478618</v>
      </c>
      <c r="O1346" s="1629"/>
    </row>
    <row r="1347" spans="11:15">
      <c r="K1347" s="1626">
        <v>43404</v>
      </c>
      <c r="L1347" s="1627" t="s">
        <v>2298</v>
      </c>
      <c r="M1347" s="1628">
        <v>2.462E-2</v>
      </c>
      <c r="N1347" s="1629">
        <v>1.4703475733180551</v>
      </c>
      <c r="O1347" s="1629"/>
    </row>
    <row r="1348" spans="11:15">
      <c r="K1348" s="1626">
        <v>43405</v>
      </c>
      <c r="L1348" s="1627" t="s">
        <v>2298</v>
      </c>
      <c r="M1348" s="1628">
        <v>2.462E-2</v>
      </c>
      <c r="N1348" s="1629">
        <v>1.4707095728906061</v>
      </c>
      <c r="O1348" s="1629"/>
    </row>
    <row r="1349" spans="11:15">
      <c r="K1349" s="1626">
        <v>43406</v>
      </c>
      <c r="L1349" s="1627"/>
      <c r="M1349" s="1628">
        <v>0</v>
      </c>
      <c r="N1349" s="1629">
        <v>1.4707095728906061</v>
      </c>
      <c r="O1349" s="1629"/>
    </row>
    <row r="1350" spans="11:15">
      <c r="K1350" s="1626">
        <v>43407</v>
      </c>
      <c r="L1350" s="1627"/>
      <c r="M1350" s="1628">
        <v>0</v>
      </c>
      <c r="N1350" s="1629">
        <v>1.4707095728906061</v>
      </c>
      <c r="O1350" s="1629"/>
    </row>
    <row r="1351" spans="11:15">
      <c r="K1351" s="1626">
        <v>43408</v>
      </c>
      <c r="L1351" s="1627"/>
      <c r="M1351" s="1628">
        <v>0</v>
      </c>
      <c r="N1351" s="1629">
        <v>1.4707095728906061</v>
      </c>
      <c r="O1351" s="1629"/>
    </row>
    <row r="1352" spans="11:15">
      <c r="K1352" s="1626">
        <v>43409</v>
      </c>
      <c r="L1352" s="1627" t="s">
        <v>2298</v>
      </c>
      <c r="M1352" s="1628">
        <v>2.462E-2</v>
      </c>
      <c r="N1352" s="1629">
        <v>1.471071661587452</v>
      </c>
      <c r="O1352" s="1629"/>
    </row>
    <row r="1353" spans="11:15">
      <c r="K1353" s="1626">
        <v>43410</v>
      </c>
      <c r="L1353" s="1627" t="s">
        <v>2298</v>
      </c>
      <c r="M1353" s="1628">
        <v>2.462E-2</v>
      </c>
      <c r="N1353" s="1629">
        <v>1.4714338394305349</v>
      </c>
      <c r="O1353" s="1629"/>
    </row>
    <row r="1354" spans="11:15">
      <c r="K1354" s="1626">
        <v>43411</v>
      </c>
      <c r="L1354" s="1627" t="s">
        <v>2298</v>
      </c>
      <c r="M1354" s="1628">
        <v>2.462E-2</v>
      </c>
      <c r="N1354" s="1629">
        <v>1.4717961064418028</v>
      </c>
      <c r="O1354" s="1629"/>
    </row>
    <row r="1355" spans="11:15">
      <c r="K1355" s="1626">
        <v>43412</v>
      </c>
      <c r="L1355" s="1627" t="s">
        <v>2298</v>
      </c>
      <c r="M1355" s="1628">
        <v>2.462E-2</v>
      </c>
      <c r="N1355" s="1629">
        <v>1.4721584626432089</v>
      </c>
      <c r="O1355" s="1629"/>
    </row>
    <row r="1356" spans="11:15">
      <c r="K1356" s="1626">
        <v>43413</v>
      </c>
      <c r="L1356" s="1627" t="s">
        <v>2298</v>
      </c>
      <c r="M1356" s="1628">
        <v>2.462E-2</v>
      </c>
      <c r="N1356" s="1629">
        <v>1.4725209080567119</v>
      </c>
      <c r="O1356" s="1629"/>
    </row>
    <row r="1357" spans="11:15">
      <c r="K1357" s="1626">
        <v>43414</v>
      </c>
      <c r="L1357" s="1627"/>
      <c r="M1357" s="1628">
        <v>0</v>
      </c>
      <c r="N1357" s="1629">
        <v>1.4725209080567119</v>
      </c>
      <c r="O1357" s="1629"/>
    </row>
    <row r="1358" spans="11:15">
      <c r="K1358" s="1626">
        <v>43415</v>
      </c>
      <c r="L1358" s="1627"/>
      <c r="M1358" s="1628">
        <v>0</v>
      </c>
      <c r="N1358" s="1629">
        <v>1.4725209080567119</v>
      </c>
      <c r="O1358" s="1629"/>
    </row>
    <row r="1359" spans="11:15">
      <c r="K1359" s="1626">
        <v>43416</v>
      </c>
      <c r="L1359" s="1627" t="s">
        <v>2298</v>
      </c>
      <c r="M1359" s="1628">
        <v>2.462E-2</v>
      </c>
      <c r="N1359" s="1629">
        <v>1.4728834427042756</v>
      </c>
      <c r="O1359" s="1629"/>
    </row>
    <row r="1360" spans="11:15">
      <c r="K1360" s="1626">
        <v>43417</v>
      </c>
      <c r="L1360" s="1627" t="s">
        <v>2298</v>
      </c>
      <c r="M1360" s="1628">
        <v>2.462E-2</v>
      </c>
      <c r="N1360" s="1629">
        <v>1.4732460666078695</v>
      </c>
      <c r="O1360" s="1629"/>
    </row>
    <row r="1361" spans="11:15">
      <c r="K1361" s="1626">
        <v>43418</v>
      </c>
      <c r="L1361" s="1627" t="s">
        <v>2298</v>
      </c>
      <c r="M1361" s="1628">
        <v>2.462E-2</v>
      </c>
      <c r="N1361" s="1629">
        <v>1.4736087797894686</v>
      </c>
      <c r="O1361" s="1629"/>
    </row>
    <row r="1362" spans="11:15">
      <c r="K1362" s="1626">
        <v>43419</v>
      </c>
      <c r="L1362" s="1627"/>
      <c r="M1362" s="1628">
        <v>0</v>
      </c>
      <c r="N1362" s="1629">
        <v>1.4736087797894686</v>
      </c>
      <c r="O1362" s="1629"/>
    </row>
    <row r="1363" spans="11:15">
      <c r="K1363" s="1626">
        <v>43420</v>
      </c>
      <c r="L1363" s="1627" t="s">
        <v>2298</v>
      </c>
      <c r="M1363" s="1628">
        <v>2.462E-2</v>
      </c>
      <c r="N1363" s="1629">
        <v>1.4739715822710528</v>
      </c>
      <c r="O1363" s="1629"/>
    </row>
    <row r="1364" spans="11:15">
      <c r="K1364" s="1626">
        <v>43421</v>
      </c>
      <c r="L1364" s="1627"/>
      <c r="M1364" s="1628">
        <v>0</v>
      </c>
      <c r="N1364" s="1629">
        <v>1.4739715822710528</v>
      </c>
      <c r="O1364" s="1629"/>
    </row>
    <row r="1365" spans="11:15">
      <c r="K1365" s="1626">
        <v>43422</v>
      </c>
      <c r="L1365" s="1627"/>
      <c r="M1365" s="1628">
        <v>0</v>
      </c>
      <c r="N1365" s="1629">
        <v>1.4739715822710528</v>
      </c>
      <c r="O1365" s="1629"/>
    </row>
    <row r="1366" spans="11:15">
      <c r="K1366" s="1626">
        <v>43423</v>
      </c>
      <c r="L1366" s="1627" t="s">
        <v>2298</v>
      </c>
      <c r="M1366" s="1628">
        <v>2.462E-2</v>
      </c>
      <c r="N1366" s="1629">
        <v>1.474334474074608</v>
      </c>
      <c r="O1366" s="1629"/>
    </row>
    <row r="1367" spans="11:15">
      <c r="K1367" s="1626">
        <v>43424</v>
      </c>
      <c r="L1367" s="1627" t="s">
        <v>2298</v>
      </c>
      <c r="M1367" s="1628">
        <v>2.462E-2</v>
      </c>
      <c r="N1367" s="1629">
        <v>1.4746974552221253</v>
      </c>
      <c r="O1367" s="1629"/>
    </row>
    <row r="1368" spans="11:15">
      <c r="K1368" s="1626">
        <v>43425</v>
      </c>
      <c r="L1368" s="1627" t="s">
        <v>2298</v>
      </c>
      <c r="M1368" s="1628">
        <v>2.462E-2</v>
      </c>
      <c r="N1368" s="1629">
        <v>1.4750605257356011</v>
      </c>
      <c r="O1368" s="1629"/>
    </row>
    <row r="1369" spans="11:15">
      <c r="K1369" s="1626">
        <v>43426</v>
      </c>
      <c r="L1369" s="1627" t="s">
        <v>2298</v>
      </c>
      <c r="M1369" s="1628">
        <v>2.462E-2</v>
      </c>
      <c r="N1369" s="1629">
        <v>1.4754236856370373</v>
      </c>
      <c r="O1369" s="1629"/>
    </row>
    <row r="1370" spans="11:15">
      <c r="K1370" s="1626">
        <v>43427</v>
      </c>
      <c r="L1370" s="1627" t="s">
        <v>2298</v>
      </c>
      <c r="M1370" s="1628">
        <v>2.462E-2</v>
      </c>
      <c r="N1370" s="1629">
        <v>1.4757869349484412</v>
      </c>
      <c r="O1370" s="1629"/>
    </row>
    <row r="1371" spans="11:15">
      <c r="K1371" s="1626">
        <v>43428</v>
      </c>
      <c r="L1371" s="1627"/>
      <c r="M1371" s="1628">
        <v>0</v>
      </c>
      <c r="N1371" s="1629">
        <v>1.4757869349484412</v>
      </c>
      <c r="O1371" s="1629"/>
    </row>
    <row r="1372" spans="11:15">
      <c r="K1372" s="1626">
        <v>43429</v>
      </c>
      <c r="L1372" s="1627"/>
      <c r="M1372" s="1628">
        <v>0</v>
      </c>
      <c r="N1372" s="1629">
        <v>1.4757869349484412</v>
      </c>
      <c r="O1372" s="1629"/>
    </row>
    <row r="1373" spans="11:15">
      <c r="K1373" s="1626">
        <v>43430</v>
      </c>
      <c r="L1373" s="1627" t="s">
        <v>2298</v>
      </c>
      <c r="M1373" s="1628">
        <v>2.462E-2</v>
      </c>
      <c r="N1373" s="1629">
        <v>1.4761502736918255</v>
      </c>
      <c r="O1373" s="1629"/>
    </row>
    <row r="1374" spans="11:15">
      <c r="K1374" s="1626">
        <v>43431</v>
      </c>
      <c r="L1374" s="1627" t="s">
        <v>2298</v>
      </c>
      <c r="M1374" s="1628">
        <v>2.462E-2</v>
      </c>
      <c r="N1374" s="1629">
        <v>1.4765137018892085</v>
      </c>
      <c r="O1374" s="1629"/>
    </row>
    <row r="1375" spans="11:15">
      <c r="K1375" s="1626">
        <v>43432</v>
      </c>
      <c r="L1375" s="1627" t="s">
        <v>2298</v>
      </c>
      <c r="M1375" s="1628">
        <v>2.462E-2</v>
      </c>
      <c r="N1375" s="1629">
        <v>1.4768772195626136</v>
      </c>
      <c r="O1375" s="1629"/>
    </row>
    <row r="1376" spans="11:15">
      <c r="K1376" s="1626">
        <v>43433</v>
      </c>
      <c r="L1376" s="1627" t="s">
        <v>2298</v>
      </c>
      <c r="M1376" s="1628">
        <v>2.462E-2</v>
      </c>
      <c r="N1376" s="1629">
        <v>1.47724082673407</v>
      </c>
      <c r="O1376" s="1629"/>
    </row>
    <row r="1377" spans="11:15">
      <c r="K1377" s="1626">
        <v>43434</v>
      </c>
      <c r="L1377" s="1627" t="s">
        <v>2298</v>
      </c>
      <c r="M1377" s="1628">
        <v>2.462E-2</v>
      </c>
      <c r="N1377" s="1629">
        <v>1.4776045234256121</v>
      </c>
      <c r="O1377" s="1629"/>
    </row>
    <row r="1378" spans="11:15">
      <c r="K1378" s="1626">
        <v>43435</v>
      </c>
      <c r="L1378" s="1627"/>
      <c r="M1378" s="1628">
        <v>0</v>
      </c>
      <c r="N1378" s="1629">
        <v>1.4776045234256121</v>
      </c>
      <c r="O1378" s="1629"/>
    </row>
    <row r="1379" spans="11:15">
      <c r="K1379" s="1626">
        <v>43436</v>
      </c>
      <c r="L1379" s="1627"/>
      <c r="M1379" s="1628">
        <v>0</v>
      </c>
      <c r="N1379" s="1629">
        <v>1.4776045234256121</v>
      </c>
      <c r="O1379" s="1629"/>
    </row>
    <row r="1380" spans="11:15">
      <c r="K1380" s="1626">
        <v>43437</v>
      </c>
      <c r="L1380" s="1627" t="s">
        <v>2298</v>
      </c>
      <c r="M1380" s="1628">
        <v>2.462E-2</v>
      </c>
      <c r="N1380" s="1629">
        <v>1.4779683096592797</v>
      </c>
      <c r="O1380" s="1629"/>
    </row>
    <row r="1381" spans="11:15">
      <c r="K1381" s="1626">
        <v>43438</v>
      </c>
      <c r="L1381" s="1627" t="s">
        <v>2298</v>
      </c>
      <c r="M1381" s="1628">
        <v>2.462E-2</v>
      </c>
      <c r="N1381" s="1629">
        <v>1.4783321854571179</v>
      </c>
      <c r="O1381" s="1629"/>
    </row>
    <row r="1382" spans="11:15">
      <c r="K1382" s="1626">
        <v>43439</v>
      </c>
      <c r="L1382" s="1627" t="s">
        <v>2298</v>
      </c>
      <c r="M1382" s="1628">
        <v>2.462E-2</v>
      </c>
      <c r="N1382" s="1629">
        <v>1.4786961508411776</v>
      </c>
      <c r="O1382" s="1629"/>
    </row>
    <row r="1383" spans="11:15">
      <c r="K1383" s="1626">
        <v>43440</v>
      </c>
      <c r="L1383" s="1627" t="s">
        <v>2298</v>
      </c>
      <c r="M1383" s="1628">
        <v>2.462E-2</v>
      </c>
      <c r="N1383" s="1629">
        <v>1.4790602058335147</v>
      </c>
      <c r="O1383" s="1629"/>
    </row>
    <row r="1384" spans="11:15">
      <c r="K1384" s="1626">
        <v>43441</v>
      </c>
      <c r="L1384" s="1627" t="s">
        <v>2298</v>
      </c>
      <c r="M1384" s="1628">
        <v>2.462E-2</v>
      </c>
      <c r="N1384" s="1629">
        <v>1.479424350456191</v>
      </c>
      <c r="O1384" s="1629"/>
    </row>
    <row r="1385" spans="11:15">
      <c r="K1385" s="1626">
        <v>43442</v>
      </c>
      <c r="L1385" s="1627"/>
      <c r="M1385" s="1628">
        <v>0</v>
      </c>
      <c r="N1385" s="1629">
        <v>1.479424350456191</v>
      </c>
      <c r="O1385" s="1629"/>
    </row>
    <row r="1386" spans="11:15">
      <c r="K1386" s="1626">
        <v>43443</v>
      </c>
      <c r="L1386" s="1627"/>
      <c r="M1386" s="1628">
        <v>0</v>
      </c>
      <c r="N1386" s="1629">
        <v>1.479424350456191</v>
      </c>
      <c r="O1386" s="1629"/>
    </row>
    <row r="1387" spans="11:15">
      <c r="K1387" s="1626">
        <v>43444</v>
      </c>
      <c r="L1387" s="1627" t="s">
        <v>2298</v>
      </c>
      <c r="M1387" s="1628">
        <v>2.462E-2</v>
      </c>
      <c r="N1387" s="1629">
        <v>1.4797885847312735</v>
      </c>
      <c r="O1387" s="1629"/>
    </row>
    <row r="1388" spans="11:15">
      <c r="K1388" s="1626">
        <v>43445</v>
      </c>
      <c r="L1388" s="1627" t="s">
        <v>2298</v>
      </c>
      <c r="M1388" s="1628">
        <v>2.462E-2</v>
      </c>
      <c r="N1388" s="1629">
        <v>1.4801529086808345</v>
      </c>
      <c r="O1388" s="1629"/>
    </row>
    <row r="1389" spans="11:15">
      <c r="K1389" s="1626">
        <v>43446</v>
      </c>
      <c r="L1389" s="1627" t="s">
        <v>2298</v>
      </c>
      <c r="M1389" s="1628">
        <v>2.462E-2</v>
      </c>
      <c r="N1389" s="1629">
        <v>1.4805173223269519</v>
      </c>
      <c r="O1389" s="1629"/>
    </row>
    <row r="1390" spans="11:15">
      <c r="K1390" s="1626">
        <v>43447</v>
      </c>
      <c r="L1390" s="1627" t="s">
        <v>2298</v>
      </c>
      <c r="M1390" s="1628">
        <v>2.462E-2</v>
      </c>
      <c r="N1390" s="1629">
        <v>1.4808818256917089</v>
      </c>
      <c r="O1390" s="1629"/>
    </row>
    <row r="1391" spans="11:15">
      <c r="K1391" s="1626">
        <v>43448</v>
      </c>
      <c r="L1391" s="1627" t="s">
        <v>2298</v>
      </c>
      <c r="M1391" s="1628">
        <v>2.462E-2</v>
      </c>
      <c r="N1391" s="1629">
        <v>1.4812464187971943</v>
      </c>
      <c r="O1391" s="1629"/>
    </row>
    <row r="1392" spans="11:15">
      <c r="K1392" s="1626">
        <v>43449</v>
      </c>
      <c r="L1392" s="1627"/>
      <c r="M1392" s="1628">
        <v>0</v>
      </c>
      <c r="N1392" s="1629">
        <v>1.4812464187971943</v>
      </c>
      <c r="O1392" s="1629"/>
    </row>
    <row r="1393" spans="11:15">
      <c r="K1393" s="1626">
        <v>43450</v>
      </c>
      <c r="L1393" s="1627"/>
      <c r="M1393" s="1628">
        <v>0</v>
      </c>
      <c r="N1393" s="1629">
        <v>1.4812464187971943</v>
      </c>
      <c r="O1393" s="1629"/>
    </row>
    <row r="1394" spans="11:15">
      <c r="K1394" s="1626">
        <v>43451</v>
      </c>
      <c r="L1394" s="1627" t="s">
        <v>2298</v>
      </c>
      <c r="M1394" s="1628">
        <v>2.462E-2</v>
      </c>
      <c r="N1394" s="1629">
        <v>1.4816111016655023</v>
      </c>
      <c r="O1394" s="1629"/>
    </row>
    <row r="1395" spans="11:15">
      <c r="K1395" s="1626">
        <v>43452</v>
      </c>
      <c r="L1395" s="1627" t="s">
        <v>2298</v>
      </c>
      <c r="M1395" s="1628">
        <v>2.462E-2</v>
      </c>
      <c r="N1395" s="1629">
        <v>1.4819758743187323</v>
      </c>
      <c r="O1395" s="1629"/>
    </row>
    <row r="1396" spans="11:15">
      <c r="K1396" s="1626">
        <v>43453</v>
      </c>
      <c r="L1396" s="1627" t="s">
        <v>2298</v>
      </c>
      <c r="M1396" s="1628">
        <v>2.462E-2</v>
      </c>
      <c r="N1396" s="1629">
        <v>1.4823407367789898</v>
      </c>
      <c r="O1396" s="1629"/>
    </row>
    <row r="1397" spans="11:15">
      <c r="K1397" s="1626">
        <v>43454</v>
      </c>
      <c r="L1397" s="1627" t="s">
        <v>2298</v>
      </c>
      <c r="M1397" s="1628">
        <v>2.462E-2</v>
      </c>
      <c r="N1397" s="1629">
        <v>1.482705689068385</v>
      </c>
      <c r="O1397" s="1629"/>
    </row>
    <row r="1398" spans="11:15">
      <c r="K1398" s="1626">
        <v>43455</v>
      </c>
      <c r="L1398" s="1627" t="s">
        <v>2298</v>
      </c>
      <c r="M1398" s="1628">
        <v>2.462E-2</v>
      </c>
      <c r="N1398" s="1629">
        <v>1.4830707312090337</v>
      </c>
      <c r="O1398" s="1629"/>
    </row>
    <row r="1399" spans="11:15">
      <c r="K1399" s="1626">
        <v>43456</v>
      </c>
      <c r="L1399" s="1627"/>
      <c r="M1399" s="1628">
        <v>0</v>
      </c>
      <c r="N1399" s="1629">
        <v>1.4830707312090337</v>
      </c>
      <c r="O1399" s="1629"/>
    </row>
    <row r="1400" spans="11:15">
      <c r="K1400" s="1626">
        <v>43457</v>
      </c>
      <c r="L1400" s="1627"/>
      <c r="M1400" s="1628">
        <v>0</v>
      </c>
      <c r="N1400" s="1629">
        <v>1.4830707312090337</v>
      </c>
      <c r="O1400" s="1629"/>
    </row>
    <row r="1401" spans="11:15">
      <c r="K1401" s="1626">
        <v>43458</v>
      </c>
      <c r="L1401" s="1627" t="s">
        <v>2298</v>
      </c>
      <c r="M1401" s="1628">
        <v>2.462E-2</v>
      </c>
      <c r="N1401" s="1629">
        <v>1.4834358632230575</v>
      </c>
      <c r="O1401" s="1629"/>
    </row>
    <row r="1402" spans="11:15">
      <c r="K1402" s="1626">
        <v>43459</v>
      </c>
      <c r="L1402" s="1627"/>
      <c r="M1402" s="1628">
        <v>0</v>
      </c>
      <c r="N1402" s="1629">
        <v>1.4834358632230575</v>
      </c>
      <c r="O1402" s="1629"/>
    </row>
    <row r="1403" spans="11:15">
      <c r="K1403" s="1626">
        <v>43460</v>
      </c>
      <c r="L1403" s="1627" t="s">
        <v>2298</v>
      </c>
      <c r="M1403" s="1628">
        <v>2.462E-2</v>
      </c>
      <c r="N1403" s="1629">
        <v>1.4838010851325831</v>
      </c>
      <c r="O1403" s="1629"/>
    </row>
    <row r="1404" spans="11:15">
      <c r="K1404" s="1626">
        <v>43461</v>
      </c>
      <c r="L1404" s="1627" t="s">
        <v>2298</v>
      </c>
      <c r="M1404" s="1628">
        <v>2.462E-2</v>
      </c>
      <c r="N1404" s="1629">
        <v>1.484166396959743</v>
      </c>
      <c r="O1404" s="1629"/>
    </row>
    <row r="1405" spans="11:15">
      <c r="K1405" s="1626">
        <v>43462</v>
      </c>
      <c r="L1405" s="1627" t="s">
        <v>2298</v>
      </c>
      <c r="M1405" s="1628">
        <v>2.462E-2</v>
      </c>
      <c r="N1405" s="1629">
        <v>1.4845317987266746</v>
      </c>
      <c r="O1405" s="1629"/>
    </row>
    <row r="1406" spans="11:15">
      <c r="K1406" s="1626">
        <v>43463</v>
      </c>
      <c r="L1406" s="1627"/>
      <c r="M1406" s="1628">
        <v>0</v>
      </c>
      <c r="N1406" s="1629">
        <v>1.4845317987266746</v>
      </c>
      <c r="O1406" s="1629"/>
    </row>
    <row r="1407" spans="11:15">
      <c r="K1407" s="1626">
        <v>43464</v>
      </c>
      <c r="L1407" s="1627"/>
      <c r="M1407" s="1628">
        <v>0</v>
      </c>
      <c r="N1407" s="1629">
        <v>1.4845317987266746</v>
      </c>
      <c r="O1407" s="1629"/>
    </row>
    <row r="1408" spans="11:15">
      <c r="K1408" s="1626">
        <v>43465</v>
      </c>
      <c r="L1408" s="1627" t="s">
        <v>2298</v>
      </c>
      <c r="M1408" s="1628">
        <v>2.462E-2</v>
      </c>
      <c r="N1408" s="1629">
        <v>1.4848972904555213</v>
      </c>
      <c r="O1408" s="1629"/>
    </row>
    <row r="1409" spans="11:15">
      <c r="K1409" s="1626">
        <v>43466</v>
      </c>
      <c r="L1409" s="1627"/>
      <c r="M1409" s="1628">
        <v>0</v>
      </c>
      <c r="N1409" s="1629">
        <v>1.4848972904555213</v>
      </c>
      <c r="O1409" s="1629"/>
    </row>
    <row r="1410" spans="11:15">
      <c r="K1410" s="1626">
        <v>43467</v>
      </c>
      <c r="L1410" s="1627" t="s">
        <v>2298</v>
      </c>
      <c r="M1410" s="1628">
        <v>2.462E-2</v>
      </c>
      <c r="N1410" s="1629">
        <v>1.4852628721684316</v>
      </c>
      <c r="O1410" s="1629"/>
    </row>
    <row r="1411" spans="11:15">
      <c r="K1411" s="1626">
        <v>43468</v>
      </c>
      <c r="L1411" s="1627" t="s">
        <v>2298</v>
      </c>
      <c r="M1411" s="1628">
        <v>2.462E-2</v>
      </c>
      <c r="N1411" s="1629">
        <v>1.4856285438875596</v>
      </c>
      <c r="O1411" s="1629"/>
    </row>
    <row r="1412" spans="11:15">
      <c r="K1412" s="1626">
        <v>43469</v>
      </c>
      <c r="L1412" s="1627" t="s">
        <v>2298</v>
      </c>
      <c r="M1412" s="1628">
        <v>2.462E-2</v>
      </c>
      <c r="N1412" s="1629">
        <v>1.4859943056350648</v>
      </c>
      <c r="O1412" s="1629"/>
    </row>
    <row r="1413" spans="11:15">
      <c r="K1413" s="1626">
        <v>43470</v>
      </c>
      <c r="L1413" s="1627"/>
      <c r="M1413" s="1628">
        <v>0</v>
      </c>
      <c r="N1413" s="1629">
        <v>1.4859943056350648</v>
      </c>
      <c r="O1413" s="1629"/>
    </row>
    <row r="1414" spans="11:15">
      <c r="K1414" s="1626">
        <v>43471</v>
      </c>
      <c r="L1414" s="1627"/>
      <c r="M1414" s="1628">
        <v>0</v>
      </c>
      <c r="N1414" s="1629">
        <v>1.4859943056350648</v>
      </c>
      <c r="O1414" s="1629"/>
    </row>
    <row r="1415" spans="11:15">
      <c r="K1415" s="1626">
        <v>43472</v>
      </c>
      <c r="L1415" s="1627" t="s">
        <v>2298</v>
      </c>
      <c r="M1415" s="1628">
        <v>2.462E-2</v>
      </c>
      <c r="N1415" s="1629">
        <v>1.4863601574331122</v>
      </c>
      <c r="O1415" s="1629"/>
    </row>
    <row r="1416" spans="11:15">
      <c r="K1416" s="1626">
        <v>43473</v>
      </c>
      <c r="L1416" s="1627" t="s">
        <v>2298</v>
      </c>
      <c r="M1416" s="1628">
        <v>2.462E-2</v>
      </c>
      <c r="N1416" s="1629">
        <v>1.4867260993038725</v>
      </c>
      <c r="O1416" s="1629"/>
    </row>
    <row r="1417" spans="11:15">
      <c r="K1417" s="1626">
        <v>43474</v>
      </c>
      <c r="L1417" s="1627" t="s">
        <v>2298</v>
      </c>
      <c r="M1417" s="1628">
        <v>2.462E-2</v>
      </c>
      <c r="N1417" s="1629">
        <v>1.4870921312695211</v>
      </c>
      <c r="O1417" s="1629"/>
    </row>
    <row r="1418" spans="11:15">
      <c r="K1418" s="1626">
        <v>43475</v>
      </c>
      <c r="L1418" s="1627" t="s">
        <v>2298</v>
      </c>
      <c r="M1418" s="1628">
        <v>2.462E-2</v>
      </c>
      <c r="N1418" s="1629">
        <v>1.4874582533522398</v>
      </c>
      <c r="O1418" s="1629"/>
    </row>
    <row r="1419" spans="11:15">
      <c r="K1419" s="1626">
        <v>43476</v>
      </c>
      <c r="L1419" s="1627" t="s">
        <v>2298</v>
      </c>
      <c r="M1419" s="1628">
        <v>2.462E-2</v>
      </c>
      <c r="N1419" s="1629">
        <v>1.4878244655742152</v>
      </c>
      <c r="O1419" s="1629"/>
    </row>
    <row r="1420" spans="11:15">
      <c r="K1420" s="1626">
        <v>43477</v>
      </c>
      <c r="L1420" s="1627"/>
      <c r="M1420" s="1628">
        <v>0</v>
      </c>
      <c r="N1420" s="1629">
        <v>1.4878244655742152</v>
      </c>
      <c r="O1420" s="1629"/>
    </row>
    <row r="1421" spans="11:15">
      <c r="K1421" s="1626">
        <v>43478</v>
      </c>
      <c r="L1421" s="1627"/>
      <c r="M1421" s="1628">
        <v>0</v>
      </c>
      <c r="N1421" s="1629">
        <v>1.4878244655742152</v>
      </c>
      <c r="O1421" s="1629"/>
    </row>
    <row r="1422" spans="11:15">
      <c r="K1422" s="1626">
        <v>43479</v>
      </c>
      <c r="L1422" s="1627" t="s">
        <v>2298</v>
      </c>
      <c r="M1422" s="1628">
        <v>2.462E-2</v>
      </c>
      <c r="N1422" s="1629">
        <v>1.4881907679576396</v>
      </c>
      <c r="O1422" s="1629"/>
    </row>
    <row r="1423" spans="11:15">
      <c r="K1423" s="1626">
        <v>43480</v>
      </c>
      <c r="L1423" s="1627" t="s">
        <v>2298</v>
      </c>
      <c r="M1423" s="1628">
        <v>2.462E-2</v>
      </c>
      <c r="N1423" s="1629">
        <v>1.488557160524711</v>
      </c>
      <c r="O1423" s="1629"/>
    </row>
    <row r="1424" spans="11:15">
      <c r="K1424" s="1626">
        <v>43481</v>
      </c>
      <c r="L1424" s="1627" t="s">
        <v>2298</v>
      </c>
      <c r="M1424" s="1628">
        <v>2.462E-2</v>
      </c>
      <c r="N1424" s="1629">
        <v>1.4889236432976323</v>
      </c>
      <c r="O1424" s="1629"/>
    </row>
    <row r="1425" spans="11:15">
      <c r="K1425" s="1626">
        <v>43482</v>
      </c>
      <c r="L1425" s="1627" t="s">
        <v>2298</v>
      </c>
      <c r="M1425" s="1628">
        <v>2.462E-2</v>
      </c>
      <c r="N1425" s="1629">
        <v>1.4892902162986124</v>
      </c>
      <c r="O1425" s="1629"/>
    </row>
    <row r="1426" spans="11:15">
      <c r="K1426" s="1626">
        <v>43483</v>
      </c>
      <c r="L1426" s="1627" t="s">
        <v>2298</v>
      </c>
      <c r="M1426" s="1628">
        <v>2.462E-2</v>
      </c>
      <c r="N1426" s="1629">
        <v>1.4896568795498653</v>
      </c>
      <c r="O1426" s="1629"/>
    </row>
    <row r="1427" spans="11:15">
      <c r="K1427" s="1626">
        <v>43484</v>
      </c>
      <c r="L1427" s="1627"/>
      <c r="M1427" s="1628">
        <v>0</v>
      </c>
      <c r="N1427" s="1629">
        <v>1.4896568795498653</v>
      </c>
      <c r="O1427" s="1629"/>
    </row>
    <row r="1428" spans="11:15">
      <c r="K1428" s="1626">
        <v>43485</v>
      </c>
      <c r="L1428" s="1627"/>
      <c r="M1428" s="1628">
        <v>0</v>
      </c>
      <c r="N1428" s="1629">
        <v>1.4896568795498653</v>
      </c>
      <c r="O1428" s="1629"/>
    </row>
    <row r="1429" spans="11:15">
      <c r="K1429" s="1626">
        <v>43486</v>
      </c>
      <c r="L1429" s="1627" t="s">
        <v>2298</v>
      </c>
      <c r="M1429" s="1628">
        <v>2.462E-2</v>
      </c>
      <c r="N1429" s="1629">
        <v>1.4900236330736105</v>
      </c>
      <c r="O1429" s="1629"/>
    </row>
    <row r="1430" spans="11:15">
      <c r="K1430" s="1626">
        <v>43487</v>
      </c>
      <c r="L1430" s="1627" t="s">
        <v>2298</v>
      </c>
      <c r="M1430" s="1628">
        <v>2.462E-2</v>
      </c>
      <c r="N1430" s="1629">
        <v>1.4903904768920733</v>
      </c>
      <c r="O1430" s="1629"/>
    </row>
    <row r="1431" spans="11:15">
      <c r="K1431" s="1626">
        <v>43488</v>
      </c>
      <c r="L1431" s="1627" t="s">
        <v>2298</v>
      </c>
      <c r="M1431" s="1628">
        <v>2.462E-2</v>
      </c>
      <c r="N1431" s="1629">
        <v>1.4907574110274842</v>
      </c>
      <c r="O1431" s="1629"/>
    </row>
    <row r="1432" spans="11:15">
      <c r="K1432" s="1626">
        <v>43489</v>
      </c>
      <c r="L1432" s="1627" t="s">
        <v>2298</v>
      </c>
      <c r="M1432" s="1628">
        <v>2.462E-2</v>
      </c>
      <c r="N1432" s="1629">
        <v>1.4911244355020792</v>
      </c>
      <c r="O1432" s="1629"/>
    </row>
    <row r="1433" spans="11:15">
      <c r="K1433" s="1626">
        <v>43490</v>
      </c>
      <c r="L1433" s="1627" t="s">
        <v>2298</v>
      </c>
      <c r="M1433" s="1628">
        <v>2.462E-2</v>
      </c>
      <c r="N1433" s="1629">
        <v>1.4914915503380999</v>
      </c>
      <c r="O1433" s="1629"/>
    </row>
    <row r="1434" spans="11:15">
      <c r="K1434" s="1626">
        <v>43491</v>
      </c>
      <c r="L1434" s="1627"/>
      <c r="M1434" s="1628">
        <v>0</v>
      </c>
      <c r="N1434" s="1629">
        <v>1.4914915503380999</v>
      </c>
      <c r="O1434" s="1629"/>
    </row>
    <row r="1435" spans="11:15">
      <c r="K1435" s="1626">
        <v>43492</v>
      </c>
      <c r="L1435" s="1627"/>
      <c r="M1435" s="1628">
        <v>0</v>
      </c>
      <c r="N1435" s="1629">
        <v>1.4914915503380999</v>
      </c>
      <c r="O1435" s="1629"/>
    </row>
    <row r="1436" spans="11:15">
      <c r="K1436" s="1626">
        <v>43493</v>
      </c>
      <c r="L1436" s="1627" t="s">
        <v>2298</v>
      </c>
      <c r="M1436" s="1628">
        <v>2.462E-2</v>
      </c>
      <c r="N1436" s="1629">
        <v>1.4918587555577933</v>
      </c>
      <c r="O1436" s="1629"/>
    </row>
    <row r="1437" spans="11:15">
      <c r="K1437" s="1626">
        <v>43494</v>
      </c>
      <c r="L1437" s="1627" t="s">
        <v>2298</v>
      </c>
      <c r="M1437" s="1628">
        <v>2.462E-2</v>
      </c>
      <c r="N1437" s="1629">
        <v>1.4922260511834118</v>
      </c>
      <c r="O1437" s="1629"/>
    </row>
    <row r="1438" spans="11:15">
      <c r="K1438" s="1626">
        <v>43495</v>
      </c>
      <c r="L1438" s="1627" t="s">
        <v>2298</v>
      </c>
      <c r="M1438" s="1628">
        <v>2.462E-2</v>
      </c>
      <c r="N1438" s="1629">
        <v>1.4925934372372132</v>
      </c>
      <c r="O1438" s="1629"/>
    </row>
    <row r="1439" spans="11:15">
      <c r="K1439" s="1626">
        <v>43496</v>
      </c>
      <c r="L1439" s="1627" t="s">
        <v>2298</v>
      </c>
      <c r="M1439" s="1628">
        <v>2.462E-2</v>
      </c>
      <c r="N1439" s="1629">
        <v>1.492960913741461</v>
      </c>
      <c r="O1439" s="1629"/>
    </row>
    <row r="1440" spans="11:15">
      <c r="K1440" s="1626">
        <v>43497</v>
      </c>
      <c r="L1440" s="1627" t="s">
        <v>2298</v>
      </c>
      <c r="M1440" s="1628">
        <v>2.462E-2</v>
      </c>
      <c r="N1440" s="1629">
        <v>1.4933284807184244</v>
      </c>
      <c r="O1440" s="1629"/>
    </row>
    <row r="1441" spans="11:15">
      <c r="K1441" s="1626">
        <v>43498</v>
      </c>
      <c r="L1441" s="1627"/>
      <c r="M1441" s="1628">
        <v>0</v>
      </c>
      <c r="N1441" s="1629">
        <v>1.4933284807184244</v>
      </c>
      <c r="O1441" s="1629"/>
    </row>
    <row r="1442" spans="11:15">
      <c r="K1442" s="1626">
        <v>43499</v>
      </c>
      <c r="L1442" s="1627"/>
      <c r="M1442" s="1628">
        <v>0</v>
      </c>
      <c r="N1442" s="1629">
        <v>1.4933284807184244</v>
      </c>
      <c r="O1442" s="1629"/>
    </row>
    <row r="1443" spans="11:15">
      <c r="K1443" s="1626">
        <v>43500</v>
      </c>
      <c r="L1443" s="1627" t="s">
        <v>2298</v>
      </c>
      <c r="M1443" s="1628">
        <v>2.462E-2</v>
      </c>
      <c r="N1443" s="1629">
        <v>1.4936961381903775</v>
      </c>
      <c r="O1443" s="1629"/>
    </row>
    <row r="1444" spans="11:15">
      <c r="K1444" s="1626">
        <v>43501</v>
      </c>
      <c r="L1444" s="1627" t="s">
        <v>2298</v>
      </c>
      <c r="M1444" s="1628">
        <v>2.462E-2</v>
      </c>
      <c r="N1444" s="1629">
        <v>1.4940638861796001</v>
      </c>
      <c r="O1444" s="1629"/>
    </row>
    <row r="1445" spans="11:15">
      <c r="K1445" s="1626">
        <v>43502</v>
      </c>
      <c r="L1445" s="1627" t="s">
        <v>2298</v>
      </c>
      <c r="M1445" s="1628">
        <v>2.462E-2</v>
      </c>
      <c r="N1445" s="1629">
        <v>1.4944317247083776</v>
      </c>
      <c r="O1445" s="1629"/>
    </row>
    <row r="1446" spans="11:15">
      <c r="K1446" s="1626">
        <v>43503</v>
      </c>
      <c r="L1446" s="1627" t="s">
        <v>2298</v>
      </c>
      <c r="M1446" s="1628">
        <v>2.462E-2</v>
      </c>
      <c r="N1446" s="1629">
        <v>1.4947996537990009</v>
      </c>
      <c r="O1446" s="1629"/>
    </row>
    <row r="1447" spans="11:15">
      <c r="K1447" s="1626">
        <v>43504</v>
      </c>
      <c r="L1447" s="1627" t="s">
        <v>2298</v>
      </c>
      <c r="M1447" s="1628">
        <v>2.462E-2</v>
      </c>
      <c r="N1447" s="1629">
        <v>1.4951676734737664</v>
      </c>
      <c r="O1447" s="1629"/>
    </row>
    <row r="1448" spans="11:15">
      <c r="K1448" s="1626">
        <v>43505</v>
      </c>
      <c r="L1448" s="1627"/>
      <c r="M1448" s="1628">
        <v>0</v>
      </c>
      <c r="N1448" s="1629">
        <v>1.4951676734737664</v>
      </c>
      <c r="O1448" s="1629"/>
    </row>
    <row r="1449" spans="11:15">
      <c r="K1449" s="1626">
        <v>43506</v>
      </c>
      <c r="L1449" s="1627"/>
      <c r="M1449" s="1628">
        <v>0</v>
      </c>
      <c r="N1449" s="1629">
        <v>1.4951676734737664</v>
      </c>
      <c r="O1449" s="1629"/>
    </row>
    <row r="1450" spans="11:15">
      <c r="K1450" s="1626">
        <v>43507</v>
      </c>
      <c r="L1450" s="1627" t="s">
        <v>2298</v>
      </c>
      <c r="M1450" s="1628">
        <v>2.462E-2</v>
      </c>
      <c r="N1450" s="1629">
        <v>1.4955357837549759</v>
      </c>
      <c r="O1450" s="1629"/>
    </row>
    <row r="1451" spans="11:15">
      <c r="K1451" s="1626">
        <v>43508</v>
      </c>
      <c r="L1451" s="1627" t="s">
        <v>2298</v>
      </c>
      <c r="M1451" s="1628">
        <v>2.462E-2</v>
      </c>
      <c r="N1451" s="1629">
        <v>1.4959039846649365</v>
      </c>
      <c r="O1451" s="1629"/>
    </row>
    <row r="1452" spans="11:15">
      <c r="K1452" s="1626">
        <v>43509</v>
      </c>
      <c r="L1452" s="1627" t="s">
        <v>2298</v>
      </c>
      <c r="M1452" s="1628">
        <v>2.462E-2</v>
      </c>
      <c r="N1452" s="1629">
        <v>1.496272276225961</v>
      </c>
      <c r="O1452" s="1629"/>
    </row>
    <row r="1453" spans="11:15">
      <c r="K1453" s="1626">
        <v>43510</v>
      </c>
      <c r="L1453" s="1627" t="s">
        <v>2298</v>
      </c>
      <c r="M1453" s="1628">
        <v>2.462E-2</v>
      </c>
      <c r="N1453" s="1629">
        <v>1.496640658460368</v>
      </c>
      <c r="O1453" s="1629"/>
    </row>
    <row r="1454" spans="11:15">
      <c r="K1454" s="1626">
        <v>43511</v>
      </c>
      <c r="L1454" s="1627" t="s">
        <v>2298</v>
      </c>
      <c r="M1454" s="1628">
        <v>2.462E-2</v>
      </c>
      <c r="N1454" s="1629">
        <v>1.497009131390481</v>
      </c>
      <c r="O1454" s="1629"/>
    </row>
    <row r="1455" spans="11:15">
      <c r="K1455" s="1626">
        <v>43512</v>
      </c>
      <c r="L1455" s="1627"/>
      <c r="M1455" s="1628">
        <v>0</v>
      </c>
      <c r="N1455" s="1629">
        <v>1.497009131390481</v>
      </c>
      <c r="O1455" s="1629"/>
    </row>
    <row r="1456" spans="11:15">
      <c r="K1456" s="1626">
        <v>43513</v>
      </c>
      <c r="L1456" s="1627"/>
      <c r="M1456" s="1628">
        <v>0</v>
      </c>
      <c r="N1456" s="1629">
        <v>1.497009131390481</v>
      </c>
      <c r="O1456" s="1629"/>
    </row>
    <row r="1457" spans="11:15">
      <c r="K1457" s="1626">
        <v>43514</v>
      </c>
      <c r="L1457" s="1627" t="s">
        <v>2298</v>
      </c>
      <c r="M1457" s="1628">
        <v>2.462E-2</v>
      </c>
      <c r="N1457" s="1629">
        <v>1.4973776950386295</v>
      </c>
      <c r="O1457" s="1629"/>
    </row>
    <row r="1458" spans="11:15">
      <c r="K1458" s="1626">
        <v>43515</v>
      </c>
      <c r="L1458" s="1627" t="s">
        <v>2298</v>
      </c>
      <c r="M1458" s="1628">
        <v>2.462E-2</v>
      </c>
      <c r="N1458" s="1629">
        <v>1.4977463494271481</v>
      </c>
      <c r="O1458" s="1629"/>
    </row>
    <row r="1459" spans="11:15">
      <c r="K1459" s="1626">
        <v>43516</v>
      </c>
      <c r="L1459" s="1627" t="s">
        <v>2298</v>
      </c>
      <c r="M1459" s="1628">
        <v>2.462E-2</v>
      </c>
      <c r="N1459" s="1629">
        <v>1.4981150945783772</v>
      </c>
      <c r="O1459" s="1629"/>
    </row>
    <row r="1460" spans="11:15">
      <c r="K1460" s="1626">
        <v>43517</v>
      </c>
      <c r="L1460" s="1627" t="s">
        <v>2298</v>
      </c>
      <c r="M1460" s="1628">
        <v>2.462E-2</v>
      </c>
      <c r="N1460" s="1629">
        <v>1.4984839305146624</v>
      </c>
      <c r="O1460" s="1629"/>
    </row>
    <row r="1461" spans="11:15">
      <c r="K1461" s="1626">
        <v>43518</v>
      </c>
      <c r="L1461" s="1627" t="s">
        <v>2298</v>
      </c>
      <c r="M1461" s="1628">
        <v>2.462E-2</v>
      </c>
      <c r="N1461" s="1629">
        <v>1.4988528572583553</v>
      </c>
      <c r="O1461" s="1629"/>
    </row>
    <row r="1462" spans="11:15">
      <c r="K1462" s="1626">
        <v>43519</v>
      </c>
      <c r="L1462" s="1627"/>
      <c r="M1462" s="1628">
        <v>0</v>
      </c>
      <c r="N1462" s="1629">
        <v>1.4988528572583553</v>
      </c>
      <c r="O1462" s="1629"/>
    </row>
    <row r="1463" spans="11:15">
      <c r="K1463" s="1626">
        <v>43520</v>
      </c>
      <c r="L1463" s="1627"/>
      <c r="M1463" s="1628">
        <v>0</v>
      </c>
      <c r="N1463" s="1629">
        <v>1.4988528572583553</v>
      </c>
      <c r="O1463" s="1629"/>
    </row>
    <row r="1464" spans="11:15">
      <c r="K1464" s="1626">
        <v>43521</v>
      </c>
      <c r="L1464" s="1627" t="s">
        <v>2298</v>
      </c>
      <c r="M1464" s="1628">
        <v>2.462E-2</v>
      </c>
      <c r="N1464" s="1629">
        <v>1.4992218748318125</v>
      </c>
      <c r="O1464" s="1629"/>
    </row>
    <row r="1465" spans="11:15">
      <c r="K1465" s="1626">
        <v>43522</v>
      </c>
      <c r="L1465" s="1627" t="s">
        <v>2298</v>
      </c>
      <c r="M1465" s="1628">
        <v>2.462E-2</v>
      </c>
      <c r="N1465" s="1629">
        <v>1.4995909832573961</v>
      </c>
      <c r="O1465" s="1629"/>
    </row>
    <row r="1466" spans="11:15">
      <c r="K1466" s="1626">
        <v>43523</v>
      </c>
      <c r="L1466" s="1627" t="s">
        <v>2298</v>
      </c>
      <c r="M1466" s="1628">
        <v>2.462E-2</v>
      </c>
      <c r="N1466" s="1629">
        <v>1.4999601825574742</v>
      </c>
      <c r="O1466" s="1629"/>
    </row>
    <row r="1467" spans="11:15">
      <c r="K1467" s="1626">
        <v>43524</v>
      </c>
      <c r="L1467" s="1627" t="s">
        <v>2298</v>
      </c>
      <c r="M1467" s="1628">
        <v>2.462E-2</v>
      </c>
      <c r="N1467" s="1629">
        <v>1.5003294727544201</v>
      </c>
      <c r="O1467" s="1629"/>
    </row>
    <row r="1468" spans="11:15">
      <c r="K1468" s="1626">
        <v>43525</v>
      </c>
      <c r="L1468" s="1627" t="s">
        <v>2298</v>
      </c>
      <c r="M1468" s="1628">
        <v>2.462E-2</v>
      </c>
      <c r="N1468" s="1629">
        <v>1.5006988538706123</v>
      </c>
      <c r="O1468" s="1629"/>
    </row>
    <row r="1469" spans="11:15">
      <c r="K1469" s="1626">
        <v>43526</v>
      </c>
      <c r="L1469" s="1627"/>
      <c r="M1469" s="1628">
        <v>0</v>
      </c>
      <c r="N1469" s="1629">
        <v>1.5006988538706123</v>
      </c>
      <c r="O1469" s="1629"/>
    </row>
    <row r="1470" spans="11:15">
      <c r="K1470" s="1626">
        <v>43527</v>
      </c>
      <c r="L1470" s="1627"/>
      <c r="M1470" s="1628">
        <v>0</v>
      </c>
      <c r="N1470" s="1629">
        <v>1.5006988538706123</v>
      </c>
      <c r="O1470" s="1629"/>
    </row>
    <row r="1471" spans="11:15">
      <c r="K1471" s="1626">
        <v>43528</v>
      </c>
      <c r="L1471" s="1627"/>
      <c r="M1471" s="1628">
        <v>0</v>
      </c>
      <c r="N1471" s="1629">
        <v>1.5006988538706123</v>
      </c>
      <c r="O1471" s="1629"/>
    </row>
    <row r="1472" spans="11:15">
      <c r="K1472" s="1626">
        <v>43529</v>
      </c>
      <c r="L1472" s="1627"/>
      <c r="M1472" s="1628">
        <v>0</v>
      </c>
      <c r="N1472" s="1629">
        <v>1.5006988538706123</v>
      </c>
      <c r="O1472" s="1629"/>
    </row>
    <row r="1473" spans="11:15">
      <c r="K1473" s="1626">
        <v>43530</v>
      </c>
      <c r="L1473" s="1627" t="s">
        <v>2298</v>
      </c>
      <c r="M1473" s="1628">
        <v>2.462E-2</v>
      </c>
      <c r="N1473" s="1629">
        <v>1.5010683259284354</v>
      </c>
      <c r="O1473" s="1629"/>
    </row>
    <row r="1474" spans="11:15">
      <c r="K1474" s="1626">
        <v>43531</v>
      </c>
      <c r="L1474" s="1627" t="s">
        <v>2298</v>
      </c>
      <c r="M1474" s="1628">
        <v>2.462E-2</v>
      </c>
      <c r="N1474" s="1629">
        <v>1.5014378889502791</v>
      </c>
      <c r="O1474" s="1629"/>
    </row>
    <row r="1475" spans="11:15">
      <c r="K1475" s="1626">
        <v>43532</v>
      </c>
      <c r="L1475" s="1627" t="s">
        <v>2298</v>
      </c>
      <c r="M1475" s="1628">
        <v>2.462E-2</v>
      </c>
      <c r="N1475" s="1629">
        <v>1.5018075429585387</v>
      </c>
      <c r="O1475" s="1629"/>
    </row>
    <row r="1476" spans="11:15">
      <c r="K1476" s="1626">
        <v>43533</v>
      </c>
      <c r="L1476" s="1627"/>
      <c r="M1476" s="1628">
        <v>0</v>
      </c>
      <c r="N1476" s="1629">
        <v>1.5018075429585387</v>
      </c>
      <c r="O1476" s="1629"/>
    </row>
    <row r="1477" spans="11:15">
      <c r="K1477" s="1626">
        <v>43534</v>
      </c>
      <c r="L1477" s="1627"/>
      <c r="M1477" s="1628">
        <v>0</v>
      </c>
      <c r="N1477" s="1629">
        <v>1.5018075429585387</v>
      </c>
      <c r="O1477" s="1629"/>
    </row>
    <row r="1478" spans="11:15">
      <c r="K1478" s="1626">
        <v>43535</v>
      </c>
      <c r="L1478" s="1627" t="s">
        <v>2298</v>
      </c>
      <c r="M1478" s="1628">
        <v>2.462E-2</v>
      </c>
      <c r="N1478" s="1629">
        <v>1.5021772879756152</v>
      </c>
      <c r="O1478" s="1629"/>
    </row>
    <row r="1479" spans="11:15">
      <c r="K1479" s="1626">
        <v>43536</v>
      </c>
      <c r="L1479" s="1627" t="s">
        <v>2298</v>
      </c>
      <c r="M1479" s="1628">
        <v>2.462E-2</v>
      </c>
      <c r="N1479" s="1629">
        <v>1.502547124023915</v>
      </c>
      <c r="O1479" s="1629"/>
    </row>
    <row r="1480" spans="11:15">
      <c r="K1480" s="1626">
        <v>43537</v>
      </c>
      <c r="L1480" s="1627" t="s">
        <v>2298</v>
      </c>
      <c r="M1480" s="1628">
        <v>2.462E-2</v>
      </c>
      <c r="N1480" s="1629">
        <v>1.5029170511258498</v>
      </c>
      <c r="O1480" s="1629"/>
    </row>
    <row r="1481" spans="11:15">
      <c r="K1481" s="1626">
        <v>43538</v>
      </c>
      <c r="L1481" s="1627" t="s">
        <v>2298</v>
      </c>
      <c r="M1481" s="1628">
        <v>2.462E-2</v>
      </c>
      <c r="N1481" s="1629">
        <v>1.5032870693038372</v>
      </c>
      <c r="O1481" s="1629"/>
    </row>
    <row r="1482" spans="11:15">
      <c r="K1482" s="1626">
        <v>43539</v>
      </c>
      <c r="L1482" s="1627" t="s">
        <v>2298</v>
      </c>
      <c r="M1482" s="1628">
        <v>2.462E-2</v>
      </c>
      <c r="N1482" s="1629">
        <v>1.5036571785802999</v>
      </c>
      <c r="O1482" s="1629"/>
    </row>
    <row r="1483" spans="11:15">
      <c r="K1483" s="1626">
        <v>43540</v>
      </c>
      <c r="L1483" s="1627"/>
      <c r="M1483" s="1628">
        <v>0</v>
      </c>
      <c r="N1483" s="1629">
        <v>1.5036571785802999</v>
      </c>
      <c r="O1483" s="1629"/>
    </row>
    <row r="1484" spans="11:15">
      <c r="K1484" s="1626">
        <v>43541</v>
      </c>
      <c r="L1484" s="1627"/>
      <c r="M1484" s="1628">
        <v>0</v>
      </c>
      <c r="N1484" s="1629">
        <v>1.5036571785802999</v>
      </c>
      <c r="O1484" s="1629"/>
    </row>
    <row r="1485" spans="11:15">
      <c r="K1485" s="1626">
        <v>43542</v>
      </c>
      <c r="L1485" s="1627" t="s">
        <v>2298</v>
      </c>
      <c r="M1485" s="1628">
        <v>2.462E-2</v>
      </c>
      <c r="N1485" s="1629">
        <v>1.5040273789776666</v>
      </c>
      <c r="O1485" s="1629"/>
    </row>
    <row r="1486" spans="11:15">
      <c r="K1486" s="1626">
        <v>43543</v>
      </c>
      <c r="L1486" s="1627" t="s">
        <v>2298</v>
      </c>
      <c r="M1486" s="1628">
        <v>2.462E-2</v>
      </c>
      <c r="N1486" s="1629">
        <v>1.504397670518371</v>
      </c>
      <c r="O1486" s="1629"/>
    </row>
    <row r="1487" spans="11:15">
      <c r="K1487" s="1626">
        <v>43544</v>
      </c>
      <c r="L1487" s="1627" t="s">
        <v>2298</v>
      </c>
      <c r="M1487" s="1628">
        <v>2.462E-2</v>
      </c>
      <c r="N1487" s="1629">
        <v>1.5047680532248529</v>
      </c>
      <c r="O1487" s="1629"/>
    </row>
    <row r="1488" spans="11:15">
      <c r="K1488" s="1626">
        <v>43545</v>
      </c>
      <c r="L1488" s="1627" t="s">
        <v>2298</v>
      </c>
      <c r="M1488" s="1628">
        <v>2.462E-2</v>
      </c>
      <c r="N1488" s="1629">
        <v>1.505138527119557</v>
      </c>
      <c r="O1488" s="1629"/>
    </row>
    <row r="1489" spans="11:15">
      <c r="K1489" s="1626">
        <v>43546</v>
      </c>
      <c r="L1489" s="1627" t="s">
        <v>2298</v>
      </c>
      <c r="M1489" s="1628">
        <v>2.462E-2</v>
      </c>
      <c r="N1489" s="1629">
        <v>1.5055090922249339</v>
      </c>
      <c r="O1489" s="1629"/>
    </row>
    <row r="1490" spans="11:15">
      <c r="K1490" s="1626">
        <v>43547</v>
      </c>
      <c r="L1490" s="1627"/>
      <c r="M1490" s="1628">
        <v>0</v>
      </c>
      <c r="N1490" s="1629">
        <v>1.5055090922249339</v>
      </c>
      <c r="O1490" s="1629"/>
    </row>
    <row r="1491" spans="11:15">
      <c r="K1491" s="1626">
        <v>43548</v>
      </c>
      <c r="L1491" s="1627"/>
      <c r="M1491" s="1628">
        <v>0</v>
      </c>
      <c r="N1491" s="1629">
        <v>1.5055090922249339</v>
      </c>
      <c r="O1491" s="1629"/>
    </row>
    <row r="1492" spans="11:15">
      <c r="K1492" s="1626">
        <v>43549</v>
      </c>
      <c r="L1492" s="1627" t="s">
        <v>2298</v>
      </c>
      <c r="M1492" s="1628">
        <v>2.462E-2</v>
      </c>
      <c r="N1492" s="1629">
        <v>1.5058797485634399</v>
      </c>
      <c r="O1492" s="1629"/>
    </row>
    <row r="1493" spans="11:15">
      <c r="K1493" s="1626">
        <v>43550</v>
      </c>
      <c r="L1493" s="1627" t="s">
        <v>2298</v>
      </c>
      <c r="M1493" s="1628">
        <v>2.462E-2</v>
      </c>
      <c r="N1493" s="1629">
        <v>1.5062504961575363</v>
      </c>
      <c r="O1493" s="1629"/>
    </row>
    <row r="1494" spans="11:15">
      <c r="K1494" s="1626">
        <v>43551</v>
      </c>
      <c r="L1494" s="1627" t="s">
        <v>2298</v>
      </c>
      <c r="M1494" s="1628">
        <v>2.462E-2</v>
      </c>
      <c r="N1494" s="1629">
        <v>1.5066213350296904</v>
      </c>
      <c r="O1494" s="1629"/>
    </row>
    <row r="1495" spans="11:15">
      <c r="K1495" s="1626">
        <v>43552</v>
      </c>
      <c r="L1495" s="1627" t="s">
        <v>2298</v>
      </c>
      <c r="M1495" s="1628">
        <v>2.462E-2</v>
      </c>
      <c r="N1495" s="1629">
        <v>1.5069922652023748</v>
      </c>
      <c r="O1495" s="1629"/>
    </row>
    <row r="1496" spans="11:15">
      <c r="K1496" s="1626">
        <v>43553</v>
      </c>
      <c r="L1496" s="1627" t="s">
        <v>2298</v>
      </c>
      <c r="M1496" s="1628">
        <v>2.462E-2</v>
      </c>
      <c r="N1496" s="1629">
        <v>1.5073632866980677</v>
      </c>
      <c r="O1496" s="1629"/>
    </row>
    <row r="1497" spans="11:15">
      <c r="K1497" s="1626">
        <v>43554</v>
      </c>
      <c r="L1497" s="1627"/>
      <c r="M1497" s="1628">
        <v>0</v>
      </c>
      <c r="N1497" s="1629">
        <v>1.5073632866980677</v>
      </c>
      <c r="O1497" s="1629"/>
    </row>
    <row r="1498" spans="11:15">
      <c r="K1498" s="1626">
        <v>43555</v>
      </c>
      <c r="L1498" s="1627"/>
      <c r="M1498" s="1628">
        <v>0</v>
      </c>
      <c r="N1498" s="1629">
        <v>1.5073632866980677</v>
      </c>
      <c r="O1498" s="1629"/>
    </row>
    <row r="1499" spans="11:15">
      <c r="K1499" s="1626">
        <v>43556</v>
      </c>
      <c r="L1499" s="1627" t="s">
        <v>2298</v>
      </c>
      <c r="M1499" s="1628">
        <v>2.462E-2</v>
      </c>
      <c r="N1499" s="1629">
        <v>1.5077343995392529</v>
      </c>
      <c r="O1499" s="1629"/>
    </row>
    <row r="1500" spans="11:15">
      <c r="K1500" s="1626">
        <v>43557</v>
      </c>
      <c r="L1500" s="1627" t="s">
        <v>2298</v>
      </c>
      <c r="M1500" s="1628">
        <v>2.462E-2</v>
      </c>
      <c r="N1500" s="1629">
        <v>1.5081056037484195</v>
      </c>
      <c r="O1500" s="1629"/>
    </row>
    <row r="1501" spans="11:15">
      <c r="K1501" s="1626">
        <v>43558</v>
      </c>
      <c r="L1501" s="1627" t="s">
        <v>2298</v>
      </c>
      <c r="M1501" s="1628">
        <v>2.462E-2</v>
      </c>
      <c r="N1501" s="1629">
        <v>1.5084768993480624</v>
      </c>
      <c r="O1501" s="1629"/>
    </row>
    <row r="1502" spans="11:15">
      <c r="K1502" s="1626">
        <v>43559</v>
      </c>
      <c r="L1502" s="1627" t="s">
        <v>2298</v>
      </c>
      <c r="M1502" s="1628">
        <v>2.462E-2</v>
      </c>
      <c r="N1502" s="1629">
        <v>1.508848286360682</v>
      </c>
      <c r="O1502" s="1629"/>
    </row>
    <row r="1503" spans="11:15">
      <c r="K1503" s="1626">
        <v>43560</v>
      </c>
      <c r="L1503" s="1627" t="s">
        <v>2298</v>
      </c>
      <c r="M1503" s="1628">
        <v>2.462E-2</v>
      </c>
      <c r="N1503" s="1629">
        <v>1.5092197648087842</v>
      </c>
      <c r="O1503" s="1629"/>
    </row>
    <row r="1504" spans="11:15">
      <c r="K1504" s="1626">
        <v>43561</v>
      </c>
      <c r="L1504" s="1627"/>
      <c r="M1504" s="1628">
        <v>0</v>
      </c>
      <c r="N1504" s="1629">
        <v>1.5092197648087842</v>
      </c>
      <c r="O1504" s="1629"/>
    </row>
    <row r="1505" spans="11:15">
      <c r="K1505" s="1626">
        <v>43562</v>
      </c>
      <c r="L1505" s="1627"/>
      <c r="M1505" s="1628">
        <v>0</v>
      </c>
      <c r="N1505" s="1629">
        <v>1.5092197648087842</v>
      </c>
      <c r="O1505" s="1629"/>
    </row>
    <row r="1506" spans="11:15">
      <c r="K1506" s="1626">
        <v>43563</v>
      </c>
      <c r="L1506" s="1627" t="s">
        <v>2298</v>
      </c>
      <c r="M1506" s="1628">
        <v>2.462E-2</v>
      </c>
      <c r="N1506" s="1629">
        <v>1.5095913347148802</v>
      </c>
      <c r="O1506" s="1629"/>
    </row>
    <row r="1507" spans="11:15">
      <c r="K1507" s="1626">
        <v>43564</v>
      </c>
      <c r="L1507" s="1627" t="s">
        <v>2298</v>
      </c>
      <c r="M1507" s="1628">
        <v>2.462E-2</v>
      </c>
      <c r="N1507" s="1629">
        <v>1.5099629961014871</v>
      </c>
      <c r="O1507" s="1629"/>
    </row>
    <row r="1508" spans="11:15">
      <c r="K1508" s="1626">
        <v>43565</v>
      </c>
      <c r="L1508" s="1627" t="s">
        <v>2298</v>
      </c>
      <c r="M1508" s="1628">
        <v>2.462E-2</v>
      </c>
      <c r="N1508" s="1629">
        <v>1.5103347489911274</v>
      </c>
      <c r="O1508" s="1629"/>
    </row>
    <row r="1509" spans="11:15">
      <c r="K1509" s="1626">
        <v>43566</v>
      </c>
      <c r="L1509" s="1627" t="s">
        <v>2298</v>
      </c>
      <c r="M1509" s="1628">
        <v>2.462E-2</v>
      </c>
      <c r="N1509" s="1629">
        <v>1.5107065934063291</v>
      </c>
      <c r="O1509" s="1629"/>
    </row>
    <row r="1510" spans="11:15">
      <c r="K1510" s="1626">
        <v>43567</v>
      </c>
      <c r="L1510" s="1627" t="s">
        <v>2298</v>
      </c>
      <c r="M1510" s="1628">
        <v>2.462E-2</v>
      </c>
      <c r="N1510" s="1629">
        <v>1.5110785293696258</v>
      </c>
      <c r="O1510" s="1629"/>
    </row>
    <row r="1511" spans="11:15">
      <c r="K1511" s="1626">
        <v>43568</v>
      </c>
      <c r="L1511" s="1627"/>
      <c r="M1511" s="1628">
        <v>0</v>
      </c>
      <c r="N1511" s="1629">
        <v>1.5110785293696258</v>
      </c>
      <c r="O1511" s="1629"/>
    </row>
    <row r="1512" spans="11:15">
      <c r="K1512" s="1626">
        <v>43569</v>
      </c>
      <c r="L1512" s="1627"/>
      <c r="M1512" s="1628">
        <v>0</v>
      </c>
      <c r="N1512" s="1629">
        <v>1.5110785293696258</v>
      </c>
      <c r="O1512" s="1629"/>
    </row>
    <row r="1513" spans="11:15">
      <c r="K1513" s="1626">
        <v>43570</v>
      </c>
      <c r="L1513" s="1627" t="s">
        <v>2298</v>
      </c>
      <c r="M1513" s="1628">
        <v>2.462E-2</v>
      </c>
      <c r="N1513" s="1629">
        <v>1.5114505569035568</v>
      </c>
      <c r="O1513" s="1629"/>
    </row>
    <row r="1514" spans="11:15">
      <c r="K1514" s="1626">
        <v>43571</v>
      </c>
      <c r="L1514" s="1627" t="s">
        <v>2298</v>
      </c>
      <c r="M1514" s="1628">
        <v>2.462E-2</v>
      </c>
      <c r="N1514" s="1629">
        <v>1.5118226760306666</v>
      </c>
      <c r="O1514" s="1629"/>
    </row>
    <row r="1515" spans="11:15">
      <c r="K1515" s="1626">
        <v>43572</v>
      </c>
      <c r="L1515" s="1627" t="s">
        <v>2298</v>
      </c>
      <c r="M1515" s="1628">
        <v>2.462E-2</v>
      </c>
      <c r="N1515" s="1629">
        <v>1.5121948867735053</v>
      </c>
      <c r="O1515" s="1629"/>
    </row>
    <row r="1516" spans="11:15">
      <c r="K1516" s="1626">
        <v>43573</v>
      </c>
      <c r="L1516" s="1627" t="s">
        <v>2298</v>
      </c>
      <c r="M1516" s="1628">
        <v>2.462E-2</v>
      </c>
      <c r="N1516" s="1629">
        <v>1.5125671891546291</v>
      </c>
      <c r="O1516" s="1629"/>
    </row>
    <row r="1517" spans="11:15">
      <c r="K1517" s="1626">
        <v>43574</v>
      </c>
      <c r="L1517" s="1627"/>
      <c r="M1517" s="1628">
        <v>0</v>
      </c>
      <c r="N1517" s="1629">
        <v>1.5125671891546291</v>
      </c>
      <c r="O1517" s="1629"/>
    </row>
    <row r="1518" spans="11:15">
      <c r="K1518" s="1626">
        <v>43575</v>
      </c>
      <c r="L1518" s="1627"/>
      <c r="M1518" s="1628">
        <v>0</v>
      </c>
      <c r="N1518" s="1629">
        <v>1.5125671891546291</v>
      </c>
      <c r="O1518" s="1629"/>
    </row>
    <row r="1519" spans="11:15">
      <c r="K1519" s="1626">
        <v>43576</v>
      </c>
      <c r="L1519" s="1627"/>
      <c r="M1519" s="1628">
        <v>0</v>
      </c>
      <c r="N1519" s="1629">
        <v>1.5125671891546291</v>
      </c>
      <c r="O1519" s="1629"/>
    </row>
    <row r="1520" spans="11:15">
      <c r="K1520" s="1626">
        <v>43577</v>
      </c>
      <c r="L1520" s="1627" t="s">
        <v>2298</v>
      </c>
      <c r="M1520" s="1628">
        <v>2.462E-2</v>
      </c>
      <c r="N1520" s="1629">
        <v>1.512939583196599</v>
      </c>
      <c r="O1520" s="1629"/>
    </row>
    <row r="1521" spans="11:15">
      <c r="K1521" s="1626">
        <v>43578</v>
      </c>
      <c r="L1521" s="1627" t="s">
        <v>2298</v>
      </c>
      <c r="M1521" s="1628">
        <v>2.462E-2</v>
      </c>
      <c r="N1521" s="1629">
        <v>1.5133120689219821</v>
      </c>
      <c r="O1521" s="1629"/>
    </row>
    <row r="1522" spans="11:15">
      <c r="K1522" s="1626">
        <v>43579</v>
      </c>
      <c r="L1522" s="1627" t="s">
        <v>2298</v>
      </c>
      <c r="M1522" s="1628">
        <v>2.462E-2</v>
      </c>
      <c r="N1522" s="1629">
        <v>1.5136846463533509</v>
      </c>
      <c r="O1522" s="1629"/>
    </row>
    <row r="1523" spans="11:15">
      <c r="K1523" s="1626">
        <v>43580</v>
      </c>
      <c r="L1523" s="1627" t="s">
        <v>2298</v>
      </c>
      <c r="M1523" s="1628">
        <v>2.462E-2</v>
      </c>
      <c r="N1523" s="1629">
        <v>1.5140573155132833</v>
      </c>
      <c r="O1523" s="1629"/>
    </row>
    <row r="1524" spans="11:15">
      <c r="K1524" s="1626">
        <v>43581</v>
      </c>
      <c r="L1524" s="1627" t="s">
        <v>2298</v>
      </c>
      <c r="M1524" s="1628">
        <v>2.462E-2</v>
      </c>
      <c r="N1524" s="1629">
        <v>1.5144300764243628</v>
      </c>
      <c r="O1524" s="1629"/>
    </row>
    <row r="1525" spans="11:15">
      <c r="K1525" s="1626">
        <v>43582</v>
      </c>
      <c r="L1525" s="1627"/>
      <c r="M1525" s="1628">
        <v>0</v>
      </c>
      <c r="N1525" s="1629">
        <v>1.5144300764243628</v>
      </c>
      <c r="O1525" s="1629"/>
    </row>
    <row r="1526" spans="11:15">
      <c r="K1526" s="1626">
        <v>43583</v>
      </c>
      <c r="L1526" s="1627"/>
      <c r="M1526" s="1628">
        <v>0</v>
      </c>
      <c r="N1526" s="1629">
        <v>1.5144300764243628</v>
      </c>
      <c r="O1526" s="1629"/>
    </row>
    <row r="1527" spans="11:15">
      <c r="K1527" s="1626">
        <v>43584</v>
      </c>
      <c r="L1527" s="1627" t="s">
        <v>2298</v>
      </c>
      <c r="M1527" s="1628">
        <v>2.462E-2</v>
      </c>
      <c r="N1527" s="1629">
        <v>1.5148029291091787</v>
      </c>
      <c r="O1527" s="1629"/>
    </row>
    <row r="1528" spans="11:15">
      <c r="K1528" s="1626">
        <v>43585</v>
      </c>
      <c r="L1528" s="1627" t="s">
        <v>2298</v>
      </c>
      <c r="M1528" s="1628">
        <v>2.462E-2</v>
      </c>
      <c r="N1528" s="1629">
        <v>1.5151758735903256</v>
      </c>
      <c r="O1528" s="1629"/>
    </row>
    <row r="1529" spans="11:15">
      <c r="K1529" s="1626">
        <v>43586</v>
      </c>
      <c r="L1529" s="1627"/>
      <c r="M1529" s="1628">
        <v>0</v>
      </c>
      <c r="N1529" s="1629">
        <v>1.5151758735903256</v>
      </c>
      <c r="O1529" s="1629"/>
    </row>
    <row r="1530" spans="11:15">
      <c r="K1530" s="1626">
        <v>43587</v>
      </c>
      <c r="L1530" s="1627" t="s">
        <v>2298</v>
      </c>
      <c r="M1530" s="1628">
        <v>2.462E-2</v>
      </c>
      <c r="N1530" s="1629">
        <v>1.5155489098904036</v>
      </c>
      <c r="O1530" s="1629"/>
    </row>
    <row r="1531" spans="11:15">
      <c r="K1531" s="1626">
        <v>43588</v>
      </c>
      <c r="L1531" s="1627" t="s">
        <v>2298</v>
      </c>
      <c r="M1531" s="1628">
        <v>2.462E-2</v>
      </c>
      <c r="N1531" s="1629">
        <v>1.5159220380320186</v>
      </c>
      <c r="O1531" s="1629"/>
    </row>
    <row r="1532" spans="11:15">
      <c r="K1532" s="1626">
        <v>43589</v>
      </c>
      <c r="L1532" s="1627"/>
      <c r="M1532" s="1628">
        <v>0</v>
      </c>
      <c r="N1532" s="1629">
        <v>1.5159220380320186</v>
      </c>
      <c r="O1532" s="1629"/>
    </row>
    <row r="1533" spans="11:15">
      <c r="K1533" s="1626">
        <v>43590</v>
      </c>
      <c r="L1533" s="1627"/>
      <c r="M1533" s="1628">
        <v>0</v>
      </c>
      <c r="N1533" s="1629">
        <v>1.5159220380320186</v>
      </c>
      <c r="O1533" s="1629"/>
    </row>
    <row r="1534" spans="11:15">
      <c r="K1534" s="1626">
        <v>43591</v>
      </c>
      <c r="L1534" s="1627" t="s">
        <v>2298</v>
      </c>
      <c r="M1534" s="1628">
        <v>2.462E-2</v>
      </c>
      <c r="N1534" s="1629">
        <v>1.5162952580377822</v>
      </c>
      <c r="O1534" s="1629"/>
    </row>
    <row r="1535" spans="11:15">
      <c r="K1535" s="1626">
        <v>43592</v>
      </c>
      <c r="L1535" s="1627" t="s">
        <v>2298</v>
      </c>
      <c r="M1535" s="1628">
        <v>2.462E-2</v>
      </c>
      <c r="N1535" s="1629">
        <v>1.5166685699303113</v>
      </c>
      <c r="O1535" s="1629"/>
    </row>
    <row r="1536" spans="11:15">
      <c r="K1536" s="1626">
        <v>43593</v>
      </c>
      <c r="L1536" s="1627" t="s">
        <v>2298</v>
      </c>
      <c r="M1536" s="1628">
        <v>2.462E-2</v>
      </c>
      <c r="N1536" s="1629">
        <v>1.5170419737322283</v>
      </c>
      <c r="O1536" s="1629"/>
    </row>
    <row r="1537" spans="11:15">
      <c r="K1537" s="1626">
        <v>43594</v>
      </c>
      <c r="L1537" s="1627" t="s">
        <v>2298</v>
      </c>
      <c r="M1537" s="1628">
        <v>2.462E-2</v>
      </c>
      <c r="N1537" s="1629">
        <v>1.5174154694661612</v>
      </c>
      <c r="O1537" s="1629"/>
    </row>
    <row r="1538" spans="11:15">
      <c r="K1538" s="1626">
        <v>43595</v>
      </c>
      <c r="L1538" s="1627" t="s">
        <v>2298</v>
      </c>
      <c r="M1538" s="1628">
        <v>2.462E-2</v>
      </c>
      <c r="N1538" s="1629">
        <v>1.5177890571547439</v>
      </c>
      <c r="O1538" s="1629"/>
    </row>
    <row r="1539" spans="11:15">
      <c r="K1539" s="1626">
        <v>43596</v>
      </c>
      <c r="L1539" s="1627"/>
      <c r="M1539" s="1628">
        <v>0</v>
      </c>
      <c r="N1539" s="1629">
        <v>1.5177890571547439</v>
      </c>
      <c r="O1539" s="1629"/>
    </row>
    <row r="1540" spans="11:15">
      <c r="K1540" s="1626">
        <v>43597</v>
      </c>
      <c r="L1540" s="1627"/>
      <c r="M1540" s="1628">
        <v>0</v>
      </c>
      <c r="N1540" s="1629">
        <v>1.5177890571547439</v>
      </c>
      <c r="O1540" s="1629"/>
    </row>
    <row r="1541" spans="11:15">
      <c r="K1541" s="1626">
        <v>43598</v>
      </c>
      <c r="L1541" s="1627" t="s">
        <v>2298</v>
      </c>
      <c r="M1541" s="1628">
        <v>2.462E-2</v>
      </c>
      <c r="N1541" s="1629">
        <v>1.5181627368206154</v>
      </c>
      <c r="O1541" s="1629"/>
    </row>
    <row r="1542" spans="11:15">
      <c r="K1542" s="1626">
        <v>43599</v>
      </c>
      <c r="L1542" s="1627" t="s">
        <v>2298</v>
      </c>
      <c r="M1542" s="1628">
        <v>2.462E-2</v>
      </c>
      <c r="N1542" s="1629">
        <v>1.5185365084864209</v>
      </c>
      <c r="O1542" s="1629"/>
    </row>
    <row r="1543" spans="11:15">
      <c r="K1543" s="1626">
        <v>43600</v>
      </c>
      <c r="L1543" s="1627" t="s">
        <v>2298</v>
      </c>
      <c r="M1543" s="1628">
        <v>2.462E-2</v>
      </c>
      <c r="N1543" s="1629">
        <v>1.5189103721748103</v>
      </c>
      <c r="O1543" s="1629"/>
    </row>
    <row r="1544" spans="11:15">
      <c r="K1544" s="1626">
        <v>43601</v>
      </c>
      <c r="L1544" s="1627" t="s">
        <v>2298</v>
      </c>
      <c r="M1544" s="1628">
        <v>2.462E-2</v>
      </c>
      <c r="N1544" s="1629">
        <v>1.5192843279084398</v>
      </c>
      <c r="O1544" s="1629"/>
    </row>
    <row r="1545" spans="11:15">
      <c r="K1545" s="1626">
        <v>43602</v>
      </c>
      <c r="L1545" s="1627" t="s">
        <v>2298</v>
      </c>
      <c r="M1545" s="1628">
        <v>2.462E-2</v>
      </c>
      <c r="N1545" s="1629">
        <v>1.5196583757099711</v>
      </c>
      <c r="O1545" s="1629"/>
    </row>
    <row r="1546" spans="11:15">
      <c r="K1546" s="1626">
        <v>43603</v>
      </c>
      <c r="L1546" s="1627"/>
      <c r="M1546" s="1628">
        <v>0</v>
      </c>
      <c r="N1546" s="1629">
        <v>1.5196583757099711</v>
      </c>
      <c r="O1546" s="1629"/>
    </row>
    <row r="1547" spans="11:15">
      <c r="K1547" s="1626">
        <v>43604</v>
      </c>
      <c r="L1547" s="1627"/>
      <c r="M1547" s="1628">
        <v>0</v>
      </c>
      <c r="N1547" s="1629">
        <v>1.5196583757099711</v>
      </c>
      <c r="O1547" s="1629"/>
    </row>
    <row r="1548" spans="11:15">
      <c r="K1548" s="1626">
        <v>43605</v>
      </c>
      <c r="L1548" s="1627" t="s">
        <v>2298</v>
      </c>
      <c r="M1548" s="1628">
        <v>2.462E-2</v>
      </c>
      <c r="N1548" s="1629">
        <v>1.5200325156020711</v>
      </c>
      <c r="O1548" s="1629"/>
    </row>
    <row r="1549" spans="11:15">
      <c r="K1549" s="1626">
        <v>43606</v>
      </c>
      <c r="L1549" s="1627" t="s">
        <v>2298</v>
      </c>
      <c r="M1549" s="1628">
        <v>2.462E-2</v>
      </c>
      <c r="N1549" s="1629">
        <v>1.5204067476074123</v>
      </c>
      <c r="O1549" s="1629"/>
    </row>
    <row r="1550" spans="11:15">
      <c r="K1550" s="1626">
        <v>43607</v>
      </c>
      <c r="L1550" s="1627" t="s">
        <v>2298</v>
      </c>
      <c r="M1550" s="1628">
        <v>2.462E-2</v>
      </c>
      <c r="N1550" s="1629">
        <v>1.5207810717486734</v>
      </c>
      <c r="O1550" s="1629"/>
    </row>
    <row r="1551" spans="11:15">
      <c r="K1551" s="1626">
        <v>43608</v>
      </c>
      <c r="L1551" s="1627" t="s">
        <v>2298</v>
      </c>
      <c r="M1551" s="1628">
        <v>2.462E-2</v>
      </c>
      <c r="N1551" s="1629">
        <v>1.5211554880485381</v>
      </c>
      <c r="O1551" s="1629"/>
    </row>
    <row r="1552" spans="11:15">
      <c r="K1552" s="1626">
        <v>43609</v>
      </c>
      <c r="L1552" s="1627" t="s">
        <v>2298</v>
      </c>
      <c r="M1552" s="1628">
        <v>2.462E-2</v>
      </c>
      <c r="N1552" s="1629">
        <v>1.5215299965296958</v>
      </c>
      <c r="O1552" s="1629"/>
    </row>
    <row r="1553" spans="11:15">
      <c r="K1553" s="1626">
        <v>43610</v>
      </c>
      <c r="L1553" s="1627"/>
      <c r="M1553" s="1628">
        <v>0</v>
      </c>
      <c r="N1553" s="1629">
        <v>1.5215299965296958</v>
      </c>
      <c r="O1553" s="1629"/>
    </row>
    <row r="1554" spans="11:15">
      <c r="K1554" s="1626">
        <v>43611</v>
      </c>
      <c r="L1554" s="1627"/>
      <c r="M1554" s="1628">
        <v>0</v>
      </c>
      <c r="N1554" s="1629">
        <v>1.5215299965296958</v>
      </c>
      <c r="O1554" s="1629"/>
    </row>
    <row r="1555" spans="11:15">
      <c r="K1555" s="1626">
        <v>43612</v>
      </c>
      <c r="L1555" s="1627" t="s">
        <v>2298</v>
      </c>
      <c r="M1555" s="1628">
        <v>2.462E-2</v>
      </c>
      <c r="N1555" s="1629">
        <v>1.5219045972148415</v>
      </c>
      <c r="O1555" s="1629"/>
    </row>
    <row r="1556" spans="11:15">
      <c r="K1556" s="1626">
        <v>43613</v>
      </c>
      <c r="L1556" s="1627" t="s">
        <v>2298</v>
      </c>
      <c r="M1556" s="1628">
        <v>2.462E-2</v>
      </c>
      <c r="N1556" s="1629">
        <v>1.522279290126676</v>
      </c>
      <c r="O1556" s="1629"/>
    </row>
    <row r="1557" spans="11:15">
      <c r="K1557" s="1626">
        <v>43614</v>
      </c>
      <c r="L1557" s="1627" t="s">
        <v>2298</v>
      </c>
      <c r="M1557" s="1628">
        <v>2.462E-2</v>
      </c>
      <c r="N1557" s="1629">
        <v>1.5226540752879052</v>
      </c>
      <c r="O1557" s="1629"/>
    </row>
    <row r="1558" spans="11:15">
      <c r="K1558" s="1626">
        <v>43615</v>
      </c>
      <c r="L1558" s="1627" t="s">
        <v>2298</v>
      </c>
      <c r="M1558" s="1628">
        <v>2.462E-2</v>
      </c>
      <c r="N1558" s="1629">
        <v>1.5230289527212413</v>
      </c>
      <c r="O1558" s="1629"/>
    </row>
    <row r="1559" spans="11:15">
      <c r="K1559" s="1626">
        <v>43616</v>
      </c>
      <c r="L1559" s="1627" t="s">
        <v>2298</v>
      </c>
      <c r="M1559" s="1628">
        <v>2.462E-2</v>
      </c>
      <c r="N1559" s="1629">
        <v>1.5234039224494014</v>
      </c>
      <c r="O1559" s="1629"/>
    </row>
    <row r="1560" spans="11:15">
      <c r="K1560" s="1626">
        <v>43617</v>
      </c>
      <c r="L1560" s="1627"/>
      <c r="M1560" s="1628">
        <v>0</v>
      </c>
      <c r="N1560" s="1629">
        <v>1.5234039224494014</v>
      </c>
      <c r="O1560" s="1629"/>
    </row>
    <row r="1561" spans="11:15">
      <c r="K1561" s="1626">
        <v>43618</v>
      </c>
      <c r="L1561" s="1627"/>
      <c r="M1561" s="1628">
        <v>0</v>
      </c>
      <c r="N1561" s="1629">
        <v>1.5234039224494014</v>
      </c>
      <c r="O1561" s="1629"/>
    </row>
    <row r="1562" spans="11:15">
      <c r="K1562" s="1626">
        <v>43619</v>
      </c>
      <c r="L1562" s="1627" t="s">
        <v>2298</v>
      </c>
      <c r="M1562" s="1628">
        <v>2.462E-2</v>
      </c>
      <c r="N1562" s="1629">
        <v>1.5237789844951086</v>
      </c>
      <c r="O1562" s="1629"/>
    </row>
    <row r="1563" spans="11:15">
      <c r="K1563" s="1626">
        <v>43620</v>
      </c>
      <c r="L1563" s="1627" t="s">
        <v>2298</v>
      </c>
      <c r="M1563" s="1628">
        <v>2.462E-2</v>
      </c>
      <c r="N1563" s="1629">
        <v>1.5241541388810915</v>
      </c>
      <c r="O1563" s="1629"/>
    </row>
    <row r="1564" spans="11:15">
      <c r="K1564" s="1626">
        <v>43621</v>
      </c>
      <c r="L1564" s="1627" t="s">
        <v>2298</v>
      </c>
      <c r="M1564" s="1628">
        <v>2.462E-2</v>
      </c>
      <c r="N1564" s="1629">
        <v>1.5245293856300841</v>
      </c>
      <c r="O1564" s="1629"/>
    </row>
    <row r="1565" spans="11:15">
      <c r="K1565" s="1626">
        <v>43622</v>
      </c>
      <c r="L1565" s="1627" t="s">
        <v>2298</v>
      </c>
      <c r="M1565" s="1628">
        <v>2.462E-2</v>
      </c>
      <c r="N1565" s="1629">
        <v>1.5249047247648264</v>
      </c>
      <c r="O1565" s="1629"/>
    </row>
    <row r="1566" spans="11:15">
      <c r="K1566" s="1626">
        <v>43623</v>
      </c>
      <c r="L1566" s="1627" t="s">
        <v>2298</v>
      </c>
      <c r="M1566" s="1628">
        <v>2.462E-2</v>
      </c>
      <c r="N1566" s="1629">
        <v>1.5252801563080636</v>
      </c>
      <c r="O1566" s="1629"/>
    </row>
    <row r="1567" spans="11:15">
      <c r="K1567" s="1626">
        <v>43624</v>
      </c>
      <c r="L1567" s="1627"/>
      <c r="M1567" s="1628">
        <v>0</v>
      </c>
      <c r="N1567" s="1629">
        <v>1.5252801563080636</v>
      </c>
      <c r="O1567" s="1629"/>
    </row>
    <row r="1568" spans="11:15">
      <c r="K1568" s="1626">
        <v>43625</v>
      </c>
      <c r="L1568" s="1627"/>
      <c r="M1568" s="1628">
        <v>0</v>
      </c>
      <c r="N1568" s="1629">
        <v>1.5252801563080636</v>
      </c>
      <c r="O1568" s="1629"/>
    </row>
    <row r="1569" spans="11:15">
      <c r="K1569" s="1626">
        <v>43626</v>
      </c>
      <c r="L1569" s="1627" t="s">
        <v>2298</v>
      </c>
      <c r="M1569" s="1628">
        <v>2.462E-2</v>
      </c>
      <c r="N1569" s="1629">
        <v>1.5256556802825467</v>
      </c>
      <c r="O1569" s="1629"/>
    </row>
    <row r="1570" spans="11:15">
      <c r="K1570" s="1626">
        <v>43627</v>
      </c>
      <c r="L1570" s="1627" t="s">
        <v>2298</v>
      </c>
      <c r="M1570" s="1628">
        <v>2.462E-2</v>
      </c>
      <c r="N1570" s="1629">
        <v>1.5260312967110323</v>
      </c>
      <c r="O1570" s="1629"/>
    </row>
    <row r="1571" spans="11:15">
      <c r="K1571" s="1626">
        <v>43628</v>
      </c>
      <c r="L1571" s="1627" t="s">
        <v>2298</v>
      </c>
      <c r="M1571" s="1628">
        <v>2.462E-2</v>
      </c>
      <c r="N1571" s="1629">
        <v>1.5264070056162826</v>
      </c>
      <c r="O1571" s="1629"/>
    </row>
    <row r="1572" spans="11:15">
      <c r="K1572" s="1626">
        <v>43629</v>
      </c>
      <c r="L1572" s="1627" t="s">
        <v>2298</v>
      </c>
      <c r="M1572" s="1628">
        <v>2.462E-2</v>
      </c>
      <c r="N1572" s="1629">
        <v>1.5267828070210654</v>
      </c>
      <c r="O1572" s="1629"/>
    </row>
    <row r="1573" spans="11:15">
      <c r="K1573" s="1626">
        <v>43630</v>
      </c>
      <c r="L1573" s="1627" t="s">
        <v>2298</v>
      </c>
      <c r="M1573" s="1628">
        <v>2.462E-2</v>
      </c>
      <c r="N1573" s="1629">
        <v>1.5271587009481542</v>
      </c>
      <c r="O1573" s="1629"/>
    </row>
    <row r="1574" spans="11:15">
      <c r="K1574" s="1626">
        <v>43631</v>
      </c>
      <c r="L1574" s="1627"/>
      <c r="M1574" s="1628">
        <v>0</v>
      </c>
      <c r="N1574" s="1629">
        <v>1.5271587009481542</v>
      </c>
      <c r="O1574" s="1629"/>
    </row>
    <row r="1575" spans="11:15">
      <c r="K1575" s="1626">
        <v>43632</v>
      </c>
      <c r="L1575" s="1627"/>
      <c r="M1575" s="1628">
        <v>0</v>
      </c>
      <c r="N1575" s="1629">
        <v>1.5271587009481542</v>
      </c>
      <c r="O1575" s="1629"/>
    </row>
    <row r="1576" spans="11:15">
      <c r="K1576" s="1626">
        <v>43633</v>
      </c>
      <c r="L1576" s="1627" t="s">
        <v>2298</v>
      </c>
      <c r="M1576" s="1628">
        <v>2.462E-2</v>
      </c>
      <c r="N1576" s="1629">
        <v>1.5275346874203277</v>
      </c>
      <c r="O1576" s="1629"/>
    </row>
    <row r="1577" spans="11:15">
      <c r="K1577" s="1626">
        <v>43634</v>
      </c>
      <c r="L1577" s="1627" t="s">
        <v>2298</v>
      </c>
      <c r="M1577" s="1628">
        <v>2.462E-2</v>
      </c>
      <c r="N1577" s="1629">
        <v>1.5279107664603708</v>
      </c>
      <c r="O1577" s="1629"/>
    </row>
    <row r="1578" spans="11:15">
      <c r="K1578" s="1626">
        <v>43635</v>
      </c>
      <c r="L1578" s="1627" t="s">
        <v>2298</v>
      </c>
      <c r="M1578" s="1628">
        <v>2.462E-2</v>
      </c>
      <c r="N1578" s="1629">
        <v>1.5282869380910735</v>
      </c>
      <c r="O1578" s="1629"/>
    </row>
    <row r="1579" spans="11:15">
      <c r="K1579" s="1626">
        <v>43636</v>
      </c>
      <c r="L1579" s="1627"/>
      <c r="M1579" s="1628">
        <v>0</v>
      </c>
      <c r="N1579" s="1629">
        <v>1.5282869380910735</v>
      </c>
      <c r="O1579" s="1629"/>
    </row>
    <row r="1580" spans="11:15">
      <c r="K1580" s="1626">
        <v>43637</v>
      </c>
      <c r="L1580" s="1627" t="s">
        <v>2298</v>
      </c>
      <c r="M1580" s="1628">
        <v>2.462E-2</v>
      </c>
      <c r="N1580" s="1629">
        <v>1.5286632023352316</v>
      </c>
      <c r="O1580" s="1629"/>
    </row>
    <row r="1581" spans="11:15">
      <c r="K1581" s="1626">
        <v>43638</v>
      </c>
      <c r="L1581" s="1627"/>
      <c r="M1581" s="1628">
        <v>0</v>
      </c>
      <c r="N1581" s="1629">
        <v>1.5286632023352316</v>
      </c>
      <c r="O1581" s="1629"/>
    </row>
    <row r="1582" spans="11:15">
      <c r="K1582" s="1626">
        <v>43639</v>
      </c>
      <c r="L1582" s="1627"/>
      <c r="M1582" s="1628">
        <v>0</v>
      </c>
      <c r="N1582" s="1629">
        <v>1.5286632023352316</v>
      </c>
      <c r="O1582" s="1629"/>
    </row>
    <row r="1583" spans="11:15">
      <c r="K1583" s="1626">
        <v>43640</v>
      </c>
      <c r="L1583" s="1627" t="s">
        <v>2298</v>
      </c>
      <c r="M1583" s="1628">
        <v>2.462E-2</v>
      </c>
      <c r="N1583" s="1629">
        <v>1.5290395592156467</v>
      </c>
      <c r="O1583" s="1629"/>
    </row>
    <row r="1584" spans="11:15">
      <c r="K1584" s="1626">
        <v>43641</v>
      </c>
      <c r="L1584" s="1627" t="s">
        <v>2298</v>
      </c>
      <c r="M1584" s="1628">
        <v>2.462E-2</v>
      </c>
      <c r="N1584" s="1629">
        <v>1.5294160087551258</v>
      </c>
      <c r="O1584" s="1629"/>
    </row>
    <row r="1585" spans="11:15">
      <c r="K1585" s="1626">
        <v>43642</v>
      </c>
      <c r="L1585" s="1627" t="s">
        <v>2298</v>
      </c>
      <c r="M1585" s="1628">
        <v>2.462E-2</v>
      </c>
      <c r="N1585" s="1629">
        <v>1.5297925509764816</v>
      </c>
      <c r="O1585" s="1629"/>
    </row>
    <row r="1586" spans="11:15">
      <c r="K1586" s="1626">
        <v>43643</v>
      </c>
      <c r="L1586" s="1627" t="s">
        <v>2298</v>
      </c>
      <c r="M1586" s="1628">
        <v>2.462E-2</v>
      </c>
      <c r="N1586" s="1629">
        <v>1.5301691859025321</v>
      </c>
      <c r="O1586" s="1629"/>
    </row>
    <row r="1587" spans="11:15">
      <c r="K1587" s="1626">
        <v>43644</v>
      </c>
      <c r="L1587" s="1627" t="s">
        <v>2298</v>
      </c>
      <c r="M1587" s="1628">
        <v>2.462E-2</v>
      </c>
      <c r="N1587" s="1629">
        <v>1.5305459135561015</v>
      </c>
      <c r="O1587" s="1629"/>
    </row>
    <row r="1588" spans="11:15">
      <c r="K1588" s="1626">
        <v>43645</v>
      </c>
      <c r="L1588" s="1627"/>
      <c r="M1588" s="1628">
        <v>0</v>
      </c>
      <c r="N1588" s="1629">
        <v>1.5305459135561015</v>
      </c>
      <c r="O1588" s="1629"/>
    </row>
    <row r="1589" spans="11:15">
      <c r="K1589" s="1626">
        <v>43646</v>
      </c>
      <c r="L1589" s="1627"/>
      <c r="M1589" s="1628">
        <v>0</v>
      </c>
      <c r="N1589" s="1629">
        <v>1.5305459135561015</v>
      </c>
      <c r="O1589" s="1629"/>
    </row>
    <row r="1590" spans="11:15">
      <c r="K1590" s="1626">
        <v>43647</v>
      </c>
      <c r="L1590" s="1627" t="s">
        <v>2298</v>
      </c>
      <c r="M1590" s="1628">
        <v>2.462E-2</v>
      </c>
      <c r="N1590" s="1629">
        <v>1.5309227339600191</v>
      </c>
      <c r="O1590" s="1629"/>
    </row>
    <row r="1591" spans="11:15">
      <c r="K1591" s="1626">
        <v>43648</v>
      </c>
      <c r="L1591" s="1627" t="s">
        <v>2298</v>
      </c>
      <c r="M1591" s="1628">
        <v>2.462E-2</v>
      </c>
      <c r="N1591" s="1629">
        <v>1.5312996471371201</v>
      </c>
      <c r="O1591" s="1629"/>
    </row>
    <row r="1592" spans="11:15">
      <c r="K1592" s="1626">
        <v>43649</v>
      </c>
      <c r="L1592" s="1627" t="s">
        <v>2298</v>
      </c>
      <c r="M1592" s="1628">
        <v>2.462E-2</v>
      </c>
      <c r="N1592" s="1629">
        <v>1.5316766531102455</v>
      </c>
      <c r="O1592" s="1629"/>
    </row>
    <row r="1593" spans="11:15">
      <c r="K1593" s="1626">
        <v>43650</v>
      </c>
      <c r="L1593" s="1627" t="s">
        <v>2298</v>
      </c>
      <c r="M1593" s="1628">
        <v>2.462E-2</v>
      </c>
      <c r="N1593" s="1629">
        <v>1.5320537519022412</v>
      </c>
      <c r="O1593" s="1629"/>
    </row>
    <row r="1594" spans="11:15">
      <c r="K1594" s="1626">
        <v>43651</v>
      </c>
      <c r="L1594" s="1627" t="s">
        <v>2298</v>
      </c>
      <c r="M1594" s="1628">
        <v>2.462E-2</v>
      </c>
      <c r="N1594" s="1629">
        <v>1.5324309435359598</v>
      </c>
      <c r="O1594" s="1629"/>
    </row>
    <row r="1595" spans="11:15">
      <c r="K1595" s="1626">
        <v>43652</v>
      </c>
      <c r="L1595" s="1627"/>
      <c r="M1595" s="1628">
        <v>0</v>
      </c>
      <c r="N1595" s="1629">
        <v>1.5324309435359598</v>
      </c>
      <c r="O1595" s="1629"/>
    </row>
    <row r="1596" spans="11:15">
      <c r="K1596" s="1626">
        <v>43653</v>
      </c>
      <c r="L1596" s="1627"/>
      <c r="M1596" s="1628">
        <v>0</v>
      </c>
      <c r="N1596" s="1629">
        <v>1.5324309435359598</v>
      </c>
      <c r="O1596" s="1629"/>
    </row>
    <row r="1597" spans="11:15">
      <c r="K1597" s="1626">
        <v>43654</v>
      </c>
      <c r="L1597" s="1627" t="s">
        <v>2298</v>
      </c>
      <c r="M1597" s="1628">
        <v>2.462E-2</v>
      </c>
      <c r="N1597" s="1629">
        <v>1.5328082280342585</v>
      </c>
      <c r="O1597" s="1629"/>
    </row>
    <row r="1598" spans="11:15">
      <c r="K1598" s="1626">
        <v>43655</v>
      </c>
      <c r="L1598" s="1627" t="s">
        <v>2298</v>
      </c>
      <c r="M1598" s="1628">
        <v>2.462E-2</v>
      </c>
      <c r="N1598" s="1629">
        <v>1.5331856054200006</v>
      </c>
      <c r="O1598" s="1629"/>
    </row>
    <row r="1599" spans="11:15">
      <c r="K1599" s="1626">
        <v>43656</v>
      </c>
      <c r="L1599" s="1627" t="s">
        <v>2298</v>
      </c>
      <c r="M1599" s="1628">
        <v>2.462E-2</v>
      </c>
      <c r="N1599" s="1629">
        <v>1.5335630757160552</v>
      </c>
      <c r="O1599" s="1629"/>
    </row>
    <row r="1600" spans="11:15">
      <c r="K1600" s="1626">
        <v>43657</v>
      </c>
      <c r="L1600" s="1627" t="s">
        <v>2298</v>
      </c>
      <c r="M1600" s="1628">
        <v>2.462E-2</v>
      </c>
      <c r="N1600" s="1629">
        <v>1.5339406389452965</v>
      </c>
      <c r="O1600" s="1629"/>
    </row>
    <row r="1601" spans="11:15">
      <c r="K1601" s="1626">
        <v>43658</v>
      </c>
      <c r="L1601" s="1627" t="s">
        <v>2298</v>
      </c>
      <c r="M1601" s="1628">
        <v>2.462E-2</v>
      </c>
      <c r="N1601" s="1629">
        <v>1.5343182951306049</v>
      </c>
      <c r="O1601" s="1629"/>
    </row>
    <row r="1602" spans="11:15">
      <c r="K1602" s="1626">
        <v>43659</v>
      </c>
      <c r="L1602" s="1627"/>
      <c r="M1602" s="1628">
        <v>0</v>
      </c>
      <c r="N1602" s="1629">
        <v>1.5343182951306049</v>
      </c>
      <c r="O1602" s="1629"/>
    </row>
    <row r="1603" spans="11:15">
      <c r="K1603" s="1626">
        <v>43660</v>
      </c>
      <c r="L1603" s="1627"/>
      <c r="M1603" s="1628">
        <v>0</v>
      </c>
      <c r="N1603" s="1629">
        <v>1.5343182951306049</v>
      </c>
      <c r="O1603" s="1629"/>
    </row>
    <row r="1604" spans="11:15">
      <c r="K1604" s="1626">
        <v>43661</v>
      </c>
      <c r="L1604" s="1627" t="s">
        <v>2298</v>
      </c>
      <c r="M1604" s="1628">
        <v>2.462E-2</v>
      </c>
      <c r="N1604" s="1629">
        <v>1.5346960442948663</v>
      </c>
      <c r="O1604" s="1629"/>
    </row>
    <row r="1605" spans="11:15">
      <c r="K1605" s="1626">
        <v>43662</v>
      </c>
      <c r="L1605" s="1627" t="s">
        <v>2298</v>
      </c>
      <c r="M1605" s="1628">
        <v>2.462E-2</v>
      </c>
      <c r="N1605" s="1629">
        <v>1.5350738864609719</v>
      </c>
      <c r="O1605" s="1629"/>
    </row>
    <row r="1606" spans="11:15">
      <c r="K1606" s="1626">
        <v>43663</v>
      </c>
      <c r="L1606" s="1627" t="s">
        <v>2298</v>
      </c>
      <c r="M1606" s="1628">
        <v>2.462E-2</v>
      </c>
      <c r="N1606" s="1629">
        <v>1.5354518216518187</v>
      </c>
      <c r="O1606" s="1629"/>
    </row>
    <row r="1607" spans="11:15">
      <c r="K1607" s="1626">
        <v>43664</v>
      </c>
      <c r="L1607" s="1627" t="s">
        <v>2298</v>
      </c>
      <c r="M1607" s="1628">
        <v>2.462E-2</v>
      </c>
      <c r="N1607" s="1629">
        <v>1.5358298498903096</v>
      </c>
      <c r="O1607" s="1629"/>
    </row>
    <row r="1608" spans="11:15">
      <c r="K1608" s="1626">
        <v>43665</v>
      </c>
      <c r="L1608" s="1627" t="s">
        <v>2298</v>
      </c>
      <c r="M1608" s="1628">
        <v>2.462E-2</v>
      </c>
      <c r="N1608" s="1629">
        <v>1.5362079711993526</v>
      </c>
      <c r="O1608" s="1629"/>
    </row>
    <row r="1609" spans="11:15">
      <c r="K1609" s="1626">
        <v>43666</v>
      </c>
      <c r="L1609" s="1627"/>
      <c r="M1609" s="1628">
        <v>0</v>
      </c>
      <c r="N1609" s="1629">
        <v>1.5362079711993526</v>
      </c>
      <c r="O1609" s="1629"/>
    </row>
    <row r="1610" spans="11:15">
      <c r="K1610" s="1626">
        <v>43667</v>
      </c>
      <c r="L1610" s="1627"/>
      <c r="M1610" s="1628">
        <v>0</v>
      </c>
      <c r="N1610" s="1629">
        <v>1.5362079711993526</v>
      </c>
      <c r="O1610" s="1629"/>
    </row>
    <row r="1611" spans="11:15">
      <c r="K1611" s="1626">
        <v>43668</v>
      </c>
      <c r="L1611" s="1627" t="s">
        <v>2298</v>
      </c>
      <c r="M1611" s="1628">
        <v>2.462E-2</v>
      </c>
      <c r="N1611" s="1629">
        <v>1.5365861856018621</v>
      </c>
      <c r="O1611" s="1629"/>
    </row>
    <row r="1612" spans="11:15">
      <c r="K1612" s="1626">
        <v>43669</v>
      </c>
      <c r="L1612" s="1627" t="s">
        <v>2298</v>
      </c>
      <c r="M1612" s="1628">
        <v>2.462E-2</v>
      </c>
      <c r="N1612" s="1629">
        <v>1.5369644931207573</v>
      </c>
      <c r="O1612" s="1629"/>
    </row>
    <row r="1613" spans="11:15">
      <c r="K1613" s="1626">
        <v>43670</v>
      </c>
      <c r="L1613" s="1627" t="s">
        <v>2298</v>
      </c>
      <c r="M1613" s="1628">
        <v>2.462E-2</v>
      </c>
      <c r="N1613" s="1629">
        <v>1.5373428937789637</v>
      </c>
      <c r="O1613" s="1629"/>
    </row>
    <row r="1614" spans="11:15">
      <c r="K1614" s="1626">
        <v>43671</v>
      </c>
      <c r="L1614" s="1627" t="s">
        <v>2298</v>
      </c>
      <c r="M1614" s="1628">
        <v>2.462E-2</v>
      </c>
      <c r="N1614" s="1629">
        <v>1.5377213875994122</v>
      </c>
      <c r="O1614" s="1629"/>
    </row>
    <row r="1615" spans="11:15">
      <c r="K1615" s="1626">
        <v>43672</v>
      </c>
      <c r="L1615" s="1627" t="s">
        <v>2298</v>
      </c>
      <c r="M1615" s="1628">
        <v>2.462E-2</v>
      </c>
      <c r="N1615" s="1629">
        <v>1.5380999746050394</v>
      </c>
      <c r="O1615" s="1629"/>
    </row>
    <row r="1616" spans="11:15">
      <c r="K1616" s="1626">
        <v>43673</v>
      </c>
      <c r="L1616" s="1627"/>
      <c r="M1616" s="1628">
        <v>0</v>
      </c>
      <c r="N1616" s="1629">
        <v>1.5380999746050394</v>
      </c>
      <c r="O1616" s="1629"/>
    </row>
    <row r="1617" spans="11:15">
      <c r="K1617" s="1626">
        <v>43674</v>
      </c>
      <c r="L1617" s="1627"/>
      <c r="M1617" s="1628">
        <v>0</v>
      </c>
      <c r="N1617" s="1629">
        <v>1.5380999746050394</v>
      </c>
      <c r="O1617" s="1629"/>
    </row>
    <row r="1618" spans="11:15">
      <c r="K1618" s="1626">
        <v>43675</v>
      </c>
      <c r="L1618" s="1627" t="s">
        <v>2298</v>
      </c>
      <c r="M1618" s="1628">
        <v>2.462E-2</v>
      </c>
      <c r="N1618" s="1629">
        <v>1.5384786548187874</v>
      </c>
      <c r="O1618" s="1629"/>
    </row>
    <row r="1619" spans="11:15">
      <c r="K1619" s="1626">
        <v>43676</v>
      </c>
      <c r="L1619" s="1627" t="s">
        <v>2298</v>
      </c>
      <c r="M1619" s="1628">
        <v>2.462E-2</v>
      </c>
      <c r="N1619" s="1629">
        <v>1.5388574282636041</v>
      </c>
      <c r="O1619" s="1629"/>
    </row>
    <row r="1620" spans="11:15">
      <c r="K1620" s="1626">
        <v>43677</v>
      </c>
      <c r="L1620" s="1627" t="s">
        <v>2298</v>
      </c>
      <c r="M1620" s="1628">
        <v>2.462E-2</v>
      </c>
      <c r="N1620" s="1629">
        <v>1.5392362949624427</v>
      </c>
      <c r="O1620" s="1629"/>
    </row>
    <row r="1621" spans="11:15">
      <c r="K1621" s="1626">
        <v>43678</v>
      </c>
      <c r="L1621" s="1627" t="s">
        <v>2298</v>
      </c>
      <c r="M1621" s="1628">
        <v>2.2751E-2</v>
      </c>
      <c r="N1621" s="1629">
        <v>1.5395864866119096</v>
      </c>
      <c r="O1621" s="1629"/>
    </row>
    <row r="1622" spans="11:15">
      <c r="K1622" s="1626">
        <v>43679</v>
      </c>
      <c r="L1622" s="1627" t="s">
        <v>2298</v>
      </c>
      <c r="M1622" s="1628">
        <v>2.2751E-2</v>
      </c>
      <c r="N1622" s="1629">
        <v>1.5399367579334786</v>
      </c>
      <c r="O1622" s="1629"/>
    </row>
    <row r="1623" spans="11:15">
      <c r="K1623" s="1626">
        <v>43680</v>
      </c>
      <c r="L1623" s="1627"/>
      <c r="M1623" s="1628">
        <v>0</v>
      </c>
      <c r="N1623" s="1629">
        <v>1.5399367579334786</v>
      </c>
      <c r="O1623" s="1629"/>
    </row>
    <row r="1624" spans="11:15">
      <c r="K1624" s="1626">
        <v>43681</v>
      </c>
      <c r="L1624" s="1627"/>
      <c r="M1624" s="1628">
        <v>0</v>
      </c>
      <c r="N1624" s="1629">
        <v>1.5399367579334786</v>
      </c>
      <c r="O1624" s="1629"/>
    </row>
    <row r="1625" spans="11:15">
      <c r="K1625" s="1626">
        <v>43682</v>
      </c>
      <c r="L1625" s="1627" t="s">
        <v>2298</v>
      </c>
      <c r="M1625" s="1628">
        <v>2.2751E-2</v>
      </c>
      <c r="N1625" s="1629">
        <v>1.5402871089452761</v>
      </c>
      <c r="O1625" s="1629"/>
    </row>
    <row r="1626" spans="11:15">
      <c r="K1626" s="1626">
        <v>43683</v>
      </c>
      <c r="L1626" s="1627" t="s">
        <v>2298</v>
      </c>
      <c r="M1626" s="1628">
        <v>2.2751E-2</v>
      </c>
      <c r="N1626" s="1629">
        <v>1.5406375396654322</v>
      </c>
      <c r="O1626" s="1629"/>
    </row>
    <row r="1627" spans="11:15">
      <c r="K1627" s="1626">
        <v>43684</v>
      </c>
      <c r="L1627" s="1627" t="s">
        <v>2298</v>
      </c>
      <c r="M1627" s="1628">
        <v>2.2751E-2</v>
      </c>
      <c r="N1627" s="1629">
        <v>1.5409880501120814</v>
      </c>
      <c r="O1627" s="1629"/>
    </row>
    <row r="1628" spans="11:15">
      <c r="K1628" s="1626">
        <v>43685</v>
      </c>
      <c r="L1628" s="1627" t="s">
        <v>2298</v>
      </c>
      <c r="M1628" s="1628">
        <v>2.2751E-2</v>
      </c>
      <c r="N1628" s="1629">
        <v>1.5413386403033624</v>
      </c>
      <c r="O1628" s="1629"/>
    </row>
    <row r="1629" spans="11:15">
      <c r="K1629" s="1626">
        <v>43686</v>
      </c>
      <c r="L1629" s="1627" t="s">
        <v>2298</v>
      </c>
      <c r="M1629" s="1628">
        <v>2.2751E-2</v>
      </c>
      <c r="N1629" s="1629">
        <v>1.5416893102574178</v>
      </c>
      <c r="O1629" s="1629"/>
    </row>
    <row r="1630" spans="11:15">
      <c r="K1630" s="1626">
        <v>43687</v>
      </c>
      <c r="L1630" s="1627"/>
      <c r="M1630" s="1628">
        <v>0</v>
      </c>
      <c r="N1630" s="1629">
        <v>1.5416893102574178</v>
      </c>
      <c r="O1630" s="1629"/>
    </row>
    <row r="1631" spans="11:15">
      <c r="K1631" s="1626">
        <v>43688</v>
      </c>
      <c r="L1631" s="1627"/>
      <c r="M1631" s="1628">
        <v>0</v>
      </c>
      <c r="N1631" s="1629">
        <v>1.5416893102574178</v>
      </c>
      <c r="O1631" s="1629"/>
    </row>
    <row r="1632" spans="11:15">
      <c r="K1632" s="1626">
        <v>43689</v>
      </c>
      <c r="L1632" s="1627" t="s">
        <v>2298</v>
      </c>
      <c r="M1632" s="1628">
        <v>2.2751E-2</v>
      </c>
      <c r="N1632" s="1629">
        <v>1.5420400599923945</v>
      </c>
      <c r="O1632" s="1629"/>
    </row>
    <row r="1633" spans="11:15">
      <c r="K1633" s="1626">
        <v>43690</v>
      </c>
      <c r="L1633" s="1627" t="s">
        <v>2298</v>
      </c>
      <c r="M1633" s="1628">
        <v>2.2751E-2</v>
      </c>
      <c r="N1633" s="1629">
        <v>1.5423908895264433</v>
      </c>
      <c r="O1633" s="1629"/>
    </row>
    <row r="1634" spans="11:15">
      <c r="K1634" s="1626">
        <v>43691</v>
      </c>
      <c r="L1634" s="1627" t="s">
        <v>2298</v>
      </c>
      <c r="M1634" s="1628">
        <v>2.2751E-2</v>
      </c>
      <c r="N1634" s="1629">
        <v>1.5427417988777195</v>
      </c>
      <c r="O1634" s="1629"/>
    </row>
    <row r="1635" spans="11:15">
      <c r="K1635" s="1626">
        <v>43692</v>
      </c>
      <c r="L1635" s="1627" t="s">
        <v>2298</v>
      </c>
      <c r="M1635" s="1628">
        <v>2.2751E-2</v>
      </c>
      <c r="N1635" s="1629">
        <v>1.5430927880643821</v>
      </c>
      <c r="O1635" s="1629"/>
    </row>
    <row r="1636" spans="11:15">
      <c r="K1636" s="1626">
        <v>43693</v>
      </c>
      <c r="L1636" s="1627" t="s">
        <v>2298</v>
      </c>
      <c r="M1636" s="1628">
        <v>2.2751E-2</v>
      </c>
      <c r="N1636" s="1629">
        <v>1.5434438571045945</v>
      </c>
      <c r="O1636" s="1629"/>
    </row>
    <row r="1637" spans="11:15">
      <c r="K1637" s="1626">
        <v>43694</v>
      </c>
      <c r="L1637" s="1627"/>
      <c r="M1637" s="1628">
        <v>0</v>
      </c>
      <c r="N1637" s="1629">
        <v>1.5434438571045945</v>
      </c>
      <c r="O1637" s="1629"/>
    </row>
    <row r="1638" spans="11:15">
      <c r="K1638" s="1626">
        <v>43695</v>
      </c>
      <c r="L1638" s="1627"/>
      <c r="M1638" s="1628">
        <v>0</v>
      </c>
      <c r="N1638" s="1629">
        <v>1.5434438571045945</v>
      </c>
      <c r="O1638" s="1629"/>
    </row>
    <row r="1639" spans="11:15">
      <c r="K1639" s="1626">
        <v>43696</v>
      </c>
      <c r="L1639" s="1627" t="s">
        <v>2298</v>
      </c>
      <c r="M1639" s="1628">
        <v>2.2751E-2</v>
      </c>
      <c r="N1639" s="1629">
        <v>1.5437950060165244</v>
      </c>
      <c r="O1639" s="1629"/>
    </row>
    <row r="1640" spans="11:15">
      <c r="K1640" s="1626">
        <v>43697</v>
      </c>
      <c r="L1640" s="1627" t="s">
        <v>2298</v>
      </c>
      <c r="M1640" s="1628">
        <v>2.2751E-2</v>
      </c>
      <c r="N1640" s="1629">
        <v>1.5441462348183432</v>
      </c>
      <c r="O1640" s="1629"/>
    </row>
    <row r="1641" spans="11:15">
      <c r="K1641" s="1626">
        <v>43698</v>
      </c>
      <c r="L1641" s="1627" t="s">
        <v>2298</v>
      </c>
      <c r="M1641" s="1628">
        <v>2.2751E-2</v>
      </c>
      <c r="N1641" s="1629">
        <v>1.5444975435282267</v>
      </c>
      <c r="O1641" s="1629"/>
    </row>
    <row r="1642" spans="11:15">
      <c r="K1642" s="1626">
        <v>43699</v>
      </c>
      <c r="L1642" s="1627" t="s">
        <v>2298</v>
      </c>
      <c r="M1642" s="1628">
        <v>2.2751E-2</v>
      </c>
      <c r="N1642" s="1629">
        <v>1.5448489321643548</v>
      </c>
      <c r="O1642" s="1629"/>
    </row>
    <row r="1643" spans="11:15">
      <c r="K1643" s="1626">
        <v>43700</v>
      </c>
      <c r="L1643" s="1627" t="s">
        <v>2298</v>
      </c>
      <c r="M1643" s="1628">
        <v>2.2751E-2</v>
      </c>
      <c r="N1643" s="1629">
        <v>1.5452004007449116</v>
      </c>
      <c r="O1643" s="1629"/>
    </row>
    <row r="1644" spans="11:15">
      <c r="K1644" s="1626">
        <v>43701</v>
      </c>
      <c r="L1644" s="1627"/>
      <c r="M1644" s="1628">
        <v>0</v>
      </c>
      <c r="N1644" s="1629">
        <v>1.5452004007449116</v>
      </c>
      <c r="O1644" s="1629"/>
    </row>
    <row r="1645" spans="11:15">
      <c r="K1645" s="1626">
        <v>43702</v>
      </c>
      <c r="L1645" s="1627"/>
      <c r="M1645" s="1628">
        <v>0</v>
      </c>
      <c r="N1645" s="1629">
        <v>1.5452004007449116</v>
      </c>
      <c r="O1645" s="1629"/>
    </row>
    <row r="1646" spans="11:15">
      <c r="K1646" s="1626">
        <v>43703</v>
      </c>
      <c r="L1646" s="1627" t="s">
        <v>2298</v>
      </c>
      <c r="M1646" s="1628">
        <v>2.2751E-2</v>
      </c>
      <c r="N1646" s="1629">
        <v>1.5455519492880851</v>
      </c>
      <c r="O1646" s="1629"/>
    </row>
    <row r="1647" spans="11:15">
      <c r="K1647" s="1626">
        <v>43704</v>
      </c>
      <c r="L1647" s="1627" t="s">
        <v>2298</v>
      </c>
      <c r="M1647" s="1628">
        <v>2.2751E-2</v>
      </c>
      <c r="N1647" s="1629">
        <v>1.5459035778120676</v>
      </c>
      <c r="O1647" s="1629"/>
    </row>
    <row r="1648" spans="11:15">
      <c r="K1648" s="1626">
        <v>43705</v>
      </c>
      <c r="L1648" s="1627" t="s">
        <v>2298</v>
      </c>
      <c r="M1648" s="1628">
        <v>2.2751E-2</v>
      </c>
      <c r="N1648" s="1629">
        <v>1.5462552863350556</v>
      </c>
      <c r="O1648" s="1629"/>
    </row>
    <row r="1649" spans="11:15">
      <c r="K1649" s="1626">
        <v>43706</v>
      </c>
      <c r="L1649" s="1627" t="s">
        <v>2298</v>
      </c>
      <c r="M1649" s="1628">
        <v>2.2751E-2</v>
      </c>
      <c r="N1649" s="1629">
        <v>1.5466070748752496</v>
      </c>
      <c r="O1649" s="1629"/>
    </row>
    <row r="1650" spans="11:15">
      <c r="K1650" s="1626">
        <v>43707</v>
      </c>
      <c r="L1650" s="1627" t="s">
        <v>2298</v>
      </c>
      <c r="M1650" s="1628">
        <v>2.2751E-2</v>
      </c>
      <c r="N1650" s="1629">
        <v>1.5469589434508544</v>
      </c>
      <c r="O1650" s="1629"/>
    </row>
    <row r="1651" spans="11:15">
      <c r="K1651" s="1626">
        <v>43708</v>
      </c>
      <c r="L1651" s="1627"/>
      <c r="M1651" s="1628">
        <v>0</v>
      </c>
      <c r="N1651" s="1629">
        <v>1.5469589434508544</v>
      </c>
      <c r="O1651" s="1629"/>
    </row>
    <row r="1652" spans="11:15">
      <c r="K1652" s="1626">
        <v>43709</v>
      </c>
      <c r="L1652" s="1627"/>
      <c r="M1652" s="1628">
        <v>0</v>
      </c>
      <c r="N1652" s="1629">
        <v>1.5469589434508544</v>
      </c>
      <c r="O1652" s="1629"/>
    </row>
    <row r="1653" spans="11:15">
      <c r="K1653" s="1626">
        <v>43710</v>
      </c>
      <c r="L1653" s="1627" t="s">
        <v>2298</v>
      </c>
      <c r="M1653" s="1628">
        <v>2.2751E-2</v>
      </c>
      <c r="N1653" s="1629">
        <v>1.5473108920800789</v>
      </c>
      <c r="O1653" s="1629"/>
    </row>
    <row r="1654" spans="11:15">
      <c r="K1654" s="1626">
        <v>43711</v>
      </c>
      <c r="L1654" s="1627" t="s">
        <v>2298</v>
      </c>
      <c r="M1654" s="1628">
        <v>2.2751E-2</v>
      </c>
      <c r="N1654" s="1629">
        <v>1.5476629207811361</v>
      </c>
      <c r="O1654" s="1629"/>
    </row>
    <row r="1655" spans="11:15">
      <c r="K1655" s="1626">
        <v>43712</v>
      </c>
      <c r="L1655" s="1627" t="s">
        <v>2298</v>
      </c>
      <c r="M1655" s="1628">
        <v>2.2751E-2</v>
      </c>
      <c r="N1655" s="1629">
        <v>1.548015029572243</v>
      </c>
      <c r="O1655" s="1629"/>
    </row>
    <row r="1656" spans="11:15">
      <c r="K1656" s="1626">
        <v>43713</v>
      </c>
      <c r="L1656" s="1627" t="s">
        <v>2298</v>
      </c>
      <c r="M1656" s="1628">
        <v>2.2751E-2</v>
      </c>
      <c r="N1656" s="1629">
        <v>1.5483672184716211</v>
      </c>
      <c r="O1656" s="1629"/>
    </row>
    <row r="1657" spans="11:15">
      <c r="K1657" s="1626">
        <v>43714</v>
      </c>
      <c r="L1657" s="1627" t="s">
        <v>2298</v>
      </c>
      <c r="M1657" s="1628">
        <v>2.2751E-2</v>
      </c>
      <c r="N1657" s="1629">
        <v>1.5487194874974954</v>
      </c>
      <c r="O1657" s="1629"/>
    </row>
    <row r="1658" spans="11:15">
      <c r="K1658" s="1626">
        <v>43715</v>
      </c>
      <c r="L1658" s="1627"/>
      <c r="M1658" s="1628">
        <v>0</v>
      </c>
      <c r="N1658" s="1629">
        <v>1.5487194874974954</v>
      </c>
      <c r="O1658" s="1629"/>
    </row>
    <row r="1659" spans="11:15">
      <c r="K1659" s="1626">
        <v>43716</v>
      </c>
      <c r="L1659" s="1627"/>
      <c r="M1659" s="1628">
        <v>0</v>
      </c>
      <c r="N1659" s="1629">
        <v>1.5487194874974954</v>
      </c>
      <c r="O1659" s="1629"/>
    </row>
    <row r="1660" spans="11:15">
      <c r="K1660" s="1626">
        <v>43717</v>
      </c>
      <c r="L1660" s="1627" t="s">
        <v>2298</v>
      </c>
      <c r="M1660" s="1628">
        <v>2.2751E-2</v>
      </c>
      <c r="N1660" s="1629">
        <v>1.549071836668096</v>
      </c>
      <c r="O1660" s="1629"/>
    </row>
    <row r="1661" spans="11:15">
      <c r="K1661" s="1626">
        <v>43718</v>
      </c>
      <c r="L1661" s="1627" t="s">
        <v>2298</v>
      </c>
      <c r="M1661" s="1628">
        <v>2.2751E-2</v>
      </c>
      <c r="N1661" s="1629">
        <v>1.5494242660016564</v>
      </c>
      <c r="O1661" s="1629"/>
    </row>
    <row r="1662" spans="11:15">
      <c r="K1662" s="1626">
        <v>43719</v>
      </c>
      <c r="L1662" s="1627" t="s">
        <v>2298</v>
      </c>
      <c r="M1662" s="1628">
        <v>2.2751E-2</v>
      </c>
      <c r="N1662" s="1629">
        <v>1.5497767755164145</v>
      </c>
      <c r="O1662" s="1629"/>
    </row>
    <row r="1663" spans="11:15">
      <c r="K1663" s="1626">
        <v>43720</v>
      </c>
      <c r="L1663" s="1627" t="s">
        <v>2298</v>
      </c>
      <c r="M1663" s="1628">
        <v>2.2751E-2</v>
      </c>
      <c r="N1663" s="1629">
        <v>1.5501293652306123</v>
      </c>
      <c r="O1663" s="1629"/>
    </row>
    <row r="1664" spans="11:15">
      <c r="K1664" s="1626">
        <v>43721</v>
      </c>
      <c r="L1664" s="1627" t="s">
        <v>2298</v>
      </c>
      <c r="M1664" s="1628">
        <v>2.2751E-2</v>
      </c>
      <c r="N1664" s="1629">
        <v>1.5504820351624959</v>
      </c>
      <c r="O1664" s="1629"/>
    </row>
    <row r="1665" spans="11:15">
      <c r="K1665" s="1626">
        <v>43722</v>
      </c>
      <c r="L1665" s="1627"/>
      <c r="M1665" s="1628">
        <v>0</v>
      </c>
      <c r="N1665" s="1629">
        <v>1.5504820351624959</v>
      </c>
      <c r="O1665" s="1629"/>
    </row>
    <row r="1666" spans="11:15">
      <c r="K1666" s="1626">
        <v>43723</v>
      </c>
      <c r="L1666" s="1627"/>
      <c r="M1666" s="1628">
        <v>0</v>
      </c>
      <c r="N1666" s="1629">
        <v>1.5504820351624959</v>
      </c>
      <c r="O1666" s="1629"/>
    </row>
    <row r="1667" spans="11:15">
      <c r="K1667" s="1626">
        <v>43724</v>
      </c>
      <c r="L1667" s="1627" t="s">
        <v>2298</v>
      </c>
      <c r="M1667" s="1628">
        <v>2.2751E-2</v>
      </c>
      <c r="N1667" s="1629">
        <v>1.5508347853303157</v>
      </c>
      <c r="O1667" s="1629"/>
    </row>
    <row r="1668" spans="11:15">
      <c r="K1668" s="1626">
        <v>43725</v>
      </c>
      <c r="L1668" s="1627" t="s">
        <v>2298</v>
      </c>
      <c r="M1668" s="1628">
        <v>2.2751E-2</v>
      </c>
      <c r="N1668" s="1629">
        <v>1.5511876157523261</v>
      </c>
      <c r="O1668" s="1629"/>
    </row>
    <row r="1669" spans="11:15">
      <c r="K1669" s="1626">
        <v>43726</v>
      </c>
      <c r="L1669" s="1627" t="s">
        <v>2298</v>
      </c>
      <c r="M1669" s="1628">
        <v>2.2751E-2</v>
      </c>
      <c r="N1669" s="1629">
        <v>1.5515405264467859</v>
      </c>
      <c r="O1669" s="1629"/>
    </row>
    <row r="1670" spans="11:15">
      <c r="K1670" s="1626">
        <v>43727</v>
      </c>
      <c r="L1670" s="1627" t="s">
        <v>2298</v>
      </c>
      <c r="M1670" s="1628">
        <v>2.0872000000000002E-2</v>
      </c>
      <c r="N1670" s="1629">
        <v>1.5518643639854659</v>
      </c>
      <c r="O1670" s="1629"/>
    </row>
    <row r="1671" spans="11:15">
      <c r="K1671" s="1626">
        <v>43728</v>
      </c>
      <c r="L1671" s="1627" t="s">
        <v>2298</v>
      </c>
      <c r="M1671" s="1628">
        <v>2.0872000000000002E-2</v>
      </c>
      <c r="N1671" s="1629">
        <v>1.5521882691155171</v>
      </c>
      <c r="O1671" s="1629"/>
    </row>
    <row r="1672" spans="11:15">
      <c r="K1672" s="1626">
        <v>43729</v>
      </c>
      <c r="L1672" s="1627"/>
      <c r="M1672" s="1628">
        <v>0</v>
      </c>
      <c r="N1672" s="1629">
        <v>1.5521882691155171</v>
      </c>
      <c r="O1672" s="1629"/>
    </row>
    <row r="1673" spans="11:15">
      <c r="K1673" s="1626">
        <v>43730</v>
      </c>
      <c r="L1673" s="1627"/>
      <c r="M1673" s="1628">
        <v>0</v>
      </c>
      <c r="N1673" s="1629">
        <v>1.5521882691155171</v>
      </c>
      <c r="O1673" s="1629"/>
    </row>
    <row r="1674" spans="11:15">
      <c r="K1674" s="1626">
        <v>43731</v>
      </c>
      <c r="L1674" s="1627" t="s">
        <v>2298</v>
      </c>
      <c r="M1674" s="1628">
        <v>2.0872000000000002E-2</v>
      </c>
      <c r="N1674" s="1629">
        <v>1.5525122418510471</v>
      </c>
      <c r="O1674" s="1629"/>
    </row>
    <row r="1675" spans="11:15">
      <c r="K1675" s="1626">
        <v>43732</v>
      </c>
      <c r="L1675" s="1627" t="s">
        <v>2298</v>
      </c>
      <c r="M1675" s="1628">
        <v>2.0872000000000002E-2</v>
      </c>
      <c r="N1675" s="1629">
        <v>1.5528362822061663</v>
      </c>
      <c r="O1675" s="1629"/>
    </row>
    <row r="1676" spans="11:15">
      <c r="K1676" s="1626">
        <v>43733</v>
      </c>
      <c r="L1676" s="1627" t="s">
        <v>2298</v>
      </c>
      <c r="M1676" s="1628">
        <v>2.0872000000000002E-2</v>
      </c>
      <c r="N1676" s="1629">
        <v>1.5531603901949884</v>
      </c>
      <c r="O1676" s="1629"/>
    </row>
    <row r="1677" spans="11:15">
      <c r="K1677" s="1626">
        <v>43734</v>
      </c>
      <c r="L1677" s="1627" t="s">
        <v>2298</v>
      </c>
      <c r="M1677" s="1628">
        <v>2.0872000000000002E-2</v>
      </c>
      <c r="N1677" s="1629">
        <v>1.5534845658316301</v>
      </c>
      <c r="O1677" s="1629"/>
    </row>
    <row r="1678" spans="11:15">
      <c r="K1678" s="1626">
        <v>43735</v>
      </c>
      <c r="L1678" s="1627" t="s">
        <v>2298</v>
      </c>
      <c r="M1678" s="1628">
        <v>2.0872000000000002E-2</v>
      </c>
      <c r="N1678" s="1629">
        <v>1.5538088091302105</v>
      </c>
      <c r="O1678" s="1629"/>
    </row>
    <row r="1679" spans="11:15">
      <c r="K1679" s="1626">
        <v>43736</v>
      </c>
      <c r="L1679" s="1627"/>
      <c r="M1679" s="1628">
        <v>0</v>
      </c>
      <c r="N1679" s="1629">
        <v>1.5538088091302105</v>
      </c>
      <c r="O1679" s="1629"/>
    </row>
    <row r="1680" spans="11:15">
      <c r="K1680" s="1626">
        <v>43737</v>
      </c>
      <c r="L1680" s="1627"/>
      <c r="M1680" s="1628">
        <v>0</v>
      </c>
      <c r="N1680" s="1629">
        <v>1.5538088091302105</v>
      </c>
      <c r="O1680" s="1629"/>
    </row>
    <row r="1681" spans="11:15">
      <c r="K1681" s="1626">
        <v>43738</v>
      </c>
      <c r="L1681" s="1627" t="s">
        <v>2298</v>
      </c>
      <c r="M1681" s="1628">
        <v>2.0872000000000002E-2</v>
      </c>
      <c r="N1681" s="1629">
        <v>1.5541331201048523</v>
      </c>
      <c r="O1681" s="1629"/>
    </row>
    <row r="1682" spans="11:15">
      <c r="K1682" s="1626">
        <v>43739</v>
      </c>
      <c r="L1682" s="1627" t="s">
        <v>2298</v>
      </c>
      <c r="M1682" s="1628">
        <v>2.0872000000000002E-2</v>
      </c>
      <c r="N1682" s="1629">
        <v>1.5544574987696806</v>
      </c>
      <c r="O1682" s="1629"/>
    </row>
    <row r="1683" spans="11:15">
      <c r="K1683" s="1626">
        <v>43740</v>
      </c>
      <c r="L1683" s="1627" t="s">
        <v>2298</v>
      </c>
      <c r="M1683" s="1628">
        <v>2.0872000000000002E-2</v>
      </c>
      <c r="N1683" s="1629">
        <v>1.5547819451388238</v>
      </c>
      <c r="O1683" s="1629"/>
    </row>
    <row r="1684" spans="11:15">
      <c r="K1684" s="1626">
        <v>43741</v>
      </c>
      <c r="L1684" s="1627" t="s">
        <v>2298</v>
      </c>
      <c r="M1684" s="1628">
        <v>2.0872000000000002E-2</v>
      </c>
      <c r="N1684" s="1629">
        <v>1.5551064592264132</v>
      </c>
      <c r="O1684" s="1629"/>
    </row>
    <row r="1685" spans="11:15">
      <c r="K1685" s="1626">
        <v>43742</v>
      </c>
      <c r="L1685" s="1627" t="s">
        <v>2298</v>
      </c>
      <c r="M1685" s="1628">
        <v>2.0872000000000002E-2</v>
      </c>
      <c r="N1685" s="1629">
        <v>1.555431041046583</v>
      </c>
      <c r="O1685" s="1629"/>
    </row>
    <row r="1686" spans="11:15">
      <c r="K1686" s="1626">
        <v>43743</v>
      </c>
      <c r="L1686" s="1627"/>
      <c r="M1686" s="1628">
        <v>0</v>
      </c>
      <c r="N1686" s="1629">
        <v>1.555431041046583</v>
      </c>
      <c r="O1686" s="1629"/>
    </row>
    <row r="1687" spans="11:15">
      <c r="K1687" s="1626">
        <v>43744</v>
      </c>
      <c r="L1687" s="1627"/>
      <c r="M1687" s="1628">
        <v>0</v>
      </c>
      <c r="N1687" s="1629">
        <v>1.555431041046583</v>
      </c>
      <c r="O1687" s="1629"/>
    </row>
    <row r="1688" spans="11:15">
      <c r="K1688" s="1626">
        <v>43745</v>
      </c>
      <c r="L1688" s="1627" t="s">
        <v>2298</v>
      </c>
      <c r="M1688" s="1628">
        <v>2.0872000000000002E-2</v>
      </c>
      <c r="N1688" s="1629">
        <v>1.5557556906134704</v>
      </c>
      <c r="O1688" s="1629"/>
    </row>
    <row r="1689" spans="11:15">
      <c r="K1689" s="1626">
        <v>43746</v>
      </c>
      <c r="L1689" s="1627" t="s">
        <v>2298</v>
      </c>
      <c r="M1689" s="1628">
        <v>2.0872000000000002E-2</v>
      </c>
      <c r="N1689" s="1629">
        <v>1.5560804079412154</v>
      </c>
      <c r="O1689" s="1629"/>
    </row>
    <row r="1690" spans="11:15">
      <c r="K1690" s="1626">
        <v>43747</v>
      </c>
      <c r="L1690" s="1627" t="s">
        <v>2298</v>
      </c>
      <c r="M1690" s="1628">
        <v>2.0872000000000002E-2</v>
      </c>
      <c r="N1690" s="1629">
        <v>1.5564051930439609</v>
      </c>
      <c r="O1690" s="1629"/>
    </row>
    <row r="1691" spans="11:15">
      <c r="K1691" s="1626">
        <v>43748</v>
      </c>
      <c r="L1691" s="1627" t="s">
        <v>2298</v>
      </c>
      <c r="M1691" s="1628">
        <v>2.0872000000000002E-2</v>
      </c>
      <c r="N1691" s="1629">
        <v>1.5567300459358531</v>
      </c>
      <c r="O1691" s="1629"/>
    </row>
    <row r="1692" spans="11:15">
      <c r="K1692" s="1626">
        <v>43749</v>
      </c>
      <c r="L1692" s="1627" t="s">
        <v>2298</v>
      </c>
      <c r="M1692" s="1628">
        <v>2.0872000000000002E-2</v>
      </c>
      <c r="N1692" s="1629">
        <v>1.5570549666310409</v>
      </c>
      <c r="O1692" s="1629"/>
    </row>
    <row r="1693" spans="11:15">
      <c r="K1693" s="1626">
        <v>43750</v>
      </c>
      <c r="L1693" s="1627"/>
      <c r="M1693" s="1628">
        <v>0</v>
      </c>
      <c r="N1693" s="1629">
        <v>1.5570549666310409</v>
      </c>
      <c r="O1693" s="1629"/>
    </row>
    <row r="1694" spans="11:15">
      <c r="K1694" s="1626">
        <v>43751</v>
      </c>
      <c r="L1694" s="1627"/>
      <c r="M1694" s="1628">
        <v>0</v>
      </c>
      <c r="N1694" s="1629">
        <v>1.5570549666310409</v>
      </c>
      <c r="O1694" s="1629"/>
    </row>
    <row r="1695" spans="11:15">
      <c r="K1695" s="1626">
        <v>43752</v>
      </c>
      <c r="L1695" s="1627" t="s">
        <v>2298</v>
      </c>
      <c r="M1695" s="1628">
        <v>2.0872000000000002E-2</v>
      </c>
      <c r="N1695" s="1629">
        <v>1.5573799551436762</v>
      </c>
      <c r="O1695" s="1629"/>
    </row>
    <row r="1696" spans="11:15">
      <c r="K1696" s="1626">
        <v>43753</v>
      </c>
      <c r="L1696" s="1627" t="s">
        <v>2298</v>
      </c>
      <c r="M1696" s="1628">
        <v>2.0872000000000002E-2</v>
      </c>
      <c r="N1696" s="1629">
        <v>1.5577050114879138</v>
      </c>
      <c r="O1696" s="1629"/>
    </row>
    <row r="1697" spans="11:15">
      <c r="K1697" s="1626">
        <v>43754</v>
      </c>
      <c r="L1697" s="1627" t="s">
        <v>2298</v>
      </c>
      <c r="M1697" s="1628">
        <v>2.0872000000000002E-2</v>
      </c>
      <c r="N1697" s="1629">
        <v>1.5580301356779116</v>
      </c>
      <c r="O1697" s="1629"/>
    </row>
    <row r="1698" spans="11:15">
      <c r="K1698" s="1626">
        <v>43755</v>
      </c>
      <c r="L1698" s="1627" t="s">
        <v>2298</v>
      </c>
      <c r="M1698" s="1628">
        <v>2.0872000000000002E-2</v>
      </c>
      <c r="N1698" s="1629">
        <v>1.5583553277278304</v>
      </c>
      <c r="O1698" s="1629"/>
    </row>
    <row r="1699" spans="11:15">
      <c r="K1699" s="1626">
        <v>43756</v>
      </c>
      <c r="L1699" s="1627" t="s">
        <v>2298</v>
      </c>
      <c r="M1699" s="1628">
        <v>2.0872000000000002E-2</v>
      </c>
      <c r="N1699" s="1629">
        <v>1.5586805876518337</v>
      </c>
      <c r="O1699" s="1629"/>
    </row>
    <row r="1700" spans="11:15">
      <c r="K1700" s="1626">
        <v>43757</v>
      </c>
      <c r="L1700" s="1627"/>
      <c r="M1700" s="1628">
        <v>0</v>
      </c>
      <c r="N1700" s="1629">
        <v>1.5586805876518337</v>
      </c>
      <c r="O1700" s="1629"/>
    </row>
    <row r="1701" spans="11:15">
      <c r="K1701" s="1626">
        <v>43758</v>
      </c>
      <c r="L1701" s="1627"/>
      <c r="M1701" s="1628">
        <v>0</v>
      </c>
      <c r="N1701" s="1629">
        <v>1.5586805876518337</v>
      </c>
      <c r="O1701" s="1629"/>
    </row>
    <row r="1702" spans="11:15">
      <c r="K1702" s="1626">
        <v>43759</v>
      </c>
      <c r="L1702" s="1627" t="s">
        <v>2298</v>
      </c>
      <c r="M1702" s="1628">
        <v>2.0872000000000002E-2</v>
      </c>
      <c r="N1702" s="1629">
        <v>1.5590059154640885</v>
      </c>
      <c r="O1702" s="1629"/>
    </row>
    <row r="1703" spans="11:15">
      <c r="K1703" s="1626">
        <v>43760</v>
      </c>
      <c r="L1703" s="1627" t="s">
        <v>2298</v>
      </c>
      <c r="M1703" s="1628">
        <v>2.0872000000000002E-2</v>
      </c>
      <c r="N1703" s="1629">
        <v>1.5593313111787643</v>
      </c>
      <c r="O1703" s="1629"/>
    </row>
    <row r="1704" spans="11:15">
      <c r="K1704" s="1626">
        <v>43761</v>
      </c>
      <c r="L1704" s="1627" t="s">
        <v>2298</v>
      </c>
      <c r="M1704" s="1628">
        <v>2.0872000000000002E-2</v>
      </c>
      <c r="N1704" s="1629">
        <v>1.5596567748100336</v>
      </c>
      <c r="O1704" s="1629"/>
    </row>
    <row r="1705" spans="11:15">
      <c r="K1705" s="1626">
        <v>43762</v>
      </c>
      <c r="L1705" s="1627" t="s">
        <v>2298</v>
      </c>
      <c r="M1705" s="1628">
        <v>2.0872000000000002E-2</v>
      </c>
      <c r="N1705" s="1629">
        <v>1.5599823063720721</v>
      </c>
      <c r="O1705" s="1629"/>
    </row>
    <row r="1706" spans="11:15">
      <c r="K1706" s="1626">
        <v>43763</v>
      </c>
      <c r="L1706" s="1627" t="s">
        <v>2298</v>
      </c>
      <c r="M1706" s="1628">
        <v>2.0872000000000002E-2</v>
      </c>
      <c r="N1706" s="1629">
        <v>1.5603079058790581</v>
      </c>
      <c r="O1706" s="1629"/>
    </row>
    <row r="1707" spans="11:15">
      <c r="K1707" s="1626">
        <v>43764</v>
      </c>
      <c r="L1707" s="1627"/>
      <c r="M1707" s="1628">
        <v>0</v>
      </c>
      <c r="N1707" s="1629">
        <v>1.5603079058790581</v>
      </c>
      <c r="O1707" s="1629"/>
    </row>
    <row r="1708" spans="11:15">
      <c r="K1708" s="1626">
        <v>43765</v>
      </c>
      <c r="L1708" s="1627"/>
      <c r="M1708" s="1628">
        <v>0</v>
      </c>
      <c r="N1708" s="1629">
        <v>1.5603079058790581</v>
      </c>
      <c r="O1708" s="1629"/>
    </row>
    <row r="1709" spans="11:15">
      <c r="K1709" s="1626">
        <v>43766</v>
      </c>
      <c r="L1709" s="1627" t="s">
        <v>2298</v>
      </c>
      <c r="M1709" s="1628">
        <v>2.0872000000000002E-2</v>
      </c>
      <c r="N1709" s="1629">
        <v>1.5606335733451733</v>
      </c>
      <c r="O1709" s="1629"/>
    </row>
    <row r="1710" spans="11:15">
      <c r="K1710" s="1626">
        <v>43767</v>
      </c>
      <c r="L1710" s="1627" t="s">
        <v>2298</v>
      </c>
      <c r="M1710" s="1628">
        <v>2.0872000000000002E-2</v>
      </c>
      <c r="N1710" s="1629">
        <v>1.5609593087846019</v>
      </c>
      <c r="O1710" s="1629"/>
    </row>
    <row r="1711" spans="11:15">
      <c r="K1711" s="1626">
        <v>43768</v>
      </c>
      <c r="L1711" s="1627" t="s">
        <v>2298</v>
      </c>
      <c r="M1711" s="1628">
        <v>2.0872000000000002E-2</v>
      </c>
      <c r="N1711" s="1629">
        <v>1.5612851122115314</v>
      </c>
      <c r="O1711" s="1629"/>
    </row>
    <row r="1712" spans="11:15">
      <c r="K1712" s="1626">
        <v>43769</v>
      </c>
      <c r="L1712" s="1627" t="s">
        <v>2298</v>
      </c>
      <c r="M1712" s="1628">
        <v>1.8984999999999998E-2</v>
      </c>
      <c r="N1712" s="1629">
        <v>1.5615815221900846</v>
      </c>
      <c r="O1712" s="1629"/>
    </row>
    <row r="1713" spans="11:15">
      <c r="K1713" s="1626">
        <v>43770</v>
      </c>
      <c r="L1713" s="1627" t="s">
        <v>2298</v>
      </c>
      <c r="M1713" s="1628">
        <v>1.8984999999999998E-2</v>
      </c>
      <c r="N1713" s="1629">
        <v>1.5618779884420724</v>
      </c>
      <c r="O1713" s="1629"/>
    </row>
    <row r="1714" spans="11:15">
      <c r="K1714" s="1626">
        <v>43771</v>
      </c>
      <c r="L1714" s="1627"/>
      <c r="M1714" s="1628">
        <v>0</v>
      </c>
      <c r="N1714" s="1629">
        <v>1.5618779884420724</v>
      </c>
      <c r="O1714" s="1629"/>
    </row>
    <row r="1715" spans="11:15">
      <c r="K1715" s="1626">
        <v>43772</v>
      </c>
      <c r="L1715" s="1627"/>
      <c r="M1715" s="1628">
        <v>0</v>
      </c>
      <c r="N1715" s="1629">
        <v>1.5618779884420724</v>
      </c>
      <c r="O1715" s="1629"/>
    </row>
    <row r="1716" spans="11:15">
      <c r="K1716" s="1626">
        <v>43773</v>
      </c>
      <c r="L1716" s="1627" t="s">
        <v>2298</v>
      </c>
      <c r="M1716" s="1628">
        <v>1.8984999999999998E-2</v>
      </c>
      <c r="N1716" s="1629">
        <v>1.5621745109781779</v>
      </c>
      <c r="O1716" s="1629"/>
    </row>
    <row r="1717" spans="11:15">
      <c r="K1717" s="1626">
        <v>43774</v>
      </c>
      <c r="L1717" s="1627" t="s">
        <v>2298</v>
      </c>
      <c r="M1717" s="1628">
        <v>1.8984999999999998E-2</v>
      </c>
      <c r="N1717" s="1629">
        <v>1.562471089809087</v>
      </c>
      <c r="O1717" s="1629"/>
    </row>
    <row r="1718" spans="11:15">
      <c r="K1718" s="1626">
        <v>43775</v>
      </c>
      <c r="L1718" s="1627" t="s">
        <v>2298</v>
      </c>
      <c r="M1718" s="1628">
        <v>1.8984999999999998E-2</v>
      </c>
      <c r="N1718" s="1629">
        <v>1.5627677249454872</v>
      </c>
      <c r="O1718" s="1629"/>
    </row>
    <row r="1719" spans="11:15">
      <c r="K1719" s="1626">
        <v>43776</v>
      </c>
      <c r="L1719" s="1627" t="s">
        <v>2298</v>
      </c>
      <c r="M1719" s="1628">
        <v>1.8984999999999998E-2</v>
      </c>
      <c r="N1719" s="1629">
        <v>1.563064416398068</v>
      </c>
      <c r="O1719" s="1629"/>
    </row>
    <row r="1720" spans="11:15">
      <c r="K1720" s="1626">
        <v>43777</v>
      </c>
      <c r="L1720" s="1627" t="s">
        <v>2298</v>
      </c>
      <c r="M1720" s="1628">
        <v>1.8984999999999998E-2</v>
      </c>
      <c r="N1720" s="1629">
        <v>1.5633611641775211</v>
      </c>
      <c r="O1720" s="1629"/>
    </row>
    <row r="1721" spans="11:15">
      <c r="K1721" s="1626">
        <v>43778</v>
      </c>
      <c r="L1721" s="1627"/>
      <c r="M1721" s="1628">
        <v>0</v>
      </c>
      <c r="N1721" s="1629">
        <v>1.5633611641775211</v>
      </c>
      <c r="O1721" s="1629"/>
    </row>
    <row r="1722" spans="11:15">
      <c r="K1722" s="1626">
        <v>43779</v>
      </c>
      <c r="L1722" s="1627"/>
      <c r="M1722" s="1628">
        <v>0</v>
      </c>
      <c r="N1722" s="1629">
        <v>1.5633611641775211</v>
      </c>
      <c r="O1722" s="1629"/>
    </row>
    <row r="1723" spans="11:15">
      <c r="K1723" s="1626">
        <v>43780</v>
      </c>
      <c r="L1723" s="1627" t="s">
        <v>2298</v>
      </c>
      <c r="M1723" s="1628">
        <v>1.8984999999999998E-2</v>
      </c>
      <c r="N1723" s="1629">
        <v>1.5636579682945402</v>
      </c>
      <c r="O1723" s="1629"/>
    </row>
    <row r="1724" spans="11:15">
      <c r="K1724" s="1626">
        <v>43781</v>
      </c>
      <c r="L1724" s="1627" t="s">
        <v>2298</v>
      </c>
      <c r="M1724" s="1628">
        <v>1.8984999999999998E-2</v>
      </c>
      <c r="N1724" s="1629">
        <v>1.5639548287598208</v>
      </c>
      <c r="O1724" s="1629"/>
    </row>
    <row r="1725" spans="11:15">
      <c r="K1725" s="1626">
        <v>43782</v>
      </c>
      <c r="L1725" s="1627" t="s">
        <v>2298</v>
      </c>
      <c r="M1725" s="1628">
        <v>1.8984999999999998E-2</v>
      </c>
      <c r="N1725" s="1629">
        <v>1.5642517455840608</v>
      </c>
      <c r="O1725" s="1629"/>
    </row>
    <row r="1726" spans="11:15">
      <c r="K1726" s="1626">
        <v>43783</v>
      </c>
      <c r="L1726" s="1627" t="s">
        <v>2298</v>
      </c>
      <c r="M1726" s="1628">
        <v>1.8984999999999998E-2</v>
      </c>
      <c r="N1726" s="1629">
        <v>1.5645487187779599</v>
      </c>
      <c r="O1726" s="1629"/>
    </row>
    <row r="1727" spans="11:15">
      <c r="K1727" s="1626">
        <v>43784</v>
      </c>
      <c r="L1727" s="1627"/>
      <c r="M1727" s="1628">
        <v>0</v>
      </c>
      <c r="N1727" s="1629">
        <v>1.5645487187779599</v>
      </c>
      <c r="O1727" s="1629"/>
    </row>
    <row r="1728" spans="11:15">
      <c r="K1728" s="1626">
        <v>43785</v>
      </c>
      <c r="L1728" s="1627"/>
      <c r="M1728" s="1628">
        <v>0</v>
      </c>
      <c r="N1728" s="1629">
        <v>1.5645487187779599</v>
      </c>
      <c r="O1728" s="1629"/>
    </row>
    <row r="1729" spans="11:15">
      <c r="K1729" s="1626">
        <v>43786</v>
      </c>
      <c r="L1729" s="1627"/>
      <c r="M1729" s="1628">
        <v>0</v>
      </c>
      <c r="N1729" s="1629">
        <v>1.5645487187779599</v>
      </c>
      <c r="O1729" s="1629"/>
    </row>
    <row r="1730" spans="11:15">
      <c r="K1730" s="1626">
        <v>43787</v>
      </c>
      <c r="L1730" s="1627" t="s">
        <v>2298</v>
      </c>
      <c r="M1730" s="1628">
        <v>1.8984999999999998E-2</v>
      </c>
      <c r="N1730" s="1629">
        <v>1.5648457483522198</v>
      </c>
      <c r="O1730" s="1629"/>
    </row>
    <row r="1731" spans="11:15">
      <c r="K1731" s="1626">
        <v>43788</v>
      </c>
      <c r="L1731" s="1627" t="s">
        <v>2298</v>
      </c>
      <c r="M1731" s="1628">
        <v>1.8984999999999998E-2</v>
      </c>
      <c r="N1731" s="1629">
        <v>1.5651428343175444</v>
      </c>
      <c r="O1731" s="1629"/>
    </row>
    <row r="1732" spans="11:15">
      <c r="K1732" s="1626">
        <v>43789</v>
      </c>
      <c r="L1732" s="1627" t="s">
        <v>2298</v>
      </c>
      <c r="M1732" s="1628">
        <v>1.8984999999999998E-2</v>
      </c>
      <c r="N1732" s="1629">
        <v>1.5654399766846394</v>
      </c>
      <c r="O1732" s="1629"/>
    </row>
    <row r="1733" spans="11:15">
      <c r="K1733" s="1626">
        <v>43790</v>
      </c>
      <c r="L1733" s="1627" t="s">
        <v>2298</v>
      </c>
      <c r="M1733" s="1628">
        <v>1.8984999999999998E-2</v>
      </c>
      <c r="N1733" s="1629">
        <v>1.5657371754642129</v>
      </c>
      <c r="O1733" s="1629"/>
    </row>
    <row r="1734" spans="11:15">
      <c r="K1734" s="1626">
        <v>43791</v>
      </c>
      <c r="L1734" s="1627" t="s">
        <v>2298</v>
      </c>
      <c r="M1734" s="1628">
        <v>1.8984999999999998E-2</v>
      </c>
      <c r="N1734" s="1629">
        <v>1.5660344306669747</v>
      </c>
      <c r="O1734" s="1629"/>
    </row>
    <row r="1735" spans="11:15">
      <c r="K1735" s="1626">
        <v>43792</v>
      </c>
      <c r="L1735" s="1627"/>
      <c r="M1735" s="1628">
        <v>0</v>
      </c>
      <c r="N1735" s="1629">
        <v>1.5660344306669747</v>
      </c>
      <c r="O1735" s="1629"/>
    </row>
    <row r="1736" spans="11:15">
      <c r="K1736" s="1626">
        <v>43793</v>
      </c>
      <c r="L1736" s="1627"/>
      <c r="M1736" s="1628">
        <v>0</v>
      </c>
      <c r="N1736" s="1629">
        <v>1.5660344306669747</v>
      </c>
      <c r="O1736" s="1629"/>
    </row>
    <row r="1737" spans="11:15">
      <c r="K1737" s="1626">
        <v>43794</v>
      </c>
      <c r="L1737" s="1627" t="s">
        <v>2298</v>
      </c>
      <c r="M1737" s="1628">
        <v>1.8984999999999998E-2</v>
      </c>
      <c r="N1737" s="1629">
        <v>1.5663317423036367</v>
      </c>
      <c r="O1737" s="1629"/>
    </row>
    <row r="1738" spans="11:15">
      <c r="K1738" s="1626">
        <v>43795</v>
      </c>
      <c r="L1738" s="1627" t="s">
        <v>2298</v>
      </c>
      <c r="M1738" s="1628">
        <v>1.8984999999999998E-2</v>
      </c>
      <c r="N1738" s="1629">
        <v>1.566629110384913</v>
      </c>
      <c r="O1738" s="1629"/>
    </row>
    <row r="1739" spans="11:15">
      <c r="K1739" s="1626">
        <v>43796</v>
      </c>
      <c r="L1739" s="1627" t="s">
        <v>2298</v>
      </c>
      <c r="M1739" s="1628">
        <v>1.8984999999999998E-2</v>
      </c>
      <c r="N1739" s="1629">
        <v>1.5669265349215196</v>
      </c>
      <c r="O1739" s="1629"/>
    </row>
    <row r="1740" spans="11:15">
      <c r="K1740" s="1626">
        <v>43797</v>
      </c>
      <c r="L1740" s="1627" t="s">
        <v>2298</v>
      </c>
      <c r="M1740" s="1628">
        <v>1.8984999999999998E-2</v>
      </c>
      <c r="N1740" s="1629">
        <v>1.5672240159241744</v>
      </c>
      <c r="O1740" s="1629"/>
    </row>
    <row r="1741" spans="11:15">
      <c r="K1741" s="1626">
        <v>43798</v>
      </c>
      <c r="L1741" s="1627" t="s">
        <v>2298</v>
      </c>
      <c r="M1741" s="1628">
        <v>1.8984999999999998E-2</v>
      </c>
      <c r="N1741" s="1629">
        <v>1.5675215534035976</v>
      </c>
      <c r="O1741" s="1629"/>
    </row>
    <row r="1742" spans="11:15">
      <c r="K1742" s="1626">
        <v>43799</v>
      </c>
      <c r="L1742" s="1627"/>
      <c r="M1742" s="1628">
        <v>0</v>
      </c>
      <c r="N1742" s="1629">
        <v>1.5675215534035976</v>
      </c>
      <c r="O1742" s="1629"/>
    </row>
    <row r="1743" spans="11:15">
      <c r="K1743" s="1626">
        <v>43800</v>
      </c>
      <c r="L1743" s="1627"/>
      <c r="M1743" s="1628">
        <v>0</v>
      </c>
      <c r="N1743" s="1629">
        <v>1.5675215534035976</v>
      </c>
      <c r="O1743" s="1629"/>
    </row>
    <row r="1744" spans="11:15">
      <c r="K1744" s="1626">
        <v>43801</v>
      </c>
      <c r="L1744" s="1627" t="s">
        <v>2298</v>
      </c>
      <c r="M1744" s="1628">
        <v>1.8984999999999998E-2</v>
      </c>
      <c r="N1744" s="1629">
        <v>1.5678191473705112</v>
      </c>
      <c r="O1744" s="1629"/>
    </row>
    <row r="1745" spans="11:15">
      <c r="K1745" s="1626">
        <v>43802</v>
      </c>
      <c r="L1745" s="1627" t="s">
        <v>2298</v>
      </c>
      <c r="M1745" s="1628">
        <v>1.8984999999999998E-2</v>
      </c>
      <c r="N1745" s="1629">
        <v>1.5681167978356394</v>
      </c>
      <c r="O1745" s="1629"/>
    </row>
    <row r="1746" spans="11:15">
      <c r="K1746" s="1626">
        <v>43803</v>
      </c>
      <c r="L1746" s="1627" t="s">
        <v>2298</v>
      </c>
      <c r="M1746" s="1628">
        <v>1.8984999999999998E-2</v>
      </c>
      <c r="N1746" s="1629">
        <v>1.5684145048097085</v>
      </c>
      <c r="O1746" s="1629"/>
    </row>
    <row r="1747" spans="11:15">
      <c r="K1747" s="1626">
        <v>43804</v>
      </c>
      <c r="L1747" s="1627" t="s">
        <v>2298</v>
      </c>
      <c r="M1747" s="1628">
        <v>1.8984999999999998E-2</v>
      </c>
      <c r="N1747" s="1629">
        <v>1.5687122683034465</v>
      </c>
      <c r="O1747" s="1629"/>
    </row>
    <row r="1748" spans="11:15">
      <c r="K1748" s="1626">
        <v>43805</v>
      </c>
      <c r="L1748" s="1627" t="s">
        <v>2298</v>
      </c>
      <c r="M1748" s="1628">
        <v>1.8984999999999998E-2</v>
      </c>
      <c r="N1748" s="1629">
        <v>1.5690100883275837</v>
      </c>
      <c r="O1748" s="1629"/>
    </row>
    <row r="1749" spans="11:15">
      <c r="K1749" s="1626">
        <v>43806</v>
      </c>
      <c r="L1749" s="1627"/>
      <c r="M1749" s="1628">
        <v>0</v>
      </c>
      <c r="N1749" s="1629">
        <v>1.5690100883275837</v>
      </c>
      <c r="O1749" s="1629"/>
    </row>
    <row r="1750" spans="11:15">
      <c r="K1750" s="1626">
        <v>43807</v>
      </c>
      <c r="L1750" s="1627"/>
      <c r="M1750" s="1628">
        <v>0</v>
      </c>
      <c r="N1750" s="1629">
        <v>1.5690100883275837</v>
      </c>
      <c r="O1750" s="1629"/>
    </row>
    <row r="1751" spans="11:15">
      <c r="K1751" s="1626">
        <v>43808</v>
      </c>
      <c r="L1751" s="1627" t="s">
        <v>2298</v>
      </c>
      <c r="M1751" s="1628">
        <v>1.8984999999999998E-2</v>
      </c>
      <c r="N1751" s="1629">
        <v>1.5693079648928525</v>
      </c>
      <c r="O1751" s="1629"/>
    </row>
    <row r="1752" spans="11:15">
      <c r="K1752" s="1626">
        <v>43809</v>
      </c>
      <c r="L1752" s="1627" t="s">
        <v>2298</v>
      </c>
      <c r="M1752" s="1628">
        <v>1.8984999999999998E-2</v>
      </c>
      <c r="N1752" s="1629">
        <v>1.5696058980099874</v>
      </c>
      <c r="O1752" s="1629"/>
    </row>
    <row r="1753" spans="11:15">
      <c r="K1753" s="1626">
        <v>43810</v>
      </c>
      <c r="L1753" s="1627" t="s">
        <v>2298</v>
      </c>
      <c r="M1753" s="1628">
        <v>1.8984999999999998E-2</v>
      </c>
      <c r="N1753" s="1629">
        <v>1.5699038876897244</v>
      </c>
      <c r="O1753" s="1629"/>
    </row>
    <row r="1754" spans="11:15">
      <c r="K1754" s="1626">
        <v>43811</v>
      </c>
      <c r="L1754" s="1627" t="s">
        <v>2298</v>
      </c>
      <c r="M1754" s="1628">
        <v>1.7089E-2</v>
      </c>
      <c r="N1754" s="1629">
        <v>1.5701721685650916</v>
      </c>
      <c r="O1754" s="1629"/>
    </row>
    <row r="1755" spans="11:15">
      <c r="K1755" s="1626">
        <v>43812</v>
      </c>
      <c r="L1755" s="1627" t="s">
        <v>2298</v>
      </c>
      <c r="M1755" s="1628">
        <v>1.7089E-2</v>
      </c>
      <c r="N1755" s="1629">
        <v>1.5704404952869775</v>
      </c>
      <c r="O1755" s="1629"/>
    </row>
    <row r="1756" spans="11:15">
      <c r="K1756" s="1626">
        <v>43813</v>
      </c>
      <c r="L1756" s="1627"/>
      <c r="M1756" s="1628">
        <v>0</v>
      </c>
      <c r="N1756" s="1629">
        <v>1.5704404952869775</v>
      </c>
      <c r="O1756" s="1629"/>
    </row>
    <row r="1757" spans="11:15">
      <c r="K1757" s="1626">
        <v>43814</v>
      </c>
      <c r="L1757" s="1627"/>
      <c r="M1757" s="1628">
        <v>0</v>
      </c>
      <c r="N1757" s="1629">
        <v>1.5704404952869775</v>
      </c>
      <c r="O1757" s="1629"/>
    </row>
    <row r="1758" spans="11:15">
      <c r="K1758" s="1626">
        <v>43815</v>
      </c>
      <c r="L1758" s="1627" t="s">
        <v>2298</v>
      </c>
      <c r="M1758" s="1628">
        <v>1.7089E-2</v>
      </c>
      <c r="N1758" s="1629">
        <v>1.5707088678632171</v>
      </c>
      <c r="O1758" s="1629"/>
    </row>
    <row r="1759" spans="11:15">
      <c r="K1759" s="1626">
        <v>43816</v>
      </c>
      <c r="L1759" s="1627" t="s">
        <v>2298</v>
      </c>
      <c r="M1759" s="1628">
        <v>1.7089E-2</v>
      </c>
      <c r="N1759" s="1629">
        <v>1.570977286301646</v>
      </c>
      <c r="O1759" s="1629"/>
    </row>
    <row r="1760" spans="11:15">
      <c r="K1760" s="1626">
        <v>43817</v>
      </c>
      <c r="L1760" s="1627" t="s">
        <v>2298</v>
      </c>
      <c r="M1760" s="1628">
        <v>1.7089E-2</v>
      </c>
      <c r="N1760" s="1629">
        <v>1.5712457506101021</v>
      </c>
      <c r="O1760" s="1629"/>
    </row>
    <row r="1761" spans="11:15">
      <c r="K1761" s="1626">
        <v>43818</v>
      </c>
      <c r="L1761" s="1627" t="s">
        <v>2298</v>
      </c>
      <c r="M1761" s="1628">
        <v>1.7089E-2</v>
      </c>
      <c r="N1761" s="1629">
        <v>1.5715142607964236</v>
      </c>
      <c r="O1761" s="1629"/>
    </row>
    <row r="1762" spans="11:15">
      <c r="K1762" s="1626">
        <v>43819</v>
      </c>
      <c r="L1762" s="1627" t="s">
        <v>2298</v>
      </c>
      <c r="M1762" s="1628">
        <v>1.7089E-2</v>
      </c>
      <c r="N1762" s="1629">
        <v>1.5717828168684511</v>
      </c>
      <c r="O1762" s="1629"/>
    </row>
    <row r="1763" spans="11:15">
      <c r="K1763" s="1626">
        <v>43820</v>
      </c>
      <c r="L1763" s="1627"/>
      <c r="M1763" s="1628">
        <v>0</v>
      </c>
      <c r="N1763" s="1629">
        <v>1.5717828168684511</v>
      </c>
      <c r="O1763" s="1629"/>
    </row>
    <row r="1764" spans="11:15">
      <c r="K1764" s="1626">
        <v>43821</v>
      </c>
      <c r="L1764" s="1627"/>
      <c r="M1764" s="1628">
        <v>0</v>
      </c>
      <c r="N1764" s="1629">
        <v>1.5717828168684511</v>
      </c>
      <c r="O1764" s="1629"/>
    </row>
    <row r="1765" spans="11:15">
      <c r="K1765" s="1626">
        <v>43822</v>
      </c>
      <c r="L1765" s="1627" t="s">
        <v>2298</v>
      </c>
      <c r="M1765" s="1628">
        <v>1.7089E-2</v>
      </c>
      <c r="N1765" s="1629">
        <v>1.5720514188340255</v>
      </c>
      <c r="O1765" s="1629"/>
    </row>
    <row r="1766" spans="11:15">
      <c r="K1766" s="1626">
        <v>43823</v>
      </c>
      <c r="L1766" s="1627" t="s">
        <v>2298</v>
      </c>
      <c r="M1766" s="1628">
        <v>1.7089E-2</v>
      </c>
      <c r="N1766" s="1629">
        <v>1.57232006670099</v>
      </c>
      <c r="O1766" s="1629"/>
    </row>
    <row r="1767" spans="11:15">
      <c r="K1767" s="1626">
        <v>43824</v>
      </c>
      <c r="L1767" s="1627"/>
      <c r="M1767" s="1628">
        <v>0</v>
      </c>
      <c r="N1767" s="1629">
        <v>1.57232006670099</v>
      </c>
      <c r="O1767" s="1629"/>
    </row>
    <row r="1768" spans="11:15">
      <c r="K1768" s="1626">
        <v>43825</v>
      </c>
      <c r="L1768" s="1627" t="s">
        <v>2298</v>
      </c>
      <c r="M1768" s="1628">
        <v>1.7089E-2</v>
      </c>
      <c r="N1768" s="1629">
        <v>1.5725887604771884</v>
      </c>
      <c r="O1768" s="1629"/>
    </row>
    <row r="1769" spans="11:15">
      <c r="K1769" s="1626">
        <v>43826</v>
      </c>
      <c r="L1769" s="1627" t="s">
        <v>2298</v>
      </c>
      <c r="M1769" s="1628">
        <v>1.7089E-2</v>
      </c>
      <c r="N1769" s="1629">
        <v>1.5728575001704663</v>
      </c>
      <c r="O1769" s="1629"/>
    </row>
    <row r="1770" spans="11:15">
      <c r="K1770" s="1626">
        <v>43827</v>
      </c>
      <c r="L1770" s="1627"/>
      <c r="M1770" s="1628">
        <v>0</v>
      </c>
      <c r="N1770" s="1629">
        <v>1.5728575001704663</v>
      </c>
      <c r="O1770" s="1629"/>
    </row>
    <row r="1771" spans="11:15">
      <c r="K1771" s="1626">
        <v>43828</v>
      </c>
      <c r="L1771" s="1627"/>
      <c r="M1771" s="1628">
        <v>0</v>
      </c>
      <c r="N1771" s="1629">
        <v>1.5728575001704663</v>
      </c>
      <c r="O1771" s="1629"/>
    </row>
    <row r="1772" spans="11:15">
      <c r="K1772" s="1626">
        <v>43829</v>
      </c>
      <c r="L1772" s="1627" t="s">
        <v>2298</v>
      </c>
      <c r="M1772" s="1628">
        <v>1.7089E-2</v>
      </c>
      <c r="N1772" s="1629">
        <v>1.5731262857886703</v>
      </c>
      <c r="O1772" s="1629"/>
    </row>
    <row r="1773" spans="11:15">
      <c r="K1773" s="1626">
        <v>43830</v>
      </c>
      <c r="L1773" s="1627" t="s">
        <v>2298</v>
      </c>
      <c r="M1773" s="1628">
        <v>1.7089E-2</v>
      </c>
      <c r="N1773" s="1629">
        <v>1.5733951173396485</v>
      </c>
      <c r="O1773" s="1629"/>
    </row>
    <row r="1774" spans="11:15">
      <c r="K1774" s="1626">
        <v>43831</v>
      </c>
      <c r="L1774" s="1627"/>
      <c r="M1774" s="1628">
        <v>0</v>
      </c>
      <c r="N1774" s="1629">
        <v>1.5733951173396485</v>
      </c>
      <c r="O1774" s="1629"/>
    </row>
    <row r="1775" spans="11:15">
      <c r="K1775" s="1626">
        <v>43832</v>
      </c>
      <c r="L1775" s="1627" t="s">
        <v>2298</v>
      </c>
      <c r="M1775" s="1628">
        <v>1.7089E-2</v>
      </c>
      <c r="N1775" s="1629">
        <v>1.5736639948312505</v>
      </c>
      <c r="O1775" s="1629"/>
    </row>
    <row r="1776" spans="11:15">
      <c r="K1776" s="1626">
        <v>43833</v>
      </c>
      <c r="L1776" s="1627" t="s">
        <v>2298</v>
      </c>
      <c r="M1776" s="1628">
        <v>1.7089E-2</v>
      </c>
      <c r="N1776" s="1629">
        <v>1.5739329182713271</v>
      </c>
      <c r="O1776" s="1629"/>
    </row>
    <row r="1777" spans="11:15">
      <c r="K1777" s="1626">
        <v>43834</v>
      </c>
      <c r="L1777" s="1627"/>
      <c r="M1777" s="1628">
        <v>0</v>
      </c>
      <c r="N1777" s="1629">
        <v>1.5739329182713271</v>
      </c>
      <c r="O1777" s="1629"/>
    </row>
    <row r="1778" spans="11:15">
      <c r="K1778" s="1626">
        <v>43835</v>
      </c>
      <c r="L1778" s="1627"/>
      <c r="M1778" s="1628">
        <v>0</v>
      </c>
      <c r="N1778" s="1629">
        <v>1.5739329182713271</v>
      </c>
      <c r="O1778" s="1629"/>
    </row>
    <row r="1779" spans="11:15">
      <c r="K1779" s="1626">
        <v>43836</v>
      </c>
      <c r="L1779" s="1627" t="s">
        <v>2298</v>
      </c>
      <c r="M1779" s="1628">
        <v>1.7089E-2</v>
      </c>
      <c r="N1779" s="1629">
        <v>1.5742018876677304</v>
      </c>
      <c r="O1779" s="1629"/>
    </row>
    <row r="1780" spans="11:15">
      <c r="K1780" s="1626">
        <v>43837</v>
      </c>
      <c r="L1780" s="1627" t="s">
        <v>2298</v>
      </c>
      <c r="M1780" s="1628">
        <v>1.7089E-2</v>
      </c>
      <c r="N1780" s="1629">
        <v>1.5744709030283137</v>
      </c>
      <c r="O1780" s="1629"/>
    </row>
    <row r="1781" spans="11:15">
      <c r="K1781" s="1626">
        <v>43838</v>
      </c>
      <c r="L1781" s="1627" t="s">
        <v>2298</v>
      </c>
      <c r="M1781" s="1628">
        <v>1.7089E-2</v>
      </c>
      <c r="N1781" s="1629">
        <v>1.5747399643609321</v>
      </c>
      <c r="O1781" s="1629"/>
    </row>
    <row r="1782" spans="11:15">
      <c r="K1782" s="1626">
        <v>43839</v>
      </c>
      <c r="L1782" s="1627" t="s">
        <v>2298</v>
      </c>
      <c r="M1782" s="1628">
        <v>1.7089E-2</v>
      </c>
      <c r="N1782" s="1629">
        <v>1.5750090716734417</v>
      </c>
      <c r="O1782" s="1629"/>
    </row>
    <row r="1783" spans="11:15">
      <c r="K1783" s="1626">
        <v>43840</v>
      </c>
      <c r="L1783" s="1627" t="s">
        <v>2298</v>
      </c>
      <c r="M1783" s="1628">
        <v>1.7089E-2</v>
      </c>
      <c r="N1783" s="1629">
        <v>1.5752782249736998</v>
      </c>
      <c r="O1783" s="1629"/>
    </row>
    <row r="1784" spans="11:15">
      <c r="K1784" s="1626">
        <v>43841</v>
      </c>
      <c r="L1784" s="1627"/>
      <c r="M1784" s="1628">
        <v>0</v>
      </c>
      <c r="N1784" s="1629">
        <v>1.5752782249736998</v>
      </c>
      <c r="O1784" s="1629"/>
    </row>
    <row r="1785" spans="11:15">
      <c r="K1785" s="1626">
        <v>43842</v>
      </c>
      <c r="L1785" s="1627"/>
      <c r="M1785" s="1628">
        <v>0</v>
      </c>
      <c r="N1785" s="1629">
        <v>1.5752782249736998</v>
      </c>
      <c r="O1785" s="1629"/>
    </row>
    <row r="1786" spans="11:15">
      <c r="K1786" s="1626">
        <v>43843</v>
      </c>
      <c r="L1786" s="1627" t="s">
        <v>2298</v>
      </c>
      <c r="M1786" s="1628">
        <v>1.7089E-2</v>
      </c>
      <c r="N1786" s="1629">
        <v>1.5755474242695655</v>
      </c>
      <c r="O1786" s="1629"/>
    </row>
    <row r="1787" spans="11:15">
      <c r="K1787" s="1626">
        <v>43844</v>
      </c>
      <c r="L1787" s="1627" t="s">
        <v>2298</v>
      </c>
      <c r="M1787" s="1628">
        <v>1.7089E-2</v>
      </c>
      <c r="N1787" s="1629">
        <v>1.5758166695688989</v>
      </c>
      <c r="O1787" s="1629"/>
    </row>
    <row r="1788" spans="11:15">
      <c r="K1788" s="1626">
        <v>43845</v>
      </c>
      <c r="L1788" s="1627" t="s">
        <v>2298</v>
      </c>
      <c r="M1788" s="1628">
        <v>1.7089E-2</v>
      </c>
      <c r="N1788" s="1629">
        <v>1.5760859608795614</v>
      </c>
      <c r="O1788" s="1629"/>
    </row>
    <row r="1789" spans="11:15">
      <c r="K1789" s="1626">
        <v>43846</v>
      </c>
      <c r="L1789" s="1627" t="s">
        <v>2298</v>
      </c>
      <c r="M1789" s="1628">
        <v>1.7089E-2</v>
      </c>
      <c r="N1789" s="1629">
        <v>1.576355298209416</v>
      </c>
      <c r="O1789" s="1629"/>
    </row>
    <row r="1790" spans="11:15">
      <c r="K1790" s="1626">
        <v>43847</v>
      </c>
      <c r="L1790" s="1627" t="s">
        <v>2298</v>
      </c>
      <c r="M1790" s="1628">
        <v>1.7089E-2</v>
      </c>
      <c r="N1790" s="1629">
        <v>1.576624681566327</v>
      </c>
      <c r="O1790" s="1629"/>
    </row>
    <row r="1791" spans="11:15">
      <c r="K1791" s="1626">
        <v>43848</v>
      </c>
      <c r="L1791" s="1627"/>
      <c r="M1791" s="1628">
        <v>0</v>
      </c>
      <c r="N1791" s="1629">
        <v>1.576624681566327</v>
      </c>
      <c r="O1791" s="1629"/>
    </row>
    <row r="1792" spans="11:15">
      <c r="K1792" s="1626">
        <v>43849</v>
      </c>
      <c r="L1792" s="1627"/>
      <c r="M1792" s="1628">
        <v>0</v>
      </c>
      <c r="N1792" s="1629">
        <v>1.576624681566327</v>
      </c>
      <c r="O1792" s="1629"/>
    </row>
    <row r="1793" spans="11:15">
      <c r="K1793" s="1626">
        <v>43850</v>
      </c>
      <c r="L1793" s="1627" t="s">
        <v>2298</v>
      </c>
      <c r="M1793" s="1628">
        <v>1.7089E-2</v>
      </c>
      <c r="N1793" s="1629">
        <v>1.5768941109581598</v>
      </c>
      <c r="O1793" s="1629"/>
    </row>
    <row r="1794" spans="11:15">
      <c r="K1794" s="1626">
        <v>43851</v>
      </c>
      <c r="L1794" s="1627" t="s">
        <v>2298</v>
      </c>
      <c r="M1794" s="1628">
        <v>1.7089E-2</v>
      </c>
      <c r="N1794" s="1629">
        <v>1.5771635863927813</v>
      </c>
      <c r="O1794" s="1629"/>
    </row>
    <row r="1795" spans="11:15">
      <c r="K1795" s="1626">
        <v>43852</v>
      </c>
      <c r="L1795" s="1627" t="s">
        <v>2298</v>
      </c>
      <c r="M1795" s="1628">
        <v>1.7089E-2</v>
      </c>
      <c r="N1795" s="1629">
        <v>1.5774331078780599</v>
      </c>
      <c r="O1795" s="1629"/>
    </row>
    <row r="1796" spans="11:15">
      <c r="K1796" s="1626">
        <v>43853</v>
      </c>
      <c r="L1796" s="1627" t="s">
        <v>2298</v>
      </c>
      <c r="M1796" s="1628">
        <v>1.7089E-2</v>
      </c>
      <c r="N1796" s="1629">
        <v>1.577702675421865</v>
      </c>
      <c r="O1796" s="1629"/>
    </row>
    <row r="1797" spans="11:15">
      <c r="K1797" s="1626">
        <v>43854</v>
      </c>
      <c r="L1797" s="1627" t="s">
        <v>2298</v>
      </c>
      <c r="M1797" s="1628">
        <v>1.7089E-2</v>
      </c>
      <c r="N1797" s="1629">
        <v>1.5779722890320678</v>
      </c>
      <c r="O1797" s="1629"/>
    </row>
    <row r="1798" spans="11:15">
      <c r="K1798" s="1626">
        <v>43855</v>
      </c>
      <c r="L1798" s="1627"/>
      <c r="M1798" s="1628">
        <v>0</v>
      </c>
      <c r="N1798" s="1629">
        <v>1.5779722890320678</v>
      </c>
      <c r="O1798" s="1629"/>
    </row>
    <row r="1799" spans="11:15">
      <c r="K1799" s="1626">
        <v>43856</v>
      </c>
      <c r="L1799" s="1627"/>
      <c r="M1799" s="1628">
        <v>0</v>
      </c>
      <c r="N1799" s="1629">
        <v>1.5779722890320678</v>
      </c>
      <c r="O1799" s="1629"/>
    </row>
    <row r="1800" spans="11:15">
      <c r="K1800" s="1626">
        <v>43857</v>
      </c>
      <c r="L1800" s="1627" t="s">
        <v>2298</v>
      </c>
      <c r="M1800" s="1628">
        <v>1.7089E-2</v>
      </c>
      <c r="N1800" s="1629">
        <v>1.5782419487165404</v>
      </c>
      <c r="O1800" s="1629"/>
    </row>
    <row r="1801" spans="11:15">
      <c r="K1801" s="1626">
        <v>43858</v>
      </c>
      <c r="L1801" s="1627" t="s">
        <v>2298</v>
      </c>
      <c r="M1801" s="1628">
        <v>1.7089E-2</v>
      </c>
      <c r="N1801" s="1629">
        <v>1.5785116544831566</v>
      </c>
      <c r="O1801" s="1629"/>
    </row>
    <row r="1802" spans="11:15">
      <c r="K1802" s="1626">
        <v>43859</v>
      </c>
      <c r="L1802" s="1627" t="s">
        <v>2298</v>
      </c>
      <c r="M1802" s="1628">
        <v>1.7089E-2</v>
      </c>
      <c r="N1802" s="1629">
        <v>1.5787814063397911</v>
      </c>
      <c r="O1802" s="1629"/>
    </row>
    <row r="1803" spans="11:15">
      <c r="K1803" s="1626">
        <v>43860</v>
      </c>
      <c r="L1803" s="1627" t="s">
        <v>2298</v>
      </c>
      <c r="M1803" s="1628">
        <v>1.7089E-2</v>
      </c>
      <c r="N1803" s="1629">
        <v>1.5790512042943203</v>
      </c>
      <c r="O1803" s="1629"/>
    </row>
    <row r="1804" spans="11:15">
      <c r="K1804" s="1626">
        <v>43861</v>
      </c>
      <c r="L1804" s="1627" t="s">
        <v>2298</v>
      </c>
      <c r="M1804" s="1628">
        <v>1.7089E-2</v>
      </c>
      <c r="N1804" s="1629">
        <v>1.5793210483546221</v>
      </c>
      <c r="O1804" s="1629"/>
    </row>
    <row r="1805" spans="11:15">
      <c r="K1805" s="1626">
        <v>43862</v>
      </c>
      <c r="L1805" s="1627"/>
      <c r="M1805" s="1628">
        <v>0</v>
      </c>
      <c r="N1805" s="1629">
        <v>1.5793210483546221</v>
      </c>
      <c r="O1805" s="1629"/>
    </row>
    <row r="1806" spans="11:15">
      <c r="K1806" s="1626">
        <v>43863</v>
      </c>
      <c r="L1806" s="1627"/>
      <c r="M1806" s="1628">
        <v>0</v>
      </c>
      <c r="N1806" s="1629">
        <v>1.5793210483546221</v>
      </c>
      <c r="O1806" s="1629"/>
    </row>
    <row r="1807" spans="11:15">
      <c r="K1807" s="1626">
        <v>43864</v>
      </c>
      <c r="L1807" s="1627" t="s">
        <v>2298</v>
      </c>
      <c r="M1807" s="1628">
        <v>1.7089E-2</v>
      </c>
      <c r="N1807" s="1629">
        <v>1.5795909385285754</v>
      </c>
      <c r="O1807" s="1629"/>
    </row>
    <row r="1808" spans="11:15">
      <c r="K1808" s="1626">
        <v>43865</v>
      </c>
      <c r="L1808" s="1627" t="s">
        <v>2298</v>
      </c>
      <c r="M1808" s="1628">
        <v>1.7089E-2</v>
      </c>
      <c r="N1808" s="1629">
        <v>1.5798608748240603</v>
      </c>
      <c r="O1808" s="1629"/>
    </row>
    <row r="1809" spans="11:15">
      <c r="K1809" s="1626">
        <v>43866</v>
      </c>
      <c r="L1809" s="1627" t="s">
        <v>2298</v>
      </c>
      <c r="M1809" s="1628">
        <v>1.7089E-2</v>
      </c>
      <c r="N1809" s="1629">
        <v>1.580130857248959</v>
      </c>
      <c r="O1809" s="1629"/>
    </row>
    <row r="1810" spans="11:15">
      <c r="K1810" s="1626">
        <v>43867</v>
      </c>
      <c r="L1810" s="1627" t="s">
        <v>2298</v>
      </c>
      <c r="M1810" s="1628">
        <v>1.6136999999999999E-2</v>
      </c>
      <c r="N1810" s="1629">
        <v>1.5803858429653934</v>
      </c>
      <c r="O1810" s="1629"/>
    </row>
    <row r="1811" spans="11:15">
      <c r="K1811" s="1626">
        <v>43868</v>
      </c>
      <c r="L1811" s="1627" t="s">
        <v>2298</v>
      </c>
      <c r="M1811" s="1628">
        <v>1.6136999999999999E-2</v>
      </c>
      <c r="N1811" s="1629">
        <v>1.5806408698288728</v>
      </c>
      <c r="O1811" s="1629"/>
    </row>
    <row r="1812" spans="11:15">
      <c r="K1812" s="1626">
        <v>43869</v>
      </c>
      <c r="L1812" s="1627"/>
      <c r="M1812" s="1628">
        <v>0</v>
      </c>
      <c r="N1812" s="1629">
        <v>1.5806408698288728</v>
      </c>
      <c r="O1812" s="1629"/>
    </row>
    <row r="1813" spans="11:15">
      <c r="K1813" s="1626">
        <v>43870</v>
      </c>
      <c r="L1813" s="1627"/>
      <c r="M1813" s="1628">
        <v>0</v>
      </c>
      <c r="N1813" s="1629">
        <v>1.5806408698288728</v>
      </c>
      <c r="O1813" s="1629"/>
    </row>
    <row r="1814" spans="11:15">
      <c r="K1814" s="1626">
        <v>43871</v>
      </c>
      <c r="L1814" s="1627" t="s">
        <v>2298</v>
      </c>
      <c r="M1814" s="1628">
        <v>1.6136999999999999E-2</v>
      </c>
      <c r="N1814" s="1629">
        <v>1.5808959378460372</v>
      </c>
      <c r="O1814" s="1629"/>
    </row>
    <row r="1815" spans="11:15">
      <c r="K1815" s="1626">
        <v>43872</v>
      </c>
      <c r="L1815" s="1627" t="s">
        <v>2298</v>
      </c>
      <c r="M1815" s="1628">
        <v>1.6136999999999999E-2</v>
      </c>
      <c r="N1815" s="1629">
        <v>1.5811510470235275</v>
      </c>
      <c r="O1815" s="1629"/>
    </row>
    <row r="1816" spans="11:15">
      <c r="K1816" s="1626">
        <v>43873</v>
      </c>
      <c r="L1816" s="1627" t="s">
        <v>2298</v>
      </c>
      <c r="M1816" s="1628">
        <v>1.6136999999999999E-2</v>
      </c>
      <c r="N1816" s="1629">
        <v>1.5814061973679858</v>
      </c>
      <c r="O1816" s="1629"/>
    </row>
    <row r="1817" spans="11:15">
      <c r="K1817" s="1626">
        <v>43874</v>
      </c>
      <c r="L1817" s="1627" t="s">
        <v>2298</v>
      </c>
      <c r="M1817" s="1628">
        <v>1.6136999999999999E-2</v>
      </c>
      <c r="N1817" s="1629">
        <v>1.5816613888860551</v>
      </c>
      <c r="O1817" s="1629"/>
    </row>
    <row r="1818" spans="11:15">
      <c r="K1818" s="1626">
        <v>43875</v>
      </c>
      <c r="L1818" s="1627" t="s">
        <v>2298</v>
      </c>
      <c r="M1818" s="1628">
        <v>1.6136999999999999E-2</v>
      </c>
      <c r="N1818" s="1629">
        <v>1.5819166215843798</v>
      </c>
      <c r="O1818" s="1629"/>
    </row>
    <row r="1819" spans="11:15">
      <c r="K1819" s="1626">
        <v>43876</v>
      </c>
      <c r="L1819" s="1627"/>
      <c r="M1819" s="1628">
        <v>0</v>
      </c>
      <c r="N1819" s="1629">
        <v>1.5819166215843798</v>
      </c>
      <c r="O1819" s="1629"/>
    </row>
    <row r="1820" spans="11:15">
      <c r="K1820" s="1626">
        <v>43877</v>
      </c>
      <c r="L1820" s="1627"/>
      <c r="M1820" s="1628">
        <v>0</v>
      </c>
      <c r="N1820" s="1629">
        <v>1.5819166215843798</v>
      </c>
      <c r="O1820" s="1629"/>
    </row>
    <row r="1821" spans="11:15">
      <c r="K1821" s="1626">
        <v>43878</v>
      </c>
      <c r="L1821" s="1627" t="s">
        <v>2298</v>
      </c>
      <c r="M1821" s="1628">
        <v>1.6136999999999999E-2</v>
      </c>
      <c r="N1821" s="1629">
        <v>1.5821718954696049</v>
      </c>
      <c r="O1821" s="1629"/>
    </row>
    <row r="1822" spans="11:15">
      <c r="K1822" s="1626">
        <v>43879</v>
      </c>
      <c r="L1822" s="1627" t="s">
        <v>2298</v>
      </c>
      <c r="M1822" s="1628">
        <v>1.6136999999999999E-2</v>
      </c>
      <c r="N1822" s="1629">
        <v>1.582427210548377</v>
      </c>
      <c r="O1822" s="1629"/>
    </row>
    <row r="1823" spans="11:15">
      <c r="K1823" s="1626">
        <v>43880</v>
      </c>
      <c r="L1823" s="1627" t="s">
        <v>2298</v>
      </c>
      <c r="M1823" s="1628">
        <v>1.6136999999999999E-2</v>
      </c>
      <c r="N1823" s="1629">
        <v>1.5826825668273432</v>
      </c>
      <c r="O1823" s="1629"/>
    </row>
    <row r="1824" spans="11:15">
      <c r="K1824" s="1626">
        <v>43881</v>
      </c>
      <c r="L1824" s="1627" t="s">
        <v>2298</v>
      </c>
      <c r="M1824" s="1628">
        <v>1.6136999999999999E-2</v>
      </c>
      <c r="N1824" s="1629">
        <v>1.5829379643131523</v>
      </c>
      <c r="O1824" s="1629"/>
    </row>
    <row r="1825" spans="11:15">
      <c r="K1825" s="1626">
        <v>43882</v>
      </c>
      <c r="L1825" s="1627" t="s">
        <v>2298</v>
      </c>
      <c r="M1825" s="1628">
        <v>1.6136999999999999E-2</v>
      </c>
      <c r="N1825" s="1629">
        <v>1.5831934030124535</v>
      </c>
      <c r="O1825" s="1629"/>
    </row>
    <row r="1826" spans="11:15">
      <c r="K1826" s="1626">
        <v>43883</v>
      </c>
      <c r="L1826" s="1627"/>
      <c r="M1826" s="1628">
        <v>0</v>
      </c>
      <c r="N1826" s="1629">
        <v>1.5831934030124535</v>
      </c>
      <c r="O1826" s="1629"/>
    </row>
    <row r="1827" spans="11:15">
      <c r="K1827" s="1626">
        <v>43884</v>
      </c>
      <c r="L1827" s="1627"/>
      <c r="M1827" s="1628">
        <v>0</v>
      </c>
      <c r="N1827" s="1629">
        <v>1.5831934030124535</v>
      </c>
      <c r="O1827" s="1629"/>
    </row>
    <row r="1828" spans="11:15">
      <c r="K1828" s="1626">
        <v>43885</v>
      </c>
      <c r="L1828" s="1627"/>
      <c r="M1828" s="1628">
        <v>0</v>
      </c>
      <c r="N1828" s="1629">
        <v>1.5831934030124535</v>
      </c>
      <c r="O1828" s="1629"/>
    </row>
    <row r="1829" spans="11:15">
      <c r="K1829" s="1626">
        <v>43886</v>
      </c>
      <c r="L1829" s="1627"/>
      <c r="M1829" s="1628">
        <v>0</v>
      </c>
      <c r="N1829" s="1629">
        <v>1.5831934030124535</v>
      </c>
      <c r="O1829" s="1629"/>
    </row>
    <row r="1830" spans="11:15">
      <c r="K1830" s="1626">
        <v>43887</v>
      </c>
      <c r="L1830" s="1627" t="s">
        <v>2298</v>
      </c>
      <c r="M1830" s="1628">
        <v>1.6136999999999999E-2</v>
      </c>
      <c r="N1830" s="1629">
        <v>1.5834488829318978</v>
      </c>
      <c r="O1830" s="1629"/>
    </row>
    <row r="1831" spans="11:15">
      <c r="K1831" s="1626">
        <v>43888</v>
      </c>
      <c r="L1831" s="1627" t="s">
        <v>2298</v>
      </c>
      <c r="M1831" s="1628">
        <v>1.6136999999999999E-2</v>
      </c>
      <c r="N1831" s="1629">
        <v>1.5837044040781365</v>
      </c>
      <c r="O1831" s="1629"/>
    </row>
    <row r="1832" spans="11:15">
      <c r="K1832" s="1626">
        <v>43889</v>
      </c>
      <c r="L1832" s="1627" t="s">
        <v>2298</v>
      </c>
      <c r="M1832" s="1628">
        <v>1.6136999999999999E-2</v>
      </c>
      <c r="N1832" s="1629">
        <v>1.5839599664578228</v>
      </c>
      <c r="O1832" s="1629"/>
    </row>
    <row r="1833" spans="11:15">
      <c r="K1833" s="1626">
        <v>43890</v>
      </c>
      <c r="L1833" s="1627"/>
      <c r="M1833" s="1628">
        <v>0</v>
      </c>
      <c r="N1833" s="1629">
        <v>1.5839599664578228</v>
      </c>
      <c r="O1833" s="1629"/>
    </row>
    <row r="1834" spans="11:15">
      <c r="K1834" s="1626">
        <v>43891</v>
      </c>
      <c r="L1834" s="1627"/>
      <c r="M1834" s="1628">
        <v>0</v>
      </c>
      <c r="N1834" s="1629">
        <v>1.5839599664578228</v>
      </c>
      <c r="O1834" s="1629"/>
    </row>
    <row r="1835" spans="11:15">
      <c r="K1835" s="1626">
        <v>43892</v>
      </c>
      <c r="L1835" s="1627" t="s">
        <v>2298</v>
      </c>
      <c r="M1835" s="1628">
        <v>1.6136999999999999E-2</v>
      </c>
      <c r="N1835" s="1629">
        <v>1.5842155700776102</v>
      </c>
      <c r="O1835" s="1629"/>
    </row>
    <row r="1836" spans="11:15">
      <c r="K1836" s="1626">
        <v>43893</v>
      </c>
      <c r="L1836" s="1627" t="s">
        <v>2298</v>
      </c>
      <c r="M1836" s="1628">
        <v>1.6136999999999999E-2</v>
      </c>
      <c r="N1836" s="1629">
        <v>1.5844712149441535</v>
      </c>
      <c r="O1836" s="1629"/>
    </row>
    <row r="1837" spans="11:15">
      <c r="K1837" s="1626">
        <v>43894</v>
      </c>
      <c r="L1837" s="1627" t="s">
        <v>2298</v>
      </c>
      <c r="M1837" s="1628">
        <v>1.6136999999999999E-2</v>
      </c>
      <c r="N1837" s="1629">
        <v>1.5847269010641092</v>
      </c>
      <c r="O1837" s="1629"/>
    </row>
    <row r="1838" spans="11:15">
      <c r="K1838" s="1626">
        <v>43895</v>
      </c>
      <c r="L1838" s="1627" t="s">
        <v>2298</v>
      </c>
      <c r="M1838" s="1628">
        <v>1.6136999999999999E-2</v>
      </c>
      <c r="N1838" s="1629">
        <v>1.584982628444134</v>
      </c>
      <c r="O1838" s="1629"/>
    </row>
    <row r="1839" spans="11:15">
      <c r="K1839" s="1626">
        <v>43896</v>
      </c>
      <c r="L1839" s="1627" t="s">
        <v>2298</v>
      </c>
      <c r="M1839" s="1628">
        <v>1.6136999999999999E-2</v>
      </c>
      <c r="N1839" s="1629">
        <v>1.5852383970908861</v>
      </c>
      <c r="O1839" s="1629"/>
    </row>
    <row r="1840" spans="11:15">
      <c r="K1840" s="1626">
        <v>43897</v>
      </c>
      <c r="L1840" s="1627"/>
      <c r="M1840" s="1628">
        <v>0</v>
      </c>
      <c r="N1840" s="1629">
        <v>1.5852383970908861</v>
      </c>
      <c r="O1840" s="1629"/>
    </row>
    <row r="1841" spans="11:15">
      <c r="K1841" s="1626">
        <v>43898</v>
      </c>
      <c r="L1841" s="1627"/>
      <c r="M1841" s="1628">
        <v>0</v>
      </c>
      <c r="N1841" s="1629">
        <v>1.5852383970908861</v>
      </c>
      <c r="O1841" s="1629"/>
    </row>
    <row r="1842" spans="11:15">
      <c r="K1842" s="1626">
        <v>43899</v>
      </c>
      <c r="L1842" s="1627" t="s">
        <v>2298</v>
      </c>
      <c r="M1842" s="1628">
        <v>1.6136999999999999E-2</v>
      </c>
      <c r="N1842" s="1629">
        <v>1.5854942070110247</v>
      </c>
      <c r="O1842" s="1629"/>
    </row>
    <row r="1843" spans="11:15">
      <c r="K1843" s="1626">
        <v>43900</v>
      </c>
      <c r="L1843" s="1627" t="s">
        <v>2298</v>
      </c>
      <c r="M1843" s="1628">
        <v>1.6136999999999999E-2</v>
      </c>
      <c r="N1843" s="1629">
        <v>1.5857500582112101</v>
      </c>
      <c r="O1843" s="1629"/>
    </row>
    <row r="1844" spans="11:15">
      <c r="K1844" s="1626">
        <v>43901</v>
      </c>
      <c r="L1844" s="1627" t="s">
        <v>2298</v>
      </c>
      <c r="M1844" s="1628">
        <v>1.6136999999999999E-2</v>
      </c>
      <c r="N1844" s="1629">
        <v>1.5860059506981037</v>
      </c>
      <c r="O1844" s="1629"/>
    </row>
    <row r="1845" spans="11:15">
      <c r="K1845" s="1626">
        <v>43902</v>
      </c>
      <c r="L1845" s="1627" t="s">
        <v>2298</v>
      </c>
      <c r="M1845" s="1628">
        <v>1.6136999999999999E-2</v>
      </c>
      <c r="N1845" s="1629">
        <v>1.586261884478368</v>
      </c>
      <c r="O1845" s="1629"/>
    </row>
    <row r="1846" spans="11:15">
      <c r="K1846" s="1626">
        <v>43903</v>
      </c>
      <c r="L1846" s="1627" t="s">
        <v>2298</v>
      </c>
      <c r="M1846" s="1628">
        <v>1.6136999999999999E-2</v>
      </c>
      <c r="N1846" s="1629">
        <v>1.5865178595586664</v>
      </c>
      <c r="O1846" s="1629"/>
    </row>
    <row r="1847" spans="11:15">
      <c r="K1847" s="1626">
        <v>43904</v>
      </c>
      <c r="L1847" s="1627"/>
      <c r="M1847" s="1628">
        <v>0</v>
      </c>
      <c r="N1847" s="1629">
        <v>1.5865178595586664</v>
      </c>
      <c r="O1847" s="1629"/>
    </row>
    <row r="1848" spans="11:15">
      <c r="K1848" s="1626">
        <v>43905</v>
      </c>
      <c r="L1848" s="1627"/>
      <c r="M1848" s="1628">
        <v>0</v>
      </c>
      <c r="N1848" s="1629">
        <v>1.5865178595586664</v>
      </c>
      <c r="O1848" s="1629"/>
    </row>
    <row r="1849" spans="11:15">
      <c r="K1849" s="1626">
        <v>43906</v>
      </c>
      <c r="L1849" s="1627" t="s">
        <v>2298</v>
      </c>
      <c r="M1849" s="1628">
        <v>1.6136999999999999E-2</v>
      </c>
      <c r="N1849" s="1629">
        <v>1.5867738759456635</v>
      </c>
      <c r="O1849" s="1629"/>
    </row>
    <row r="1850" spans="11:15">
      <c r="K1850" s="1626">
        <v>43907</v>
      </c>
      <c r="L1850" s="1627" t="s">
        <v>2298</v>
      </c>
      <c r="M1850" s="1628">
        <v>1.6136999999999999E-2</v>
      </c>
      <c r="N1850" s="1629">
        <v>1.587029933646025</v>
      </c>
      <c r="O1850" s="1629"/>
    </row>
    <row r="1851" spans="11:15">
      <c r="K1851" s="1626">
        <v>43908</v>
      </c>
      <c r="L1851" s="1627" t="s">
        <v>2298</v>
      </c>
      <c r="M1851" s="1628">
        <v>1.6136999999999999E-2</v>
      </c>
      <c r="N1851" s="1629">
        <v>1.5872860326664175</v>
      </c>
      <c r="O1851" s="1629"/>
    </row>
    <row r="1852" spans="11:15">
      <c r="K1852" s="1626">
        <v>43909</v>
      </c>
      <c r="L1852" s="1627" t="s">
        <v>2298</v>
      </c>
      <c r="M1852" s="1628">
        <v>1.4227E-2</v>
      </c>
      <c r="N1852" s="1629">
        <v>1.587511855850285</v>
      </c>
      <c r="O1852" s="1629"/>
    </row>
    <row r="1853" spans="11:15">
      <c r="K1853" s="1626">
        <v>43910</v>
      </c>
      <c r="L1853" s="1627" t="s">
        <v>2298</v>
      </c>
      <c r="M1853" s="1628">
        <v>1.4227E-2</v>
      </c>
      <c r="N1853" s="1629">
        <v>1.5877377111620168</v>
      </c>
      <c r="O1853" s="1629"/>
    </row>
    <row r="1854" spans="11:15">
      <c r="K1854" s="1626">
        <v>43911</v>
      </c>
      <c r="L1854" s="1627"/>
      <c r="M1854" s="1628">
        <v>0</v>
      </c>
      <c r="N1854" s="1629">
        <v>1.5877377111620168</v>
      </c>
      <c r="O1854" s="1629"/>
    </row>
    <row r="1855" spans="11:15">
      <c r="K1855" s="1626">
        <v>43912</v>
      </c>
      <c r="L1855" s="1627"/>
      <c r="M1855" s="1628">
        <v>0</v>
      </c>
      <c r="N1855" s="1629">
        <v>1.5877377111620168</v>
      </c>
      <c r="O1855" s="1629"/>
    </row>
    <row r="1856" spans="11:15">
      <c r="K1856" s="1626">
        <v>43913</v>
      </c>
      <c r="L1856" s="1627" t="s">
        <v>2298</v>
      </c>
      <c r="M1856" s="1628">
        <v>1.4227E-2</v>
      </c>
      <c r="N1856" s="1629">
        <v>1.5879635986061837</v>
      </c>
      <c r="O1856" s="1629"/>
    </row>
    <row r="1857" spans="11:15">
      <c r="K1857" s="1626">
        <v>43914</v>
      </c>
      <c r="L1857" s="1627" t="s">
        <v>2298</v>
      </c>
      <c r="M1857" s="1628">
        <v>1.4227E-2</v>
      </c>
      <c r="N1857" s="1629">
        <v>1.5881895181873575</v>
      </c>
      <c r="O1857" s="1629"/>
    </row>
    <row r="1858" spans="11:15">
      <c r="K1858" s="1626">
        <v>43915</v>
      </c>
      <c r="L1858" s="1627" t="s">
        <v>2298</v>
      </c>
      <c r="M1858" s="1628">
        <v>1.4227E-2</v>
      </c>
      <c r="N1858" s="1629">
        <v>1.5884154699101101</v>
      </c>
      <c r="O1858" s="1629"/>
    </row>
    <row r="1859" spans="11:15">
      <c r="K1859" s="1626">
        <v>43916</v>
      </c>
      <c r="L1859" s="1627" t="s">
        <v>2298</v>
      </c>
      <c r="M1859" s="1628">
        <v>1.4227E-2</v>
      </c>
      <c r="N1859" s="1629">
        <v>1.5886414537790141</v>
      </c>
      <c r="O1859" s="1629"/>
    </row>
    <row r="1860" spans="11:15">
      <c r="K1860" s="1626">
        <v>43917</v>
      </c>
      <c r="L1860" s="1627" t="s">
        <v>2298</v>
      </c>
      <c r="M1860" s="1628">
        <v>1.4227E-2</v>
      </c>
      <c r="N1860" s="1629">
        <v>1.5888674697986434</v>
      </c>
      <c r="O1860" s="1629"/>
    </row>
    <row r="1861" spans="11:15">
      <c r="K1861" s="1626">
        <v>43918</v>
      </c>
      <c r="L1861" s="1627"/>
      <c r="M1861" s="1628">
        <v>0</v>
      </c>
      <c r="N1861" s="1629">
        <v>1.5888674697986434</v>
      </c>
      <c r="O1861" s="1629"/>
    </row>
    <row r="1862" spans="11:15">
      <c r="K1862" s="1626">
        <v>43919</v>
      </c>
      <c r="L1862" s="1627"/>
      <c r="M1862" s="1628">
        <v>0</v>
      </c>
      <c r="N1862" s="1629">
        <v>1.5888674697986434</v>
      </c>
      <c r="O1862" s="1629"/>
    </row>
    <row r="1863" spans="11:15">
      <c r="K1863" s="1626">
        <v>43920</v>
      </c>
      <c r="L1863" s="1627" t="s">
        <v>2298</v>
      </c>
      <c r="M1863" s="1628">
        <v>1.4227E-2</v>
      </c>
      <c r="N1863" s="1629">
        <v>1.5890935179735717</v>
      </c>
      <c r="O1863" s="1629"/>
    </row>
    <row r="1864" spans="11:15">
      <c r="K1864" s="1626">
        <v>43921</v>
      </c>
      <c r="L1864" s="1627" t="s">
        <v>2298</v>
      </c>
      <c r="M1864" s="1628">
        <v>1.4227E-2</v>
      </c>
      <c r="N1864" s="1629">
        <v>1.5893195983083739</v>
      </c>
      <c r="O1864" s="1629"/>
    </row>
    <row r="1865" spans="11:15">
      <c r="K1865" s="1626">
        <v>43922</v>
      </c>
      <c r="L1865" s="1627" t="s">
        <v>2298</v>
      </c>
      <c r="M1865" s="1628">
        <v>1.4227E-2</v>
      </c>
      <c r="N1865" s="1629">
        <v>1.5895457108076252</v>
      </c>
      <c r="O1865" s="1629"/>
    </row>
    <row r="1866" spans="11:15">
      <c r="K1866" s="1626">
        <v>43923</v>
      </c>
      <c r="L1866" s="1627" t="s">
        <v>2298</v>
      </c>
      <c r="M1866" s="1628">
        <v>1.4227E-2</v>
      </c>
      <c r="N1866" s="1629">
        <v>1.5897718554759017</v>
      </c>
      <c r="O1866" s="1629"/>
    </row>
    <row r="1867" spans="11:15">
      <c r="K1867" s="1626">
        <v>43924</v>
      </c>
      <c r="L1867" s="1627" t="s">
        <v>2298</v>
      </c>
      <c r="M1867" s="1628">
        <v>1.4227E-2</v>
      </c>
      <c r="N1867" s="1629">
        <v>1.5899980323177803</v>
      </c>
      <c r="O1867" s="1629"/>
    </row>
    <row r="1868" spans="11:15">
      <c r="K1868" s="1626">
        <v>43925</v>
      </c>
      <c r="L1868" s="1627"/>
      <c r="M1868" s="1628">
        <v>0</v>
      </c>
      <c r="N1868" s="1629">
        <v>1.5899980323177803</v>
      </c>
      <c r="O1868" s="1629"/>
    </row>
    <row r="1869" spans="11:15">
      <c r="K1869" s="1626">
        <v>43926</v>
      </c>
      <c r="L1869" s="1627"/>
      <c r="M1869" s="1628">
        <v>0</v>
      </c>
      <c r="N1869" s="1629">
        <v>1.5899980323177803</v>
      </c>
      <c r="O1869" s="1629"/>
    </row>
    <row r="1870" spans="11:15">
      <c r="K1870" s="1626">
        <v>43927</v>
      </c>
      <c r="L1870" s="1627" t="s">
        <v>2298</v>
      </c>
      <c r="M1870" s="1628">
        <v>1.4227E-2</v>
      </c>
      <c r="N1870" s="1629">
        <v>1.590224241337838</v>
      </c>
      <c r="O1870" s="1629"/>
    </row>
    <row r="1871" spans="11:15">
      <c r="K1871" s="1626">
        <v>43928</v>
      </c>
      <c r="L1871" s="1627" t="s">
        <v>2298</v>
      </c>
      <c r="M1871" s="1628">
        <v>1.4227E-2</v>
      </c>
      <c r="N1871" s="1629">
        <v>1.5904504825406531</v>
      </c>
      <c r="O1871" s="1629"/>
    </row>
    <row r="1872" spans="11:15">
      <c r="K1872" s="1626">
        <v>43929</v>
      </c>
      <c r="L1872" s="1627" t="s">
        <v>2298</v>
      </c>
      <c r="M1872" s="1628">
        <v>1.4227E-2</v>
      </c>
      <c r="N1872" s="1629">
        <v>1.5906767559308042</v>
      </c>
      <c r="O1872" s="1629"/>
    </row>
    <row r="1873" spans="11:15">
      <c r="K1873" s="1626">
        <v>43930</v>
      </c>
      <c r="L1873" s="1627" t="s">
        <v>2298</v>
      </c>
      <c r="M1873" s="1628">
        <v>1.4227E-2</v>
      </c>
      <c r="N1873" s="1629">
        <v>1.5909030615128705</v>
      </c>
      <c r="O1873" s="1629"/>
    </row>
    <row r="1874" spans="11:15">
      <c r="K1874" s="1626">
        <v>43931</v>
      </c>
      <c r="L1874" s="1627"/>
      <c r="M1874" s="1628">
        <v>0</v>
      </c>
      <c r="N1874" s="1629">
        <v>1.5909030615128705</v>
      </c>
      <c r="O1874" s="1629"/>
    </row>
    <row r="1875" spans="11:15">
      <c r="K1875" s="1626">
        <v>43932</v>
      </c>
      <c r="L1875" s="1627"/>
      <c r="M1875" s="1628">
        <v>0</v>
      </c>
      <c r="N1875" s="1629">
        <v>1.5909030615128705</v>
      </c>
      <c r="O1875" s="1629"/>
    </row>
    <row r="1876" spans="11:15">
      <c r="K1876" s="1626">
        <v>43933</v>
      </c>
      <c r="L1876" s="1627"/>
      <c r="M1876" s="1628">
        <v>0</v>
      </c>
      <c r="N1876" s="1629">
        <v>1.5909030615128705</v>
      </c>
      <c r="O1876" s="1629"/>
    </row>
    <row r="1877" spans="11:15">
      <c r="K1877" s="1626">
        <v>43934</v>
      </c>
      <c r="L1877" s="1627" t="s">
        <v>2298</v>
      </c>
      <c r="M1877" s="1628">
        <v>1.4227E-2</v>
      </c>
      <c r="N1877" s="1629">
        <v>1.5911293992914319</v>
      </c>
      <c r="O1877" s="1629"/>
    </row>
    <row r="1878" spans="11:15">
      <c r="K1878" s="1626">
        <v>43935</v>
      </c>
      <c r="L1878" s="1627" t="s">
        <v>2298</v>
      </c>
      <c r="M1878" s="1628">
        <v>1.4227E-2</v>
      </c>
      <c r="N1878" s="1629">
        <v>1.5913557692710691</v>
      </c>
      <c r="O1878" s="1629"/>
    </row>
    <row r="1879" spans="11:15">
      <c r="K1879" s="1626">
        <v>43936</v>
      </c>
      <c r="L1879" s="1627" t="s">
        <v>2298</v>
      </c>
      <c r="M1879" s="1628">
        <v>1.4227E-2</v>
      </c>
      <c r="N1879" s="1629">
        <v>1.5915821714563634</v>
      </c>
      <c r="O1879" s="1629"/>
    </row>
    <row r="1880" spans="11:15">
      <c r="K1880" s="1626">
        <v>43937</v>
      </c>
      <c r="L1880" s="1627" t="s">
        <v>2298</v>
      </c>
      <c r="M1880" s="1628">
        <v>1.4227E-2</v>
      </c>
      <c r="N1880" s="1629">
        <v>1.5918086058518965</v>
      </c>
      <c r="O1880" s="1629"/>
    </row>
    <row r="1881" spans="11:15">
      <c r="K1881" s="1626">
        <v>43938</v>
      </c>
      <c r="L1881" s="1627" t="s">
        <v>2298</v>
      </c>
      <c r="M1881" s="1628">
        <v>1.4227E-2</v>
      </c>
      <c r="N1881" s="1629">
        <v>1.5920350724622512</v>
      </c>
      <c r="O1881" s="1629"/>
    </row>
    <row r="1882" spans="11:15">
      <c r="K1882" s="1626">
        <v>43939</v>
      </c>
      <c r="L1882" s="1627"/>
      <c r="M1882" s="1628">
        <v>0</v>
      </c>
      <c r="N1882" s="1629">
        <v>1.5920350724622512</v>
      </c>
      <c r="O1882" s="1629"/>
    </row>
    <row r="1883" spans="11:15">
      <c r="K1883" s="1626">
        <v>43940</v>
      </c>
      <c r="L1883" s="1627"/>
      <c r="M1883" s="1628">
        <v>0</v>
      </c>
      <c r="N1883" s="1629">
        <v>1.5920350724622512</v>
      </c>
      <c r="O1883" s="1629"/>
    </row>
    <row r="1884" spans="11:15">
      <c r="K1884" s="1626">
        <v>43941</v>
      </c>
      <c r="L1884" s="1627" t="s">
        <v>2298</v>
      </c>
      <c r="M1884" s="1628">
        <v>1.4227E-2</v>
      </c>
      <c r="N1884" s="1629">
        <v>1.5922615712920103</v>
      </c>
      <c r="O1884" s="1629"/>
    </row>
    <row r="1885" spans="11:15">
      <c r="K1885" s="1626">
        <v>43942</v>
      </c>
      <c r="L1885" s="1627"/>
      <c r="M1885" s="1628">
        <v>0</v>
      </c>
      <c r="N1885" s="1629">
        <v>1.5922615712920103</v>
      </c>
      <c r="O1885" s="1629"/>
    </row>
    <row r="1886" spans="11:15">
      <c r="K1886" s="1626">
        <v>43943</v>
      </c>
      <c r="L1886" s="1627" t="s">
        <v>2298</v>
      </c>
      <c r="M1886" s="1628">
        <v>1.4227E-2</v>
      </c>
      <c r="N1886" s="1629">
        <v>1.592488102345758</v>
      </c>
      <c r="O1886" s="1629"/>
    </row>
    <row r="1887" spans="11:15">
      <c r="K1887" s="1626">
        <v>43944</v>
      </c>
      <c r="L1887" s="1627" t="s">
        <v>2298</v>
      </c>
      <c r="M1887" s="1628">
        <v>1.4227E-2</v>
      </c>
      <c r="N1887" s="1629">
        <v>1.5927146656280786</v>
      </c>
      <c r="O1887" s="1629"/>
    </row>
    <row r="1888" spans="11:15">
      <c r="K1888" s="1626">
        <v>43945</v>
      </c>
      <c r="L1888" s="1627" t="s">
        <v>2298</v>
      </c>
      <c r="M1888" s="1628">
        <v>1.4227E-2</v>
      </c>
      <c r="N1888" s="1629">
        <v>1.5929412611435576</v>
      </c>
      <c r="O1888" s="1629"/>
    </row>
    <row r="1889" spans="11:15">
      <c r="K1889" s="1626">
        <v>43946</v>
      </c>
      <c r="L1889" s="1627"/>
      <c r="M1889" s="1628">
        <v>0</v>
      </c>
      <c r="N1889" s="1629">
        <v>1.5929412611435576</v>
      </c>
      <c r="O1889" s="1629"/>
    </row>
    <row r="1890" spans="11:15">
      <c r="K1890" s="1626">
        <v>43947</v>
      </c>
      <c r="L1890" s="1627"/>
      <c r="M1890" s="1628">
        <v>0</v>
      </c>
      <c r="N1890" s="1629">
        <v>1.5929412611435576</v>
      </c>
      <c r="O1890" s="1629"/>
    </row>
    <row r="1891" spans="11:15">
      <c r="K1891" s="1626">
        <v>43948</v>
      </c>
      <c r="L1891" s="1627" t="s">
        <v>2298</v>
      </c>
      <c r="M1891" s="1628">
        <v>1.4227E-2</v>
      </c>
      <c r="N1891" s="1629">
        <v>1.5931678888967804</v>
      </c>
      <c r="O1891" s="1629"/>
    </row>
    <row r="1892" spans="11:15">
      <c r="K1892" s="1626">
        <v>43949</v>
      </c>
      <c r="L1892" s="1627" t="s">
        <v>2298</v>
      </c>
      <c r="M1892" s="1628">
        <v>1.4227E-2</v>
      </c>
      <c r="N1892" s="1629">
        <v>1.5933945488923338</v>
      </c>
      <c r="O1892" s="1629"/>
    </row>
    <row r="1893" spans="11:15">
      <c r="K1893" s="1626">
        <v>43950</v>
      </c>
      <c r="L1893" s="1627" t="s">
        <v>2298</v>
      </c>
      <c r="M1893" s="1628">
        <v>1.4227E-2</v>
      </c>
      <c r="N1893" s="1629">
        <v>1.5936212411348047</v>
      </c>
      <c r="O1893" s="1629"/>
    </row>
    <row r="1894" spans="11:15">
      <c r="K1894" s="1626">
        <v>43951</v>
      </c>
      <c r="L1894" s="1627" t="s">
        <v>2298</v>
      </c>
      <c r="M1894" s="1628">
        <v>1.4227E-2</v>
      </c>
      <c r="N1894" s="1629">
        <v>1.5938479656287809</v>
      </c>
      <c r="O1894" s="1629"/>
    </row>
    <row r="1895" spans="11:15">
      <c r="K1895" s="1626">
        <v>43952</v>
      </c>
      <c r="L1895" s="1627"/>
      <c r="M1895" s="1628">
        <v>0</v>
      </c>
      <c r="N1895" s="1629">
        <v>1.5938479656287809</v>
      </c>
      <c r="O1895" s="1629"/>
    </row>
    <row r="1896" spans="11:15">
      <c r="K1896" s="1626">
        <v>43953</v>
      </c>
      <c r="L1896" s="1627"/>
      <c r="M1896" s="1628">
        <v>0</v>
      </c>
      <c r="N1896" s="1629">
        <v>1.5938479656287809</v>
      </c>
      <c r="O1896" s="1629"/>
    </row>
    <row r="1897" spans="11:15">
      <c r="K1897" s="1626">
        <v>43954</v>
      </c>
      <c r="L1897" s="1627"/>
      <c r="M1897" s="1628">
        <v>0</v>
      </c>
      <c r="N1897" s="1629">
        <v>1.5938479656287809</v>
      </c>
      <c r="O1897" s="1629"/>
    </row>
    <row r="1898" spans="11:15">
      <c r="K1898" s="1626">
        <v>43955</v>
      </c>
      <c r="L1898" s="1627" t="s">
        <v>2298</v>
      </c>
      <c r="M1898" s="1628">
        <v>1.4227E-2</v>
      </c>
      <c r="N1898" s="1629">
        <v>1.594074722378851</v>
      </c>
      <c r="O1898" s="1629"/>
    </row>
    <row r="1899" spans="11:15">
      <c r="K1899" s="1626">
        <v>43956</v>
      </c>
      <c r="L1899" s="1627" t="s">
        <v>2298</v>
      </c>
      <c r="M1899" s="1628">
        <v>1.4227E-2</v>
      </c>
      <c r="N1899" s="1629">
        <v>1.5943015113896037</v>
      </c>
      <c r="O1899" s="1629"/>
    </row>
    <row r="1900" spans="11:15">
      <c r="K1900" s="1626">
        <v>43957</v>
      </c>
      <c r="L1900" s="1627" t="s">
        <v>2298</v>
      </c>
      <c r="M1900" s="1628">
        <v>1.4227E-2</v>
      </c>
      <c r="N1900" s="1629">
        <v>1.5945283326656292</v>
      </c>
      <c r="O1900" s="1629"/>
    </row>
    <row r="1901" spans="11:15">
      <c r="K1901" s="1626">
        <v>43958</v>
      </c>
      <c r="L1901" s="1627" t="s">
        <v>2298</v>
      </c>
      <c r="M1901" s="1628">
        <v>1.1344999999999999E-2</v>
      </c>
      <c r="N1901" s="1629">
        <v>1.59470923190497</v>
      </c>
      <c r="O1901" s="1629"/>
    </row>
    <row r="1902" spans="11:15">
      <c r="K1902" s="1626">
        <v>43959</v>
      </c>
      <c r="L1902" s="1627" t="s">
        <v>2298</v>
      </c>
      <c r="M1902" s="1628">
        <v>1.1344999999999999E-2</v>
      </c>
      <c r="N1902" s="1629">
        <v>1.5948901516673295</v>
      </c>
      <c r="O1902" s="1629"/>
    </row>
    <row r="1903" spans="11:15">
      <c r="K1903" s="1626">
        <v>43960</v>
      </c>
      <c r="L1903" s="1627"/>
      <c r="M1903" s="1628">
        <v>0</v>
      </c>
      <c r="N1903" s="1629">
        <v>1.5948901516673295</v>
      </c>
      <c r="O1903" s="1629"/>
    </row>
    <row r="1904" spans="11:15">
      <c r="K1904" s="1626">
        <v>43961</v>
      </c>
      <c r="L1904" s="1627"/>
      <c r="M1904" s="1628">
        <v>0</v>
      </c>
      <c r="N1904" s="1629">
        <v>1.5948901516673295</v>
      </c>
      <c r="O1904" s="1629"/>
    </row>
    <row r="1905" spans="11:15">
      <c r="K1905" s="1626">
        <v>43962</v>
      </c>
      <c r="L1905" s="1627" t="s">
        <v>2298</v>
      </c>
      <c r="M1905" s="1628">
        <v>1.1344999999999999E-2</v>
      </c>
      <c r="N1905" s="1629">
        <v>1.5950710919550362</v>
      </c>
      <c r="O1905" s="1629"/>
    </row>
    <row r="1906" spans="11:15">
      <c r="K1906" s="1626">
        <v>43963</v>
      </c>
      <c r="L1906" s="1627" t="s">
        <v>2298</v>
      </c>
      <c r="M1906" s="1628">
        <v>1.1344999999999999E-2</v>
      </c>
      <c r="N1906" s="1629">
        <v>1.5952520527704184</v>
      </c>
      <c r="O1906" s="1629"/>
    </row>
    <row r="1907" spans="11:15">
      <c r="K1907" s="1626">
        <v>43964</v>
      </c>
      <c r="L1907" s="1627" t="s">
        <v>2298</v>
      </c>
      <c r="M1907" s="1628">
        <v>1.1344999999999999E-2</v>
      </c>
      <c r="N1907" s="1629">
        <v>1.5954330341158052</v>
      </c>
      <c r="O1907" s="1629"/>
    </row>
    <row r="1908" spans="11:15">
      <c r="K1908" s="1626">
        <v>43965</v>
      </c>
      <c r="L1908" s="1627" t="s">
        <v>2298</v>
      </c>
      <c r="M1908" s="1628">
        <v>1.1344999999999999E-2</v>
      </c>
      <c r="N1908" s="1629">
        <v>1.5956140359935256</v>
      </c>
      <c r="O1908" s="1629"/>
    </row>
    <row r="1909" spans="11:15">
      <c r="K1909" s="1626">
        <v>43966</v>
      </c>
      <c r="L1909" s="1627" t="s">
        <v>2298</v>
      </c>
      <c r="M1909" s="1628">
        <v>1.1344999999999999E-2</v>
      </c>
      <c r="N1909" s="1629">
        <v>1.5957950584059091</v>
      </c>
      <c r="O1909" s="1629"/>
    </row>
    <row r="1910" spans="11:15">
      <c r="K1910" s="1626">
        <v>43967</v>
      </c>
      <c r="L1910" s="1627"/>
      <c r="M1910" s="1628">
        <v>0</v>
      </c>
      <c r="N1910" s="1629">
        <v>1.5957950584059091</v>
      </c>
      <c r="O1910" s="1629"/>
    </row>
    <row r="1911" spans="11:15">
      <c r="K1911" s="1626">
        <v>43968</v>
      </c>
      <c r="L1911" s="1627"/>
      <c r="M1911" s="1628">
        <v>0</v>
      </c>
      <c r="N1911" s="1629">
        <v>1.5957950584059091</v>
      </c>
      <c r="O1911" s="1629"/>
    </row>
    <row r="1912" spans="11:15">
      <c r="K1912" s="1626">
        <v>43969</v>
      </c>
      <c r="L1912" s="1627" t="s">
        <v>2298</v>
      </c>
      <c r="M1912" s="1628">
        <v>1.1344999999999999E-2</v>
      </c>
      <c r="N1912" s="1629">
        <v>1.5959761013552851</v>
      </c>
      <c r="O1912" s="1629"/>
    </row>
    <row r="1913" spans="11:15">
      <c r="K1913" s="1626">
        <v>43970</v>
      </c>
      <c r="L1913" s="1627" t="s">
        <v>2298</v>
      </c>
      <c r="M1913" s="1628">
        <v>1.1344999999999999E-2</v>
      </c>
      <c r="N1913" s="1629">
        <v>1.5961571648439838</v>
      </c>
      <c r="O1913" s="1629"/>
    </row>
    <row r="1914" spans="11:15">
      <c r="K1914" s="1626">
        <v>43971</v>
      </c>
      <c r="L1914" s="1627" t="s">
        <v>2298</v>
      </c>
      <c r="M1914" s="1628">
        <v>1.1344999999999999E-2</v>
      </c>
      <c r="N1914" s="1629">
        <v>1.5963382488743354</v>
      </c>
      <c r="O1914" s="1629"/>
    </row>
    <row r="1915" spans="11:15">
      <c r="K1915" s="1626">
        <v>43972</v>
      </c>
      <c r="L1915" s="1627" t="s">
        <v>2298</v>
      </c>
      <c r="M1915" s="1628">
        <v>1.1344999999999999E-2</v>
      </c>
      <c r="N1915" s="1629">
        <v>1.5965193534486701</v>
      </c>
      <c r="O1915" s="1629"/>
    </row>
    <row r="1916" spans="11:15">
      <c r="K1916" s="1626">
        <v>43973</v>
      </c>
      <c r="L1916" s="1627" t="s">
        <v>2298</v>
      </c>
      <c r="M1916" s="1628">
        <v>1.1344999999999999E-2</v>
      </c>
      <c r="N1916" s="1629">
        <v>1.5967004785693188</v>
      </c>
      <c r="O1916" s="1629"/>
    </row>
    <row r="1917" spans="11:15">
      <c r="K1917" s="1626">
        <v>43974</v>
      </c>
      <c r="L1917" s="1627"/>
      <c r="M1917" s="1628">
        <v>0</v>
      </c>
      <c r="N1917" s="1629">
        <v>1.5967004785693188</v>
      </c>
      <c r="O1917" s="1629"/>
    </row>
    <row r="1918" spans="11:15">
      <c r="K1918" s="1626">
        <v>43975</v>
      </c>
      <c r="L1918" s="1627"/>
      <c r="M1918" s="1628">
        <v>0</v>
      </c>
      <c r="N1918" s="1629">
        <v>1.5967004785693188</v>
      </c>
      <c r="O1918" s="1629"/>
    </row>
    <row r="1919" spans="11:15">
      <c r="K1919" s="1626">
        <v>43976</v>
      </c>
      <c r="L1919" s="1627" t="s">
        <v>2298</v>
      </c>
      <c r="M1919" s="1628">
        <v>1.1344999999999999E-2</v>
      </c>
      <c r="N1919" s="1629">
        <v>1.5968816242386126</v>
      </c>
      <c r="O1919" s="1629"/>
    </row>
    <row r="1920" spans="11:15">
      <c r="K1920" s="1626">
        <v>43977</v>
      </c>
      <c r="L1920" s="1627" t="s">
        <v>2298</v>
      </c>
      <c r="M1920" s="1628">
        <v>1.1344999999999999E-2</v>
      </c>
      <c r="N1920" s="1629">
        <v>1.5970627904588823</v>
      </c>
      <c r="O1920" s="1629"/>
    </row>
    <row r="1921" spans="11:15">
      <c r="K1921" s="1626">
        <v>43978</v>
      </c>
      <c r="L1921" s="1627" t="s">
        <v>2298</v>
      </c>
      <c r="M1921" s="1628">
        <v>1.1344999999999999E-2</v>
      </c>
      <c r="N1921" s="1629">
        <v>1.5972439772324598</v>
      </c>
      <c r="O1921" s="1629"/>
    </row>
    <row r="1922" spans="11:15">
      <c r="K1922" s="1626">
        <v>43979</v>
      </c>
      <c r="L1922" s="1627" t="s">
        <v>2298</v>
      </c>
      <c r="M1922" s="1628">
        <v>1.1344999999999999E-2</v>
      </c>
      <c r="N1922" s="1629">
        <v>1.5974251845616767</v>
      </c>
      <c r="O1922" s="1629"/>
    </row>
    <row r="1923" spans="11:15">
      <c r="K1923" s="1626">
        <v>43980</v>
      </c>
      <c r="L1923" s="1627" t="s">
        <v>2298</v>
      </c>
      <c r="M1923" s="1628">
        <v>1.1344999999999999E-2</v>
      </c>
      <c r="N1923" s="1629">
        <v>1.5976064124488651</v>
      </c>
      <c r="O1923" s="1629"/>
    </row>
    <row r="1924" spans="11:15">
      <c r="K1924" s="1626">
        <v>43981</v>
      </c>
      <c r="L1924" s="1627"/>
      <c r="M1924" s="1628">
        <v>0</v>
      </c>
      <c r="N1924" s="1629">
        <v>1.5976064124488651</v>
      </c>
      <c r="O1924" s="1629"/>
    </row>
    <row r="1925" spans="11:15">
      <c r="K1925" s="1626">
        <v>43982</v>
      </c>
      <c r="L1925" s="1627"/>
      <c r="M1925" s="1628">
        <v>0</v>
      </c>
      <c r="N1925" s="1629">
        <v>1.5976064124488651</v>
      </c>
      <c r="O1925" s="1629"/>
    </row>
    <row r="1926" spans="11:15">
      <c r="K1926" s="1626">
        <v>43983</v>
      </c>
      <c r="L1926" s="1627" t="s">
        <v>2298</v>
      </c>
      <c r="M1926" s="1628">
        <v>1.1344999999999999E-2</v>
      </c>
      <c r="N1926" s="1629">
        <v>1.5977876608963575</v>
      </c>
      <c r="O1926" s="1629"/>
    </row>
    <row r="1927" spans="11:15">
      <c r="K1927" s="1626">
        <v>43984</v>
      </c>
      <c r="L1927" s="1627" t="s">
        <v>2298</v>
      </c>
      <c r="M1927" s="1628">
        <v>1.1344999999999999E-2</v>
      </c>
      <c r="N1927" s="1629">
        <v>1.5979689299064861</v>
      </c>
      <c r="O1927" s="1629"/>
    </row>
    <row r="1928" spans="11:15">
      <c r="K1928" s="1626">
        <v>43985</v>
      </c>
      <c r="L1928" s="1627" t="s">
        <v>2298</v>
      </c>
      <c r="M1928" s="1628">
        <v>1.1344999999999999E-2</v>
      </c>
      <c r="N1928" s="1629">
        <v>1.598150219481584</v>
      </c>
      <c r="O1928" s="1629"/>
    </row>
    <row r="1929" spans="11:15">
      <c r="K1929" s="1626">
        <v>43986</v>
      </c>
      <c r="L1929" s="1627" t="s">
        <v>2298</v>
      </c>
      <c r="M1929" s="1628">
        <v>1.1344999999999999E-2</v>
      </c>
      <c r="N1929" s="1629">
        <v>1.5983315296239842</v>
      </c>
      <c r="O1929" s="1629"/>
    </row>
    <row r="1930" spans="11:15">
      <c r="K1930" s="1626">
        <v>43987</v>
      </c>
      <c r="L1930" s="1627" t="s">
        <v>2298</v>
      </c>
      <c r="M1930" s="1628">
        <v>1.1344999999999999E-2</v>
      </c>
      <c r="N1930" s="1629">
        <v>1.5985128603360199</v>
      </c>
      <c r="O1930" s="1629"/>
    </row>
    <row r="1931" spans="11:15">
      <c r="K1931" s="1626">
        <v>43988</v>
      </c>
      <c r="L1931" s="1627"/>
      <c r="M1931" s="1628">
        <v>0</v>
      </c>
      <c r="N1931" s="1629">
        <v>1.5985128603360199</v>
      </c>
      <c r="O1931" s="1629"/>
    </row>
    <row r="1932" spans="11:15">
      <c r="K1932" s="1626">
        <v>43989</v>
      </c>
      <c r="L1932" s="1627"/>
      <c r="M1932" s="1628">
        <v>0</v>
      </c>
      <c r="N1932" s="1629">
        <v>1.5985128603360199</v>
      </c>
      <c r="O1932" s="1629"/>
    </row>
    <row r="1933" spans="11:15">
      <c r="K1933" s="1626">
        <v>43990</v>
      </c>
      <c r="L1933" s="1627" t="s">
        <v>2298</v>
      </c>
      <c r="M1933" s="1628">
        <v>1.1344999999999999E-2</v>
      </c>
      <c r="N1933" s="1629">
        <v>1.5986942116200249</v>
      </c>
      <c r="O1933" s="1629"/>
    </row>
    <row r="1934" spans="11:15">
      <c r="K1934" s="1626">
        <v>43991</v>
      </c>
      <c r="L1934" s="1627" t="s">
        <v>2298</v>
      </c>
      <c r="M1934" s="1628">
        <v>1.1344999999999999E-2</v>
      </c>
      <c r="N1934" s="1629">
        <v>1.598875583478333</v>
      </c>
      <c r="O1934" s="1629"/>
    </row>
    <row r="1935" spans="11:15">
      <c r="K1935" s="1626">
        <v>43992</v>
      </c>
      <c r="L1935" s="1627" t="s">
        <v>2298</v>
      </c>
      <c r="M1935" s="1628">
        <v>1.1344999999999999E-2</v>
      </c>
      <c r="N1935" s="1629">
        <v>1.5990569759132787</v>
      </c>
      <c r="O1935" s="1629"/>
    </row>
    <row r="1936" spans="11:15">
      <c r="K1936" s="1626">
        <v>43993</v>
      </c>
      <c r="L1936" s="1627"/>
      <c r="M1936" s="1628">
        <v>0</v>
      </c>
      <c r="N1936" s="1629">
        <v>1.5990569759132787</v>
      </c>
      <c r="O1936" s="1629"/>
    </row>
    <row r="1937" spans="11:15">
      <c r="K1937" s="1626">
        <v>43994</v>
      </c>
      <c r="L1937" s="1627" t="s">
        <v>2298</v>
      </c>
      <c r="M1937" s="1628">
        <v>1.1344999999999999E-2</v>
      </c>
      <c r="N1937" s="1629">
        <v>1.5992383889271959</v>
      </c>
      <c r="O1937" s="1629"/>
    </row>
    <row r="1938" spans="11:15">
      <c r="K1938" s="1626">
        <v>43995</v>
      </c>
      <c r="L1938" s="1627"/>
      <c r="M1938" s="1628">
        <v>0</v>
      </c>
      <c r="N1938" s="1629">
        <v>1.5992383889271959</v>
      </c>
      <c r="O1938" s="1629"/>
    </row>
    <row r="1939" spans="11:15">
      <c r="K1939" s="1626">
        <v>43996</v>
      </c>
      <c r="L1939" s="1627"/>
      <c r="M1939" s="1628">
        <v>0</v>
      </c>
      <c r="N1939" s="1629">
        <v>1.5992383889271959</v>
      </c>
      <c r="O1939" s="1629"/>
    </row>
    <row r="1940" spans="11:15">
      <c r="K1940" s="1626">
        <v>43997</v>
      </c>
      <c r="L1940" s="1627" t="s">
        <v>2298</v>
      </c>
      <c r="M1940" s="1628">
        <v>1.1344999999999999E-2</v>
      </c>
      <c r="N1940" s="1629">
        <v>1.5994198225224197</v>
      </c>
      <c r="O1940" s="1629"/>
    </row>
    <row r="1941" spans="11:15">
      <c r="K1941" s="1626">
        <v>43998</v>
      </c>
      <c r="L1941" s="1627" t="s">
        <v>2298</v>
      </c>
      <c r="M1941" s="1628">
        <v>1.1344999999999999E-2</v>
      </c>
      <c r="N1941" s="1629">
        <v>1.5996012767012848</v>
      </c>
      <c r="O1941" s="1629"/>
    </row>
    <row r="1942" spans="11:15">
      <c r="K1942" s="1626">
        <v>43999</v>
      </c>
      <c r="L1942" s="1627" t="s">
        <v>2298</v>
      </c>
      <c r="M1942" s="1628">
        <v>1.1344999999999999E-2</v>
      </c>
      <c r="N1942" s="1629">
        <v>1.5997827514661265</v>
      </c>
      <c r="O1942" s="1629"/>
    </row>
    <row r="1943" spans="11:15">
      <c r="K1943" s="1626">
        <v>44000</v>
      </c>
      <c r="L1943" s="1627" t="s">
        <v>2298</v>
      </c>
      <c r="M1943" s="1628">
        <v>8.4419999999999999E-3</v>
      </c>
      <c r="N1943" s="1629">
        <v>1.5999178051260055</v>
      </c>
      <c r="O1943" s="1629"/>
    </row>
    <row r="1944" spans="11:15">
      <c r="K1944" s="1626">
        <v>44001</v>
      </c>
      <c r="L1944" s="1627" t="s">
        <v>2298</v>
      </c>
      <c r="M1944" s="1628">
        <v>8.4419999999999999E-3</v>
      </c>
      <c r="N1944" s="1629">
        <v>1.6000528701871144</v>
      </c>
      <c r="O1944" s="1629"/>
    </row>
    <row r="1945" spans="11:15">
      <c r="K1945" s="1626">
        <v>44002</v>
      </c>
      <c r="L1945" s="1627"/>
      <c r="M1945" s="1628">
        <v>0</v>
      </c>
      <c r="N1945" s="1629">
        <v>1.6000528701871144</v>
      </c>
      <c r="O1945" s="1629"/>
    </row>
    <row r="1946" spans="11:15">
      <c r="K1946" s="1626">
        <v>44003</v>
      </c>
      <c r="L1946" s="1627"/>
      <c r="M1946" s="1628">
        <v>0</v>
      </c>
      <c r="N1946" s="1629">
        <v>1.6000528701871144</v>
      </c>
      <c r="O1946" s="1629"/>
    </row>
    <row r="1947" spans="11:15">
      <c r="K1947" s="1626">
        <v>44004</v>
      </c>
      <c r="L1947" s="1627" t="s">
        <v>2298</v>
      </c>
      <c r="M1947" s="1628">
        <v>8.4419999999999999E-3</v>
      </c>
      <c r="N1947" s="1629">
        <v>1.6001879466504156</v>
      </c>
      <c r="O1947" s="1629"/>
    </row>
    <row r="1948" spans="11:15">
      <c r="K1948" s="1626">
        <v>44005</v>
      </c>
      <c r="L1948" s="1627" t="s">
        <v>2298</v>
      </c>
      <c r="M1948" s="1628">
        <v>8.4419999999999999E-3</v>
      </c>
      <c r="N1948" s="1629">
        <v>1.600323034516872</v>
      </c>
      <c r="O1948" s="1629"/>
    </row>
    <row r="1949" spans="11:15">
      <c r="K1949" s="1626">
        <v>44006</v>
      </c>
      <c r="L1949" s="1627" t="s">
        <v>2298</v>
      </c>
      <c r="M1949" s="1628">
        <v>8.4419999999999999E-3</v>
      </c>
      <c r="N1949" s="1629">
        <v>1.6004581337874459</v>
      </c>
      <c r="O1949" s="1629"/>
    </row>
    <row r="1950" spans="11:15">
      <c r="K1950" s="1626">
        <v>44007</v>
      </c>
      <c r="L1950" s="1627" t="s">
        <v>2298</v>
      </c>
      <c r="M1950" s="1628">
        <v>8.4419999999999999E-3</v>
      </c>
      <c r="N1950" s="1629">
        <v>1.6005932444631004</v>
      </c>
      <c r="O1950" s="1629"/>
    </row>
    <row r="1951" spans="11:15">
      <c r="K1951" s="1626">
        <v>44008</v>
      </c>
      <c r="L1951" s="1627" t="s">
        <v>2298</v>
      </c>
      <c r="M1951" s="1628">
        <v>8.4419999999999999E-3</v>
      </c>
      <c r="N1951" s="1629">
        <v>1.600728366544798</v>
      </c>
      <c r="O1951" s="1629"/>
    </row>
    <row r="1952" spans="11:15">
      <c r="K1952" s="1626">
        <v>44009</v>
      </c>
      <c r="L1952" s="1627"/>
      <c r="M1952" s="1628">
        <v>0</v>
      </c>
      <c r="N1952" s="1629">
        <v>1.600728366544798</v>
      </c>
      <c r="O1952" s="1629"/>
    </row>
    <row r="1953" spans="11:15">
      <c r="K1953" s="1626">
        <v>44010</v>
      </c>
      <c r="L1953" s="1627"/>
      <c r="M1953" s="1628">
        <v>0</v>
      </c>
      <c r="N1953" s="1629">
        <v>1.600728366544798</v>
      </c>
      <c r="O1953" s="1629"/>
    </row>
    <row r="1954" spans="11:15">
      <c r="K1954" s="1626">
        <v>44011</v>
      </c>
      <c r="L1954" s="1627" t="s">
        <v>2298</v>
      </c>
      <c r="M1954" s="1628">
        <v>8.4419999999999999E-3</v>
      </c>
      <c r="N1954" s="1629">
        <v>1.6008635000335019</v>
      </c>
      <c r="O1954" s="1629"/>
    </row>
    <row r="1955" spans="11:15">
      <c r="K1955" s="1626">
        <v>44012</v>
      </c>
      <c r="L1955" s="1627" t="s">
        <v>2298</v>
      </c>
      <c r="M1955" s="1628">
        <v>8.4419999999999999E-3</v>
      </c>
      <c r="N1955" s="1629">
        <v>1.6009986449301747</v>
      </c>
      <c r="O1955" s="1629"/>
    </row>
    <row r="1956" spans="11:15">
      <c r="K1956" s="1626">
        <v>44013</v>
      </c>
      <c r="L1956" s="1627" t="s">
        <v>2298</v>
      </c>
      <c r="M1956" s="1628">
        <v>8.4419999999999999E-3</v>
      </c>
      <c r="N1956" s="1629">
        <v>1.6011338012357799</v>
      </c>
      <c r="O1956" s="1629"/>
    </row>
    <row r="1957" spans="11:15">
      <c r="K1957" s="1626">
        <v>44014</v>
      </c>
      <c r="L1957" s="1627" t="s">
        <v>2298</v>
      </c>
      <c r="M1957" s="1628">
        <v>8.4419999999999999E-3</v>
      </c>
      <c r="N1957" s="1629">
        <v>1.6012689689512802</v>
      </c>
      <c r="O1957" s="1629"/>
    </row>
    <row r="1958" spans="11:15">
      <c r="K1958" s="1626">
        <v>44015</v>
      </c>
      <c r="L1958" s="1627" t="s">
        <v>2298</v>
      </c>
      <c r="M1958" s="1628">
        <v>8.4419999999999999E-3</v>
      </c>
      <c r="N1958" s="1629">
        <v>1.6014041480776393</v>
      </c>
      <c r="O1958" s="1629"/>
    </row>
    <row r="1959" spans="11:15">
      <c r="K1959" s="1626">
        <v>44016</v>
      </c>
      <c r="L1959" s="1627"/>
      <c r="M1959" s="1628">
        <v>0</v>
      </c>
      <c r="N1959" s="1629">
        <v>1.6014041480776393</v>
      </c>
      <c r="O1959" s="1629"/>
    </row>
    <row r="1960" spans="11:15">
      <c r="K1960" s="1626">
        <v>44017</v>
      </c>
      <c r="L1960" s="1627"/>
      <c r="M1960" s="1628">
        <v>0</v>
      </c>
      <c r="N1960" s="1629">
        <v>1.6014041480776393</v>
      </c>
      <c r="O1960" s="1629"/>
    </row>
    <row r="1961" spans="11:15">
      <c r="K1961" s="1626">
        <v>44018</v>
      </c>
      <c r="L1961" s="1627" t="s">
        <v>2298</v>
      </c>
      <c r="M1961" s="1628">
        <v>8.4419999999999999E-3</v>
      </c>
      <c r="N1961" s="1629">
        <v>1.6015393386158201</v>
      </c>
      <c r="O1961" s="1629"/>
    </row>
    <row r="1962" spans="11:15">
      <c r="K1962" s="1626">
        <v>44019</v>
      </c>
      <c r="L1962" s="1627" t="s">
        <v>2298</v>
      </c>
      <c r="M1962" s="1628">
        <v>8.4419999999999999E-3</v>
      </c>
      <c r="N1962" s="1629">
        <v>1.6016745405667863</v>
      </c>
      <c r="O1962" s="1629"/>
    </row>
    <row r="1963" spans="11:15">
      <c r="K1963" s="1626">
        <v>44020</v>
      </c>
      <c r="L1963" s="1627" t="s">
        <v>2298</v>
      </c>
      <c r="M1963" s="1628">
        <v>8.4419999999999999E-3</v>
      </c>
      <c r="N1963" s="1629">
        <v>1.601809753931501</v>
      </c>
      <c r="O1963" s="1629"/>
    </row>
    <row r="1964" spans="11:15">
      <c r="K1964" s="1626">
        <v>44021</v>
      </c>
      <c r="L1964" s="1627" t="s">
        <v>2298</v>
      </c>
      <c r="M1964" s="1628">
        <v>8.4419999999999999E-3</v>
      </c>
      <c r="N1964" s="1629">
        <v>1.6019449787109281</v>
      </c>
      <c r="O1964" s="1629"/>
    </row>
    <row r="1965" spans="11:15">
      <c r="K1965" s="1626">
        <v>44022</v>
      </c>
      <c r="L1965" s="1627" t="s">
        <v>2298</v>
      </c>
      <c r="M1965" s="1628">
        <v>8.4419999999999999E-3</v>
      </c>
      <c r="N1965" s="1629">
        <v>1.6020802149060309</v>
      </c>
      <c r="O1965" s="1629"/>
    </row>
    <row r="1966" spans="11:15">
      <c r="K1966" s="1626">
        <v>44023</v>
      </c>
      <c r="L1966" s="1627"/>
      <c r="M1966" s="1628">
        <v>0</v>
      </c>
      <c r="N1966" s="1629">
        <v>1.6020802149060309</v>
      </c>
      <c r="O1966" s="1629"/>
    </row>
    <row r="1967" spans="11:15">
      <c r="K1967" s="1626">
        <v>44024</v>
      </c>
      <c r="L1967" s="1627"/>
      <c r="M1967" s="1628">
        <v>0</v>
      </c>
      <c r="N1967" s="1629">
        <v>1.6020802149060309</v>
      </c>
      <c r="O1967" s="1629"/>
    </row>
    <row r="1968" spans="11:15">
      <c r="K1968" s="1626">
        <v>44025</v>
      </c>
      <c r="L1968" s="1627" t="s">
        <v>2298</v>
      </c>
      <c r="M1968" s="1628">
        <v>8.4419999999999999E-3</v>
      </c>
      <c r="N1968" s="1629">
        <v>1.6022154625177734</v>
      </c>
      <c r="O1968" s="1629"/>
    </row>
    <row r="1969" spans="11:15">
      <c r="K1969" s="1626">
        <v>44026</v>
      </c>
      <c r="L1969" s="1627" t="s">
        <v>2298</v>
      </c>
      <c r="M1969" s="1628">
        <v>8.4419999999999999E-3</v>
      </c>
      <c r="N1969" s="1629">
        <v>1.6023507215471193</v>
      </c>
      <c r="O1969" s="1629"/>
    </row>
    <row r="1970" spans="11:15">
      <c r="K1970" s="1626">
        <v>44027</v>
      </c>
      <c r="L1970" s="1627" t="s">
        <v>2298</v>
      </c>
      <c r="M1970" s="1628">
        <v>8.4419999999999999E-3</v>
      </c>
      <c r="N1970" s="1629">
        <v>1.6024859919950325</v>
      </c>
      <c r="O1970" s="1629"/>
    </row>
    <row r="1971" spans="11:15">
      <c r="K1971" s="1626">
        <v>44028</v>
      </c>
      <c r="L1971" s="1627" t="s">
        <v>2298</v>
      </c>
      <c r="M1971" s="1628">
        <v>8.4419999999999999E-3</v>
      </c>
      <c r="N1971" s="1629">
        <v>1.6026212738624768</v>
      </c>
      <c r="O1971" s="1629"/>
    </row>
    <row r="1972" spans="11:15">
      <c r="K1972" s="1626">
        <v>44029</v>
      </c>
      <c r="L1972" s="1627" t="s">
        <v>2298</v>
      </c>
      <c r="M1972" s="1628">
        <v>8.4419999999999999E-3</v>
      </c>
      <c r="N1972" s="1629">
        <v>1.6027565671504165</v>
      </c>
      <c r="O1972" s="1629"/>
    </row>
    <row r="1973" spans="11:15">
      <c r="K1973" s="1626">
        <v>44030</v>
      </c>
      <c r="L1973" s="1627"/>
      <c r="M1973" s="1628">
        <v>0</v>
      </c>
      <c r="N1973" s="1629">
        <v>1.6027565671504165</v>
      </c>
      <c r="O1973" s="1629"/>
    </row>
    <row r="1974" spans="11:15">
      <c r="K1974" s="1626">
        <v>44031</v>
      </c>
      <c r="L1974" s="1627"/>
      <c r="M1974" s="1628">
        <v>0</v>
      </c>
      <c r="N1974" s="1629">
        <v>1.6027565671504165</v>
      </c>
      <c r="O1974" s="1629"/>
    </row>
    <row r="1975" spans="11:15">
      <c r="K1975" s="1626">
        <v>44032</v>
      </c>
      <c r="L1975" s="1627" t="s">
        <v>2298</v>
      </c>
      <c r="M1975" s="1628">
        <v>8.4419999999999999E-3</v>
      </c>
      <c r="N1975" s="1629">
        <v>1.6028918718598155</v>
      </c>
      <c r="O1975" s="1629"/>
    </row>
    <row r="1976" spans="11:15">
      <c r="K1976" s="1626">
        <v>44033</v>
      </c>
      <c r="L1976" s="1627" t="s">
        <v>2298</v>
      </c>
      <c r="M1976" s="1628">
        <v>8.4419999999999999E-3</v>
      </c>
      <c r="N1976" s="1629">
        <v>1.603027187991638</v>
      </c>
      <c r="O1976" s="1629"/>
    </row>
    <row r="1977" spans="11:15">
      <c r="K1977" s="1626">
        <v>44034</v>
      </c>
      <c r="L1977" s="1627" t="s">
        <v>2298</v>
      </c>
      <c r="M1977" s="1628">
        <v>8.4419999999999999E-3</v>
      </c>
      <c r="N1977" s="1629">
        <v>1.6031625155468483</v>
      </c>
      <c r="O1977" s="1629"/>
    </row>
    <row r="1978" spans="11:15">
      <c r="K1978" s="1626">
        <v>44035</v>
      </c>
      <c r="L1978" s="1627" t="s">
        <v>2298</v>
      </c>
      <c r="M1978" s="1628">
        <v>8.4419999999999999E-3</v>
      </c>
      <c r="N1978" s="1629">
        <v>1.6032978545264109</v>
      </c>
      <c r="O1978" s="1629"/>
    </row>
    <row r="1979" spans="11:15">
      <c r="K1979" s="1626">
        <v>44036</v>
      </c>
      <c r="L1979" s="1627" t="s">
        <v>2298</v>
      </c>
      <c r="M1979" s="1628">
        <v>8.4419999999999999E-3</v>
      </c>
      <c r="N1979" s="1629">
        <v>1.6034332049312903</v>
      </c>
      <c r="O1979" s="1629"/>
    </row>
    <row r="1980" spans="11:15">
      <c r="K1980" s="1626">
        <v>44037</v>
      </c>
      <c r="L1980" s="1627"/>
      <c r="M1980" s="1628">
        <v>0</v>
      </c>
      <c r="N1980" s="1629">
        <v>1.6034332049312903</v>
      </c>
      <c r="O1980" s="1629"/>
    </row>
    <row r="1981" spans="11:15">
      <c r="K1981" s="1626">
        <v>44038</v>
      </c>
      <c r="L1981" s="1627"/>
      <c r="M1981" s="1628">
        <v>0</v>
      </c>
      <c r="N1981" s="1629">
        <v>1.6034332049312903</v>
      </c>
      <c r="O1981" s="1629"/>
    </row>
    <row r="1982" spans="11:15">
      <c r="K1982" s="1626">
        <v>44039</v>
      </c>
      <c r="L1982" s="1627" t="s">
        <v>2298</v>
      </c>
      <c r="M1982" s="1628">
        <v>8.4419999999999999E-3</v>
      </c>
      <c r="N1982" s="1629">
        <v>1.6035685667624506</v>
      </c>
      <c r="O1982" s="1629"/>
    </row>
    <row r="1983" spans="11:15">
      <c r="K1983" s="1626">
        <v>44040</v>
      </c>
      <c r="L1983" s="1627" t="s">
        <v>2298</v>
      </c>
      <c r="M1983" s="1628">
        <v>8.4419999999999999E-3</v>
      </c>
      <c r="N1983" s="1629">
        <v>1.6037039400208568</v>
      </c>
      <c r="O1983" s="1629"/>
    </row>
    <row r="1984" spans="11:15">
      <c r="K1984" s="1626">
        <v>44041</v>
      </c>
      <c r="L1984" s="1627" t="s">
        <v>2298</v>
      </c>
      <c r="M1984" s="1628">
        <v>8.4419999999999999E-3</v>
      </c>
      <c r="N1984" s="1629">
        <v>1.6038393247074736</v>
      </c>
      <c r="O1984" s="1629"/>
    </row>
    <row r="1985" spans="11:15">
      <c r="K1985" s="1626">
        <v>44042</v>
      </c>
      <c r="L1985" s="1627" t="s">
        <v>2298</v>
      </c>
      <c r="M1985" s="1628">
        <v>8.4419999999999999E-3</v>
      </c>
      <c r="N1985" s="1629">
        <v>1.6039747208232655</v>
      </c>
      <c r="O1985" s="1629"/>
    </row>
    <row r="1986" spans="11:15">
      <c r="K1986" s="1626">
        <v>44043</v>
      </c>
      <c r="L1986" s="1627" t="s">
        <v>2298</v>
      </c>
      <c r="M1986" s="1628">
        <v>8.4419999999999999E-3</v>
      </c>
      <c r="N1986" s="1629">
        <v>1.6041101283691976</v>
      </c>
      <c r="O1986" s="1629"/>
    </row>
    <row r="1987" spans="11:15">
      <c r="K1987" s="1626">
        <v>44044</v>
      </c>
      <c r="L1987" s="1627"/>
      <c r="M1987" s="1628">
        <v>0</v>
      </c>
      <c r="N1987" s="1629">
        <v>1.6041101283691976</v>
      </c>
      <c r="O1987" s="1629"/>
    </row>
    <row r="1988" spans="11:15">
      <c r="K1988" s="1626">
        <v>44045</v>
      </c>
      <c r="L1988" s="1627"/>
      <c r="M1988" s="1628">
        <v>0</v>
      </c>
      <c r="N1988" s="1629">
        <v>1.6041101283691976</v>
      </c>
      <c r="O1988" s="1629"/>
    </row>
    <row r="1989" spans="11:15">
      <c r="K1989" s="1626">
        <v>44046</v>
      </c>
      <c r="L1989" s="1627" t="s">
        <v>2298</v>
      </c>
      <c r="M1989" s="1628">
        <v>8.4419999999999999E-3</v>
      </c>
      <c r="N1989" s="1629">
        <v>1.6042455473462347</v>
      </c>
      <c r="O1989" s="1629"/>
    </row>
    <row r="1990" spans="11:15">
      <c r="K1990" s="1626">
        <v>44047</v>
      </c>
      <c r="L1990" s="1627" t="s">
        <v>2298</v>
      </c>
      <c r="M1990" s="1628">
        <v>8.4419999999999999E-3</v>
      </c>
      <c r="N1990" s="1629">
        <v>1.6043809777553417</v>
      </c>
      <c r="O1990" s="1629"/>
    </row>
    <row r="1991" spans="11:15">
      <c r="K1991" s="1626">
        <v>44048</v>
      </c>
      <c r="L1991" s="1627" t="s">
        <v>2298</v>
      </c>
      <c r="M1991" s="1628">
        <v>8.4419999999999999E-3</v>
      </c>
      <c r="N1991" s="1629">
        <v>1.6045164195974839</v>
      </c>
      <c r="O1991" s="1629"/>
    </row>
    <row r="1992" spans="11:15">
      <c r="K1992" s="1626">
        <v>44049</v>
      </c>
      <c r="L1992" s="1627" t="s">
        <v>2298</v>
      </c>
      <c r="M1992" s="1628">
        <v>7.4689999999999999E-3</v>
      </c>
      <c r="N1992" s="1629">
        <v>1.6046362609288636</v>
      </c>
      <c r="O1992" s="1629"/>
    </row>
    <row r="1993" spans="11:15">
      <c r="K1993" s="1626">
        <v>44050</v>
      </c>
      <c r="L1993" s="1627" t="s">
        <v>2298</v>
      </c>
      <c r="M1993" s="1628">
        <v>7.4689999999999999E-3</v>
      </c>
      <c r="N1993" s="1629">
        <v>1.6047561112111923</v>
      </c>
      <c r="O1993" s="1629"/>
    </row>
    <row r="1994" spans="11:15">
      <c r="K1994" s="1626">
        <v>44051</v>
      </c>
      <c r="L1994" s="1627"/>
      <c r="M1994" s="1628">
        <v>0</v>
      </c>
      <c r="N1994" s="1629">
        <v>1.6047561112111923</v>
      </c>
      <c r="O1994" s="1629"/>
    </row>
    <row r="1995" spans="11:15">
      <c r="K1995" s="1626">
        <v>44052</v>
      </c>
      <c r="L1995" s="1627"/>
      <c r="M1995" s="1628">
        <v>0</v>
      </c>
      <c r="N1995" s="1629">
        <v>1.6047561112111923</v>
      </c>
      <c r="O1995" s="1629"/>
    </row>
    <row r="1996" spans="11:15">
      <c r="K1996" s="1626">
        <v>44053</v>
      </c>
      <c r="L1996" s="1627" t="s">
        <v>2298</v>
      </c>
      <c r="M1996" s="1628">
        <v>7.4689999999999999E-3</v>
      </c>
      <c r="N1996" s="1629">
        <v>1.6048759704451385</v>
      </c>
      <c r="O1996" s="1629"/>
    </row>
    <row r="1997" spans="11:15">
      <c r="K1997" s="1626">
        <v>44054</v>
      </c>
      <c r="L1997" s="1627" t="s">
        <v>2298</v>
      </c>
      <c r="M1997" s="1628">
        <v>7.4689999999999999E-3</v>
      </c>
      <c r="N1997" s="1629">
        <v>1.604995838631371</v>
      </c>
      <c r="O1997" s="1629"/>
    </row>
    <row r="1998" spans="11:15">
      <c r="K1998" s="1626">
        <v>44055</v>
      </c>
      <c r="L1998" s="1627" t="s">
        <v>2298</v>
      </c>
      <c r="M1998" s="1628">
        <v>7.4689999999999999E-3</v>
      </c>
      <c r="N1998" s="1629">
        <v>1.6051157157705582</v>
      </c>
      <c r="O1998" s="1629"/>
    </row>
    <row r="1999" spans="11:15">
      <c r="K1999" s="1626">
        <v>44056</v>
      </c>
      <c r="L1999" s="1627" t="s">
        <v>2298</v>
      </c>
      <c r="M1999" s="1628">
        <v>7.4689999999999999E-3</v>
      </c>
      <c r="N1999" s="1629">
        <v>1.6052356018633691</v>
      </c>
      <c r="O1999" s="1629"/>
    </row>
    <row r="2000" spans="11:15">
      <c r="K2000" s="1626">
        <v>44057</v>
      </c>
      <c r="L2000" s="1627" t="s">
        <v>2298</v>
      </c>
      <c r="M2000" s="1628">
        <v>7.4689999999999999E-3</v>
      </c>
      <c r="N2000" s="1629">
        <v>1.6053554969104722</v>
      </c>
      <c r="O2000" s="1629"/>
    </row>
    <row r="2001" spans="11:15">
      <c r="K2001" s="1626">
        <v>44058</v>
      </c>
      <c r="L2001" s="1627"/>
      <c r="M2001" s="1628">
        <v>0</v>
      </c>
      <c r="N2001" s="1629">
        <v>1.6053554969104722</v>
      </c>
      <c r="O2001" s="1629"/>
    </row>
    <row r="2002" spans="11:15">
      <c r="K2002" s="1626">
        <v>44059</v>
      </c>
      <c r="L2002" s="1627"/>
      <c r="M2002" s="1628">
        <v>0</v>
      </c>
      <c r="N2002" s="1629">
        <v>1.6053554969104722</v>
      </c>
      <c r="O2002" s="1629"/>
    </row>
    <row r="2003" spans="11:15">
      <c r="K2003" s="1626">
        <v>44060</v>
      </c>
      <c r="L2003" s="1627" t="s">
        <v>2298</v>
      </c>
      <c r="M2003" s="1628">
        <v>7.4689999999999999E-3</v>
      </c>
      <c r="N2003" s="1629">
        <v>1.6054754009125363</v>
      </c>
      <c r="O2003" s="1629"/>
    </row>
    <row r="2004" spans="11:15">
      <c r="K2004" s="1626">
        <v>44061</v>
      </c>
      <c r="L2004" s="1627" t="s">
        <v>2298</v>
      </c>
      <c r="M2004" s="1628">
        <v>7.4689999999999999E-3</v>
      </c>
      <c r="N2004" s="1629">
        <v>1.6055953138702304</v>
      </c>
      <c r="O2004" s="1629"/>
    </row>
    <row r="2005" spans="11:15">
      <c r="K2005" s="1626">
        <v>44062</v>
      </c>
      <c r="L2005" s="1627" t="s">
        <v>2298</v>
      </c>
      <c r="M2005" s="1628">
        <v>7.4689999999999999E-3</v>
      </c>
      <c r="N2005" s="1629">
        <v>1.6057152357842233</v>
      </c>
      <c r="O2005" s="1629"/>
    </row>
    <row r="2006" spans="11:15">
      <c r="K2006" s="1626">
        <v>44063</v>
      </c>
      <c r="L2006" s="1627" t="s">
        <v>2298</v>
      </c>
      <c r="M2006" s="1628">
        <v>7.4689999999999999E-3</v>
      </c>
      <c r="N2006" s="1629">
        <v>1.6058351666551838</v>
      </c>
      <c r="O2006" s="1629"/>
    </row>
    <row r="2007" spans="11:15">
      <c r="K2007" s="1626">
        <v>44064</v>
      </c>
      <c r="L2007" s="1627" t="s">
        <v>2298</v>
      </c>
      <c r="M2007" s="1628">
        <v>7.4689999999999999E-3</v>
      </c>
      <c r="N2007" s="1629">
        <v>1.6059551064837811</v>
      </c>
      <c r="O2007" s="1629"/>
    </row>
    <row r="2008" spans="11:15">
      <c r="K2008" s="1626">
        <v>44065</v>
      </c>
      <c r="L2008" s="1627"/>
      <c r="M2008" s="1628">
        <v>0</v>
      </c>
      <c r="N2008" s="1629">
        <v>1.6059551064837811</v>
      </c>
      <c r="O2008" s="1629"/>
    </row>
    <row r="2009" spans="11:15">
      <c r="K2009" s="1626">
        <v>44066</v>
      </c>
      <c r="L2009" s="1627"/>
      <c r="M2009" s="1628">
        <v>0</v>
      </c>
      <c r="N2009" s="1629">
        <v>1.6059551064837811</v>
      </c>
      <c r="O2009" s="1629"/>
    </row>
    <row r="2010" spans="11:15">
      <c r="K2010" s="1626">
        <v>44067</v>
      </c>
      <c r="L2010" s="1627" t="s">
        <v>2298</v>
      </c>
      <c r="M2010" s="1628">
        <v>7.4689999999999999E-3</v>
      </c>
      <c r="N2010" s="1629">
        <v>1.6060750552706844</v>
      </c>
      <c r="O2010" s="1629"/>
    </row>
    <row r="2011" spans="11:15">
      <c r="K2011" s="1626">
        <v>44068</v>
      </c>
      <c r="L2011" s="1627" t="s">
        <v>2298</v>
      </c>
      <c r="M2011" s="1628">
        <v>7.4689999999999999E-3</v>
      </c>
      <c r="N2011" s="1629">
        <v>1.6061950130165625</v>
      </c>
      <c r="O2011" s="1629"/>
    </row>
    <row r="2012" spans="11:15">
      <c r="K2012" s="1626">
        <v>44069</v>
      </c>
      <c r="L2012" s="1627" t="s">
        <v>2298</v>
      </c>
      <c r="M2012" s="1628">
        <v>7.4689999999999999E-3</v>
      </c>
      <c r="N2012" s="1629">
        <v>1.6063149797220846</v>
      </c>
      <c r="O2012" s="1629"/>
    </row>
    <row r="2013" spans="11:15">
      <c r="K2013" s="1626">
        <v>44070</v>
      </c>
      <c r="L2013" s="1627" t="s">
        <v>2298</v>
      </c>
      <c r="M2013" s="1628">
        <v>7.4689999999999999E-3</v>
      </c>
      <c r="N2013" s="1629">
        <v>1.60643495538792</v>
      </c>
      <c r="O2013" s="1629"/>
    </row>
    <row r="2014" spans="11:15">
      <c r="K2014" s="1626">
        <v>44071</v>
      </c>
      <c r="L2014" s="1627" t="s">
        <v>2298</v>
      </c>
      <c r="M2014" s="1628">
        <v>7.4689999999999999E-3</v>
      </c>
      <c r="N2014" s="1629">
        <v>1.6065549400147379</v>
      </c>
      <c r="O2014" s="1629"/>
    </row>
    <row r="2015" spans="11:15">
      <c r="K2015" s="1626">
        <v>44072</v>
      </c>
      <c r="L2015" s="1627"/>
      <c r="M2015" s="1628">
        <v>0</v>
      </c>
      <c r="N2015" s="1629">
        <v>1.6065549400147379</v>
      </c>
      <c r="O2015" s="1629"/>
    </row>
    <row r="2016" spans="11:15">
      <c r="K2016" s="1626">
        <v>44073</v>
      </c>
      <c r="L2016" s="1627"/>
      <c r="M2016" s="1628">
        <v>0</v>
      </c>
      <c r="N2016" s="1629">
        <v>1.6065549400147379</v>
      </c>
      <c r="O2016" s="1629"/>
    </row>
    <row r="2017" spans="11:15">
      <c r="K2017" s="1626">
        <v>44074</v>
      </c>
      <c r="L2017" s="1627" t="s">
        <v>2298</v>
      </c>
      <c r="M2017" s="1628">
        <v>7.4689999999999999E-3</v>
      </c>
      <c r="N2017" s="1629">
        <v>1.6066749336032076</v>
      </c>
      <c r="O2017" s="1629"/>
    </row>
    <row r="2018" spans="11:15">
      <c r="K2018" s="1626">
        <v>44075</v>
      </c>
      <c r="L2018" s="1627" t="s">
        <v>2298</v>
      </c>
      <c r="M2018" s="1628">
        <v>7.4689999999999999E-3</v>
      </c>
      <c r="N2018" s="1629">
        <v>1.6067949361539984</v>
      </c>
      <c r="O2018" s="1629"/>
    </row>
    <row r="2019" spans="11:15">
      <c r="K2019" s="1626">
        <v>44076</v>
      </c>
      <c r="L2019" s="1627" t="s">
        <v>2298</v>
      </c>
      <c r="M2019" s="1628">
        <v>7.4689999999999999E-3</v>
      </c>
      <c r="N2019" s="1629">
        <v>1.6069149476677795</v>
      </c>
      <c r="O2019" s="1629"/>
    </row>
    <row r="2020" spans="11:15">
      <c r="K2020" s="1626">
        <v>44077</v>
      </c>
      <c r="L2020" s="1627" t="s">
        <v>2298</v>
      </c>
      <c r="M2020" s="1628">
        <v>7.4689999999999999E-3</v>
      </c>
      <c r="N2020" s="1629">
        <v>1.6070349681452207</v>
      </c>
      <c r="O2020" s="1629"/>
    </row>
    <row r="2021" spans="11:15">
      <c r="K2021" s="1626">
        <v>44078</v>
      </c>
      <c r="L2021" s="1627" t="s">
        <v>2298</v>
      </c>
      <c r="M2021" s="1628">
        <v>7.4689999999999999E-3</v>
      </c>
      <c r="N2021" s="1629">
        <v>1.6071549975869914</v>
      </c>
      <c r="O2021" s="1629"/>
    </row>
    <row r="2022" spans="11:15">
      <c r="K2022" s="1626">
        <v>44079</v>
      </c>
      <c r="L2022" s="1627"/>
      <c r="M2022" s="1628">
        <v>0</v>
      </c>
      <c r="N2022" s="1629">
        <v>1.6071549975869914</v>
      </c>
      <c r="O2022" s="1629"/>
    </row>
    <row r="2023" spans="11:15">
      <c r="K2023" s="1626">
        <v>44080</v>
      </c>
      <c r="L2023" s="1627"/>
      <c r="M2023" s="1628">
        <v>0</v>
      </c>
      <c r="N2023" s="1629">
        <v>1.6071549975869914</v>
      </c>
      <c r="O2023" s="1629"/>
    </row>
    <row r="2024" spans="11:15">
      <c r="K2024" s="1626">
        <v>44081</v>
      </c>
      <c r="L2024" s="1627"/>
      <c r="M2024" s="1628">
        <v>0</v>
      </c>
      <c r="N2024" s="1629">
        <v>1.6071549975869914</v>
      </c>
      <c r="O2024" s="1629"/>
    </row>
    <row r="2025" spans="11:15">
      <c r="K2025" s="1626">
        <v>44082</v>
      </c>
      <c r="L2025" s="1627" t="s">
        <v>2298</v>
      </c>
      <c r="M2025" s="1628">
        <v>7.4689999999999999E-3</v>
      </c>
      <c r="N2025" s="1629">
        <v>1.6072750359937611</v>
      </c>
      <c r="O2025" s="1629"/>
    </row>
    <row r="2026" spans="11:15">
      <c r="K2026" s="1626">
        <v>44083</v>
      </c>
      <c r="L2026" s="1627" t="s">
        <v>2298</v>
      </c>
      <c r="M2026" s="1628">
        <v>7.4689999999999999E-3</v>
      </c>
      <c r="N2026" s="1629">
        <v>1.6073950833661994</v>
      </c>
      <c r="O2026" s="1629"/>
    </row>
    <row r="2027" spans="11:15">
      <c r="K2027" s="1626">
        <v>44084</v>
      </c>
      <c r="L2027" s="1627" t="s">
        <v>2298</v>
      </c>
      <c r="M2027" s="1628">
        <v>7.4689999999999999E-3</v>
      </c>
      <c r="N2027" s="1629">
        <v>1.6075151397049758</v>
      </c>
      <c r="O2027" s="1629"/>
    </row>
    <row r="2028" spans="11:15">
      <c r="K2028" s="1626">
        <v>44085</v>
      </c>
      <c r="L2028" s="1627" t="s">
        <v>2298</v>
      </c>
      <c r="M2028" s="1628">
        <v>7.4689999999999999E-3</v>
      </c>
      <c r="N2028" s="1629">
        <v>1.6076352050107603</v>
      </c>
      <c r="O2028" s="1629"/>
    </row>
    <row r="2029" spans="11:15">
      <c r="K2029" s="1626">
        <v>44086</v>
      </c>
      <c r="L2029" s="1627"/>
      <c r="M2029" s="1628">
        <v>0</v>
      </c>
      <c r="N2029" s="1629">
        <v>1.6076352050107603</v>
      </c>
      <c r="O2029" s="1629"/>
    </row>
    <row r="2030" spans="11:15">
      <c r="K2030" s="1626">
        <v>44087</v>
      </c>
      <c r="L2030" s="1627"/>
      <c r="M2030" s="1628">
        <v>0</v>
      </c>
      <c r="N2030" s="1629">
        <v>1.6076352050107603</v>
      </c>
      <c r="O2030" s="1629"/>
    </row>
    <row r="2031" spans="11:15">
      <c r="K2031" s="1626">
        <v>44088</v>
      </c>
      <c r="L2031" s="1627" t="s">
        <v>2298</v>
      </c>
      <c r="M2031" s="1628">
        <v>7.4689999999999999E-3</v>
      </c>
      <c r="N2031" s="1629">
        <v>1.6077552792842225</v>
      </c>
      <c r="O2031" s="1629"/>
    </row>
    <row r="2032" spans="11:15">
      <c r="K2032" s="1626">
        <v>44089</v>
      </c>
      <c r="L2032" s="1627" t="s">
        <v>2298</v>
      </c>
      <c r="M2032" s="1628">
        <v>7.4689999999999999E-3</v>
      </c>
      <c r="N2032" s="1629">
        <v>1.607875362526032</v>
      </c>
      <c r="O2032" s="1629"/>
    </row>
    <row r="2033" spans="11:15">
      <c r="K2033" s="1626">
        <v>44090</v>
      </c>
      <c r="L2033" s="1627" t="s">
        <v>2298</v>
      </c>
      <c r="M2033" s="1628">
        <v>7.4689999999999999E-3</v>
      </c>
      <c r="N2033" s="1629">
        <v>1.6079954547368589</v>
      </c>
      <c r="O2033" s="1629"/>
    </row>
    <row r="2034" spans="11:15">
      <c r="K2034" s="1626">
        <v>44091</v>
      </c>
      <c r="L2034" s="1627" t="s">
        <v>2298</v>
      </c>
      <c r="M2034" s="1628">
        <v>7.4689999999999999E-3</v>
      </c>
      <c r="N2034" s="1629">
        <v>1.608115555917373</v>
      </c>
      <c r="O2034" s="1629"/>
    </row>
    <row r="2035" spans="11:15">
      <c r="K2035" s="1626">
        <v>44092</v>
      </c>
      <c r="L2035" s="1627" t="s">
        <v>2298</v>
      </c>
      <c r="M2035" s="1628">
        <v>7.4689999999999999E-3</v>
      </c>
      <c r="N2035" s="1629">
        <v>1.6082356660682444</v>
      </c>
      <c r="O2035" s="1629"/>
    </row>
    <row r="2036" spans="11:15">
      <c r="K2036" s="1626">
        <v>44093</v>
      </c>
      <c r="L2036" s="1627"/>
      <c r="M2036" s="1628">
        <v>0</v>
      </c>
      <c r="N2036" s="1629">
        <v>1.6082356660682444</v>
      </c>
      <c r="O2036" s="1629"/>
    </row>
    <row r="2037" spans="11:15">
      <c r="K2037" s="1626">
        <v>44094</v>
      </c>
      <c r="L2037" s="1627"/>
      <c r="M2037" s="1628">
        <v>0</v>
      </c>
      <c r="N2037" s="1629">
        <v>1.6082356660682444</v>
      </c>
      <c r="O2037" s="1629"/>
    </row>
    <row r="2038" spans="11:15">
      <c r="K2038" s="1626">
        <v>44095</v>
      </c>
      <c r="L2038" s="1627" t="s">
        <v>2298</v>
      </c>
      <c r="M2038" s="1628">
        <v>7.4689999999999999E-3</v>
      </c>
      <c r="N2038" s="1629">
        <v>1.6083557851901429</v>
      </c>
      <c r="O2038" s="1629"/>
    </row>
    <row r="2039" spans="11:15">
      <c r="K2039" s="1626">
        <v>44096</v>
      </c>
      <c r="L2039" s="1627" t="s">
        <v>2298</v>
      </c>
      <c r="M2039" s="1628">
        <v>7.4689999999999999E-3</v>
      </c>
      <c r="N2039" s="1629">
        <v>1.6084759132837387</v>
      </c>
      <c r="O2039" s="1629"/>
    </row>
    <row r="2040" spans="11:15">
      <c r="K2040" s="1626">
        <v>44097</v>
      </c>
      <c r="L2040" s="1627" t="s">
        <v>2298</v>
      </c>
      <c r="M2040" s="1628">
        <v>7.4689999999999999E-3</v>
      </c>
      <c r="N2040" s="1629">
        <v>1.6085960503497019</v>
      </c>
      <c r="O2040" s="1629"/>
    </row>
    <row r="2041" spans="11:15">
      <c r="K2041" s="1626">
        <v>44098</v>
      </c>
      <c r="L2041" s="1627" t="s">
        <v>2298</v>
      </c>
      <c r="M2041" s="1628">
        <v>7.4689999999999999E-3</v>
      </c>
      <c r="N2041" s="1629">
        <v>1.6087161963887024</v>
      </c>
      <c r="O2041" s="1629"/>
    </row>
    <row r="2042" spans="11:15">
      <c r="K2042" s="1626">
        <v>44099</v>
      </c>
      <c r="L2042" s="1627" t="s">
        <v>2298</v>
      </c>
      <c r="M2042" s="1628">
        <v>7.4689999999999999E-3</v>
      </c>
      <c r="N2042" s="1629">
        <v>1.6088363514014106</v>
      </c>
      <c r="O2042" s="1629"/>
    </row>
    <row r="2043" spans="11:15">
      <c r="K2043" s="1626">
        <v>44100</v>
      </c>
      <c r="L2043" s="1627"/>
      <c r="M2043" s="1628">
        <v>0</v>
      </c>
      <c r="N2043" s="1629">
        <v>1.6088363514014106</v>
      </c>
      <c r="O2043" s="1629"/>
    </row>
    <row r="2044" spans="11:15">
      <c r="K2044" s="1626">
        <v>44101</v>
      </c>
      <c r="L2044" s="1627"/>
      <c r="M2044" s="1628">
        <v>0</v>
      </c>
      <c r="N2044" s="1629">
        <v>1.6088363514014106</v>
      </c>
      <c r="O2044" s="1629"/>
    </row>
    <row r="2045" spans="11:15">
      <c r="K2045" s="1626">
        <v>44102</v>
      </c>
      <c r="L2045" s="1627" t="s">
        <v>2298</v>
      </c>
      <c r="M2045" s="1628">
        <v>7.4689999999999999E-3</v>
      </c>
      <c r="N2045" s="1629">
        <v>1.6089565153884966</v>
      </c>
      <c r="O2045" s="1629"/>
    </row>
    <row r="2046" spans="11:15">
      <c r="K2046" s="1626">
        <v>44103</v>
      </c>
      <c r="L2046" s="1627" t="s">
        <v>2298</v>
      </c>
      <c r="M2046" s="1628">
        <v>7.4689999999999999E-3</v>
      </c>
      <c r="N2046" s="1629">
        <v>1.6090766883506309</v>
      </c>
      <c r="O2046" s="1629"/>
    </row>
    <row r="2047" spans="11:15">
      <c r="K2047" s="1626">
        <v>44104</v>
      </c>
      <c r="L2047" s="1627" t="s">
        <v>2298</v>
      </c>
      <c r="M2047" s="1628">
        <v>7.4689999999999999E-3</v>
      </c>
      <c r="N2047" s="1629">
        <v>1.6091968702884838</v>
      </c>
      <c r="O2047" s="1629"/>
    </row>
    <row r="2048" spans="11:15">
      <c r="K2048" s="1626">
        <v>44105</v>
      </c>
      <c r="L2048" s="1627" t="s">
        <v>2298</v>
      </c>
      <c r="M2048" s="1628">
        <v>7.4689999999999999E-3</v>
      </c>
      <c r="N2048" s="1629">
        <v>1.6093170612027254</v>
      </c>
      <c r="O2048" s="1629"/>
    </row>
    <row r="2049" spans="11:15">
      <c r="K2049" s="1626">
        <v>44106</v>
      </c>
      <c r="L2049" s="1627" t="s">
        <v>2298</v>
      </c>
      <c r="M2049" s="1628">
        <v>7.4689999999999999E-3</v>
      </c>
      <c r="N2049" s="1629">
        <v>1.6094372610940266</v>
      </c>
      <c r="O2049" s="1629"/>
    </row>
    <row r="2050" spans="11:15">
      <c r="K2050" s="1626">
        <v>44107</v>
      </c>
      <c r="L2050" s="1627"/>
      <c r="M2050" s="1628">
        <v>0</v>
      </c>
      <c r="N2050" s="1629">
        <v>1.6094372610940266</v>
      </c>
      <c r="O2050" s="1629"/>
    </row>
    <row r="2051" spans="11:15">
      <c r="K2051" s="1626">
        <v>44108</v>
      </c>
      <c r="L2051" s="1627"/>
      <c r="M2051" s="1628">
        <v>0</v>
      </c>
      <c r="N2051" s="1629">
        <v>1.6094372610940266</v>
      </c>
      <c r="O2051" s="1629"/>
    </row>
    <row r="2052" spans="11:15">
      <c r="K2052" s="1626">
        <v>44109</v>
      </c>
      <c r="L2052" s="1627" t="s">
        <v>2298</v>
      </c>
      <c r="M2052" s="1628">
        <v>7.4689999999999999E-3</v>
      </c>
      <c r="N2052" s="1629">
        <v>1.6095574699630577</v>
      </c>
      <c r="O2052" s="1629"/>
    </row>
    <row r="2053" spans="11:15">
      <c r="K2053" s="1626">
        <v>44110</v>
      </c>
      <c r="L2053" s="1627" t="s">
        <v>2298</v>
      </c>
      <c r="M2053" s="1628">
        <v>7.4689999999999999E-3</v>
      </c>
      <c r="N2053" s="1629">
        <v>1.609677687810489</v>
      </c>
      <c r="O2053" s="1629"/>
    </row>
    <row r="2054" spans="11:15">
      <c r="K2054" s="1626">
        <v>44111</v>
      </c>
      <c r="L2054" s="1627" t="s">
        <v>2298</v>
      </c>
      <c r="M2054" s="1628">
        <v>7.4689999999999999E-3</v>
      </c>
      <c r="N2054" s="1629">
        <v>1.6097979146369914</v>
      </c>
      <c r="O2054" s="1629"/>
    </row>
    <row r="2055" spans="11:15">
      <c r="K2055" s="1626">
        <v>44112</v>
      </c>
      <c r="L2055" s="1627" t="s">
        <v>2298</v>
      </c>
      <c r="M2055" s="1628">
        <v>7.4689999999999999E-3</v>
      </c>
      <c r="N2055" s="1629">
        <v>1.6099181504432356</v>
      </c>
      <c r="O2055" s="1629"/>
    </row>
    <row r="2056" spans="11:15">
      <c r="K2056" s="1626">
        <v>44113</v>
      </c>
      <c r="L2056" s="1627" t="s">
        <v>2298</v>
      </c>
      <c r="M2056" s="1628">
        <v>7.4689999999999999E-3</v>
      </c>
      <c r="N2056" s="1629">
        <v>1.610038395229892</v>
      </c>
      <c r="O2056" s="1629"/>
    </row>
    <row r="2057" spans="11:15">
      <c r="K2057" s="1626">
        <v>44114</v>
      </c>
      <c r="L2057" s="1627"/>
      <c r="M2057" s="1628">
        <v>0</v>
      </c>
      <c r="N2057" s="1629">
        <v>1.610038395229892</v>
      </c>
      <c r="O2057" s="1629"/>
    </row>
    <row r="2058" spans="11:15">
      <c r="K2058" s="1626">
        <v>44115</v>
      </c>
      <c r="L2058" s="1627"/>
      <c r="M2058" s="1628">
        <v>0</v>
      </c>
      <c r="N2058" s="1629">
        <v>1.610038395229892</v>
      </c>
      <c r="O2058" s="1629"/>
    </row>
    <row r="2059" spans="11:15">
      <c r="K2059" s="1626">
        <v>44116</v>
      </c>
      <c r="L2059" s="1627"/>
      <c r="M2059" s="1628">
        <v>0</v>
      </c>
      <c r="N2059" s="1629">
        <v>1.610038395229892</v>
      </c>
      <c r="O2059" s="1629"/>
    </row>
    <row r="2060" spans="11:15">
      <c r="K2060" s="1626">
        <v>44117</v>
      </c>
      <c r="L2060" s="1627" t="s">
        <v>2298</v>
      </c>
      <c r="M2060" s="1628">
        <v>7.4689999999999999E-3</v>
      </c>
      <c r="N2060" s="1629">
        <v>1.6101586489976316</v>
      </c>
      <c r="O2060" s="1629"/>
    </row>
    <row r="2061" spans="11:15">
      <c r="K2061" s="1626">
        <v>44118</v>
      </c>
      <c r="L2061" s="1627" t="s">
        <v>2298</v>
      </c>
      <c r="M2061" s="1628">
        <v>7.4689999999999999E-3</v>
      </c>
      <c r="N2061" s="1629">
        <v>1.6102789117471252</v>
      </c>
      <c r="O2061" s="1629"/>
    </row>
    <row r="2062" spans="11:15">
      <c r="K2062" s="1626">
        <v>44119</v>
      </c>
      <c r="L2062" s="1627" t="s">
        <v>2298</v>
      </c>
      <c r="M2062" s="1628">
        <v>7.4689999999999999E-3</v>
      </c>
      <c r="N2062" s="1629">
        <v>1.6103991834790434</v>
      </c>
      <c r="O2062" s="1629"/>
    </row>
    <row r="2063" spans="11:15">
      <c r="K2063" s="1626">
        <v>44120</v>
      </c>
      <c r="L2063" s="1627" t="s">
        <v>2298</v>
      </c>
      <c r="M2063" s="1628">
        <v>7.4689999999999999E-3</v>
      </c>
      <c r="N2063" s="1629">
        <v>1.6105194641940574</v>
      </c>
      <c r="O2063" s="1629"/>
    </row>
    <row r="2064" spans="11:15">
      <c r="K2064" s="1626">
        <v>44121</v>
      </c>
      <c r="L2064" s="1627"/>
      <c r="M2064" s="1628">
        <v>0</v>
      </c>
      <c r="N2064" s="1629">
        <v>1.6105194641940574</v>
      </c>
      <c r="O2064" s="1629"/>
    </row>
    <row r="2065" spans="11:15">
      <c r="K2065" s="1626">
        <v>44122</v>
      </c>
      <c r="L2065" s="1627"/>
      <c r="M2065" s="1628">
        <v>0</v>
      </c>
      <c r="N2065" s="1629">
        <v>1.6105194641940574</v>
      </c>
      <c r="O2065" s="1629"/>
    </row>
    <row r="2066" spans="11:15">
      <c r="K2066" s="1626">
        <v>44123</v>
      </c>
      <c r="L2066" s="1627" t="s">
        <v>2298</v>
      </c>
      <c r="M2066" s="1628">
        <v>7.4689999999999999E-3</v>
      </c>
      <c r="N2066" s="1629">
        <v>1.6106397538928381</v>
      </c>
      <c r="O2066" s="1629"/>
    </row>
    <row r="2067" spans="11:15">
      <c r="K2067" s="1626">
        <v>44124</v>
      </c>
      <c r="L2067" s="1627" t="s">
        <v>2298</v>
      </c>
      <c r="M2067" s="1628">
        <v>7.4689999999999999E-3</v>
      </c>
      <c r="N2067" s="1629">
        <v>1.6107600525760561</v>
      </c>
      <c r="O2067" s="1629"/>
    </row>
    <row r="2068" spans="11:15">
      <c r="K2068" s="1626">
        <v>44125</v>
      </c>
      <c r="L2068" s="1627" t="s">
        <v>2298</v>
      </c>
      <c r="M2068" s="1628">
        <v>7.4689999999999999E-3</v>
      </c>
      <c r="N2068" s="1629">
        <v>1.6108803602443829</v>
      </c>
      <c r="O2068" s="1629"/>
    </row>
    <row r="2069" spans="11:15">
      <c r="K2069" s="1626">
        <v>44126</v>
      </c>
      <c r="L2069" s="1627" t="s">
        <v>2298</v>
      </c>
      <c r="M2069" s="1628">
        <v>7.4689999999999999E-3</v>
      </c>
      <c r="N2069" s="1629">
        <v>1.6110006768984895</v>
      </c>
      <c r="O2069" s="1629"/>
    </row>
    <row r="2070" spans="11:15">
      <c r="K2070" s="1626">
        <v>44127</v>
      </c>
      <c r="L2070" s="1627" t="s">
        <v>2298</v>
      </c>
      <c r="M2070" s="1628">
        <v>7.4689999999999999E-3</v>
      </c>
      <c r="N2070" s="1629">
        <v>1.611121002539047</v>
      </c>
      <c r="O2070" s="1629"/>
    </row>
    <row r="2071" spans="11:15">
      <c r="K2071" s="1626">
        <v>44128</v>
      </c>
      <c r="L2071" s="1627"/>
      <c r="M2071" s="1628">
        <v>0</v>
      </c>
      <c r="N2071" s="1629">
        <v>1.611121002539047</v>
      </c>
      <c r="O2071" s="1629"/>
    </row>
    <row r="2072" spans="11:15">
      <c r="K2072" s="1626">
        <v>44129</v>
      </c>
      <c r="L2072" s="1627"/>
      <c r="M2072" s="1628">
        <v>0</v>
      </c>
      <c r="N2072" s="1629">
        <v>1.611121002539047</v>
      </c>
      <c r="O2072" s="1629"/>
    </row>
    <row r="2073" spans="11:15">
      <c r="K2073" s="1626">
        <v>44130</v>
      </c>
      <c r="L2073" s="1627" t="s">
        <v>2298</v>
      </c>
      <c r="M2073" s="1628">
        <v>7.4689999999999999E-3</v>
      </c>
      <c r="N2073" s="1629">
        <v>1.6112413371667265</v>
      </c>
      <c r="O2073" s="1629"/>
    </row>
    <row r="2074" spans="11:15">
      <c r="K2074" s="1626">
        <v>44131</v>
      </c>
      <c r="L2074" s="1627" t="s">
        <v>2298</v>
      </c>
      <c r="M2074" s="1628">
        <v>7.4689999999999999E-3</v>
      </c>
      <c r="N2074" s="1629">
        <v>1.6113616807821993</v>
      </c>
      <c r="O2074" s="1629"/>
    </row>
    <row r="2075" spans="11:15">
      <c r="K2075" s="1626">
        <v>44132</v>
      </c>
      <c r="L2075" s="1627" t="s">
        <v>2298</v>
      </c>
      <c r="M2075" s="1628">
        <v>7.4689999999999999E-3</v>
      </c>
      <c r="N2075" s="1629">
        <v>1.6114820333861368</v>
      </c>
      <c r="O2075" s="1629"/>
    </row>
    <row r="2076" spans="11:15">
      <c r="K2076" s="1626">
        <v>44133</v>
      </c>
      <c r="L2076" s="1627" t="s">
        <v>2298</v>
      </c>
      <c r="M2076" s="1628">
        <v>7.4689999999999999E-3</v>
      </c>
      <c r="N2076" s="1629">
        <v>1.6116023949792104</v>
      </c>
      <c r="O2076" s="1629"/>
    </row>
    <row r="2077" spans="11:15">
      <c r="K2077" s="1626">
        <v>44134</v>
      </c>
      <c r="L2077" s="1627" t="s">
        <v>2298</v>
      </c>
      <c r="M2077" s="1628">
        <v>7.4689999999999999E-3</v>
      </c>
      <c r="N2077" s="1629">
        <v>1.6117227655620914</v>
      </c>
      <c r="O2077" s="1629"/>
    </row>
    <row r="2078" spans="11:15">
      <c r="K2078" s="1626">
        <v>44135</v>
      </c>
      <c r="L2078" s="1627"/>
      <c r="M2078" s="1628">
        <v>0</v>
      </c>
      <c r="N2078" s="1629">
        <v>1.6117227655620914</v>
      </c>
      <c r="O2078" s="1629"/>
    </row>
    <row r="2079" spans="11:15">
      <c r="K2079" s="1626">
        <v>44136</v>
      </c>
      <c r="L2079" s="1627"/>
      <c r="M2079" s="1628">
        <v>0</v>
      </c>
      <c r="N2079" s="1629">
        <v>1.6117227655620914</v>
      </c>
      <c r="O2079" s="1629"/>
    </row>
    <row r="2080" spans="11:15">
      <c r="K2080" s="1626">
        <v>44137</v>
      </c>
      <c r="L2080" s="1627"/>
      <c r="M2080" s="1628">
        <v>0</v>
      </c>
      <c r="N2080" s="1629">
        <v>1.6117227655620914</v>
      </c>
      <c r="O2080" s="1629"/>
    </row>
    <row r="2081" spans="11:15">
      <c r="K2081" s="1626">
        <v>44138</v>
      </c>
      <c r="L2081" s="1627" t="s">
        <v>2298</v>
      </c>
      <c r="M2081" s="1628">
        <v>7.4689999999999999E-3</v>
      </c>
      <c r="N2081" s="1629">
        <v>1.6118431451354511</v>
      </c>
      <c r="O2081" s="1629"/>
    </row>
    <row r="2082" spans="11:15">
      <c r="K2082" s="1626">
        <v>44139</v>
      </c>
      <c r="L2082" s="1627" t="s">
        <v>2298</v>
      </c>
      <c r="M2082" s="1628">
        <v>7.4689999999999999E-3</v>
      </c>
      <c r="N2082" s="1629">
        <v>1.6119635336999611</v>
      </c>
      <c r="O2082" s="1629"/>
    </row>
    <row r="2083" spans="11:15">
      <c r="K2083" s="1626">
        <v>44140</v>
      </c>
      <c r="L2083" s="1627" t="s">
        <v>2298</v>
      </c>
      <c r="M2083" s="1628">
        <v>7.4689999999999999E-3</v>
      </c>
      <c r="N2083" s="1629">
        <v>1.6120839312562931</v>
      </c>
      <c r="O2083" s="1629"/>
    </row>
    <row r="2084" spans="11:15">
      <c r="K2084" s="1626">
        <v>44141</v>
      </c>
      <c r="L2084" s="1627" t="s">
        <v>2298</v>
      </c>
      <c r="M2084" s="1628">
        <v>7.4689999999999999E-3</v>
      </c>
      <c r="N2084" s="1629">
        <v>1.6122043378051185</v>
      </c>
      <c r="O2084" s="1629"/>
    </row>
    <row r="2085" spans="11:15">
      <c r="K2085" s="1626">
        <v>44142</v>
      </c>
      <c r="L2085" s="1627"/>
      <c r="M2085" s="1628">
        <v>0</v>
      </c>
      <c r="N2085" s="1629">
        <v>1.6122043378051185</v>
      </c>
      <c r="O2085" s="1629"/>
    </row>
    <row r="2086" spans="11:15">
      <c r="K2086" s="1626">
        <v>44143</v>
      </c>
      <c r="L2086" s="1627"/>
      <c r="M2086" s="1628">
        <v>0</v>
      </c>
      <c r="N2086" s="1629">
        <v>1.6122043378051185</v>
      </c>
      <c r="O2086" s="1629"/>
    </row>
    <row r="2087" spans="11:15">
      <c r="K2087" s="1626">
        <v>44144</v>
      </c>
      <c r="L2087" s="1627" t="s">
        <v>2298</v>
      </c>
      <c r="M2087" s="1628">
        <v>7.4689999999999999E-3</v>
      </c>
      <c r="N2087" s="1629">
        <v>1.612324753347109</v>
      </c>
      <c r="O2087" s="1629"/>
    </row>
    <row r="2088" spans="11:15">
      <c r="K2088" s="1626">
        <v>44145</v>
      </c>
      <c r="L2088" s="1627" t="s">
        <v>2298</v>
      </c>
      <c r="M2088" s="1628">
        <v>7.4689999999999999E-3</v>
      </c>
      <c r="N2088" s="1629">
        <v>1.6124451778829363</v>
      </c>
      <c r="O2088" s="1629"/>
    </row>
    <row r="2089" spans="11:15">
      <c r="K2089" s="1626">
        <v>44146</v>
      </c>
      <c r="L2089" s="1627" t="s">
        <v>2298</v>
      </c>
      <c r="M2089" s="1628">
        <v>7.4689999999999999E-3</v>
      </c>
      <c r="N2089" s="1629">
        <v>1.6125656114132723</v>
      </c>
      <c r="O2089" s="1629"/>
    </row>
    <row r="2090" spans="11:15">
      <c r="K2090" s="1626">
        <v>44147</v>
      </c>
      <c r="L2090" s="1627" t="s">
        <v>2298</v>
      </c>
      <c r="M2090" s="1628">
        <v>7.4689999999999999E-3</v>
      </c>
      <c r="N2090" s="1629">
        <v>1.6126860539387886</v>
      </c>
      <c r="O2090" s="1629"/>
    </row>
    <row r="2091" spans="11:15">
      <c r="K2091" s="1626">
        <v>44148</v>
      </c>
      <c r="L2091" s="1627" t="s">
        <v>2298</v>
      </c>
      <c r="M2091" s="1628">
        <v>7.4689999999999999E-3</v>
      </c>
      <c r="N2091" s="1629">
        <v>1.6128065054601572</v>
      </c>
      <c r="O2091" s="1629"/>
    </row>
    <row r="2092" spans="11:15">
      <c r="K2092" s="1626">
        <v>44149</v>
      </c>
      <c r="L2092" s="1627"/>
      <c r="M2092" s="1628">
        <v>0</v>
      </c>
      <c r="N2092" s="1629">
        <v>1.6128065054601572</v>
      </c>
      <c r="O2092" s="1629"/>
    </row>
    <row r="2093" spans="11:15">
      <c r="K2093" s="1626">
        <v>44150</v>
      </c>
      <c r="L2093" s="1627"/>
      <c r="M2093" s="1628">
        <v>0</v>
      </c>
      <c r="N2093" s="1629">
        <v>1.6128065054601572</v>
      </c>
      <c r="O2093" s="1629"/>
    </row>
    <row r="2094" spans="11:15">
      <c r="K2094" s="1626">
        <v>44151</v>
      </c>
      <c r="L2094" s="1627" t="s">
        <v>2298</v>
      </c>
      <c r="M2094" s="1628">
        <v>7.4689999999999999E-3</v>
      </c>
      <c r="N2094" s="1629">
        <v>1.6129269659780499</v>
      </c>
      <c r="O2094" s="1629"/>
    </row>
    <row r="2095" spans="11:15">
      <c r="K2095" s="1626">
        <v>44152</v>
      </c>
      <c r="L2095" s="1627" t="s">
        <v>2298</v>
      </c>
      <c r="M2095" s="1628">
        <v>7.4689999999999999E-3</v>
      </c>
      <c r="N2095" s="1629">
        <v>1.6130474354931386</v>
      </c>
      <c r="O2095" s="1629"/>
    </row>
    <row r="2096" spans="11:15">
      <c r="K2096" s="1626">
        <v>44153</v>
      </c>
      <c r="L2096" s="1627" t="s">
        <v>2298</v>
      </c>
      <c r="M2096" s="1628">
        <v>7.4689999999999999E-3</v>
      </c>
      <c r="N2096" s="1629">
        <v>1.6131679140060955</v>
      </c>
      <c r="O2096" s="1629"/>
    </row>
    <row r="2097" spans="11:15">
      <c r="K2097" s="1626">
        <v>44154</v>
      </c>
      <c r="L2097" s="1627" t="s">
        <v>2298</v>
      </c>
      <c r="M2097" s="1628">
        <v>7.4689999999999999E-3</v>
      </c>
      <c r="N2097" s="1629">
        <v>1.6132884015175926</v>
      </c>
      <c r="O2097" s="1629"/>
    </row>
    <row r="2098" spans="11:15">
      <c r="K2098" s="1626">
        <v>44155</v>
      </c>
      <c r="L2098" s="1627" t="s">
        <v>2298</v>
      </c>
      <c r="M2098" s="1628">
        <v>7.4689999999999999E-3</v>
      </c>
      <c r="N2098" s="1629">
        <v>1.6134088980283019</v>
      </c>
      <c r="O2098" s="1629"/>
    </row>
    <row r="2099" spans="11:15">
      <c r="K2099" s="1626">
        <v>44156</v>
      </c>
      <c r="L2099" s="1627"/>
      <c r="M2099" s="1628">
        <v>0</v>
      </c>
      <c r="N2099" s="1629">
        <v>1.6134088980283019</v>
      </c>
      <c r="O2099" s="1629"/>
    </row>
    <row r="2100" spans="11:15">
      <c r="K2100" s="1626">
        <v>44157</v>
      </c>
      <c r="L2100" s="1627"/>
      <c r="M2100" s="1628">
        <v>0</v>
      </c>
      <c r="N2100" s="1629">
        <v>1.6134088980283019</v>
      </c>
      <c r="O2100" s="1629"/>
    </row>
    <row r="2101" spans="11:15">
      <c r="K2101" s="1626">
        <v>44158</v>
      </c>
      <c r="L2101" s="1627" t="s">
        <v>2298</v>
      </c>
      <c r="M2101" s="1628">
        <v>7.4689999999999999E-3</v>
      </c>
      <c r="N2101" s="1629">
        <v>1.6135294035388956</v>
      </c>
      <c r="O2101" s="1629"/>
    </row>
    <row r="2102" spans="11:15">
      <c r="K2102" s="1626">
        <v>44159</v>
      </c>
      <c r="L2102" s="1627" t="s">
        <v>2298</v>
      </c>
      <c r="M2102" s="1628">
        <v>7.4689999999999999E-3</v>
      </c>
      <c r="N2102" s="1629">
        <v>1.6136499180500459</v>
      </c>
      <c r="O2102" s="1629"/>
    </row>
    <row r="2103" spans="11:15">
      <c r="K2103" s="1626">
        <v>44160</v>
      </c>
      <c r="L2103" s="1627" t="s">
        <v>2298</v>
      </c>
      <c r="M2103" s="1628">
        <v>7.4689999999999999E-3</v>
      </c>
      <c r="N2103" s="1629">
        <v>1.613770441562425</v>
      </c>
      <c r="O2103" s="1629"/>
    </row>
    <row r="2104" spans="11:15">
      <c r="K2104" s="1626">
        <v>44161</v>
      </c>
      <c r="L2104" s="1627" t="s">
        <v>2298</v>
      </c>
      <c r="M2104" s="1628">
        <v>7.4689999999999999E-3</v>
      </c>
      <c r="N2104" s="1629">
        <v>1.6138909740767051</v>
      </c>
      <c r="O2104" s="1629"/>
    </row>
    <row r="2105" spans="11:15">
      <c r="K2105" s="1626">
        <v>44162</v>
      </c>
      <c r="L2105" s="1627" t="s">
        <v>2298</v>
      </c>
      <c r="M2105" s="1628">
        <v>7.4689999999999999E-3</v>
      </c>
      <c r="N2105" s="1629">
        <v>1.6140115155935588</v>
      </c>
      <c r="O2105" s="1629"/>
    </row>
    <row r="2106" spans="11:15">
      <c r="K2106" s="1626">
        <v>44163</v>
      </c>
      <c r="L2106" s="1627"/>
      <c r="M2106" s="1628">
        <v>0</v>
      </c>
      <c r="N2106" s="1629">
        <v>1.6140115155935588</v>
      </c>
      <c r="O2106" s="1629"/>
    </row>
    <row r="2107" spans="11:15">
      <c r="K2107" s="1626">
        <v>44164</v>
      </c>
      <c r="L2107" s="1627"/>
      <c r="M2107" s="1628">
        <v>0</v>
      </c>
      <c r="N2107" s="1629">
        <v>1.6140115155935588</v>
      </c>
      <c r="O2107" s="1629"/>
    </row>
    <row r="2108" spans="11:15">
      <c r="K2108" s="1626">
        <v>44165</v>
      </c>
      <c r="L2108" s="1627" t="s">
        <v>2298</v>
      </c>
      <c r="M2108" s="1628">
        <v>7.4689999999999999E-3</v>
      </c>
      <c r="N2108" s="1629">
        <v>1.6141320661136584</v>
      </c>
      <c r="O2108" s="1629"/>
    </row>
    <row r="2109" spans="11:15">
      <c r="K2109" s="1626">
        <v>44166</v>
      </c>
      <c r="L2109" s="1627" t="s">
        <v>2298</v>
      </c>
      <c r="M2109" s="1628">
        <v>7.4689999999999999E-3</v>
      </c>
      <c r="N2109" s="1629">
        <v>1.6142526256376764</v>
      </c>
      <c r="O2109" s="1629"/>
    </row>
    <row r="2110" spans="11:15">
      <c r="K2110" s="1626">
        <v>44167</v>
      </c>
      <c r="L2110" s="1627" t="s">
        <v>2298</v>
      </c>
      <c r="M2110" s="1628">
        <v>7.4689999999999999E-3</v>
      </c>
      <c r="N2110" s="1629">
        <v>1.6143731941662851</v>
      </c>
      <c r="O2110" s="1629"/>
    </row>
    <row r="2111" spans="11:15">
      <c r="K2111" s="1626">
        <v>44168</v>
      </c>
      <c r="L2111" s="1627" t="s">
        <v>2298</v>
      </c>
      <c r="M2111" s="1628">
        <v>7.4689999999999999E-3</v>
      </c>
      <c r="N2111" s="1629">
        <v>1.6144937717001573</v>
      </c>
      <c r="O2111" s="1629"/>
    </row>
    <row r="2112" spans="11:15">
      <c r="K2112" s="1626">
        <v>44169</v>
      </c>
      <c r="L2112" s="1627" t="s">
        <v>2298</v>
      </c>
      <c r="M2112" s="1628">
        <v>7.4689999999999999E-3</v>
      </c>
      <c r="N2112" s="1629">
        <v>1.6146143582399655</v>
      </c>
      <c r="O2112" s="1629"/>
    </row>
    <row r="2113" spans="11:15">
      <c r="K2113" s="1626">
        <v>44170</v>
      </c>
      <c r="L2113" s="1627"/>
      <c r="M2113" s="1628">
        <v>0</v>
      </c>
      <c r="N2113" s="1629">
        <v>1.6146143582399655</v>
      </c>
      <c r="O2113" s="1629"/>
    </row>
    <row r="2114" spans="11:15">
      <c r="K2114" s="1626">
        <v>44171</v>
      </c>
      <c r="L2114" s="1627"/>
      <c r="M2114" s="1628">
        <v>0</v>
      </c>
      <c r="N2114" s="1629">
        <v>1.6146143582399655</v>
      </c>
      <c r="O2114" s="1629"/>
    </row>
    <row r="2115" spans="11:15">
      <c r="K2115" s="1626">
        <v>44172</v>
      </c>
      <c r="L2115" s="1627" t="s">
        <v>2298</v>
      </c>
      <c r="M2115" s="1628">
        <v>7.4689999999999999E-3</v>
      </c>
      <c r="N2115" s="1629">
        <v>1.6147349537863822</v>
      </c>
      <c r="O2115" s="1629"/>
    </row>
    <row r="2116" spans="11:15">
      <c r="K2116" s="1626">
        <v>44173</v>
      </c>
      <c r="L2116" s="1627" t="s">
        <v>2298</v>
      </c>
      <c r="M2116" s="1628">
        <v>7.4689999999999999E-3</v>
      </c>
      <c r="N2116" s="1629">
        <v>1.6148555583400803</v>
      </c>
      <c r="O2116" s="1629"/>
    </row>
    <row r="2117" spans="11:15">
      <c r="K2117" s="1626">
        <v>44174</v>
      </c>
      <c r="L2117" s="1627" t="s">
        <v>2298</v>
      </c>
      <c r="M2117" s="1628">
        <v>7.4689999999999999E-3</v>
      </c>
      <c r="N2117" s="1629">
        <v>1.6149761719017326</v>
      </c>
      <c r="O2117" s="1629"/>
    </row>
    <row r="2118" spans="11:15">
      <c r="K2118" s="1626">
        <v>44175</v>
      </c>
      <c r="L2118" s="1627" t="s">
        <v>2298</v>
      </c>
      <c r="M2118" s="1628">
        <v>7.4689999999999999E-3</v>
      </c>
      <c r="N2118" s="1629">
        <v>1.6150967944720118</v>
      </c>
      <c r="O2118" s="1629"/>
    </row>
    <row r="2119" spans="11:15">
      <c r="K2119" s="1626">
        <v>44176</v>
      </c>
      <c r="L2119" s="1627" t="s">
        <v>2298</v>
      </c>
      <c r="M2119" s="1628">
        <v>7.4689999999999999E-3</v>
      </c>
      <c r="N2119" s="1629">
        <v>1.6152174260515908</v>
      </c>
      <c r="O2119" s="1629"/>
    </row>
    <row r="2120" spans="11:15">
      <c r="K2120" s="1626">
        <v>44177</v>
      </c>
      <c r="L2120" s="1627"/>
      <c r="M2120" s="1628">
        <v>0</v>
      </c>
      <c r="N2120" s="1629">
        <v>1.6152174260515908</v>
      </c>
      <c r="O2120" s="1629"/>
    </row>
    <row r="2121" spans="11:15">
      <c r="K2121" s="1626">
        <v>44178</v>
      </c>
      <c r="L2121" s="1627"/>
      <c r="M2121" s="1628">
        <v>0</v>
      </c>
      <c r="N2121" s="1629">
        <v>1.6152174260515908</v>
      </c>
      <c r="O2121" s="1629"/>
    </row>
    <row r="2122" spans="11:15">
      <c r="K2122" s="1626">
        <v>44179</v>
      </c>
      <c r="L2122" s="1627" t="s">
        <v>2298</v>
      </c>
      <c r="M2122" s="1628">
        <v>7.4689999999999999E-3</v>
      </c>
      <c r="N2122" s="1629">
        <v>1.6153380666411425</v>
      </c>
      <c r="O2122" s="1629"/>
    </row>
    <row r="2123" spans="11:15">
      <c r="K2123" s="1626">
        <v>44180</v>
      </c>
      <c r="L2123" s="1627" t="s">
        <v>2298</v>
      </c>
      <c r="M2123" s="1628">
        <v>7.4689999999999999E-3</v>
      </c>
      <c r="N2123" s="1629">
        <v>1.6154587162413399</v>
      </c>
      <c r="O2123" s="1629"/>
    </row>
    <row r="2124" spans="11:15">
      <c r="K2124" s="1626">
        <v>44181</v>
      </c>
      <c r="L2124" s="1627" t="s">
        <v>2298</v>
      </c>
      <c r="M2124" s="1628">
        <v>7.4689999999999999E-3</v>
      </c>
      <c r="N2124" s="1629">
        <v>1.6155793748528557</v>
      </c>
      <c r="O2124" s="1629"/>
    </row>
    <row r="2125" spans="11:15">
      <c r="K2125" s="1626">
        <v>44182</v>
      </c>
      <c r="L2125" s="1627" t="s">
        <v>2298</v>
      </c>
      <c r="M2125" s="1628">
        <v>7.4689999999999999E-3</v>
      </c>
      <c r="N2125" s="1629">
        <v>1.6157000424763635</v>
      </c>
      <c r="O2125" s="1629"/>
    </row>
    <row r="2126" spans="11:15">
      <c r="K2126" s="1626">
        <v>44183</v>
      </c>
      <c r="L2126" s="1627" t="s">
        <v>2298</v>
      </c>
      <c r="M2126" s="1628">
        <v>7.4689999999999999E-3</v>
      </c>
      <c r="N2126" s="1629">
        <v>1.615820719112536</v>
      </c>
      <c r="O2126" s="1629"/>
    </row>
    <row r="2127" spans="11:15">
      <c r="K2127" s="1626">
        <v>44184</v>
      </c>
      <c r="L2127" s="1627"/>
      <c r="M2127" s="1628">
        <v>0</v>
      </c>
      <c r="N2127" s="1629">
        <v>1.615820719112536</v>
      </c>
      <c r="O2127" s="1629"/>
    </row>
    <row r="2128" spans="11:15">
      <c r="K2128" s="1626">
        <v>44185</v>
      </c>
      <c r="L2128" s="1627"/>
      <c r="M2128" s="1628">
        <v>0</v>
      </c>
      <c r="N2128" s="1629">
        <v>1.615820719112536</v>
      </c>
      <c r="O2128" s="1629"/>
    </row>
    <row r="2129" spans="11:15">
      <c r="K2129" s="1626">
        <v>44186</v>
      </c>
      <c r="L2129" s="1627" t="s">
        <v>2298</v>
      </c>
      <c r="M2129" s="1628">
        <v>7.4689999999999999E-3</v>
      </c>
      <c r="N2129" s="1629">
        <v>1.6159414047620464</v>
      </c>
      <c r="O2129" s="1629"/>
    </row>
    <row r="2130" spans="11:15">
      <c r="K2130" s="1626">
        <v>44187</v>
      </c>
      <c r="L2130" s="1627" t="s">
        <v>2298</v>
      </c>
      <c r="M2130" s="1628">
        <v>7.4689999999999999E-3</v>
      </c>
      <c r="N2130" s="1629">
        <v>1.6160620994255679</v>
      </c>
      <c r="O2130" s="1629"/>
    </row>
    <row r="2131" spans="11:15">
      <c r="K2131" s="1626">
        <v>44188</v>
      </c>
      <c r="L2131" s="1627" t="s">
        <v>2298</v>
      </c>
      <c r="M2131" s="1628">
        <v>7.4689999999999999E-3</v>
      </c>
      <c r="N2131" s="1629">
        <v>1.6161828031037739</v>
      </c>
      <c r="O2131" s="1629"/>
    </row>
    <row r="2132" spans="11:15">
      <c r="K2132" s="1626">
        <v>44189</v>
      </c>
      <c r="L2132" s="1627" t="s">
        <v>2298</v>
      </c>
      <c r="M2132" s="1628">
        <v>7.4689999999999999E-3</v>
      </c>
      <c r="N2132" s="1629">
        <v>1.6163035157973376</v>
      </c>
      <c r="O2132" s="1629"/>
    </row>
    <row r="2133" spans="11:15">
      <c r="K2133" s="1626">
        <v>44190</v>
      </c>
      <c r="L2133" s="1627"/>
      <c r="M2133" s="1628">
        <v>0</v>
      </c>
      <c r="N2133" s="1629">
        <v>1.6163035157973376</v>
      </c>
      <c r="O2133" s="1629"/>
    </row>
    <row r="2134" spans="11:15">
      <c r="K2134" s="1626">
        <v>44191</v>
      </c>
      <c r="L2134" s="1627"/>
      <c r="M2134" s="1628">
        <v>0</v>
      </c>
      <c r="N2134" s="1629">
        <v>1.6163035157973376</v>
      </c>
      <c r="O2134" s="1629"/>
    </row>
    <row r="2135" spans="11:15">
      <c r="K2135" s="1626">
        <v>44192</v>
      </c>
      <c r="L2135" s="1627"/>
      <c r="M2135" s="1628">
        <v>0</v>
      </c>
      <c r="N2135" s="1629">
        <v>1.6163035157973376</v>
      </c>
      <c r="O2135" s="1629"/>
    </row>
    <row r="2136" spans="11:15">
      <c r="K2136" s="1626">
        <v>44193</v>
      </c>
      <c r="L2136" s="1627" t="s">
        <v>2298</v>
      </c>
      <c r="M2136" s="1628">
        <v>7.4689999999999999E-3</v>
      </c>
      <c r="N2136" s="1629">
        <v>1.6164242375069324</v>
      </c>
      <c r="O2136" s="1629"/>
    </row>
    <row r="2137" spans="11:15">
      <c r="K2137" s="1626">
        <v>44194</v>
      </c>
      <c r="L2137" s="1627" t="s">
        <v>2298</v>
      </c>
      <c r="M2137" s="1628">
        <v>7.4689999999999999E-3</v>
      </c>
      <c r="N2137" s="1629">
        <v>1.6165449682332318</v>
      </c>
      <c r="O2137" s="1629"/>
    </row>
    <row r="2138" spans="11:15">
      <c r="K2138" s="1626">
        <v>44195</v>
      </c>
      <c r="L2138" s="1627" t="s">
        <v>2298</v>
      </c>
      <c r="M2138" s="1628">
        <v>7.4689999999999999E-3</v>
      </c>
      <c r="N2138" s="1629">
        <v>1.6166657079769091</v>
      </c>
      <c r="O2138" s="1629"/>
    </row>
    <row r="2139" spans="11:15">
      <c r="K2139" s="1626">
        <v>44196</v>
      </c>
      <c r="L2139" s="1627" t="s">
        <v>2298</v>
      </c>
      <c r="M2139" s="1628">
        <v>7.4689999999999999E-3</v>
      </c>
      <c r="N2139" s="1629">
        <v>1.6167864567386379</v>
      </c>
      <c r="O2139" s="1629"/>
    </row>
    <row r="2140" spans="11:15">
      <c r="K2140" s="1626">
        <v>44197</v>
      </c>
      <c r="L2140" s="1627"/>
      <c r="M2140" s="1628">
        <v>0</v>
      </c>
      <c r="N2140" s="1629">
        <v>1.6167864567386379</v>
      </c>
      <c r="O2140" s="1629"/>
    </row>
    <row r="2141" spans="11:15">
      <c r="K2141" s="1626">
        <v>44198</v>
      </c>
      <c r="L2141" s="1627"/>
      <c r="M2141" s="1628">
        <v>0</v>
      </c>
      <c r="N2141" s="1629">
        <v>1.6167864567386379</v>
      </c>
      <c r="O2141" s="1629"/>
    </row>
    <row r="2142" spans="11:15">
      <c r="K2142" s="1626">
        <v>44199</v>
      </c>
      <c r="L2142" s="1627"/>
      <c r="M2142" s="1628">
        <v>0</v>
      </c>
      <c r="N2142" s="1629">
        <v>1.6167864567386379</v>
      </c>
      <c r="O2142" s="1629"/>
    </row>
    <row r="2143" spans="11:15">
      <c r="K2143" s="1626">
        <v>44200</v>
      </c>
      <c r="L2143" s="1627" t="s">
        <v>2298</v>
      </c>
      <c r="M2143" s="1628">
        <v>7.4689999999999999E-3</v>
      </c>
      <c r="N2143" s="1629">
        <v>1.6169072145190915</v>
      </c>
      <c r="O2143" s="1629"/>
    </row>
    <row r="2144" spans="11:15">
      <c r="K2144" s="1626">
        <v>44201</v>
      </c>
      <c r="L2144" s="1627" t="s">
        <v>2298</v>
      </c>
      <c r="M2144" s="1628">
        <v>7.4689999999999999E-3</v>
      </c>
      <c r="N2144" s="1629">
        <v>1.6170279813189439</v>
      </c>
      <c r="O2144" s="1629"/>
    </row>
    <row r="2145" spans="11:15">
      <c r="K2145" s="1626">
        <v>44202</v>
      </c>
      <c r="L2145" s="1627" t="s">
        <v>2298</v>
      </c>
      <c r="M2145" s="1628">
        <v>7.4689999999999999E-3</v>
      </c>
      <c r="N2145" s="1629">
        <v>1.6171487571388685</v>
      </c>
      <c r="O2145" s="1629"/>
    </row>
    <row r="2146" spans="11:15">
      <c r="K2146" s="1626">
        <v>44203</v>
      </c>
      <c r="L2146" s="1627" t="s">
        <v>2298</v>
      </c>
      <c r="M2146" s="1628">
        <v>7.4689999999999999E-3</v>
      </c>
      <c r="N2146" s="1629">
        <v>1.6172695419795391</v>
      </c>
      <c r="O2146" s="1629"/>
    </row>
    <row r="2147" spans="11:15">
      <c r="K2147" s="1626">
        <v>44204</v>
      </c>
      <c r="L2147" s="1627" t="s">
        <v>2298</v>
      </c>
      <c r="M2147" s="1628">
        <v>7.4689999999999999E-3</v>
      </c>
      <c r="N2147" s="1629">
        <v>1.6173903358416295</v>
      </c>
      <c r="O2147" s="1629"/>
    </row>
    <row r="2148" spans="11:15">
      <c r="K2148" s="1626">
        <v>44205</v>
      </c>
      <c r="L2148" s="1627"/>
      <c r="M2148" s="1628">
        <v>0</v>
      </c>
      <c r="N2148" s="1629">
        <v>1.6173903358416295</v>
      </c>
      <c r="O2148" s="1629"/>
    </row>
    <row r="2149" spans="11:15">
      <c r="K2149" s="1626">
        <v>44206</v>
      </c>
      <c r="L2149" s="1627"/>
      <c r="M2149" s="1628">
        <v>0</v>
      </c>
      <c r="N2149" s="1629">
        <v>1.6173903358416295</v>
      </c>
      <c r="O2149" s="1629"/>
    </row>
    <row r="2150" spans="11:15">
      <c r="K2150" s="1626">
        <v>44207</v>
      </c>
      <c r="L2150" s="1627" t="s">
        <v>2298</v>
      </c>
      <c r="M2150" s="1628">
        <v>7.4689999999999999E-3</v>
      </c>
      <c r="N2150" s="1629">
        <v>1.6175111387258134</v>
      </c>
      <c r="O2150" s="1629"/>
    </row>
    <row r="2151" spans="11:15">
      <c r="K2151" s="1626">
        <v>44208</v>
      </c>
      <c r="L2151" s="1627" t="s">
        <v>2298</v>
      </c>
      <c r="M2151" s="1628">
        <v>7.4689999999999999E-3</v>
      </c>
      <c r="N2151" s="1629">
        <v>1.6176319506327648</v>
      </c>
      <c r="O2151" s="1629"/>
    </row>
    <row r="2152" spans="11:15">
      <c r="K2152" s="1626">
        <v>44209</v>
      </c>
      <c r="L2152" s="1627" t="s">
        <v>2298</v>
      </c>
      <c r="M2152" s="1628">
        <v>7.4689999999999999E-3</v>
      </c>
      <c r="N2152" s="1629">
        <v>1.6177527715631574</v>
      </c>
      <c r="O2152" s="1629"/>
    </row>
    <row r="2153" spans="11:15">
      <c r="K2153" s="1626">
        <v>44210</v>
      </c>
      <c r="L2153" s="1627" t="s">
        <v>2298</v>
      </c>
      <c r="M2153" s="1628">
        <v>7.4689999999999999E-3</v>
      </c>
      <c r="N2153" s="1629">
        <v>1.6178736015176653</v>
      </c>
      <c r="O2153" s="1629"/>
    </row>
    <row r="2154" spans="11:15">
      <c r="K2154" s="1626">
        <v>44211</v>
      </c>
      <c r="L2154" s="1627" t="s">
        <v>2298</v>
      </c>
      <c r="M2154" s="1628">
        <v>7.4689999999999999E-3</v>
      </c>
      <c r="N2154" s="1629">
        <v>1.6179944404969626</v>
      </c>
      <c r="O2154" s="1629"/>
    </row>
    <row r="2155" spans="11:15">
      <c r="K2155" s="1626">
        <v>44212</v>
      </c>
      <c r="L2155" s="1627"/>
      <c r="M2155" s="1628">
        <v>0</v>
      </c>
      <c r="N2155" s="1629">
        <v>1.6179944404969626</v>
      </c>
      <c r="O2155" s="1629"/>
    </row>
    <row r="2156" spans="11:15">
      <c r="K2156" s="1626">
        <v>44213</v>
      </c>
      <c r="L2156" s="1627"/>
      <c r="M2156" s="1628">
        <v>0</v>
      </c>
      <c r="N2156" s="1629">
        <v>1.6179944404969626</v>
      </c>
      <c r="O2156" s="1629"/>
    </row>
    <row r="2157" spans="11:15">
      <c r="K2157" s="1626">
        <v>44214</v>
      </c>
      <c r="L2157" s="1627" t="s">
        <v>2298</v>
      </c>
      <c r="M2157" s="1628">
        <v>7.4689999999999999E-3</v>
      </c>
      <c r="N2157" s="1629">
        <v>1.6181152885017231</v>
      </c>
      <c r="O2157" s="1629"/>
    </row>
    <row r="2158" spans="11:15">
      <c r="K2158" s="1626">
        <v>44215</v>
      </c>
      <c r="L2158" s="1627" t="s">
        <v>2298</v>
      </c>
      <c r="M2158" s="1628">
        <v>7.4689999999999999E-3</v>
      </c>
      <c r="N2158" s="1629">
        <v>1.6182361455326213</v>
      </c>
      <c r="O2158" s="1629"/>
    </row>
    <row r="2159" spans="11:15">
      <c r="K2159" s="1626">
        <v>44216</v>
      </c>
      <c r="L2159" s="1627" t="s">
        <v>2298</v>
      </c>
      <c r="M2159" s="1628">
        <v>7.4689999999999999E-3</v>
      </c>
      <c r="N2159" s="1629">
        <v>1.618357011590331</v>
      </c>
      <c r="O2159" s="1629"/>
    </row>
    <row r="2160" spans="11:15">
      <c r="K2160" s="1626">
        <v>44217</v>
      </c>
      <c r="L2160" s="1627" t="s">
        <v>2298</v>
      </c>
      <c r="M2160" s="1628">
        <v>7.4689999999999999E-3</v>
      </c>
      <c r="N2160" s="1629">
        <v>1.6184778866755265</v>
      </c>
      <c r="O2160" s="1629"/>
    </row>
    <row r="2161" spans="11:15">
      <c r="K2161" s="1626">
        <v>44218</v>
      </c>
      <c r="L2161" s="1627" t="s">
        <v>2298</v>
      </c>
      <c r="M2161" s="1628">
        <v>7.4689999999999999E-3</v>
      </c>
      <c r="N2161" s="1629">
        <v>1.6185987707888823</v>
      </c>
      <c r="O2161" s="1629"/>
    </row>
    <row r="2162" spans="11:15">
      <c r="K2162" s="1626">
        <v>44219</v>
      </c>
      <c r="L2162" s="1627"/>
      <c r="M2162" s="1628">
        <v>0</v>
      </c>
      <c r="N2162" s="1629">
        <v>1.6185987707888823</v>
      </c>
      <c r="O2162" s="1629"/>
    </row>
    <row r="2163" spans="11:15">
      <c r="K2163" s="1626">
        <v>44220</v>
      </c>
      <c r="L2163" s="1627"/>
      <c r="M2163" s="1628">
        <v>0</v>
      </c>
      <c r="N2163" s="1629">
        <v>1.6185987707888823</v>
      </c>
      <c r="O2163" s="1629"/>
    </row>
    <row r="2164" spans="11:15">
      <c r="K2164" s="1626">
        <v>44221</v>
      </c>
      <c r="L2164" s="1627" t="s">
        <v>2298</v>
      </c>
      <c r="M2164" s="1628">
        <v>7.4689999999999999E-3</v>
      </c>
      <c r="N2164" s="1629">
        <v>1.6187196639310724</v>
      </c>
      <c r="O2164" s="1629"/>
    </row>
    <row r="2165" spans="11:15">
      <c r="K2165" s="1626">
        <v>44222</v>
      </c>
      <c r="L2165" s="1627" t="s">
        <v>2298</v>
      </c>
      <c r="M2165" s="1628">
        <v>7.4689999999999999E-3</v>
      </c>
      <c r="N2165" s="1629">
        <v>1.6188405661027712</v>
      </c>
      <c r="O2165" s="1629"/>
    </row>
    <row r="2166" spans="11:15">
      <c r="K2166" s="1626">
        <v>44223</v>
      </c>
      <c r="L2166" s="1627" t="s">
        <v>2298</v>
      </c>
      <c r="M2166" s="1628">
        <v>7.4689999999999999E-3</v>
      </c>
      <c r="N2166" s="1629">
        <v>1.6189614773046532</v>
      </c>
      <c r="O2166" s="1629"/>
    </row>
    <row r="2167" spans="11:15">
      <c r="K2167" s="1626">
        <v>44224</v>
      </c>
      <c r="L2167" s="1627" t="s">
        <v>2298</v>
      </c>
      <c r="M2167" s="1628">
        <v>7.4689999999999999E-3</v>
      </c>
      <c r="N2167" s="1629">
        <v>1.6190823975373929</v>
      </c>
      <c r="O2167" s="1629"/>
    </row>
    <row r="2168" spans="11:15">
      <c r="K2168" s="1626">
        <v>44225</v>
      </c>
      <c r="L2168" s="1627" t="s">
        <v>2298</v>
      </c>
      <c r="M2168" s="1628">
        <v>7.4689999999999999E-3</v>
      </c>
      <c r="N2168" s="1629">
        <v>1.6192033268016648</v>
      </c>
      <c r="O2168" s="1629"/>
    </row>
    <row r="2169" spans="11:15">
      <c r="K2169" s="1626">
        <v>44226</v>
      </c>
      <c r="L2169" s="1627"/>
      <c r="M2169" s="1628">
        <v>0</v>
      </c>
      <c r="N2169" s="1629">
        <v>1.6192033268016648</v>
      </c>
      <c r="O2169" s="1629"/>
    </row>
    <row r="2170" spans="11:15">
      <c r="K2170" s="1626">
        <v>44227</v>
      </c>
      <c r="L2170" s="1627"/>
      <c r="M2170" s="1628">
        <v>0</v>
      </c>
      <c r="N2170" s="1629">
        <v>1.6192033268016648</v>
      </c>
      <c r="O2170" s="1629"/>
    </row>
    <row r="2171" spans="11:15">
      <c r="K2171" s="1626">
        <v>44228</v>
      </c>
      <c r="L2171" s="1627" t="s">
        <v>2298</v>
      </c>
      <c r="M2171" s="1628">
        <v>7.4689999999999999E-3</v>
      </c>
      <c r="N2171" s="1629">
        <v>1.6193242650981434</v>
      </c>
      <c r="O2171" s="1629"/>
    </row>
    <row r="2172" spans="11:15">
      <c r="K2172" s="1626">
        <v>44229</v>
      </c>
      <c r="L2172" s="1627" t="s">
        <v>2298</v>
      </c>
      <c r="M2172" s="1628">
        <v>7.4689999999999999E-3</v>
      </c>
      <c r="N2172" s="1629">
        <v>1.6194452124275034</v>
      </c>
      <c r="O2172" s="1629"/>
    </row>
    <row r="2173" spans="11:15">
      <c r="K2173" s="1626">
        <v>44230</v>
      </c>
      <c r="L2173" s="1627" t="s">
        <v>2298</v>
      </c>
      <c r="M2173" s="1628">
        <v>7.4689999999999999E-3</v>
      </c>
      <c r="N2173" s="1629">
        <v>1.6195661687904195</v>
      </c>
      <c r="O2173" s="1629"/>
    </row>
    <row r="2174" spans="11:15">
      <c r="K2174" s="1626">
        <v>44231</v>
      </c>
      <c r="L2174" s="1627" t="s">
        <v>2298</v>
      </c>
      <c r="M2174" s="1628">
        <v>7.4689999999999999E-3</v>
      </c>
      <c r="N2174" s="1629">
        <v>1.6196871341875663</v>
      </c>
      <c r="O2174" s="1629"/>
    </row>
    <row r="2175" spans="11:15">
      <c r="K2175" s="1626">
        <v>44232</v>
      </c>
      <c r="L2175" s="1627" t="s">
        <v>2298</v>
      </c>
      <c r="M2175" s="1628">
        <v>7.4689999999999999E-3</v>
      </c>
      <c r="N2175" s="1629">
        <v>1.6198081086196185</v>
      </c>
      <c r="O2175" s="1629"/>
    </row>
    <row r="2176" spans="11:15">
      <c r="K2176" s="1626">
        <v>44233</v>
      </c>
      <c r="L2176" s="1627"/>
      <c r="M2176" s="1628">
        <v>0</v>
      </c>
      <c r="N2176" s="1629">
        <v>1.6198081086196185</v>
      </c>
      <c r="O2176" s="1629"/>
    </row>
    <row r="2177" spans="11:15">
      <c r="K2177" s="1626">
        <v>44234</v>
      </c>
      <c r="L2177" s="1627"/>
      <c r="M2177" s="1628">
        <v>0</v>
      </c>
      <c r="N2177" s="1629">
        <v>1.6198081086196185</v>
      </c>
      <c r="O2177" s="1629"/>
    </row>
    <row r="2178" spans="11:15">
      <c r="K2178" s="1626">
        <v>44235</v>
      </c>
      <c r="L2178" s="1627" t="s">
        <v>2298</v>
      </c>
      <c r="M2178" s="1628">
        <v>7.4689999999999999E-3</v>
      </c>
      <c r="N2178" s="1629">
        <v>1.6199290920872513</v>
      </c>
      <c r="O2178" s="1629"/>
    </row>
    <row r="2179" spans="11:15">
      <c r="K2179" s="1626">
        <v>44236</v>
      </c>
      <c r="L2179" s="1627" t="s">
        <v>2298</v>
      </c>
      <c r="M2179" s="1628">
        <v>7.4689999999999999E-3</v>
      </c>
      <c r="N2179" s="1629">
        <v>1.6200500845911392</v>
      </c>
      <c r="O2179" s="1629"/>
    </row>
    <row r="2180" spans="11:15">
      <c r="K2180" s="1626">
        <v>44237</v>
      </c>
      <c r="L2180" s="1627" t="s">
        <v>2298</v>
      </c>
      <c r="M2180" s="1628">
        <v>7.4689999999999999E-3</v>
      </c>
      <c r="N2180" s="1629">
        <v>1.6201710861319571</v>
      </c>
      <c r="O2180" s="1629"/>
    </row>
    <row r="2181" spans="11:15">
      <c r="K2181" s="1626">
        <v>44238</v>
      </c>
      <c r="L2181" s="1627" t="s">
        <v>2298</v>
      </c>
      <c r="M2181" s="1628">
        <v>7.4689999999999999E-3</v>
      </c>
      <c r="N2181" s="1629">
        <v>1.6202920967103802</v>
      </c>
      <c r="O2181" s="1629"/>
    </row>
    <row r="2182" spans="11:15">
      <c r="K2182" s="1626">
        <v>44239</v>
      </c>
      <c r="L2182" s="1627" t="s">
        <v>2298</v>
      </c>
      <c r="M2182" s="1628">
        <v>7.4689999999999999E-3</v>
      </c>
      <c r="N2182" s="1629">
        <v>1.6204131163270834</v>
      </c>
      <c r="O2182" s="1629"/>
    </row>
    <row r="2183" spans="11:15">
      <c r="K2183" s="1626">
        <v>44240</v>
      </c>
      <c r="L2183" s="1627"/>
      <c r="M2183" s="1628">
        <v>0</v>
      </c>
      <c r="N2183" s="1629">
        <v>1.6204131163270834</v>
      </c>
      <c r="O2183" s="1629"/>
    </row>
    <row r="2184" spans="11:15">
      <c r="K2184" s="1626">
        <v>44241</v>
      </c>
      <c r="L2184" s="1627"/>
      <c r="M2184" s="1628">
        <v>0</v>
      </c>
      <c r="N2184" s="1629">
        <v>1.6204131163270834</v>
      </c>
      <c r="O2184" s="1629"/>
    </row>
    <row r="2185" spans="11:15">
      <c r="K2185" s="1626">
        <v>44242</v>
      </c>
      <c r="L2185" s="1627"/>
      <c r="M2185" s="1628">
        <v>0</v>
      </c>
      <c r="N2185" s="1629">
        <v>1.6204131163270834</v>
      </c>
      <c r="O2185" s="1629"/>
    </row>
    <row r="2186" spans="11:15">
      <c r="K2186" s="1626">
        <v>44243</v>
      </c>
      <c r="L2186" s="1627"/>
      <c r="M2186" s="1628">
        <v>0</v>
      </c>
      <c r="N2186" s="1629">
        <v>1.6204131163270834</v>
      </c>
      <c r="O2186" s="1629"/>
    </row>
    <row r="2187" spans="11:15">
      <c r="K2187" s="1626">
        <v>44244</v>
      </c>
      <c r="L2187" s="1627" t="s">
        <v>2298</v>
      </c>
      <c r="M2187" s="1628">
        <v>7.4689999999999999E-3</v>
      </c>
      <c r="N2187" s="1629">
        <v>1.6205341449827417</v>
      </c>
      <c r="O2187" s="1629"/>
    </row>
    <row r="2188" spans="11:15">
      <c r="K2188" s="1626">
        <v>44245</v>
      </c>
      <c r="L2188" s="1627" t="s">
        <v>2298</v>
      </c>
      <c r="M2188" s="1628">
        <v>7.4689999999999999E-3</v>
      </c>
      <c r="N2188" s="1629">
        <v>1.6206551826780304</v>
      </c>
      <c r="O2188" s="1629"/>
    </row>
    <row r="2189" spans="11:15">
      <c r="K2189" s="1626">
        <v>44246</v>
      </c>
      <c r="L2189" s="1627" t="s">
        <v>2298</v>
      </c>
      <c r="M2189" s="1628">
        <v>7.4689999999999999E-3</v>
      </c>
      <c r="N2189" s="1629">
        <v>1.6207762294136245</v>
      </c>
      <c r="O2189" s="1629"/>
    </row>
    <row r="2190" spans="11:15">
      <c r="K2190" s="1626">
        <v>44247</v>
      </c>
      <c r="L2190" s="1627"/>
      <c r="M2190" s="1628">
        <v>0</v>
      </c>
      <c r="N2190" s="1629">
        <v>1.6207762294136245</v>
      </c>
      <c r="O2190" s="1629"/>
    </row>
    <row r="2191" spans="11:15">
      <c r="K2191" s="1626">
        <v>44248</v>
      </c>
      <c r="L2191" s="1627"/>
      <c r="M2191" s="1628">
        <v>0</v>
      </c>
      <c r="N2191" s="1629">
        <v>1.6207762294136245</v>
      </c>
      <c r="O2191" s="1629"/>
    </row>
    <row r="2192" spans="11:15">
      <c r="K2192" s="1626">
        <v>44249</v>
      </c>
      <c r="L2192" s="1627" t="s">
        <v>2298</v>
      </c>
      <c r="M2192" s="1628">
        <v>7.4689999999999999E-3</v>
      </c>
      <c r="N2192" s="1629">
        <v>1.6208972851901993</v>
      </c>
      <c r="O2192" s="1629"/>
    </row>
    <row r="2193" spans="11:15">
      <c r="K2193" s="1626">
        <v>44250</v>
      </c>
      <c r="L2193" s="1627" t="s">
        <v>2298</v>
      </c>
      <c r="M2193" s="1628">
        <v>7.4689999999999999E-3</v>
      </c>
      <c r="N2193" s="1629">
        <v>1.6210183500084301</v>
      </c>
      <c r="O2193" s="1629"/>
    </row>
    <row r="2194" spans="11:15">
      <c r="K2194" s="1626">
        <v>44251</v>
      </c>
      <c r="L2194" s="1627" t="s">
        <v>2298</v>
      </c>
      <c r="M2194" s="1628">
        <v>7.4689999999999999E-3</v>
      </c>
      <c r="N2194" s="1629">
        <v>1.621139423868992</v>
      </c>
      <c r="O2194" s="1629"/>
    </row>
    <row r="2195" spans="11:15">
      <c r="K2195" s="1626">
        <v>44252</v>
      </c>
      <c r="L2195" s="1627" t="s">
        <v>2298</v>
      </c>
      <c r="M2195" s="1628">
        <v>7.4689999999999999E-3</v>
      </c>
      <c r="N2195" s="1629">
        <v>1.6212605067725607</v>
      </c>
      <c r="O2195" s="1629"/>
    </row>
    <row r="2196" spans="11:15">
      <c r="K2196" s="1626">
        <v>44253</v>
      </c>
      <c r="L2196" s="1627" t="s">
        <v>2298</v>
      </c>
      <c r="M2196" s="1628">
        <v>7.4689999999999999E-3</v>
      </c>
      <c r="N2196" s="1629">
        <v>1.6213815987198115</v>
      </c>
      <c r="O2196" s="1629"/>
    </row>
    <row r="2197" spans="11:15">
      <c r="K2197" s="1626">
        <v>44254</v>
      </c>
      <c r="L2197" s="1627"/>
      <c r="M2197" s="1628">
        <v>0</v>
      </c>
      <c r="N2197" s="1629">
        <v>1.6213815987198115</v>
      </c>
      <c r="O2197" s="1629"/>
    </row>
    <row r="2198" spans="11:15">
      <c r="K2198" s="1626">
        <v>44255</v>
      </c>
      <c r="L2198" s="1627"/>
      <c r="M2198" s="1628">
        <v>0</v>
      </c>
      <c r="N2198" s="1629">
        <v>1.6213815987198115</v>
      </c>
      <c r="O2198" s="1629"/>
    </row>
    <row r="2199" spans="11:15">
      <c r="K2199" s="1626">
        <v>44256</v>
      </c>
      <c r="L2199" s="1627" t="s">
        <v>2298</v>
      </c>
      <c r="M2199" s="1628">
        <v>7.4689999999999999E-3</v>
      </c>
      <c r="N2199" s="1629">
        <v>1.6215026997114197</v>
      </c>
      <c r="O2199" s="1629"/>
    </row>
    <row r="2200" spans="11:15">
      <c r="K2200" s="1626">
        <v>44257</v>
      </c>
      <c r="L2200" s="1627" t="s">
        <v>2298</v>
      </c>
      <c r="M2200" s="1628">
        <v>7.4689999999999999E-3</v>
      </c>
      <c r="N2200" s="1629">
        <v>1.6216238097480611</v>
      </c>
      <c r="O2200" s="1629"/>
    </row>
    <row r="2201" spans="11:15">
      <c r="K2201" s="1626">
        <v>44258</v>
      </c>
      <c r="L2201" s="1627" t="s">
        <v>2298</v>
      </c>
      <c r="M2201" s="1628">
        <v>7.4689999999999999E-3</v>
      </c>
      <c r="N2201" s="1629">
        <v>1.6217449288304111</v>
      </c>
      <c r="O2201" s="1629"/>
    </row>
    <row r="2202" spans="11:15">
      <c r="K2202" s="1626">
        <v>44259</v>
      </c>
      <c r="L2202" s="1627" t="s">
        <v>2298</v>
      </c>
      <c r="M2202" s="1628">
        <v>7.4689999999999999E-3</v>
      </c>
      <c r="N2202" s="1629">
        <v>1.6218660569591454</v>
      </c>
      <c r="O2202" s="1629"/>
    </row>
    <row r="2203" spans="11:15">
      <c r="K2203" s="1626">
        <v>44260</v>
      </c>
      <c r="L2203" s="1627" t="s">
        <v>2298</v>
      </c>
      <c r="M2203" s="1628">
        <v>7.4689999999999999E-3</v>
      </c>
      <c r="N2203" s="1629">
        <v>1.6219871941349395</v>
      </c>
      <c r="O2203" s="1629"/>
    </row>
    <row r="2204" spans="11:15">
      <c r="K2204" s="1626">
        <v>44261</v>
      </c>
      <c r="L2204" s="1627"/>
      <c r="M2204" s="1628">
        <v>0</v>
      </c>
      <c r="N2204" s="1629">
        <v>1.6219871941349395</v>
      </c>
      <c r="O2204" s="1629"/>
    </row>
    <row r="2205" spans="11:15">
      <c r="K2205" s="1626">
        <v>44262</v>
      </c>
      <c r="L2205" s="1627"/>
      <c r="M2205" s="1628">
        <v>0</v>
      </c>
      <c r="N2205" s="1629">
        <v>1.6219871941349395</v>
      </c>
      <c r="O2205" s="1629"/>
    </row>
    <row r="2206" spans="11:15">
      <c r="K2206" s="1626">
        <v>44263</v>
      </c>
      <c r="L2206" s="1627" t="s">
        <v>2298</v>
      </c>
      <c r="M2206" s="1628">
        <v>7.4689999999999999E-3</v>
      </c>
      <c r="N2206" s="1629">
        <v>1.6221083403584693</v>
      </c>
      <c r="O2206" s="1629"/>
    </row>
    <row r="2207" spans="11:15">
      <c r="K2207" s="1626">
        <v>44264</v>
      </c>
      <c r="L2207" s="1627" t="s">
        <v>2298</v>
      </c>
      <c r="M2207" s="1628">
        <v>7.4689999999999999E-3</v>
      </c>
      <c r="N2207" s="1629">
        <v>1.6222294956304106</v>
      </c>
      <c r="O2207" s="1629"/>
    </row>
    <row r="2208" spans="11:15">
      <c r="K2208" s="1626">
        <v>44265</v>
      </c>
      <c r="L2208" s="1627" t="s">
        <v>2298</v>
      </c>
      <c r="M2208" s="1628">
        <v>7.4689999999999999E-3</v>
      </c>
      <c r="N2208" s="1629">
        <v>1.6223506599514392</v>
      </c>
      <c r="O2208" s="1629"/>
    </row>
    <row r="2209" spans="11:15">
      <c r="K2209" s="1626">
        <v>44266</v>
      </c>
      <c r="L2209" s="1627" t="s">
        <v>2298</v>
      </c>
      <c r="M2209" s="1628">
        <v>7.4689999999999999E-3</v>
      </c>
      <c r="N2209" s="1629">
        <v>1.622471833322231</v>
      </c>
      <c r="O2209" s="1629"/>
    </row>
    <row r="2210" spans="11:15">
      <c r="K2210" s="1626">
        <v>44267</v>
      </c>
      <c r="L2210" s="1627" t="s">
        <v>2298</v>
      </c>
      <c r="M2210" s="1628">
        <v>7.4689999999999999E-3</v>
      </c>
      <c r="N2210" s="1629">
        <v>1.6225930157434618</v>
      </c>
      <c r="O2210" s="1629"/>
    </row>
    <row r="2211" spans="11:15">
      <c r="K2211" s="1626">
        <v>44268</v>
      </c>
      <c r="L2211" s="1627"/>
      <c r="M2211" s="1628">
        <v>0</v>
      </c>
      <c r="N2211" s="1629">
        <v>1.6225930157434618</v>
      </c>
      <c r="O2211" s="1629"/>
    </row>
    <row r="2212" spans="11:15">
      <c r="K2212" s="1626">
        <v>44269</v>
      </c>
      <c r="L2212" s="1627"/>
      <c r="M2212" s="1628">
        <v>0</v>
      </c>
      <c r="N2212" s="1629">
        <v>1.6225930157434618</v>
      </c>
      <c r="O2212" s="1629"/>
    </row>
    <row r="2213" spans="11:15">
      <c r="K2213" s="1626">
        <v>44270</v>
      </c>
      <c r="L2213" s="1627" t="s">
        <v>2298</v>
      </c>
      <c r="M2213" s="1628">
        <v>7.4689999999999999E-3</v>
      </c>
      <c r="N2213" s="1629">
        <v>1.6227142072158076</v>
      </c>
      <c r="O2213" s="1629"/>
    </row>
    <row r="2214" spans="11:15">
      <c r="K2214" s="1626">
        <v>44271</v>
      </c>
      <c r="L2214" s="1627" t="s">
        <v>2298</v>
      </c>
      <c r="M2214" s="1628">
        <v>7.4689999999999999E-3</v>
      </c>
      <c r="N2214" s="1629">
        <v>1.6228354077399445</v>
      </c>
      <c r="O2214" s="1629"/>
    </row>
    <row r="2215" spans="11:15">
      <c r="K2215" s="1626">
        <v>44272</v>
      </c>
      <c r="L2215" s="1627" t="s">
        <v>2298</v>
      </c>
      <c r="M2215" s="1628">
        <v>7.4689999999999999E-3</v>
      </c>
      <c r="N2215" s="1629">
        <v>1.6229566173165484</v>
      </c>
      <c r="O2215" s="1629"/>
    </row>
    <row r="2216" spans="11:15">
      <c r="K2216" s="1626">
        <v>44273</v>
      </c>
      <c r="L2216" s="1627" t="s">
        <v>2298</v>
      </c>
      <c r="M2216" s="1628">
        <v>1.0378999999999999E-2</v>
      </c>
      <c r="N2216" s="1629">
        <v>1.6231250639838597</v>
      </c>
      <c r="O2216" s="1629"/>
    </row>
    <row r="2217" spans="11:15">
      <c r="K2217" s="1626">
        <v>44274</v>
      </c>
      <c r="L2217" s="1627" t="s">
        <v>2298</v>
      </c>
      <c r="M2217" s="1628">
        <v>1.0378999999999999E-2</v>
      </c>
      <c r="N2217" s="1629">
        <v>1.6232935281342507</v>
      </c>
      <c r="O2217" s="1629"/>
    </row>
    <row r="2218" spans="11:15">
      <c r="K2218" s="1626">
        <v>44275</v>
      </c>
      <c r="L2218" s="1627"/>
      <c r="M2218" s="1628">
        <v>0</v>
      </c>
      <c r="N2218" s="1629">
        <v>1.6232935281342507</v>
      </c>
      <c r="O2218" s="1629"/>
    </row>
    <row r="2219" spans="11:15">
      <c r="K2219" s="1626">
        <v>44276</v>
      </c>
      <c r="L2219" s="1627"/>
      <c r="M2219" s="1628">
        <v>0</v>
      </c>
      <c r="N2219" s="1629">
        <v>1.6232935281342507</v>
      </c>
      <c r="O2219" s="1629"/>
    </row>
    <row r="2220" spans="11:15">
      <c r="K2220" s="1626">
        <v>44277</v>
      </c>
      <c r="L2220" s="1627" t="s">
        <v>2298</v>
      </c>
      <c r="M2220" s="1628">
        <v>1.0378999999999999E-2</v>
      </c>
      <c r="N2220" s="1629">
        <v>1.6234620097695358</v>
      </c>
      <c r="O2220" s="1629"/>
    </row>
    <row r="2221" spans="11:15">
      <c r="K2221" s="1626">
        <v>44278</v>
      </c>
      <c r="L2221" s="1627" t="s">
        <v>2298</v>
      </c>
      <c r="M2221" s="1628">
        <v>1.0378999999999999E-2</v>
      </c>
      <c r="N2221" s="1629">
        <v>1.6236305088915299</v>
      </c>
      <c r="O2221" s="1629"/>
    </row>
    <row r="2222" spans="11:15">
      <c r="K2222" s="1626">
        <v>44279</v>
      </c>
      <c r="L2222" s="1627" t="s">
        <v>2298</v>
      </c>
      <c r="M2222" s="1628">
        <v>1.0378999999999999E-2</v>
      </c>
      <c r="N2222" s="1629">
        <v>1.6237990255020478</v>
      </c>
      <c r="O2222" s="1629"/>
    </row>
    <row r="2223" spans="11:15">
      <c r="K2223" s="1626">
        <v>44280</v>
      </c>
      <c r="L2223" s="1627" t="s">
        <v>2298</v>
      </c>
      <c r="M2223" s="1628">
        <v>1.0378999999999999E-2</v>
      </c>
      <c r="N2223" s="1629">
        <v>1.6239675596029048</v>
      </c>
      <c r="O2223" s="1629"/>
    </row>
    <row r="2224" spans="11:15">
      <c r="K2224" s="1626">
        <v>44281</v>
      </c>
      <c r="L2224" s="1627" t="s">
        <v>2298</v>
      </c>
      <c r="M2224" s="1628">
        <v>1.0378999999999999E-2</v>
      </c>
      <c r="N2224" s="1629">
        <v>1.6241361111959161</v>
      </c>
      <c r="O2224" s="1629"/>
    </row>
    <row r="2225" spans="11:15">
      <c r="K2225" s="1626">
        <v>44282</v>
      </c>
      <c r="L2225" s="1627"/>
      <c r="M2225" s="1628">
        <v>0</v>
      </c>
      <c r="N2225" s="1629">
        <v>1.6241361111959161</v>
      </c>
      <c r="O2225" s="1629"/>
    </row>
    <row r="2226" spans="11:15">
      <c r="K2226" s="1626">
        <v>44283</v>
      </c>
      <c r="L2226" s="1627"/>
      <c r="M2226" s="1628">
        <v>0</v>
      </c>
      <c r="N2226" s="1629">
        <v>1.6241361111959161</v>
      </c>
      <c r="O2226" s="1629"/>
    </row>
    <row r="2227" spans="11:15">
      <c r="K2227" s="1626">
        <v>44284</v>
      </c>
      <c r="L2227" s="1627" t="s">
        <v>2298</v>
      </c>
      <c r="M2227" s="1628">
        <v>1.0378999999999999E-2</v>
      </c>
      <c r="N2227" s="1629">
        <v>1.6243046802828971</v>
      </c>
      <c r="O2227" s="1629"/>
    </row>
    <row r="2228" spans="11:15">
      <c r="K2228" s="1626">
        <v>44285</v>
      </c>
      <c r="L2228" s="1627" t="s">
        <v>2298</v>
      </c>
      <c r="M2228" s="1628">
        <v>1.0378999999999999E-2</v>
      </c>
      <c r="N2228" s="1629">
        <v>1.6244732668656638</v>
      </c>
      <c r="O2228" s="1629"/>
    </row>
    <row r="2229" spans="11:15">
      <c r="K2229" s="1626">
        <v>44286</v>
      </c>
      <c r="L2229" s="1627" t="s">
        <v>2298</v>
      </c>
      <c r="M2229" s="1628">
        <v>1.0378999999999999E-2</v>
      </c>
      <c r="N2229" s="1629">
        <v>1.624641870946032</v>
      </c>
      <c r="O2229" s="1629"/>
    </row>
    <row r="2230" spans="11:15">
      <c r="K2230" s="1626">
        <v>44287</v>
      </c>
      <c r="L2230" s="1627" t="s">
        <v>2298</v>
      </c>
      <c r="M2230" s="1628">
        <v>1.0378999999999999E-2</v>
      </c>
      <c r="N2230" s="1629">
        <v>1.6248104925258176</v>
      </c>
      <c r="O2230" s="1629"/>
    </row>
    <row r="2231" spans="11:15">
      <c r="K2231" s="1626">
        <v>44288</v>
      </c>
      <c r="L2231" s="1627"/>
      <c r="M2231" s="1628">
        <v>0</v>
      </c>
      <c r="N2231" s="1629">
        <v>1.6248104925258176</v>
      </c>
      <c r="O2231" s="1629"/>
    </row>
    <row r="2232" spans="11:15">
      <c r="K2232" s="1626">
        <v>44289</v>
      </c>
      <c r="L2232" s="1627"/>
      <c r="M2232" s="1628">
        <v>0</v>
      </c>
      <c r="N2232" s="1629">
        <v>1.6248104925258176</v>
      </c>
      <c r="O2232" s="1629"/>
    </row>
    <row r="2233" spans="11:15">
      <c r="K2233" s="1626">
        <v>44290</v>
      </c>
      <c r="L2233" s="1627"/>
      <c r="M2233" s="1628">
        <v>0</v>
      </c>
      <c r="N2233" s="1629">
        <v>1.6248104925258176</v>
      </c>
      <c r="O2233" s="1629"/>
    </row>
    <row r="2234" spans="11:15">
      <c r="K2234" s="1626">
        <v>44291</v>
      </c>
      <c r="L2234" s="1627" t="s">
        <v>2298</v>
      </c>
      <c r="M2234" s="1628">
        <v>1.0378999999999999E-2</v>
      </c>
      <c r="N2234" s="1629">
        <v>1.6249791316068369</v>
      </c>
      <c r="O2234" s="1629"/>
    </row>
    <row r="2235" spans="11:15">
      <c r="K2235" s="1626">
        <v>44292</v>
      </c>
      <c r="L2235" s="1627" t="s">
        <v>2298</v>
      </c>
      <c r="M2235" s="1628">
        <v>1.0378999999999999E-2</v>
      </c>
      <c r="N2235" s="1629">
        <v>1.6251477881909064</v>
      </c>
      <c r="O2235" s="1629"/>
    </row>
    <row r="2236" spans="11:15">
      <c r="K2236" s="1626">
        <v>44293</v>
      </c>
      <c r="L2236" s="1627" t="s">
        <v>2298</v>
      </c>
      <c r="M2236" s="1628">
        <v>1.0378999999999999E-2</v>
      </c>
      <c r="N2236" s="1629">
        <v>1.6253164622798428</v>
      </c>
      <c r="O2236" s="1629"/>
    </row>
    <row r="2237" spans="11:15">
      <c r="K2237" s="1626">
        <v>44294</v>
      </c>
      <c r="L2237" s="1627" t="s">
        <v>2298</v>
      </c>
      <c r="M2237" s="1628">
        <v>1.0378999999999999E-2</v>
      </c>
      <c r="N2237" s="1629">
        <v>1.6254851538754629</v>
      </c>
      <c r="O2237" s="1629"/>
    </row>
    <row r="2238" spans="11:15">
      <c r="K2238" s="1626">
        <v>44295</v>
      </c>
      <c r="L2238" s="1627" t="s">
        <v>2298</v>
      </c>
      <c r="M2238" s="1628">
        <v>1.0378999999999999E-2</v>
      </c>
      <c r="N2238" s="1629">
        <v>1.6256538629795838</v>
      </c>
      <c r="O2238" s="1629"/>
    </row>
    <row r="2239" spans="11:15">
      <c r="K2239" s="1626">
        <v>44296</v>
      </c>
      <c r="L2239" s="1627"/>
      <c r="M2239" s="1628">
        <v>0</v>
      </c>
      <c r="N2239" s="1629">
        <v>1.6256538629795838</v>
      </c>
      <c r="O2239" s="1629"/>
    </row>
    <row r="2240" spans="11:15">
      <c r="K2240" s="1626">
        <v>44297</v>
      </c>
      <c r="L2240" s="1627"/>
      <c r="M2240" s="1628">
        <v>0</v>
      </c>
      <c r="N2240" s="1629">
        <v>1.6256538629795838</v>
      </c>
      <c r="O2240" s="1629"/>
    </row>
    <row r="2241" spans="11:15">
      <c r="K2241" s="1626">
        <v>44298</v>
      </c>
      <c r="L2241" s="1627" t="s">
        <v>2298</v>
      </c>
      <c r="M2241" s="1628">
        <v>1.0378999999999999E-2</v>
      </c>
      <c r="N2241" s="1629">
        <v>1.6258225895940226</v>
      </c>
      <c r="O2241" s="1629"/>
    </row>
    <row r="2242" spans="11:15">
      <c r="K2242" s="1626">
        <v>44299</v>
      </c>
      <c r="L2242" s="1627" t="s">
        <v>2298</v>
      </c>
      <c r="M2242" s="1628">
        <v>1.0378999999999999E-2</v>
      </c>
      <c r="N2242" s="1629">
        <v>1.6259913337205967</v>
      </c>
      <c r="O2242" s="1629"/>
    </row>
    <row r="2243" spans="11:15">
      <c r="K2243" s="1626">
        <v>44300</v>
      </c>
      <c r="L2243" s="1627" t="s">
        <v>2298</v>
      </c>
      <c r="M2243" s="1628">
        <v>1.0378999999999999E-2</v>
      </c>
      <c r="N2243" s="1629">
        <v>1.6261600953611237</v>
      </c>
      <c r="O2243" s="1629"/>
    </row>
    <row r="2244" spans="11:15">
      <c r="K2244" s="1626">
        <v>44301</v>
      </c>
      <c r="L2244" s="1627" t="s">
        <v>2298</v>
      </c>
      <c r="M2244" s="1628">
        <v>1.0378999999999999E-2</v>
      </c>
      <c r="N2244" s="1629">
        <v>1.6263288745174214</v>
      </c>
      <c r="O2244" s="1629"/>
    </row>
    <row r="2245" spans="11:15">
      <c r="K2245" s="1626">
        <v>44302</v>
      </c>
      <c r="L2245" s="1627" t="s">
        <v>2298</v>
      </c>
      <c r="M2245" s="1628">
        <v>1.0378999999999999E-2</v>
      </c>
      <c r="N2245" s="1629">
        <v>1.6264976711913075</v>
      </c>
      <c r="O2245" s="1629"/>
    </row>
    <row r="2246" spans="11:15">
      <c r="K2246" s="1626">
        <v>44303</v>
      </c>
      <c r="L2246" s="1627"/>
      <c r="M2246" s="1628">
        <v>0</v>
      </c>
      <c r="N2246" s="1629">
        <v>1.6264976711913075</v>
      </c>
      <c r="O2246" s="1629"/>
    </row>
    <row r="2247" spans="11:15">
      <c r="K2247" s="1626">
        <v>44304</v>
      </c>
      <c r="L2247" s="1627"/>
      <c r="M2247" s="1628">
        <v>0</v>
      </c>
      <c r="N2247" s="1629">
        <v>1.6264976711913075</v>
      </c>
      <c r="O2247" s="1629"/>
    </row>
    <row r="2248" spans="11:15">
      <c r="K2248" s="1626">
        <v>44305</v>
      </c>
      <c r="L2248" s="1627" t="s">
        <v>2298</v>
      </c>
      <c r="M2248" s="1628">
        <v>1.0378999999999999E-2</v>
      </c>
      <c r="N2248" s="1629">
        <v>1.6266664853846005</v>
      </c>
      <c r="O2248" s="1629"/>
    </row>
    <row r="2249" spans="11:15">
      <c r="K2249" s="1626">
        <v>44306</v>
      </c>
      <c r="L2249" s="1627" t="s">
        <v>2298</v>
      </c>
      <c r="M2249" s="1628">
        <v>1.0378999999999999E-2</v>
      </c>
      <c r="N2249" s="1629">
        <v>1.6268353170991185</v>
      </c>
      <c r="O2249" s="1629"/>
    </row>
    <row r="2250" spans="11:15">
      <c r="K2250" s="1626">
        <v>44307</v>
      </c>
      <c r="L2250" s="1627"/>
      <c r="M2250" s="1628">
        <v>0</v>
      </c>
      <c r="N2250" s="1629">
        <v>1.6268353170991185</v>
      </c>
      <c r="O2250" s="1629"/>
    </row>
    <row r="2251" spans="11:15">
      <c r="K2251" s="1626">
        <v>44308</v>
      </c>
      <c r="L2251" s="1627" t="s">
        <v>2298</v>
      </c>
      <c r="M2251" s="1628">
        <v>1.0378999999999999E-2</v>
      </c>
      <c r="N2251" s="1629">
        <v>1.6270041663366803</v>
      </c>
      <c r="O2251" s="1629"/>
    </row>
    <row r="2252" spans="11:15">
      <c r="K2252" s="1626">
        <v>44309</v>
      </c>
      <c r="L2252" s="1627" t="s">
        <v>2298</v>
      </c>
      <c r="M2252" s="1628">
        <v>1.0378999999999999E-2</v>
      </c>
      <c r="N2252" s="1629">
        <v>1.6271730330991045</v>
      </c>
      <c r="O2252" s="1629"/>
    </row>
    <row r="2253" spans="11:15">
      <c r="K2253" s="1626">
        <v>44310</v>
      </c>
      <c r="L2253" s="1627"/>
      <c r="M2253" s="1628">
        <v>0</v>
      </c>
      <c r="N2253" s="1629">
        <v>1.6271730330991045</v>
      </c>
      <c r="O2253" s="1629"/>
    </row>
    <row r="2254" spans="11:15">
      <c r="K2254" s="1626">
        <v>44311</v>
      </c>
      <c r="L2254" s="1627"/>
      <c r="M2254" s="1628">
        <v>0</v>
      </c>
      <c r="N2254" s="1629">
        <v>1.6271730330991045</v>
      </c>
      <c r="O2254" s="1629"/>
    </row>
    <row r="2255" spans="11:15">
      <c r="K2255" s="1626">
        <v>44312</v>
      </c>
      <c r="L2255" s="1627" t="s">
        <v>2298</v>
      </c>
      <c r="M2255" s="1628">
        <v>1.0378999999999999E-2</v>
      </c>
      <c r="N2255" s="1629">
        <v>1.62734191738821</v>
      </c>
      <c r="O2255" s="1629"/>
    </row>
    <row r="2256" spans="11:15">
      <c r="K2256" s="1626">
        <v>44313</v>
      </c>
      <c r="L2256" s="1627" t="s">
        <v>2298</v>
      </c>
      <c r="M2256" s="1628">
        <v>1.0378999999999999E-2</v>
      </c>
      <c r="N2256" s="1629">
        <v>1.6275108192058159</v>
      </c>
      <c r="O2256" s="1629"/>
    </row>
    <row r="2257" spans="11:15">
      <c r="K2257" s="1626">
        <v>44314</v>
      </c>
      <c r="L2257" s="1627" t="s">
        <v>2298</v>
      </c>
      <c r="M2257" s="1628">
        <v>1.0378999999999999E-2</v>
      </c>
      <c r="N2257" s="1629">
        <v>1.6276797385537414</v>
      </c>
      <c r="O2257" s="1629"/>
    </row>
    <row r="2258" spans="11:15">
      <c r="K2258" s="1626">
        <v>44315</v>
      </c>
      <c r="L2258" s="1627" t="s">
        <v>2298</v>
      </c>
      <c r="M2258" s="1628">
        <v>1.0378999999999999E-2</v>
      </c>
      <c r="N2258" s="1629">
        <v>1.627848675433806</v>
      </c>
      <c r="O2258" s="1629"/>
    </row>
    <row r="2259" spans="11:15">
      <c r="K2259" s="1626">
        <v>44316</v>
      </c>
      <c r="L2259" s="1627" t="s">
        <v>2298</v>
      </c>
      <c r="M2259" s="1628">
        <v>1.0378999999999999E-2</v>
      </c>
      <c r="N2259" s="1629">
        <v>1.6280176298478293</v>
      </c>
      <c r="O2259" s="1629"/>
    </row>
    <row r="2260" spans="11:15">
      <c r="K2260" s="1626">
        <v>44317</v>
      </c>
      <c r="L2260" s="1627"/>
      <c r="M2260" s="1628">
        <v>0</v>
      </c>
      <c r="N2260" s="1629">
        <v>1.6280176298478293</v>
      </c>
      <c r="O2260" s="1629"/>
    </row>
    <row r="2261" spans="11:15">
      <c r="K2261" s="1626">
        <v>44318</v>
      </c>
      <c r="L2261" s="1627"/>
      <c r="M2261" s="1628">
        <v>0</v>
      </c>
      <c r="N2261" s="1629">
        <v>1.6280176298478293</v>
      </c>
      <c r="O2261" s="1629"/>
    </row>
    <row r="2262" spans="11:15">
      <c r="K2262" s="1626">
        <v>44319</v>
      </c>
      <c r="L2262" s="1627" t="s">
        <v>2298</v>
      </c>
      <c r="M2262" s="1628">
        <v>1.0378999999999999E-2</v>
      </c>
      <c r="N2262" s="1629">
        <v>1.6281866017976312</v>
      </c>
      <c r="O2262" s="1629"/>
    </row>
    <row r="2263" spans="11:15">
      <c r="K2263" s="1626">
        <v>44320</v>
      </c>
      <c r="L2263" s="1627" t="s">
        <v>2298</v>
      </c>
      <c r="M2263" s="1628">
        <v>1.0378999999999999E-2</v>
      </c>
      <c r="N2263" s="1629">
        <v>1.6283555912850318</v>
      </c>
      <c r="O2263" s="1629"/>
    </row>
    <row r="2264" spans="11:15">
      <c r="K2264" s="1626">
        <v>44321</v>
      </c>
      <c r="L2264" s="1627" t="s">
        <v>2298</v>
      </c>
      <c r="M2264" s="1628">
        <v>1.0378999999999999E-2</v>
      </c>
      <c r="N2264" s="1629">
        <v>1.6285245983118515</v>
      </c>
      <c r="O2264" s="1629"/>
    </row>
    <row r="2265" spans="11:15">
      <c r="K2265" s="1626">
        <v>44322</v>
      </c>
      <c r="L2265" s="1627" t="s">
        <v>2298</v>
      </c>
      <c r="M2265" s="1628">
        <v>1.3269E-2</v>
      </c>
      <c r="N2265" s="1629">
        <v>1.6287406872408015</v>
      </c>
      <c r="O2265" s="1629"/>
    </row>
    <row r="2266" spans="11:15">
      <c r="K2266" s="1626">
        <v>44323</v>
      </c>
      <c r="L2266" s="1627" t="s">
        <v>2298</v>
      </c>
      <c r="M2266" s="1628">
        <v>1.3269E-2</v>
      </c>
      <c r="N2266" s="1629">
        <v>1.6289568048425915</v>
      </c>
      <c r="O2266" s="1629"/>
    </row>
    <row r="2267" spans="11:15">
      <c r="K2267" s="1626">
        <v>44324</v>
      </c>
      <c r="L2267" s="1627"/>
      <c r="M2267" s="1628">
        <v>0</v>
      </c>
      <c r="N2267" s="1629">
        <v>1.6289568048425915</v>
      </c>
      <c r="O2267" s="1629"/>
    </row>
    <row r="2268" spans="11:15">
      <c r="K2268" s="1626">
        <v>44325</v>
      </c>
      <c r="L2268" s="1627"/>
      <c r="M2268" s="1628">
        <v>0</v>
      </c>
      <c r="N2268" s="1629">
        <v>1.6289568048425915</v>
      </c>
      <c r="O2268" s="1629"/>
    </row>
    <row r="2269" spans="11:15">
      <c r="K2269" s="1626">
        <v>44326</v>
      </c>
      <c r="L2269" s="1627" t="s">
        <v>2298</v>
      </c>
      <c r="M2269" s="1628">
        <v>1.3269E-2</v>
      </c>
      <c r="N2269" s="1629">
        <v>1.6291729511210262</v>
      </c>
      <c r="O2269" s="1629"/>
    </row>
    <row r="2270" spans="11:15">
      <c r="K2270" s="1626">
        <v>44327</v>
      </c>
      <c r="L2270" s="1627" t="s">
        <v>2298</v>
      </c>
      <c r="M2270" s="1628">
        <v>1.3269E-2</v>
      </c>
      <c r="N2270" s="1629">
        <v>1.6293891260799105</v>
      </c>
      <c r="O2270" s="1629"/>
    </row>
    <row r="2271" spans="11:15">
      <c r="K2271" s="1626">
        <v>44328</v>
      </c>
      <c r="L2271" s="1627" t="s">
        <v>2298</v>
      </c>
      <c r="M2271" s="1628">
        <v>1.3269E-2</v>
      </c>
      <c r="N2271" s="1629">
        <v>1.6296053297230502</v>
      </c>
      <c r="O2271" s="1629"/>
    </row>
    <row r="2272" spans="11:15">
      <c r="K2272" s="1626">
        <v>44329</v>
      </c>
      <c r="L2272" s="1627" t="s">
        <v>2298</v>
      </c>
      <c r="M2272" s="1628">
        <v>1.3269E-2</v>
      </c>
      <c r="N2272" s="1629">
        <v>1.6298215620542511</v>
      </c>
      <c r="O2272" s="1629"/>
    </row>
    <row r="2273" spans="11:15">
      <c r="K2273" s="1626">
        <v>44330</v>
      </c>
      <c r="L2273" s="1627" t="s">
        <v>2298</v>
      </c>
      <c r="M2273" s="1628">
        <v>1.3269E-2</v>
      </c>
      <c r="N2273" s="1629">
        <v>1.6300378230773203</v>
      </c>
      <c r="O2273" s="1629"/>
    </row>
    <row r="2274" spans="11:15">
      <c r="K2274" s="1626">
        <v>44331</v>
      </c>
      <c r="L2274" s="1627"/>
      <c r="M2274" s="1628">
        <v>0</v>
      </c>
      <c r="N2274" s="1629">
        <v>1.6300378230773203</v>
      </c>
      <c r="O2274" s="1629"/>
    </row>
    <row r="2275" spans="11:15">
      <c r="K2275" s="1626">
        <v>44332</v>
      </c>
      <c r="L2275" s="1627"/>
      <c r="M2275" s="1628">
        <v>0</v>
      </c>
      <c r="N2275" s="1629">
        <v>1.6300378230773203</v>
      </c>
      <c r="O2275" s="1629"/>
    </row>
    <row r="2276" spans="11:15">
      <c r="K2276" s="1626">
        <v>44333</v>
      </c>
      <c r="L2276" s="1627" t="s">
        <v>2298</v>
      </c>
      <c r="M2276" s="1628">
        <v>1.3269E-2</v>
      </c>
      <c r="N2276" s="1629">
        <v>1.6302541127960644</v>
      </c>
      <c r="O2276" s="1629"/>
    </row>
    <row r="2277" spans="11:15">
      <c r="K2277" s="1626">
        <v>44334</v>
      </c>
      <c r="L2277" s="1627" t="s">
        <v>2298</v>
      </c>
      <c r="M2277" s="1628">
        <v>1.3269E-2</v>
      </c>
      <c r="N2277" s="1629">
        <v>1.6304704312142912</v>
      </c>
      <c r="O2277" s="1629"/>
    </row>
    <row r="2278" spans="11:15">
      <c r="K2278" s="1626">
        <v>44335</v>
      </c>
      <c r="L2278" s="1627" t="s">
        <v>2298</v>
      </c>
      <c r="M2278" s="1628">
        <v>1.3269E-2</v>
      </c>
      <c r="N2278" s="1629">
        <v>1.6306867783358092</v>
      </c>
      <c r="O2278" s="1629"/>
    </row>
    <row r="2279" spans="11:15">
      <c r="K2279" s="1626">
        <v>44336</v>
      </c>
      <c r="L2279" s="1627" t="s">
        <v>2298</v>
      </c>
      <c r="M2279" s="1628">
        <v>1.3269E-2</v>
      </c>
      <c r="N2279" s="1629">
        <v>1.6309031541644268</v>
      </c>
      <c r="O2279" s="1629"/>
    </row>
    <row r="2280" spans="11:15">
      <c r="K2280" s="1626">
        <v>44337</v>
      </c>
      <c r="L2280" s="1627" t="s">
        <v>2298</v>
      </c>
      <c r="M2280" s="1628">
        <v>1.3269E-2</v>
      </c>
      <c r="N2280" s="1629">
        <v>1.6311195587039529</v>
      </c>
      <c r="O2280" s="1629"/>
    </row>
    <row r="2281" spans="11:15">
      <c r="K2281" s="1626">
        <v>44338</v>
      </c>
      <c r="L2281" s="1627"/>
      <c r="M2281" s="1628">
        <v>0</v>
      </c>
      <c r="N2281" s="1629">
        <v>1.6311195587039529</v>
      </c>
      <c r="O2281" s="1629"/>
    </row>
    <row r="2282" spans="11:15">
      <c r="K2282" s="1626">
        <v>44339</v>
      </c>
      <c r="L2282" s="1627"/>
      <c r="M2282" s="1628">
        <v>0</v>
      </c>
      <c r="N2282" s="1629">
        <v>1.6311195587039529</v>
      </c>
      <c r="O2282" s="1629"/>
    </row>
    <row r="2283" spans="11:15">
      <c r="K2283" s="1626">
        <v>44340</v>
      </c>
      <c r="L2283" s="1627" t="s">
        <v>2298</v>
      </c>
      <c r="M2283" s="1628">
        <v>1.3269E-2</v>
      </c>
      <c r="N2283" s="1629">
        <v>1.6313359919581973</v>
      </c>
      <c r="O2283" s="1629"/>
    </row>
    <row r="2284" spans="11:15">
      <c r="K2284" s="1626">
        <v>44341</v>
      </c>
      <c r="L2284" s="1627" t="s">
        <v>2298</v>
      </c>
      <c r="M2284" s="1628">
        <v>1.3269E-2</v>
      </c>
      <c r="N2284" s="1629">
        <v>1.6315524539309703</v>
      </c>
      <c r="O2284" s="1629"/>
    </row>
    <row r="2285" spans="11:15">
      <c r="K2285" s="1626">
        <v>44342</v>
      </c>
      <c r="L2285" s="1627" t="s">
        <v>2298</v>
      </c>
      <c r="M2285" s="1628">
        <v>1.3269E-2</v>
      </c>
      <c r="N2285" s="1629">
        <v>1.6317689446260824</v>
      </c>
      <c r="O2285" s="1629"/>
    </row>
    <row r="2286" spans="11:15">
      <c r="K2286" s="1626">
        <v>44343</v>
      </c>
      <c r="L2286" s="1627" t="s">
        <v>2298</v>
      </c>
      <c r="M2286" s="1628">
        <v>1.3269E-2</v>
      </c>
      <c r="N2286" s="1629">
        <v>1.6319854640473448</v>
      </c>
      <c r="O2286" s="1629"/>
    </row>
    <row r="2287" spans="11:15">
      <c r="K2287" s="1626">
        <v>44344</v>
      </c>
      <c r="L2287" s="1627" t="s">
        <v>2298</v>
      </c>
      <c r="M2287" s="1628">
        <v>1.3269E-2</v>
      </c>
      <c r="N2287" s="1629">
        <v>1.6322020121985694</v>
      </c>
      <c r="O2287" s="1629"/>
    </row>
    <row r="2288" spans="11:15">
      <c r="K2288" s="1626">
        <v>44345</v>
      </c>
      <c r="L2288" s="1627"/>
      <c r="M2288" s="1628">
        <v>0</v>
      </c>
      <c r="N2288" s="1629">
        <v>1.6322020121985694</v>
      </c>
      <c r="O2288" s="1629"/>
    </row>
    <row r="2289" spans="11:15">
      <c r="K2289" s="1626">
        <v>44346</v>
      </c>
      <c r="L2289" s="1627"/>
      <c r="M2289" s="1628">
        <v>0</v>
      </c>
      <c r="N2289" s="1629">
        <v>1.6322020121985694</v>
      </c>
      <c r="O2289" s="1629"/>
    </row>
    <row r="2290" spans="11:15">
      <c r="K2290" s="1626">
        <v>44347</v>
      </c>
      <c r="L2290" s="1627" t="s">
        <v>2298</v>
      </c>
      <c r="M2290" s="1628">
        <v>1.3269E-2</v>
      </c>
      <c r="N2290" s="1629">
        <v>1.6324185890835681</v>
      </c>
      <c r="O2290" s="1629"/>
    </row>
    <row r="2291" spans="11:15">
      <c r="K2291" s="1626">
        <v>44348</v>
      </c>
      <c r="L2291" s="1627" t="s">
        <v>2298</v>
      </c>
      <c r="M2291" s="1628">
        <v>1.3269E-2</v>
      </c>
      <c r="N2291" s="1629">
        <v>1.6326351947061537</v>
      </c>
      <c r="O2291" s="1629"/>
    </row>
    <row r="2292" spans="11:15">
      <c r="K2292" s="1626">
        <v>44349</v>
      </c>
      <c r="L2292" s="1627" t="s">
        <v>2298</v>
      </c>
      <c r="M2292" s="1628">
        <v>1.3269E-2</v>
      </c>
      <c r="N2292" s="1629">
        <v>1.6328518290701393</v>
      </c>
      <c r="O2292" s="1629"/>
    </row>
    <row r="2293" spans="11:15">
      <c r="K2293" s="1626">
        <v>44350</v>
      </c>
      <c r="L2293" s="1627"/>
      <c r="M2293" s="1628">
        <v>0</v>
      </c>
      <c r="N2293" s="1629">
        <v>1.6328518290701393</v>
      </c>
      <c r="O2293" s="1629"/>
    </row>
    <row r="2294" spans="11:15">
      <c r="K2294" s="1626">
        <v>44351</v>
      </c>
      <c r="L2294" s="1627" t="s">
        <v>2298</v>
      </c>
      <c r="M2294" s="1628">
        <v>1.3269E-2</v>
      </c>
      <c r="N2294" s="1629">
        <v>1.6330684921793386</v>
      </c>
      <c r="O2294" s="1629"/>
    </row>
    <row r="2295" spans="11:15">
      <c r="K2295" s="1626">
        <v>44352</v>
      </c>
      <c r="L2295" s="1627"/>
      <c r="M2295" s="1628">
        <v>0</v>
      </c>
      <c r="N2295" s="1629">
        <v>1.6330684921793386</v>
      </c>
      <c r="O2295" s="1629"/>
    </row>
    <row r="2296" spans="11:15">
      <c r="K2296" s="1626">
        <v>44353</v>
      </c>
      <c r="L2296" s="1627"/>
      <c r="M2296" s="1628">
        <v>0</v>
      </c>
      <c r="N2296" s="1629">
        <v>1.6330684921793386</v>
      </c>
      <c r="O2296" s="1629"/>
    </row>
    <row r="2297" spans="11:15">
      <c r="K2297" s="1626">
        <v>44354</v>
      </c>
      <c r="L2297" s="1627" t="s">
        <v>2298</v>
      </c>
      <c r="M2297" s="1628">
        <v>1.3269E-2</v>
      </c>
      <c r="N2297" s="1629">
        <v>1.633285184037566</v>
      </c>
      <c r="O2297" s="1629"/>
    </row>
    <row r="2298" spans="11:15">
      <c r="K2298" s="1626">
        <v>44355</v>
      </c>
      <c r="L2298" s="1627" t="s">
        <v>2298</v>
      </c>
      <c r="M2298" s="1628">
        <v>1.3269E-2</v>
      </c>
      <c r="N2298" s="1629">
        <v>1.6335019046486359</v>
      </c>
      <c r="O2298" s="1629"/>
    </row>
    <row r="2299" spans="11:15">
      <c r="K2299" s="1626">
        <v>44356</v>
      </c>
      <c r="L2299" s="1627" t="s">
        <v>2298</v>
      </c>
      <c r="M2299" s="1628">
        <v>1.3269E-2</v>
      </c>
      <c r="N2299" s="1629">
        <v>1.6337186540163637</v>
      </c>
      <c r="O2299" s="1629"/>
    </row>
    <row r="2300" spans="11:15">
      <c r="K2300" s="1626">
        <v>44357</v>
      </c>
      <c r="L2300" s="1627" t="s">
        <v>2298</v>
      </c>
      <c r="M2300" s="1628">
        <v>1.3269E-2</v>
      </c>
      <c r="N2300" s="1629">
        <v>1.6339354321445652</v>
      </c>
      <c r="O2300" s="1629"/>
    </row>
    <row r="2301" spans="11:15">
      <c r="K2301" s="1626">
        <v>44358</v>
      </c>
      <c r="L2301" s="1627" t="s">
        <v>2298</v>
      </c>
      <c r="M2301" s="1628">
        <v>1.3269E-2</v>
      </c>
      <c r="N2301" s="1629">
        <v>1.6341522390370564</v>
      </c>
      <c r="O2301" s="1629"/>
    </row>
    <row r="2302" spans="11:15">
      <c r="K2302" s="1626">
        <v>44359</v>
      </c>
      <c r="L2302" s="1627"/>
      <c r="M2302" s="1628">
        <v>0</v>
      </c>
      <c r="N2302" s="1629">
        <v>1.6341522390370564</v>
      </c>
      <c r="O2302" s="1629"/>
    </row>
    <row r="2303" spans="11:15">
      <c r="K2303" s="1626">
        <v>44360</v>
      </c>
      <c r="L2303" s="1627"/>
      <c r="M2303" s="1628">
        <v>0</v>
      </c>
      <c r="N2303" s="1629">
        <v>1.6341522390370564</v>
      </c>
      <c r="O2303" s="1629"/>
    </row>
    <row r="2304" spans="11:15">
      <c r="K2304" s="1626">
        <v>44361</v>
      </c>
      <c r="L2304" s="1627" t="s">
        <v>2298</v>
      </c>
      <c r="M2304" s="1628">
        <v>1.3269E-2</v>
      </c>
      <c r="N2304" s="1629">
        <v>1.6343690746976542</v>
      </c>
      <c r="O2304" s="1629"/>
    </row>
    <row r="2305" spans="11:15">
      <c r="K2305" s="1626">
        <v>44362</v>
      </c>
      <c r="L2305" s="1627" t="s">
        <v>2298</v>
      </c>
      <c r="M2305" s="1628">
        <v>1.3269E-2</v>
      </c>
      <c r="N2305" s="1629">
        <v>1.634585939130176</v>
      </c>
      <c r="O2305" s="1629"/>
    </row>
    <row r="2306" spans="11:15">
      <c r="K2306" s="1626">
        <v>44363</v>
      </c>
      <c r="L2306" s="1627" t="s">
        <v>2298</v>
      </c>
      <c r="M2306" s="1628">
        <v>1.3269E-2</v>
      </c>
      <c r="N2306" s="1629">
        <v>1.6348028323384394</v>
      </c>
      <c r="O2306" s="1629"/>
    </row>
    <row r="2307" spans="11:15">
      <c r="K2307" s="1626">
        <v>44364</v>
      </c>
      <c r="L2307" s="1627" t="s">
        <v>2298</v>
      </c>
      <c r="M2307" s="1628">
        <v>1.6136999999999999E-2</v>
      </c>
      <c r="N2307" s="1629">
        <v>1.635066640471494</v>
      </c>
      <c r="O2307" s="1629"/>
    </row>
    <row r="2308" spans="11:15">
      <c r="K2308" s="1626">
        <v>44365</v>
      </c>
      <c r="L2308" s="1627" t="s">
        <v>2298</v>
      </c>
      <c r="M2308" s="1628">
        <v>1.6136999999999999E-2</v>
      </c>
      <c r="N2308" s="1629">
        <v>1.6353304911752669</v>
      </c>
      <c r="O2308" s="1629"/>
    </row>
    <row r="2309" spans="11:15">
      <c r="K2309" s="1626">
        <v>44366</v>
      </c>
      <c r="L2309" s="1627"/>
      <c r="M2309" s="1628">
        <v>0</v>
      </c>
      <c r="N2309" s="1629">
        <v>1.6353304911752669</v>
      </c>
      <c r="O2309" s="1629"/>
    </row>
    <row r="2310" spans="11:15">
      <c r="K2310" s="1626">
        <v>44367</v>
      </c>
      <c r="L2310" s="1627"/>
      <c r="M2310" s="1628">
        <v>0</v>
      </c>
      <c r="N2310" s="1629">
        <v>1.6353304911752669</v>
      </c>
      <c r="O2310" s="1629"/>
    </row>
    <row r="2311" spans="11:15">
      <c r="K2311" s="1626">
        <v>44368</v>
      </c>
      <c r="L2311" s="1627" t="s">
        <v>2298</v>
      </c>
      <c r="M2311" s="1628">
        <v>1.6136999999999999E-2</v>
      </c>
      <c r="N2311" s="1629">
        <v>1.6355943844566279</v>
      </c>
      <c r="O2311" s="1629"/>
    </row>
    <row r="2312" spans="11:15">
      <c r="K2312" s="1626">
        <v>44369</v>
      </c>
      <c r="L2312" s="1627" t="s">
        <v>2298</v>
      </c>
      <c r="M2312" s="1628">
        <v>1.6136999999999999E-2</v>
      </c>
      <c r="N2312" s="1629">
        <v>1.6358583203224477</v>
      </c>
      <c r="O2312" s="1629"/>
    </row>
    <row r="2313" spans="11:15">
      <c r="K2313" s="1626">
        <v>44370</v>
      </c>
      <c r="L2313" s="1627" t="s">
        <v>2298</v>
      </c>
      <c r="M2313" s="1628">
        <v>1.6136999999999999E-2</v>
      </c>
      <c r="N2313" s="1629">
        <v>1.6361222987795982</v>
      </c>
      <c r="O2313" s="1629"/>
    </row>
    <row r="2314" spans="11:15">
      <c r="K2314" s="1626">
        <v>44371</v>
      </c>
      <c r="L2314" s="1627" t="s">
        <v>2298</v>
      </c>
      <c r="M2314" s="1628">
        <v>1.6136999999999999E-2</v>
      </c>
      <c r="N2314" s="1629">
        <v>1.6363863198349524</v>
      </c>
      <c r="O2314" s="1629"/>
    </row>
    <row r="2315" spans="11:15">
      <c r="K2315" s="1626">
        <v>44372</v>
      </c>
      <c r="L2315" s="1627" t="s">
        <v>2298</v>
      </c>
      <c r="M2315" s="1628">
        <v>1.6136999999999999E-2</v>
      </c>
      <c r="N2315" s="1629">
        <v>1.6366503834953843</v>
      </c>
      <c r="O2315" s="1629"/>
    </row>
    <row r="2316" spans="11:15">
      <c r="K2316" s="1626">
        <v>44373</v>
      </c>
      <c r="L2316" s="1627"/>
      <c r="M2316" s="1628">
        <v>0</v>
      </c>
      <c r="N2316" s="1629">
        <v>1.6366503834953843</v>
      </c>
      <c r="O2316" s="1629"/>
    </row>
    <row r="2317" spans="11:15">
      <c r="K2317" s="1626">
        <v>44374</v>
      </c>
      <c r="L2317" s="1627"/>
      <c r="M2317" s="1628">
        <v>0</v>
      </c>
      <c r="N2317" s="1629">
        <v>1.6366503834953843</v>
      </c>
      <c r="O2317" s="1629"/>
    </row>
    <row r="2318" spans="11:15">
      <c r="K2318" s="1626">
        <v>44375</v>
      </c>
      <c r="L2318" s="1627" t="s">
        <v>2298</v>
      </c>
      <c r="M2318" s="1628">
        <v>1.6136999999999999E-2</v>
      </c>
      <c r="N2318" s="1629">
        <v>1.636914489767769</v>
      </c>
      <c r="O2318" s="1629"/>
    </row>
    <row r="2319" spans="11:15">
      <c r="K2319" s="1626">
        <v>44376</v>
      </c>
      <c r="L2319" s="1627" t="s">
        <v>2298</v>
      </c>
      <c r="M2319" s="1628">
        <v>1.6136999999999999E-2</v>
      </c>
      <c r="N2319" s="1629">
        <v>1.6371786386589828</v>
      </c>
      <c r="O2319" s="1629"/>
    </row>
    <row r="2320" spans="11:15">
      <c r="K2320" s="1626">
        <v>44377</v>
      </c>
      <c r="L2320" s="1627" t="s">
        <v>2298</v>
      </c>
      <c r="M2320" s="1628">
        <v>1.6136999999999999E-2</v>
      </c>
      <c r="N2320" s="1629">
        <v>1.6374428301759034</v>
      </c>
      <c r="O2320" s="1629"/>
    </row>
    <row r="2321" spans="11:15">
      <c r="K2321" s="1626">
        <v>44378</v>
      </c>
      <c r="L2321" s="1627" t="s">
        <v>2298</v>
      </c>
      <c r="M2321" s="1628">
        <v>1.6136999999999999E-2</v>
      </c>
      <c r="N2321" s="1629">
        <v>1.637707064325409</v>
      </c>
      <c r="O2321" s="1629"/>
    </row>
    <row r="2322" spans="11:15">
      <c r="K2322" s="1626">
        <v>44379</v>
      </c>
      <c r="L2322" s="1627" t="s">
        <v>2298</v>
      </c>
      <c r="M2322" s="1628">
        <v>1.6136999999999999E-2</v>
      </c>
      <c r="N2322" s="1629">
        <v>1.6379713411143793</v>
      </c>
      <c r="O2322" s="1629"/>
    </row>
    <row r="2323" spans="11:15">
      <c r="K2323" s="1626">
        <v>44380</v>
      </c>
      <c r="L2323" s="1627"/>
      <c r="M2323" s="1628">
        <v>0</v>
      </c>
      <c r="N2323" s="1629">
        <v>1.6379713411143793</v>
      </c>
      <c r="O2323" s="1629"/>
    </row>
    <row r="2324" spans="11:15">
      <c r="K2324" s="1626">
        <v>44381</v>
      </c>
      <c r="L2324" s="1627"/>
      <c r="M2324" s="1628">
        <v>0</v>
      </c>
      <c r="N2324" s="1629">
        <v>1.6379713411143793</v>
      </c>
      <c r="O2324" s="1629"/>
    </row>
    <row r="2325" spans="11:15">
      <c r="K2325" s="1626">
        <v>44382</v>
      </c>
      <c r="L2325" s="1627" t="s">
        <v>2298</v>
      </c>
      <c r="M2325" s="1628">
        <v>1.6136999999999999E-2</v>
      </c>
      <c r="N2325" s="1629">
        <v>1.638235660549695</v>
      </c>
      <c r="O2325" s="1629"/>
    </row>
    <row r="2326" spans="11:15">
      <c r="K2326" s="1626">
        <v>44383</v>
      </c>
      <c r="L2326" s="1627" t="s">
        <v>2298</v>
      </c>
      <c r="M2326" s="1628">
        <v>1.6136999999999999E-2</v>
      </c>
      <c r="N2326" s="1629">
        <v>1.638500022638238</v>
      </c>
      <c r="O2326" s="1629"/>
    </row>
    <row r="2327" spans="11:15">
      <c r="K2327" s="1626">
        <v>44384</v>
      </c>
      <c r="L2327" s="1627" t="s">
        <v>2298</v>
      </c>
      <c r="M2327" s="1628">
        <v>1.6136999999999999E-2</v>
      </c>
      <c r="N2327" s="1629">
        <v>1.6387644273868913</v>
      </c>
      <c r="O2327" s="1629"/>
    </row>
    <row r="2328" spans="11:15">
      <c r="K2328" s="1626">
        <v>44385</v>
      </c>
      <c r="L2328" s="1627" t="s">
        <v>2298</v>
      </c>
      <c r="M2328" s="1628">
        <v>1.6136999999999999E-2</v>
      </c>
      <c r="N2328" s="1629">
        <v>1.6390288748025388</v>
      </c>
      <c r="O2328" s="1629"/>
    </row>
    <row r="2329" spans="11:15">
      <c r="K2329" s="1626">
        <v>44386</v>
      </c>
      <c r="L2329" s="1627" t="s">
        <v>2298</v>
      </c>
      <c r="M2329" s="1628">
        <v>1.6136999999999999E-2</v>
      </c>
      <c r="N2329" s="1629">
        <v>1.6392933648920658</v>
      </c>
      <c r="O2329" s="1629"/>
    </row>
    <row r="2330" spans="11:15">
      <c r="K2330" s="1626">
        <v>44387</v>
      </c>
      <c r="L2330" s="1627"/>
      <c r="M2330" s="1628">
        <v>0</v>
      </c>
      <c r="N2330" s="1629">
        <v>1.6392933648920658</v>
      </c>
      <c r="O2330" s="1629"/>
    </row>
    <row r="2331" spans="11:15">
      <c r="K2331" s="1626">
        <v>44388</v>
      </c>
      <c r="L2331" s="1627"/>
      <c r="M2331" s="1628">
        <v>0</v>
      </c>
      <c r="N2331" s="1629">
        <v>1.6392933648920658</v>
      </c>
      <c r="O2331" s="1629"/>
    </row>
    <row r="2332" spans="11:15">
      <c r="K2332" s="1626">
        <v>44389</v>
      </c>
      <c r="L2332" s="1627" t="s">
        <v>2298</v>
      </c>
      <c r="M2332" s="1628">
        <v>1.6136999999999999E-2</v>
      </c>
      <c r="N2332" s="1629">
        <v>1.6395578976623586</v>
      </c>
      <c r="O2332" s="1629"/>
    </row>
    <row r="2333" spans="11:15">
      <c r="K2333" s="1626">
        <v>44390</v>
      </c>
      <c r="L2333" s="1627" t="s">
        <v>2298</v>
      </c>
      <c r="M2333" s="1628">
        <v>1.6136999999999999E-2</v>
      </c>
      <c r="N2333" s="1629">
        <v>1.6398224731203044</v>
      </c>
      <c r="O2333" s="1629"/>
    </row>
    <row r="2334" spans="11:15">
      <c r="K2334" s="1626">
        <v>44391</v>
      </c>
      <c r="L2334" s="1627" t="s">
        <v>2298</v>
      </c>
      <c r="M2334" s="1628">
        <v>1.6136999999999999E-2</v>
      </c>
      <c r="N2334" s="1629">
        <v>1.6400870912727918</v>
      </c>
      <c r="O2334" s="1629"/>
    </row>
    <row r="2335" spans="11:15">
      <c r="K2335" s="1626">
        <v>44392</v>
      </c>
      <c r="L2335" s="1627" t="s">
        <v>2298</v>
      </c>
      <c r="M2335" s="1628">
        <v>1.6136999999999999E-2</v>
      </c>
      <c r="N2335" s="1629">
        <v>1.6403517521267106</v>
      </c>
      <c r="O2335" s="1629"/>
    </row>
    <row r="2336" spans="11:15">
      <c r="K2336" s="1626">
        <v>44393</v>
      </c>
      <c r="L2336" s="1627" t="s">
        <v>2298</v>
      </c>
      <c r="M2336" s="1628">
        <v>1.6136999999999999E-2</v>
      </c>
      <c r="N2336" s="1629">
        <v>1.6406164556889513</v>
      </c>
      <c r="O2336" s="1629"/>
    </row>
    <row r="2337" spans="11:15">
      <c r="K2337" s="1626">
        <v>44394</v>
      </c>
      <c r="L2337" s="1627"/>
      <c r="M2337" s="1628">
        <v>0</v>
      </c>
      <c r="N2337" s="1629">
        <v>1.6406164556889513</v>
      </c>
      <c r="O2337" s="1629"/>
    </row>
    <row r="2338" spans="11:15">
      <c r="K2338" s="1626">
        <v>44395</v>
      </c>
      <c r="L2338" s="1627"/>
      <c r="M2338" s="1628">
        <v>0</v>
      </c>
      <c r="N2338" s="1629">
        <v>1.6406164556889513</v>
      </c>
      <c r="O2338" s="1629"/>
    </row>
    <row r="2339" spans="11:15">
      <c r="K2339" s="1626">
        <v>44396</v>
      </c>
      <c r="L2339" s="1627" t="s">
        <v>2298</v>
      </c>
      <c r="M2339" s="1628">
        <v>1.6136999999999999E-2</v>
      </c>
      <c r="N2339" s="1629">
        <v>1.6408812019664059</v>
      </c>
      <c r="O2339" s="1629"/>
    </row>
    <row r="2340" spans="11:15">
      <c r="K2340" s="1626">
        <v>44397</v>
      </c>
      <c r="L2340" s="1627" t="s">
        <v>2298</v>
      </c>
      <c r="M2340" s="1628">
        <v>1.6136999999999999E-2</v>
      </c>
      <c r="N2340" s="1629">
        <v>1.6411459909659674</v>
      </c>
      <c r="O2340" s="1629"/>
    </row>
    <row r="2341" spans="11:15">
      <c r="K2341" s="1626">
        <v>44398</v>
      </c>
      <c r="L2341" s="1627" t="s">
        <v>2298</v>
      </c>
      <c r="M2341" s="1628">
        <v>1.6136999999999999E-2</v>
      </c>
      <c r="N2341" s="1629">
        <v>1.6414108226945296</v>
      </c>
      <c r="O2341" s="1629"/>
    </row>
    <row r="2342" spans="11:15">
      <c r="K2342" s="1626">
        <v>44399</v>
      </c>
      <c r="L2342" s="1627" t="s">
        <v>2298</v>
      </c>
      <c r="M2342" s="1628">
        <v>1.6136999999999999E-2</v>
      </c>
      <c r="N2342" s="1629">
        <v>1.6416756971589879</v>
      </c>
      <c r="O2342" s="1629"/>
    </row>
    <row r="2343" spans="11:15">
      <c r="K2343" s="1626">
        <v>44400</v>
      </c>
      <c r="L2343" s="1627" t="s">
        <v>2298</v>
      </c>
      <c r="M2343" s="1628">
        <v>1.6136999999999999E-2</v>
      </c>
      <c r="N2343" s="1629">
        <v>1.6419406143662385</v>
      </c>
      <c r="O2343" s="1629"/>
    </row>
    <row r="2344" spans="11:15">
      <c r="K2344" s="1626">
        <v>44401</v>
      </c>
      <c r="L2344" s="1627"/>
      <c r="M2344" s="1628">
        <v>0</v>
      </c>
      <c r="N2344" s="1629">
        <v>1.6419406143662385</v>
      </c>
      <c r="O2344" s="1629"/>
    </row>
    <row r="2345" spans="11:15">
      <c r="K2345" s="1626">
        <v>44402</v>
      </c>
      <c r="L2345" s="1627"/>
      <c r="M2345" s="1628">
        <v>0</v>
      </c>
      <c r="N2345" s="1629">
        <v>1.6419406143662385</v>
      </c>
      <c r="O2345" s="1629"/>
    </row>
    <row r="2346" spans="11:15">
      <c r="K2346" s="1626">
        <v>44403</v>
      </c>
      <c r="L2346" s="1627" t="s">
        <v>2298</v>
      </c>
      <c r="M2346" s="1628">
        <v>1.6136999999999999E-2</v>
      </c>
      <c r="N2346" s="1629">
        <v>1.6422055743231789</v>
      </c>
      <c r="O2346" s="1629"/>
    </row>
    <row r="2347" spans="11:15">
      <c r="K2347" s="1626">
        <v>44404</v>
      </c>
      <c r="L2347" s="1627" t="s">
        <v>2298</v>
      </c>
      <c r="M2347" s="1628">
        <v>1.6136999999999999E-2</v>
      </c>
      <c r="N2347" s="1629">
        <v>1.6424705770367076</v>
      </c>
      <c r="O2347" s="1629"/>
    </row>
    <row r="2348" spans="11:15">
      <c r="K2348" s="1626">
        <v>44405</v>
      </c>
      <c r="L2348" s="1627" t="s">
        <v>2298</v>
      </c>
      <c r="M2348" s="1628">
        <v>1.6136999999999999E-2</v>
      </c>
      <c r="N2348" s="1629">
        <v>1.6427356225137242</v>
      </c>
      <c r="O2348" s="1629"/>
    </row>
    <row r="2349" spans="11:15">
      <c r="K2349" s="1626">
        <v>44406</v>
      </c>
      <c r="L2349" s="1627" t="s">
        <v>2298</v>
      </c>
      <c r="M2349" s="1628">
        <v>1.6136999999999999E-2</v>
      </c>
      <c r="N2349" s="1629">
        <v>1.6430007107611293</v>
      </c>
      <c r="O2349" s="1629"/>
    </row>
    <row r="2350" spans="11:15">
      <c r="K2350" s="1626">
        <v>44407</v>
      </c>
      <c r="L2350" s="1627" t="s">
        <v>2298</v>
      </c>
      <c r="M2350" s="1628">
        <v>1.6136999999999999E-2</v>
      </c>
      <c r="N2350" s="1629">
        <v>1.6432658417858248</v>
      </c>
      <c r="O2350" s="1629"/>
    </row>
    <row r="2351" spans="11:15">
      <c r="K2351" s="1626">
        <v>44408</v>
      </c>
      <c r="L2351" s="1627"/>
      <c r="M2351" s="1628">
        <v>0</v>
      </c>
      <c r="N2351" s="1629">
        <v>1.6432658417858248</v>
      </c>
      <c r="O2351" s="1629"/>
    </row>
    <row r="2352" spans="11:15">
      <c r="K2352" s="1626">
        <v>44409</v>
      </c>
      <c r="L2352" s="1627"/>
      <c r="M2352" s="1628">
        <v>0</v>
      </c>
      <c r="N2352" s="1629">
        <v>1.6432658417858248</v>
      </c>
      <c r="O2352" s="1629"/>
    </row>
    <row r="2353" spans="11:15">
      <c r="K2353" s="1626">
        <v>44410</v>
      </c>
      <c r="L2353" s="1627" t="s">
        <v>2298</v>
      </c>
      <c r="M2353" s="1628">
        <v>1.6136999999999999E-2</v>
      </c>
      <c r="N2353" s="1629">
        <v>1.6435310155947138</v>
      </c>
      <c r="O2353" s="1629"/>
    </row>
    <row r="2354" spans="11:15">
      <c r="K2354" s="1626">
        <v>44411</v>
      </c>
      <c r="L2354" s="1627" t="s">
        <v>2298</v>
      </c>
      <c r="M2354" s="1628">
        <v>1.6136999999999999E-2</v>
      </c>
      <c r="N2354" s="1629">
        <v>1.6437962321947004</v>
      </c>
      <c r="O2354" s="1629"/>
    </row>
    <row r="2355" spans="11:15">
      <c r="K2355" s="1626">
        <v>44412</v>
      </c>
      <c r="L2355" s="1627" t="s">
        <v>2298</v>
      </c>
      <c r="M2355" s="1628">
        <v>1.6136999999999999E-2</v>
      </c>
      <c r="N2355" s="1629">
        <v>1.6440614915926897</v>
      </c>
      <c r="O2355" s="1629"/>
    </row>
    <row r="2356" spans="11:15">
      <c r="K2356" s="1626">
        <v>44413</v>
      </c>
      <c r="L2356" s="1627" t="s">
        <v>2298</v>
      </c>
      <c r="M2356" s="1628">
        <v>1.993E-2</v>
      </c>
      <c r="N2356" s="1629">
        <v>1.6443891530479642</v>
      </c>
      <c r="O2356" s="1629"/>
    </row>
    <row r="2357" spans="11:15">
      <c r="K2357" s="1626">
        <v>44414</v>
      </c>
      <c r="L2357" s="1627" t="s">
        <v>2298</v>
      </c>
      <c r="M2357" s="1628">
        <v>1.993E-2</v>
      </c>
      <c r="N2357" s="1629">
        <v>1.6447168798061667</v>
      </c>
      <c r="O2357" s="1629"/>
    </row>
    <row r="2358" spans="11:15">
      <c r="K2358" s="1626">
        <v>44415</v>
      </c>
      <c r="L2358" s="1627"/>
      <c r="M2358" s="1628">
        <v>0</v>
      </c>
      <c r="N2358" s="1629">
        <v>1.6447168798061667</v>
      </c>
      <c r="O2358" s="1629"/>
    </row>
    <row r="2359" spans="11:15">
      <c r="K2359" s="1626">
        <v>44416</v>
      </c>
      <c r="L2359" s="1627"/>
      <c r="M2359" s="1628">
        <v>0</v>
      </c>
      <c r="N2359" s="1629">
        <v>1.6447168798061667</v>
      </c>
      <c r="O2359" s="1629"/>
    </row>
    <row r="2360" spans="11:15">
      <c r="K2360" s="1626">
        <v>44417</v>
      </c>
      <c r="L2360" s="1627" t="s">
        <v>2298</v>
      </c>
      <c r="M2360" s="1628">
        <v>1.993E-2</v>
      </c>
      <c r="N2360" s="1629">
        <v>1.645044671880312</v>
      </c>
      <c r="O2360" s="1629"/>
    </row>
    <row r="2361" spans="11:15">
      <c r="K2361" s="1626">
        <v>44418</v>
      </c>
      <c r="L2361" s="1627" t="s">
        <v>2298</v>
      </c>
      <c r="M2361" s="1628">
        <v>1.993E-2</v>
      </c>
      <c r="N2361" s="1629">
        <v>1.6453725292834178</v>
      </c>
      <c r="O2361" s="1629"/>
    </row>
    <row r="2362" spans="11:15">
      <c r="K2362" s="1626">
        <v>44419</v>
      </c>
      <c r="L2362" s="1627" t="s">
        <v>2298</v>
      </c>
      <c r="M2362" s="1628">
        <v>1.993E-2</v>
      </c>
      <c r="N2362" s="1629">
        <v>1.6457004520285041</v>
      </c>
      <c r="O2362" s="1629"/>
    </row>
    <row r="2363" spans="11:15">
      <c r="K2363" s="1626">
        <v>44420</v>
      </c>
      <c r="L2363" s="1627" t="s">
        <v>2298</v>
      </c>
      <c r="M2363" s="1628">
        <v>1.993E-2</v>
      </c>
      <c r="N2363" s="1629">
        <v>1.6460284401285934</v>
      </c>
      <c r="O2363" s="1629"/>
    </row>
    <row r="2364" spans="11:15">
      <c r="K2364" s="1626">
        <v>44421</v>
      </c>
      <c r="L2364" s="1627" t="s">
        <v>2298</v>
      </c>
      <c r="M2364" s="1628">
        <v>1.993E-2</v>
      </c>
      <c r="N2364" s="1629">
        <v>1.646356493596711</v>
      </c>
      <c r="O2364" s="1629"/>
    </row>
    <row r="2365" spans="11:15">
      <c r="K2365" s="1626">
        <v>44422</v>
      </c>
      <c r="L2365" s="1627"/>
      <c r="M2365" s="1628">
        <v>0</v>
      </c>
      <c r="N2365" s="1629">
        <v>1.646356493596711</v>
      </c>
      <c r="O2365" s="1629"/>
    </row>
    <row r="2366" spans="11:15">
      <c r="K2366" s="1626">
        <v>44423</v>
      </c>
      <c r="L2366" s="1627"/>
      <c r="M2366" s="1628">
        <v>0</v>
      </c>
      <c r="N2366" s="1629">
        <v>1.646356493596711</v>
      </c>
      <c r="O2366" s="1629"/>
    </row>
    <row r="2367" spans="11:15">
      <c r="K2367" s="1626">
        <v>44424</v>
      </c>
      <c r="L2367" s="1627" t="s">
        <v>2298</v>
      </c>
      <c r="M2367" s="1628">
        <v>1.993E-2</v>
      </c>
      <c r="N2367" s="1629">
        <v>1.6466846124458849</v>
      </c>
      <c r="O2367" s="1629"/>
    </row>
    <row r="2368" spans="11:15">
      <c r="K2368" s="1626">
        <v>44425</v>
      </c>
      <c r="L2368" s="1627" t="s">
        <v>2298</v>
      </c>
      <c r="M2368" s="1628">
        <v>1.993E-2</v>
      </c>
      <c r="N2368" s="1629">
        <v>1.6470127966891455</v>
      </c>
      <c r="O2368" s="1629"/>
    </row>
    <row r="2369" spans="11:15">
      <c r="K2369" s="1626">
        <v>44426</v>
      </c>
      <c r="L2369" s="1627" t="s">
        <v>2298</v>
      </c>
      <c r="M2369" s="1628">
        <v>1.993E-2</v>
      </c>
      <c r="N2369" s="1629">
        <v>1.6473410463395257</v>
      </c>
      <c r="O2369" s="1629"/>
    </row>
    <row r="2370" spans="11:15">
      <c r="K2370" s="1626">
        <v>44427</v>
      </c>
      <c r="L2370" s="1627" t="s">
        <v>2298</v>
      </c>
      <c r="M2370" s="1628">
        <v>1.993E-2</v>
      </c>
      <c r="N2370" s="1629">
        <v>1.6476693614100613</v>
      </c>
      <c r="O2370" s="1629"/>
    </row>
    <row r="2371" spans="11:15">
      <c r="K2371" s="1626">
        <v>44428</v>
      </c>
      <c r="L2371" s="1627" t="s">
        <v>2298</v>
      </c>
      <c r="M2371" s="1628">
        <v>1.993E-2</v>
      </c>
      <c r="N2371" s="1629">
        <v>1.6479977419137903</v>
      </c>
      <c r="O2371" s="1629"/>
    </row>
    <row r="2372" spans="11:15">
      <c r="K2372" s="1626">
        <v>44429</v>
      </c>
      <c r="L2372" s="1627"/>
      <c r="M2372" s="1628">
        <v>0</v>
      </c>
      <c r="N2372" s="1629">
        <v>1.6479977419137903</v>
      </c>
      <c r="O2372" s="1629"/>
    </row>
    <row r="2373" spans="11:15">
      <c r="K2373" s="1626">
        <v>44430</v>
      </c>
      <c r="L2373" s="1627"/>
      <c r="M2373" s="1628">
        <v>0</v>
      </c>
      <c r="N2373" s="1629">
        <v>1.6479977419137903</v>
      </c>
      <c r="O2373" s="1629"/>
    </row>
    <row r="2374" spans="11:15">
      <c r="K2374" s="1626">
        <v>44431</v>
      </c>
      <c r="L2374" s="1627" t="s">
        <v>2298</v>
      </c>
      <c r="M2374" s="1628">
        <v>1.993E-2</v>
      </c>
      <c r="N2374" s="1629">
        <v>1.6483261878637538</v>
      </c>
      <c r="O2374" s="1629"/>
    </row>
    <row r="2375" spans="11:15">
      <c r="K2375" s="1626">
        <v>44432</v>
      </c>
      <c r="L2375" s="1627" t="s">
        <v>2298</v>
      </c>
      <c r="M2375" s="1628">
        <v>1.993E-2</v>
      </c>
      <c r="N2375" s="1629">
        <v>1.6486546992729951</v>
      </c>
      <c r="O2375" s="1629"/>
    </row>
    <row r="2376" spans="11:15">
      <c r="K2376" s="1626">
        <v>44433</v>
      </c>
      <c r="L2376" s="1627" t="s">
        <v>2298</v>
      </c>
      <c r="M2376" s="1628">
        <v>1.993E-2</v>
      </c>
      <c r="N2376" s="1629">
        <v>1.6489832761545602</v>
      </c>
      <c r="O2376" s="1629"/>
    </row>
    <row r="2377" spans="11:15">
      <c r="K2377" s="1626">
        <v>44434</v>
      </c>
      <c r="L2377" s="1627" t="s">
        <v>2298</v>
      </c>
      <c r="M2377" s="1628">
        <v>1.993E-2</v>
      </c>
      <c r="N2377" s="1629">
        <v>1.6493119185214977</v>
      </c>
      <c r="O2377" s="1629"/>
    </row>
    <row r="2378" spans="11:15">
      <c r="K2378" s="1626">
        <v>44435</v>
      </c>
      <c r="L2378" s="1627" t="s">
        <v>2298</v>
      </c>
      <c r="M2378" s="1628">
        <v>1.993E-2</v>
      </c>
      <c r="N2378" s="1629">
        <v>1.649640626386859</v>
      </c>
      <c r="O2378" s="1629"/>
    </row>
    <row r="2379" spans="11:15">
      <c r="K2379" s="1626">
        <v>44436</v>
      </c>
      <c r="L2379" s="1627"/>
      <c r="M2379" s="1628">
        <v>0</v>
      </c>
      <c r="N2379" s="1629">
        <v>1.649640626386859</v>
      </c>
      <c r="O2379" s="1629"/>
    </row>
    <row r="2380" spans="11:15">
      <c r="K2380" s="1626">
        <v>44437</v>
      </c>
      <c r="L2380" s="1627"/>
      <c r="M2380" s="1628">
        <v>0</v>
      </c>
      <c r="N2380" s="1629">
        <v>1.649640626386859</v>
      </c>
      <c r="O2380" s="1629"/>
    </row>
    <row r="2381" spans="11:15">
      <c r="K2381" s="1626">
        <v>44438</v>
      </c>
      <c r="L2381" s="1627" t="s">
        <v>2298</v>
      </c>
      <c r="M2381" s="1628">
        <v>1.993E-2</v>
      </c>
      <c r="N2381" s="1629">
        <v>1.6499693997636979</v>
      </c>
      <c r="O2381" s="1629"/>
    </row>
    <row r="2382" spans="11:15">
      <c r="K2382" s="1626">
        <v>44439</v>
      </c>
      <c r="L2382" s="1627" t="s">
        <v>2298</v>
      </c>
      <c r="M2382" s="1628">
        <v>1.993E-2</v>
      </c>
      <c r="N2382" s="1629">
        <v>1.6502982386650709</v>
      </c>
      <c r="O2382" s="1629"/>
    </row>
    <row r="2383" spans="11:15">
      <c r="K2383" s="1626">
        <v>44440</v>
      </c>
      <c r="L2383" s="1627" t="s">
        <v>2298</v>
      </c>
      <c r="M2383" s="1628">
        <v>1.993E-2</v>
      </c>
      <c r="N2383" s="1629">
        <v>1.6506271431040369</v>
      </c>
      <c r="O2383" s="1629"/>
    </row>
    <row r="2384" spans="11:15">
      <c r="K2384" s="1626">
        <v>44441</v>
      </c>
      <c r="L2384" s="1627" t="s">
        <v>2298</v>
      </c>
      <c r="M2384" s="1628">
        <v>1.993E-2</v>
      </c>
      <c r="N2384" s="1629">
        <v>1.6509561130936576</v>
      </c>
      <c r="O2384" s="1629"/>
    </row>
    <row r="2385" spans="11:15">
      <c r="K2385" s="1626">
        <v>44442</v>
      </c>
      <c r="L2385" s="1627" t="s">
        <v>2298</v>
      </c>
      <c r="M2385" s="1628">
        <v>1.993E-2</v>
      </c>
      <c r="N2385" s="1629">
        <v>1.6512851486469973</v>
      </c>
      <c r="O2385" s="1629"/>
    </row>
    <row r="2386" spans="11:15">
      <c r="K2386" s="1626">
        <v>44443</v>
      </c>
      <c r="L2386" s="1627"/>
      <c r="M2386" s="1628">
        <v>0</v>
      </c>
      <c r="N2386" s="1629">
        <v>1.6512851486469973</v>
      </c>
      <c r="O2386" s="1629"/>
    </row>
    <row r="2387" spans="11:15">
      <c r="K2387" s="1626">
        <v>44444</v>
      </c>
      <c r="L2387" s="1627"/>
      <c r="M2387" s="1628">
        <v>0</v>
      </c>
      <c r="N2387" s="1629">
        <v>1.6512851486469973</v>
      </c>
      <c r="O2387" s="1629"/>
    </row>
    <row r="2388" spans="11:15">
      <c r="K2388" s="1626">
        <v>44445</v>
      </c>
      <c r="L2388" s="1627" t="s">
        <v>2298</v>
      </c>
      <c r="M2388" s="1628">
        <v>1.993E-2</v>
      </c>
      <c r="N2388" s="1629">
        <v>1.6516142497771227</v>
      </c>
      <c r="O2388" s="1629"/>
    </row>
    <row r="2389" spans="11:15">
      <c r="K2389" s="1626">
        <v>44446</v>
      </c>
      <c r="L2389" s="1627"/>
      <c r="M2389" s="1628">
        <v>0</v>
      </c>
      <c r="N2389" s="1629">
        <v>1.6516142497771227</v>
      </c>
      <c r="O2389" s="1629"/>
    </row>
    <row r="2390" spans="11:15">
      <c r="K2390" s="1626">
        <v>44447</v>
      </c>
      <c r="L2390" s="1627" t="s">
        <v>2298</v>
      </c>
      <c r="M2390" s="1628">
        <v>1.993E-2</v>
      </c>
      <c r="N2390" s="1629">
        <v>1.6519434164971032</v>
      </c>
      <c r="O2390" s="1629"/>
    </row>
    <row r="2391" spans="11:15">
      <c r="K2391" s="1626">
        <v>44448</v>
      </c>
      <c r="L2391" s="1627" t="s">
        <v>2298</v>
      </c>
      <c r="M2391" s="1628">
        <v>1.993E-2</v>
      </c>
      <c r="N2391" s="1629">
        <v>1.652272648820011</v>
      </c>
      <c r="O2391" s="1629"/>
    </row>
    <row r="2392" spans="11:15">
      <c r="K2392" s="1626">
        <v>44449</v>
      </c>
      <c r="L2392" s="1627" t="s">
        <v>2298</v>
      </c>
      <c r="M2392" s="1628">
        <v>1.993E-2</v>
      </c>
      <c r="N2392" s="1629">
        <v>1.6526019467589208</v>
      </c>
      <c r="O2392" s="1629"/>
    </row>
    <row r="2393" spans="11:15">
      <c r="K2393" s="1626">
        <v>44450</v>
      </c>
      <c r="L2393" s="1627"/>
      <c r="M2393" s="1628">
        <v>0</v>
      </c>
      <c r="N2393" s="1629">
        <v>1.6526019467589208</v>
      </c>
      <c r="O2393" s="1629"/>
    </row>
    <row r="2394" spans="11:15">
      <c r="K2394" s="1626">
        <v>44451</v>
      </c>
      <c r="L2394" s="1627"/>
      <c r="M2394" s="1628">
        <v>0</v>
      </c>
      <c r="N2394" s="1629">
        <v>1.6526019467589208</v>
      </c>
      <c r="O2394" s="1629"/>
    </row>
    <row r="2395" spans="11:15">
      <c r="K2395" s="1626">
        <v>44452</v>
      </c>
      <c r="L2395" s="1627" t="s">
        <v>2298</v>
      </c>
      <c r="M2395" s="1628">
        <v>1.993E-2</v>
      </c>
      <c r="N2395" s="1629">
        <v>1.6529313103269099</v>
      </c>
      <c r="O2395" s="1629"/>
    </row>
    <row r="2396" spans="11:15">
      <c r="K2396" s="1626">
        <v>44453</v>
      </c>
      <c r="L2396" s="1627" t="s">
        <v>2298</v>
      </c>
      <c r="M2396" s="1628">
        <v>1.993E-2</v>
      </c>
      <c r="N2396" s="1629">
        <v>1.653260739537058</v>
      </c>
      <c r="O2396" s="1629"/>
    </row>
    <row r="2397" spans="11:15">
      <c r="K2397" s="1626">
        <v>44454</v>
      </c>
      <c r="L2397" s="1627" t="s">
        <v>2298</v>
      </c>
      <c r="M2397" s="1628">
        <v>1.993E-2</v>
      </c>
      <c r="N2397" s="1629">
        <v>1.6535902344024478</v>
      </c>
      <c r="O2397" s="1629"/>
    </row>
    <row r="2398" spans="11:15">
      <c r="K2398" s="1626">
        <v>44455</v>
      </c>
      <c r="L2398" s="1627" t="s">
        <v>2298</v>
      </c>
      <c r="M2398" s="1628">
        <v>1.993E-2</v>
      </c>
      <c r="N2398" s="1629">
        <v>1.6539197949361641</v>
      </c>
      <c r="O2398" s="1629"/>
    </row>
    <row r="2399" spans="11:15">
      <c r="K2399" s="1626">
        <v>44456</v>
      </c>
      <c r="L2399" s="1627" t="s">
        <v>2298</v>
      </c>
      <c r="M2399" s="1628">
        <v>1.993E-2</v>
      </c>
      <c r="N2399" s="1629">
        <v>1.654249421151295</v>
      </c>
      <c r="O2399" s="1629"/>
    </row>
    <row r="2400" spans="11:15">
      <c r="K2400" s="1626">
        <v>44457</v>
      </c>
      <c r="L2400" s="1627"/>
      <c r="M2400" s="1628">
        <v>0</v>
      </c>
      <c r="N2400" s="1629">
        <v>1.654249421151295</v>
      </c>
      <c r="O2400" s="1629"/>
    </row>
    <row r="2401" spans="11:15">
      <c r="K2401" s="1626">
        <v>44458</v>
      </c>
      <c r="L2401" s="1627"/>
      <c r="M2401" s="1628">
        <v>0</v>
      </c>
      <c r="N2401" s="1629">
        <v>1.654249421151295</v>
      </c>
      <c r="O2401" s="1629"/>
    </row>
    <row r="2402" spans="11:15">
      <c r="K2402" s="1626">
        <v>44459</v>
      </c>
      <c r="L2402" s="1627" t="s">
        <v>2298</v>
      </c>
      <c r="M2402" s="1628">
        <v>1.993E-2</v>
      </c>
      <c r="N2402" s="1629">
        <v>1.6545791130609304</v>
      </c>
      <c r="O2402" s="1629"/>
    </row>
    <row r="2403" spans="11:15">
      <c r="K2403" s="1626">
        <v>44460</v>
      </c>
      <c r="L2403" s="1627" t="s">
        <v>2298</v>
      </c>
      <c r="M2403" s="1628">
        <v>1.993E-2</v>
      </c>
      <c r="N2403" s="1629">
        <v>1.6549088706781634</v>
      </c>
      <c r="O2403" s="1629"/>
    </row>
    <row r="2404" spans="11:15">
      <c r="K2404" s="1626">
        <v>44461</v>
      </c>
      <c r="L2404" s="1627" t="s">
        <v>2298</v>
      </c>
      <c r="M2404" s="1628">
        <v>1.993E-2</v>
      </c>
      <c r="N2404" s="1629">
        <v>1.6552386940160895</v>
      </c>
      <c r="O2404" s="1629"/>
    </row>
    <row r="2405" spans="11:15">
      <c r="K2405" s="1626">
        <v>44462</v>
      </c>
      <c r="L2405" s="1627" t="s">
        <v>2298</v>
      </c>
      <c r="M2405" s="1628">
        <v>2.3687E-2</v>
      </c>
      <c r="N2405" s="1629">
        <v>1.6556307704055411</v>
      </c>
      <c r="O2405" s="1629"/>
    </row>
    <row r="2406" spans="11:15">
      <c r="K2406" s="1626">
        <v>44463</v>
      </c>
      <c r="L2406" s="1627" t="s">
        <v>2298</v>
      </c>
      <c r="M2406" s="1628">
        <v>2.3687E-2</v>
      </c>
      <c r="N2406" s="1629">
        <v>1.656022939666127</v>
      </c>
      <c r="O2406" s="1629"/>
    </row>
    <row r="2407" spans="11:15">
      <c r="K2407" s="1626">
        <v>44464</v>
      </c>
      <c r="L2407" s="1627"/>
      <c r="M2407" s="1628">
        <v>0</v>
      </c>
      <c r="N2407" s="1629">
        <v>1.656022939666127</v>
      </c>
      <c r="O2407" s="1629"/>
    </row>
    <row r="2408" spans="11:15">
      <c r="K2408" s="1626">
        <v>44465</v>
      </c>
      <c r="L2408" s="1627"/>
      <c r="M2408" s="1628">
        <v>0</v>
      </c>
      <c r="N2408" s="1629">
        <v>1.656022939666127</v>
      </c>
      <c r="O2408" s="1629"/>
    </row>
    <row r="2409" spans="11:15">
      <c r="K2409" s="1626">
        <v>44466</v>
      </c>
      <c r="L2409" s="1627" t="s">
        <v>2298</v>
      </c>
      <c r="M2409" s="1628">
        <v>2.3687E-2</v>
      </c>
      <c r="N2409" s="1629">
        <v>1.6564152018198457</v>
      </c>
      <c r="O2409" s="1629"/>
    </row>
    <row r="2410" spans="11:15">
      <c r="K2410" s="1626">
        <v>44467</v>
      </c>
      <c r="L2410" s="1627" t="s">
        <v>2298</v>
      </c>
      <c r="M2410" s="1628">
        <v>2.3687E-2</v>
      </c>
      <c r="N2410" s="1629">
        <v>1.6568075568887006</v>
      </c>
      <c r="O2410" s="1629"/>
    </row>
    <row r="2411" spans="11:15">
      <c r="K2411" s="1626">
        <v>44468</v>
      </c>
      <c r="L2411" s="1627" t="s">
        <v>2298</v>
      </c>
      <c r="M2411" s="1628">
        <v>2.3687E-2</v>
      </c>
      <c r="N2411" s="1629">
        <v>1.6572000048947009</v>
      </c>
      <c r="O2411" s="1629"/>
    </row>
    <row r="2412" spans="11:15">
      <c r="K2412" s="1626">
        <v>44469</v>
      </c>
      <c r="L2412" s="1627" t="s">
        <v>2298</v>
      </c>
      <c r="M2412" s="1628">
        <v>2.3687E-2</v>
      </c>
      <c r="N2412" s="1629">
        <v>1.6575925458598602</v>
      </c>
      <c r="O2412" s="1629"/>
    </row>
    <row r="2413" spans="11:15">
      <c r="K2413" s="1626">
        <v>44470</v>
      </c>
      <c r="L2413" s="1627" t="s">
        <v>2298</v>
      </c>
      <c r="M2413" s="1628">
        <v>2.3687E-2</v>
      </c>
      <c r="N2413" s="1629">
        <v>1.657985179806198</v>
      </c>
      <c r="O2413" s="1629"/>
    </row>
    <row r="2414" spans="11:15">
      <c r="K2414" s="1626">
        <v>44471</v>
      </c>
      <c r="L2414" s="1627"/>
      <c r="M2414" s="1628">
        <v>0</v>
      </c>
      <c r="N2414" s="1629">
        <v>1.657985179806198</v>
      </c>
      <c r="O2414" s="1629"/>
    </row>
    <row r="2415" spans="11:15">
      <c r="K2415" s="1626">
        <v>44472</v>
      </c>
      <c r="L2415" s="1627"/>
      <c r="M2415" s="1628">
        <v>0</v>
      </c>
      <c r="N2415" s="1629">
        <v>1.657985179806198</v>
      </c>
      <c r="O2415" s="1629"/>
    </row>
    <row r="2416" spans="11:15">
      <c r="K2416" s="1626">
        <v>44473</v>
      </c>
      <c r="L2416" s="1627" t="s">
        <v>2298</v>
      </c>
      <c r="M2416" s="1628">
        <v>2.3687E-2</v>
      </c>
      <c r="N2416" s="1629">
        <v>1.6583779067557385</v>
      </c>
      <c r="O2416" s="1629"/>
    </row>
    <row r="2417" spans="11:15">
      <c r="K2417" s="1626">
        <v>44474</v>
      </c>
      <c r="L2417" s="1627" t="s">
        <v>2298</v>
      </c>
      <c r="M2417" s="1628">
        <v>2.3687E-2</v>
      </c>
      <c r="N2417" s="1629">
        <v>1.6587707267305116</v>
      </c>
      <c r="O2417" s="1629"/>
    </row>
    <row r="2418" spans="11:15">
      <c r="K2418" s="1626">
        <v>44475</v>
      </c>
      <c r="L2418" s="1627" t="s">
        <v>2298</v>
      </c>
      <c r="M2418" s="1628">
        <v>2.3687E-2</v>
      </c>
      <c r="N2418" s="1629">
        <v>1.6591636397525522</v>
      </c>
      <c r="O2418" s="1629"/>
    </row>
    <row r="2419" spans="11:15">
      <c r="K2419" s="1626">
        <v>44476</v>
      </c>
      <c r="L2419" s="1627" t="s">
        <v>2298</v>
      </c>
      <c r="M2419" s="1628">
        <v>2.3687E-2</v>
      </c>
      <c r="N2419" s="1629">
        <v>1.6595566458439004</v>
      </c>
      <c r="O2419" s="1629"/>
    </row>
    <row r="2420" spans="11:15">
      <c r="K2420" s="1626">
        <v>44477</v>
      </c>
      <c r="L2420" s="1627" t="s">
        <v>2298</v>
      </c>
      <c r="M2420" s="1628">
        <v>2.3687E-2</v>
      </c>
      <c r="N2420" s="1629">
        <v>1.6599497450266014</v>
      </c>
      <c r="O2420" s="1629"/>
    </row>
    <row r="2421" spans="11:15">
      <c r="K2421" s="1626">
        <v>44478</v>
      </c>
      <c r="L2421" s="1627"/>
      <c r="M2421" s="1628">
        <v>0</v>
      </c>
      <c r="N2421" s="1629">
        <v>1.6599497450266014</v>
      </c>
      <c r="O2421" s="1629"/>
    </row>
    <row r="2422" spans="11:15">
      <c r="K2422" s="1626">
        <v>44479</v>
      </c>
      <c r="L2422" s="1627"/>
      <c r="M2422" s="1628">
        <v>0</v>
      </c>
      <c r="N2422" s="1629">
        <v>1.6599497450266014</v>
      </c>
      <c r="O2422" s="1629"/>
    </row>
    <row r="2423" spans="11:15">
      <c r="K2423" s="1626">
        <v>44480</v>
      </c>
      <c r="L2423" s="1627" t="s">
        <v>2298</v>
      </c>
      <c r="M2423" s="1628">
        <v>2.3687E-2</v>
      </c>
      <c r="N2423" s="1629">
        <v>1.6603429373227059</v>
      </c>
      <c r="O2423" s="1629"/>
    </row>
    <row r="2424" spans="11:15">
      <c r="K2424" s="1626">
        <v>44481</v>
      </c>
      <c r="L2424" s="1627"/>
      <c r="M2424" s="1628">
        <v>0</v>
      </c>
      <c r="N2424" s="1629">
        <v>1.6603429373227059</v>
      </c>
      <c r="O2424" s="1629"/>
    </row>
    <row r="2425" spans="11:15">
      <c r="K2425" s="1626">
        <v>44482</v>
      </c>
      <c r="L2425" s="1627" t="s">
        <v>2298</v>
      </c>
      <c r="M2425" s="1628">
        <v>2.3687E-2</v>
      </c>
      <c r="N2425" s="1629">
        <v>1.6607362227542695</v>
      </c>
      <c r="O2425" s="1629"/>
    </row>
    <row r="2426" spans="11:15">
      <c r="K2426" s="1626">
        <v>44483</v>
      </c>
      <c r="L2426" s="1627" t="s">
        <v>2298</v>
      </c>
      <c r="M2426" s="1628">
        <v>2.3687E-2</v>
      </c>
      <c r="N2426" s="1629">
        <v>1.6611296013433532</v>
      </c>
      <c r="O2426" s="1629"/>
    </row>
    <row r="2427" spans="11:15">
      <c r="K2427" s="1626">
        <v>44484</v>
      </c>
      <c r="L2427" s="1627" t="s">
        <v>2298</v>
      </c>
      <c r="M2427" s="1628">
        <v>2.3687E-2</v>
      </c>
      <c r="N2427" s="1629">
        <v>1.6615230731120234</v>
      </c>
      <c r="O2427" s="1629"/>
    </row>
    <row r="2428" spans="11:15">
      <c r="K2428" s="1626">
        <v>44485</v>
      </c>
      <c r="L2428" s="1627"/>
      <c r="M2428" s="1628">
        <v>0</v>
      </c>
      <c r="N2428" s="1629">
        <v>1.6615230731120234</v>
      </c>
      <c r="O2428" s="1629"/>
    </row>
    <row r="2429" spans="11:15">
      <c r="K2429" s="1626">
        <v>44486</v>
      </c>
      <c r="L2429" s="1627"/>
      <c r="M2429" s="1628">
        <v>0</v>
      </c>
      <c r="N2429" s="1629">
        <v>1.6615230731120234</v>
      </c>
      <c r="O2429" s="1629"/>
    </row>
    <row r="2430" spans="11:15">
      <c r="K2430" s="1626">
        <v>44487</v>
      </c>
      <c r="L2430" s="1627" t="s">
        <v>2298</v>
      </c>
      <c r="M2430" s="1628">
        <v>2.3687E-2</v>
      </c>
      <c r="N2430" s="1629">
        <v>1.6619166380823513</v>
      </c>
      <c r="O2430" s="1629"/>
    </row>
    <row r="2431" spans="11:15">
      <c r="K2431" s="1626">
        <v>44488</v>
      </c>
      <c r="L2431" s="1627" t="s">
        <v>2298</v>
      </c>
      <c r="M2431" s="1628">
        <v>2.3687E-2</v>
      </c>
      <c r="N2431" s="1629">
        <v>1.6623102962764138</v>
      </c>
      <c r="O2431" s="1629"/>
    </row>
    <row r="2432" spans="11:15">
      <c r="K2432" s="1626">
        <v>44489</v>
      </c>
      <c r="L2432" s="1627" t="s">
        <v>2298</v>
      </c>
      <c r="M2432" s="1628">
        <v>2.3687E-2</v>
      </c>
      <c r="N2432" s="1629">
        <v>1.6627040477162927</v>
      </c>
      <c r="O2432" s="1629"/>
    </row>
    <row r="2433" spans="11:15">
      <c r="K2433" s="1626">
        <v>44490</v>
      </c>
      <c r="L2433" s="1627" t="s">
        <v>2298</v>
      </c>
      <c r="M2433" s="1628">
        <v>2.3687E-2</v>
      </c>
      <c r="N2433" s="1629">
        <v>1.6630978924240751</v>
      </c>
      <c r="O2433" s="1629"/>
    </row>
    <row r="2434" spans="11:15">
      <c r="K2434" s="1626">
        <v>44491</v>
      </c>
      <c r="L2434" s="1627" t="s">
        <v>2298</v>
      </c>
      <c r="M2434" s="1628">
        <v>2.3687E-2</v>
      </c>
      <c r="N2434" s="1629">
        <v>1.6634918304218536</v>
      </c>
      <c r="O2434" s="1629"/>
    </row>
    <row r="2435" spans="11:15">
      <c r="K2435" s="1626">
        <v>44492</v>
      </c>
      <c r="L2435" s="1627"/>
      <c r="M2435" s="1628">
        <v>0</v>
      </c>
      <c r="N2435" s="1629">
        <v>1.6634918304218536</v>
      </c>
      <c r="O2435" s="1629"/>
    </row>
    <row r="2436" spans="11:15">
      <c r="K2436" s="1626">
        <v>44493</v>
      </c>
      <c r="L2436" s="1627"/>
      <c r="M2436" s="1628">
        <v>0</v>
      </c>
      <c r="N2436" s="1629">
        <v>1.6634918304218536</v>
      </c>
      <c r="O2436" s="1629"/>
    </row>
    <row r="2437" spans="11:15">
      <c r="K2437" s="1626">
        <v>44494</v>
      </c>
      <c r="L2437" s="1627" t="s">
        <v>2298</v>
      </c>
      <c r="M2437" s="1628">
        <v>2.3687E-2</v>
      </c>
      <c r="N2437" s="1629">
        <v>1.6638858617317256</v>
      </c>
      <c r="O2437" s="1629"/>
    </row>
    <row r="2438" spans="11:15">
      <c r="K2438" s="1626">
        <v>44495</v>
      </c>
      <c r="L2438" s="1627" t="s">
        <v>2298</v>
      </c>
      <c r="M2438" s="1628">
        <v>2.3687E-2</v>
      </c>
      <c r="N2438" s="1629">
        <v>1.664279986375794</v>
      </c>
      <c r="O2438" s="1629"/>
    </row>
    <row r="2439" spans="11:15">
      <c r="K2439" s="1626">
        <v>44496</v>
      </c>
      <c r="L2439" s="1627" t="s">
        <v>2298</v>
      </c>
      <c r="M2439" s="1628">
        <v>2.3687E-2</v>
      </c>
      <c r="N2439" s="1629">
        <v>1.6646742043761666</v>
      </c>
      <c r="O2439" s="1629"/>
    </row>
    <row r="2440" spans="11:15">
      <c r="K2440" s="1626">
        <v>44497</v>
      </c>
      <c r="L2440" s="1627" t="s">
        <v>2298</v>
      </c>
      <c r="M2440" s="1628">
        <v>2.9256000000000001E-2</v>
      </c>
      <c r="N2440" s="1629">
        <v>1.6651612214613991</v>
      </c>
      <c r="O2440" s="1629"/>
    </row>
    <row r="2441" spans="11:15">
      <c r="K2441" s="1626">
        <v>44498</v>
      </c>
      <c r="L2441" s="1627" t="s">
        <v>2298</v>
      </c>
      <c r="M2441" s="1628">
        <v>2.9256000000000001E-2</v>
      </c>
      <c r="N2441" s="1629">
        <v>1.66564838102835</v>
      </c>
      <c r="O2441" s="1629"/>
    </row>
    <row r="2442" spans="11:15">
      <c r="K2442" s="1626">
        <v>44499</v>
      </c>
      <c r="L2442" s="1627"/>
      <c r="M2442" s="1628">
        <v>0</v>
      </c>
      <c r="N2442" s="1629">
        <v>1.66564838102835</v>
      </c>
      <c r="O2442" s="1629"/>
    </row>
    <row r="2443" spans="11:15">
      <c r="K2443" s="1626">
        <v>44500</v>
      </c>
      <c r="L2443" s="1627"/>
      <c r="M2443" s="1628">
        <v>0</v>
      </c>
      <c r="N2443" s="1629">
        <v>1.66564838102835</v>
      </c>
      <c r="O2443" s="1629"/>
    </row>
    <row r="2444" spans="11:15">
      <c r="K2444" s="1626">
        <v>44501</v>
      </c>
      <c r="L2444" s="1627" t="s">
        <v>2298</v>
      </c>
      <c r="M2444" s="1628">
        <v>2.9256000000000001E-2</v>
      </c>
      <c r="N2444" s="1629">
        <v>1.6661356831187037</v>
      </c>
      <c r="O2444" s="1629"/>
    </row>
    <row r="2445" spans="11:15">
      <c r="K2445" s="1626">
        <v>44502</v>
      </c>
      <c r="L2445" s="1627"/>
      <c r="M2445" s="1628">
        <v>0</v>
      </c>
      <c r="N2445" s="1629">
        <v>1.6661356831187037</v>
      </c>
      <c r="O2445" s="1629"/>
    </row>
    <row r="2446" spans="11:15">
      <c r="K2446" s="1626">
        <v>44503</v>
      </c>
      <c r="L2446" s="1627" t="s">
        <v>2298</v>
      </c>
      <c r="M2446" s="1628">
        <v>2.9256000000000001E-2</v>
      </c>
      <c r="N2446" s="1629">
        <v>1.6666231277741572</v>
      </c>
      <c r="O2446" s="1629"/>
    </row>
    <row r="2447" spans="11:15">
      <c r="K2447" s="1626">
        <v>44504</v>
      </c>
      <c r="L2447" s="1627" t="s">
        <v>2298</v>
      </c>
      <c r="M2447" s="1628">
        <v>2.9256000000000001E-2</v>
      </c>
      <c r="N2447" s="1629">
        <v>1.6671107150364191</v>
      </c>
      <c r="O2447" s="1629"/>
    </row>
    <row r="2448" spans="11:15">
      <c r="K2448" s="1626">
        <v>44505</v>
      </c>
      <c r="L2448" s="1627" t="s">
        <v>2298</v>
      </c>
      <c r="M2448" s="1628">
        <v>2.9256000000000001E-2</v>
      </c>
      <c r="N2448" s="1629">
        <v>1.6675984449472103</v>
      </c>
      <c r="O2448" s="1629"/>
    </row>
    <row r="2449" spans="11:15">
      <c r="K2449" s="1626">
        <v>44506</v>
      </c>
      <c r="L2449" s="1627"/>
      <c r="M2449" s="1628">
        <v>0</v>
      </c>
      <c r="N2449" s="1629">
        <v>1.6675984449472103</v>
      </c>
      <c r="O2449" s="1629"/>
    </row>
    <row r="2450" spans="11:15">
      <c r="K2450" s="1626">
        <v>44507</v>
      </c>
      <c r="L2450" s="1627"/>
      <c r="M2450" s="1628">
        <v>0</v>
      </c>
      <c r="N2450" s="1629">
        <v>1.6675984449472103</v>
      </c>
      <c r="O2450" s="1629"/>
    </row>
    <row r="2451" spans="11:15">
      <c r="K2451" s="1626">
        <v>44508</v>
      </c>
      <c r="L2451" s="1627" t="s">
        <v>2298</v>
      </c>
      <c r="M2451" s="1628">
        <v>2.9256000000000001E-2</v>
      </c>
      <c r="N2451" s="1629">
        <v>1.6680863175482643</v>
      </c>
      <c r="O2451" s="1629"/>
    </row>
    <row r="2452" spans="11:15">
      <c r="K2452" s="1626">
        <v>44509</v>
      </c>
      <c r="L2452" s="1627" t="s">
        <v>2298</v>
      </c>
      <c r="M2452" s="1628">
        <v>2.9256000000000001E-2</v>
      </c>
      <c r="N2452" s="1629">
        <v>1.6685743328813265</v>
      </c>
      <c r="O2452" s="1629"/>
    </row>
    <row r="2453" spans="11:15">
      <c r="K2453" s="1626">
        <v>44510</v>
      </c>
      <c r="L2453" s="1627" t="s">
        <v>2298</v>
      </c>
      <c r="M2453" s="1628">
        <v>2.9256000000000001E-2</v>
      </c>
      <c r="N2453" s="1629">
        <v>1.6690624909881544</v>
      </c>
      <c r="O2453" s="1629"/>
    </row>
    <row r="2454" spans="11:15">
      <c r="K2454" s="1626">
        <v>44511</v>
      </c>
      <c r="L2454" s="1627" t="s">
        <v>2298</v>
      </c>
      <c r="M2454" s="1628">
        <v>2.9256000000000001E-2</v>
      </c>
      <c r="N2454" s="1629">
        <v>1.6695507919105181</v>
      </c>
      <c r="O2454" s="1629"/>
    </row>
    <row r="2455" spans="11:15">
      <c r="K2455" s="1626">
        <v>44512</v>
      </c>
      <c r="L2455" s="1627" t="s">
        <v>2298</v>
      </c>
      <c r="M2455" s="1628">
        <v>2.9256000000000001E-2</v>
      </c>
      <c r="N2455" s="1629">
        <v>1.6700392356901996</v>
      </c>
      <c r="O2455" s="1629"/>
    </row>
    <row r="2456" spans="11:15">
      <c r="K2456" s="1626">
        <v>44513</v>
      </c>
      <c r="L2456" s="1627"/>
      <c r="M2456" s="1628">
        <v>0</v>
      </c>
      <c r="N2456" s="1629">
        <v>1.6700392356901996</v>
      </c>
      <c r="O2456" s="1629"/>
    </row>
    <row r="2457" spans="11:15">
      <c r="K2457" s="1626">
        <v>44514</v>
      </c>
      <c r="L2457" s="1627"/>
      <c r="M2457" s="1628">
        <v>0</v>
      </c>
      <c r="N2457" s="1629">
        <v>1.6700392356901996</v>
      </c>
      <c r="O2457" s="1629"/>
    </row>
    <row r="2458" spans="11:15">
      <c r="K2458" s="1626">
        <v>44515</v>
      </c>
      <c r="L2458" s="1627"/>
      <c r="M2458" s="1628">
        <v>0</v>
      </c>
      <c r="N2458" s="1629">
        <v>1.6700392356901996</v>
      </c>
      <c r="O2458" s="1629"/>
    </row>
    <row r="2459" spans="11:15">
      <c r="K2459" s="1626">
        <v>44516</v>
      </c>
      <c r="L2459" s="1627" t="s">
        <v>2298</v>
      </c>
      <c r="M2459" s="1628">
        <v>2.9256000000000001E-2</v>
      </c>
      <c r="N2459" s="1629">
        <v>1.6705278223689934</v>
      </c>
      <c r="O2459" s="1629"/>
    </row>
    <row r="2460" spans="11:15">
      <c r="K2460" s="1626">
        <v>44517</v>
      </c>
      <c r="L2460" s="1627" t="s">
        <v>2298</v>
      </c>
      <c r="M2460" s="1628">
        <v>2.9256000000000001E-2</v>
      </c>
      <c r="N2460" s="1629">
        <v>1.6710165519887059</v>
      </c>
      <c r="O2460" s="1629"/>
    </row>
    <row r="2461" spans="11:15">
      <c r="K2461" s="1626">
        <v>44518</v>
      </c>
      <c r="L2461" s="1627" t="s">
        <v>2298</v>
      </c>
      <c r="M2461" s="1628">
        <v>2.9256000000000001E-2</v>
      </c>
      <c r="N2461" s="1629">
        <v>1.6715054245911558</v>
      </c>
      <c r="O2461" s="1629"/>
    </row>
    <row r="2462" spans="11:15">
      <c r="K2462" s="1626">
        <v>44519</v>
      </c>
      <c r="L2462" s="1627" t="s">
        <v>2298</v>
      </c>
      <c r="M2462" s="1628">
        <v>2.9256000000000001E-2</v>
      </c>
      <c r="N2462" s="1629">
        <v>1.6719944402181743</v>
      </c>
      <c r="O2462" s="1629"/>
    </row>
    <row r="2463" spans="11:15">
      <c r="K2463" s="1626">
        <v>44520</v>
      </c>
      <c r="L2463" s="1627"/>
      <c r="M2463" s="1628">
        <v>0</v>
      </c>
      <c r="N2463" s="1629">
        <v>1.6719944402181743</v>
      </c>
      <c r="O2463" s="1629"/>
    </row>
    <row r="2464" spans="11:15">
      <c r="K2464" s="1626">
        <v>44521</v>
      </c>
      <c r="L2464" s="1627"/>
      <c r="M2464" s="1628">
        <v>0</v>
      </c>
      <c r="N2464" s="1629">
        <v>1.6719944402181743</v>
      </c>
      <c r="O2464" s="1629"/>
    </row>
    <row r="2465" spans="11:15">
      <c r="K2465" s="1626">
        <v>44522</v>
      </c>
      <c r="L2465" s="1627" t="s">
        <v>2298</v>
      </c>
      <c r="M2465" s="1628">
        <v>2.9256000000000001E-2</v>
      </c>
      <c r="N2465" s="1629">
        <v>1.6724835989116047</v>
      </c>
      <c r="O2465" s="1629"/>
    </row>
    <row r="2466" spans="11:15">
      <c r="K2466" s="1626">
        <v>44523</v>
      </c>
      <c r="L2466" s="1627" t="s">
        <v>2298</v>
      </c>
      <c r="M2466" s="1628">
        <v>2.9256000000000001E-2</v>
      </c>
      <c r="N2466" s="1629">
        <v>1.6729729007133025</v>
      </c>
      <c r="O2466" s="1629"/>
    </row>
    <row r="2467" spans="11:15">
      <c r="K2467" s="1626">
        <v>44524</v>
      </c>
      <c r="L2467" s="1627" t="s">
        <v>2298</v>
      </c>
      <c r="M2467" s="1628">
        <v>2.9256000000000001E-2</v>
      </c>
      <c r="N2467" s="1629">
        <v>1.6734623456651354</v>
      </c>
      <c r="O2467" s="1629"/>
    </row>
    <row r="2468" spans="11:15">
      <c r="K2468" s="1626">
        <v>44525</v>
      </c>
      <c r="L2468" s="1627" t="s">
        <v>2298</v>
      </c>
      <c r="M2468" s="1628">
        <v>2.9256000000000001E-2</v>
      </c>
      <c r="N2468" s="1629">
        <v>1.6739519338089834</v>
      </c>
      <c r="O2468" s="1629"/>
    </row>
    <row r="2469" spans="11:15">
      <c r="K2469" s="1626">
        <v>44526</v>
      </c>
      <c r="L2469" s="1627" t="s">
        <v>2298</v>
      </c>
      <c r="M2469" s="1628">
        <v>2.9256000000000001E-2</v>
      </c>
      <c r="N2469" s="1629">
        <v>1.6744416651867389</v>
      </c>
      <c r="O2469" s="1629"/>
    </row>
    <row r="2470" spans="11:15">
      <c r="K2470" s="1626">
        <v>44527</v>
      </c>
      <c r="L2470" s="1627"/>
      <c r="M2470" s="1628">
        <v>0</v>
      </c>
      <c r="N2470" s="1629">
        <v>1.6744416651867389</v>
      </c>
      <c r="O2470" s="1629"/>
    </row>
    <row r="2471" spans="11:15">
      <c r="K2471" s="1626">
        <v>44528</v>
      </c>
      <c r="L2471" s="1627"/>
      <c r="M2471" s="1628">
        <v>0</v>
      </c>
      <c r="N2471" s="1629">
        <v>1.6744416651867389</v>
      </c>
      <c r="O2471" s="1629"/>
    </row>
    <row r="2472" spans="11:15">
      <c r="K2472" s="1626">
        <v>44529</v>
      </c>
      <c r="L2472" s="1627" t="s">
        <v>2298</v>
      </c>
      <c r="M2472" s="1628">
        <v>2.9256000000000001E-2</v>
      </c>
      <c r="N2472" s="1629">
        <v>1.6749315398403062</v>
      </c>
      <c r="O2472" s="1629"/>
    </row>
    <row r="2473" spans="11:15">
      <c r="K2473" s="1626">
        <v>44530</v>
      </c>
      <c r="L2473" s="1627" t="s">
        <v>2298</v>
      </c>
      <c r="M2473" s="1628">
        <v>2.9256000000000001E-2</v>
      </c>
      <c r="N2473" s="1629">
        <v>1.6754215578116021</v>
      </c>
      <c r="O2473" s="1629"/>
    </row>
    <row r="2474" spans="11:15">
      <c r="K2474" s="1626">
        <v>44531</v>
      </c>
      <c r="L2474" s="1627" t="s">
        <v>2298</v>
      </c>
      <c r="M2474" s="1628">
        <v>2.9256000000000001E-2</v>
      </c>
      <c r="N2474" s="1629">
        <v>1.6759117191425557</v>
      </c>
      <c r="O2474" s="1629"/>
    </row>
    <row r="2475" spans="11:15">
      <c r="K2475" s="1626">
        <v>44532</v>
      </c>
      <c r="L2475" s="1627" t="s">
        <v>2298</v>
      </c>
      <c r="M2475" s="1628">
        <v>2.9256000000000001E-2</v>
      </c>
      <c r="N2475" s="1629">
        <v>1.6764020238751083</v>
      </c>
      <c r="O2475" s="1629"/>
    </row>
    <row r="2476" spans="11:15">
      <c r="K2476" s="1626">
        <v>44533</v>
      </c>
      <c r="L2476" s="1627" t="s">
        <v>2298</v>
      </c>
      <c r="M2476" s="1628">
        <v>2.9256000000000001E-2</v>
      </c>
      <c r="N2476" s="1629">
        <v>1.6768924720512133</v>
      </c>
      <c r="O2476" s="1629"/>
    </row>
    <row r="2477" spans="11:15">
      <c r="K2477" s="1626">
        <v>44534</v>
      </c>
      <c r="L2477" s="1627"/>
      <c r="M2477" s="1628">
        <v>0</v>
      </c>
      <c r="N2477" s="1629">
        <v>1.6768924720512133</v>
      </c>
      <c r="O2477" s="1629"/>
    </row>
    <row r="2478" spans="11:15">
      <c r="K2478" s="1626">
        <v>44535</v>
      </c>
      <c r="L2478" s="1627"/>
      <c r="M2478" s="1628">
        <v>0</v>
      </c>
      <c r="N2478" s="1629">
        <v>1.6768924720512133</v>
      </c>
      <c r="O2478" s="1629"/>
    </row>
    <row r="2479" spans="11:15">
      <c r="K2479" s="1626">
        <v>44536</v>
      </c>
      <c r="L2479" s="1627" t="s">
        <v>2298</v>
      </c>
      <c r="M2479" s="1628">
        <v>2.9256000000000001E-2</v>
      </c>
      <c r="N2479" s="1629">
        <v>1.6773830637128369</v>
      </c>
      <c r="O2479" s="1629"/>
    </row>
    <row r="2480" spans="11:15">
      <c r="K2480" s="1626">
        <v>44537</v>
      </c>
      <c r="L2480" s="1627" t="s">
        <v>2298</v>
      </c>
      <c r="M2480" s="1628">
        <v>2.9256000000000001E-2</v>
      </c>
      <c r="N2480" s="1629">
        <v>1.6778737989019568</v>
      </c>
      <c r="O2480" s="1629"/>
    </row>
    <row r="2481" spans="11:15">
      <c r="K2481" s="1626">
        <v>44538</v>
      </c>
      <c r="L2481" s="1627" t="s">
        <v>2298</v>
      </c>
      <c r="M2481" s="1628">
        <v>2.9256000000000001E-2</v>
      </c>
      <c r="N2481" s="1629">
        <v>1.6783646776605636</v>
      </c>
      <c r="O2481" s="1629"/>
    </row>
    <row r="2482" spans="11:15">
      <c r="K2482" s="1626">
        <v>44539</v>
      </c>
      <c r="L2482" s="1627" t="s">
        <v>2298</v>
      </c>
      <c r="M2482" s="1628">
        <v>3.4749000000000002E-2</v>
      </c>
      <c r="N2482" s="1629">
        <v>1.678947892602404</v>
      </c>
      <c r="O2482" s="1629"/>
    </row>
    <row r="2483" spans="11:15">
      <c r="K2483" s="1626">
        <v>44540</v>
      </c>
      <c r="L2483" s="1627" t="s">
        <v>2298</v>
      </c>
      <c r="M2483" s="1628">
        <v>3.4749000000000002E-2</v>
      </c>
      <c r="N2483" s="1629">
        <v>1.6795313102056044</v>
      </c>
      <c r="O2483" s="1629"/>
    </row>
    <row r="2484" spans="11:15">
      <c r="K2484" s="1626">
        <v>44541</v>
      </c>
      <c r="L2484" s="1627"/>
      <c r="M2484" s="1628">
        <v>0</v>
      </c>
      <c r="N2484" s="1629">
        <v>1.6795313102056044</v>
      </c>
      <c r="O2484" s="1629"/>
    </row>
    <row r="2485" spans="11:15">
      <c r="K2485" s="1626">
        <v>44542</v>
      </c>
      <c r="L2485" s="1627"/>
      <c r="M2485" s="1628">
        <v>0</v>
      </c>
      <c r="N2485" s="1629">
        <v>1.6795313102056044</v>
      </c>
      <c r="O2485" s="1629"/>
    </row>
    <row r="2486" spans="11:15">
      <c r="K2486" s="1626">
        <v>44543</v>
      </c>
      <c r="L2486" s="1627" t="s">
        <v>2298</v>
      </c>
      <c r="M2486" s="1628">
        <v>3.4749000000000002E-2</v>
      </c>
      <c r="N2486" s="1629">
        <v>1.6801149305405878</v>
      </c>
      <c r="O2486" s="1629"/>
    </row>
    <row r="2487" spans="11:15">
      <c r="K2487" s="1626">
        <v>44544</v>
      </c>
      <c r="L2487" s="1627" t="s">
        <v>2298</v>
      </c>
      <c r="M2487" s="1628">
        <v>3.4749000000000002E-2</v>
      </c>
      <c r="N2487" s="1629">
        <v>1.6806987536778013</v>
      </c>
      <c r="O2487" s="1629"/>
    </row>
    <row r="2488" spans="11:15">
      <c r="K2488" s="1626">
        <v>44545</v>
      </c>
      <c r="L2488" s="1627" t="s">
        <v>2298</v>
      </c>
      <c r="M2488" s="1628">
        <v>3.4749000000000002E-2</v>
      </c>
      <c r="N2488" s="1629">
        <v>1.6812827796877168</v>
      </c>
      <c r="O2488" s="1629"/>
    </row>
    <row r="2489" spans="11:15">
      <c r="K2489" s="1626">
        <v>44546</v>
      </c>
      <c r="L2489" s="1627" t="s">
        <v>2298</v>
      </c>
      <c r="M2489" s="1628">
        <v>3.4749000000000002E-2</v>
      </c>
      <c r="N2489" s="1629">
        <v>1.6818670086408305</v>
      </c>
      <c r="O2489" s="1629"/>
    </row>
    <row r="2490" spans="11:15">
      <c r="K2490" s="1626">
        <v>44547</v>
      </c>
      <c r="L2490" s="1627" t="s">
        <v>2298</v>
      </c>
      <c r="M2490" s="1628">
        <v>3.4749000000000002E-2</v>
      </c>
      <c r="N2490" s="1629">
        <v>1.6824514406076632</v>
      </c>
      <c r="O2490" s="1629"/>
    </row>
    <row r="2491" spans="11:15">
      <c r="K2491" s="1626">
        <v>44548</v>
      </c>
      <c r="L2491" s="1627"/>
      <c r="M2491" s="1628">
        <v>0</v>
      </c>
      <c r="N2491" s="1629">
        <v>1.6824514406076632</v>
      </c>
      <c r="O2491" s="1629"/>
    </row>
    <row r="2492" spans="11:15">
      <c r="K2492" s="1626">
        <v>44549</v>
      </c>
      <c r="L2492" s="1627"/>
      <c r="M2492" s="1628">
        <v>0</v>
      </c>
      <c r="N2492" s="1629">
        <v>1.6824514406076632</v>
      </c>
      <c r="O2492" s="1629"/>
    </row>
    <row r="2493" spans="11:15">
      <c r="K2493" s="1626">
        <v>44550</v>
      </c>
      <c r="L2493" s="1627" t="s">
        <v>2298</v>
      </c>
      <c r="M2493" s="1628">
        <v>3.4749000000000002E-2</v>
      </c>
      <c r="N2493" s="1629">
        <v>1.6830360756587599</v>
      </c>
      <c r="O2493" s="1629"/>
    </row>
    <row r="2494" spans="11:15">
      <c r="K2494" s="1626">
        <v>44551</v>
      </c>
      <c r="L2494" s="1627" t="s">
        <v>2298</v>
      </c>
      <c r="M2494" s="1628">
        <v>3.4749000000000002E-2</v>
      </c>
      <c r="N2494" s="1629">
        <v>1.6836209138646905</v>
      </c>
      <c r="O2494" s="1629"/>
    </row>
    <row r="2495" spans="11:15">
      <c r="K2495" s="1626">
        <v>44552</v>
      </c>
      <c r="L2495" s="1627" t="s">
        <v>2298</v>
      </c>
      <c r="M2495" s="1628">
        <v>3.4749000000000002E-2</v>
      </c>
      <c r="N2495" s="1629">
        <v>1.6842059552960493</v>
      </c>
      <c r="O2495" s="1629"/>
    </row>
    <row r="2496" spans="11:15">
      <c r="K2496" s="1626">
        <v>44553</v>
      </c>
      <c r="L2496" s="1627" t="s">
        <v>2298</v>
      </c>
      <c r="M2496" s="1628">
        <v>3.4749000000000002E-2</v>
      </c>
      <c r="N2496" s="1629">
        <v>1.6847912000234551</v>
      </c>
      <c r="O2496" s="1629"/>
    </row>
    <row r="2497" spans="11:15">
      <c r="K2497" s="1626">
        <v>44554</v>
      </c>
      <c r="L2497" s="1627" t="s">
        <v>2298</v>
      </c>
      <c r="M2497" s="1628">
        <v>3.4749000000000002E-2</v>
      </c>
      <c r="N2497" s="1629">
        <v>1.6853766481175512</v>
      </c>
      <c r="O2497" s="1629"/>
    </row>
    <row r="2498" spans="11:15">
      <c r="K2498" s="1626">
        <v>44555</v>
      </c>
      <c r="L2498" s="1627"/>
      <c r="M2498" s="1628">
        <v>0</v>
      </c>
      <c r="N2498" s="1629">
        <v>1.6853766481175512</v>
      </c>
      <c r="O2498" s="1629"/>
    </row>
    <row r="2499" spans="11:15">
      <c r="K2499" s="1626">
        <v>44556</v>
      </c>
      <c r="L2499" s="1627"/>
      <c r="M2499" s="1628">
        <v>0</v>
      </c>
      <c r="N2499" s="1629">
        <v>1.6853766481175512</v>
      </c>
      <c r="O2499" s="1629"/>
    </row>
    <row r="2500" spans="11:15">
      <c r="K2500" s="1626">
        <v>44557</v>
      </c>
      <c r="L2500" s="1627" t="s">
        <v>2298</v>
      </c>
      <c r="M2500" s="1628">
        <v>3.4749000000000002E-2</v>
      </c>
      <c r="N2500" s="1629">
        <v>1.6859622996490056</v>
      </c>
      <c r="O2500" s="1629"/>
    </row>
    <row r="2501" spans="11:15">
      <c r="K2501" s="1626">
        <v>44558</v>
      </c>
      <c r="L2501" s="1627" t="s">
        <v>2298</v>
      </c>
      <c r="M2501" s="1628">
        <v>3.4749000000000002E-2</v>
      </c>
      <c r="N2501" s="1629">
        <v>1.6865481546885106</v>
      </c>
      <c r="O2501" s="1629"/>
    </row>
    <row r="2502" spans="11:15">
      <c r="K2502" s="1626">
        <v>44559</v>
      </c>
      <c r="L2502" s="1627" t="s">
        <v>2298</v>
      </c>
      <c r="M2502" s="1628">
        <v>3.4749000000000002E-2</v>
      </c>
      <c r="N2502" s="1629">
        <v>1.6871342133067833</v>
      </c>
      <c r="O2502" s="1629"/>
    </row>
    <row r="2503" spans="11:15">
      <c r="K2503" s="1626">
        <v>44560</v>
      </c>
      <c r="L2503" s="1627" t="s">
        <v>2298</v>
      </c>
      <c r="M2503" s="1628">
        <v>3.4749000000000002E-2</v>
      </c>
      <c r="N2503" s="1629">
        <v>1.6877204755745652</v>
      </c>
      <c r="O2503" s="1629"/>
    </row>
    <row r="2504" spans="11:15">
      <c r="K2504" s="1626">
        <v>44561</v>
      </c>
      <c r="L2504" s="1627" t="s">
        <v>2298</v>
      </c>
      <c r="M2504" s="1628">
        <v>3.4749000000000002E-2</v>
      </c>
      <c r="N2504" s="1629">
        <v>1.6883069415626226</v>
      </c>
      <c r="O2504" s="1629"/>
    </row>
    <row r="2505" spans="11:15">
      <c r="K2505" s="1626">
        <v>44562</v>
      </c>
      <c r="L2505" s="1627"/>
      <c r="M2505" s="1628">
        <v>0</v>
      </c>
      <c r="N2505" s="1629">
        <v>1.6883069415626226</v>
      </c>
      <c r="O2505" s="1629"/>
    </row>
    <row r="2506" spans="11:15">
      <c r="K2506" s="1626">
        <v>44563</v>
      </c>
      <c r="L2506" s="1627"/>
      <c r="M2506" s="1628">
        <v>0</v>
      </c>
      <c r="N2506" s="1629">
        <v>1.6883069415626226</v>
      </c>
      <c r="O2506" s="1629"/>
    </row>
    <row r="2507" spans="11:15">
      <c r="K2507" s="1626">
        <v>44564</v>
      </c>
      <c r="L2507" s="1627" t="s">
        <v>2298</v>
      </c>
      <c r="M2507" s="1628">
        <v>3.4749000000000002E-2</v>
      </c>
      <c r="N2507" s="1629">
        <v>1.6888936113417463</v>
      </c>
      <c r="O2507" s="1629"/>
    </row>
    <row r="2508" spans="11:15">
      <c r="K2508" s="1626">
        <v>44565</v>
      </c>
      <c r="L2508" s="1627" t="s">
        <v>2298</v>
      </c>
      <c r="M2508" s="1628">
        <v>3.4749000000000002E-2</v>
      </c>
      <c r="N2508" s="1629">
        <v>1.6894804849827514</v>
      </c>
      <c r="O2508" s="1629"/>
    </row>
    <row r="2509" spans="11:15">
      <c r="K2509" s="1626">
        <v>44566</v>
      </c>
      <c r="L2509" s="1627" t="s">
        <v>2298</v>
      </c>
      <c r="M2509" s="1628">
        <v>3.4749000000000002E-2</v>
      </c>
      <c r="N2509" s="1629">
        <v>1.6900675625564781</v>
      </c>
      <c r="O2509" s="1629"/>
    </row>
    <row r="2510" spans="11:15">
      <c r="K2510" s="1626">
        <v>44567</v>
      </c>
      <c r="L2510" s="1627" t="s">
        <v>2298</v>
      </c>
      <c r="M2510" s="1628">
        <v>3.4749000000000002E-2</v>
      </c>
      <c r="N2510" s="1629">
        <v>1.6906548441337907</v>
      </c>
      <c r="O2510" s="1629"/>
    </row>
    <row r="2511" spans="11:15">
      <c r="K2511" s="1626">
        <v>44568</v>
      </c>
      <c r="L2511" s="1627" t="s">
        <v>2298</v>
      </c>
      <c r="M2511" s="1628">
        <v>3.4749000000000002E-2</v>
      </c>
      <c r="N2511" s="1629">
        <v>1.6912423297855788</v>
      </c>
      <c r="O2511" s="1629"/>
    </row>
    <row r="2512" spans="11:15">
      <c r="K2512" s="1626">
        <v>44569</v>
      </c>
      <c r="L2512" s="1627"/>
      <c r="M2512" s="1628">
        <v>0</v>
      </c>
      <c r="N2512" s="1629">
        <v>1.6912423297855788</v>
      </c>
      <c r="O2512" s="1629"/>
    </row>
    <row r="2513" spans="11:15">
      <c r="K2513" s="1626">
        <v>44570</v>
      </c>
      <c r="L2513" s="1627"/>
      <c r="M2513" s="1628">
        <v>0</v>
      </c>
      <c r="N2513" s="1629">
        <v>1.6912423297855788</v>
      </c>
      <c r="O2513" s="1629"/>
    </row>
    <row r="2514" spans="11:15">
      <c r="K2514" s="1626">
        <v>44571</v>
      </c>
      <c r="L2514" s="1627" t="s">
        <v>2298</v>
      </c>
      <c r="M2514" s="1628">
        <v>3.4749000000000002E-2</v>
      </c>
      <c r="N2514" s="1629">
        <v>1.691830019582756</v>
      </c>
      <c r="O2514" s="1629"/>
    </row>
    <row r="2515" spans="11:15">
      <c r="K2515" s="1626">
        <v>44572</v>
      </c>
      <c r="L2515" s="1627" t="s">
        <v>2298</v>
      </c>
      <c r="M2515" s="1628">
        <v>3.4749000000000002E-2</v>
      </c>
      <c r="N2515" s="1629">
        <v>1.6924179135962609</v>
      </c>
      <c r="O2515" s="1629"/>
    </row>
    <row r="2516" spans="11:15">
      <c r="K2516" s="1626">
        <v>44573</v>
      </c>
      <c r="L2516" s="1627" t="s">
        <v>2298</v>
      </c>
      <c r="M2516" s="1628">
        <v>3.4749000000000002E-2</v>
      </c>
      <c r="N2516" s="1629">
        <v>1.6930060118970565</v>
      </c>
      <c r="O2516" s="1629"/>
    </row>
    <row r="2517" spans="11:15">
      <c r="K2517" s="1626">
        <v>44574</v>
      </c>
      <c r="L2517" s="1627" t="s">
        <v>2298</v>
      </c>
      <c r="M2517" s="1628">
        <v>3.4749000000000002E-2</v>
      </c>
      <c r="N2517" s="1629">
        <v>1.6935943145561305</v>
      </c>
      <c r="O2517" s="1629"/>
    </row>
    <row r="2518" spans="11:15">
      <c r="K2518" s="1626">
        <v>44575</v>
      </c>
      <c r="L2518" s="1627" t="s">
        <v>2298</v>
      </c>
      <c r="M2518" s="1628">
        <v>3.4749000000000002E-2</v>
      </c>
      <c r="N2518" s="1629">
        <v>1.6941828216444956</v>
      </c>
      <c r="O2518" s="1629"/>
    </row>
    <row r="2519" spans="11:15">
      <c r="K2519" s="1626">
        <v>44576</v>
      </c>
      <c r="L2519" s="1627"/>
      <c r="M2519" s="1628">
        <v>0</v>
      </c>
      <c r="N2519" s="1629">
        <v>1.6941828216444956</v>
      </c>
      <c r="O2519" s="1629"/>
    </row>
    <row r="2520" spans="11:15">
      <c r="K2520" s="1626">
        <v>44577</v>
      </c>
      <c r="L2520" s="1627"/>
      <c r="M2520" s="1628">
        <v>0</v>
      </c>
      <c r="N2520" s="1629">
        <v>1.6941828216444956</v>
      </c>
      <c r="O2520" s="1629"/>
    </row>
    <row r="2521" spans="11:15">
      <c r="K2521" s="1626">
        <v>44578</v>
      </c>
      <c r="L2521" s="1627" t="s">
        <v>2298</v>
      </c>
      <c r="M2521" s="1628">
        <v>3.4749000000000002E-2</v>
      </c>
      <c r="N2521" s="1629">
        <v>1.694771533233189</v>
      </c>
      <c r="O2521" s="1629"/>
    </row>
    <row r="2522" spans="11:15">
      <c r="K2522" s="1626">
        <v>44579</v>
      </c>
      <c r="L2522" s="1627" t="s">
        <v>2298</v>
      </c>
      <c r="M2522" s="1628">
        <v>3.4749000000000002E-2</v>
      </c>
      <c r="N2522" s="1629">
        <v>1.6953604493932721</v>
      </c>
      <c r="O2522" s="1629"/>
    </row>
    <row r="2523" spans="11:15">
      <c r="K2523" s="1626">
        <v>44580</v>
      </c>
      <c r="L2523" s="1627" t="s">
        <v>2298</v>
      </c>
      <c r="M2523" s="1628">
        <v>3.4749000000000002E-2</v>
      </c>
      <c r="N2523" s="1629">
        <v>1.6959495701958318</v>
      </c>
      <c r="O2523" s="1629"/>
    </row>
    <row r="2524" spans="11:15">
      <c r="K2524" s="1626">
        <v>44581</v>
      </c>
      <c r="L2524" s="1627" t="s">
        <v>2298</v>
      </c>
      <c r="M2524" s="1628">
        <v>3.4749000000000002E-2</v>
      </c>
      <c r="N2524" s="1629">
        <v>1.6965388957119791</v>
      </c>
      <c r="O2524" s="1629"/>
    </row>
    <row r="2525" spans="11:15">
      <c r="K2525" s="1626">
        <v>44582</v>
      </c>
      <c r="L2525" s="1627" t="s">
        <v>2298</v>
      </c>
      <c r="M2525" s="1628">
        <v>3.4749000000000002E-2</v>
      </c>
      <c r="N2525" s="1629">
        <v>1.6971284260128501</v>
      </c>
      <c r="O2525" s="1629"/>
    </row>
    <row r="2526" spans="11:15">
      <c r="K2526" s="1626">
        <v>44583</v>
      </c>
      <c r="L2526" s="1627"/>
      <c r="M2526" s="1628">
        <v>0</v>
      </c>
      <c r="N2526" s="1629">
        <v>1.6971284260128501</v>
      </c>
      <c r="O2526" s="1629"/>
    </row>
    <row r="2527" spans="11:15">
      <c r="K2527" s="1626">
        <v>44584</v>
      </c>
      <c r="L2527" s="1627"/>
      <c r="M2527" s="1628">
        <v>0</v>
      </c>
      <c r="N2527" s="1629">
        <v>1.6971284260128501</v>
      </c>
      <c r="O2527" s="1629"/>
    </row>
    <row r="2528" spans="11:15">
      <c r="K2528" s="1626">
        <v>44585</v>
      </c>
      <c r="L2528" s="1627" t="s">
        <v>2298</v>
      </c>
      <c r="M2528" s="1628">
        <v>3.4749000000000002E-2</v>
      </c>
      <c r="N2528" s="1629">
        <v>1.6977181611696053</v>
      </c>
      <c r="O2528" s="1629"/>
    </row>
    <row r="2529" spans="11:15">
      <c r="K2529" s="1626">
        <v>44586</v>
      </c>
      <c r="L2529" s="1627" t="s">
        <v>2298</v>
      </c>
      <c r="M2529" s="1628">
        <v>3.4749000000000002E-2</v>
      </c>
      <c r="N2529" s="1629">
        <v>1.69830810125343</v>
      </c>
      <c r="O2529" s="1629"/>
    </row>
    <row r="2530" spans="11:15">
      <c r="K2530" s="1626">
        <v>44587</v>
      </c>
      <c r="L2530" s="1627" t="s">
        <v>2298</v>
      </c>
      <c r="M2530" s="1628">
        <v>3.4749000000000002E-2</v>
      </c>
      <c r="N2530" s="1629">
        <v>1.6988982463355347</v>
      </c>
      <c r="O2530" s="1629"/>
    </row>
    <row r="2531" spans="11:15">
      <c r="K2531" s="1626">
        <v>44588</v>
      </c>
      <c r="L2531" s="1627" t="s">
        <v>2298</v>
      </c>
      <c r="M2531" s="1628">
        <v>3.4749000000000002E-2</v>
      </c>
      <c r="N2531" s="1629">
        <v>1.6994885964871538</v>
      </c>
      <c r="O2531" s="1629"/>
    </row>
    <row r="2532" spans="11:15">
      <c r="K2532" s="1626">
        <v>44589</v>
      </c>
      <c r="L2532" s="1627" t="s">
        <v>2298</v>
      </c>
      <c r="M2532" s="1628">
        <v>3.4749000000000002E-2</v>
      </c>
      <c r="N2532" s="1629">
        <v>1.700079151779547</v>
      </c>
      <c r="O2532" s="1629"/>
    </row>
    <row r="2533" spans="11:15">
      <c r="K2533" s="1626">
        <v>44590</v>
      </c>
      <c r="L2533" s="1627"/>
      <c r="M2533" s="1628">
        <v>0</v>
      </c>
      <c r="N2533" s="1629">
        <v>1.700079151779547</v>
      </c>
      <c r="O2533" s="1629"/>
    </row>
    <row r="2534" spans="11:15">
      <c r="K2534" s="1626">
        <v>44591</v>
      </c>
      <c r="L2534" s="1627"/>
      <c r="M2534" s="1628">
        <v>0</v>
      </c>
      <c r="N2534" s="1629">
        <v>1.700079151779547</v>
      </c>
      <c r="O2534" s="1629"/>
    </row>
    <row r="2535" spans="11:15">
      <c r="K2535" s="1626">
        <v>44592</v>
      </c>
      <c r="L2535" s="1627" t="s">
        <v>2298</v>
      </c>
      <c r="M2535" s="1628">
        <v>3.4749000000000002E-2</v>
      </c>
      <c r="N2535" s="1629">
        <v>1.700669912283999</v>
      </c>
      <c r="O2535" s="1629"/>
    </row>
    <row r="2536" spans="11:15">
      <c r="K2536" s="1626">
        <v>44593</v>
      </c>
      <c r="L2536" s="1627" t="s">
        <v>2298</v>
      </c>
      <c r="M2536" s="1628">
        <v>3.4749000000000002E-2</v>
      </c>
      <c r="N2536" s="1629">
        <v>1.7012608780718186</v>
      </c>
      <c r="O2536" s="1629"/>
    </row>
    <row r="2537" spans="11:15">
      <c r="K2537" s="1626">
        <v>44594</v>
      </c>
      <c r="L2537" s="1627" t="s">
        <v>2298</v>
      </c>
      <c r="M2537" s="1628">
        <v>3.4749000000000002E-2</v>
      </c>
      <c r="N2537" s="1629">
        <v>1.7018520492143399</v>
      </c>
      <c r="O2537" s="1629"/>
    </row>
    <row r="2538" spans="11:15">
      <c r="K2538" s="1626">
        <v>44595</v>
      </c>
      <c r="L2538" s="1627" t="s">
        <v>2298</v>
      </c>
      <c r="M2538" s="1628">
        <v>4.0168000000000002E-2</v>
      </c>
      <c r="N2538" s="1629">
        <v>1.7025356491454682</v>
      </c>
      <c r="O2538" s="1629"/>
    </row>
    <row r="2539" spans="11:15">
      <c r="K2539" s="1626">
        <v>44596</v>
      </c>
      <c r="L2539" s="1627" t="s">
        <v>2298</v>
      </c>
      <c r="M2539" s="1628">
        <v>4.0168000000000002E-2</v>
      </c>
      <c r="N2539" s="1629">
        <v>1.7032195236650169</v>
      </c>
      <c r="O2539" s="1629"/>
    </row>
    <row r="2540" spans="11:15">
      <c r="K2540" s="1626">
        <v>44597</v>
      </c>
      <c r="L2540" s="1627"/>
      <c r="M2540" s="1628">
        <v>0</v>
      </c>
      <c r="N2540" s="1629">
        <v>1.7032195236650169</v>
      </c>
      <c r="O2540" s="1629"/>
    </row>
    <row r="2541" spans="11:15">
      <c r="K2541" s="1626">
        <v>44598</v>
      </c>
      <c r="L2541" s="1627"/>
      <c r="M2541" s="1628">
        <v>0</v>
      </c>
      <c r="N2541" s="1629">
        <v>1.7032195236650169</v>
      </c>
      <c r="O2541" s="1629"/>
    </row>
    <row r="2542" spans="11:15">
      <c r="K2542" s="1626">
        <v>44599</v>
      </c>
      <c r="L2542" s="1627" t="s">
        <v>2298</v>
      </c>
      <c r="M2542" s="1628">
        <v>4.0168000000000002E-2</v>
      </c>
      <c r="N2542" s="1629">
        <v>1.7039036728832826</v>
      </c>
      <c r="O2542" s="1629"/>
    </row>
    <row r="2543" spans="11:15">
      <c r="K2543" s="1626">
        <v>44600</v>
      </c>
      <c r="L2543" s="1627" t="s">
        <v>2298</v>
      </c>
      <c r="M2543" s="1628">
        <v>4.0168000000000002E-2</v>
      </c>
      <c r="N2543" s="1629">
        <v>1.7045880969106062</v>
      </c>
      <c r="O2543" s="1629"/>
    </row>
    <row r="2544" spans="11:15">
      <c r="K2544" s="1626">
        <v>44601</v>
      </c>
      <c r="L2544" s="1627" t="s">
        <v>2298</v>
      </c>
      <c r="M2544" s="1628">
        <v>4.0168000000000002E-2</v>
      </c>
      <c r="N2544" s="1629">
        <v>1.7052727958573732</v>
      </c>
      <c r="O2544" s="1629"/>
    </row>
    <row r="2545" spans="11:15">
      <c r="K2545" s="1626">
        <v>44602</v>
      </c>
      <c r="L2545" s="1627" t="s">
        <v>2298</v>
      </c>
      <c r="M2545" s="1628">
        <v>4.0168000000000002E-2</v>
      </c>
      <c r="N2545" s="1629">
        <v>1.7059577698340131</v>
      </c>
      <c r="O2545" s="1629"/>
    </row>
    <row r="2546" spans="11:15">
      <c r="K2546" s="1626">
        <v>44603</v>
      </c>
      <c r="L2546" s="1627" t="s">
        <v>2298</v>
      </c>
      <c r="M2546" s="1628">
        <v>4.0168000000000002E-2</v>
      </c>
      <c r="N2546" s="1629">
        <v>1.706643018951</v>
      </c>
      <c r="O2546" s="1629"/>
    </row>
    <row r="2547" spans="11:15">
      <c r="K2547" s="1626">
        <v>44604</v>
      </c>
      <c r="L2547" s="1627"/>
      <c r="M2547" s="1628">
        <v>0</v>
      </c>
      <c r="N2547" s="1629">
        <v>1.706643018951</v>
      </c>
      <c r="O2547" s="1629"/>
    </row>
    <row r="2548" spans="11:15">
      <c r="K2548" s="1626">
        <v>44605</v>
      </c>
      <c r="L2548" s="1627"/>
      <c r="M2548" s="1628">
        <v>0</v>
      </c>
      <c r="N2548" s="1629">
        <v>1.706643018951</v>
      </c>
      <c r="O2548" s="1629"/>
    </row>
    <row r="2549" spans="11:15">
      <c r="K2549" s="1626">
        <v>44606</v>
      </c>
      <c r="L2549" s="1627" t="s">
        <v>2298</v>
      </c>
      <c r="M2549" s="1628">
        <v>4.0168000000000002E-2</v>
      </c>
      <c r="N2549" s="1629">
        <v>1.7073285433188521</v>
      </c>
      <c r="O2549" s="1629"/>
    </row>
    <row r="2550" spans="11:15">
      <c r="K2550" s="1626">
        <v>44607</v>
      </c>
      <c r="L2550" s="1627" t="s">
        <v>2298</v>
      </c>
      <c r="M2550" s="1628">
        <v>4.0168000000000002E-2</v>
      </c>
      <c r="N2550" s="1629">
        <v>1.7080143430481323</v>
      </c>
      <c r="O2550" s="1629"/>
    </row>
    <row r="2551" spans="11:15">
      <c r="K2551" s="1626">
        <v>44608</v>
      </c>
      <c r="L2551" s="1627" t="s">
        <v>2298</v>
      </c>
      <c r="M2551" s="1628">
        <v>4.0168000000000002E-2</v>
      </c>
      <c r="N2551" s="1629">
        <v>1.7087004182494478</v>
      </c>
      <c r="O2551" s="1629"/>
    </row>
    <row r="2552" spans="11:15">
      <c r="K2552" s="1626">
        <v>44609</v>
      </c>
      <c r="L2552" s="1627" t="s">
        <v>2298</v>
      </c>
      <c r="M2552" s="1628">
        <v>4.0168000000000002E-2</v>
      </c>
      <c r="N2552" s="1629">
        <v>1.7093867690334503</v>
      </c>
      <c r="O2552" s="1629"/>
    </row>
    <row r="2553" spans="11:15">
      <c r="K2553" s="1626">
        <v>44610</v>
      </c>
      <c r="L2553" s="1627" t="s">
        <v>2298</v>
      </c>
      <c r="M2553" s="1628">
        <v>4.0168000000000002E-2</v>
      </c>
      <c r="N2553" s="1629">
        <v>1.7100733955108356</v>
      </c>
      <c r="O2553" s="1629"/>
    </row>
    <row r="2554" spans="11:15">
      <c r="K2554" s="1626">
        <v>44611</v>
      </c>
      <c r="L2554" s="1627"/>
      <c r="M2554" s="1628">
        <v>0</v>
      </c>
      <c r="N2554" s="1629">
        <v>1.7100733955108356</v>
      </c>
      <c r="O2554" s="1629"/>
    </row>
    <row r="2555" spans="11:15">
      <c r="K2555" s="1626">
        <v>44612</v>
      </c>
      <c r="L2555" s="1627"/>
      <c r="M2555" s="1628">
        <v>0</v>
      </c>
      <c r="N2555" s="1629">
        <v>1.7100733955108356</v>
      </c>
      <c r="O2555" s="1629"/>
    </row>
    <row r="2556" spans="11:15">
      <c r="K2556" s="1626">
        <v>44613</v>
      </c>
      <c r="L2556" s="1627" t="s">
        <v>2298</v>
      </c>
      <c r="M2556" s="1628">
        <v>4.0168000000000002E-2</v>
      </c>
      <c r="N2556" s="1629">
        <v>1.7107602977923444</v>
      </c>
      <c r="O2556" s="1629"/>
    </row>
    <row r="2557" spans="11:15">
      <c r="K2557" s="1626">
        <v>44614</v>
      </c>
      <c r="L2557" s="1627" t="s">
        <v>2298</v>
      </c>
      <c r="M2557" s="1628">
        <v>4.0168000000000002E-2</v>
      </c>
      <c r="N2557" s="1629">
        <v>1.7114474759887615</v>
      </c>
      <c r="O2557" s="1629"/>
    </row>
    <row r="2558" spans="11:15">
      <c r="K2558" s="1626">
        <v>44615</v>
      </c>
      <c r="L2558" s="1627" t="s">
        <v>2298</v>
      </c>
      <c r="M2558" s="1628">
        <v>4.0168000000000002E-2</v>
      </c>
      <c r="N2558" s="1629">
        <v>1.7121349302109166</v>
      </c>
      <c r="O2558" s="1629"/>
    </row>
    <row r="2559" spans="11:15">
      <c r="K2559" s="1626">
        <v>44616</v>
      </c>
      <c r="L2559" s="1627" t="s">
        <v>2298</v>
      </c>
      <c r="M2559" s="1628">
        <v>4.0168000000000002E-2</v>
      </c>
      <c r="N2559" s="1629">
        <v>1.7128226605696837</v>
      </c>
      <c r="O2559" s="1629"/>
    </row>
    <row r="2560" spans="11:15">
      <c r="K2560" s="1626">
        <v>44617</v>
      </c>
      <c r="L2560" s="1627" t="s">
        <v>2298</v>
      </c>
      <c r="M2560" s="1628">
        <v>4.0168000000000002E-2</v>
      </c>
      <c r="N2560" s="1629">
        <v>1.7135106671759812</v>
      </c>
      <c r="O2560" s="1629"/>
    </row>
    <row r="2561" spans="11:15">
      <c r="K2561" s="1626">
        <v>44618</v>
      </c>
      <c r="L2561" s="1627"/>
      <c r="M2561" s="1628">
        <v>0</v>
      </c>
      <c r="N2561" s="1629">
        <v>1.7135106671759812</v>
      </c>
      <c r="O2561" s="1629"/>
    </row>
    <row r="2562" spans="11:15">
      <c r="K2562" s="1626">
        <v>44619</v>
      </c>
      <c r="L2562" s="1627"/>
      <c r="M2562" s="1628">
        <v>0</v>
      </c>
      <c r="N2562" s="1629">
        <v>1.7135106671759812</v>
      </c>
      <c r="O2562" s="1629"/>
    </row>
    <row r="2563" spans="11:15">
      <c r="K2563" s="1626">
        <v>44620</v>
      </c>
      <c r="L2563" s="1627"/>
      <c r="M2563" s="1628">
        <v>0</v>
      </c>
      <c r="N2563" s="1629">
        <v>1.7135106671759812</v>
      </c>
      <c r="O2563" s="1629"/>
    </row>
    <row r="2564" spans="11:15">
      <c r="K2564" s="1626">
        <v>44621</v>
      </c>
      <c r="L2564" s="1627"/>
      <c r="M2564" s="1628">
        <v>0</v>
      </c>
      <c r="N2564" s="1629">
        <v>1.7135106671759812</v>
      </c>
      <c r="O2564" s="1629"/>
    </row>
    <row r="2565" spans="11:15">
      <c r="K2565" s="1626">
        <v>44622</v>
      </c>
      <c r="L2565" s="1627" t="s">
        <v>2298</v>
      </c>
      <c r="M2565" s="1628">
        <v>4.0168000000000002E-2</v>
      </c>
      <c r="N2565" s="1629">
        <v>1.7141989501407724</v>
      </c>
      <c r="O2565" s="1629"/>
    </row>
    <row r="2566" spans="11:15">
      <c r="K2566" s="1626">
        <v>44623</v>
      </c>
      <c r="L2566" s="1627" t="s">
        <v>2298</v>
      </c>
      <c r="M2566" s="1628">
        <v>4.0168000000000002E-2</v>
      </c>
      <c r="N2566" s="1629">
        <v>1.7148875095750649</v>
      </c>
      <c r="O2566" s="1629"/>
    </row>
    <row r="2567" spans="11:15">
      <c r="K2567" s="1626">
        <v>44624</v>
      </c>
      <c r="L2567" s="1627" t="s">
        <v>2298</v>
      </c>
      <c r="M2567" s="1628">
        <v>4.0168000000000002E-2</v>
      </c>
      <c r="N2567" s="1629">
        <v>1.7155763455899109</v>
      </c>
      <c r="O2567" s="1629"/>
    </row>
    <row r="2568" spans="11:15">
      <c r="K2568" s="1626">
        <v>44625</v>
      </c>
      <c r="L2568" s="1627"/>
      <c r="M2568" s="1628">
        <v>0</v>
      </c>
      <c r="N2568" s="1629">
        <v>1.7155763455899109</v>
      </c>
      <c r="O2568" s="1629"/>
    </row>
    <row r="2569" spans="11:15">
      <c r="K2569" s="1626">
        <v>44626</v>
      </c>
      <c r="L2569" s="1627"/>
      <c r="M2569" s="1628">
        <v>0</v>
      </c>
      <c r="N2569" s="1629">
        <v>1.7155763455899109</v>
      </c>
      <c r="O2569" s="1629"/>
    </row>
    <row r="2570" spans="11:15">
      <c r="K2570" s="1626">
        <v>44627</v>
      </c>
      <c r="L2570" s="1627" t="s">
        <v>2298</v>
      </c>
      <c r="M2570" s="1628">
        <v>4.0168000000000002E-2</v>
      </c>
      <c r="N2570" s="1629">
        <v>1.7162654582964074</v>
      </c>
      <c r="O2570" s="1629"/>
    </row>
    <row r="2571" spans="11:15">
      <c r="K2571" s="1626">
        <v>44628</v>
      </c>
      <c r="L2571" s="1627" t="s">
        <v>2298</v>
      </c>
      <c r="M2571" s="1628">
        <v>4.0168000000000002E-2</v>
      </c>
      <c r="N2571" s="1629">
        <v>1.716954847805696</v>
      </c>
      <c r="O2571" s="1629"/>
    </row>
    <row r="2572" spans="11:15">
      <c r="K2572" s="1626">
        <v>44629</v>
      </c>
      <c r="L2572" s="1627" t="s">
        <v>2298</v>
      </c>
      <c r="M2572" s="1628">
        <v>4.0168000000000002E-2</v>
      </c>
      <c r="N2572" s="1629">
        <v>1.7176445142289625</v>
      </c>
      <c r="O2572" s="1629"/>
    </row>
    <row r="2573" spans="11:15">
      <c r="K2573" s="1626">
        <v>44630</v>
      </c>
      <c r="L2573" s="1627" t="s">
        <v>2298</v>
      </c>
      <c r="M2573" s="1628">
        <v>4.0168000000000002E-2</v>
      </c>
      <c r="N2573" s="1629">
        <v>1.718334457677438</v>
      </c>
      <c r="O2573" s="1629"/>
    </row>
    <row r="2574" spans="11:15">
      <c r="K2574" s="1626">
        <v>44631</v>
      </c>
      <c r="L2574" s="1627" t="s">
        <v>2298</v>
      </c>
      <c r="M2574" s="1628">
        <v>4.0168000000000002E-2</v>
      </c>
      <c r="N2574" s="1629">
        <v>1.7190246782623977</v>
      </c>
      <c r="O2574" s="1629"/>
    </row>
    <row r="2575" spans="11:15">
      <c r="K2575" s="1626">
        <v>44632</v>
      </c>
      <c r="L2575" s="1627"/>
      <c r="M2575" s="1628">
        <v>0</v>
      </c>
      <c r="N2575" s="1629">
        <v>1.7190246782623977</v>
      </c>
      <c r="O2575" s="1629"/>
    </row>
    <row r="2576" spans="11:15">
      <c r="K2576" s="1626">
        <v>44633</v>
      </c>
      <c r="L2576" s="1627"/>
      <c r="M2576" s="1628">
        <v>0</v>
      </c>
      <c r="N2576" s="1629">
        <v>1.7190246782623977</v>
      </c>
      <c r="O2576" s="1629"/>
    </row>
    <row r="2577" spans="11:15">
      <c r="K2577" s="1626">
        <v>44634</v>
      </c>
      <c r="L2577" s="1627" t="s">
        <v>2298</v>
      </c>
      <c r="M2577" s="1628">
        <v>4.0168000000000002E-2</v>
      </c>
      <c r="N2577" s="1629">
        <v>1.7197151760951621</v>
      </c>
      <c r="O2577" s="1629"/>
    </row>
    <row r="2578" spans="11:15">
      <c r="K2578" s="1626">
        <v>44635</v>
      </c>
      <c r="L2578" s="1627" t="s">
        <v>2298</v>
      </c>
      <c r="M2578" s="1628">
        <v>4.0168000000000002E-2</v>
      </c>
      <c r="N2578" s="1629">
        <v>1.7204059512870959</v>
      </c>
      <c r="O2578" s="1629"/>
    </row>
    <row r="2579" spans="11:15">
      <c r="K2579" s="1626">
        <v>44636</v>
      </c>
      <c r="L2579" s="1627" t="s">
        <v>2298</v>
      </c>
      <c r="M2579" s="1628">
        <v>4.0168000000000002E-2</v>
      </c>
      <c r="N2579" s="1629">
        <v>1.721097003949609</v>
      </c>
      <c r="O2579" s="1629"/>
    </row>
    <row r="2580" spans="11:15">
      <c r="K2580" s="1626">
        <v>44637</v>
      </c>
      <c r="L2580" s="1627" t="s">
        <v>2298</v>
      </c>
      <c r="M2580" s="1628">
        <v>4.3739E-2</v>
      </c>
      <c r="N2580" s="1629">
        <v>1.7218497945681666</v>
      </c>
      <c r="O2580" s="1629"/>
    </row>
    <row r="2581" spans="11:15">
      <c r="K2581" s="1626">
        <v>44638</v>
      </c>
      <c r="L2581" s="1627" t="s">
        <v>2298</v>
      </c>
      <c r="M2581" s="1628">
        <v>4.3739E-2</v>
      </c>
      <c r="N2581" s="1629">
        <v>1.7226029144498129</v>
      </c>
      <c r="O2581" s="1629"/>
    </row>
    <row r="2582" spans="11:15">
      <c r="K2582" s="1626">
        <v>44639</v>
      </c>
      <c r="L2582" s="1627"/>
      <c r="M2582" s="1628">
        <v>0</v>
      </c>
      <c r="N2582" s="1629">
        <v>1.7226029144498129</v>
      </c>
      <c r="O2582" s="1629"/>
    </row>
    <row r="2583" spans="11:15">
      <c r="K2583" s="1626">
        <v>44640</v>
      </c>
      <c r="L2583" s="1627"/>
      <c r="M2583" s="1628">
        <v>0</v>
      </c>
      <c r="N2583" s="1629">
        <v>1.7226029144498129</v>
      </c>
      <c r="O2583" s="1629"/>
    </row>
    <row r="2584" spans="11:15">
      <c r="K2584" s="1626">
        <v>44641</v>
      </c>
      <c r="L2584" s="1627" t="s">
        <v>2298</v>
      </c>
      <c r="M2584" s="1628">
        <v>4.3739E-2</v>
      </c>
      <c r="N2584" s="1629">
        <v>1.7233563637385643</v>
      </c>
      <c r="O2584" s="1629"/>
    </row>
    <row r="2585" spans="11:15">
      <c r="K2585" s="1626">
        <v>44642</v>
      </c>
      <c r="L2585" s="1627" t="s">
        <v>2298</v>
      </c>
      <c r="M2585" s="1628">
        <v>4.3739E-2</v>
      </c>
      <c r="N2585" s="1629">
        <v>1.7241101425785001</v>
      </c>
      <c r="O2585" s="1629"/>
    </row>
    <row r="2586" spans="11:15">
      <c r="K2586" s="1626">
        <v>44643</v>
      </c>
      <c r="L2586" s="1627" t="s">
        <v>2298</v>
      </c>
      <c r="M2586" s="1628">
        <v>4.3739E-2</v>
      </c>
      <c r="N2586" s="1629">
        <v>1.7248642511137626</v>
      </c>
      <c r="O2586" s="1629"/>
    </row>
    <row r="2587" spans="11:15">
      <c r="K2587" s="1626">
        <v>44644</v>
      </c>
      <c r="L2587" s="1627" t="s">
        <v>2298</v>
      </c>
      <c r="M2587" s="1628">
        <v>4.3739E-2</v>
      </c>
      <c r="N2587" s="1629">
        <v>1.7256186894885575</v>
      </c>
      <c r="O2587" s="1629"/>
    </row>
    <row r="2588" spans="11:15">
      <c r="K2588" s="1626">
        <v>44645</v>
      </c>
      <c r="L2588" s="1627" t="s">
        <v>2298</v>
      </c>
      <c r="M2588" s="1628">
        <v>4.3739E-2</v>
      </c>
      <c r="N2588" s="1629">
        <v>1.726373457847153</v>
      </c>
      <c r="O2588" s="1629"/>
    </row>
    <row r="2589" spans="11:15">
      <c r="K2589" s="1626">
        <v>44646</v>
      </c>
      <c r="L2589" s="1627"/>
      <c r="M2589" s="1628">
        <v>0</v>
      </c>
      <c r="N2589" s="1629">
        <v>1.726373457847153</v>
      </c>
      <c r="O2589" s="1629"/>
    </row>
    <row r="2590" spans="11:15">
      <c r="K2590" s="1626">
        <v>44647</v>
      </c>
      <c r="L2590" s="1627"/>
      <c r="M2590" s="1628">
        <v>0</v>
      </c>
      <c r="N2590" s="1629">
        <v>1.726373457847153</v>
      </c>
      <c r="O2590" s="1629"/>
    </row>
    <row r="2591" spans="11:15">
      <c r="K2591" s="1626">
        <v>44648</v>
      </c>
      <c r="L2591" s="1627" t="s">
        <v>2298</v>
      </c>
      <c r="M2591" s="1628">
        <v>4.3739E-2</v>
      </c>
      <c r="N2591" s="1629">
        <v>1.727128556333881</v>
      </c>
      <c r="O2591" s="1629"/>
    </row>
    <row r="2592" spans="11:15">
      <c r="K2592" s="1626">
        <v>44649</v>
      </c>
      <c r="L2592" s="1627" t="s">
        <v>2298</v>
      </c>
      <c r="M2592" s="1628">
        <v>4.3739E-2</v>
      </c>
      <c r="N2592" s="1629">
        <v>1.727883985093136</v>
      </c>
      <c r="O2592" s="1629"/>
    </row>
    <row r="2593" spans="11:15">
      <c r="K2593" s="1626">
        <v>44650</v>
      </c>
      <c r="L2593" s="1627" t="s">
        <v>2298</v>
      </c>
      <c r="M2593" s="1628">
        <v>4.3739E-2</v>
      </c>
      <c r="N2593" s="1629">
        <v>1.7286397442693762</v>
      </c>
      <c r="O2593" s="1629"/>
    </row>
    <row r="2594" spans="11:15">
      <c r="K2594" s="1626">
        <v>44651</v>
      </c>
      <c r="L2594" s="1627" t="s">
        <v>2298</v>
      </c>
      <c r="M2594" s="1628">
        <v>4.3739E-2</v>
      </c>
      <c r="N2594" s="1629">
        <v>1.7293958340071223</v>
      </c>
      <c r="O2594" s="1629"/>
    </row>
    <row r="2595" spans="11:15">
      <c r="K2595" s="1626">
        <v>44652</v>
      </c>
      <c r="L2595" s="1627" t="s">
        <v>2298</v>
      </c>
      <c r="M2595" s="1628">
        <v>4.3739E-2</v>
      </c>
      <c r="N2595" s="1629">
        <v>1.7301522544509589</v>
      </c>
      <c r="O2595" s="1629"/>
    </row>
    <row r="2596" spans="11:15">
      <c r="K2596" s="1626">
        <v>44653</v>
      </c>
      <c r="L2596" s="1627"/>
      <c r="M2596" s="1628">
        <v>0</v>
      </c>
      <c r="N2596" s="1629">
        <v>1.7301522544509589</v>
      </c>
      <c r="O2596" s="1629"/>
    </row>
    <row r="2597" spans="11:15">
      <c r="K2597" s="1626">
        <v>44654</v>
      </c>
      <c r="L2597" s="1627"/>
      <c r="M2597" s="1628">
        <v>0</v>
      </c>
      <c r="N2597" s="1629">
        <v>1.7301522544509589</v>
      </c>
      <c r="O2597" s="1629"/>
    </row>
    <row r="2598" spans="11:15">
      <c r="K2598" s="1626">
        <v>44655</v>
      </c>
      <c r="L2598" s="1627" t="s">
        <v>2298</v>
      </c>
      <c r="M2598" s="1628">
        <v>4.3739E-2</v>
      </c>
      <c r="N2598" s="1629">
        <v>1.7309090057455334</v>
      </c>
      <c r="O2598" s="1629"/>
    </row>
    <row r="2599" spans="11:15">
      <c r="K2599" s="1626">
        <v>44656</v>
      </c>
      <c r="L2599" s="1627" t="s">
        <v>2298</v>
      </c>
      <c r="M2599" s="1628">
        <v>4.3739E-2</v>
      </c>
      <c r="N2599" s="1629">
        <v>1.7316660880355565</v>
      </c>
      <c r="O2599" s="1629"/>
    </row>
    <row r="2600" spans="11:15">
      <c r="K2600" s="1626">
        <v>44657</v>
      </c>
      <c r="L2600" s="1627" t="s">
        <v>2298</v>
      </c>
      <c r="M2600" s="1628">
        <v>4.3739E-2</v>
      </c>
      <c r="N2600" s="1629">
        <v>1.7324235014658025</v>
      </c>
      <c r="O2600" s="1629"/>
    </row>
    <row r="2601" spans="11:15">
      <c r="K2601" s="1626">
        <v>44658</v>
      </c>
      <c r="L2601" s="1627" t="s">
        <v>2298</v>
      </c>
      <c r="M2601" s="1628">
        <v>4.3739E-2</v>
      </c>
      <c r="N2601" s="1629">
        <v>1.7331812461811087</v>
      </c>
      <c r="O2601" s="1629"/>
    </row>
    <row r="2602" spans="11:15">
      <c r="K2602" s="1626">
        <v>44659</v>
      </c>
      <c r="L2602" s="1627" t="s">
        <v>2298</v>
      </c>
      <c r="M2602" s="1628">
        <v>4.3739E-2</v>
      </c>
      <c r="N2602" s="1629">
        <v>1.7339393223263759</v>
      </c>
      <c r="O2602" s="1629"/>
    </row>
    <row r="2603" spans="11:15">
      <c r="K2603" s="1626">
        <v>44660</v>
      </c>
      <c r="L2603" s="1627"/>
      <c r="M2603" s="1628">
        <v>0</v>
      </c>
      <c r="N2603" s="1629">
        <v>1.7339393223263759</v>
      </c>
      <c r="O2603" s="1629"/>
    </row>
    <row r="2604" spans="11:15">
      <c r="K2604" s="1626">
        <v>44661</v>
      </c>
      <c r="L2604" s="1627"/>
      <c r="M2604" s="1628">
        <v>0</v>
      </c>
      <c r="N2604" s="1629">
        <v>1.7339393223263759</v>
      </c>
      <c r="O2604" s="1629"/>
    </row>
    <row r="2605" spans="11:15">
      <c r="K2605" s="1626">
        <v>44662</v>
      </c>
      <c r="L2605" s="1627" t="s">
        <v>2298</v>
      </c>
      <c r="M2605" s="1628">
        <v>4.3739E-2</v>
      </c>
      <c r="N2605" s="1629">
        <v>1.7346977300465685</v>
      </c>
      <c r="O2605" s="1629"/>
    </row>
    <row r="2606" spans="11:15">
      <c r="K2606" s="1626">
        <v>44663</v>
      </c>
      <c r="L2606" s="1627" t="s">
        <v>2298</v>
      </c>
      <c r="M2606" s="1628">
        <v>4.3739E-2</v>
      </c>
      <c r="N2606" s="1629">
        <v>1.7354564694867136</v>
      </c>
      <c r="O2606" s="1629"/>
    </row>
    <row r="2607" spans="11:15">
      <c r="K2607" s="1626">
        <v>44664</v>
      </c>
      <c r="L2607" s="1627" t="s">
        <v>2298</v>
      </c>
      <c r="M2607" s="1628">
        <v>4.3739E-2</v>
      </c>
      <c r="N2607" s="1629">
        <v>1.7362155407919027</v>
      </c>
      <c r="O2607" s="1629"/>
    </row>
    <row r="2608" spans="11:15">
      <c r="K2608" s="1626">
        <v>44665</v>
      </c>
      <c r="L2608" s="1627" t="s">
        <v>2298</v>
      </c>
      <c r="M2608" s="1628">
        <v>4.3739E-2</v>
      </c>
      <c r="N2608" s="1629">
        <v>1.7369749441072897</v>
      </c>
      <c r="O2608" s="1629"/>
    </row>
    <row r="2609" spans="11:15">
      <c r="K2609" s="1626">
        <v>44666</v>
      </c>
      <c r="L2609" s="1627"/>
      <c r="M2609" s="1628">
        <v>0</v>
      </c>
      <c r="N2609" s="1629">
        <v>1.7369749441072897</v>
      </c>
      <c r="O2609" s="1629"/>
    </row>
    <row r="2610" spans="11:15">
      <c r="K2610" s="1626">
        <v>44667</v>
      </c>
      <c r="L2610" s="1627"/>
      <c r="M2610" s="1628">
        <v>0</v>
      </c>
      <c r="N2610" s="1629">
        <v>1.7369749441072897</v>
      </c>
      <c r="O2610" s="1629"/>
    </row>
    <row r="2611" spans="11:15">
      <c r="K2611" s="1626">
        <v>44668</v>
      </c>
      <c r="L2611" s="1627"/>
      <c r="M2611" s="1628">
        <v>0</v>
      </c>
      <c r="N2611" s="1629">
        <v>1.7369749441072897</v>
      </c>
      <c r="O2611" s="1629"/>
    </row>
    <row r="2612" spans="11:15">
      <c r="K2612" s="1626">
        <v>44669</v>
      </c>
      <c r="L2612" s="1627" t="s">
        <v>2298</v>
      </c>
      <c r="M2612" s="1628">
        <v>4.3739E-2</v>
      </c>
      <c r="N2612" s="1629">
        <v>1.737734679578093</v>
      </c>
      <c r="O2612" s="1629"/>
    </row>
    <row r="2613" spans="11:15">
      <c r="K2613" s="1626">
        <v>44670</v>
      </c>
      <c r="L2613" s="1627" t="s">
        <v>2298</v>
      </c>
      <c r="M2613" s="1628">
        <v>4.3739E-2</v>
      </c>
      <c r="N2613" s="1629">
        <v>1.7384947473495937</v>
      </c>
      <c r="O2613" s="1629"/>
    </row>
    <row r="2614" spans="11:15">
      <c r="K2614" s="1626">
        <v>44671</v>
      </c>
      <c r="L2614" s="1627" t="s">
        <v>2298</v>
      </c>
      <c r="M2614" s="1628">
        <v>4.3739E-2</v>
      </c>
      <c r="N2614" s="1629">
        <v>1.7392551475671372</v>
      </c>
      <c r="O2614" s="1629"/>
    </row>
    <row r="2615" spans="11:15">
      <c r="K2615" s="1626">
        <v>44672</v>
      </c>
      <c r="L2615" s="1627"/>
      <c r="M2615" s="1628">
        <v>0</v>
      </c>
      <c r="N2615" s="1629">
        <v>1.7392551475671372</v>
      </c>
      <c r="O2615" s="1629"/>
    </row>
    <row r="2616" spans="11:15">
      <c r="K2616" s="1626">
        <v>44673</v>
      </c>
      <c r="L2616" s="1627" t="s">
        <v>2298</v>
      </c>
      <c r="M2616" s="1628">
        <v>4.3739E-2</v>
      </c>
      <c r="N2616" s="1629">
        <v>1.7400158803761316</v>
      </c>
      <c r="O2616" s="1629"/>
    </row>
    <row r="2617" spans="11:15">
      <c r="K2617" s="1626">
        <v>44674</v>
      </c>
      <c r="L2617" s="1627"/>
      <c r="M2617" s="1628">
        <v>0</v>
      </c>
      <c r="N2617" s="1629">
        <v>1.7400158803761316</v>
      </c>
      <c r="O2617" s="1629"/>
    </row>
    <row r="2618" spans="11:15">
      <c r="K2618" s="1626">
        <v>44675</v>
      </c>
      <c r="L2618" s="1627"/>
      <c r="M2618" s="1628">
        <v>0</v>
      </c>
      <c r="N2618" s="1629">
        <v>1.7400158803761316</v>
      </c>
      <c r="O2618" s="1629"/>
    </row>
    <row r="2619" spans="11:15">
      <c r="K2619" s="1626">
        <v>44676</v>
      </c>
      <c r="L2619" s="1627" t="s">
        <v>2298</v>
      </c>
      <c r="M2619" s="1628">
        <v>4.3739E-2</v>
      </c>
      <c r="N2619" s="1629">
        <v>1.7407769459220495</v>
      </c>
      <c r="O2619" s="1629"/>
    </row>
    <row r="2620" spans="11:15">
      <c r="K2620" s="1626">
        <v>44677</v>
      </c>
      <c r="L2620" s="1627" t="s">
        <v>2298</v>
      </c>
      <c r="M2620" s="1628">
        <v>4.3739E-2</v>
      </c>
      <c r="N2620" s="1629">
        <v>1.7415383443504264</v>
      </c>
      <c r="O2620" s="1629"/>
    </row>
    <row r="2621" spans="11:15">
      <c r="K2621" s="1626">
        <v>44678</v>
      </c>
      <c r="L2621" s="1627" t="s">
        <v>2298</v>
      </c>
      <c r="M2621" s="1628">
        <v>4.3739E-2</v>
      </c>
      <c r="N2621" s="1629">
        <v>1.7423000758068621</v>
      </c>
      <c r="O2621" s="1629"/>
    </row>
    <row r="2622" spans="11:15">
      <c r="K2622" s="1626">
        <v>44679</v>
      </c>
      <c r="L2622" s="1627" t="s">
        <v>2298</v>
      </c>
      <c r="M2622" s="1628">
        <v>4.3739E-2</v>
      </c>
      <c r="N2622" s="1629">
        <v>1.7430621404370195</v>
      </c>
      <c r="O2622" s="1629"/>
    </row>
    <row r="2623" spans="11:15">
      <c r="K2623" s="1626">
        <v>44680</v>
      </c>
      <c r="L2623" s="1627" t="s">
        <v>2298</v>
      </c>
      <c r="M2623" s="1628">
        <v>4.3739E-2</v>
      </c>
      <c r="N2623" s="1629">
        <v>1.7438245383866253</v>
      </c>
      <c r="O2623" s="1629"/>
    </row>
    <row r="2624" spans="11:15">
      <c r="K2624" s="1626">
        <v>44681</v>
      </c>
      <c r="L2624" s="1627"/>
      <c r="M2624" s="1628">
        <v>0</v>
      </c>
      <c r="N2624" s="1629">
        <v>1.7438245383866253</v>
      </c>
      <c r="O2624" s="1629"/>
    </row>
    <row r="2625" spans="11:15">
      <c r="K2625" s="1626">
        <v>44682</v>
      </c>
      <c r="L2625" s="1627"/>
      <c r="M2625" s="1628">
        <v>0</v>
      </c>
      <c r="N2625" s="1629">
        <v>1.7438245383866253</v>
      </c>
      <c r="O2625" s="1629"/>
    </row>
    <row r="2626" spans="11:15">
      <c r="K2626" s="1626">
        <v>44683</v>
      </c>
      <c r="L2626" s="1627" t="s">
        <v>2298</v>
      </c>
      <c r="M2626" s="1628">
        <v>4.3739E-2</v>
      </c>
      <c r="N2626" s="1629">
        <v>1.7445872698014704</v>
      </c>
      <c r="O2626" s="1629"/>
    </row>
    <row r="2627" spans="11:15">
      <c r="K2627" s="1626">
        <v>44684</v>
      </c>
      <c r="L2627" s="1627" t="s">
        <v>2298</v>
      </c>
      <c r="M2627" s="1628">
        <v>4.3739E-2</v>
      </c>
      <c r="N2627" s="1629">
        <v>1.7453503348274091</v>
      </c>
      <c r="O2627" s="1629"/>
    </row>
    <row r="2628" spans="11:15">
      <c r="K2628" s="1626">
        <v>44685</v>
      </c>
      <c r="L2628" s="1627" t="s">
        <v>2298</v>
      </c>
      <c r="M2628" s="1628">
        <v>4.3739E-2</v>
      </c>
      <c r="N2628" s="1629">
        <v>1.7461137336103594</v>
      </c>
      <c r="O2628" s="1629"/>
    </row>
    <row r="2629" spans="11:15">
      <c r="K2629" s="1626">
        <v>44686</v>
      </c>
      <c r="L2629" s="1627" t="s">
        <v>2298</v>
      </c>
      <c r="M2629" s="1628">
        <v>4.7279000000000002E-2</v>
      </c>
      <c r="N2629" s="1629">
        <v>1.7469392787224729</v>
      </c>
      <c r="O2629" s="1629"/>
    </row>
    <row r="2630" spans="11:15">
      <c r="K2630" s="1626">
        <v>44687</v>
      </c>
      <c r="L2630" s="1627" t="s">
        <v>2298</v>
      </c>
      <c r="M2630" s="1628">
        <v>4.7279000000000002E-2</v>
      </c>
      <c r="N2630" s="1629">
        <v>1.7477652141440598</v>
      </c>
      <c r="O2630" s="1629"/>
    </row>
    <row r="2631" spans="11:15">
      <c r="K2631" s="1626">
        <v>44688</v>
      </c>
      <c r="L2631" s="1627"/>
      <c r="M2631" s="1628">
        <v>0</v>
      </c>
      <c r="N2631" s="1629">
        <v>1.7477652141440598</v>
      </c>
      <c r="O2631" s="1629"/>
    </row>
    <row r="2632" spans="11:15">
      <c r="K2632" s="1626">
        <v>44689</v>
      </c>
      <c r="L2632" s="1627"/>
      <c r="M2632" s="1628">
        <v>0</v>
      </c>
      <c r="N2632" s="1629">
        <v>1.7477652141440598</v>
      </c>
      <c r="O2632" s="1629"/>
    </row>
    <row r="2633" spans="11:15">
      <c r="K2633" s="1626">
        <v>44690</v>
      </c>
      <c r="L2633" s="1627" t="s">
        <v>2298</v>
      </c>
      <c r="M2633" s="1628">
        <v>4.7279000000000002E-2</v>
      </c>
      <c r="N2633" s="1629">
        <v>1.7485915400596548</v>
      </c>
      <c r="O2633" s="1629"/>
    </row>
    <row r="2634" spans="11:15">
      <c r="K2634" s="1626">
        <v>44691</v>
      </c>
      <c r="L2634" s="1627" t="s">
        <v>2298</v>
      </c>
      <c r="M2634" s="1628">
        <v>4.7279000000000002E-2</v>
      </c>
      <c r="N2634" s="1629">
        <v>1.7494182566538794</v>
      </c>
      <c r="O2634" s="1629"/>
    </row>
    <row r="2635" spans="11:15">
      <c r="K2635" s="1626">
        <v>44692</v>
      </c>
      <c r="L2635" s="1627" t="s">
        <v>2298</v>
      </c>
      <c r="M2635" s="1628">
        <v>4.7279000000000002E-2</v>
      </c>
      <c r="N2635" s="1629">
        <v>1.7502453641114426</v>
      </c>
      <c r="O2635" s="1629"/>
    </row>
    <row r="2636" spans="11:15">
      <c r="K2636" s="1626">
        <v>44693</v>
      </c>
      <c r="L2636" s="1627" t="s">
        <v>2298</v>
      </c>
      <c r="M2636" s="1628">
        <v>4.7279000000000002E-2</v>
      </c>
      <c r="N2636" s="1629">
        <v>1.7510728626171406</v>
      </c>
      <c r="O2636" s="1629"/>
    </row>
    <row r="2637" spans="11:15">
      <c r="K2637" s="1626">
        <v>44694</v>
      </c>
      <c r="L2637" s="1627" t="s">
        <v>2298</v>
      </c>
      <c r="M2637" s="1628">
        <v>4.7279000000000002E-2</v>
      </c>
      <c r="N2637" s="1629">
        <v>1.7519007523558572</v>
      </c>
      <c r="O2637" s="1629"/>
    </row>
    <row r="2638" spans="11:15">
      <c r="K2638" s="1626">
        <v>44695</v>
      </c>
      <c r="L2638" s="1627"/>
      <c r="M2638" s="1628">
        <v>0</v>
      </c>
      <c r="N2638" s="1629">
        <v>1.7519007523558572</v>
      </c>
      <c r="O2638" s="1629"/>
    </row>
    <row r="2639" spans="11:15">
      <c r="K2639" s="1626">
        <v>44696</v>
      </c>
      <c r="L2639" s="1627"/>
      <c r="M2639" s="1628">
        <v>0</v>
      </c>
      <c r="N2639" s="1629">
        <v>1.7519007523558572</v>
      </c>
      <c r="O2639" s="1629"/>
    </row>
    <row r="2640" spans="11:15">
      <c r="K2640" s="1626">
        <v>44697</v>
      </c>
      <c r="L2640" s="1627" t="s">
        <v>2298</v>
      </c>
      <c r="M2640" s="1628">
        <v>4.7279000000000002E-2</v>
      </c>
      <c r="N2640" s="1629">
        <v>1.7527290335125634</v>
      </c>
      <c r="O2640" s="1629"/>
    </row>
    <row r="2641" spans="11:15">
      <c r="K2641" s="1626">
        <v>44698</v>
      </c>
      <c r="L2641" s="1627" t="s">
        <v>2298</v>
      </c>
      <c r="M2641" s="1628">
        <v>4.7279000000000002E-2</v>
      </c>
      <c r="N2641" s="1629">
        <v>1.7535577062723176</v>
      </c>
      <c r="O2641" s="1629"/>
    </row>
    <row r="2642" spans="11:15">
      <c r="K2642" s="1626">
        <v>44699</v>
      </c>
      <c r="L2642" s="1627" t="s">
        <v>2298</v>
      </c>
      <c r="M2642" s="1628">
        <v>4.7279000000000002E-2</v>
      </c>
      <c r="N2642" s="1629">
        <v>1.7543867708202658</v>
      </c>
      <c r="O2642" s="1629"/>
    </row>
    <row r="2643" spans="11:15">
      <c r="K2643" s="1626">
        <v>44700</v>
      </c>
      <c r="L2643" s="1627" t="s">
        <v>2298</v>
      </c>
      <c r="M2643" s="1628">
        <v>4.7279000000000002E-2</v>
      </c>
      <c r="N2643" s="1629">
        <v>1.7552162273416418</v>
      </c>
      <c r="O2643" s="1629"/>
    </row>
    <row r="2644" spans="11:15">
      <c r="K2644" s="1626">
        <v>44701</v>
      </c>
      <c r="L2644" s="1627" t="s">
        <v>2298</v>
      </c>
      <c r="M2644" s="1628">
        <v>4.7279000000000002E-2</v>
      </c>
      <c r="N2644" s="1629">
        <v>1.7560460760217664</v>
      </c>
      <c r="O2644" s="1629"/>
    </row>
    <row r="2645" spans="11:15">
      <c r="K2645" s="1626">
        <v>44702</v>
      </c>
      <c r="L2645" s="1627"/>
      <c r="M2645" s="1628">
        <v>0</v>
      </c>
      <c r="N2645" s="1629">
        <v>1.7560460760217664</v>
      </c>
      <c r="O2645" s="1629"/>
    </row>
    <row r="2646" spans="11:15">
      <c r="K2646" s="1626">
        <v>44703</v>
      </c>
      <c r="L2646" s="1627"/>
      <c r="M2646" s="1628">
        <v>0</v>
      </c>
      <c r="N2646" s="1629">
        <v>1.7560460760217664</v>
      </c>
      <c r="O2646" s="1629"/>
    </row>
    <row r="2647" spans="11:15">
      <c r="K2647" s="1626">
        <v>44704</v>
      </c>
      <c r="L2647" s="1627" t="s">
        <v>2298</v>
      </c>
      <c r="M2647" s="1628">
        <v>4.7279000000000002E-2</v>
      </c>
      <c r="N2647" s="1629">
        <v>1.7568763170460486</v>
      </c>
      <c r="O2647" s="1629"/>
    </row>
    <row r="2648" spans="11:15">
      <c r="K2648" s="1626">
        <v>44705</v>
      </c>
      <c r="L2648" s="1627" t="s">
        <v>2298</v>
      </c>
      <c r="M2648" s="1628">
        <v>4.7279000000000002E-2</v>
      </c>
      <c r="N2648" s="1629">
        <v>1.7577069505999847</v>
      </c>
      <c r="O2648" s="1629"/>
    </row>
    <row r="2649" spans="11:15">
      <c r="K2649" s="1626">
        <v>44706</v>
      </c>
      <c r="L2649" s="1627" t="s">
        <v>2298</v>
      </c>
      <c r="M2649" s="1628">
        <v>4.7279000000000002E-2</v>
      </c>
      <c r="N2649" s="1629">
        <v>1.7585379768691587</v>
      </c>
      <c r="O2649" s="1629"/>
    </row>
    <row r="2650" spans="11:15">
      <c r="K2650" s="1626">
        <v>44707</v>
      </c>
      <c r="L2650" s="1627" t="s">
        <v>2298</v>
      </c>
      <c r="M2650" s="1628">
        <v>4.7279000000000002E-2</v>
      </c>
      <c r="N2650" s="1629">
        <v>1.7593693960392425</v>
      </c>
      <c r="O2650" s="1629"/>
    </row>
    <row r="2651" spans="11:15">
      <c r="K2651" s="1626">
        <v>44708</v>
      </c>
      <c r="L2651" s="1627" t="s">
        <v>2298</v>
      </c>
      <c r="M2651" s="1628">
        <v>4.7279000000000002E-2</v>
      </c>
      <c r="N2651" s="1629">
        <v>1.7602012082959957</v>
      </c>
      <c r="O2651" s="1629"/>
    </row>
    <row r="2652" spans="11:15">
      <c r="K2652" s="1626">
        <v>44709</v>
      </c>
      <c r="L2652" s="1627"/>
      <c r="M2652" s="1628">
        <v>0</v>
      </c>
      <c r="N2652" s="1629">
        <v>1.7602012082959957</v>
      </c>
      <c r="O2652" s="1629"/>
    </row>
    <row r="2653" spans="11:15">
      <c r="K2653" s="1626">
        <v>44710</v>
      </c>
      <c r="L2653" s="1627"/>
      <c r="M2653" s="1628">
        <v>0</v>
      </c>
      <c r="N2653" s="1629">
        <v>1.7602012082959957</v>
      </c>
      <c r="O2653" s="1629"/>
    </row>
    <row r="2654" spans="11:15">
      <c r="K2654" s="1626">
        <v>44711</v>
      </c>
      <c r="L2654" s="1627" t="s">
        <v>2298</v>
      </c>
      <c r="M2654" s="1628">
        <v>4.7279000000000002E-2</v>
      </c>
      <c r="N2654" s="1629">
        <v>1.7610334138252657</v>
      </c>
      <c r="O2654" s="1629"/>
    </row>
    <row r="2655" spans="11:15">
      <c r="K2655" s="1626">
        <v>44712</v>
      </c>
      <c r="L2655" s="1627" t="s">
        <v>2298</v>
      </c>
      <c r="M2655" s="1628">
        <v>4.7279000000000002E-2</v>
      </c>
      <c r="N2655" s="1629">
        <v>1.7618660128129879</v>
      </c>
      <c r="O2655" s="1629"/>
    </row>
    <row r="2656" spans="11:15">
      <c r="K2656" s="1626">
        <v>44713</v>
      </c>
      <c r="L2656" s="1627" t="s">
        <v>2298</v>
      </c>
      <c r="M2656" s="1628">
        <v>4.7279000000000002E-2</v>
      </c>
      <c r="N2656" s="1629">
        <v>1.7626990054451857</v>
      </c>
      <c r="O2656" s="1629"/>
    </row>
    <row r="2657" spans="11:15">
      <c r="K2657" s="1626">
        <v>44714</v>
      </c>
      <c r="L2657" s="1627" t="s">
        <v>2298</v>
      </c>
      <c r="M2657" s="1628">
        <v>4.7279000000000002E-2</v>
      </c>
      <c r="N2657" s="1629">
        <v>1.76353239190797</v>
      </c>
      <c r="O2657" s="1629"/>
    </row>
    <row r="2658" spans="11:15">
      <c r="K2658" s="1626">
        <v>44715</v>
      </c>
      <c r="L2658" s="1627" t="s">
        <v>2298</v>
      </c>
      <c r="M2658" s="1628">
        <v>4.7279000000000002E-2</v>
      </c>
      <c r="N2658" s="1629">
        <v>1.7643661723875399</v>
      </c>
      <c r="O2658" s="1629"/>
    </row>
    <row r="2659" spans="11:15">
      <c r="K2659" s="1626">
        <v>44716</v>
      </c>
      <c r="L2659" s="1627"/>
      <c r="M2659" s="1628">
        <v>0</v>
      </c>
      <c r="N2659" s="1629">
        <v>1.7643661723875399</v>
      </c>
      <c r="O2659" s="1629"/>
    </row>
    <row r="2660" spans="11:15">
      <c r="K2660" s="1626">
        <v>44717</v>
      </c>
      <c r="L2660" s="1627"/>
      <c r="M2660" s="1628">
        <v>0</v>
      </c>
      <c r="N2660" s="1629">
        <v>1.7643661723875399</v>
      </c>
      <c r="O2660" s="1629"/>
    </row>
    <row r="2661" spans="11:15">
      <c r="K2661" s="1626">
        <v>44718</v>
      </c>
      <c r="L2661" s="1627" t="s">
        <v>2298</v>
      </c>
      <c r="M2661" s="1628">
        <v>4.7279000000000002E-2</v>
      </c>
      <c r="N2661" s="1629">
        <v>1.7652003470701829</v>
      </c>
      <c r="O2661" s="1629"/>
    </row>
    <row r="2662" spans="11:15">
      <c r="K2662" s="1626">
        <v>44719</v>
      </c>
      <c r="L2662" s="1627" t="s">
        <v>2298</v>
      </c>
      <c r="M2662" s="1628">
        <v>4.7279000000000002E-2</v>
      </c>
      <c r="N2662" s="1629">
        <v>1.7660349161422739</v>
      </c>
      <c r="O2662" s="1629"/>
    </row>
    <row r="2663" spans="11:15">
      <c r="K2663" s="1626">
        <v>44720</v>
      </c>
      <c r="L2663" s="1627" t="s">
        <v>2298</v>
      </c>
      <c r="M2663" s="1628">
        <v>4.7279000000000002E-2</v>
      </c>
      <c r="N2663" s="1629">
        <v>1.7668698797902767</v>
      </c>
      <c r="O2663" s="1629"/>
    </row>
    <row r="2664" spans="11:15">
      <c r="K2664" s="1626">
        <v>44721</v>
      </c>
      <c r="L2664" s="1627" t="s">
        <v>2298</v>
      </c>
      <c r="M2664" s="1628">
        <v>4.7279000000000002E-2</v>
      </c>
      <c r="N2664" s="1629">
        <v>1.7677052382007425</v>
      </c>
      <c r="O2664" s="1629"/>
    </row>
    <row r="2665" spans="11:15">
      <c r="K2665" s="1626">
        <v>44722</v>
      </c>
      <c r="L2665" s="1627" t="s">
        <v>2298</v>
      </c>
      <c r="M2665" s="1628">
        <v>4.7279000000000002E-2</v>
      </c>
      <c r="N2665" s="1629">
        <v>1.7685409915603112</v>
      </c>
      <c r="O2665" s="1629"/>
    </row>
    <row r="2666" spans="11:15">
      <c r="K2666" s="1626">
        <v>44723</v>
      </c>
      <c r="L2666" s="1627"/>
      <c r="M2666" s="1628">
        <v>0</v>
      </c>
      <c r="N2666" s="1629">
        <v>1.7685409915603112</v>
      </c>
      <c r="O2666" s="1629"/>
    </row>
    <row r="2667" spans="11:15">
      <c r="K2667" s="1626">
        <v>44724</v>
      </c>
      <c r="L2667" s="1627"/>
      <c r="M2667" s="1628">
        <v>0</v>
      </c>
      <c r="N2667" s="1629">
        <v>1.7685409915603112</v>
      </c>
      <c r="O2667" s="1629"/>
    </row>
    <row r="2668" spans="11:15">
      <c r="K2668" s="1626">
        <v>44725</v>
      </c>
      <c r="L2668" s="1627" t="s">
        <v>2298</v>
      </c>
      <c r="M2668" s="1628">
        <v>4.7279000000000002E-2</v>
      </c>
      <c r="N2668" s="1629">
        <v>1.7693771400557108</v>
      </c>
      <c r="O2668" s="1629"/>
    </row>
    <row r="2669" spans="11:15">
      <c r="K2669" s="1626">
        <v>44726</v>
      </c>
      <c r="L2669" s="1627" t="s">
        <v>2298</v>
      </c>
      <c r="M2669" s="1628">
        <v>4.7279000000000002E-2</v>
      </c>
      <c r="N2669" s="1629">
        <v>1.7702136838737574</v>
      </c>
      <c r="O2669" s="1629"/>
    </row>
    <row r="2670" spans="11:15">
      <c r="K2670" s="1626">
        <v>44727</v>
      </c>
      <c r="L2670" s="1627" t="s">
        <v>2298</v>
      </c>
      <c r="M2670" s="1628">
        <v>4.7279000000000002E-2</v>
      </c>
      <c r="N2670" s="1629">
        <v>1.7710506232013559</v>
      </c>
      <c r="O2670" s="1629"/>
    </row>
    <row r="2671" spans="11:15">
      <c r="K2671" s="1626">
        <v>44728</v>
      </c>
      <c r="L2671" s="1627"/>
      <c r="M2671" s="1628">
        <v>0</v>
      </c>
      <c r="N2671" s="1629">
        <v>1.7710506232013559</v>
      </c>
      <c r="O2671" s="1629"/>
    </row>
    <row r="2672" spans="11:15">
      <c r="K2672" s="1626">
        <v>44729</v>
      </c>
      <c r="L2672" s="1627" t="s">
        <v>2298</v>
      </c>
      <c r="M2672" s="1628">
        <v>4.9036999999999997E-2</v>
      </c>
      <c r="N2672" s="1629">
        <v>1.7719190932954552</v>
      </c>
      <c r="O2672" s="1629"/>
    </row>
    <row r="2673" spans="11:15">
      <c r="K2673" s="1626">
        <v>44730</v>
      </c>
      <c r="L2673" s="1627"/>
      <c r="M2673" s="1628">
        <v>0</v>
      </c>
      <c r="N2673" s="1629">
        <v>1.7719190932954552</v>
      </c>
      <c r="O2673" s="1629"/>
    </row>
    <row r="2674" spans="11:15">
      <c r="K2674" s="1626">
        <v>44731</v>
      </c>
      <c r="L2674" s="1627"/>
      <c r="M2674" s="1628">
        <v>0</v>
      </c>
      <c r="N2674" s="1629">
        <v>1.7719190932954552</v>
      </c>
      <c r="O2674" s="1629"/>
    </row>
    <row r="2675" spans="11:15">
      <c r="K2675" s="1626">
        <v>44732</v>
      </c>
      <c r="L2675" s="1627" t="s">
        <v>2298</v>
      </c>
      <c r="M2675" s="1628">
        <v>4.9036999999999997E-2</v>
      </c>
      <c r="N2675" s="1629">
        <v>1.7727879892612346</v>
      </c>
      <c r="O2675" s="1629"/>
    </row>
    <row r="2676" spans="11:15">
      <c r="K2676" s="1626">
        <v>44733</v>
      </c>
      <c r="L2676" s="1627" t="s">
        <v>2298</v>
      </c>
      <c r="M2676" s="1628">
        <v>4.9036999999999997E-2</v>
      </c>
      <c r="N2676" s="1629">
        <v>1.7736573113075287</v>
      </c>
      <c r="O2676" s="1629"/>
    </row>
    <row r="2677" spans="11:15">
      <c r="K2677" s="1626">
        <v>44734</v>
      </c>
      <c r="L2677" s="1627" t="s">
        <v>2298</v>
      </c>
      <c r="M2677" s="1628">
        <v>4.9036999999999997E-2</v>
      </c>
      <c r="N2677" s="1629">
        <v>1.7745270596432747</v>
      </c>
      <c r="O2677" s="1629"/>
    </row>
    <row r="2678" spans="11:15">
      <c r="K2678" s="1626">
        <v>44735</v>
      </c>
      <c r="L2678" s="1627" t="s">
        <v>2298</v>
      </c>
      <c r="M2678" s="1628">
        <v>4.9036999999999997E-2</v>
      </c>
      <c r="N2678" s="1629">
        <v>1.7753972344775122</v>
      </c>
      <c r="O2678" s="1629"/>
    </row>
    <row r="2679" spans="11:15">
      <c r="K2679" s="1626">
        <v>44736</v>
      </c>
      <c r="L2679" s="1627" t="s">
        <v>2298</v>
      </c>
      <c r="M2679" s="1628">
        <v>4.9036999999999997E-2</v>
      </c>
      <c r="N2679" s="1629">
        <v>1.7762678360193831</v>
      </c>
      <c r="O2679" s="1629"/>
    </row>
    <row r="2680" spans="11:15">
      <c r="K2680" s="1626">
        <v>44737</v>
      </c>
      <c r="L2680" s="1627"/>
      <c r="M2680" s="1628">
        <v>0</v>
      </c>
      <c r="N2680" s="1629">
        <v>1.7762678360193831</v>
      </c>
      <c r="O2680" s="1629"/>
    </row>
    <row r="2681" spans="11:15">
      <c r="K2681" s="1626">
        <v>44738</v>
      </c>
      <c r="L2681" s="1627"/>
      <c r="M2681" s="1628">
        <v>0</v>
      </c>
      <c r="N2681" s="1629">
        <v>1.7762678360193831</v>
      </c>
      <c r="O2681" s="1629"/>
    </row>
    <row r="2682" spans="11:15">
      <c r="K2682" s="1626">
        <v>44739</v>
      </c>
      <c r="L2682" s="1627" t="s">
        <v>2298</v>
      </c>
      <c r="M2682" s="1628">
        <v>4.9036999999999997E-2</v>
      </c>
      <c r="N2682" s="1629">
        <v>1.7771388644781321</v>
      </c>
      <c r="O2682" s="1629"/>
    </row>
    <row r="2683" spans="11:15">
      <c r="K2683" s="1626">
        <v>44740</v>
      </c>
      <c r="L2683" s="1627" t="s">
        <v>2298</v>
      </c>
      <c r="M2683" s="1628">
        <v>4.9036999999999997E-2</v>
      </c>
      <c r="N2683" s="1629">
        <v>1.7780103200631063</v>
      </c>
      <c r="O2683" s="1629"/>
    </row>
    <row r="2684" spans="11:15">
      <c r="K2684" s="1626">
        <v>44741</v>
      </c>
      <c r="L2684" s="1627" t="s">
        <v>2298</v>
      </c>
      <c r="M2684" s="1628">
        <v>4.9036999999999997E-2</v>
      </c>
      <c r="N2684" s="1629">
        <v>1.7788822029837559</v>
      </c>
      <c r="O2684" s="1629"/>
    </row>
    <row r="2685" spans="11:15">
      <c r="K2685" s="1626">
        <v>44742</v>
      </c>
      <c r="L2685" s="1627" t="s">
        <v>2298</v>
      </c>
      <c r="M2685" s="1628">
        <v>4.9036999999999997E-2</v>
      </c>
      <c r="N2685" s="1629">
        <v>1.7797545134496331</v>
      </c>
      <c r="O2685" s="1629"/>
    </row>
    <row r="2686" spans="11:15">
      <c r="K2686" s="1626">
        <v>44743</v>
      </c>
      <c r="L2686" s="1627" t="s">
        <v>2298</v>
      </c>
      <c r="M2686" s="1628">
        <v>4.9036999999999997E-2</v>
      </c>
      <c r="N2686" s="1629">
        <v>1.7806272516703936</v>
      </c>
      <c r="O2686" s="1629"/>
    </row>
    <row r="2687" spans="11:15">
      <c r="K2687" s="1626">
        <v>44744</v>
      </c>
      <c r="L2687" s="1627"/>
      <c r="M2687" s="1628">
        <v>0</v>
      </c>
      <c r="N2687" s="1629">
        <v>1.7806272516703936</v>
      </c>
      <c r="O2687" s="1629"/>
    </row>
    <row r="2688" spans="11:15">
      <c r="K2688" s="1626">
        <v>44745</v>
      </c>
      <c r="L2688" s="1627"/>
      <c r="M2688" s="1628">
        <v>0</v>
      </c>
      <c r="N2688" s="1629">
        <v>1.7806272516703936</v>
      </c>
      <c r="O2688" s="1629"/>
    </row>
    <row r="2689" spans="11:15">
      <c r="K2689" s="1626">
        <v>44746</v>
      </c>
      <c r="L2689" s="1627" t="s">
        <v>2298</v>
      </c>
      <c r="M2689" s="1628">
        <v>4.9036999999999997E-2</v>
      </c>
      <c r="N2689" s="1629">
        <v>1.7815004178557954</v>
      </c>
      <c r="O2689" s="1629"/>
    </row>
    <row r="2690" spans="11:15">
      <c r="K2690" s="1626">
        <v>44747</v>
      </c>
      <c r="L2690" s="1627" t="s">
        <v>2298</v>
      </c>
      <c r="M2690" s="1628">
        <v>4.9036999999999997E-2</v>
      </c>
      <c r="N2690" s="1629">
        <v>1.7823740122156995</v>
      </c>
      <c r="O2690" s="1629"/>
    </row>
    <row r="2691" spans="11:15">
      <c r="K2691" s="1626">
        <v>44748</v>
      </c>
      <c r="L2691" s="1627" t="s">
        <v>2298</v>
      </c>
      <c r="M2691" s="1628">
        <v>4.9036999999999997E-2</v>
      </c>
      <c r="N2691" s="1629">
        <v>1.7832480349600699</v>
      </c>
      <c r="O2691" s="1629"/>
    </row>
    <row r="2692" spans="11:15">
      <c r="K2692" s="1626">
        <v>44749</v>
      </c>
      <c r="L2692" s="1627" t="s">
        <v>2298</v>
      </c>
      <c r="M2692" s="1628">
        <v>4.9036999999999997E-2</v>
      </c>
      <c r="N2692" s="1629">
        <v>1.7841224862989733</v>
      </c>
      <c r="O2692" s="1629"/>
    </row>
    <row r="2693" spans="11:15">
      <c r="K2693" s="1626">
        <v>44750</v>
      </c>
      <c r="L2693" s="1627" t="s">
        <v>2298</v>
      </c>
      <c r="M2693" s="1628">
        <v>4.9036999999999997E-2</v>
      </c>
      <c r="N2693" s="1629">
        <v>1.7849973664425798</v>
      </c>
      <c r="O2693" s="1629"/>
    </row>
    <row r="2694" spans="11:15">
      <c r="K2694" s="1626">
        <v>44751</v>
      </c>
      <c r="L2694" s="1627"/>
      <c r="M2694" s="1628">
        <v>0</v>
      </c>
      <c r="N2694" s="1629">
        <v>1.7849973664425798</v>
      </c>
      <c r="O2694" s="1629"/>
    </row>
    <row r="2695" spans="11:15">
      <c r="K2695" s="1626">
        <v>44752</v>
      </c>
      <c r="L2695" s="1627"/>
      <c r="M2695" s="1628">
        <v>0</v>
      </c>
      <c r="N2695" s="1629">
        <v>1.7849973664425798</v>
      </c>
      <c r="O2695" s="1629"/>
    </row>
    <row r="2696" spans="11:15">
      <c r="K2696" s="1626">
        <v>44753</v>
      </c>
      <c r="L2696" s="1627" t="s">
        <v>2298</v>
      </c>
      <c r="M2696" s="1628">
        <v>4.9036999999999997E-2</v>
      </c>
      <c r="N2696" s="1629">
        <v>1.7858726756011623</v>
      </c>
      <c r="O2696" s="1629"/>
    </row>
    <row r="2697" spans="11:15">
      <c r="K2697" s="1626">
        <v>44754</v>
      </c>
      <c r="L2697" s="1627" t="s">
        <v>2298</v>
      </c>
      <c r="M2697" s="1628">
        <v>4.9036999999999997E-2</v>
      </c>
      <c r="N2697" s="1629">
        <v>1.7867484139850969</v>
      </c>
      <c r="O2697" s="1629"/>
    </row>
    <row r="2698" spans="11:15">
      <c r="K2698" s="1626">
        <v>44755</v>
      </c>
      <c r="L2698" s="1627" t="s">
        <v>2298</v>
      </c>
      <c r="M2698" s="1628">
        <v>4.9036999999999997E-2</v>
      </c>
      <c r="N2698" s="1629">
        <v>1.7876245818048628</v>
      </c>
      <c r="O2698" s="1629"/>
    </row>
    <row r="2699" spans="11:15">
      <c r="K2699" s="1626">
        <v>44756</v>
      </c>
      <c r="L2699" s="1627" t="s">
        <v>2298</v>
      </c>
      <c r="M2699" s="1628">
        <v>4.9036999999999997E-2</v>
      </c>
      <c r="N2699" s="1629">
        <v>1.7885011792710426</v>
      </c>
      <c r="O2699" s="1629"/>
    </row>
    <row r="2700" spans="11:15">
      <c r="K2700" s="1626">
        <v>44757</v>
      </c>
      <c r="L2700" s="1627" t="s">
        <v>2298</v>
      </c>
      <c r="M2700" s="1628">
        <v>4.9036999999999997E-2</v>
      </c>
      <c r="N2700" s="1629">
        <v>1.7893782065943218</v>
      </c>
      <c r="O2700" s="1629"/>
    </row>
    <row r="2701" spans="11:15">
      <c r="K2701" s="1626">
        <v>44758</v>
      </c>
      <c r="L2701" s="1627"/>
      <c r="M2701" s="1628">
        <v>0</v>
      </c>
      <c r="N2701" s="1629">
        <v>1.7893782065943218</v>
      </c>
      <c r="O2701" s="1629"/>
    </row>
    <row r="2702" spans="11:15">
      <c r="K2702" s="1626">
        <v>44759</v>
      </c>
      <c r="L2702" s="1627"/>
      <c r="M2702" s="1628">
        <v>0</v>
      </c>
      <c r="N2702" s="1629">
        <v>1.7893782065943218</v>
      </c>
      <c r="O2702" s="1629"/>
    </row>
    <row r="2703" spans="11:15">
      <c r="K2703" s="1626">
        <v>44760</v>
      </c>
      <c r="L2703" s="1627" t="s">
        <v>2298</v>
      </c>
      <c r="M2703" s="1628">
        <v>4.9036999999999997E-2</v>
      </c>
      <c r="N2703" s="1629">
        <v>1.7902556639854896</v>
      </c>
      <c r="O2703" s="1629"/>
    </row>
    <row r="2704" spans="11:15">
      <c r="K2704" s="1626">
        <v>44761</v>
      </c>
      <c r="L2704" s="1627" t="s">
        <v>2298</v>
      </c>
      <c r="M2704" s="1628">
        <v>4.9036999999999997E-2</v>
      </c>
      <c r="N2704" s="1629">
        <v>1.7911335516554383</v>
      </c>
      <c r="O2704" s="1629"/>
    </row>
    <row r="2705" spans="11:15">
      <c r="K2705" s="1626">
        <v>44762</v>
      </c>
      <c r="L2705" s="1627" t="s">
        <v>2298</v>
      </c>
      <c r="M2705" s="1628">
        <v>4.9036999999999997E-2</v>
      </c>
      <c r="N2705" s="1629">
        <v>1.7920118698151637</v>
      </c>
      <c r="O2705" s="1629"/>
    </row>
    <row r="2706" spans="11:15">
      <c r="K2706" s="1626">
        <v>44763</v>
      </c>
      <c r="L2706" s="1627" t="s">
        <v>2298</v>
      </c>
      <c r="M2706" s="1628">
        <v>4.9036999999999997E-2</v>
      </c>
      <c r="N2706" s="1629">
        <v>1.7928906186757652</v>
      </c>
      <c r="O2706" s="1629"/>
    </row>
    <row r="2707" spans="11:15">
      <c r="K2707" s="1626">
        <v>44764</v>
      </c>
      <c r="L2707" s="1627" t="s">
        <v>2298</v>
      </c>
      <c r="M2707" s="1628">
        <v>4.9036999999999997E-2</v>
      </c>
      <c r="N2707" s="1629">
        <v>1.7937697984484453</v>
      </c>
      <c r="O2707" s="1629"/>
    </row>
    <row r="2708" spans="11:15">
      <c r="K2708" s="1626">
        <v>44765</v>
      </c>
      <c r="L2708" s="1627"/>
      <c r="M2708" s="1628">
        <v>0</v>
      </c>
      <c r="N2708" s="1629">
        <v>1.7937697984484453</v>
      </c>
      <c r="O2708" s="1629"/>
    </row>
    <row r="2709" spans="11:15">
      <c r="K2709" s="1626">
        <v>44766</v>
      </c>
      <c r="L2709" s="1627"/>
      <c r="M2709" s="1628">
        <v>0</v>
      </c>
      <c r="N2709" s="1629">
        <v>1.7937697984484453</v>
      </c>
      <c r="O2709" s="1629"/>
    </row>
    <row r="2710" spans="11:15">
      <c r="K2710" s="1626">
        <v>44767</v>
      </c>
      <c r="L2710" s="1627" t="s">
        <v>2298</v>
      </c>
      <c r="M2710" s="1628">
        <v>4.9036999999999997E-2</v>
      </c>
      <c r="N2710" s="1629">
        <v>1.7946494093445107</v>
      </c>
      <c r="O2710" s="1629"/>
    </row>
    <row r="2711" spans="11:15">
      <c r="K2711" s="1626">
        <v>44768</v>
      </c>
      <c r="L2711" s="1627" t="s">
        <v>2298</v>
      </c>
      <c r="M2711" s="1628">
        <v>4.9036999999999997E-2</v>
      </c>
      <c r="N2711" s="1629">
        <v>1.795529451575371</v>
      </c>
      <c r="O2711" s="1629"/>
    </row>
    <row r="2712" spans="11:15">
      <c r="K2712" s="1626">
        <v>44769</v>
      </c>
      <c r="L2712" s="1627" t="s">
        <v>2298</v>
      </c>
      <c r="M2712" s="1628">
        <v>4.9036999999999997E-2</v>
      </c>
      <c r="N2712" s="1629">
        <v>1.7964099253525401</v>
      </c>
      <c r="O2712" s="1629"/>
    </row>
    <row r="2713" spans="11:15">
      <c r="K2713" s="1626">
        <v>44770</v>
      </c>
      <c r="L2713" s="1627" t="s">
        <v>2298</v>
      </c>
      <c r="M2713" s="1628">
        <v>4.9036999999999997E-2</v>
      </c>
      <c r="N2713" s="1629">
        <v>1.7972908308876354</v>
      </c>
      <c r="O2713" s="1629"/>
    </row>
    <row r="2714" spans="11:15">
      <c r="K2714" s="1626">
        <v>44771</v>
      </c>
      <c r="L2714" s="1627" t="s">
        <v>2298</v>
      </c>
      <c r="M2714" s="1628">
        <v>4.9036999999999997E-2</v>
      </c>
      <c r="N2714" s="1629">
        <v>1.7981721683923779</v>
      </c>
      <c r="O2714" s="1629"/>
    </row>
    <row r="2715" spans="11:15">
      <c r="K2715" s="1626">
        <v>44772</v>
      </c>
      <c r="L2715" s="1627"/>
      <c r="M2715" s="1628">
        <v>0</v>
      </c>
      <c r="N2715" s="1629">
        <v>1.7981721683923779</v>
      </c>
      <c r="O2715" s="1629"/>
    </row>
    <row r="2716" spans="11:15">
      <c r="K2716" s="1626">
        <v>44773</v>
      </c>
      <c r="L2716" s="1627"/>
      <c r="M2716" s="1628">
        <v>0</v>
      </c>
      <c r="N2716" s="1629">
        <v>1.7981721683923779</v>
      </c>
      <c r="O2716" s="1629"/>
    </row>
    <row r="2717" spans="11:15">
      <c r="K2717" s="1626">
        <v>44774</v>
      </c>
      <c r="L2717" s="1627" t="s">
        <v>2298</v>
      </c>
      <c r="M2717" s="1628">
        <v>4.9036999999999997E-2</v>
      </c>
      <c r="N2717" s="1629">
        <v>1.7990539380785926</v>
      </c>
      <c r="O2717" s="1629"/>
    </row>
    <row r="2718" spans="11:15">
      <c r="K2718" s="1626">
        <v>44775</v>
      </c>
      <c r="L2718" s="1627" t="s">
        <v>2298</v>
      </c>
      <c r="M2718" s="1628">
        <v>4.9036999999999997E-2</v>
      </c>
      <c r="N2718" s="1629">
        <v>1.7999361401582084</v>
      </c>
      <c r="O2718" s="1629"/>
    </row>
    <row r="2719" spans="11:15">
      <c r="K2719" s="1626">
        <v>44776</v>
      </c>
      <c r="L2719" s="1627" t="s">
        <v>2298</v>
      </c>
      <c r="M2719" s="1628">
        <v>4.9036999999999997E-2</v>
      </c>
      <c r="N2719" s="1629">
        <v>1.8008187748432578</v>
      </c>
      <c r="O2719" s="1629"/>
    </row>
    <row r="2720" spans="11:15">
      <c r="K2720" s="1626">
        <v>44777</v>
      </c>
      <c r="L2720" s="1627" t="s">
        <v>2298</v>
      </c>
      <c r="M2720" s="1628">
        <v>4.9036999999999997E-2</v>
      </c>
      <c r="N2720" s="1629">
        <v>1.8017018423458779</v>
      </c>
      <c r="O2720" s="1629"/>
    </row>
    <row r="2721" spans="11:15">
      <c r="K2721" s="1626">
        <v>44778</v>
      </c>
      <c r="L2721" s="1627" t="s">
        <v>2298</v>
      </c>
      <c r="M2721" s="1628">
        <v>4.9036999999999997E-2</v>
      </c>
      <c r="N2721" s="1629">
        <v>1.8025853428783092</v>
      </c>
      <c r="O2721" s="1629"/>
    </row>
    <row r="2722" spans="11:15">
      <c r="K2722" s="1626">
        <v>44779</v>
      </c>
      <c r="L2722" s="1627"/>
      <c r="M2722" s="1628">
        <v>0</v>
      </c>
      <c r="N2722" s="1629">
        <v>1.8025853428783092</v>
      </c>
      <c r="O2722" s="1629"/>
    </row>
    <row r="2723" spans="11:15">
      <c r="K2723" s="1626">
        <v>44780</v>
      </c>
      <c r="L2723" s="1627"/>
      <c r="M2723" s="1628">
        <v>0</v>
      </c>
      <c r="N2723" s="1629">
        <v>1.8025853428783092</v>
      </c>
      <c r="O2723" s="1629"/>
    </row>
    <row r="2724" spans="11:15">
      <c r="K2724" s="1626">
        <v>44781</v>
      </c>
      <c r="L2724" s="1627" t="s">
        <v>2298</v>
      </c>
      <c r="M2724" s="1628">
        <v>4.9036999999999997E-2</v>
      </c>
      <c r="N2724" s="1629">
        <v>1.8034692766528966</v>
      </c>
      <c r="O2724" s="1629"/>
    </row>
    <row r="2725" spans="11:15">
      <c r="K2725" s="1626">
        <v>44782</v>
      </c>
      <c r="L2725" s="1627" t="s">
        <v>2298</v>
      </c>
      <c r="M2725" s="1628">
        <v>4.9036999999999997E-2</v>
      </c>
      <c r="N2725" s="1629">
        <v>1.8043536438820891</v>
      </c>
      <c r="O2725" s="1629"/>
    </row>
    <row r="2726" spans="11:15">
      <c r="K2726" s="1626">
        <v>44783</v>
      </c>
      <c r="L2726" s="1627" t="s">
        <v>2298</v>
      </c>
      <c r="M2726" s="1628">
        <v>4.9036999999999997E-2</v>
      </c>
      <c r="N2726" s="1629">
        <v>1.8052384447784398</v>
      </c>
      <c r="O2726" s="1629"/>
    </row>
    <row r="2727" spans="11:15">
      <c r="K2727" s="1626">
        <v>44784</v>
      </c>
      <c r="L2727" s="1627" t="s">
        <v>2298</v>
      </c>
      <c r="M2727" s="1628">
        <v>4.9036999999999997E-2</v>
      </c>
      <c r="N2727" s="1629">
        <v>1.8061236795546058</v>
      </c>
      <c r="O2727" s="1629"/>
    </row>
    <row r="2728" spans="11:15">
      <c r="K2728" s="1626">
        <v>44785</v>
      </c>
      <c r="L2728" s="1627" t="s">
        <v>2298</v>
      </c>
      <c r="M2728" s="1628">
        <v>4.9036999999999997E-2</v>
      </c>
      <c r="N2728" s="1629">
        <v>1.8070093484233491</v>
      </c>
      <c r="O2728" s="1629"/>
    </row>
    <row r="2729" spans="11:15">
      <c r="K2729" s="1626">
        <v>44786</v>
      </c>
      <c r="L2729" s="1627"/>
      <c r="M2729" s="1628">
        <v>0</v>
      </c>
      <c r="N2729" s="1629">
        <v>1.8070093484233491</v>
      </c>
      <c r="O2729" s="1629"/>
    </row>
    <row r="2730" spans="11:15">
      <c r="K2730" s="1626">
        <v>44787</v>
      </c>
      <c r="L2730" s="1627"/>
      <c r="M2730" s="1628">
        <v>0</v>
      </c>
      <c r="N2730" s="1629">
        <v>1.8070093484233491</v>
      </c>
      <c r="O2730" s="1629"/>
    </row>
    <row r="2731" spans="11:15">
      <c r="K2731" s="1626">
        <v>44788</v>
      </c>
      <c r="L2731" s="1627" t="s">
        <v>2298</v>
      </c>
      <c r="M2731" s="1628">
        <v>4.9036999999999997E-2</v>
      </c>
      <c r="N2731" s="1629">
        <v>1.8078954515975356</v>
      </c>
      <c r="O2731" s="1629"/>
    </row>
    <row r="2732" spans="11:15">
      <c r="K2732" s="1626">
        <v>44789</v>
      </c>
      <c r="L2732" s="1627" t="s">
        <v>2298</v>
      </c>
      <c r="M2732" s="1628">
        <v>4.9036999999999997E-2</v>
      </c>
      <c r="N2732" s="1629">
        <v>1.8087819892901356</v>
      </c>
      <c r="O2732" s="1629"/>
    </row>
    <row r="2733" spans="11:15">
      <c r="K2733" s="1626">
        <v>44790</v>
      </c>
      <c r="L2733" s="1627" t="s">
        <v>2298</v>
      </c>
      <c r="M2733" s="1628">
        <v>4.9036999999999997E-2</v>
      </c>
      <c r="N2733" s="1629">
        <v>1.8096689617142239</v>
      </c>
      <c r="O2733" s="1629"/>
    </row>
    <row r="2734" spans="11:15">
      <c r="K2734" s="1626">
        <v>44791</v>
      </c>
      <c r="L2734" s="1627" t="s">
        <v>2298</v>
      </c>
      <c r="M2734" s="1628">
        <v>4.9036999999999997E-2</v>
      </c>
      <c r="N2734" s="1629">
        <v>1.8105563690829798</v>
      </c>
      <c r="O2734" s="1629"/>
    </row>
    <row r="2735" spans="11:15">
      <c r="K2735" s="1626">
        <v>44792</v>
      </c>
      <c r="L2735" s="1627" t="s">
        <v>2298</v>
      </c>
      <c r="M2735" s="1628">
        <v>4.9036999999999997E-2</v>
      </c>
      <c r="N2735" s="1629">
        <v>1.8114442116096872</v>
      </c>
      <c r="O2735" s="1629"/>
    </row>
    <row r="2736" spans="11:15">
      <c r="K2736" s="1626">
        <v>44793</v>
      </c>
      <c r="L2736" s="1627"/>
      <c r="M2736" s="1628">
        <v>0</v>
      </c>
      <c r="N2736" s="1629">
        <v>1.8114442116096872</v>
      </c>
      <c r="O2736" s="1629"/>
    </row>
    <row r="2737" spans="11:15">
      <c r="K2737" s="1626">
        <v>44794</v>
      </c>
      <c r="L2737" s="1627"/>
      <c r="M2737" s="1628">
        <v>0</v>
      </c>
      <c r="N2737" s="1629">
        <v>1.8114442116096872</v>
      </c>
      <c r="O2737" s="1629"/>
    </row>
    <row r="2738" spans="11:15">
      <c r="K2738" s="1626">
        <v>44795</v>
      </c>
      <c r="L2738" s="1627" t="s">
        <v>2298</v>
      </c>
      <c r="M2738" s="1628">
        <v>4.9036999999999997E-2</v>
      </c>
      <c r="N2738" s="1629">
        <v>1.8123324895077344</v>
      </c>
      <c r="O2738" s="1629"/>
    </row>
    <row r="2739" spans="11:15">
      <c r="K2739" s="1626">
        <v>44796</v>
      </c>
      <c r="L2739" s="1627" t="s">
        <v>2298</v>
      </c>
      <c r="M2739" s="1628">
        <v>4.9036999999999997E-2</v>
      </c>
      <c r="N2739" s="1629">
        <v>1.8132212029906145</v>
      </c>
      <c r="O2739" s="1629"/>
    </row>
    <row r="2740" spans="11:15">
      <c r="K2740" s="1626">
        <v>44797</v>
      </c>
      <c r="L2740" s="1627" t="s">
        <v>2298</v>
      </c>
      <c r="M2740" s="1628">
        <v>4.9036999999999997E-2</v>
      </c>
      <c r="N2740" s="1629">
        <v>1.8141103522719251</v>
      </c>
      <c r="O2740" s="1629"/>
    </row>
    <row r="2741" spans="11:15">
      <c r="K2741" s="1626">
        <v>44798</v>
      </c>
      <c r="L2741" s="1627" t="s">
        <v>2298</v>
      </c>
      <c r="M2741" s="1628">
        <v>4.9036999999999997E-2</v>
      </c>
      <c r="N2741" s="1629">
        <v>1.8149999375653687</v>
      </c>
      <c r="O2741" s="1629"/>
    </row>
    <row r="2742" spans="11:15">
      <c r="K2742" s="1626">
        <v>44799</v>
      </c>
      <c r="L2742" s="1627" t="s">
        <v>2298</v>
      </c>
      <c r="M2742" s="1628">
        <v>4.9036999999999997E-2</v>
      </c>
      <c r="N2742" s="1629">
        <v>1.8158899590847528</v>
      </c>
      <c r="O2742" s="1629"/>
    </row>
    <row r="2743" spans="11:15">
      <c r="K2743" s="1626">
        <v>44800</v>
      </c>
      <c r="L2743" s="1627"/>
      <c r="M2743" s="1628">
        <v>0</v>
      </c>
      <c r="N2743" s="1629">
        <v>1.8158899590847528</v>
      </c>
      <c r="O2743" s="1629"/>
    </row>
    <row r="2744" spans="11:15">
      <c r="K2744" s="1626">
        <v>44801</v>
      </c>
      <c r="L2744" s="1627"/>
      <c r="M2744" s="1628">
        <v>0</v>
      </c>
      <c r="N2744" s="1629">
        <v>1.8158899590847528</v>
      </c>
      <c r="O2744" s="1629"/>
    </row>
    <row r="2745" spans="11:15">
      <c r="K2745" s="1626">
        <v>44802</v>
      </c>
      <c r="L2745" s="1627" t="s">
        <v>2298</v>
      </c>
      <c r="M2745" s="1628">
        <v>4.9036999999999997E-2</v>
      </c>
      <c r="N2745" s="1629">
        <v>1.8167804170439894</v>
      </c>
      <c r="O2745" s="1629"/>
    </row>
    <row r="2746" spans="11:15">
      <c r="K2746" s="1626">
        <v>44803</v>
      </c>
      <c r="L2746" s="1627" t="s">
        <v>2298</v>
      </c>
      <c r="M2746" s="1628">
        <v>4.9036999999999997E-2</v>
      </c>
      <c r="N2746" s="1629">
        <v>1.8176713116570955</v>
      </c>
      <c r="O2746" s="1629"/>
    </row>
    <row r="2747" spans="11:15">
      <c r="K2747" s="1626">
        <v>44804</v>
      </c>
      <c r="L2747" s="1627" t="s">
        <v>2298</v>
      </c>
      <c r="M2747" s="1628">
        <v>4.9036999999999997E-2</v>
      </c>
      <c r="N2747" s="1629">
        <v>1.8185626431381929</v>
      </c>
      <c r="O2747" s="1629"/>
    </row>
    <row r="2748" spans="11:15">
      <c r="K2748" s="1626">
        <v>44805</v>
      </c>
      <c r="L2748" s="1627" t="s">
        <v>2298</v>
      </c>
      <c r="M2748" s="1628">
        <v>4.9036999999999997E-2</v>
      </c>
      <c r="N2748" s="1629">
        <v>1.8194544117015088</v>
      </c>
      <c r="O2748" s="1629"/>
    </row>
    <row r="2749" spans="11:15">
      <c r="K2749" s="1626">
        <v>44806</v>
      </c>
      <c r="L2749" s="1627" t="s">
        <v>2298</v>
      </c>
      <c r="M2749" s="1628">
        <v>4.9036999999999997E-2</v>
      </c>
      <c r="N2749" s="1629">
        <v>1.8203466175613749</v>
      </c>
      <c r="O2749" s="1629"/>
    </row>
    <row r="2750" spans="11:15">
      <c r="K2750" s="1626">
        <v>44807</v>
      </c>
      <c r="L2750" s="1627"/>
      <c r="M2750" s="1628">
        <v>0</v>
      </c>
      <c r="N2750" s="1629">
        <v>1.8203466175613749</v>
      </c>
      <c r="O2750" s="1629"/>
    </row>
    <row r="2751" spans="11:15">
      <c r="K2751" s="1626">
        <v>44808</v>
      </c>
      <c r="L2751" s="1627"/>
      <c r="M2751" s="1628">
        <v>0</v>
      </c>
      <c r="N2751" s="1629">
        <v>1.8203466175613749</v>
      </c>
      <c r="O2751" s="1629"/>
    </row>
    <row r="2752" spans="11:15">
      <c r="K2752" s="1626">
        <v>44809</v>
      </c>
      <c r="L2752" s="1627" t="s">
        <v>2298</v>
      </c>
      <c r="M2752" s="1628">
        <v>4.9036999999999997E-2</v>
      </c>
      <c r="N2752" s="1629">
        <v>1.8212392609322285</v>
      </c>
      <c r="O2752" s="1629"/>
    </row>
    <row r="2753" spans="11:15">
      <c r="K2753" s="1626">
        <v>44810</v>
      </c>
      <c r="L2753" s="1627" t="s">
        <v>2298</v>
      </c>
      <c r="M2753" s="1628">
        <v>4.9036999999999997E-2</v>
      </c>
      <c r="N2753" s="1629">
        <v>1.822132342028612</v>
      </c>
      <c r="O2753" s="1629"/>
    </row>
    <row r="2754" spans="11:15">
      <c r="K2754" s="1626">
        <v>44811</v>
      </c>
      <c r="L2754" s="1627"/>
      <c r="M2754" s="1628">
        <v>0</v>
      </c>
      <c r="N2754" s="1629">
        <v>1.822132342028612</v>
      </c>
      <c r="O2754" s="1629"/>
    </row>
    <row r="2755" spans="11:15">
      <c r="K2755" s="1626">
        <v>44812</v>
      </c>
      <c r="L2755" s="1627" t="s">
        <v>2298</v>
      </c>
      <c r="M2755" s="1628">
        <v>4.9036999999999997E-2</v>
      </c>
      <c r="N2755" s="1629">
        <v>1.8230258610651726</v>
      </c>
      <c r="O2755" s="1629"/>
    </row>
    <row r="2756" spans="11:15">
      <c r="K2756" s="1626">
        <v>44813</v>
      </c>
      <c r="L2756" s="1627" t="s">
        <v>2298</v>
      </c>
      <c r="M2756" s="1628">
        <v>4.9036999999999997E-2</v>
      </c>
      <c r="N2756" s="1629">
        <v>1.8239198182566634</v>
      </c>
      <c r="O2756" s="1629"/>
    </row>
    <row r="2757" spans="11:15">
      <c r="K2757" s="1626">
        <v>44814</v>
      </c>
      <c r="L2757" s="1627"/>
      <c r="M2757" s="1628">
        <v>0</v>
      </c>
      <c r="N2757" s="1629">
        <v>1.8239198182566634</v>
      </c>
      <c r="O2757" s="1629"/>
    </row>
    <row r="2758" spans="11:15">
      <c r="K2758" s="1626">
        <v>44815</v>
      </c>
      <c r="L2758" s="1627"/>
      <c r="M2758" s="1628">
        <v>0</v>
      </c>
      <c r="N2758" s="1629">
        <v>1.8239198182566634</v>
      </c>
      <c r="O2758" s="1629"/>
    </row>
    <row r="2759" spans="11:15">
      <c r="K2759" s="1626">
        <v>44816</v>
      </c>
      <c r="L2759" s="1627" t="s">
        <v>2298</v>
      </c>
      <c r="M2759" s="1628">
        <v>4.9036999999999997E-2</v>
      </c>
      <c r="N2759" s="1629">
        <v>1.824814213817942</v>
      </c>
      <c r="O2759" s="1629"/>
    </row>
    <row r="2760" spans="11:15">
      <c r="K2760" s="1626">
        <v>44817</v>
      </c>
      <c r="L2760" s="1627" t="s">
        <v>2298</v>
      </c>
      <c r="M2760" s="1628">
        <v>4.9036999999999997E-2</v>
      </c>
      <c r="N2760" s="1629">
        <v>1.8257090479639719</v>
      </c>
      <c r="O2760" s="1629"/>
    </row>
    <row r="2761" spans="11:15">
      <c r="K2761" s="1626">
        <v>44818</v>
      </c>
      <c r="L2761" s="1627" t="s">
        <v>2298</v>
      </c>
      <c r="M2761" s="1628">
        <v>4.9036999999999997E-2</v>
      </c>
      <c r="N2761" s="1629">
        <v>1.8266043209098222</v>
      </c>
      <c r="O2761" s="1629"/>
    </row>
    <row r="2762" spans="11:15">
      <c r="K2762" s="1626">
        <v>44819</v>
      </c>
      <c r="L2762" s="1627" t="s">
        <v>2298</v>
      </c>
      <c r="M2762" s="1628">
        <v>4.9036999999999997E-2</v>
      </c>
      <c r="N2762" s="1629">
        <v>1.8275000328706668</v>
      </c>
      <c r="O2762" s="1629"/>
    </row>
    <row r="2763" spans="11:15">
      <c r="K2763" s="1626">
        <v>44820</v>
      </c>
      <c r="L2763" s="1627" t="s">
        <v>2298</v>
      </c>
      <c r="M2763" s="1628">
        <v>4.9036999999999997E-2</v>
      </c>
      <c r="N2763" s="1629">
        <v>1.8283961840617857</v>
      </c>
      <c r="O2763" s="1629"/>
    </row>
    <row r="2764" spans="11:15">
      <c r="K2764" s="1626">
        <v>44821</v>
      </c>
      <c r="L2764" s="1627"/>
      <c r="M2764" s="1628">
        <v>0</v>
      </c>
      <c r="N2764" s="1629">
        <v>1.8283961840617857</v>
      </c>
      <c r="O2764" s="1629"/>
    </row>
    <row r="2765" spans="11:15">
      <c r="K2765" s="1626">
        <v>44822</v>
      </c>
      <c r="L2765" s="1627"/>
      <c r="M2765" s="1628">
        <v>0</v>
      </c>
      <c r="N2765" s="1629">
        <v>1.8283961840617857</v>
      </c>
      <c r="O2765" s="1629"/>
    </row>
    <row r="2766" spans="11:15">
      <c r="K2766" s="1626">
        <v>44823</v>
      </c>
      <c r="L2766" s="1627" t="s">
        <v>2298</v>
      </c>
      <c r="M2766" s="1628">
        <v>4.9036999999999997E-2</v>
      </c>
      <c r="N2766" s="1629">
        <v>1.8292927746985643</v>
      </c>
      <c r="O2766" s="1629"/>
    </row>
    <row r="2767" spans="11:15">
      <c r="K2767" s="1626">
        <v>44824</v>
      </c>
      <c r="L2767" s="1627" t="s">
        <v>2298</v>
      </c>
      <c r="M2767" s="1628">
        <v>4.9036999999999997E-2</v>
      </c>
      <c r="N2767" s="1629">
        <v>1.8301898049964933</v>
      </c>
      <c r="O2767" s="1629"/>
    </row>
    <row r="2768" spans="11:15">
      <c r="K2768" s="1626">
        <v>44825</v>
      </c>
      <c r="L2768" s="1627" t="s">
        <v>2298</v>
      </c>
      <c r="M2768" s="1628">
        <v>4.9036999999999997E-2</v>
      </c>
      <c r="N2768" s="1629">
        <v>1.8310872751711695</v>
      </c>
      <c r="O2768" s="1629"/>
    </row>
    <row r="2769" spans="11:15">
      <c r="K2769" s="1626">
        <v>44826</v>
      </c>
      <c r="L2769" s="1627" t="s">
        <v>2298</v>
      </c>
      <c r="M2769" s="1628">
        <v>4.9036999999999997E-2</v>
      </c>
      <c r="N2769" s="1629">
        <v>1.8319851854382954</v>
      </c>
      <c r="O2769" s="1629"/>
    </row>
    <row r="2770" spans="11:15">
      <c r="K2770" s="1626">
        <v>44827</v>
      </c>
      <c r="L2770" s="1627" t="s">
        <v>2298</v>
      </c>
      <c r="M2770" s="1628">
        <v>4.9036999999999997E-2</v>
      </c>
      <c r="N2770" s="1629">
        <v>1.8328835360136788</v>
      </c>
      <c r="O2770" s="1629"/>
    </row>
    <row r="2771" spans="11:15">
      <c r="K2771" s="1626">
        <v>44828</v>
      </c>
      <c r="L2771" s="1627"/>
      <c r="M2771" s="1628">
        <v>0</v>
      </c>
      <c r="N2771" s="1629">
        <v>1.8328835360136788</v>
      </c>
      <c r="O2771" s="1629"/>
    </row>
    <row r="2772" spans="11:15">
      <c r="K2772" s="1626">
        <v>44829</v>
      </c>
      <c r="L2772" s="1627"/>
      <c r="M2772" s="1628">
        <v>0</v>
      </c>
      <c r="N2772" s="1629">
        <v>1.8328835360136788</v>
      </c>
      <c r="O2772" s="1629"/>
    </row>
    <row r="2773" spans="11:15">
      <c r="K2773" s="1626">
        <v>44830</v>
      </c>
      <c r="L2773" s="1627" t="s">
        <v>2298</v>
      </c>
      <c r="M2773" s="1628">
        <v>4.9036999999999997E-2</v>
      </c>
      <c r="N2773" s="1629">
        <v>1.8337823271132341</v>
      </c>
      <c r="O2773" s="1629"/>
    </row>
    <row r="2774" spans="11:15">
      <c r="K2774" s="1626">
        <v>44831</v>
      </c>
      <c r="L2774" s="1627" t="s">
        <v>2298</v>
      </c>
      <c r="M2774" s="1628">
        <v>4.9036999999999997E-2</v>
      </c>
      <c r="N2774" s="1629">
        <v>1.8346815589529808</v>
      </c>
      <c r="O2774" s="1629"/>
    </row>
    <row r="2775" spans="11:15">
      <c r="K2775" s="1626">
        <v>44832</v>
      </c>
      <c r="L2775" s="1627" t="s">
        <v>2298</v>
      </c>
      <c r="M2775" s="1628">
        <v>4.9036999999999997E-2</v>
      </c>
      <c r="N2775" s="1629">
        <v>1.8355812317490448</v>
      </c>
      <c r="O2775" s="1629"/>
    </row>
    <row r="2776" spans="11:15">
      <c r="K2776" s="1626">
        <v>44833</v>
      </c>
      <c r="L2776" s="1627" t="s">
        <v>2298</v>
      </c>
      <c r="M2776" s="1628">
        <v>4.9036999999999997E-2</v>
      </c>
      <c r="N2776" s="1629">
        <v>1.8364813457176576</v>
      </c>
      <c r="O2776" s="1629"/>
    </row>
    <row r="2777" spans="11:15">
      <c r="K2777" s="1626">
        <v>44834</v>
      </c>
      <c r="L2777" s="1627" t="s">
        <v>2298</v>
      </c>
      <c r="M2777" s="1628">
        <v>4.9036999999999997E-2</v>
      </c>
      <c r="N2777" s="1629">
        <v>1.8373819010751573</v>
      </c>
      <c r="O2777" s="1629"/>
    </row>
    <row r="2778" spans="11:15">
      <c r="K2778" s="1626">
        <v>44835</v>
      </c>
      <c r="L2778" s="1627"/>
      <c r="M2778" s="1628">
        <v>0</v>
      </c>
      <c r="N2778" s="1629">
        <v>1.8373819010751573</v>
      </c>
      <c r="O2778" s="1629"/>
    </row>
    <row r="2779" spans="11:15">
      <c r="K2779" s="1626">
        <v>44836</v>
      </c>
      <c r="L2779" s="1627"/>
      <c r="M2779" s="1628">
        <v>0</v>
      </c>
      <c r="N2779" s="1629">
        <v>1.8373819010751573</v>
      </c>
      <c r="O2779" s="1629"/>
    </row>
    <row r="2780" spans="11:15">
      <c r="K2780" s="1626">
        <v>44837</v>
      </c>
      <c r="L2780" s="1627" t="s">
        <v>2298</v>
      </c>
      <c r="M2780" s="1628">
        <v>4.9036999999999997E-2</v>
      </c>
      <c r="N2780" s="1629">
        <v>1.8382828980379877</v>
      </c>
      <c r="O2780" s="1629"/>
    </row>
    <row r="2781" spans="11:15">
      <c r="K2781" s="1626">
        <v>44838</v>
      </c>
      <c r="L2781" s="1627" t="s">
        <v>2298</v>
      </c>
      <c r="M2781" s="1628">
        <v>4.9036999999999997E-2</v>
      </c>
      <c r="N2781" s="1629">
        <v>1.8391843368226988</v>
      </c>
      <c r="O2781" s="1629"/>
    </row>
    <row r="2782" spans="11:15">
      <c r="K2782" s="1626">
        <v>44839</v>
      </c>
      <c r="L2782" s="1627" t="s">
        <v>2298</v>
      </c>
      <c r="M2782" s="1628">
        <v>4.9036999999999997E-2</v>
      </c>
      <c r="N2782" s="1629">
        <v>1.8400862176459467</v>
      </c>
      <c r="O2782" s="1629"/>
    </row>
    <row r="2783" spans="11:15">
      <c r="K2783" s="1626">
        <v>44840</v>
      </c>
      <c r="L2783" s="1627" t="s">
        <v>2298</v>
      </c>
      <c r="M2783" s="1628">
        <v>4.9036999999999997E-2</v>
      </c>
      <c r="N2783" s="1629">
        <v>1.8409885407244939</v>
      </c>
      <c r="O2783" s="1629"/>
    </row>
    <row r="2784" spans="11:15">
      <c r="K2784" s="1626">
        <v>44841</v>
      </c>
      <c r="L2784" s="1627" t="s">
        <v>2298</v>
      </c>
      <c r="M2784" s="1628">
        <v>4.9036999999999997E-2</v>
      </c>
      <c r="N2784" s="1629">
        <v>1.8418913062752091</v>
      </c>
      <c r="O2784" s="1629"/>
    </row>
    <row r="2785" spans="11:15">
      <c r="K2785" s="1626">
        <v>44842</v>
      </c>
      <c r="L2785" s="1627"/>
      <c r="M2785" s="1628">
        <v>0</v>
      </c>
      <c r="N2785" s="1629">
        <v>1.8418913062752091</v>
      </c>
      <c r="O2785" s="1629"/>
    </row>
    <row r="2786" spans="11:15">
      <c r="K2786" s="1626">
        <v>44843</v>
      </c>
      <c r="L2786" s="1627"/>
      <c r="M2786" s="1628">
        <v>0</v>
      </c>
      <c r="N2786" s="1629">
        <v>1.8418913062752091</v>
      </c>
      <c r="O2786" s="1629"/>
    </row>
    <row r="2787" spans="11:15">
      <c r="K2787" s="1626">
        <v>44844</v>
      </c>
      <c r="L2787" s="1627" t="s">
        <v>2298</v>
      </c>
      <c r="M2787" s="1628">
        <v>4.9036999999999997E-2</v>
      </c>
      <c r="N2787" s="1629">
        <v>1.8427945145150675</v>
      </c>
      <c r="O2787" s="1629"/>
    </row>
    <row r="2788" spans="11:15">
      <c r="K2788" s="1626">
        <v>44845</v>
      </c>
      <c r="L2788" s="1627" t="s">
        <v>2298</v>
      </c>
      <c r="M2788" s="1628">
        <v>4.9036999999999997E-2</v>
      </c>
      <c r="N2788" s="1629">
        <v>1.8436981656611504</v>
      </c>
      <c r="O2788" s="1629"/>
    </row>
    <row r="2789" spans="11:15">
      <c r="K2789" s="1626">
        <v>44846</v>
      </c>
      <c r="L2789" s="1627"/>
      <c r="M2789" s="1628">
        <v>0</v>
      </c>
      <c r="N2789" s="1629">
        <v>1.8436981656611504</v>
      </c>
      <c r="O2789" s="1629"/>
    </row>
    <row r="2790" spans="11:15">
      <c r="K2790" s="1626">
        <v>44847</v>
      </c>
      <c r="L2790" s="1627" t="s">
        <v>2298</v>
      </c>
      <c r="M2790" s="1628">
        <v>4.9036999999999997E-2</v>
      </c>
      <c r="N2790" s="1629">
        <v>1.8446022599306457</v>
      </c>
      <c r="O2790" s="1629"/>
    </row>
    <row r="2791" spans="11:15">
      <c r="K2791" s="1626">
        <v>44848</v>
      </c>
      <c r="L2791" s="1627" t="s">
        <v>2298</v>
      </c>
      <c r="M2791" s="1628">
        <v>4.9036999999999997E-2</v>
      </c>
      <c r="N2791" s="1629">
        <v>1.8455067975408481</v>
      </c>
      <c r="O2791" s="1629"/>
    </row>
    <row r="2792" spans="11:15">
      <c r="K2792" s="1626">
        <v>44849</v>
      </c>
      <c r="L2792" s="1627"/>
      <c r="M2792" s="1628">
        <v>0</v>
      </c>
      <c r="N2792" s="1629">
        <v>1.8455067975408481</v>
      </c>
      <c r="O2792" s="1629"/>
    </row>
    <row r="2793" spans="11:15">
      <c r="K2793" s="1626">
        <v>44850</v>
      </c>
      <c r="L2793" s="1627"/>
      <c r="M2793" s="1628">
        <v>0</v>
      </c>
      <c r="N2793" s="1629">
        <v>1.8455067975408481</v>
      </c>
      <c r="O2793" s="1629"/>
    </row>
    <row r="2794" spans="11:15">
      <c r="K2794" s="1626">
        <v>44851</v>
      </c>
      <c r="L2794" s="1627" t="s">
        <v>2298</v>
      </c>
      <c r="M2794" s="1628">
        <v>4.9036999999999997E-2</v>
      </c>
      <c r="N2794" s="1629">
        <v>1.8464117787091583</v>
      </c>
      <c r="O2794" s="1629"/>
    </row>
    <row r="2795" spans="11:15">
      <c r="K2795" s="1626">
        <v>44852</v>
      </c>
      <c r="L2795" s="1627" t="s">
        <v>2298</v>
      </c>
      <c r="M2795" s="1628">
        <v>4.9036999999999997E-2</v>
      </c>
      <c r="N2795" s="1629">
        <v>1.8473172036530841</v>
      </c>
      <c r="O2795" s="1629"/>
    </row>
    <row r="2796" spans="11:15">
      <c r="K2796" s="1626">
        <v>44853</v>
      </c>
      <c r="L2796" s="1627" t="s">
        <v>2298</v>
      </c>
      <c r="M2796" s="1628">
        <v>4.9036999999999997E-2</v>
      </c>
      <c r="N2796" s="1629">
        <v>1.8482230725902395</v>
      </c>
      <c r="O2796" s="1629"/>
    </row>
    <row r="2797" spans="11:15">
      <c r="K2797" s="1626">
        <v>44854</v>
      </c>
      <c r="L2797" s="1627" t="s">
        <v>2298</v>
      </c>
      <c r="M2797" s="1628">
        <v>4.9036999999999997E-2</v>
      </c>
      <c r="N2797" s="1629">
        <v>1.8491293857383457</v>
      </c>
      <c r="O2797" s="1629"/>
    </row>
    <row r="2798" spans="11:15">
      <c r="K2798" s="1626">
        <v>44855</v>
      </c>
      <c r="L2798" s="1627" t="s">
        <v>2298</v>
      </c>
      <c r="M2798" s="1628">
        <v>4.9036999999999997E-2</v>
      </c>
      <c r="N2798" s="1629">
        <v>1.8500361433152304</v>
      </c>
      <c r="O2798" s="1629"/>
    </row>
    <row r="2799" spans="11:15">
      <c r="K2799" s="1626">
        <v>44856</v>
      </c>
      <c r="L2799" s="1627"/>
      <c r="M2799" s="1628">
        <v>0</v>
      </c>
      <c r="N2799" s="1629">
        <v>1.8500361433152304</v>
      </c>
      <c r="O2799" s="1629"/>
    </row>
    <row r="2800" spans="11:15">
      <c r="K2800" s="1626">
        <v>44857</v>
      </c>
      <c r="L2800" s="1627"/>
      <c r="M2800" s="1628">
        <v>0</v>
      </c>
      <c r="N2800" s="1629">
        <v>1.8500361433152304</v>
      </c>
      <c r="O2800" s="1629"/>
    </row>
    <row r="2801" spans="11:15">
      <c r="K2801" s="1626">
        <v>44858</v>
      </c>
      <c r="L2801" s="1627" t="s">
        <v>2298</v>
      </c>
      <c r="M2801" s="1628">
        <v>4.9036999999999997E-2</v>
      </c>
      <c r="N2801" s="1629">
        <v>1.850943345538828</v>
      </c>
      <c r="O2801" s="1629"/>
    </row>
    <row r="2802" spans="11:15">
      <c r="K2802" s="1626">
        <v>44859</v>
      </c>
      <c r="L2802" s="1627" t="s">
        <v>2298</v>
      </c>
      <c r="M2802" s="1628">
        <v>4.9036999999999997E-2</v>
      </c>
      <c r="N2802" s="1629">
        <v>1.85185099262718</v>
      </c>
      <c r="O2802" s="1629"/>
    </row>
    <row r="2803" spans="11:15">
      <c r="K2803" s="1626">
        <v>44860</v>
      </c>
      <c r="L2803" s="1627" t="s">
        <v>2298</v>
      </c>
      <c r="M2803" s="1628">
        <v>4.9036999999999997E-2</v>
      </c>
      <c r="N2803" s="1629">
        <v>1.8527590847984348</v>
      </c>
      <c r="O2803" s="1629"/>
    </row>
    <row r="2804" spans="11:15">
      <c r="K2804" s="1626">
        <v>44861</v>
      </c>
      <c r="L2804" s="1627" t="s">
        <v>2298</v>
      </c>
      <c r="M2804" s="1628">
        <v>4.9036999999999997E-2</v>
      </c>
      <c r="N2804" s="1629">
        <v>1.8536676222708475</v>
      </c>
      <c r="O2804" s="1629"/>
    </row>
    <row r="2805" spans="11:15">
      <c r="K2805" s="1626">
        <v>44862</v>
      </c>
      <c r="L2805" s="1627" t="s">
        <v>2298</v>
      </c>
      <c r="M2805" s="1628">
        <v>4.9036999999999997E-2</v>
      </c>
      <c r="N2805" s="1629">
        <v>1.8545766052627806</v>
      </c>
      <c r="O2805" s="1629"/>
    </row>
    <row r="2806" spans="11:15">
      <c r="K2806" s="1626">
        <v>44863</v>
      </c>
      <c r="L2806" s="1627"/>
      <c r="M2806" s="1628">
        <v>0</v>
      </c>
      <c r="N2806" s="1629">
        <v>1.8545766052627806</v>
      </c>
      <c r="O2806" s="1629"/>
    </row>
    <row r="2807" spans="11:15">
      <c r="K2807" s="1626">
        <v>44864</v>
      </c>
      <c r="L2807" s="1627"/>
      <c r="M2807" s="1628">
        <v>0</v>
      </c>
      <c r="N2807" s="1629">
        <v>1.8545766052627806</v>
      </c>
      <c r="O2807" s="1629"/>
    </row>
    <row r="2808" spans="11:15">
      <c r="K2808" s="1626">
        <v>44865</v>
      </c>
      <c r="L2808" s="1627" t="s">
        <v>2298</v>
      </c>
      <c r="M2808" s="1628">
        <v>4.9036999999999997E-2</v>
      </c>
      <c r="N2808" s="1629">
        <v>1.8554860339927035</v>
      </c>
      <c r="O2808" s="1629"/>
    </row>
    <row r="2809" spans="11:15">
      <c r="K2809" s="1626">
        <v>44866</v>
      </c>
      <c r="L2809" s="1627" t="s">
        <v>2298</v>
      </c>
      <c r="M2809" s="1628">
        <v>4.9036999999999997E-2</v>
      </c>
      <c r="N2809" s="1629">
        <v>1.8563959086791926</v>
      </c>
      <c r="O2809" s="1629"/>
    </row>
    <row r="2810" spans="11:15">
      <c r="K2810" s="1626">
        <v>44867</v>
      </c>
      <c r="L2810" s="1627"/>
      <c r="M2810" s="1628">
        <v>0</v>
      </c>
      <c r="N2810" s="1629">
        <v>1.8563959086791926</v>
      </c>
      <c r="O2810" s="1629"/>
    </row>
    <row r="2811" spans="11:15">
      <c r="K2811" s="1626">
        <v>44868</v>
      </c>
      <c r="L2811" s="1627" t="s">
        <v>2298</v>
      </c>
      <c r="M2811" s="1628">
        <v>4.9036999999999997E-2</v>
      </c>
      <c r="N2811" s="1629">
        <v>1.8573062295409317</v>
      </c>
      <c r="O2811" s="1629"/>
    </row>
    <row r="2812" spans="11:15">
      <c r="K2812" s="1626">
        <v>44869</v>
      </c>
      <c r="L2812" s="1627" t="s">
        <v>2298</v>
      </c>
      <c r="M2812" s="1628">
        <v>4.9036999999999997E-2</v>
      </c>
      <c r="N2812" s="1629">
        <v>1.8582169967967119</v>
      </c>
      <c r="O2812" s="1629"/>
    </row>
    <row r="2813" spans="11:15">
      <c r="K2813" s="1626">
        <v>44870</v>
      </c>
      <c r="L2813" s="1627"/>
      <c r="M2813" s="1628">
        <v>0</v>
      </c>
      <c r="N2813" s="1629">
        <v>1.8582169967967119</v>
      </c>
      <c r="O2813" s="1629"/>
    </row>
    <row r="2814" spans="11:15">
      <c r="K2814" s="1626">
        <v>44871</v>
      </c>
      <c r="L2814" s="1627"/>
      <c r="M2814" s="1628">
        <v>0</v>
      </c>
      <c r="N2814" s="1629">
        <v>1.8582169967967119</v>
      </c>
      <c r="O2814" s="1629"/>
    </row>
    <row r="2815" spans="11:15">
      <c r="K2815" s="1626">
        <v>44872</v>
      </c>
      <c r="L2815" s="1627" t="s">
        <v>2298</v>
      </c>
      <c r="M2815" s="1628">
        <v>4.9036999999999997E-2</v>
      </c>
      <c r="N2815" s="1629">
        <v>1.8591282106654312</v>
      </c>
      <c r="O2815" s="1629"/>
    </row>
    <row r="2816" spans="11:15">
      <c r="K2816" s="1626">
        <v>44873</v>
      </c>
      <c r="L2816" s="1627" t="s">
        <v>2298</v>
      </c>
      <c r="M2816" s="1628">
        <v>4.9036999999999997E-2</v>
      </c>
      <c r="N2816" s="1629">
        <v>1.8600398713660953</v>
      </c>
      <c r="O2816" s="1629"/>
    </row>
    <row r="2817" spans="11:15">
      <c r="K2817" s="1626">
        <v>44874</v>
      </c>
      <c r="L2817" s="1627" t="s">
        <v>2298</v>
      </c>
      <c r="M2817" s="1628">
        <v>4.9036999999999997E-2</v>
      </c>
      <c r="N2817" s="1629">
        <v>1.8609519791178173</v>
      </c>
      <c r="O2817" s="1629"/>
    </row>
    <row r="2818" spans="11:15">
      <c r="K2818" s="1626">
        <v>44875</v>
      </c>
      <c r="L2818" s="1627" t="s">
        <v>2298</v>
      </c>
      <c r="M2818" s="1628">
        <v>4.9036999999999997E-2</v>
      </c>
      <c r="N2818" s="1629">
        <v>1.8618645341398175</v>
      </c>
      <c r="O2818" s="1629"/>
    </row>
    <row r="2819" spans="11:15">
      <c r="K2819" s="1626">
        <v>44876</v>
      </c>
      <c r="L2819" s="1627" t="s">
        <v>2298</v>
      </c>
      <c r="M2819" s="1628">
        <v>4.9036999999999997E-2</v>
      </c>
      <c r="N2819" s="1629">
        <v>1.8627775366514236</v>
      </c>
      <c r="O2819" s="1629"/>
    </row>
    <row r="2820" spans="11:15">
      <c r="K2820" s="1626">
        <v>44877</v>
      </c>
      <c r="L2820" s="1627"/>
      <c r="M2820" s="1628">
        <v>0</v>
      </c>
      <c r="N2820" s="1629">
        <v>1.8627775366514236</v>
      </c>
      <c r="O2820" s="1629"/>
    </row>
    <row r="2821" spans="11:15">
      <c r="K2821" s="1626">
        <v>44878</v>
      </c>
      <c r="L2821" s="1627"/>
      <c r="M2821" s="1628">
        <v>0</v>
      </c>
      <c r="N2821" s="1629">
        <v>1.8627775366514236</v>
      </c>
      <c r="O2821" s="1629"/>
    </row>
    <row r="2822" spans="11:15">
      <c r="K2822" s="1626">
        <v>44879</v>
      </c>
      <c r="L2822" s="1627" t="s">
        <v>2298</v>
      </c>
      <c r="M2822" s="1628">
        <v>4.9036999999999997E-2</v>
      </c>
      <c r="N2822" s="1629">
        <v>1.8636909868720715</v>
      </c>
      <c r="O2822" s="1629"/>
    </row>
    <row r="2823" spans="11:15">
      <c r="K2823" s="1626">
        <v>44880</v>
      </c>
      <c r="L2823" s="1627"/>
      <c r="M2823" s="1628">
        <v>0</v>
      </c>
      <c r="N2823" s="1629">
        <v>1.8636909868720715</v>
      </c>
      <c r="O2823" s="1629"/>
    </row>
    <row r="2824" spans="11:15">
      <c r="K2824" s="1626">
        <v>44881</v>
      </c>
      <c r="L2824" s="1627" t="s">
        <v>2298</v>
      </c>
      <c r="M2824" s="1628">
        <v>4.9036999999999997E-2</v>
      </c>
      <c r="N2824" s="1629">
        <v>1.8646048850213039</v>
      </c>
      <c r="O2824" s="1629"/>
    </row>
    <row r="2825" spans="11:15">
      <c r="K2825" s="1626">
        <v>44882</v>
      </c>
      <c r="L2825" s="1627" t="s">
        <v>2298</v>
      </c>
      <c r="M2825" s="1628">
        <v>4.9036999999999997E-2</v>
      </c>
      <c r="N2825" s="1629">
        <v>1.8655192313187721</v>
      </c>
      <c r="O2825" s="1629"/>
    </row>
    <row r="2826" spans="11:15">
      <c r="K2826" s="1626">
        <v>44883</v>
      </c>
      <c r="L2826" s="1627" t="s">
        <v>2298</v>
      </c>
      <c r="M2826" s="1628">
        <v>4.9036999999999997E-2</v>
      </c>
      <c r="N2826" s="1629">
        <v>1.866434025984234</v>
      </c>
      <c r="O2826" s="1629"/>
    </row>
    <row r="2827" spans="11:15">
      <c r="K2827" s="1626">
        <v>44884</v>
      </c>
      <c r="L2827" s="1627"/>
      <c r="M2827" s="1628">
        <v>0</v>
      </c>
      <c r="N2827" s="1629">
        <v>1.866434025984234</v>
      </c>
      <c r="O2827" s="1629"/>
    </row>
    <row r="2828" spans="11:15">
      <c r="K2828" s="1626">
        <v>44885</v>
      </c>
      <c r="L2828" s="1627"/>
      <c r="M2828" s="1628">
        <v>0</v>
      </c>
      <c r="N2828" s="1629">
        <v>1.866434025984234</v>
      </c>
      <c r="O2828" s="1629"/>
    </row>
    <row r="2829" spans="11:15">
      <c r="K2829" s="1626">
        <v>44886</v>
      </c>
      <c r="L2829" s="1627" t="s">
        <v>2298</v>
      </c>
      <c r="M2829" s="1628">
        <v>4.9036999999999997E-2</v>
      </c>
      <c r="N2829" s="1629">
        <v>1.867349269237556</v>
      </c>
      <c r="O2829" s="1629"/>
    </row>
    <row r="2830" spans="11:15">
      <c r="K2830" s="1626">
        <v>44887</v>
      </c>
      <c r="L2830" s="1627" t="s">
        <v>2298</v>
      </c>
      <c r="M2830" s="1628">
        <v>4.9036999999999997E-2</v>
      </c>
      <c r="N2830" s="1629">
        <v>1.8682649612987121</v>
      </c>
      <c r="O2830" s="1629"/>
    </row>
    <row r="2831" spans="11:15">
      <c r="K2831" s="1626">
        <v>44888</v>
      </c>
      <c r="L2831" s="1627" t="s">
        <v>2298</v>
      </c>
      <c r="M2831" s="1628">
        <v>4.9036999999999997E-2</v>
      </c>
      <c r="N2831" s="1629">
        <v>1.8691811023877842</v>
      </c>
      <c r="O2831" s="1629"/>
    </row>
    <row r="2832" spans="11:15">
      <c r="K2832" s="1626">
        <v>44889</v>
      </c>
      <c r="L2832" s="1627" t="s">
        <v>2298</v>
      </c>
      <c r="M2832" s="1628">
        <v>4.9036999999999997E-2</v>
      </c>
      <c r="N2832" s="1629">
        <v>1.8700976927249622</v>
      </c>
      <c r="O2832" s="1629"/>
    </row>
    <row r="2833" spans="11:15">
      <c r="K2833" s="1626">
        <v>44890</v>
      </c>
      <c r="L2833" s="1627" t="s">
        <v>2298</v>
      </c>
      <c r="M2833" s="1628">
        <v>4.9036999999999997E-2</v>
      </c>
      <c r="N2833" s="1629">
        <v>1.871014732530544</v>
      </c>
      <c r="O2833" s="1629"/>
    </row>
    <row r="2834" spans="11:15">
      <c r="K2834" s="1626">
        <v>44891</v>
      </c>
      <c r="L2834" s="1627"/>
      <c r="M2834" s="1628">
        <v>0</v>
      </c>
      <c r="N2834" s="1629">
        <v>1.871014732530544</v>
      </c>
      <c r="O2834" s="1629"/>
    </row>
    <row r="2835" spans="11:15">
      <c r="K2835" s="1626">
        <v>44892</v>
      </c>
      <c r="L2835" s="1627"/>
      <c r="M2835" s="1628">
        <v>0</v>
      </c>
      <c r="N2835" s="1629">
        <v>1.871014732530544</v>
      </c>
      <c r="O2835" s="1629"/>
    </row>
    <row r="2836" spans="11:15">
      <c r="K2836" s="1626">
        <v>44893</v>
      </c>
      <c r="L2836" s="1627" t="s">
        <v>2298</v>
      </c>
      <c r="M2836" s="1628">
        <v>4.9036999999999997E-2</v>
      </c>
      <c r="N2836" s="1629">
        <v>1.871932222024935</v>
      </c>
      <c r="O2836" s="1629"/>
    </row>
    <row r="2837" spans="11:15">
      <c r="K2837" s="1626">
        <v>44894</v>
      </c>
      <c r="L2837" s="1627" t="s">
        <v>2298</v>
      </c>
      <c r="M2837" s="1628">
        <v>4.9036999999999997E-2</v>
      </c>
      <c r="N2837" s="1629">
        <v>1.8728501614286495</v>
      </c>
      <c r="O2837" s="1629"/>
    </row>
    <row r="2838" spans="11:15">
      <c r="K2838" s="1626">
        <v>44895</v>
      </c>
      <c r="L2838" s="1627" t="s">
        <v>2298</v>
      </c>
      <c r="M2838" s="1628">
        <v>4.9036999999999997E-2</v>
      </c>
      <c r="N2838" s="1629">
        <v>1.8737685509623094</v>
      </c>
      <c r="O2838" s="1629"/>
    </row>
    <row r="2839" spans="11:15">
      <c r="K2839" s="1626">
        <v>44896</v>
      </c>
      <c r="L2839" s="1627" t="s">
        <v>2298</v>
      </c>
      <c r="M2839" s="1628">
        <v>4.9036999999999997E-2</v>
      </c>
      <c r="N2839" s="1629">
        <v>1.874687390846645</v>
      </c>
      <c r="O2839" s="1629"/>
    </row>
    <row r="2840" spans="11:15">
      <c r="K2840" s="1626">
        <v>44897</v>
      </c>
      <c r="L2840" s="1627" t="s">
        <v>2298</v>
      </c>
      <c r="M2840" s="1628">
        <v>4.9036999999999997E-2</v>
      </c>
      <c r="N2840" s="1629">
        <v>1.8756066813024947</v>
      </c>
      <c r="O2840" s="1629"/>
    </row>
    <row r="2841" spans="11:15">
      <c r="K2841" s="1626">
        <v>44898</v>
      </c>
      <c r="L2841" s="1627"/>
      <c r="M2841" s="1628">
        <v>0</v>
      </c>
      <c r="N2841" s="1629">
        <v>1.8756066813024947</v>
      </c>
      <c r="O2841" s="1629"/>
    </row>
    <row r="2842" spans="11:15">
      <c r="K2842" s="1626">
        <v>44899</v>
      </c>
      <c r="L2842" s="1627"/>
      <c r="M2842" s="1628">
        <v>0</v>
      </c>
      <c r="N2842" s="1629">
        <v>1.8756066813024947</v>
      </c>
      <c r="O2842" s="1629"/>
    </row>
    <row r="2843" spans="11:15">
      <c r="K2843" s="1626">
        <v>44900</v>
      </c>
      <c r="L2843" s="1627" t="s">
        <v>2298</v>
      </c>
      <c r="M2843" s="1628">
        <v>4.9036999999999997E-2</v>
      </c>
      <c r="N2843" s="1629">
        <v>1.8765264225508052</v>
      </c>
      <c r="O2843" s="1629"/>
    </row>
    <row r="2844" spans="11:15">
      <c r="K2844" s="1626">
        <v>44901</v>
      </c>
      <c r="L2844" s="1627" t="s">
        <v>2298</v>
      </c>
      <c r="M2844" s="1628">
        <v>4.9036999999999997E-2</v>
      </c>
      <c r="N2844" s="1629">
        <v>1.8774466148126314</v>
      </c>
      <c r="O2844" s="1629"/>
    </row>
    <row r="2845" spans="11:15">
      <c r="K2845" s="1626">
        <v>44902</v>
      </c>
      <c r="L2845" s="1627" t="s">
        <v>2298</v>
      </c>
      <c r="M2845" s="1628">
        <v>4.9036999999999997E-2</v>
      </c>
      <c r="N2845" s="1629">
        <v>1.8783672583091373</v>
      </c>
      <c r="O2845" s="1629"/>
    </row>
    <row r="2846" spans="11:15">
      <c r="K2846" s="1626">
        <v>44903</v>
      </c>
      <c r="L2846" s="1627" t="s">
        <v>2298</v>
      </c>
      <c r="M2846" s="1628">
        <v>4.9036999999999997E-2</v>
      </c>
      <c r="N2846" s="1629">
        <v>1.8792883532615945</v>
      </c>
      <c r="O2846" s="1629"/>
    </row>
    <row r="2847" spans="11:15">
      <c r="K2847" s="1626">
        <v>44904</v>
      </c>
      <c r="L2847" s="1627" t="s">
        <v>2298</v>
      </c>
      <c r="M2847" s="1628">
        <v>4.9036999999999997E-2</v>
      </c>
      <c r="N2847" s="1629">
        <v>1.8802098998913834</v>
      </c>
      <c r="O2847" s="1629"/>
    </row>
    <row r="2848" spans="11:15">
      <c r="K2848" s="1626">
        <v>44905</v>
      </c>
      <c r="L2848" s="1627"/>
      <c r="M2848" s="1628">
        <v>0</v>
      </c>
      <c r="N2848" s="1629">
        <v>1.8802098998913834</v>
      </c>
      <c r="O2848" s="1629"/>
    </row>
    <row r="2849" spans="11:15">
      <c r="K2849" s="1626">
        <v>44906</v>
      </c>
      <c r="L2849" s="1627"/>
      <c r="M2849" s="1628">
        <v>0</v>
      </c>
      <c r="N2849" s="1629">
        <v>1.8802098998913834</v>
      </c>
      <c r="O2849" s="1629"/>
    </row>
    <row r="2850" spans="11:15">
      <c r="K2850" s="1626">
        <v>44907</v>
      </c>
      <c r="L2850" s="1627" t="s">
        <v>2298</v>
      </c>
      <c r="M2850" s="1628">
        <v>4.9036999999999997E-2</v>
      </c>
      <c r="N2850" s="1629">
        <v>1.8811318984199934</v>
      </c>
      <c r="O2850" s="1629"/>
    </row>
    <row r="2851" spans="11:15">
      <c r="K2851" s="1626">
        <v>44908</v>
      </c>
      <c r="L2851" s="1627" t="s">
        <v>2298</v>
      </c>
      <c r="M2851" s="1628">
        <v>4.9036999999999997E-2</v>
      </c>
      <c r="N2851" s="1629">
        <v>1.8820543490690218</v>
      </c>
      <c r="O2851" s="1629"/>
    </row>
    <row r="2852" spans="11:15">
      <c r="K2852" s="1626">
        <v>44909</v>
      </c>
      <c r="L2852" s="1627" t="s">
        <v>2298</v>
      </c>
      <c r="M2852" s="1628">
        <v>4.9036999999999997E-2</v>
      </c>
      <c r="N2852" s="1629">
        <v>1.8829772520601749</v>
      </c>
      <c r="O2852" s="1629"/>
    </row>
    <row r="2853" spans="11:15">
      <c r="K2853" s="1626">
        <v>44910</v>
      </c>
      <c r="L2853" s="1627" t="s">
        <v>2298</v>
      </c>
      <c r="M2853" s="1628">
        <v>4.9036999999999997E-2</v>
      </c>
      <c r="N2853" s="1629">
        <v>1.8839006076152678</v>
      </c>
      <c r="O2853" s="1629"/>
    </row>
    <row r="2854" spans="11:15">
      <c r="K2854" s="1626">
        <v>44911</v>
      </c>
      <c r="L2854" s="1627" t="s">
        <v>2298</v>
      </c>
      <c r="M2854" s="1628">
        <v>4.9036999999999997E-2</v>
      </c>
      <c r="N2854" s="1629">
        <v>1.8848244159562242</v>
      </c>
      <c r="O2854" s="1629"/>
    </row>
    <row r="2855" spans="11:15">
      <c r="K2855" s="1626">
        <v>44912</v>
      </c>
      <c r="L2855" s="1627"/>
      <c r="M2855" s="1628">
        <v>0</v>
      </c>
      <c r="N2855" s="1629">
        <v>1.8848244159562242</v>
      </c>
      <c r="O2855" s="1629"/>
    </row>
    <row r="2856" spans="11:15">
      <c r="K2856" s="1626">
        <v>44913</v>
      </c>
      <c r="L2856" s="1627"/>
      <c r="M2856" s="1628">
        <v>0</v>
      </c>
      <c r="N2856" s="1629">
        <v>1.8848244159562242</v>
      </c>
      <c r="O2856" s="1629"/>
    </row>
    <row r="2857" spans="11:15">
      <c r="K2857" s="1626">
        <v>44914</v>
      </c>
      <c r="L2857" s="1627" t="s">
        <v>2298</v>
      </c>
      <c r="M2857" s="1628">
        <v>4.9036999999999997E-2</v>
      </c>
      <c r="N2857" s="1629">
        <v>1.8857486773050767</v>
      </c>
      <c r="O2857" s="1629"/>
    </row>
    <row r="2858" spans="11:15">
      <c r="K2858" s="1626">
        <v>44915</v>
      </c>
      <c r="L2858" s="1627" t="s">
        <v>2298</v>
      </c>
      <c r="M2858" s="1628">
        <v>4.9036999999999997E-2</v>
      </c>
      <c r="N2858" s="1629">
        <v>1.8866733918839669</v>
      </c>
      <c r="O2858" s="1629"/>
    </row>
    <row r="2859" spans="11:15">
      <c r="K2859" s="1626">
        <v>44916</v>
      </c>
      <c r="L2859" s="1627" t="s">
        <v>2298</v>
      </c>
      <c r="M2859" s="1628">
        <v>4.9036999999999997E-2</v>
      </c>
      <c r="N2859" s="1629">
        <v>1.8875985599151452</v>
      </c>
      <c r="O2859" s="1629"/>
    </row>
    <row r="2860" spans="11:15">
      <c r="K2860" s="1626">
        <v>44917</v>
      </c>
      <c r="L2860" s="1627" t="s">
        <v>2298</v>
      </c>
      <c r="M2860" s="1628">
        <v>4.9036999999999997E-2</v>
      </c>
      <c r="N2860" s="1629">
        <v>1.888524181620971</v>
      </c>
      <c r="O2860" s="1629"/>
    </row>
    <row r="2861" spans="11:15">
      <c r="K2861" s="1626">
        <v>44918</v>
      </c>
      <c r="L2861" s="1627" t="s">
        <v>2298</v>
      </c>
      <c r="M2861" s="1628">
        <v>4.9036999999999997E-2</v>
      </c>
      <c r="N2861" s="1629">
        <v>1.8894502572239127</v>
      </c>
      <c r="O2861" s="1629"/>
    </row>
    <row r="2862" spans="11:15">
      <c r="K2862" s="1626">
        <v>44919</v>
      </c>
      <c r="L2862" s="1627"/>
      <c r="M2862" s="1628">
        <v>0</v>
      </c>
      <c r="N2862" s="1629">
        <v>1.8894502572239127</v>
      </c>
      <c r="O2862" s="1629"/>
    </row>
    <row r="2863" spans="11:15">
      <c r="K2863" s="1626">
        <v>44920</v>
      </c>
      <c r="L2863" s="1627"/>
      <c r="M2863" s="1628">
        <v>0</v>
      </c>
      <c r="N2863" s="1629">
        <v>1.8894502572239127</v>
      </c>
      <c r="O2863" s="1629"/>
    </row>
    <row r="2864" spans="11:15">
      <c r="K2864" s="1626">
        <v>44921</v>
      </c>
      <c r="L2864" s="1627" t="s">
        <v>2298</v>
      </c>
      <c r="M2864" s="1628">
        <v>4.9036999999999997E-2</v>
      </c>
      <c r="N2864" s="1629">
        <v>1.8903767869465478</v>
      </c>
      <c r="O2864" s="1629"/>
    </row>
    <row r="2865" spans="11:15">
      <c r="K2865" s="1626">
        <v>44922</v>
      </c>
      <c r="L2865" s="1627" t="s">
        <v>2298</v>
      </c>
      <c r="M2865" s="1628">
        <v>4.9036999999999997E-2</v>
      </c>
      <c r="N2865" s="1629">
        <v>1.8913037710115628</v>
      </c>
      <c r="O2865" s="1629"/>
    </row>
    <row r="2866" spans="11:15">
      <c r="K2866" s="1626">
        <v>44923</v>
      </c>
      <c r="L2866" s="1627" t="s">
        <v>2298</v>
      </c>
      <c r="M2866" s="1628">
        <v>4.9036999999999997E-2</v>
      </c>
      <c r="N2866" s="1629">
        <v>1.892231209641754</v>
      </c>
      <c r="O2866" s="1629"/>
    </row>
    <row r="2867" spans="11:15">
      <c r="K2867" s="1626">
        <v>44924</v>
      </c>
      <c r="L2867" s="1627" t="s">
        <v>2298</v>
      </c>
      <c r="M2867" s="1628">
        <v>4.9036999999999997E-2</v>
      </c>
      <c r="N2867" s="1629">
        <v>1.8931591030600261</v>
      </c>
      <c r="O2867" s="1629"/>
    </row>
    <row r="2868" spans="11:15">
      <c r="K2868" s="1626">
        <v>44925</v>
      </c>
      <c r="L2868" s="1627" t="s">
        <v>2298</v>
      </c>
      <c r="M2868" s="1628">
        <v>4.9036999999999997E-2</v>
      </c>
      <c r="N2868" s="1629">
        <v>1.8940874514893937</v>
      </c>
      <c r="O2868" s="1629"/>
    </row>
    <row r="2869" spans="11:15">
      <c r="K2869" s="1626">
        <v>44926</v>
      </c>
      <c r="L2869" s="1627"/>
      <c r="M2869" s="1628">
        <v>0</v>
      </c>
      <c r="N2869" s="1629">
        <v>1.8940874514893937</v>
      </c>
      <c r="O2869" s="1629"/>
    </row>
    <row r="2870" spans="11:15">
      <c r="K2870" s="1626">
        <v>44927</v>
      </c>
      <c r="L2870" s="1627"/>
      <c r="M2870" s="1628">
        <v>0</v>
      </c>
      <c r="N2870" s="1629">
        <v>1.8940874514893937</v>
      </c>
      <c r="O2870" s="1629"/>
    </row>
    <row r="2871" spans="11:15">
      <c r="K2871" s="1626">
        <v>44928</v>
      </c>
      <c r="L2871" s="1627" t="s">
        <v>2298</v>
      </c>
      <c r="M2871" s="1628">
        <v>4.9036999999999997E-2</v>
      </c>
      <c r="N2871" s="1629">
        <v>1.8950162551529808</v>
      </c>
      <c r="O2871" s="1629"/>
    </row>
    <row r="2872" spans="11:15">
      <c r="K2872" s="1626">
        <v>44929</v>
      </c>
      <c r="L2872" s="1627" t="s">
        <v>2298</v>
      </c>
      <c r="M2872" s="1628">
        <v>4.9036999999999997E-2</v>
      </c>
      <c r="N2872" s="1629">
        <v>1.8959455142740202</v>
      </c>
      <c r="O2872" s="1629"/>
    </row>
    <row r="2873" spans="11:15">
      <c r="K2873" s="1626">
        <v>44930</v>
      </c>
      <c r="L2873" s="1627" t="s">
        <v>2298</v>
      </c>
      <c r="M2873" s="1628">
        <v>4.9036999999999997E-2</v>
      </c>
      <c r="N2873" s="1629">
        <v>1.896875229075855</v>
      </c>
      <c r="O2873" s="1629"/>
    </row>
    <row r="2874" spans="11:15">
      <c r="K2874" s="1626">
        <v>44931</v>
      </c>
      <c r="L2874" s="1627" t="s">
        <v>2298</v>
      </c>
      <c r="M2874" s="1628">
        <v>4.9036999999999997E-2</v>
      </c>
      <c r="N2874" s="1629">
        <v>1.8978053997819371</v>
      </c>
      <c r="O2874" s="1629"/>
    </row>
    <row r="2875" spans="11:15">
      <c r="K2875" s="1626">
        <v>44932</v>
      </c>
      <c r="L2875" s="1627" t="s">
        <v>2298</v>
      </c>
      <c r="M2875" s="1628">
        <v>4.9036999999999997E-2</v>
      </c>
      <c r="N2875" s="1629">
        <v>1.8987360266158282</v>
      </c>
      <c r="O2875" s="1629"/>
    </row>
    <row r="2876" spans="11:15">
      <c r="K2876" s="1626">
        <v>44933</v>
      </c>
      <c r="L2876" s="1627"/>
      <c r="M2876" s="1628">
        <v>0</v>
      </c>
      <c r="N2876" s="1629">
        <v>1.8987360266158282</v>
      </c>
      <c r="O2876" s="1629"/>
    </row>
    <row r="2877" spans="11:15">
      <c r="K2877" s="1626">
        <v>44934</v>
      </c>
      <c r="L2877" s="1627"/>
      <c r="M2877" s="1628">
        <v>0</v>
      </c>
      <c r="N2877" s="1629">
        <v>1.8987360266158282</v>
      </c>
      <c r="O2877" s="1629"/>
    </row>
    <row r="2878" spans="11:15">
      <c r="K2878" s="1626">
        <v>44935</v>
      </c>
      <c r="L2878" s="1627" t="s">
        <v>2298</v>
      </c>
      <c r="M2878" s="1628">
        <v>4.9036999999999997E-2</v>
      </c>
      <c r="N2878" s="1629">
        <v>1.8996671098011999</v>
      </c>
      <c r="O2878" s="1629"/>
    </row>
    <row r="2879" spans="11:15">
      <c r="K2879" s="1626">
        <v>44936</v>
      </c>
      <c r="L2879" s="1627" t="s">
        <v>2298</v>
      </c>
      <c r="M2879" s="1628">
        <v>4.9036999999999997E-2</v>
      </c>
      <c r="N2879" s="1629">
        <v>1.9005986495618332</v>
      </c>
      <c r="O2879" s="1629"/>
    </row>
    <row r="2880" spans="11:15">
      <c r="K2880" s="1626">
        <v>44937</v>
      </c>
      <c r="L2880" s="1627" t="s">
        <v>2298</v>
      </c>
      <c r="M2880" s="1628">
        <v>4.9036999999999997E-2</v>
      </c>
      <c r="N2880" s="1629">
        <v>1.901530646121619</v>
      </c>
      <c r="O2880" s="1629"/>
    </row>
    <row r="2881" spans="11:15">
      <c r="K2881" s="1626">
        <v>44938</v>
      </c>
      <c r="L2881" s="1627" t="s">
        <v>2298</v>
      </c>
      <c r="M2881" s="1628">
        <v>4.9036999999999997E-2</v>
      </c>
      <c r="N2881" s="1629">
        <v>1.9024630997045577</v>
      </c>
      <c r="O2881" s="1629"/>
    </row>
    <row r="2882" spans="11:15">
      <c r="K2882" s="1626">
        <v>44939</v>
      </c>
      <c r="L2882" s="1627" t="s">
        <v>2298</v>
      </c>
      <c r="M2882" s="1628">
        <v>4.9036999999999997E-2</v>
      </c>
      <c r="N2882" s="1629">
        <v>1.90339601053476</v>
      </c>
      <c r="O2882" s="1629"/>
    </row>
    <row r="2883" spans="11:15">
      <c r="K2883" s="1626">
        <v>44940</v>
      </c>
      <c r="L2883" s="1627"/>
      <c r="M2883" s="1628">
        <v>0</v>
      </c>
      <c r="N2883" s="1629">
        <v>1.90339601053476</v>
      </c>
      <c r="O2883" s="1629"/>
    </row>
    <row r="2884" spans="11:15">
      <c r="K2884" s="1626">
        <v>44941</v>
      </c>
      <c r="L2884" s="1627"/>
      <c r="M2884" s="1628">
        <v>0</v>
      </c>
      <c r="N2884" s="1629">
        <v>1.90339601053476</v>
      </c>
      <c r="O2884" s="1629"/>
    </row>
    <row r="2885" spans="11:15">
      <c r="K2885" s="1626">
        <v>44942</v>
      </c>
      <c r="L2885" s="1627" t="s">
        <v>2298</v>
      </c>
      <c r="M2885" s="1628">
        <v>4.9036999999999997E-2</v>
      </c>
      <c r="N2885" s="1629">
        <v>1.9043293788364462</v>
      </c>
      <c r="O2885" s="1629"/>
    </row>
    <row r="2886" spans="11:15">
      <c r="K2886" s="1626">
        <v>44943</v>
      </c>
      <c r="L2886" s="1627" t="s">
        <v>2298</v>
      </c>
      <c r="M2886" s="1628">
        <v>4.9036999999999997E-2</v>
      </c>
      <c r="N2886" s="1629">
        <v>1.9052632048339464</v>
      </c>
      <c r="O2886" s="1629"/>
    </row>
    <row r="2887" spans="11:15">
      <c r="K2887" s="1626">
        <v>44944</v>
      </c>
      <c r="L2887" s="1627" t="s">
        <v>2298</v>
      </c>
      <c r="M2887" s="1628">
        <v>4.9036999999999997E-2</v>
      </c>
      <c r="N2887" s="1629">
        <v>1.906197488751701</v>
      </c>
      <c r="O2887" s="1629"/>
    </row>
    <row r="2888" spans="11:15">
      <c r="K2888" s="1626">
        <v>44945</v>
      </c>
      <c r="L2888" s="1627" t="s">
        <v>2298</v>
      </c>
      <c r="M2888" s="1628">
        <v>4.9036999999999997E-2</v>
      </c>
      <c r="N2888" s="1629">
        <v>1.9071322308142604</v>
      </c>
      <c r="O2888" s="1629"/>
    </row>
    <row r="2889" spans="11:15">
      <c r="K2889" s="1626">
        <v>44946</v>
      </c>
      <c r="L2889" s="1627" t="s">
        <v>2298</v>
      </c>
      <c r="M2889" s="1628">
        <v>4.9036999999999997E-2</v>
      </c>
      <c r="N2889" s="1629">
        <v>1.9080674312462849</v>
      </c>
      <c r="O2889" s="1629"/>
    </row>
    <row r="2890" spans="11:15">
      <c r="K2890" s="1626">
        <v>44947</v>
      </c>
      <c r="L2890" s="1627"/>
      <c r="M2890" s="1628">
        <v>0</v>
      </c>
      <c r="N2890" s="1629">
        <v>1.9080674312462849</v>
      </c>
      <c r="O2890" s="1629"/>
    </row>
    <row r="2891" spans="11:15">
      <c r="K2891" s="1626">
        <v>44948</v>
      </c>
      <c r="L2891" s="1627"/>
      <c r="M2891" s="1628">
        <v>0</v>
      </c>
      <c r="N2891" s="1629">
        <v>1.9080674312462849</v>
      </c>
      <c r="O2891" s="1629"/>
    </row>
    <row r="2892" spans="11:15">
      <c r="K2892" s="1626">
        <v>44949</v>
      </c>
      <c r="L2892" s="1627" t="s">
        <v>2298</v>
      </c>
      <c r="M2892" s="1628">
        <v>4.9036999999999997E-2</v>
      </c>
      <c r="N2892" s="1629">
        <v>1.9090030902725452</v>
      </c>
      <c r="O2892" s="1629"/>
    </row>
    <row r="2893" spans="11:15">
      <c r="K2893" s="1626">
        <v>44950</v>
      </c>
      <c r="L2893" s="1627" t="s">
        <v>2298</v>
      </c>
      <c r="M2893" s="1628">
        <v>4.9036999999999997E-2</v>
      </c>
      <c r="N2893" s="1629">
        <v>1.9099392081179223</v>
      </c>
      <c r="O2893" s="1629"/>
    </row>
    <row r="2894" spans="11:15">
      <c r="K2894" s="1626">
        <v>44951</v>
      </c>
      <c r="L2894" s="1627" t="s">
        <v>2298</v>
      </c>
      <c r="M2894" s="1628">
        <v>4.9036999999999997E-2</v>
      </c>
      <c r="N2894" s="1629">
        <v>1.9108757850074072</v>
      </c>
      <c r="O2894" s="1629"/>
    </row>
    <row r="2895" spans="11:15">
      <c r="K2895" s="1626">
        <v>44952</v>
      </c>
      <c r="L2895" s="1627" t="s">
        <v>2298</v>
      </c>
      <c r="M2895" s="1628">
        <v>4.9036999999999997E-2</v>
      </c>
      <c r="N2895" s="1629">
        <v>1.9118128211661014</v>
      </c>
      <c r="O2895" s="1629"/>
    </row>
    <row r="2896" spans="11:15">
      <c r="K2896" s="1626">
        <v>44953</v>
      </c>
      <c r="L2896" s="1627" t="s">
        <v>2298</v>
      </c>
      <c r="M2896" s="1628">
        <v>4.9036999999999997E-2</v>
      </c>
      <c r="N2896" s="1629">
        <v>1.9127503168192168</v>
      </c>
      <c r="O2896" s="1629"/>
    </row>
    <row r="2897" spans="11:15">
      <c r="K2897" s="1626">
        <v>44954</v>
      </c>
      <c r="L2897" s="1627"/>
      <c r="M2897" s="1628">
        <v>0</v>
      </c>
      <c r="N2897" s="1629">
        <v>1.9127503168192168</v>
      </c>
      <c r="O2897" s="1629"/>
    </row>
    <row r="2898" spans="11:15">
      <c r="K2898" s="1626">
        <v>44955</v>
      </c>
      <c r="L2898" s="1627"/>
      <c r="M2898" s="1628">
        <v>0</v>
      </c>
      <c r="N2898" s="1629">
        <v>1.9127503168192168</v>
      </c>
      <c r="O2898" s="1629"/>
    </row>
    <row r="2899" spans="11:15">
      <c r="K2899" s="1626">
        <v>44956</v>
      </c>
      <c r="L2899" s="1627" t="s">
        <v>2298</v>
      </c>
      <c r="M2899" s="1628">
        <v>4.9036999999999997E-2</v>
      </c>
      <c r="N2899" s="1629">
        <v>1.9136882721920756</v>
      </c>
      <c r="O2899" s="1629"/>
    </row>
    <row r="2900" spans="11:15">
      <c r="K2900" s="1626">
        <v>44957</v>
      </c>
      <c r="L2900" s="1627" t="s">
        <v>2298</v>
      </c>
      <c r="M2900" s="1628">
        <v>4.9036999999999997E-2</v>
      </c>
      <c r="N2900" s="1629">
        <v>1.9146266875101106</v>
      </c>
      <c r="O2900" s="1629"/>
    </row>
    <row r="2901" spans="11:15">
      <c r="K2901" s="1626">
        <v>44958</v>
      </c>
      <c r="L2901" s="1627" t="s">
        <v>2298</v>
      </c>
      <c r="M2901" s="1628">
        <v>4.9036999999999997E-2</v>
      </c>
      <c r="N2901" s="1629">
        <v>1.915565562998865</v>
      </c>
      <c r="O2901" s="1629"/>
    </row>
    <row r="2902" spans="11:15">
      <c r="K2902" s="1626">
        <v>44959</v>
      </c>
      <c r="L2902" s="1627" t="s">
        <v>2298</v>
      </c>
      <c r="M2902" s="1628">
        <v>4.9036999999999997E-2</v>
      </c>
      <c r="N2902" s="1629">
        <v>1.916504898883993</v>
      </c>
      <c r="O2902" s="1629"/>
    </row>
    <row r="2903" spans="11:15">
      <c r="K2903" s="1626">
        <v>44960</v>
      </c>
      <c r="L2903" s="1627" t="s">
        <v>2298</v>
      </c>
      <c r="M2903" s="1628">
        <v>4.9036999999999997E-2</v>
      </c>
      <c r="N2903" s="1629">
        <v>1.9174446953912589</v>
      </c>
      <c r="O2903" s="1629"/>
    </row>
    <row r="2904" spans="11:15">
      <c r="K2904" s="1626">
        <v>44961</v>
      </c>
      <c r="L2904" s="1627"/>
      <c r="M2904" s="1628">
        <v>0</v>
      </c>
      <c r="N2904" s="1629">
        <v>1.9174446953912589</v>
      </c>
      <c r="O2904" s="1629"/>
    </row>
    <row r="2905" spans="11:15">
      <c r="K2905" s="1626">
        <v>44962</v>
      </c>
      <c r="L2905" s="1627"/>
      <c r="M2905" s="1628">
        <v>0</v>
      </c>
      <c r="N2905" s="1629">
        <v>1.9174446953912589</v>
      </c>
      <c r="O2905" s="1629"/>
    </row>
    <row r="2906" spans="11:15">
      <c r="K2906" s="1626">
        <v>44963</v>
      </c>
      <c r="L2906" s="1627" t="s">
        <v>2298</v>
      </c>
      <c r="M2906" s="1628">
        <v>4.9036999999999997E-2</v>
      </c>
      <c r="N2906" s="1629">
        <v>1.9183849527465382</v>
      </c>
      <c r="O2906" s="1629"/>
    </row>
    <row r="2907" spans="11:15">
      <c r="K2907" s="1626">
        <v>44964</v>
      </c>
      <c r="L2907" s="1627" t="s">
        <v>2298</v>
      </c>
      <c r="M2907" s="1628">
        <v>4.9036999999999997E-2</v>
      </c>
      <c r="N2907" s="1629">
        <v>1.9193256711758166</v>
      </c>
      <c r="O2907" s="1629"/>
    </row>
    <row r="2908" spans="11:15">
      <c r="K2908" s="1626">
        <v>44965</v>
      </c>
      <c r="L2908" s="1627" t="s">
        <v>2298</v>
      </c>
      <c r="M2908" s="1628">
        <v>4.9036999999999997E-2</v>
      </c>
      <c r="N2908" s="1629">
        <v>1.9202668509051912</v>
      </c>
      <c r="O2908" s="1629"/>
    </row>
    <row r="2909" spans="11:15">
      <c r="K2909" s="1626">
        <v>44966</v>
      </c>
      <c r="L2909" s="1627" t="s">
        <v>2298</v>
      </c>
      <c r="M2909" s="1628">
        <v>4.9036999999999997E-2</v>
      </c>
      <c r="N2909" s="1629">
        <v>1.9212084921608696</v>
      </c>
      <c r="O2909" s="1629"/>
    </row>
    <row r="2910" spans="11:15">
      <c r="K2910" s="1626">
        <v>44967</v>
      </c>
      <c r="L2910" s="1627" t="s">
        <v>2298</v>
      </c>
      <c r="M2910" s="1628">
        <v>4.9036999999999997E-2</v>
      </c>
      <c r="N2910" s="1629">
        <v>1.9221505951691706</v>
      </c>
      <c r="O2910" s="1629"/>
    </row>
    <row r="2911" spans="11:15">
      <c r="K2911" s="1626">
        <v>44968</v>
      </c>
      <c r="L2911" s="1627"/>
      <c r="M2911" s="1628">
        <v>0</v>
      </c>
      <c r="N2911" s="1629">
        <v>1.9221505951691706</v>
      </c>
      <c r="O2911" s="1629"/>
    </row>
    <row r="2912" spans="11:15">
      <c r="K2912" s="1626">
        <v>44969</v>
      </c>
      <c r="L2912" s="1627"/>
      <c r="M2912" s="1628">
        <v>0</v>
      </c>
      <c r="N2912" s="1629">
        <v>1.9221505951691706</v>
      </c>
      <c r="O2912" s="1629"/>
    </row>
    <row r="2913" spans="11:15">
      <c r="K2913" s="1626">
        <v>44970</v>
      </c>
      <c r="L2913" s="1627" t="s">
        <v>2298</v>
      </c>
      <c r="M2913" s="1628">
        <v>4.9036999999999997E-2</v>
      </c>
      <c r="N2913" s="1629">
        <v>1.923093160156524</v>
      </c>
      <c r="O2913" s="1629"/>
    </row>
    <row r="2914" spans="11:15">
      <c r="K2914" s="1626">
        <v>44971</v>
      </c>
      <c r="L2914" s="1627" t="s">
        <v>2298</v>
      </c>
      <c r="M2914" s="1628">
        <v>4.9036999999999997E-2</v>
      </c>
      <c r="N2914" s="1629">
        <v>1.92403618734947</v>
      </c>
      <c r="O2914" s="1629"/>
    </row>
    <row r="2915" spans="11:15">
      <c r="K2915" s="1626">
        <v>44972</v>
      </c>
      <c r="L2915" s="1627" t="s">
        <v>2298</v>
      </c>
      <c r="M2915" s="1628">
        <v>4.9036999999999997E-2</v>
      </c>
      <c r="N2915" s="1629">
        <v>1.9249796769746608</v>
      </c>
      <c r="O2915" s="1629"/>
    </row>
    <row r="2916" spans="11:15">
      <c r="K2916" s="1626">
        <v>44973</v>
      </c>
      <c r="L2916" s="1627" t="s">
        <v>2298</v>
      </c>
      <c r="M2916" s="1628">
        <v>4.9036999999999997E-2</v>
      </c>
      <c r="N2916" s="1629">
        <v>1.9259236292588591</v>
      </c>
      <c r="O2916" s="1629"/>
    </row>
    <row r="2917" spans="11:15">
      <c r="K2917" s="1626">
        <v>44974</v>
      </c>
      <c r="L2917" s="1627" t="s">
        <v>2298</v>
      </c>
      <c r="M2917" s="1628">
        <v>4.9036999999999997E-2</v>
      </c>
      <c r="N2917" s="1629">
        <v>1.9268680444289388</v>
      </c>
      <c r="O2917" s="1629"/>
    </row>
    <row r="2918" spans="11:15">
      <c r="K2918" s="1626">
        <v>44975</v>
      </c>
      <c r="L2918" s="1627"/>
      <c r="M2918" s="1628">
        <v>0</v>
      </c>
      <c r="N2918" s="1629">
        <v>1.9268680444289388</v>
      </c>
      <c r="O2918" s="1629"/>
    </row>
    <row r="2919" spans="11:15">
      <c r="K2919" s="1626">
        <v>44976</v>
      </c>
      <c r="L2919" s="1627"/>
      <c r="M2919" s="1628">
        <v>0</v>
      </c>
      <c r="N2919" s="1629">
        <v>1.9268680444289388</v>
      </c>
      <c r="O2919" s="1629"/>
    </row>
    <row r="2920" spans="11:15">
      <c r="K2920" s="1626">
        <v>44977</v>
      </c>
      <c r="L2920" s="1627"/>
      <c r="M2920" s="1628">
        <v>0</v>
      </c>
      <c r="N2920" s="1629">
        <v>1.9268680444289388</v>
      </c>
      <c r="O2920" s="1629"/>
    </row>
    <row r="2921" spans="11:15">
      <c r="K2921" s="1626">
        <v>44978</v>
      </c>
      <c r="L2921" s="1627"/>
      <c r="M2921" s="1628">
        <v>0</v>
      </c>
      <c r="N2921" s="1629">
        <v>1.9268680444289388</v>
      </c>
      <c r="O2921" s="1629"/>
    </row>
    <row r="2922" spans="11:15">
      <c r="K2922" s="1626">
        <v>44979</v>
      </c>
      <c r="L2922" s="1627" t="s">
        <v>2298</v>
      </c>
      <c r="M2922" s="1628">
        <v>4.9036999999999997E-2</v>
      </c>
      <c r="N2922" s="1629">
        <v>1.9278129227118856</v>
      </c>
      <c r="O2922" s="1629"/>
    </row>
    <row r="2923" spans="11:15">
      <c r="K2923" s="1626">
        <v>44980</v>
      </c>
      <c r="L2923" s="1627" t="s">
        <v>2298</v>
      </c>
      <c r="M2923" s="1628">
        <v>4.9036999999999997E-2</v>
      </c>
      <c r="N2923" s="1629">
        <v>1.928758264334796</v>
      </c>
      <c r="O2923" s="1629"/>
    </row>
    <row r="2924" spans="11:15">
      <c r="K2924" s="1626">
        <v>44981</v>
      </c>
      <c r="L2924" s="1627" t="s">
        <v>2298</v>
      </c>
      <c r="M2924" s="1628">
        <v>4.9036999999999997E-2</v>
      </c>
      <c r="N2924" s="1629">
        <v>1.9297040695248779</v>
      </c>
      <c r="O2924" s="1629"/>
    </row>
    <row r="2925" spans="11:15">
      <c r="K2925" s="1626">
        <v>44982</v>
      </c>
      <c r="L2925" s="1627"/>
      <c r="M2925" s="1628">
        <v>0</v>
      </c>
      <c r="N2925" s="1629">
        <v>1.9297040695248779</v>
      </c>
      <c r="O2925" s="1629"/>
    </row>
    <row r="2926" spans="11:15">
      <c r="K2926" s="1626">
        <v>44983</v>
      </c>
      <c r="L2926" s="1627"/>
      <c r="M2926" s="1628">
        <v>0</v>
      </c>
      <c r="N2926" s="1629">
        <v>1.9297040695248779</v>
      </c>
      <c r="O2926" s="1629"/>
    </row>
    <row r="2927" spans="11:15">
      <c r="K2927" s="1626">
        <v>44984</v>
      </c>
      <c r="L2927" s="1627" t="s">
        <v>2298</v>
      </c>
      <c r="M2927" s="1628">
        <v>4.9036999999999997E-2</v>
      </c>
      <c r="N2927" s="1629">
        <v>1.9306503385094509</v>
      </c>
      <c r="O2927" s="1629"/>
    </row>
    <row r="2928" spans="11:15">
      <c r="K2928" s="1626">
        <v>44985</v>
      </c>
      <c r="L2928" s="1627" t="s">
        <v>2298</v>
      </c>
      <c r="M2928" s="1628">
        <v>4.9036999999999997E-2</v>
      </c>
      <c r="N2928" s="1629">
        <v>1.9315970715159458</v>
      </c>
      <c r="O2928" s="1629"/>
    </row>
    <row r="2929" spans="11:15">
      <c r="K2929" s="1626">
        <v>44986</v>
      </c>
      <c r="L2929" s="1627" t="s">
        <v>2298</v>
      </c>
      <c r="M2929" s="1628">
        <v>4.9036999999999997E-2</v>
      </c>
      <c r="N2929" s="1629">
        <v>1.9325442687719052</v>
      </c>
      <c r="O2929" s="1629"/>
    </row>
    <row r="2930" spans="11:15">
      <c r="K2930" s="1626">
        <v>44987</v>
      </c>
      <c r="L2930" s="1630" t="s">
        <v>2298</v>
      </c>
      <c r="M2930" s="910">
        <v>4.9036999999999997E-2</v>
      </c>
      <c r="N2930" s="1630">
        <v>1.9334919305049831</v>
      </c>
      <c r="O2930" s="1630"/>
    </row>
    <row r="2931" spans="11:15">
      <c r="K2931" s="1626">
        <v>44988</v>
      </c>
      <c r="L2931" s="1630" t="s">
        <v>2298</v>
      </c>
      <c r="M2931" s="910">
        <v>4.9036999999999997E-2</v>
      </c>
      <c r="N2931" s="1630">
        <v>1.934440056942945</v>
      </c>
      <c r="O2931" s="1630"/>
    </row>
    <row r="2932" spans="11:15">
      <c r="K2932" s="1626">
        <v>44989</v>
      </c>
      <c r="L2932" s="1630"/>
      <c r="M2932" s="910">
        <v>0</v>
      </c>
      <c r="N2932" s="1630">
        <v>1.934440056942945</v>
      </c>
      <c r="O2932" s="1630"/>
    </row>
    <row r="2933" spans="11:15">
      <c r="K2933" s="1626">
        <v>44990</v>
      </c>
      <c r="L2933" s="1630"/>
      <c r="M2933" s="910">
        <v>0</v>
      </c>
      <c r="N2933" s="1630">
        <v>1.934440056942945</v>
      </c>
      <c r="O2933" s="1630"/>
    </row>
    <row r="2934" spans="11:15">
      <c r="K2934" s="1626">
        <v>44991</v>
      </c>
      <c r="L2934" s="1630" t="s">
        <v>2298</v>
      </c>
      <c r="M2934" s="910">
        <v>4.9036999999999997E-2</v>
      </c>
      <c r="N2934" s="1630">
        <v>1.9353886483136682</v>
      </c>
      <c r="O2934" s="1630"/>
    </row>
    <row r="2935" spans="11:15">
      <c r="K2935" s="1626">
        <v>44992</v>
      </c>
      <c r="L2935" s="1630" t="s">
        <v>2298</v>
      </c>
      <c r="M2935" s="910">
        <v>4.9036999999999997E-2</v>
      </c>
      <c r="N2935" s="1630">
        <v>1.936337704845142</v>
      </c>
      <c r="O2935" s="1630"/>
    </row>
    <row r="2936" spans="11:15">
      <c r="K2936" s="1626">
        <v>44993</v>
      </c>
      <c r="L2936" s="1630" t="s">
        <v>2298</v>
      </c>
      <c r="M2936" s="910">
        <v>4.9036999999999997E-2</v>
      </c>
      <c r="N2936" s="1630">
        <v>1.9372872267654671</v>
      </c>
      <c r="O2936" s="1630"/>
    </row>
    <row r="2937" spans="11:15">
      <c r="K2937" s="1626">
        <v>44994</v>
      </c>
      <c r="L2937" s="1630" t="s">
        <v>2298</v>
      </c>
      <c r="M2937" s="910">
        <v>4.9036999999999997E-2</v>
      </c>
      <c r="N2937" s="1630">
        <v>1.9382372143028561</v>
      </c>
      <c r="O2937" s="1630"/>
    </row>
    <row r="2938" spans="11:15">
      <c r="K2938" s="1626">
        <v>44995</v>
      </c>
      <c r="L2938" s="1630" t="s">
        <v>2298</v>
      </c>
      <c r="M2938" s="910">
        <v>4.9036999999999997E-2</v>
      </c>
      <c r="N2938" s="1630">
        <v>1.9391876676856339</v>
      </c>
      <c r="O2938" s="1630"/>
    </row>
    <row r="2939" spans="11:15">
      <c r="K2939" s="1626">
        <v>44996</v>
      </c>
      <c r="L2939" s="1630"/>
      <c r="M2939" s="910">
        <v>0</v>
      </c>
      <c r="N2939" s="1630">
        <v>1.9391876676856339</v>
      </c>
      <c r="O2939" s="1630"/>
    </row>
    <row r="2940" spans="11:15">
      <c r="K2940" s="1626">
        <v>44997</v>
      </c>
      <c r="L2940" s="1630"/>
      <c r="M2940" s="910">
        <v>0</v>
      </c>
      <c r="N2940" s="1630">
        <v>1.9391876676856339</v>
      </c>
      <c r="O2940" s="1630"/>
    </row>
    <row r="2941" spans="11:15">
      <c r="K2941" s="1626">
        <v>44998</v>
      </c>
      <c r="L2941" s="1630" t="s">
        <v>2298</v>
      </c>
      <c r="M2941" s="910">
        <v>4.9036999999999997E-2</v>
      </c>
      <c r="N2941" s="1630">
        <v>1.940138587142237</v>
      </c>
      <c r="O2941" s="1630"/>
    </row>
    <row r="2942" spans="11:15">
      <c r="K2942" s="1626">
        <v>44999</v>
      </c>
      <c r="L2942" s="1630" t="s">
        <v>2298</v>
      </c>
      <c r="M2942" s="910">
        <v>4.9036999999999997E-2</v>
      </c>
      <c r="N2942" s="1630">
        <v>1.9410899729012141</v>
      </c>
      <c r="O2942" s="1630"/>
    </row>
    <row r="2943" spans="11:15">
      <c r="K2943" s="1626">
        <v>45000</v>
      </c>
      <c r="L2943" s="1630" t="s">
        <v>2298</v>
      </c>
      <c r="M2943" s="910">
        <v>4.9036999999999997E-2</v>
      </c>
      <c r="N2943" s="1630">
        <v>1.9420418251912257</v>
      </c>
      <c r="O2943" s="1630"/>
    </row>
    <row r="2944" spans="11:15">
      <c r="K2944" s="1626">
        <v>45001</v>
      </c>
      <c r="L2944" s="1630" t="s">
        <v>2298</v>
      </c>
      <c r="M2944" s="910">
        <v>4.9036999999999997E-2</v>
      </c>
      <c r="N2944" s="1630">
        <v>1.9429941442410448</v>
      </c>
      <c r="O2944" s="1630"/>
    </row>
    <row r="2945" spans="11:15">
      <c r="K2945" s="1626">
        <v>45002</v>
      </c>
      <c r="L2945" s="1630" t="s">
        <v>2298</v>
      </c>
      <c r="M2945" s="910">
        <v>4.9036999999999997E-2</v>
      </c>
      <c r="N2945" s="1630">
        <v>1.9439469302795565</v>
      </c>
      <c r="O2945" s="1630"/>
    </row>
    <row r="2946" spans="11:15">
      <c r="K2946" s="1626">
        <v>45003</v>
      </c>
      <c r="L2946" s="1630"/>
      <c r="M2946" s="910">
        <v>0</v>
      </c>
      <c r="N2946" s="1630">
        <v>1.9439469302795565</v>
      </c>
      <c r="O2946" s="1630"/>
    </row>
    <row r="2947" spans="11:15">
      <c r="K2947" s="1626">
        <v>45004</v>
      </c>
      <c r="L2947" s="1630"/>
      <c r="M2947" s="910">
        <v>0</v>
      </c>
      <c r="N2947" s="1630">
        <v>1.9439469302795565</v>
      </c>
      <c r="O2947" s="1630"/>
    </row>
    <row r="2948" spans="11:15">
      <c r="K2948" s="1626">
        <v>45005</v>
      </c>
      <c r="L2948" s="1630" t="s">
        <v>2298</v>
      </c>
      <c r="M2948" s="910">
        <v>4.9036999999999997E-2</v>
      </c>
      <c r="N2948" s="1630">
        <v>1.9449001835357578</v>
      </c>
      <c r="O2948" s="1630"/>
    </row>
    <row r="2949" spans="11:15">
      <c r="K2949" s="1626">
        <v>45006</v>
      </c>
      <c r="L2949" s="1630" t="s">
        <v>2298</v>
      </c>
      <c r="M2949" s="910">
        <v>4.9036999999999997E-2</v>
      </c>
      <c r="N2949" s="1630">
        <v>1.9458539042387584</v>
      </c>
      <c r="O2949" s="1630"/>
    </row>
    <row r="2950" spans="11:15">
      <c r="K2950" s="1626">
        <v>45007</v>
      </c>
      <c r="L2950" s="1630" t="s">
        <v>2298</v>
      </c>
      <c r="M2950" s="910">
        <v>4.9036999999999997E-2</v>
      </c>
      <c r="N2950" s="1630">
        <v>1.94680809261778</v>
      </c>
      <c r="O2950" s="1630"/>
    </row>
    <row r="2951" spans="11:15">
      <c r="K2951" s="1626">
        <v>45008</v>
      </c>
      <c r="L2951" s="1630" t="s">
        <v>2298</v>
      </c>
      <c r="M2951" s="910">
        <v>4.9036999999999997E-2</v>
      </c>
      <c r="N2951" s="1630">
        <v>1.9477627489021572</v>
      </c>
      <c r="O2951" s="1630"/>
    </row>
    <row r="2952" spans="11:15">
      <c r="K2952" s="1626">
        <v>45009</v>
      </c>
      <c r="L2952" s="1630" t="s">
        <v>2298</v>
      </c>
      <c r="M2952" s="910">
        <v>4.9036999999999997E-2</v>
      </c>
      <c r="N2952" s="1630">
        <v>1.9487178733213364</v>
      </c>
      <c r="O2952" s="1630"/>
    </row>
    <row r="2953" spans="11:15">
      <c r="K2953" s="1626">
        <v>45010</v>
      </c>
      <c r="L2953" s="1630"/>
      <c r="M2953" s="910">
        <v>0</v>
      </c>
      <c r="N2953" s="1630">
        <v>1.9487178733213364</v>
      </c>
      <c r="O2953" s="1630"/>
    </row>
    <row r="2954" spans="11:15">
      <c r="K2954" s="1626">
        <v>45011</v>
      </c>
      <c r="L2954" s="1630"/>
      <c r="M2954" s="910">
        <v>0</v>
      </c>
      <c r="N2954" s="1630">
        <v>1.9487178733213364</v>
      </c>
      <c r="O2954" s="1630"/>
    </row>
    <row r="2955" spans="11:15">
      <c r="K2955" s="1626">
        <v>45012</v>
      </c>
      <c r="L2955" s="1630" t="s">
        <v>2298</v>
      </c>
      <c r="M2955" s="910">
        <v>4.9036999999999997E-2</v>
      </c>
      <c r="N2955" s="1630">
        <v>1.9496734661048771</v>
      </c>
      <c r="O2955" s="1630"/>
    </row>
    <row r="2956" spans="11:15">
      <c r="K2956" s="1626">
        <v>45013</v>
      </c>
      <c r="L2956" s="1630" t="s">
        <v>2298</v>
      </c>
      <c r="M2956" s="910">
        <v>4.9036999999999997E-2</v>
      </c>
      <c r="N2956" s="1630">
        <v>1.9506295274824512</v>
      </c>
      <c r="O2956" s="1630"/>
    </row>
    <row r="2957" spans="11:15">
      <c r="K2957" s="1626">
        <v>45014</v>
      </c>
      <c r="L2957" s="1630" t="s">
        <v>2298</v>
      </c>
      <c r="M2957" s="910">
        <v>4.9036999999999997E-2</v>
      </c>
      <c r="N2957" s="1630">
        <v>1.9515860576838429</v>
      </c>
      <c r="O2957" s="1630"/>
    </row>
    <row r="2958" spans="11:15">
      <c r="K2958" s="1626">
        <v>45015</v>
      </c>
      <c r="L2958" s="1630" t="s">
        <v>2298</v>
      </c>
      <c r="M2958" s="910">
        <v>4.9036999999999997E-2</v>
      </c>
      <c r="N2958" s="1630">
        <v>1.9525430569389495</v>
      </c>
      <c r="O2958" s="1630"/>
    </row>
    <row r="2959" spans="11:15">
      <c r="K2959" s="1626">
        <v>45016</v>
      </c>
      <c r="L2959" s="1630" t="s">
        <v>2298</v>
      </c>
      <c r="M2959" s="910">
        <v>4.9036999999999997E-2</v>
      </c>
      <c r="N2959" s="1630">
        <v>1.9535005254777809</v>
      </c>
      <c r="O2959" s="1630"/>
    </row>
    <row r="2960" spans="11:15">
      <c r="K2960" s="1626">
        <v>45017</v>
      </c>
      <c r="L2960" s="1630"/>
      <c r="M2960" s="910">
        <v>0</v>
      </c>
      <c r="N2960" s="1630">
        <v>1.9535005254777809</v>
      </c>
      <c r="O2960" s="1630"/>
    </row>
    <row r="2961" spans="11:15">
      <c r="K2961" s="1626">
        <v>45018</v>
      </c>
      <c r="L2961" s="1630"/>
      <c r="M2961" s="910">
        <v>0</v>
      </c>
      <c r="N2961" s="1630">
        <v>1.9535005254777809</v>
      </c>
      <c r="O2961" s="1630"/>
    </row>
    <row r="2962" spans="11:15">
      <c r="K2962" s="1626">
        <v>45019</v>
      </c>
      <c r="L2962" s="1630" t="s">
        <v>2298</v>
      </c>
      <c r="M2962" s="910">
        <v>4.9036999999999997E-2</v>
      </c>
      <c r="N2962" s="1630">
        <v>1.9544584635304596</v>
      </c>
      <c r="O2962" s="1630"/>
    </row>
    <row r="2963" spans="11:15">
      <c r="K2963" s="1626">
        <v>45020</v>
      </c>
      <c r="L2963" s="1630" t="s">
        <v>2298</v>
      </c>
      <c r="M2963" s="910">
        <v>4.9036999999999997E-2</v>
      </c>
      <c r="N2963" s="1630">
        <v>1.9554168713272211</v>
      </c>
      <c r="O2963" s="1630"/>
    </row>
    <row r="2964" spans="11:15">
      <c r="K2964" s="1626">
        <v>45021</v>
      </c>
      <c r="L2964" s="1630" t="s">
        <v>2298</v>
      </c>
      <c r="M2964" s="910">
        <v>4.9036999999999997E-2</v>
      </c>
      <c r="N2964" s="1630">
        <v>1.9563757490984139</v>
      </c>
      <c r="O2964" s="1630"/>
    </row>
    <row r="2965" spans="11:15">
      <c r="K2965" s="1626">
        <v>45022</v>
      </c>
      <c r="L2965" s="1630" t="s">
        <v>2298</v>
      </c>
      <c r="M2965" s="910">
        <v>4.9036999999999997E-2</v>
      </c>
      <c r="N2965" s="1630">
        <v>1.9573350970744994</v>
      </c>
      <c r="O2965" s="1630"/>
    </row>
    <row r="2966" spans="11:15">
      <c r="K2966" s="1626">
        <v>45023</v>
      </c>
      <c r="L2966" s="1630"/>
      <c r="M2966" s="910">
        <v>0</v>
      </c>
      <c r="N2966" s="1630">
        <v>1.9573350970744994</v>
      </c>
      <c r="O2966" s="1630"/>
    </row>
    <row r="2967" spans="11:15">
      <c r="K2967" s="1626">
        <v>45024</v>
      </c>
      <c r="L2967" s="1630"/>
      <c r="M2967" s="910">
        <v>0</v>
      </c>
      <c r="N2967" s="1630">
        <v>1.9573350970744994</v>
      </c>
      <c r="O2967" s="1630"/>
    </row>
    <row r="2968" spans="11:15">
      <c r="K2968" s="1626">
        <v>45025</v>
      </c>
      <c r="L2968" s="1630"/>
      <c r="M2968" s="910">
        <v>0</v>
      </c>
      <c r="N2968" s="1630">
        <v>1.9573350970744994</v>
      </c>
      <c r="O2968" s="1630"/>
    </row>
    <row r="2969" spans="11:15">
      <c r="K2969" s="1626">
        <v>45026</v>
      </c>
      <c r="L2969" s="1630" t="s">
        <v>2298</v>
      </c>
      <c r="M2969" s="910">
        <v>4.9036999999999997E-2</v>
      </c>
      <c r="N2969" s="1630">
        <v>1.9582949154860518</v>
      </c>
      <c r="O2969" s="1630"/>
    </row>
    <row r="2970" spans="11:15">
      <c r="K2970" s="1626">
        <v>45027</v>
      </c>
      <c r="L2970" s="1630" t="s">
        <v>2298</v>
      </c>
      <c r="M2970" s="910">
        <v>4.9036999999999997E-2</v>
      </c>
      <c r="N2970" s="1630">
        <v>1.9592552045637588</v>
      </c>
      <c r="O2970" s="1630"/>
    </row>
    <row r="2971" spans="11:15">
      <c r="K2971" s="1626">
        <v>45028</v>
      </c>
      <c r="L2971" s="1630" t="s">
        <v>2298</v>
      </c>
      <c r="M2971" s="910">
        <v>4.9036999999999997E-2</v>
      </c>
      <c r="N2971" s="1630">
        <v>1.960215964538421</v>
      </c>
      <c r="O2971" s="1630"/>
    </row>
    <row r="2972" spans="11:15">
      <c r="K2972" s="1626">
        <v>45029</v>
      </c>
      <c r="L2972" s="1630" t="s">
        <v>2298</v>
      </c>
      <c r="M2972" s="910">
        <v>4.9036999999999997E-2</v>
      </c>
      <c r="N2972" s="1630">
        <v>1.9611771956409518</v>
      </c>
      <c r="O2972" s="1630"/>
    </row>
    <row r="2973" spans="11:15">
      <c r="K2973" s="1626">
        <v>45030</v>
      </c>
      <c r="L2973" s="1630" t="s">
        <v>2298</v>
      </c>
      <c r="M2973" s="910">
        <v>4.9036999999999997E-2</v>
      </c>
      <c r="N2973" s="1630">
        <v>1.9621388981023784</v>
      </c>
      <c r="O2973" s="1630"/>
    </row>
    <row r="2974" spans="11:15">
      <c r="K2974" s="1626">
        <v>45031</v>
      </c>
      <c r="L2974" s="1630"/>
      <c r="M2974" s="910">
        <v>0</v>
      </c>
      <c r="N2974" s="1630">
        <v>1.9621388981023784</v>
      </c>
      <c r="O2974" s="1630"/>
    </row>
    <row r="2975" spans="11:15">
      <c r="K2975" s="1626">
        <v>45032</v>
      </c>
      <c r="L2975" s="1630"/>
      <c r="M2975" s="910">
        <v>0</v>
      </c>
      <c r="N2975" s="1630">
        <v>1.9621388981023784</v>
      </c>
      <c r="O2975" s="1630"/>
    </row>
    <row r="2976" spans="11:15">
      <c r="K2976" s="1626">
        <v>45033</v>
      </c>
      <c r="L2976" s="1630" t="s">
        <v>2298</v>
      </c>
      <c r="M2976" s="910">
        <v>4.9036999999999997E-2</v>
      </c>
      <c r="N2976" s="1630">
        <v>1.9631010721538411</v>
      </c>
      <c r="O2976" s="1630"/>
    </row>
    <row r="2977" spans="11:15">
      <c r="K2977" s="1626">
        <v>45034</v>
      </c>
      <c r="L2977" s="1630" t="s">
        <v>2298</v>
      </c>
      <c r="M2977" s="910">
        <v>4.9036999999999997E-2</v>
      </c>
      <c r="N2977" s="1630">
        <v>1.9640637180265934</v>
      </c>
      <c r="O2977" s="1630"/>
    </row>
    <row r="2978" spans="11:15">
      <c r="K2978" s="1626">
        <v>45035</v>
      </c>
      <c r="L2978" s="1630" t="s">
        <v>2298</v>
      </c>
      <c r="M2978" s="910">
        <v>4.9036999999999997E-2</v>
      </c>
      <c r="N2978" s="1630">
        <v>1.9650268359520022</v>
      </c>
      <c r="O2978" s="1630"/>
    </row>
    <row r="2979" spans="11:15">
      <c r="K2979" s="1626">
        <v>45036</v>
      </c>
      <c r="L2979" s="1630" t="s">
        <v>2298</v>
      </c>
      <c r="M2979" s="910">
        <v>4.9036999999999997E-2</v>
      </c>
      <c r="N2979" s="1630">
        <v>1.9659904261615482</v>
      </c>
      <c r="O2979" s="1630"/>
    </row>
    <row r="2980" spans="11:15">
      <c r="K2980" s="1626">
        <v>45037</v>
      </c>
      <c r="L2980" s="1630"/>
      <c r="M2980" s="910">
        <v>0</v>
      </c>
      <c r="N2980" s="1630">
        <v>1.9659904261615482</v>
      </c>
      <c r="O2980" s="1630"/>
    </row>
    <row r="2981" spans="11:15">
      <c r="K2981" s="1626">
        <v>45038</v>
      </c>
      <c r="L2981" s="1630"/>
      <c r="M2981" s="910">
        <v>0</v>
      </c>
      <c r="N2981" s="1630">
        <v>1.9659904261615482</v>
      </c>
      <c r="O2981" s="1630"/>
    </row>
    <row r="2982" spans="11:15">
      <c r="K2982" s="1626">
        <v>45039</v>
      </c>
      <c r="L2982" s="1630"/>
      <c r="M2982" s="910">
        <v>0</v>
      </c>
      <c r="N2982" s="1630">
        <v>1.9659904261615482</v>
      </c>
      <c r="O2982" s="1630"/>
    </row>
    <row r="2983" spans="11:15">
      <c r="K2983" s="1626">
        <v>45040</v>
      </c>
      <c r="L2983" s="1630" t="s">
        <v>2298</v>
      </c>
      <c r="M2983" s="910">
        <v>4.9036999999999997E-2</v>
      </c>
      <c r="N2983" s="1630">
        <v>1.9669544888868251</v>
      </c>
      <c r="O2983" s="1630"/>
    </row>
    <row r="2984" spans="11:15">
      <c r="K2984" s="1626">
        <v>45041</v>
      </c>
      <c r="L2984" s="1630" t="s">
        <v>2298</v>
      </c>
      <c r="M2984" s="910">
        <v>4.9036999999999997E-2</v>
      </c>
      <c r="N2984" s="1630">
        <v>1.9679190243595406</v>
      </c>
      <c r="O2984" s="1630"/>
    </row>
    <row r="2985" spans="11:15">
      <c r="K2985" s="1626">
        <v>45042</v>
      </c>
      <c r="L2985" s="1630" t="s">
        <v>2298</v>
      </c>
      <c r="M2985" s="910">
        <v>4.9036999999999997E-2</v>
      </c>
      <c r="N2985" s="1630">
        <v>1.9688840328115158</v>
      </c>
      <c r="O2985" s="1630"/>
    </row>
    <row r="2986" spans="11:15">
      <c r="K2986" s="1626">
        <v>45043</v>
      </c>
      <c r="L2986" s="1630" t="s">
        <v>2298</v>
      </c>
      <c r="M2986" s="910">
        <v>4.9036999999999997E-2</v>
      </c>
      <c r="N2986" s="1630">
        <v>1.9698495144746857</v>
      </c>
      <c r="O2986" s="1630"/>
    </row>
    <row r="2987" spans="11:15">
      <c r="K2987" s="1626">
        <v>45044</v>
      </c>
      <c r="L2987" s="1630" t="s">
        <v>2298</v>
      </c>
      <c r="M2987" s="910">
        <v>4.9036999999999997E-2</v>
      </c>
      <c r="N2987" s="1630">
        <v>1.9708154695810989</v>
      </c>
      <c r="O2987" s="1630"/>
    </row>
    <row r="2988" spans="11:15">
      <c r="K2988" s="1626">
        <v>45045</v>
      </c>
      <c r="L2988" s="1630"/>
      <c r="M2988" s="910">
        <v>0</v>
      </c>
      <c r="N2988" s="1630">
        <v>1.9708154695810989</v>
      </c>
      <c r="O2988" s="1630"/>
    </row>
    <row r="2989" spans="11:15">
      <c r="K2989" s="1626">
        <v>45046</v>
      </c>
      <c r="L2989" s="1630"/>
      <c r="M2989" s="910">
        <v>0</v>
      </c>
      <c r="N2989" s="1630">
        <v>1.9708154695810989</v>
      </c>
      <c r="O2989" s="1630"/>
    </row>
    <row r="2990" spans="11:15">
      <c r="K2990" s="1626">
        <v>45047</v>
      </c>
      <c r="L2990" s="1630"/>
      <c r="M2990" s="910">
        <v>0</v>
      </c>
      <c r="N2990" s="1630">
        <v>1.9708154695810989</v>
      </c>
      <c r="O2990" s="1630"/>
    </row>
    <row r="2991" spans="11:15">
      <c r="K2991" s="1626">
        <v>45048</v>
      </c>
      <c r="L2991" s="1630" t="s">
        <v>2298</v>
      </c>
      <c r="M2991" s="910">
        <v>4.9036999999999997E-2</v>
      </c>
      <c r="N2991" s="1630">
        <v>1.9717818983629174</v>
      </c>
      <c r="O2991" s="1630"/>
    </row>
    <row r="2992" spans="11:15">
      <c r="K2992" s="1626">
        <v>45049</v>
      </c>
      <c r="L2992" s="1630" t="s">
        <v>2298</v>
      </c>
      <c r="M2992" s="910">
        <v>4.9036999999999997E-2</v>
      </c>
      <c r="N2992" s="1630">
        <v>1.9727488010524177</v>
      </c>
      <c r="O2992" s="1630"/>
    </row>
    <row r="2993" spans="11:15">
      <c r="K2993" s="1626">
        <v>45050</v>
      </c>
      <c r="L2993" s="1630" t="s">
        <v>2298</v>
      </c>
      <c r="M2993" s="910">
        <v>4.9036999999999997E-2</v>
      </c>
      <c r="N2993" s="1630">
        <v>1.9737161778819898</v>
      </c>
      <c r="O2993" s="1630"/>
    </row>
    <row r="2994" spans="11:15">
      <c r="K2994" s="1626">
        <v>45051</v>
      </c>
      <c r="L2994" s="1630" t="s">
        <v>2298</v>
      </c>
      <c r="M2994" s="910">
        <v>4.9036999999999997E-2</v>
      </c>
      <c r="N2994" s="1630">
        <v>1.9746840290841379</v>
      </c>
      <c r="O2994" s="1630"/>
    </row>
    <row r="2995" spans="11:15">
      <c r="K2995" s="1626">
        <v>45052</v>
      </c>
      <c r="L2995" s="1630"/>
      <c r="M2995" s="910">
        <v>0</v>
      </c>
      <c r="N2995" s="1630">
        <v>1.9746840290841379</v>
      </c>
      <c r="O2995" s="1630"/>
    </row>
    <row r="2996" spans="11:15">
      <c r="K2996" s="1626">
        <v>45053</v>
      </c>
      <c r="L2996" s="1630"/>
      <c r="M2996" s="910">
        <v>0</v>
      </c>
      <c r="N2996" s="1630">
        <v>1.9746840290841379</v>
      </c>
      <c r="O2996" s="1630"/>
    </row>
    <row r="2997" spans="11:15">
      <c r="K2997" s="1626">
        <v>45054</v>
      </c>
      <c r="L2997" s="1630" t="s">
        <v>2298</v>
      </c>
      <c r="M2997" s="910">
        <v>4.9036999999999997E-2</v>
      </c>
      <c r="N2997" s="1630">
        <v>1.9756523548914799</v>
      </c>
      <c r="O2997" s="1630"/>
    </row>
    <row r="2998" spans="11:15">
      <c r="K2998" s="1626">
        <v>45055</v>
      </c>
      <c r="L2998" s="1630" t="s">
        <v>2298</v>
      </c>
      <c r="M2998" s="910">
        <v>4.9036999999999997E-2</v>
      </c>
      <c r="N2998" s="1630">
        <v>1.9766211555367483</v>
      </c>
      <c r="O2998" s="1630"/>
    </row>
    <row r="2999" spans="11:15">
      <c r="K2999" s="1626">
        <v>45056</v>
      </c>
      <c r="L2999" s="1630" t="s">
        <v>2298</v>
      </c>
      <c r="M2999" s="910">
        <v>4.9036999999999997E-2</v>
      </c>
      <c r="N2999" s="1630">
        <v>1.977590431252789</v>
      </c>
      <c r="O2999" s="1630"/>
    </row>
    <row r="3000" spans="11:15">
      <c r="K3000" s="1626">
        <v>45057</v>
      </c>
      <c r="L3000" s="1630" t="s">
        <v>2298</v>
      </c>
      <c r="M3000" s="910">
        <v>4.9036999999999997E-2</v>
      </c>
      <c r="N3000" s="1630">
        <v>1.9785601822725625</v>
      </c>
      <c r="O3000" s="1630"/>
    </row>
    <row r="3001" spans="11:15">
      <c r="K3001" s="1626">
        <v>45058</v>
      </c>
      <c r="L3001" s="1630" t="s">
        <v>2298</v>
      </c>
      <c r="M3001" s="910">
        <v>4.9036999999999997E-2</v>
      </c>
      <c r="N3001" s="1630">
        <v>1.9795304088291437</v>
      </c>
      <c r="O3001" s="1630"/>
    </row>
    <row r="3002" spans="11:15">
      <c r="K3002" s="1626">
        <v>45059</v>
      </c>
      <c r="L3002" s="1630"/>
      <c r="M3002" s="910">
        <v>0</v>
      </c>
      <c r="N3002" s="1630">
        <v>1.9795304088291437</v>
      </c>
      <c r="O3002" s="1630"/>
    </row>
    <row r="3003" spans="11:15">
      <c r="K3003" s="1626">
        <v>45060</v>
      </c>
      <c r="L3003" s="1630"/>
      <c r="M3003" s="910">
        <v>0</v>
      </c>
      <c r="N3003" s="1630">
        <v>1.9795304088291437</v>
      </c>
      <c r="O3003" s="1630"/>
    </row>
    <row r="3004" spans="11:15">
      <c r="K3004" s="1626">
        <v>45061</v>
      </c>
      <c r="L3004" s="1630" t="s">
        <v>2298</v>
      </c>
      <c r="M3004" s="910">
        <v>4.9036999999999997E-2</v>
      </c>
      <c r="N3004" s="1630">
        <v>1.9805011111557214</v>
      </c>
      <c r="O3004" s="1630"/>
    </row>
    <row r="3005" spans="11:15">
      <c r="K3005" s="1626">
        <v>45062</v>
      </c>
      <c r="L3005" s="1630" t="s">
        <v>2298</v>
      </c>
      <c r="M3005" s="910">
        <v>4.9036999999999997E-2</v>
      </c>
      <c r="N3005" s="1630">
        <v>1.9814722894855989</v>
      </c>
      <c r="O3005" s="1630"/>
    </row>
    <row r="3006" spans="11:15">
      <c r="K3006" s="1626">
        <v>45063</v>
      </c>
      <c r="L3006" s="1630" t="s">
        <v>2298</v>
      </c>
      <c r="M3006" s="910">
        <v>4.9036999999999997E-2</v>
      </c>
      <c r="N3006" s="1630">
        <v>1.9824439440521942</v>
      </c>
      <c r="O3006" s="1630"/>
    </row>
    <row r="3007" spans="11:15">
      <c r="K3007" s="1626">
        <v>45064</v>
      </c>
      <c r="L3007" s="1630" t="s">
        <v>2298</v>
      </c>
      <c r="M3007" s="910">
        <v>4.9036999999999997E-2</v>
      </c>
      <c r="N3007" s="1630">
        <v>1.9834160750890393</v>
      </c>
      <c r="O3007" s="1630"/>
    </row>
    <row r="3008" spans="11:15">
      <c r="K3008" s="1626">
        <v>45065</v>
      </c>
      <c r="L3008" s="1630" t="s">
        <v>2298</v>
      </c>
      <c r="M3008" s="910">
        <v>4.9036999999999997E-2</v>
      </c>
      <c r="N3008" s="1630">
        <v>1.9843886828297808</v>
      </c>
      <c r="O3008" s="1630"/>
    </row>
    <row r="3009" spans="11:15">
      <c r="K3009" s="1626">
        <v>45066</v>
      </c>
      <c r="L3009" s="1630"/>
      <c r="M3009" s="910">
        <v>0</v>
      </c>
      <c r="N3009" s="1630">
        <v>1.9843886828297808</v>
      </c>
      <c r="O3009" s="1630"/>
    </row>
    <row r="3010" spans="11:15">
      <c r="K3010" s="1626">
        <v>45067</v>
      </c>
      <c r="L3010" s="1630"/>
      <c r="M3010" s="910">
        <v>0</v>
      </c>
      <c r="N3010" s="1630">
        <v>1.9843886828297808</v>
      </c>
      <c r="O3010" s="1630"/>
    </row>
    <row r="3011" spans="11:15">
      <c r="K3011" s="1626">
        <v>45068</v>
      </c>
      <c r="L3011" s="1630" t="s">
        <v>2298</v>
      </c>
      <c r="M3011" s="910">
        <v>4.9036999999999997E-2</v>
      </c>
      <c r="N3011" s="1630">
        <v>1.9853617675081801</v>
      </c>
      <c r="O3011" s="1630"/>
    </row>
    <row r="3012" spans="11:15">
      <c r="K3012" s="1626">
        <v>45069</v>
      </c>
      <c r="L3012" s="1630" t="s">
        <v>2298</v>
      </c>
      <c r="M3012" s="910">
        <v>4.9036999999999997E-2</v>
      </c>
      <c r="N3012" s="1630">
        <v>1.9863353293581132</v>
      </c>
      <c r="O3012" s="1630"/>
    </row>
    <row r="3013" spans="11:15">
      <c r="K3013" s="1626">
        <v>45070</v>
      </c>
      <c r="L3013" s="1630" t="s">
        <v>2298</v>
      </c>
      <c r="M3013" s="910">
        <v>4.9036999999999997E-2</v>
      </c>
      <c r="N3013" s="1630">
        <v>1.9873093686135708</v>
      </c>
      <c r="O3013" s="1630"/>
    </row>
    <row r="3014" spans="11:15">
      <c r="K3014" s="1626">
        <v>45071</v>
      </c>
      <c r="L3014" s="1630" t="s">
        <v>2298</v>
      </c>
      <c r="M3014" s="910">
        <v>4.9036999999999997E-2</v>
      </c>
      <c r="N3014" s="1630">
        <v>1.988283885508658</v>
      </c>
      <c r="O3014" s="1630"/>
    </row>
    <row r="3015" spans="11:15">
      <c r="K3015" s="1626">
        <v>45072</v>
      </c>
      <c r="L3015" s="1630" t="s">
        <v>2298</v>
      </c>
      <c r="M3015" s="910">
        <v>4.9036999999999997E-2</v>
      </c>
      <c r="N3015" s="1630">
        <v>1.989258880277595</v>
      </c>
      <c r="O3015" s="1630"/>
    </row>
    <row r="3016" spans="11:15">
      <c r="K3016" s="1626">
        <v>45073</v>
      </c>
      <c r="L3016" s="1630"/>
      <c r="M3016" s="910">
        <v>0</v>
      </c>
      <c r="N3016" s="1630">
        <v>1.989258880277595</v>
      </c>
      <c r="O3016" s="1630"/>
    </row>
    <row r="3017" spans="11:15">
      <c r="K3017" s="1626">
        <v>45074</v>
      </c>
      <c r="L3017" s="1630"/>
      <c r="M3017" s="910">
        <v>0</v>
      </c>
      <c r="N3017" s="1630">
        <v>1.989258880277595</v>
      </c>
      <c r="O3017" s="1630"/>
    </row>
    <row r="3018" spans="11:15">
      <c r="K3018" s="1626">
        <v>45075</v>
      </c>
      <c r="L3018" s="1630" t="s">
        <v>2298</v>
      </c>
      <c r="M3018" s="910">
        <v>4.9036999999999997E-2</v>
      </c>
      <c r="N3018" s="1630">
        <v>1.9902343531547169</v>
      </c>
      <c r="O3018" s="1630"/>
    </row>
    <row r="3019" spans="11:15">
      <c r="K3019" s="1626">
        <v>45076</v>
      </c>
      <c r="L3019" s="1630" t="s">
        <v>2298</v>
      </c>
      <c r="M3019" s="910">
        <v>4.9036999999999997E-2</v>
      </c>
      <c r="N3019" s="1630">
        <v>1.9912103043744735</v>
      </c>
      <c r="O3019" s="1630"/>
    </row>
    <row r="3020" spans="11:15">
      <c r="K3020" s="1626">
        <v>45077</v>
      </c>
      <c r="L3020" s="1630" t="s">
        <v>2298</v>
      </c>
      <c r="M3020" s="910">
        <v>4.9036999999999997E-2</v>
      </c>
      <c r="N3020" s="1630">
        <v>1.9921867341714299</v>
      </c>
      <c r="O3020" s="1630"/>
    </row>
    <row r="3021" spans="11:15">
      <c r="K3021" s="1626">
        <v>45078</v>
      </c>
      <c r="L3021" s="1630" t="s">
        <v>2298</v>
      </c>
      <c r="M3021" s="910">
        <v>4.9036999999999997E-2</v>
      </c>
      <c r="N3021" s="1630">
        <v>1.9931636427802657</v>
      </c>
      <c r="O3021" s="1630"/>
    </row>
    <row r="3022" spans="11:15">
      <c r="K3022" s="1626">
        <v>45079</v>
      </c>
      <c r="L3022" s="1630" t="s">
        <v>2298</v>
      </c>
      <c r="M3022" s="910">
        <v>4.9036999999999997E-2</v>
      </c>
      <c r="N3022" s="1630">
        <v>1.9941410304357761</v>
      </c>
      <c r="O3022" s="1630"/>
    </row>
    <row r="3023" spans="11:15">
      <c r="K3023" s="1626">
        <v>45080</v>
      </c>
      <c r="L3023" s="1630"/>
      <c r="M3023" s="910">
        <v>0</v>
      </c>
      <c r="N3023" s="1630">
        <v>1.9941410304357761</v>
      </c>
      <c r="O3023" s="1630"/>
    </row>
    <row r="3024" spans="11:15">
      <c r="K3024" s="1626">
        <v>45081</v>
      </c>
      <c r="L3024" s="1630"/>
      <c r="M3024" s="910">
        <v>0</v>
      </c>
      <c r="N3024" s="1630">
        <v>1.9941410304357761</v>
      </c>
      <c r="O3024" s="1630"/>
    </row>
    <row r="3025" spans="11:15">
      <c r="K3025" s="1626">
        <v>45082</v>
      </c>
      <c r="L3025" s="1630" t="s">
        <v>2298</v>
      </c>
      <c r="M3025" s="910">
        <v>4.9036999999999997E-2</v>
      </c>
      <c r="N3025" s="1630">
        <v>1.9951188973728711</v>
      </c>
      <c r="O3025" s="1630"/>
    </row>
    <row r="3026" spans="11:15">
      <c r="K3026" s="1626">
        <v>45083</v>
      </c>
      <c r="L3026" s="1630" t="s">
        <v>2298</v>
      </c>
      <c r="M3026" s="910">
        <v>4.9036999999999997E-2</v>
      </c>
      <c r="N3026" s="1630">
        <v>1.9960972438265761</v>
      </c>
      <c r="O3026" s="1630"/>
    </row>
    <row r="3027" spans="11:15">
      <c r="K3027" s="1626">
        <v>45084</v>
      </c>
      <c r="L3027" s="1630" t="s">
        <v>2298</v>
      </c>
      <c r="M3027" s="910">
        <v>4.9036999999999997E-2</v>
      </c>
      <c r="N3027" s="1630">
        <v>1.9970760700320314</v>
      </c>
      <c r="O3027" s="1630"/>
    </row>
    <row r="3028" spans="11:15">
      <c r="K3028" s="1626">
        <v>45085</v>
      </c>
      <c r="L3028" s="1630"/>
      <c r="M3028" s="910">
        <v>0</v>
      </c>
      <c r="N3028" s="1630">
        <v>1.9970760700320314</v>
      </c>
      <c r="O3028" s="1630"/>
    </row>
    <row r="3029" spans="11:15">
      <c r="K3029" s="1626">
        <v>45086</v>
      </c>
      <c r="L3029" s="1630" t="s">
        <v>2298</v>
      </c>
      <c r="M3029" s="910">
        <v>4.9036999999999997E-2</v>
      </c>
      <c r="N3029" s="1630">
        <v>1.998055376224493</v>
      </c>
      <c r="O3029" s="1630"/>
    </row>
    <row r="3030" spans="11:15">
      <c r="K3030" s="1626">
        <v>45087</v>
      </c>
      <c r="L3030" s="1630"/>
      <c r="M3030" s="910">
        <v>0</v>
      </c>
      <c r="N3030" s="1630">
        <v>1.998055376224493</v>
      </c>
      <c r="O3030" s="1630"/>
    </row>
    <row r="3031" spans="11:15">
      <c r="K3031" s="1626">
        <v>45088</v>
      </c>
      <c r="L3031" s="1630"/>
      <c r="M3031" s="910">
        <v>0</v>
      </c>
      <c r="N3031" s="1630">
        <v>1.998055376224493</v>
      </c>
      <c r="O3031" s="1630"/>
    </row>
    <row r="3032" spans="11:15">
      <c r="K3032" s="1626">
        <v>45089</v>
      </c>
      <c r="L3032" s="1630" t="s">
        <v>2298</v>
      </c>
      <c r="M3032" s="910">
        <v>4.9036999999999997E-2</v>
      </c>
      <c r="N3032" s="1630">
        <v>1.9990351626393323</v>
      </c>
      <c r="O3032" s="1630"/>
    </row>
    <row r="3033" spans="11:15">
      <c r="K3033" s="1626">
        <v>45090</v>
      </c>
      <c r="L3033" s="1630" t="s">
        <v>2298</v>
      </c>
      <c r="M3033" s="910">
        <v>4.9036999999999997E-2</v>
      </c>
      <c r="N3033" s="1630">
        <v>2.000015429512036</v>
      </c>
      <c r="O3033" s="1630"/>
    </row>
    <row r="3034" spans="11:15">
      <c r="K3034" s="1626">
        <v>45091</v>
      </c>
      <c r="L3034" s="1630" t="s">
        <v>2298</v>
      </c>
      <c r="M3034" s="910">
        <v>4.9036999999999997E-2</v>
      </c>
      <c r="N3034" s="1630">
        <v>2.0009961770782061</v>
      </c>
      <c r="O3034" s="1630"/>
    </row>
    <row r="3035" spans="11:15">
      <c r="K3035" s="1626">
        <v>45092</v>
      </c>
      <c r="L3035" s="1630" t="s">
        <v>2298</v>
      </c>
      <c r="M3035" s="910">
        <v>4.9036999999999997E-2</v>
      </c>
      <c r="N3035" s="1630">
        <v>2.0019774055735602</v>
      </c>
      <c r="O3035" s="1630"/>
    </row>
    <row r="3036" spans="11:15">
      <c r="K3036" s="1626">
        <v>45093</v>
      </c>
      <c r="L3036" s="1630" t="s">
        <v>2298</v>
      </c>
      <c r="M3036" s="910">
        <v>4.9036999999999997E-2</v>
      </c>
      <c r="N3036" s="1630">
        <v>2.0029591152339314</v>
      </c>
      <c r="O3036" s="1630"/>
    </row>
    <row r="3037" spans="11:15">
      <c r="K3037" s="1626">
        <v>45094</v>
      </c>
      <c r="L3037" s="1630"/>
      <c r="M3037" s="910">
        <v>0</v>
      </c>
      <c r="N3037" s="1630">
        <v>2.0029591152339314</v>
      </c>
      <c r="O3037" s="1630"/>
    </row>
    <row r="3038" spans="11:15">
      <c r="K3038" s="1626">
        <v>45095</v>
      </c>
      <c r="L3038" s="1630"/>
      <c r="M3038" s="910">
        <v>0</v>
      </c>
      <c r="N3038" s="1630">
        <v>2.0029591152339314</v>
      </c>
      <c r="O3038" s="1630"/>
    </row>
    <row r="3039" spans="11:15">
      <c r="K3039" s="1626">
        <v>45096</v>
      </c>
      <c r="L3039" s="1630" t="s">
        <v>2298</v>
      </c>
      <c r="M3039" s="910">
        <v>4.9036999999999997E-2</v>
      </c>
      <c r="N3039" s="1630">
        <v>2.0039413062952689</v>
      </c>
      <c r="O3039" s="1630"/>
    </row>
    <row r="3040" spans="11:15">
      <c r="K3040" s="1626">
        <v>45097</v>
      </c>
      <c r="L3040" s="1630" t="s">
        <v>2298</v>
      </c>
      <c r="M3040" s="910">
        <v>4.9036999999999997E-2</v>
      </c>
      <c r="N3040" s="1630">
        <v>2.0049239789936371</v>
      </c>
      <c r="O3040" s="1630"/>
    </row>
    <row r="3041" spans="11:15">
      <c r="K3041" s="1626">
        <v>45098</v>
      </c>
      <c r="L3041" s="1630" t="s">
        <v>2298</v>
      </c>
      <c r="M3041" s="910">
        <v>4.9036999999999997E-2</v>
      </c>
      <c r="N3041" s="1630">
        <v>2.0059071335652163</v>
      </c>
      <c r="O3041" s="1630"/>
    </row>
    <row r="3042" spans="11:15">
      <c r="K3042" s="1626">
        <v>45099</v>
      </c>
      <c r="L3042" s="1630" t="s">
        <v>2298</v>
      </c>
      <c r="M3042" s="910">
        <v>4.9036999999999997E-2</v>
      </c>
      <c r="N3042" s="1630">
        <v>2.006890770246303</v>
      </c>
      <c r="O3042" s="1630"/>
    </row>
    <row r="3043" spans="11:15">
      <c r="K3043" s="1626">
        <v>45100</v>
      </c>
      <c r="L3043" s="1630" t="s">
        <v>2298</v>
      </c>
      <c r="M3043" s="910">
        <v>4.9036999999999997E-2</v>
      </c>
      <c r="N3043" s="1630">
        <v>2.0078748892733089</v>
      </c>
      <c r="O3043" s="1630"/>
    </row>
    <row r="3044" spans="11:15">
      <c r="K3044" s="1626">
        <v>45101</v>
      </c>
      <c r="L3044" s="1630"/>
      <c r="M3044" s="910">
        <v>0</v>
      </c>
      <c r="N3044" s="1630">
        <v>2.0078748892733089</v>
      </c>
      <c r="O3044" s="1630"/>
    </row>
    <row r="3045" spans="11:15">
      <c r="K3045" s="1626">
        <v>45102</v>
      </c>
      <c r="L3045" s="1630"/>
      <c r="M3045" s="910">
        <v>0</v>
      </c>
      <c r="N3045" s="1630">
        <v>2.0078748892733089</v>
      </c>
      <c r="O3045" s="1630"/>
    </row>
    <row r="3046" spans="11:15">
      <c r="K3046" s="1626">
        <v>45103</v>
      </c>
      <c r="L3046" s="1630" t="s">
        <v>2298</v>
      </c>
      <c r="M3046" s="910">
        <v>4.9036999999999997E-2</v>
      </c>
      <c r="N3046" s="1630">
        <v>2.0088594908827622</v>
      </c>
      <c r="O3046" s="1630"/>
    </row>
    <row r="3047" spans="11:15">
      <c r="K3047" s="1626">
        <v>45104</v>
      </c>
      <c r="L3047" s="1630" t="s">
        <v>2298</v>
      </c>
      <c r="M3047" s="910">
        <v>4.9036999999999997E-2</v>
      </c>
      <c r="N3047" s="1630">
        <v>2.0098445753113063</v>
      </c>
      <c r="O3047" s="1630"/>
    </row>
    <row r="3048" spans="11:15">
      <c r="K3048" s="1626">
        <v>45105</v>
      </c>
      <c r="L3048" s="1630" t="s">
        <v>2298</v>
      </c>
      <c r="M3048" s="910">
        <v>4.9036999999999997E-2</v>
      </c>
      <c r="N3048" s="1630">
        <v>2.0108301427957018</v>
      </c>
      <c r="O3048" s="1630"/>
    </row>
    <row r="3049" spans="11:15">
      <c r="K3049" s="1626">
        <v>45106</v>
      </c>
      <c r="L3049" s="1630" t="s">
        <v>2298</v>
      </c>
      <c r="M3049" s="910">
        <v>4.9036999999999997E-2</v>
      </c>
      <c r="N3049" s="1630">
        <v>2.0118161935728245</v>
      </c>
      <c r="O3049" s="1630"/>
    </row>
    <row r="3050" spans="11:15">
      <c r="K3050" s="1626">
        <v>45107</v>
      </c>
      <c r="L3050" s="1630" t="s">
        <v>2298</v>
      </c>
      <c r="M3050" s="910">
        <v>4.9036999999999997E-2</v>
      </c>
      <c r="N3050" s="1630">
        <v>2.012802727879667</v>
      </c>
      <c r="O3050" s="1630"/>
    </row>
    <row r="3051" spans="11:15">
      <c r="K3051" s="1626">
        <v>45108</v>
      </c>
      <c r="L3051" s="1630"/>
      <c r="M3051" s="910">
        <v>0</v>
      </c>
      <c r="N3051" s="1630">
        <v>2.012802727879667</v>
      </c>
      <c r="O3051" s="1630"/>
    </row>
    <row r="3052" spans="11:15">
      <c r="K3052" s="1626">
        <v>45109</v>
      </c>
      <c r="L3052" s="1630"/>
      <c r="M3052" s="910">
        <v>0</v>
      </c>
      <c r="N3052" s="1630">
        <v>2.012802727879667</v>
      </c>
      <c r="O3052" s="1630"/>
    </row>
    <row r="3053" spans="11:15">
      <c r="K3053" s="1626">
        <v>45110</v>
      </c>
      <c r="L3053" s="1630" t="s">
        <v>2298</v>
      </c>
      <c r="M3053" s="910">
        <v>4.9036999999999997E-2</v>
      </c>
      <c r="N3053" s="1630">
        <v>2.0137897459533374</v>
      </c>
      <c r="O3053" s="1630"/>
    </row>
    <row r="3054" spans="11:15">
      <c r="K3054" s="1626">
        <v>45111</v>
      </c>
      <c r="L3054" s="1630" t="s">
        <v>2298</v>
      </c>
      <c r="M3054" s="910">
        <v>4.9036999999999997E-2</v>
      </c>
      <c r="N3054" s="1630">
        <v>2.0147772480310606</v>
      </c>
      <c r="O3054" s="1630"/>
    </row>
    <row r="3055" spans="11:15">
      <c r="K3055" s="1626">
        <v>45112</v>
      </c>
      <c r="L3055" s="1630" t="s">
        <v>2298</v>
      </c>
      <c r="M3055" s="910">
        <v>4.9036999999999997E-2</v>
      </c>
      <c r="N3055" s="1630">
        <v>2.015765234350178</v>
      </c>
      <c r="O3055" s="1630"/>
    </row>
    <row r="3056" spans="11:15">
      <c r="K3056" s="1626">
        <v>45113</v>
      </c>
      <c r="L3056" s="1630" t="s">
        <v>2298</v>
      </c>
      <c r="M3056" s="910">
        <v>4.9036999999999997E-2</v>
      </c>
      <c r="N3056" s="1630">
        <v>2.0167537051481466</v>
      </c>
      <c r="O3056" s="1630"/>
    </row>
    <row r="3057" spans="11:15">
      <c r="K3057" s="1626">
        <v>45114</v>
      </c>
      <c r="L3057" s="1630" t="s">
        <v>2298</v>
      </c>
      <c r="M3057" s="910">
        <v>4.9036999999999997E-2</v>
      </c>
      <c r="N3057" s="1630">
        <v>2.0177426606625404</v>
      </c>
      <c r="O3057" s="1630"/>
    </row>
    <row r="3058" spans="11:15">
      <c r="K3058" s="1626">
        <v>45115</v>
      </c>
      <c r="L3058" s="1630"/>
      <c r="M3058" s="910">
        <v>0</v>
      </c>
      <c r="N3058" s="1630">
        <v>2.0177426606625404</v>
      </c>
      <c r="O3058" s="1630"/>
    </row>
    <row r="3059" spans="11:15">
      <c r="K3059" s="1626">
        <v>45116</v>
      </c>
      <c r="L3059" s="1630"/>
      <c r="M3059" s="910">
        <v>0</v>
      </c>
      <c r="N3059" s="1630">
        <v>2.0177426606625404</v>
      </c>
      <c r="O3059" s="1630"/>
    </row>
    <row r="3060" spans="11:15">
      <c r="K3060" s="1626">
        <v>45117</v>
      </c>
      <c r="L3060" s="1630" t="s">
        <v>2298</v>
      </c>
      <c r="M3060" s="910">
        <v>4.9036999999999997E-2</v>
      </c>
      <c r="N3060" s="1630">
        <v>2.0187321011310497</v>
      </c>
      <c r="O3060" s="1630"/>
    </row>
    <row r="3061" spans="11:15">
      <c r="K3061" s="1626">
        <v>45118</v>
      </c>
      <c r="L3061" s="1630" t="s">
        <v>2298</v>
      </c>
      <c r="M3061" s="910">
        <v>4.9036999999999997E-2</v>
      </c>
      <c r="N3061" s="1630">
        <v>2.0197220267914817</v>
      </c>
      <c r="O3061" s="1630"/>
    </row>
    <row r="3062" spans="11:15">
      <c r="K3062" s="1626">
        <v>45119</v>
      </c>
      <c r="L3062" s="1630" t="s">
        <v>2298</v>
      </c>
      <c r="M3062" s="910">
        <v>4.9036999999999997E-2</v>
      </c>
      <c r="N3062" s="1630">
        <v>2.0207124378817598</v>
      </c>
      <c r="O3062" s="1630"/>
    </row>
    <row r="3063" spans="11:15">
      <c r="K3063" s="1626">
        <v>45120</v>
      </c>
      <c r="L3063" s="1630" t="s">
        <v>2298</v>
      </c>
      <c r="M3063" s="910">
        <v>4.9036999999999997E-2</v>
      </c>
      <c r="N3063" s="1630">
        <v>2.0217033346399242</v>
      </c>
      <c r="O3063" s="1630"/>
    </row>
    <row r="3064" spans="11:15">
      <c r="K3064" s="1626">
        <v>45121</v>
      </c>
      <c r="L3064" s="1630" t="s">
        <v>2298</v>
      </c>
      <c r="M3064" s="910">
        <v>4.9036999999999997E-2</v>
      </c>
      <c r="N3064" s="1630">
        <v>2.0226947173041316</v>
      </c>
      <c r="O3064" s="1630"/>
    </row>
    <row r="3065" spans="11:15">
      <c r="K3065" s="1626">
        <v>45122</v>
      </c>
      <c r="L3065" s="1630"/>
      <c r="M3065" s="910">
        <v>0</v>
      </c>
      <c r="N3065" s="1630">
        <v>2.0226947173041316</v>
      </c>
      <c r="O3065" s="1630"/>
    </row>
    <row r="3066" spans="11:15">
      <c r="K3066" s="1626">
        <v>45123</v>
      </c>
      <c r="L3066" s="1630"/>
      <c r="M3066" s="910">
        <v>0</v>
      </c>
      <c r="N3066" s="1630">
        <v>2.0226947173041316</v>
      </c>
      <c r="O3066" s="1630"/>
    </row>
    <row r="3067" spans="11:15">
      <c r="K3067" s="1626">
        <v>45124</v>
      </c>
      <c r="L3067" s="1630" t="s">
        <v>2298</v>
      </c>
      <c r="M3067" s="910">
        <v>4.9036999999999997E-2</v>
      </c>
      <c r="N3067" s="1630">
        <v>2.0236865861126563</v>
      </c>
      <c r="O3067" s="1630"/>
    </row>
    <row r="3068" spans="11:15">
      <c r="K3068" s="1626">
        <v>45125</v>
      </c>
      <c r="L3068" s="1630" t="s">
        <v>2298</v>
      </c>
      <c r="M3068" s="910">
        <v>4.9036999999999997E-2</v>
      </c>
      <c r="N3068" s="1630">
        <v>2.0246789413038884</v>
      </c>
      <c r="O3068" s="1630"/>
    </row>
    <row r="3069" spans="11:15">
      <c r="K3069" s="1626">
        <v>45126</v>
      </c>
      <c r="L3069" s="1630" t="s">
        <v>2298</v>
      </c>
      <c r="M3069" s="910">
        <v>4.9036999999999997E-2</v>
      </c>
      <c r="N3069" s="1630">
        <v>2.0256717831163358</v>
      </c>
      <c r="O3069" s="1630"/>
    </row>
    <row r="3070" spans="11:15">
      <c r="K3070" s="1626">
        <v>45127</v>
      </c>
      <c r="L3070" s="1630" t="s">
        <v>2298</v>
      </c>
      <c r="M3070" s="910">
        <v>4.9036999999999997E-2</v>
      </c>
      <c r="N3070" s="1630">
        <v>2.0266651117886227</v>
      </c>
      <c r="O3070" s="1630"/>
    </row>
    <row r="3071" spans="11:15">
      <c r="K3071" s="1626">
        <v>45128</v>
      </c>
      <c r="L3071" s="1630" t="s">
        <v>2298</v>
      </c>
      <c r="M3071" s="910">
        <v>4.9036999999999997E-2</v>
      </c>
      <c r="N3071" s="1630">
        <v>2.0276589275594907</v>
      </c>
      <c r="O3071" s="1630"/>
    </row>
    <row r="3072" spans="11:15">
      <c r="K3072" s="1626">
        <v>45129</v>
      </c>
      <c r="L3072" s="1630"/>
      <c r="M3072" s="910">
        <v>0</v>
      </c>
      <c r="N3072" s="1630">
        <v>2.0276589275594907</v>
      </c>
      <c r="O3072" s="1630"/>
    </row>
    <row r="3073" spans="11:15">
      <c r="K3073" s="1626">
        <v>45130</v>
      </c>
      <c r="L3073" s="1630"/>
      <c r="M3073" s="910">
        <v>0</v>
      </c>
      <c r="N3073" s="1630">
        <v>2.0276589275594907</v>
      </c>
      <c r="O3073" s="1630"/>
    </row>
    <row r="3074" spans="11:15">
      <c r="K3074" s="1626">
        <v>45131</v>
      </c>
      <c r="L3074" s="1630" t="s">
        <v>2298</v>
      </c>
      <c r="M3074" s="910">
        <v>4.9036999999999997E-2</v>
      </c>
      <c r="N3074" s="1630">
        <v>2.028653230667798</v>
      </c>
      <c r="O3074" s="1630"/>
    </row>
    <row r="3075" spans="11:15">
      <c r="K3075" s="1626">
        <v>45132</v>
      </c>
      <c r="L3075" s="1630" t="s">
        <v>2298</v>
      </c>
      <c r="M3075" s="910">
        <v>4.9036999999999997E-2</v>
      </c>
      <c r="N3075" s="1630">
        <v>2.0296480213525205</v>
      </c>
      <c r="O3075" s="1630"/>
    </row>
    <row r="3076" spans="11:15">
      <c r="K3076" s="1626">
        <v>45133</v>
      </c>
      <c r="L3076" s="1630" t="s">
        <v>2298</v>
      </c>
      <c r="M3076" s="910">
        <v>4.9036999999999997E-2</v>
      </c>
      <c r="N3076" s="1630">
        <v>2.0306432998527515</v>
      </c>
      <c r="O3076" s="1630"/>
    </row>
    <row r="3077" spans="11:15">
      <c r="K3077" s="1626">
        <v>45134</v>
      </c>
      <c r="L3077" s="1630" t="s">
        <v>2298</v>
      </c>
      <c r="M3077" s="910">
        <v>4.9036999999999997E-2</v>
      </c>
      <c r="N3077" s="1630">
        <v>2.0316390664077004</v>
      </c>
      <c r="O3077" s="1630"/>
    </row>
    <row r="3078" spans="11:15">
      <c r="K3078" s="1626">
        <v>45135</v>
      </c>
      <c r="L3078" s="1630" t="s">
        <v>2298</v>
      </c>
      <c r="M3078" s="910">
        <v>4.9036999999999997E-2</v>
      </c>
      <c r="N3078" s="1630">
        <v>2.032635321256695</v>
      </c>
      <c r="O3078" s="1630"/>
    </row>
    <row r="3079" spans="11:15">
      <c r="K3079" s="1626">
        <v>45136</v>
      </c>
      <c r="L3079" s="1630"/>
      <c r="M3079" s="910">
        <v>0</v>
      </c>
      <c r="N3079" s="1630">
        <v>2.032635321256695</v>
      </c>
      <c r="O3079" s="1630"/>
    </row>
    <row r="3080" spans="11:15">
      <c r="K3080" s="1626">
        <v>45137</v>
      </c>
      <c r="L3080" s="1630"/>
      <c r="M3080" s="910">
        <v>0</v>
      </c>
      <c r="N3080" s="1630">
        <v>2.032635321256695</v>
      </c>
      <c r="O3080" s="1630"/>
    </row>
    <row r="3081" spans="11:15">
      <c r="K3081" s="1626">
        <v>45138</v>
      </c>
      <c r="L3081" s="1630" t="s">
        <v>2298</v>
      </c>
      <c r="M3081" s="910">
        <v>4.9036999999999997E-2</v>
      </c>
      <c r="N3081" s="1630">
        <v>2.0336320646391797</v>
      </c>
      <c r="O3081" s="1630"/>
    </row>
    <row r="3082" spans="11:15">
      <c r="K3082" s="1626">
        <v>45139</v>
      </c>
      <c r="L3082" s="1630" t="s">
        <v>2298</v>
      </c>
      <c r="M3082" s="910">
        <v>4.9036999999999997E-2</v>
      </c>
      <c r="N3082" s="1630">
        <v>2.034629296794717</v>
      </c>
      <c r="O3082" s="1630"/>
    </row>
    <row r="3083" spans="11:15">
      <c r="K3083" s="1626">
        <v>45140</v>
      </c>
      <c r="L3083" s="1630" t="s">
        <v>2298</v>
      </c>
      <c r="M3083" s="910">
        <v>4.9036999999999997E-2</v>
      </c>
      <c r="N3083" s="1630">
        <v>2.0356270179629865</v>
      </c>
      <c r="O3083" s="1630"/>
    </row>
    <row r="3084" spans="11:15">
      <c r="K3084" s="1626">
        <v>45141</v>
      </c>
      <c r="L3084" s="1630" t="s">
        <v>2298</v>
      </c>
      <c r="M3084" s="910">
        <v>4.9036999999999997E-2</v>
      </c>
      <c r="N3084" s="1630">
        <v>2.0366252283837851</v>
      </c>
      <c r="O3084" s="1630"/>
    </row>
    <row r="3085" spans="11:15">
      <c r="K3085" s="1626">
        <v>45142</v>
      </c>
      <c r="L3085" s="1630" t="s">
        <v>2298</v>
      </c>
      <c r="M3085" s="910">
        <v>4.9036999999999997E-2</v>
      </c>
      <c r="N3085" s="1630">
        <v>2.0376239282970277</v>
      </c>
      <c r="O3085" s="1630"/>
    </row>
    <row r="3086" spans="11:15">
      <c r="K3086" s="1626">
        <v>45143</v>
      </c>
      <c r="L3086" s="1630"/>
      <c r="M3086" s="910">
        <v>0</v>
      </c>
      <c r="N3086" s="1630">
        <v>2.0376239282970277</v>
      </c>
      <c r="O3086" s="1630"/>
    </row>
    <row r="3087" spans="11:15">
      <c r="K3087" s="1626">
        <v>45144</v>
      </c>
      <c r="L3087" s="1630"/>
      <c r="M3087" s="910">
        <v>0</v>
      </c>
      <c r="N3087" s="1630">
        <v>2.0376239282970277</v>
      </c>
      <c r="O3087" s="1630"/>
    </row>
    <row r="3088" spans="11:15">
      <c r="K3088" s="1626">
        <v>45145</v>
      </c>
      <c r="L3088" s="1630" t="s">
        <v>2298</v>
      </c>
      <c r="M3088" s="910">
        <v>4.9036999999999997E-2</v>
      </c>
      <c r="N3088" s="1630">
        <v>2.038623117942747</v>
      </c>
      <c r="O3088" s="1630"/>
    </row>
    <row r="3089" spans="11:15">
      <c r="K3089" s="1626">
        <v>45146</v>
      </c>
      <c r="L3089" s="1630" t="s">
        <v>2298</v>
      </c>
      <c r="M3089" s="910">
        <v>4.9036999999999997E-2</v>
      </c>
      <c r="N3089" s="1630">
        <v>2.0396227975610928</v>
      </c>
      <c r="O3089" s="1630"/>
    </row>
    <row r="3090" spans="11:15">
      <c r="K3090" s="1626">
        <v>45147</v>
      </c>
      <c r="L3090" s="1630" t="s">
        <v>2298</v>
      </c>
      <c r="M3090" s="910">
        <v>4.9036999999999997E-2</v>
      </c>
      <c r="N3090" s="1630">
        <v>2.0406229673923328</v>
      </c>
      <c r="O3090" s="1630"/>
    </row>
    <row r="3091" spans="11:15">
      <c r="K3091" s="1626">
        <v>45148</v>
      </c>
      <c r="L3091" s="1630" t="s">
        <v>2298</v>
      </c>
      <c r="M3091" s="910">
        <v>4.9036999999999997E-2</v>
      </c>
      <c r="N3091" s="1630">
        <v>2.0416236276768531</v>
      </c>
      <c r="O3091" s="1630"/>
    </row>
    <row r="3092" spans="11:15">
      <c r="K3092" s="1626">
        <v>45149</v>
      </c>
      <c r="L3092" s="1630" t="s">
        <v>2298</v>
      </c>
      <c r="M3092" s="910">
        <v>4.9036999999999997E-2</v>
      </c>
      <c r="N3092" s="1630">
        <v>2.0426247786551572</v>
      </c>
      <c r="O3092" s="1630"/>
    </row>
    <row r="3093" spans="11:15">
      <c r="K3093" s="1626">
        <v>45150</v>
      </c>
      <c r="L3093" s="1630"/>
      <c r="M3093" s="910">
        <v>0</v>
      </c>
      <c r="N3093" s="1630">
        <v>2.0426247786551572</v>
      </c>
      <c r="O3093" s="1630"/>
    </row>
    <row r="3094" spans="11:15">
      <c r="K3094" s="1626">
        <v>45151</v>
      </c>
      <c r="L3094" s="1630"/>
      <c r="M3094" s="910">
        <v>0</v>
      </c>
      <c r="N3094" s="1630">
        <v>2.0426247786551572</v>
      </c>
      <c r="O3094" s="1630"/>
    </row>
    <row r="3095" spans="11:15">
      <c r="K3095" s="1626">
        <v>45152</v>
      </c>
      <c r="L3095" s="1630" t="s">
        <v>2298</v>
      </c>
      <c r="M3095" s="910">
        <v>4.9036999999999997E-2</v>
      </c>
      <c r="N3095" s="1630">
        <v>2.0436264205678665</v>
      </c>
      <c r="O3095" s="1630"/>
    </row>
    <row r="3096" spans="11:15">
      <c r="K3096" s="1626">
        <v>45153</v>
      </c>
      <c r="L3096" s="1630" t="s">
        <v>2298</v>
      </c>
      <c r="M3096" s="910">
        <v>4.9036999999999997E-2</v>
      </c>
      <c r="N3096" s="1630">
        <v>2.0446285536557203</v>
      </c>
      <c r="O3096" s="1630"/>
    </row>
    <row r="3097" spans="11:15">
      <c r="K3097" s="1626">
        <v>45154</v>
      </c>
      <c r="L3097" s="1630" t="s">
        <v>2298</v>
      </c>
      <c r="M3097" s="910">
        <v>4.9036999999999997E-2</v>
      </c>
      <c r="N3097" s="1630">
        <v>2.0456311781595766</v>
      </c>
      <c r="O3097" s="1630"/>
    </row>
    <row r="3098" spans="11:15">
      <c r="K3098" s="1626">
        <v>45155</v>
      </c>
      <c r="L3098" s="1630" t="s">
        <v>2298</v>
      </c>
      <c r="M3098" s="910">
        <v>4.9036999999999997E-2</v>
      </c>
      <c r="N3098" s="1630">
        <v>2.0466342943204108</v>
      </c>
      <c r="O3098" s="1630"/>
    </row>
    <row r="3099" spans="11:15">
      <c r="K3099" s="1626">
        <v>45156</v>
      </c>
      <c r="L3099" s="1630" t="s">
        <v>2298</v>
      </c>
      <c r="M3099" s="910">
        <v>4.9036999999999997E-2</v>
      </c>
      <c r="N3099" s="1630">
        <v>2.047637902379317</v>
      </c>
      <c r="O3099" s="1630"/>
    </row>
    <row r="3100" spans="11:15">
      <c r="K3100" s="1626">
        <v>45157</v>
      </c>
      <c r="L3100" s="1630"/>
      <c r="M3100" s="910">
        <v>0</v>
      </c>
      <c r="N3100" s="1630">
        <v>2.047637902379317</v>
      </c>
      <c r="O3100" s="1630"/>
    </row>
    <row r="3101" spans="11:15">
      <c r="K3101" s="1626">
        <v>45158</v>
      </c>
      <c r="L3101" s="1630"/>
      <c r="M3101" s="910">
        <v>0</v>
      </c>
      <c r="N3101" s="1630">
        <v>2.047637902379317</v>
      </c>
      <c r="O3101" s="1630"/>
    </row>
    <row r="3102" spans="11:15">
      <c r="K3102" s="1626">
        <v>45159</v>
      </c>
      <c r="L3102" s="1630" t="s">
        <v>2298</v>
      </c>
      <c r="M3102" s="910">
        <v>4.9036999999999997E-2</v>
      </c>
      <c r="N3102" s="1630">
        <v>2.0486420025775067</v>
      </c>
      <c r="O3102" s="1630"/>
    </row>
    <row r="3103" spans="11:15">
      <c r="K3103" s="1626">
        <v>45160</v>
      </c>
      <c r="L3103" s="1630" t="s">
        <v>2298</v>
      </c>
      <c r="M3103" s="910">
        <v>4.9036999999999997E-2</v>
      </c>
      <c r="N3103" s="1630">
        <v>2.049646595156311</v>
      </c>
      <c r="O3103" s="1630"/>
    </row>
    <row r="3104" spans="11:15">
      <c r="K3104" s="1626">
        <v>45161</v>
      </c>
      <c r="L3104" s="1630" t="s">
        <v>2298</v>
      </c>
      <c r="M3104" s="910">
        <v>4.9036999999999997E-2</v>
      </c>
      <c r="N3104" s="1630">
        <v>2.0506516803571779</v>
      </c>
      <c r="O3104" s="1630"/>
    </row>
    <row r="3105" spans="11:15">
      <c r="K3105" s="1626">
        <v>45162</v>
      </c>
      <c r="L3105" s="1630" t="s">
        <v>2298</v>
      </c>
      <c r="M3105" s="910">
        <v>4.9036999999999997E-2</v>
      </c>
      <c r="N3105" s="1630">
        <v>2.0516572584216748</v>
      </c>
      <c r="O3105" s="1630"/>
    </row>
    <row r="3106" spans="11:15">
      <c r="K3106" s="1626">
        <v>45163</v>
      </c>
      <c r="L3106" s="1630" t="s">
        <v>2298</v>
      </c>
      <c r="M3106" s="910">
        <v>4.9036999999999997E-2</v>
      </c>
      <c r="N3106" s="1630">
        <v>2.0526633295914873</v>
      </c>
      <c r="O3106" s="1630"/>
    </row>
    <row r="3107" spans="11:15">
      <c r="K3107" s="1626">
        <v>45164</v>
      </c>
      <c r="L3107" s="1630"/>
      <c r="M3107" s="910">
        <v>0</v>
      </c>
      <c r="N3107" s="1630">
        <v>2.0526633295914873</v>
      </c>
      <c r="O3107" s="1630"/>
    </row>
    <row r="3108" spans="11:15">
      <c r="K3108" s="1626">
        <v>45165</v>
      </c>
      <c r="L3108" s="1630"/>
      <c r="M3108" s="910">
        <v>0</v>
      </c>
      <c r="N3108" s="1630">
        <v>2.0526633295914873</v>
      </c>
      <c r="O3108" s="1630"/>
    </row>
    <row r="3109" spans="11:15">
      <c r="K3109" s="1626">
        <v>45166</v>
      </c>
      <c r="L3109" s="1630" t="s">
        <v>2298</v>
      </c>
      <c r="M3109" s="910">
        <v>4.9036999999999997E-2</v>
      </c>
      <c r="N3109" s="1630">
        <v>2.053669894108419</v>
      </c>
      <c r="O3109" s="1630"/>
    </row>
    <row r="3110" spans="11:15">
      <c r="K3110" s="1626">
        <v>45167</v>
      </c>
      <c r="L3110" s="1630" t="s">
        <v>2298</v>
      </c>
      <c r="M3110" s="910">
        <v>4.9036999999999997E-2</v>
      </c>
      <c r="N3110" s="1630">
        <v>2.0546769522143933</v>
      </c>
      <c r="O3110" s="1630"/>
    </row>
    <row r="3111" spans="11:15">
      <c r="K3111" s="1626">
        <v>45168</v>
      </c>
      <c r="L3111" s="1630" t="s">
        <v>2298</v>
      </c>
      <c r="M3111" s="910">
        <v>4.9036999999999997E-2</v>
      </c>
      <c r="N3111" s="1630">
        <v>2.0556845041514507</v>
      </c>
      <c r="O3111" s="1630"/>
    </row>
    <row r="3112" spans="11:15">
      <c r="K3112" s="1626">
        <v>45169</v>
      </c>
      <c r="L3112" s="1630" t="s">
        <v>2298</v>
      </c>
      <c r="M3112" s="910">
        <v>4.9036999999999997E-2</v>
      </c>
      <c r="N3112" s="1630">
        <v>2.0566925501617517</v>
      </c>
      <c r="O3112" s="1630"/>
    </row>
    <row r="3113" spans="11:15">
      <c r="K3113" s="1626">
        <v>45170</v>
      </c>
      <c r="L3113" s="1630" t="s">
        <v>2298</v>
      </c>
      <c r="M3113" s="910">
        <v>4.9036999999999997E-2</v>
      </c>
      <c r="N3113" s="1630">
        <v>2.0577010904875745</v>
      </c>
      <c r="O3113" s="1630"/>
    </row>
    <row r="3114" spans="11:15">
      <c r="K3114" s="1626">
        <v>45171</v>
      </c>
      <c r="L3114" s="1630"/>
      <c r="M3114" s="910">
        <v>0</v>
      </c>
      <c r="N3114" s="1630">
        <v>2.0577010904875745</v>
      </c>
      <c r="O3114" s="1630"/>
    </row>
    <row r="3115" spans="11:15">
      <c r="K3115" s="1626">
        <v>45172</v>
      </c>
      <c r="L3115" s="1630"/>
      <c r="M3115" s="910">
        <v>0</v>
      </c>
      <c r="N3115" s="1630">
        <v>2.0577010904875745</v>
      </c>
      <c r="O3115" s="1630"/>
    </row>
    <row r="3116" spans="11:15">
      <c r="K3116" s="1626">
        <v>45173</v>
      </c>
      <c r="L3116" s="1630" t="s">
        <v>2298</v>
      </c>
      <c r="M3116" s="910">
        <v>4.9036999999999997E-2</v>
      </c>
      <c r="N3116" s="1630">
        <v>2.0587101253713169</v>
      </c>
      <c r="O3116" s="1630"/>
    </row>
    <row r="3117" spans="11:15">
      <c r="K3117" s="1626">
        <v>45174</v>
      </c>
      <c r="L3117" s="1630" t="s">
        <v>2298</v>
      </c>
      <c r="M3117" s="910">
        <v>4.9036999999999997E-2</v>
      </c>
      <c r="N3117" s="1630">
        <v>2.0597196550554955</v>
      </c>
      <c r="O3117" s="1630"/>
    </row>
    <row r="3118" spans="11:15">
      <c r="K3118" s="1626">
        <v>45175</v>
      </c>
      <c r="L3118" s="1630" t="s">
        <v>2298</v>
      </c>
      <c r="M3118" s="910">
        <v>4.9036999999999997E-2</v>
      </c>
      <c r="N3118" s="1630">
        <v>2.060729679782745</v>
      </c>
      <c r="O3118" s="1630"/>
    </row>
    <row r="3119" spans="11:15">
      <c r="K3119" s="1626">
        <v>45176</v>
      </c>
      <c r="L3119" s="1630"/>
      <c r="M3119" s="910">
        <v>0</v>
      </c>
      <c r="N3119" s="1630">
        <v>2.060729679782745</v>
      </c>
      <c r="O3119" s="1630"/>
    </row>
    <row r="3120" spans="11:15">
      <c r="K3120" s="1626">
        <v>45177</v>
      </c>
      <c r="L3120" s="1630" t="s">
        <v>2298</v>
      </c>
      <c r="M3120" s="910">
        <v>4.9036999999999997E-2</v>
      </c>
      <c r="N3120" s="1630">
        <v>2.0617401997958202</v>
      </c>
      <c r="O3120" s="1630"/>
    </row>
    <row r="3121" spans="11:15">
      <c r="K3121" s="1626">
        <v>45178</v>
      </c>
      <c r="L3121" s="1630"/>
      <c r="M3121" s="910">
        <v>0</v>
      </c>
      <c r="N3121" s="1630">
        <v>2.0617401997958202</v>
      </c>
      <c r="O3121" s="1630"/>
    </row>
    <row r="3122" spans="11:15">
      <c r="K3122" s="1626">
        <v>45179</v>
      </c>
      <c r="L3122" s="1630"/>
      <c r="M3122" s="910">
        <v>0</v>
      </c>
      <c r="N3122" s="1630">
        <v>2.0617401997958202</v>
      </c>
      <c r="O3122" s="1630"/>
    </row>
    <row r="3123" spans="11:15">
      <c r="K3123" s="1626">
        <v>45180</v>
      </c>
      <c r="L3123" s="1630" t="s">
        <v>2298</v>
      </c>
      <c r="M3123" s="910">
        <v>4.9036999999999997E-2</v>
      </c>
      <c r="N3123" s="1630">
        <v>2.0627512153375944</v>
      </c>
      <c r="O3123" s="1630"/>
    </row>
    <row r="3124" spans="11:15">
      <c r="K3124" s="1626">
        <v>45181</v>
      </c>
      <c r="L3124" s="1630" t="s">
        <v>2298</v>
      </c>
      <c r="M3124" s="910">
        <v>4.9036999999999997E-2</v>
      </c>
      <c r="N3124" s="1630">
        <v>2.0637627266510599</v>
      </c>
      <c r="O3124" s="1630"/>
    </row>
    <row r="3125" spans="11:15">
      <c r="K3125" s="1626">
        <v>45182</v>
      </c>
      <c r="L3125" s="1630" t="s">
        <v>2298</v>
      </c>
      <c r="M3125" s="910">
        <v>4.9036999999999997E-2</v>
      </c>
      <c r="N3125" s="1630">
        <v>2.0647747339793279</v>
      </c>
      <c r="O3125" s="1630"/>
    </row>
    <row r="3126" spans="11:15">
      <c r="K3126" s="1626">
        <v>45183</v>
      </c>
      <c r="L3126" s="1630" t="s">
        <v>2298</v>
      </c>
      <c r="M3126" s="910">
        <v>4.9036999999999997E-2</v>
      </c>
      <c r="N3126" s="1630">
        <v>2.0657872375656297</v>
      </c>
      <c r="O3126" s="1630"/>
    </row>
    <row r="3127" spans="11:15">
      <c r="K3127" s="1626">
        <v>45184</v>
      </c>
      <c r="L3127" s="1630" t="s">
        <v>2298</v>
      </c>
      <c r="M3127" s="910">
        <v>4.9036999999999997E-2</v>
      </c>
      <c r="N3127" s="1630">
        <v>2.066800237653315</v>
      </c>
      <c r="O3127" s="1630"/>
    </row>
    <row r="3128" spans="11:15">
      <c r="K3128" s="1626">
        <v>45185</v>
      </c>
      <c r="L3128" s="1630"/>
      <c r="M3128" s="910">
        <v>0</v>
      </c>
      <c r="N3128" s="1630">
        <v>2.066800237653315</v>
      </c>
      <c r="O3128" s="1630"/>
    </row>
    <row r="3129" spans="11:15">
      <c r="K3129" s="1626">
        <v>45186</v>
      </c>
      <c r="L3129" s="1630"/>
      <c r="M3129" s="910">
        <v>0</v>
      </c>
      <c r="N3129" s="1630">
        <v>2.066800237653315</v>
      </c>
      <c r="O3129" s="1630"/>
    </row>
    <row r="3130" spans="11:15">
      <c r="K3130" s="1626">
        <v>45187</v>
      </c>
      <c r="L3130" s="1630" t="s">
        <v>2298</v>
      </c>
      <c r="M3130" s="910">
        <v>4.9036999999999997E-2</v>
      </c>
      <c r="N3130" s="1630">
        <v>2.0678137344858531</v>
      </c>
      <c r="O3130" s="1630"/>
    </row>
    <row r="3131" spans="11:15">
      <c r="K3131" s="1626">
        <v>45188</v>
      </c>
      <c r="L3131" s="1630" t="s">
        <v>2298</v>
      </c>
      <c r="M3131" s="910">
        <v>4.9036999999999997E-2</v>
      </c>
      <c r="N3131" s="1630">
        <v>2.0688277283068333</v>
      </c>
      <c r="O3131" s="1630"/>
    </row>
    <row r="3132" spans="11:15">
      <c r="K3132" s="1626">
        <v>45189</v>
      </c>
      <c r="L3132" s="1630" t="s">
        <v>2298</v>
      </c>
      <c r="M3132" s="910">
        <v>4.9036999999999997E-2</v>
      </c>
      <c r="N3132" s="1630">
        <v>2.069842219359963</v>
      </c>
      <c r="O3132" s="1630"/>
    </row>
    <row r="3133" spans="11:15">
      <c r="K3133" s="1626">
        <v>45190</v>
      </c>
      <c r="L3133" s="1630" t="s">
        <v>2298</v>
      </c>
      <c r="M3133" s="910">
        <v>4.9036999999999997E-2</v>
      </c>
      <c r="N3133" s="1630">
        <v>2.0708572078890706</v>
      </c>
      <c r="O3133" s="1630"/>
    </row>
    <row r="3134" spans="11:15">
      <c r="K3134" s="1626">
        <v>45191</v>
      </c>
      <c r="L3134" s="1630" t="s">
        <v>2298</v>
      </c>
      <c r="M3134" s="910">
        <v>4.9036999999999997E-2</v>
      </c>
      <c r="N3134" s="1630">
        <v>2.0718726941381034</v>
      </c>
      <c r="O3134" s="1630"/>
    </row>
    <row r="3135" spans="11:15">
      <c r="K3135" s="1626">
        <v>45192</v>
      </c>
      <c r="L3135" s="1630"/>
      <c r="M3135" s="910">
        <v>0</v>
      </c>
      <c r="N3135" s="1630">
        <v>2.0718726941381034</v>
      </c>
      <c r="O3135" s="1630"/>
    </row>
    <row r="3136" spans="11:15">
      <c r="K3136" s="1626">
        <v>45193</v>
      </c>
      <c r="L3136" s="1630"/>
      <c r="M3136" s="910">
        <v>0</v>
      </c>
      <c r="N3136" s="1630">
        <v>2.0718726941381034</v>
      </c>
      <c r="O3136" s="1630"/>
    </row>
    <row r="3137" spans="11:15">
      <c r="K3137" s="1626">
        <v>45194</v>
      </c>
      <c r="L3137" s="1630" t="s">
        <v>2298</v>
      </c>
      <c r="M3137" s="910">
        <v>4.9036999999999997E-2</v>
      </c>
      <c r="N3137" s="1630">
        <v>2.072888678351128</v>
      </c>
      <c r="O3137" s="1630"/>
    </row>
    <row r="3138" spans="11:15">
      <c r="K3138" s="1626">
        <v>45195</v>
      </c>
      <c r="L3138" s="1630" t="s">
        <v>2298</v>
      </c>
      <c r="M3138" s="910">
        <v>4.9036999999999997E-2</v>
      </c>
      <c r="N3138" s="1630">
        <v>2.0739051607723313</v>
      </c>
      <c r="O3138" s="1630"/>
    </row>
    <row r="3139" spans="11:15">
      <c r="K3139" s="1626">
        <v>45196</v>
      </c>
      <c r="L3139" s="1630" t="s">
        <v>2298</v>
      </c>
      <c r="M3139" s="910">
        <v>4.9036999999999997E-2</v>
      </c>
      <c r="N3139" s="1630">
        <v>2.0749221416460193</v>
      </c>
      <c r="O3139" s="1630"/>
    </row>
    <row r="3140" spans="11:15">
      <c r="K3140" s="1626">
        <v>45197</v>
      </c>
      <c r="L3140" s="1630" t="s">
        <v>2298</v>
      </c>
      <c r="M3140" s="910">
        <v>4.9036999999999997E-2</v>
      </c>
      <c r="N3140" s="1630">
        <v>2.0759396212166186</v>
      </c>
      <c r="O3140" s="1630"/>
    </row>
    <row r="3141" spans="11:15">
      <c r="K3141" s="1626">
        <v>45198</v>
      </c>
      <c r="L3141" s="1630" t="s">
        <v>2298</v>
      </c>
      <c r="M3141" s="910">
        <v>4.9036999999999997E-2</v>
      </c>
      <c r="N3141" s="1630">
        <v>2.0769575997286749</v>
      </c>
      <c r="O3141" s="1630"/>
    </row>
    <row r="3142" spans="11:15">
      <c r="K3142" s="1626">
        <v>45199</v>
      </c>
      <c r="L3142" s="1630"/>
      <c r="M3142" s="910">
        <v>0</v>
      </c>
      <c r="N3142" s="1630">
        <v>2.0769575997286749</v>
      </c>
      <c r="O3142" s="1630"/>
    </row>
    <row r="3143" spans="11:15">
      <c r="K3143" s="1626">
        <v>45200</v>
      </c>
      <c r="L3143" s="1630"/>
      <c r="M3143" s="910">
        <v>0</v>
      </c>
      <c r="N3143" s="1630">
        <v>2.0769575997286749</v>
      </c>
      <c r="O3143" s="1630"/>
    </row>
    <row r="3144" spans="11:15">
      <c r="K3144" s="1626">
        <v>45201</v>
      </c>
      <c r="L3144" s="1630" t="s">
        <v>2298</v>
      </c>
      <c r="M3144" s="910">
        <v>4.9036999999999997E-2</v>
      </c>
      <c r="N3144" s="1630">
        <v>2.0779760774268539</v>
      </c>
      <c r="O3144" s="1630"/>
    </row>
    <row r="3145" spans="11:15">
      <c r="K3145" s="1626">
        <v>45202</v>
      </c>
      <c r="L3145" s="1630" t="s">
        <v>2298</v>
      </c>
      <c r="M3145" s="910">
        <v>4.9036999999999997E-2</v>
      </c>
      <c r="N3145" s="1630">
        <v>2.0789950545559419</v>
      </c>
      <c r="O3145" s="1630"/>
    </row>
    <row r="3146" spans="11:15">
      <c r="K3146" s="1626">
        <v>45203</v>
      </c>
      <c r="L3146" s="1630" t="s">
        <v>2298</v>
      </c>
      <c r="M3146" s="910">
        <v>4.9036999999999997E-2</v>
      </c>
      <c r="N3146" s="1630">
        <v>2.0800145313608445</v>
      </c>
      <c r="O3146" s="1630"/>
    </row>
    <row r="3147" spans="11:15">
      <c r="K3147" s="1626">
        <v>45204</v>
      </c>
      <c r="L3147" s="1630" t="s">
        <v>2298</v>
      </c>
      <c r="M3147" s="910">
        <v>4.9036999999999997E-2</v>
      </c>
      <c r="N3147" s="1630">
        <v>2.0810345080865882</v>
      </c>
      <c r="O3147" s="1630"/>
    </row>
    <row r="3148" spans="11:15">
      <c r="K3148" s="1626">
        <v>45205</v>
      </c>
      <c r="L3148" s="1630" t="s">
        <v>2298</v>
      </c>
      <c r="M3148" s="910">
        <v>4.9036999999999997E-2</v>
      </c>
      <c r="N3148" s="1630">
        <v>2.0820549849783188</v>
      </c>
      <c r="O3148" s="1630"/>
    </row>
    <row r="3149" spans="11:15">
      <c r="K3149" s="1626">
        <v>45206</v>
      </c>
      <c r="L3149" s="1630"/>
      <c r="M3149" s="910">
        <v>0</v>
      </c>
      <c r="N3149" s="1630">
        <v>2.0820549849783188</v>
      </c>
      <c r="O3149" s="1630"/>
    </row>
    <row r="3150" spans="11:15">
      <c r="K3150" s="1626">
        <v>45207</v>
      </c>
      <c r="L3150" s="1630"/>
      <c r="M3150" s="910">
        <v>0</v>
      </c>
      <c r="N3150" s="1630">
        <v>2.0820549849783188</v>
      </c>
      <c r="O3150" s="1630"/>
    </row>
    <row r="3151" spans="11:15">
      <c r="K3151" s="1626">
        <v>45208</v>
      </c>
      <c r="L3151" s="1630" t="s">
        <v>2298</v>
      </c>
      <c r="M3151" s="910">
        <v>4.9036999999999997E-2</v>
      </c>
      <c r="N3151" s="1630">
        <v>2.0830759622813027</v>
      </c>
      <c r="O3151" s="1630"/>
    </row>
    <row r="3152" spans="11:15">
      <c r="K3152" s="1626">
        <v>45209</v>
      </c>
      <c r="L3152" s="1630" t="s">
        <v>2298</v>
      </c>
      <c r="M3152" s="910">
        <v>4.9036999999999997E-2</v>
      </c>
      <c r="N3152" s="1630">
        <v>2.0840974402409267</v>
      </c>
      <c r="O3152" s="1630"/>
    </row>
    <row r="3153" spans="11:15">
      <c r="K3153" s="1626">
        <v>45210</v>
      </c>
      <c r="L3153" s="1630" t="s">
        <v>2298</v>
      </c>
      <c r="M3153" s="910">
        <v>4.9036999999999997E-2</v>
      </c>
      <c r="N3153" s="1630">
        <v>2.0851194191026976</v>
      </c>
      <c r="O3153" s="1630"/>
    </row>
    <row r="3154" spans="11:15">
      <c r="K3154" s="1626">
        <v>45211</v>
      </c>
      <c r="L3154" s="1630"/>
      <c r="M3154" s="910">
        <v>0</v>
      </c>
      <c r="N3154" s="1630">
        <v>2.0851194191026976</v>
      </c>
      <c r="O3154" s="1630"/>
    </row>
    <row r="3155" spans="11:15">
      <c r="K3155" s="1626">
        <v>45212</v>
      </c>
      <c r="L3155" s="1630" t="s">
        <v>2298</v>
      </c>
      <c r="M3155" s="910">
        <v>4.9036999999999997E-2</v>
      </c>
      <c r="N3155" s="1630">
        <v>2.0861418991122433</v>
      </c>
      <c r="O3155" s="1630"/>
    </row>
    <row r="3156" spans="11:15">
      <c r="K3156" s="1626">
        <v>45213</v>
      </c>
      <c r="L3156" s="1630"/>
      <c r="M3156" s="910">
        <v>0</v>
      </c>
      <c r="N3156" s="1630">
        <v>2.0861418991122433</v>
      </c>
      <c r="O3156" s="1630"/>
    </row>
    <row r="3157" spans="11:15">
      <c r="K3157" s="1626">
        <v>45214</v>
      </c>
      <c r="L3157" s="1630"/>
      <c r="M3157" s="910">
        <v>0</v>
      </c>
      <c r="N3157" s="1630">
        <v>2.0861418991122433</v>
      </c>
      <c r="O3157" s="1630"/>
    </row>
    <row r="3158" spans="11:15">
      <c r="K3158" s="1626">
        <v>45215</v>
      </c>
      <c r="L3158" s="1630" t="s">
        <v>2298</v>
      </c>
      <c r="M3158" s="910">
        <v>4.9036999999999997E-2</v>
      </c>
      <c r="N3158" s="1630">
        <v>2.0871648805153113</v>
      </c>
      <c r="O3158" s="1630"/>
    </row>
    <row r="3159" spans="11:15">
      <c r="K3159" s="1626">
        <v>45216</v>
      </c>
      <c r="L3159" s="1630" t="s">
        <v>2298</v>
      </c>
      <c r="M3159" s="910">
        <v>4.9036999999999997E-2</v>
      </c>
      <c r="N3159" s="1630">
        <v>2.0881883635577698</v>
      </c>
      <c r="O3159" s="1630"/>
    </row>
    <row r="3160" spans="11:15">
      <c r="K3160" s="1626">
        <v>45217</v>
      </c>
      <c r="L3160" s="1630" t="s">
        <v>2298</v>
      </c>
      <c r="M3160" s="910">
        <v>4.9036999999999997E-2</v>
      </c>
      <c r="N3160" s="1630">
        <v>2.0892123484856078</v>
      </c>
      <c r="O3160" s="1630"/>
    </row>
    <row r="3161" spans="11:15">
      <c r="K3161" s="1626">
        <v>45218</v>
      </c>
      <c r="L3161" s="1630" t="s">
        <v>2298</v>
      </c>
      <c r="M3161" s="910">
        <v>4.9036999999999997E-2</v>
      </c>
      <c r="N3161" s="1630">
        <v>2.090236835544935</v>
      </c>
      <c r="O3161" s="1630"/>
    </row>
    <row r="3162" spans="11:15">
      <c r="K3162" s="1626">
        <v>45219</v>
      </c>
      <c r="L3162" s="1630" t="s">
        <v>2298</v>
      </c>
      <c r="M3162" s="910">
        <v>4.9036999999999997E-2</v>
      </c>
      <c r="N3162" s="1630">
        <v>2.0912618249819812</v>
      </c>
      <c r="O3162" s="1630"/>
    </row>
    <row r="3163" spans="11:15">
      <c r="K3163" s="1626">
        <v>45220</v>
      </c>
      <c r="L3163" s="1630"/>
      <c r="M3163" s="910">
        <v>0</v>
      </c>
      <c r="N3163" s="1630">
        <v>2.0912618249819812</v>
      </c>
      <c r="O3163" s="1630"/>
    </row>
    <row r="3164" spans="11:15">
      <c r="K3164" s="1626">
        <v>45221</v>
      </c>
      <c r="L3164" s="1630"/>
      <c r="M3164" s="910">
        <v>0</v>
      </c>
      <c r="N3164" s="1630">
        <v>2.0912618249819812</v>
      </c>
      <c r="O3164" s="1630"/>
    </row>
    <row r="3165" spans="11:15">
      <c r="K3165" s="1626">
        <v>45222</v>
      </c>
      <c r="L3165" s="1630" t="s">
        <v>2298</v>
      </c>
      <c r="M3165" s="910">
        <v>4.9036999999999997E-2</v>
      </c>
      <c r="N3165" s="1630">
        <v>2.0922873170430978</v>
      </c>
      <c r="O3165" s="1630"/>
    </row>
    <row r="3166" spans="11:15">
      <c r="K3166" s="1626">
        <v>45223</v>
      </c>
      <c r="L3166" s="1630" t="s">
        <v>2298</v>
      </c>
      <c r="M3166" s="910">
        <v>4.9036999999999997E-2</v>
      </c>
      <c r="N3166" s="1630">
        <v>2.0933133119747565</v>
      </c>
      <c r="O3166" s="1630"/>
    </row>
    <row r="3167" spans="11:15">
      <c r="K3167" s="1626">
        <v>45224</v>
      </c>
      <c r="L3167" s="1630" t="s">
        <v>2298</v>
      </c>
      <c r="M3167" s="910">
        <v>4.9036999999999997E-2</v>
      </c>
      <c r="N3167" s="1630">
        <v>2.0943398100235497</v>
      </c>
      <c r="O3167" s="1630"/>
    </row>
    <row r="3168" spans="11:15">
      <c r="K3168" s="1626">
        <v>45225</v>
      </c>
      <c r="L3168" s="1630" t="s">
        <v>2298</v>
      </c>
      <c r="M3168" s="910">
        <v>4.9036999999999997E-2</v>
      </c>
      <c r="N3168" s="1630">
        <v>2.095366811436191</v>
      </c>
      <c r="O3168" s="1630"/>
    </row>
    <row r="3169" spans="11:15">
      <c r="K3169" s="1626">
        <v>45226</v>
      </c>
      <c r="L3169" s="1630" t="s">
        <v>2298</v>
      </c>
      <c r="M3169" s="910">
        <v>4.9036999999999997E-2</v>
      </c>
      <c r="N3169" s="1630">
        <v>2.0963943164595151</v>
      </c>
      <c r="O3169" s="1630"/>
    </row>
    <row r="3170" spans="11:15">
      <c r="K3170" s="1626">
        <v>45227</v>
      </c>
      <c r="L3170" s="1630"/>
      <c r="M3170" s="910">
        <v>0</v>
      </c>
      <c r="N3170" s="1630">
        <v>2.0963943164595151</v>
      </c>
      <c r="O3170" s="1630"/>
    </row>
    <row r="3171" spans="11:15">
      <c r="K3171" s="1626">
        <v>45228</v>
      </c>
      <c r="L3171" s="1630"/>
      <c r="M3171" s="910">
        <v>0</v>
      </c>
      <c r="N3171" s="1630">
        <v>2.0963943164595151</v>
      </c>
      <c r="O3171" s="1630"/>
    </row>
    <row r="3172" spans="11:15">
      <c r="K3172" s="1626">
        <v>45229</v>
      </c>
      <c r="L3172" s="1630" t="s">
        <v>2298</v>
      </c>
      <c r="M3172" s="910">
        <v>4.9036999999999997E-2</v>
      </c>
      <c r="N3172" s="1630">
        <v>2.0974223253404776</v>
      </c>
      <c r="O3172" s="1630"/>
    </row>
    <row r="3173" spans="11:15">
      <c r="K3173" s="1626">
        <v>45230</v>
      </c>
      <c r="L3173" s="1630" t="s">
        <v>2298</v>
      </c>
      <c r="M3173" s="910">
        <v>4.9036999999999997E-2</v>
      </c>
      <c r="N3173" s="1630">
        <v>2.0984508383261549</v>
      </c>
      <c r="O3173" s="1630"/>
    </row>
    <row r="3174" spans="11:15">
      <c r="K3174" s="1626">
        <v>45231</v>
      </c>
      <c r="L3174" s="1630" t="s">
        <v>2298</v>
      </c>
      <c r="M3174" s="910">
        <v>4.9036999999999997E-2</v>
      </c>
      <c r="N3174" s="1630">
        <v>2.0994798556637448</v>
      </c>
      <c r="O3174" s="1630"/>
    </row>
    <row r="3175" spans="11:15">
      <c r="K3175" s="1626">
        <v>45232</v>
      </c>
      <c r="L3175" s="1630"/>
      <c r="M3175" s="910">
        <v>0</v>
      </c>
      <c r="N3175" s="1630">
        <v>2.0994798556637448</v>
      </c>
      <c r="O3175" s="1630"/>
    </row>
    <row r="3176" spans="11:15">
      <c r="K3176" s="1626">
        <v>45233</v>
      </c>
      <c r="L3176" s="1630" t="s">
        <v>2298</v>
      </c>
      <c r="M3176" s="910">
        <v>4.9036999999999997E-2</v>
      </c>
      <c r="N3176" s="1630">
        <v>2.100509377600567</v>
      </c>
      <c r="O3176" s="1630"/>
    </row>
    <row r="3177" spans="11:15">
      <c r="K3177" s="1626">
        <v>45234</v>
      </c>
      <c r="L3177" s="1630"/>
      <c r="M3177" s="910">
        <v>0</v>
      </c>
      <c r="N3177" s="1630">
        <v>2.100509377600567</v>
      </c>
      <c r="O3177" s="1630"/>
    </row>
    <row r="3178" spans="11:15">
      <c r="K3178" s="1626">
        <v>45235</v>
      </c>
      <c r="L3178" s="1630"/>
      <c r="M3178" s="910">
        <v>0</v>
      </c>
      <c r="N3178" s="1630">
        <v>2.100509377600567</v>
      </c>
      <c r="O3178" s="1630"/>
    </row>
    <row r="3179" spans="11:15">
      <c r="K3179" s="1626">
        <v>45236</v>
      </c>
      <c r="L3179" s="1630" t="s">
        <v>2298</v>
      </c>
      <c r="M3179" s="910">
        <v>4.9036999999999997E-2</v>
      </c>
      <c r="N3179" s="1630">
        <v>2.1015394043840612</v>
      </c>
      <c r="O3179" s="1630"/>
    </row>
    <row r="3180" spans="11:15">
      <c r="K3180" s="1626">
        <v>45237</v>
      </c>
      <c r="L3180" s="1630" t="s">
        <v>2298</v>
      </c>
      <c r="M3180" s="910">
        <v>4.9036999999999997E-2</v>
      </c>
      <c r="N3180" s="1630">
        <v>2.1025699362617893</v>
      </c>
      <c r="O3180" s="1630"/>
    </row>
    <row r="3181" spans="11:15">
      <c r="K3181" s="1626">
        <v>45238</v>
      </c>
      <c r="L3181" s="1630" t="s">
        <v>2298</v>
      </c>
      <c r="M3181" s="910">
        <v>4.9036999999999997E-2</v>
      </c>
      <c r="N3181" s="1630">
        <v>2.1036009734814343</v>
      </c>
      <c r="O3181" s="1630"/>
    </row>
    <row r="3182" spans="11:15">
      <c r="K3182" s="1626">
        <v>45239</v>
      </c>
      <c r="L3182" s="1630" t="s">
        <v>2298</v>
      </c>
      <c r="M3182" s="910">
        <v>4.9036999999999997E-2</v>
      </c>
      <c r="N3182" s="1630">
        <v>2.1046325162908004</v>
      </c>
      <c r="O3182" s="1630"/>
    </row>
    <row r="3183" spans="11:15">
      <c r="K3183" s="1626">
        <v>45240</v>
      </c>
      <c r="L3183" s="1630" t="s">
        <v>2298</v>
      </c>
      <c r="M3183" s="910">
        <v>4.9036999999999997E-2</v>
      </c>
      <c r="N3183" s="1630">
        <v>2.1056645649378143</v>
      </c>
      <c r="O3183" s="1630"/>
    </row>
    <row r="3184" spans="11:15">
      <c r="K3184" s="1626">
        <v>45241</v>
      </c>
      <c r="L3184" s="1630"/>
      <c r="M3184" s="910">
        <v>0</v>
      </c>
      <c r="N3184" s="1630">
        <v>2.1056645649378143</v>
      </c>
      <c r="O3184" s="1630"/>
    </row>
    <row r="3185" spans="11:15">
      <c r="K3185" s="1626">
        <v>45242</v>
      </c>
      <c r="L3185" s="1630"/>
      <c r="M3185" s="910">
        <v>0</v>
      </c>
      <c r="N3185" s="1630">
        <v>2.1056645649378143</v>
      </c>
      <c r="O3185" s="1630"/>
    </row>
    <row r="3186" spans="11:15">
      <c r="K3186" s="1626">
        <v>45243</v>
      </c>
      <c r="L3186" s="1630" t="s">
        <v>2298</v>
      </c>
      <c r="M3186" s="910">
        <v>4.9036999999999997E-2</v>
      </c>
      <c r="N3186" s="1630">
        <v>2.1066971196705229</v>
      </c>
      <c r="O3186" s="1630"/>
    </row>
    <row r="3187" spans="11:15">
      <c r="K3187" s="1626">
        <v>45244</v>
      </c>
      <c r="L3187" s="1630" t="s">
        <v>2298</v>
      </c>
      <c r="M3187" s="910">
        <v>4.9036999999999997E-2</v>
      </c>
      <c r="N3187" s="1630">
        <v>2.1077301807370961</v>
      </c>
      <c r="O3187" s="1630"/>
    </row>
    <row r="3188" spans="11:15">
      <c r="K3188" s="1626">
        <v>45245</v>
      </c>
      <c r="L3188" s="1630"/>
      <c r="M3188" s="910">
        <v>0</v>
      </c>
      <c r="N3188" s="1630">
        <v>2.1077301807370961</v>
      </c>
      <c r="O3188" s="1630"/>
    </row>
    <row r="3189" spans="11:15">
      <c r="K3189" s="1626">
        <v>45246</v>
      </c>
      <c r="L3189" s="1630" t="s">
        <v>2298</v>
      </c>
      <c r="M3189" s="910">
        <v>4.9036999999999997E-2</v>
      </c>
      <c r="N3189" s="1630">
        <v>2.1087637483858241</v>
      </c>
      <c r="O3189" s="1630"/>
    </row>
    <row r="3190" spans="11:15">
      <c r="K3190" s="1626">
        <v>45247</v>
      </c>
      <c r="L3190" s="1630" t="s">
        <v>2298</v>
      </c>
      <c r="M3190" s="910">
        <v>4.9036999999999997E-2</v>
      </c>
      <c r="N3190" s="1630">
        <v>2.1097978228651204</v>
      </c>
      <c r="O3190" s="1630"/>
    </row>
    <row r="3191" spans="11:15">
      <c r="K3191" s="1626">
        <v>45248</v>
      </c>
      <c r="L3191" s="1630"/>
      <c r="M3191" s="910">
        <v>0</v>
      </c>
      <c r="N3191" s="1630">
        <v>2.1097978228651204</v>
      </c>
      <c r="O3191" s="1630"/>
    </row>
    <row r="3192" spans="11:15">
      <c r="K3192" s="1626">
        <v>45249</v>
      </c>
      <c r="L3192" s="1630"/>
      <c r="M3192" s="910">
        <v>0</v>
      </c>
      <c r="N3192" s="1630">
        <v>2.1097978228651204</v>
      </c>
      <c r="O3192" s="1630"/>
    </row>
    <row r="3193" spans="11:15">
      <c r="K3193" s="1626">
        <v>45250</v>
      </c>
      <c r="L3193" s="1630" t="s">
        <v>2298</v>
      </c>
      <c r="M3193" s="910">
        <v>4.9036999999999997E-2</v>
      </c>
      <c r="N3193" s="1630">
        <v>2.1108324044235189</v>
      </c>
      <c r="O3193" s="1630"/>
    </row>
    <row r="3194" spans="11:15">
      <c r="K3194" s="1626">
        <v>45251</v>
      </c>
      <c r="L3194" s="1630" t="s">
        <v>2298</v>
      </c>
      <c r="M3194" s="910">
        <v>4.9036999999999997E-2</v>
      </c>
      <c r="N3194" s="1630">
        <v>2.1118674933096764</v>
      </c>
      <c r="O3194" s="1630"/>
    </row>
    <row r="3195" spans="11:15">
      <c r="K3195" s="1626">
        <v>45252</v>
      </c>
      <c r="L3195" s="1630" t="s">
        <v>2298</v>
      </c>
      <c r="M3195" s="910">
        <v>4.9036999999999997E-2</v>
      </c>
      <c r="N3195" s="1630">
        <v>2.1129030897723706</v>
      </c>
      <c r="O3195" s="1630"/>
    </row>
    <row r="3196" spans="11:15">
      <c r="K3196" s="1626">
        <v>45253</v>
      </c>
      <c r="L3196" s="1630" t="s">
        <v>2298</v>
      </c>
      <c r="M3196" s="910">
        <v>4.9036999999999997E-2</v>
      </c>
      <c r="N3196" s="1630">
        <v>2.1139391940605026</v>
      </c>
      <c r="O3196" s="1630"/>
    </row>
    <row r="3197" spans="11:15">
      <c r="K3197" s="1626">
        <v>45254</v>
      </c>
      <c r="L3197" s="1630" t="s">
        <v>2298</v>
      </c>
      <c r="M3197" s="910">
        <v>4.9036999999999997E-2</v>
      </c>
      <c r="N3197" s="1630">
        <v>2.1149758064230944</v>
      </c>
      <c r="O3197" s="1630"/>
    </row>
    <row r="3198" spans="11:15">
      <c r="K3198" s="1626">
        <v>45255</v>
      </c>
      <c r="L3198" s="1630"/>
      <c r="M3198" s="910">
        <v>0</v>
      </c>
      <c r="N3198" s="1630">
        <v>2.1149758064230944</v>
      </c>
      <c r="O3198" s="1630"/>
    </row>
    <row r="3199" spans="11:15">
      <c r="K3199" s="1626">
        <v>45256</v>
      </c>
      <c r="L3199" s="1630"/>
      <c r="M3199" s="910">
        <v>0</v>
      </c>
      <c r="N3199" s="1630">
        <v>2.1149758064230944</v>
      </c>
      <c r="O3199" s="1630"/>
    </row>
    <row r="3200" spans="11:15">
      <c r="K3200" s="1626">
        <v>45257</v>
      </c>
      <c r="L3200" s="1630" t="s">
        <v>2298</v>
      </c>
      <c r="M3200" s="910">
        <v>4.9036999999999997E-2</v>
      </c>
      <c r="N3200" s="1630">
        <v>2.1160129271092902</v>
      </c>
      <c r="O3200" s="1630"/>
    </row>
    <row r="3201" spans="11:15">
      <c r="K3201" s="1626">
        <v>45258</v>
      </c>
      <c r="L3201" s="1630" t="s">
        <v>2298</v>
      </c>
      <c r="M3201" s="910">
        <v>4.9036999999999997E-2</v>
      </c>
      <c r="N3201" s="1630">
        <v>2.117050556368357</v>
      </c>
      <c r="O3201" s="1630"/>
    </row>
    <row r="3202" spans="11:15">
      <c r="K3202" s="1626">
        <v>45259</v>
      </c>
      <c r="L3202" s="1630" t="s">
        <v>2298</v>
      </c>
      <c r="M3202" s="910">
        <v>4.9036999999999997E-2</v>
      </c>
      <c r="N3202" s="1630">
        <v>2.1180886944496837</v>
      </c>
      <c r="O3202" s="1630"/>
    </row>
    <row r="3203" spans="11:15">
      <c r="K3203" s="1626">
        <v>45260</v>
      </c>
      <c r="L3203" s="1630" t="s">
        <v>2298</v>
      </c>
      <c r="M3203" s="910">
        <v>4.9036999999999997E-2</v>
      </c>
      <c r="N3203" s="1630">
        <v>2.1191273416027814</v>
      </c>
      <c r="O3203" s="1630"/>
    </row>
    <row r="3204" spans="11:15">
      <c r="K3204" s="1626">
        <v>45261</v>
      </c>
      <c r="L3204" s="1630" t="s">
        <v>2298</v>
      </c>
      <c r="M3204" s="910">
        <v>4.9036999999999997E-2</v>
      </c>
      <c r="N3204" s="1630">
        <v>2.1201664980772832</v>
      </c>
      <c r="O3204" s="1630"/>
    </row>
    <row r="3205" spans="11:15">
      <c r="K3205" s="1626">
        <v>45262</v>
      </c>
      <c r="L3205" s="1630"/>
      <c r="M3205" s="910">
        <v>0</v>
      </c>
      <c r="N3205" s="1630">
        <v>2.1201664980772832</v>
      </c>
      <c r="O3205" s="1630"/>
    </row>
    <row r="3206" spans="11:15">
      <c r="K3206" s="1626">
        <v>45263</v>
      </c>
      <c r="L3206" s="1630"/>
      <c r="M3206" s="910">
        <v>0</v>
      </c>
      <c r="N3206" s="1630">
        <v>2.1201664980772832</v>
      </c>
      <c r="O3206" s="1630"/>
    </row>
    <row r="3207" spans="11:15">
      <c r="K3207" s="1626">
        <v>45264</v>
      </c>
      <c r="L3207" s="1630" t="s">
        <v>2298</v>
      </c>
      <c r="M3207" s="910">
        <v>4.9036999999999997E-2</v>
      </c>
      <c r="N3207" s="1630">
        <v>2.1212061641229454</v>
      </c>
      <c r="O3207" s="1630"/>
    </row>
    <row r="3208" spans="11:15">
      <c r="K3208" s="1626">
        <v>45265</v>
      </c>
      <c r="L3208" s="1630" t="s">
        <v>2298</v>
      </c>
      <c r="M3208" s="910">
        <v>4.9036999999999997E-2</v>
      </c>
      <c r="N3208" s="1630">
        <v>2.1222463399896463</v>
      </c>
      <c r="O3208" s="1630"/>
    </row>
    <row r="3209" spans="11:15">
      <c r="K3209" s="1626">
        <v>45266</v>
      </c>
      <c r="L3209" s="1630" t="s">
        <v>2298</v>
      </c>
      <c r="M3209" s="910">
        <v>4.9036999999999997E-2</v>
      </c>
      <c r="N3209" s="1630">
        <v>2.1232870259273873</v>
      </c>
      <c r="O3209" s="1630"/>
    </row>
    <row r="3210" spans="11:15">
      <c r="K3210" s="1626">
        <v>45267</v>
      </c>
      <c r="L3210" s="1630" t="s">
        <v>2298</v>
      </c>
      <c r="M3210" s="910">
        <v>4.9036999999999997E-2</v>
      </c>
      <c r="N3210" s="1630">
        <v>2.1243282221862914</v>
      </c>
      <c r="O3210" s="1630"/>
    </row>
    <row r="3211" spans="11:15">
      <c r="K3211" s="1626">
        <v>45268</v>
      </c>
      <c r="L3211" s="1630" t="s">
        <v>2298</v>
      </c>
      <c r="M3211" s="910">
        <v>4.9036999999999997E-2</v>
      </c>
      <c r="N3211" s="1630">
        <v>2.125369929016605</v>
      </c>
      <c r="O3211" s="1630"/>
    </row>
    <row r="3212" spans="11:15">
      <c r="K3212" s="1626">
        <v>45269</v>
      </c>
      <c r="L3212" s="1630"/>
      <c r="M3212" s="910">
        <v>0</v>
      </c>
      <c r="N3212" s="1630">
        <v>2.125369929016605</v>
      </c>
      <c r="O3212" s="1630"/>
    </row>
    <row r="3213" spans="11:15">
      <c r="K3213" s="1626">
        <v>45270</v>
      </c>
      <c r="L3213" s="1630"/>
      <c r="M3213" s="910">
        <v>0</v>
      </c>
      <c r="N3213" s="1630">
        <v>2.125369929016605</v>
      </c>
      <c r="O3213" s="1630"/>
    </row>
    <row r="3214" spans="11:15">
      <c r="K3214" s="1626">
        <v>45271</v>
      </c>
      <c r="L3214" s="1630" t="s">
        <v>2298</v>
      </c>
      <c r="M3214" s="910">
        <v>4.9036999999999997E-2</v>
      </c>
      <c r="N3214" s="1630">
        <v>2.1264121466686969</v>
      </c>
      <c r="O3214" s="1630"/>
    </row>
    <row r="3215" spans="11:15">
      <c r="K3215" s="1626">
        <v>45272</v>
      </c>
      <c r="L3215" s="1" t="s">
        <v>2298</v>
      </c>
      <c r="M3215" s="1">
        <v>4.9036999999999997E-2</v>
      </c>
      <c r="N3215" s="1">
        <v>2.1274548753930591</v>
      </c>
    </row>
    <row r="3216" spans="11:15">
      <c r="K3216" s="1626">
        <v>45273</v>
      </c>
      <c r="L3216" s="1" t="s">
        <v>2298</v>
      </c>
      <c r="M3216" s="1">
        <v>4.9036999999999997E-2</v>
      </c>
      <c r="N3216" s="1">
        <v>2.1284981154403058</v>
      </c>
    </row>
    <row r="3217" spans="11:14">
      <c r="K3217" s="1626">
        <v>45274</v>
      </c>
      <c r="L3217" s="1" t="s">
        <v>2298</v>
      </c>
      <c r="M3217" s="1">
        <v>4.9036999999999997E-2</v>
      </c>
      <c r="N3217" s="1">
        <v>2.1295418670611745</v>
      </c>
    </row>
    <row r="3218" spans="11:14">
      <c r="K3218" s="1626">
        <v>45275</v>
      </c>
      <c r="L3218" s="1" t="s">
        <v>2298</v>
      </c>
      <c r="M3218" s="1">
        <v>4.9036999999999997E-2</v>
      </c>
      <c r="N3218" s="1">
        <v>2.1305861305065257</v>
      </c>
    </row>
    <row r="3219" spans="11:14">
      <c r="K3219" s="1626">
        <v>45276</v>
      </c>
      <c r="M3219" s="1">
        <v>0</v>
      </c>
      <c r="N3219" s="1">
        <v>2.1305861305065257</v>
      </c>
    </row>
    <row r="3220" spans="11:14">
      <c r="K3220" s="1626">
        <v>45277</v>
      </c>
      <c r="M3220" s="1">
        <v>0</v>
      </c>
      <c r="N3220" s="1">
        <v>2.1305861305065257</v>
      </c>
    </row>
    <row r="3221" spans="11:14">
      <c r="K3221" s="1626">
        <v>45278</v>
      </c>
      <c r="L3221" s="1" t="s">
        <v>2298</v>
      </c>
      <c r="M3221" s="1">
        <v>4.9036999999999997E-2</v>
      </c>
      <c r="N3221" s="1">
        <v>2.1316309060273424</v>
      </c>
    </row>
    <row r="3222" spans="11:14">
      <c r="K3222" s="1626">
        <v>45279</v>
      </c>
      <c r="L3222" s="1" t="s">
        <v>2298</v>
      </c>
      <c r="M3222" s="1">
        <v>4.9036999999999997E-2</v>
      </c>
      <c r="N3222" s="1">
        <v>2.1326761938747314</v>
      </c>
    </row>
    <row r="3223" spans="11:14">
      <c r="K3223" s="1626">
        <v>45280</v>
      </c>
      <c r="L3223" s="1" t="s">
        <v>2298</v>
      </c>
      <c r="M3223" s="1">
        <v>4.9036999999999997E-2</v>
      </c>
      <c r="N3223" s="1">
        <v>2.1337219942999219</v>
      </c>
    </row>
    <row r="3224" spans="11:14">
      <c r="K3224" s="1626">
        <v>45281</v>
      </c>
      <c r="L3224" s="1" t="s">
        <v>2298</v>
      </c>
      <c r="M3224" s="1">
        <v>4.9036999999999997E-2</v>
      </c>
      <c r="N3224" s="1">
        <v>2.1347683075542667</v>
      </c>
    </row>
    <row r="3225" spans="11:14">
      <c r="K3225" s="1626">
        <v>45282</v>
      </c>
      <c r="L3225" s="1" t="s">
        <v>2298</v>
      </c>
      <c r="M3225" s="1">
        <v>4.9036999999999997E-2</v>
      </c>
      <c r="N3225" s="1">
        <v>2.1358151338892424</v>
      </c>
    </row>
    <row r="3226" spans="11:14">
      <c r="K3226" s="1626">
        <v>45283</v>
      </c>
      <c r="M3226" s="1">
        <v>0</v>
      </c>
      <c r="N3226" s="1">
        <v>2.1358151338892424</v>
      </c>
    </row>
    <row r="3227" spans="11:14">
      <c r="K3227" s="1626">
        <v>45284</v>
      </c>
      <c r="M3227" s="1">
        <v>0</v>
      </c>
      <c r="N3227" s="1">
        <v>2.1358151338892424</v>
      </c>
    </row>
    <row r="3228" spans="11:14">
      <c r="K3228" s="1626">
        <v>45285</v>
      </c>
      <c r="M3228" s="1">
        <v>0</v>
      </c>
      <c r="N3228" s="1">
        <v>2.1358151338892424</v>
      </c>
    </row>
    <row r="3229" spans="11:14">
      <c r="K3229" s="1626">
        <v>45286</v>
      </c>
      <c r="L3229" s="1" t="s">
        <v>2298</v>
      </c>
      <c r="M3229" s="1">
        <v>4.9036999999999997E-2</v>
      </c>
      <c r="N3229" s="1">
        <v>2.1368624735564477</v>
      </c>
    </row>
    <row r="3230" spans="11:14">
      <c r="K3230" s="1626">
        <v>45287</v>
      </c>
      <c r="L3230" s="1" t="s">
        <v>2298</v>
      </c>
      <c r="M3230" s="1">
        <v>4.9036999999999997E-2</v>
      </c>
      <c r="N3230" s="1">
        <v>2.1379103268076056</v>
      </c>
    </row>
    <row r="3231" spans="11:14">
      <c r="K3231" s="1626">
        <v>45288</v>
      </c>
      <c r="L3231" s="1" t="s">
        <v>2298</v>
      </c>
      <c r="M3231" s="1">
        <v>4.9036999999999997E-2</v>
      </c>
      <c r="N3231" s="1">
        <v>2.1389586938945624</v>
      </c>
    </row>
    <row r="3232" spans="11:14">
      <c r="K3232" s="1626">
        <v>45289</v>
      </c>
      <c r="L3232" s="1" t="s">
        <v>2298</v>
      </c>
      <c r="M3232" s="1">
        <v>4.9036999999999997E-2</v>
      </c>
      <c r="N3232" s="1">
        <v>2.1400075750692875</v>
      </c>
    </row>
    <row r="3233" spans="11:14">
      <c r="K3233" s="1626">
        <v>45290</v>
      </c>
      <c r="M3233" s="1">
        <v>0</v>
      </c>
      <c r="N3233" s="1">
        <v>2.1400075750692875</v>
      </c>
    </row>
    <row r="3234" spans="11:14">
      <c r="K3234" s="1626">
        <v>45291</v>
      </c>
      <c r="M3234" s="1">
        <v>0</v>
      </c>
      <c r="N3234" s="1">
        <v>2.1400075750692875</v>
      </c>
    </row>
    <row r="3235" spans="11:14">
      <c r="K3235" s="1626">
        <v>45292</v>
      </c>
      <c r="M3235" s="1">
        <v>0</v>
      </c>
      <c r="N3235" s="1">
        <v>2.1400075750692875</v>
      </c>
    </row>
    <row r="3236" spans="11:14">
      <c r="K3236" s="1626">
        <v>45293</v>
      </c>
      <c r="L3236" s="1" t="s">
        <v>2298</v>
      </c>
      <c r="M3236" s="1">
        <v>4.9036999999999997E-2</v>
      </c>
      <c r="N3236" s="1">
        <v>2.1410569705838745</v>
      </c>
    </row>
    <row r="3237" spans="11:14">
      <c r="K3237" s="1626">
        <v>45294</v>
      </c>
      <c r="L3237" s="1" t="s">
        <v>2298</v>
      </c>
      <c r="M3237" s="1">
        <v>4.9036999999999997E-2</v>
      </c>
      <c r="N3237" s="1">
        <v>2.1421068806905397</v>
      </c>
    </row>
    <row r="3238" spans="11:14">
      <c r="K3238" s="1626">
        <v>45295</v>
      </c>
      <c r="L3238" s="1" t="s">
        <v>2298</v>
      </c>
      <c r="M3238" s="1">
        <v>4.9036999999999997E-2</v>
      </c>
      <c r="N3238" s="1">
        <v>2.143157305641624</v>
      </c>
    </row>
    <row r="3239" spans="11:14">
      <c r="K3239" s="1626">
        <v>45296</v>
      </c>
      <c r="L3239" s="1" t="s">
        <v>2298</v>
      </c>
      <c r="M3239" s="1">
        <v>4.9036999999999997E-2</v>
      </c>
      <c r="N3239" s="1">
        <v>2.1442082456895917</v>
      </c>
    </row>
    <row r="3240" spans="11:14">
      <c r="K3240" s="1626">
        <v>45297</v>
      </c>
      <c r="M3240" s="1">
        <v>0</v>
      </c>
      <c r="N3240" s="1">
        <v>2.1442082456895917</v>
      </c>
    </row>
    <row r="3241" spans="11:14">
      <c r="K3241" s="1626">
        <v>45298</v>
      </c>
      <c r="M3241" s="1">
        <v>0</v>
      </c>
      <c r="N3241" s="1">
        <v>2.1442082456895917</v>
      </c>
    </row>
    <row r="3242" spans="11:14">
      <c r="K3242" s="1626">
        <v>45299</v>
      </c>
      <c r="L3242" s="1" t="s">
        <v>2298</v>
      </c>
      <c r="M3242" s="1">
        <v>4.9036999999999997E-2</v>
      </c>
      <c r="N3242" s="1">
        <v>2.1452597010870305</v>
      </c>
    </row>
    <row r="3243" spans="11:14">
      <c r="K3243" s="1626">
        <v>45300</v>
      </c>
      <c r="L3243" s="1" t="s">
        <v>2298</v>
      </c>
      <c r="M3243" s="1">
        <v>4.9036999999999997E-2</v>
      </c>
      <c r="N3243" s="1">
        <v>2.1463116720866529</v>
      </c>
    </row>
    <row r="3244" spans="11:14">
      <c r="K3244" s="1626">
        <v>45301</v>
      </c>
      <c r="L3244" s="1" t="s">
        <v>2298</v>
      </c>
      <c r="M3244" s="1">
        <v>4.9036999999999997E-2</v>
      </c>
      <c r="N3244" s="1">
        <v>2.147364158941294</v>
      </c>
    </row>
    <row r="3245" spans="11:14">
      <c r="K3245" s="1626">
        <v>45302</v>
      </c>
      <c r="L3245" s="1" t="s">
        <v>2298</v>
      </c>
      <c r="M3245" s="1">
        <v>4.9036999999999997E-2</v>
      </c>
      <c r="N3245" s="1">
        <v>2.1484171619039141</v>
      </c>
    </row>
    <row r="3246" spans="11:14">
      <c r="K3246" s="1626">
        <v>45303</v>
      </c>
      <c r="L3246" s="1" t="s">
        <v>2298</v>
      </c>
      <c r="M3246" s="1">
        <v>4.9036999999999997E-2</v>
      </c>
      <c r="N3246" s="1">
        <v>2.149470681227597</v>
      </c>
    </row>
    <row r="3247" spans="11:14">
      <c r="K3247" s="1626">
        <v>45304</v>
      </c>
      <c r="M3247" s="1">
        <v>0</v>
      </c>
      <c r="N3247" s="1">
        <v>2.149470681227597</v>
      </c>
    </row>
    <row r="3248" spans="11:14">
      <c r="K3248" s="1626">
        <v>45305</v>
      </c>
      <c r="M3248" s="1">
        <v>0</v>
      </c>
      <c r="N3248" s="1">
        <v>2.149470681227597</v>
      </c>
    </row>
    <row r="3249" spans="11:14">
      <c r="K3249" s="1626">
        <v>45306</v>
      </c>
      <c r="L3249" s="1" t="s">
        <v>2298</v>
      </c>
      <c r="M3249" s="1">
        <v>4.9036999999999997E-2</v>
      </c>
      <c r="N3249" s="1">
        <v>2.1505247171655508</v>
      </c>
    </row>
    <row r="3250" spans="11:14">
      <c r="K3250" s="1626">
        <v>45307</v>
      </c>
      <c r="L3250" s="1" t="s">
        <v>2298</v>
      </c>
      <c r="M3250" s="1">
        <v>4.9036999999999997E-2</v>
      </c>
      <c r="N3250" s="1">
        <v>2.1515792699711076</v>
      </c>
    </row>
    <row r="3251" spans="11:14">
      <c r="K3251" s="1626">
        <v>45308</v>
      </c>
      <c r="L3251" s="1" t="s">
        <v>2298</v>
      </c>
      <c r="M3251" s="1">
        <v>4.9036999999999997E-2</v>
      </c>
      <c r="N3251" s="1">
        <v>2.1526343398977237</v>
      </c>
    </row>
    <row r="3252" spans="11:14">
      <c r="K3252" s="1626">
        <v>45309</v>
      </c>
      <c r="L3252" s="1" t="s">
        <v>2298</v>
      </c>
      <c r="M3252" s="1">
        <v>4.9036999999999997E-2</v>
      </c>
      <c r="N3252" s="1">
        <v>2.1536899271989793</v>
      </c>
    </row>
    <row r="3253" spans="11:14">
      <c r="K3253" s="1626">
        <v>45310</v>
      </c>
      <c r="L3253" s="1" t="s">
        <v>2298</v>
      </c>
      <c r="M3253" s="1">
        <v>4.9036999999999997E-2</v>
      </c>
      <c r="N3253" s="1">
        <v>2.1547460321285801</v>
      </c>
    </row>
    <row r="3254" spans="11:14">
      <c r="K3254" s="1626"/>
    </row>
    <row r="3255" spans="11:14">
      <c r="K3255" s="1626"/>
    </row>
    <row r="3256" spans="11:14">
      <c r="K3256" s="1626"/>
    </row>
    <row r="3257" spans="11:14">
      <c r="K3257" s="1626"/>
    </row>
    <row r="3258" spans="11:14">
      <c r="K3258" s="1626"/>
    </row>
    <row r="3259" spans="11:14">
      <c r="K3259" s="1626"/>
    </row>
    <row r="3260" spans="11:14">
      <c r="K3260" s="1626"/>
    </row>
    <row r="3261" spans="11:14">
      <c r="K3261" s="1626"/>
    </row>
    <row r="3262" spans="11:14">
      <c r="K3262" s="1626"/>
    </row>
    <row r="3263" spans="11:14">
      <c r="K3263" s="1626"/>
    </row>
    <row r="3264" spans="11:14">
      <c r="K3264" s="1626"/>
    </row>
    <row r="3265" spans="11:11">
      <c r="K3265" s="1626"/>
    </row>
    <row r="3266" spans="11:11">
      <c r="K3266" s="1626"/>
    </row>
    <row r="3267" spans="11:11">
      <c r="K3267" s="1626"/>
    </row>
    <row r="3268" spans="11:11">
      <c r="K3268" s="1626"/>
    </row>
    <row r="3269" spans="11:11">
      <c r="K3269" s="1626"/>
    </row>
    <row r="3270" spans="11:11">
      <c r="K3270" s="1626"/>
    </row>
    <row r="3271" spans="11:11">
      <c r="K3271" s="1626"/>
    </row>
    <row r="3272" spans="11:11">
      <c r="K3272" s="1626"/>
    </row>
    <row r="3273" spans="11:11">
      <c r="K3273" s="1626"/>
    </row>
    <row r="3274" spans="11:11">
      <c r="K3274" s="1626"/>
    </row>
    <row r="3275" spans="11:11">
      <c r="K3275" s="1626"/>
    </row>
    <row r="3276" spans="11:11">
      <c r="K3276" s="1626"/>
    </row>
    <row r="3277" spans="11:11">
      <c r="K3277" s="1626"/>
    </row>
    <row r="3278" spans="11:11">
      <c r="K3278" s="1626"/>
    </row>
    <row r="3279" spans="11:11">
      <c r="K3279" s="1626"/>
    </row>
    <row r="3280" spans="11:11">
      <c r="K3280" s="1626"/>
    </row>
    <row r="3281" spans="11:11">
      <c r="K3281" s="1626"/>
    </row>
    <row r="3282" spans="11:11">
      <c r="K3282" s="1626"/>
    </row>
    <row r="3283" spans="11:11">
      <c r="K3283" s="1626"/>
    </row>
    <row r="3284" spans="11:11">
      <c r="K3284" s="1626"/>
    </row>
    <row r="3285" spans="11:11">
      <c r="K3285" s="1626"/>
    </row>
    <row r="3286" spans="11:11">
      <c r="K3286" s="1626"/>
    </row>
    <row r="3287" spans="11:11">
      <c r="K3287" s="1626"/>
    </row>
    <row r="3288" spans="11:11">
      <c r="K3288" s="1626"/>
    </row>
    <row r="3289" spans="11:11">
      <c r="K3289" s="1626"/>
    </row>
    <row r="3290" spans="11:11">
      <c r="K3290" s="1626"/>
    </row>
    <row r="3291" spans="11:11">
      <c r="K3291" s="1626"/>
    </row>
    <row r="3292" spans="11:11">
      <c r="K3292" s="1626"/>
    </row>
    <row r="3293" spans="11:11">
      <c r="K3293" s="1626"/>
    </row>
    <row r="3294" spans="11:11">
      <c r="K3294" s="1626"/>
    </row>
    <row r="3295" spans="11:11">
      <c r="K3295" s="1626"/>
    </row>
    <row r="3296" spans="11:11">
      <c r="K3296" s="1626"/>
    </row>
    <row r="3297" spans="11:11">
      <c r="K3297" s="1626"/>
    </row>
    <row r="3298" spans="11:11">
      <c r="K3298" s="1626"/>
    </row>
    <row r="3299" spans="11:11">
      <c r="K3299" s="1626"/>
    </row>
    <row r="3300" spans="11:11">
      <c r="K3300" s="1626"/>
    </row>
    <row r="3301" spans="11:11">
      <c r="K3301" s="1626"/>
    </row>
    <row r="3302" spans="11:11">
      <c r="K3302" s="1626"/>
    </row>
    <row r="3303" spans="11:11">
      <c r="K3303" s="1626"/>
    </row>
    <row r="3304" spans="11:11">
      <c r="K3304" s="1626"/>
    </row>
    <row r="3305" spans="11:11">
      <c r="K3305" s="1626"/>
    </row>
    <row r="3306" spans="11:11">
      <c r="K3306" s="1626"/>
    </row>
    <row r="3307" spans="11:11">
      <c r="K3307" s="1626"/>
    </row>
    <row r="3308" spans="11:11">
      <c r="K3308" s="1626"/>
    </row>
    <row r="3309" spans="11:11">
      <c r="K3309" s="1626"/>
    </row>
    <row r="3310" spans="11:11">
      <c r="K3310" s="1626"/>
    </row>
    <row r="3311" spans="11:11">
      <c r="K3311" s="1626"/>
    </row>
    <row r="3312" spans="11:11">
      <c r="K3312" s="1626"/>
    </row>
    <row r="3313" spans="11:11">
      <c r="K3313" s="1626"/>
    </row>
    <row r="3314" spans="11:11">
      <c r="K3314" s="1626"/>
    </row>
    <row r="3315" spans="11:11">
      <c r="K3315" s="1626"/>
    </row>
    <row r="3316" spans="11:11">
      <c r="K3316" s="1626"/>
    </row>
    <row r="3317" spans="11:11">
      <c r="K3317" s="1626"/>
    </row>
    <row r="3318" spans="11:11">
      <c r="K3318" s="1626"/>
    </row>
    <row r="3319" spans="11:11">
      <c r="K3319" s="1626"/>
    </row>
    <row r="3320" spans="11:11">
      <c r="K3320" s="1626"/>
    </row>
    <row r="3321" spans="11:11">
      <c r="K3321" s="1626"/>
    </row>
    <row r="3322" spans="11:11">
      <c r="K3322" s="1626"/>
    </row>
    <row r="3323" spans="11:11">
      <c r="K3323" s="1626"/>
    </row>
    <row r="3324" spans="11:11">
      <c r="K3324" s="1626"/>
    </row>
    <row r="3325" spans="11:11">
      <c r="K3325" s="1626"/>
    </row>
    <row r="3326" spans="11:11">
      <c r="K3326" s="1626"/>
    </row>
    <row r="3327" spans="11:11">
      <c r="K3327" s="1626"/>
    </row>
    <row r="3328" spans="11:11">
      <c r="K3328" s="1626"/>
    </row>
    <row r="3329" spans="11:11">
      <c r="K3329" s="1626"/>
    </row>
    <row r="3330" spans="11:11">
      <c r="K3330" s="1626"/>
    </row>
    <row r="3331" spans="11:11">
      <c r="K3331" s="1626"/>
    </row>
    <row r="3332" spans="11:11">
      <c r="K3332" s="1626"/>
    </row>
    <row r="3333" spans="11:11">
      <c r="K3333" s="1626"/>
    </row>
    <row r="3334" spans="11:11">
      <c r="K3334" s="1626"/>
    </row>
    <row r="3335" spans="11:11">
      <c r="K3335" s="1626"/>
    </row>
    <row r="3336" spans="11:11">
      <c r="K3336" s="1626"/>
    </row>
    <row r="3337" spans="11:11">
      <c r="K3337" s="1626"/>
    </row>
    <row r="3338" spans="11:11">
      <c r="K3338" s="1626"/>
    </row>
    <row r="3339" spans="11:11">
      <c r="K3339" s="1626"/>
    </row>
    <row r="3340" spans="11:11">
      <c r="K3340" s="1626"/>
    </row>
    <row r="3341" spans="11:11">
      <c r="K3341" s="1626"/>
    </row>
    <row r="3342" spans="11:11">
      <c r="K3342" s="1626"/>
    </row>
    <row r="3343" spans="11:11">
      <c r="K3343" s="1626"/>
    </row>
    <row r="3344" spans="11:11">
      <c r="K3344" s="1626"/>
    </row>
    <row r="3345" spans="11:11">
      <c r="K3345" s="1626"/>
    </row>
    <row r="3346" spans="11:11">
      <c r="K3346" s="1626"/>
    </row>
    <row r="3347" spans="11:11">
      <c r="K3347" s="1626"/>
    </row>
    <row r="3348" spans="11:11">
      <c r="K3348" s="1626"/>
    </row>
    <row r="3349" spans="11:11">
      <c r="K3349" s="1626"/>
    </row>
    <row r="3350" spans="11:11">
      <c r="K3350" s="1626"/>
    </row>
    <row r="3351" spans="11:11">
      <c r="K3351" s="1626"/>
    </row>
    <row r="3352" spans="11:11">
      <c r="K3352" s="1626"/>
    </row>
    <row r="3353" spans="11:11">
      <c r="K3353" s="1626"/>
    </row>
    <row r="3354" spans="11:11">
      <c r="K3354" s="1626"/>
    </row>
    <row r="3355" spans="11:11">
      <c r="K3355" s="1626"/>
    </row>
    <row r="3356" spans="11:11">
      <c r="K3356" s="1626"/>
    </row>
    <row r="3357" spans="11:11">
      <c r="K3357" s="1626"/>
    </row>
    <row r="3358" spans="11:11">
      <c r="K3358" s="1626"/>
    </row>
    <row r="3359" spans="11:11">
      <c r="K3359" s="1626"/>
    </row>
    <row r="3360" spans="11:11">
      <c r="K3360" s="1626"/>
    </row>
    <row r="3361" spans="11:11">
      <c r="K3361" s="1626"/>
    </row>
    <row r="3362" spans="11:11">
      <c r="K3362" s="1626"/>
    </row>
    <row r="3363" spans="11:11">
      <c r="K3363" s="1626"/>
    </row>
    <row r="3364" spans="11:11">
      <c r="K3364" s="1626"/>
    </row>
    <row r="3365" spans="11:11">
      <c r="K3365" s="1626"/>
    </row>
    <row r="3366" spans="11:11">
      <c r="K3366" s="1626"/>
    </row>
    <row r="3367" spans="11:11">
      <c r="K3367" s="1626"/>
    </row>
    <row r="3368" spans="11:11">
      <c r="K3368" s="1626"/>
    </row>
    <row r="3369" spans="11:11">
      <c r="K3369" s="1626"/>
    </row>
    <row r="3370" spans="11:11">
      <c r="K3370" s="1626"/>
    </row>
    <row r="3371" spans="11:11">
      <c r="K3371" s="1626"/>
    </row>
    <row r="3372" spans="11:11">
      <c r="K3372" s="1626"/>
    </row>
    <row r="3373" spans="11:11">
      <c r="K3373" s="1626"/>
    </row>
    <row r="3374" spans="11:11">
      <c r="K3374" s="1626"/>
    </row>
    <row r="3375" spans="11:11">
      <c r="K3375" s="1626"/>
    </row>
    <row r="3376" spans="11:11">
      <c r="K3376" s="1626"/>
    </row>
    <row r="3377" spans="11:11">
      <c r="K3377" s="1626"/>
    </row>
    <row r="3378" spans="11:11">
      <c r="K3378" s="1626"/>
    </row>
    <row r="3379" spans="11:11">
      <c r="K3379" s="1626"/>
    </row>
    <row r="3380" spans="11:11">
      <c r="K3380" s="1626"/>
    </row>
    <row r="3381" spans="11:11">
      <c r="K3381" s="1626"/>
    </row>
    <row r="3382" spans="11:11">
      <c r="K3382" s="1626"/>
    </row>
    <row r="3383" spans="11:11">
      <c r="K3383" s="1626"/>
    </row>
    <row r="3384" spans="11:11">
      <c r="K3384" s="1626"/>
    </row>
    <row r="3385" spans="11:11">
      <c r="K3385" s="1626"/>
    </row>
    <row r="3386" spans="11:11">
      <c r="K3386" s="1626"/>
    </row>
    <row r="3387" spans="11:11">
      <c r="K3387" s="1626"/>
    </row>
    <row r="3388" spans="11:11">
      <c r="K3388" s="1626"/>
    </row>
    <row r="3389" spans="11:11">
      <c r="K3389" s="1626"/>
    </row>
    <row r="3390" spans="11:11">
      <c r="K3390" s="1626"/>
    </row>
    <row r="3391" spans="11:11">
      <c r="K3391" s="1626"/>
    </row>
    <row r="3392" spans="11:11">
      <c r="K3392" s="1626"/>
    </row>
    <row r="3393" spans="11:11">
      <c r="K3393" s="1626"/>
    </row>
    <row r="3394" spans="11:11">
      <c r="K3394" s="1626"/>
    </row>
    <row r="3395" spans="11:11">
      <c r="K3395" s="1626"/>
    </row>
    <row r="3396" spans="11:11">
      <c r="K3396" s="1626"/>
    </row>
    <row r="3397" spans="11:11">
      <c r="K3397" s="1626"/>
    </row>
    <row r="3398" spans="11:11">
      <c r="K3398" s="1626"/>
    </row>
    <row r="3399" spans="11:11">
      <c r="K3399" s="1626"/>
    </row>
    <row r="3400" spans="11:11">
      <c r="K3400" s="1626"/>
    </row>
    <row r="3401" spans="11:11">
      <c r="K3401" s="1626"/>
    </row>
    <row r="3402" spans="11:11">
      <c r="K3402" s="1626"/>
    </row>
    <row r="3403" spans="11:11">
      <c r="K3403" s="1626"/>
    </row>
    <row r="3404" spans="11:11">
      <c r="K3404" s="1626"/>
    </row>
    <row r="3405" spans="11:11">
      <c r="K3405" s="1626"/>
    </row>
    <row r="3406" spans="11:11">
      <c r="K3406" s="1626"/>
    </row>
    <row r="3407" spans="11:11">
      <c r="K3407" s="1626"/>
    </row>
    <row r="3408" spans="11:11">
      <c r="K3408" s="1626"/>
    </row>
    <row r="3409" spans="11:11">
      <c r="K3409" s="1626"/>
    </row>
    <row r="3410" spans="11:11">
      <c r="K3410" s="1626"/>
    </row>
    <row r="3411" spans="11:11">
      <c r="K3411" s="1626"/>
    </row>
    <row r="3412" spans="11:11">
      <c r="K3412" s="1626"/>
    </row>
    <row r="3413" spans="11:11">
      <c r="K3413" s="1626"/>
    </row>
    <row r="3414" spans="11:11">
      <c r="K3414" s="1626"/>
    </row>
    <row r="3415" spans="11:11">
      <c r="K3415" s="1626"/>
    </row>
    <row r="3416" spans="11:11">
      <c r="K3416" s="1626"/>
    </row>
    <row r="3417" spans="11:11">
      <c r="K3417" s="1626"/>
    </row>
    <row r="3418" spans="11:11">
      <c r="K3418" s="1626"/>
    </row>
    <row r="3419" spans="11:11">
      <c r="K3419" s="1626"/>
    </row>
    <row r="3420" spans="11:11">
      <c r="K3420" s="1626"/>
    </row>
    <row r="3421" spans="11:11">
      <c r="K3421" s="1626"/>
    </row>
    <row r="3422" spans="11:11">
      <c r="K3422" s="1626"/>
    </row>
    <row r="3423" spans="11:11">
      <c r="K3423" s="1626"/>
    </row>
    <row r="3424" spans="11:11">
      <c r="K3424" s="1626"/>
    </row>
    <row r="3425" spans="11:11">
      <c r="K3425" s="1626"/>
    </row>
    <row r="3426" spans="11:11">
      <c r="K3426" s="1626"/>
    </row>
    <row r="3427" spans="11:11">
      <c r="K3427" s="1626"/>
    </row>
    <row r="3428" spans="11:11">
      <c r="K3428" s="1626"/>
    </row>
    <row r="3429" spans="11:11">
      <c r="K3429" s="1626"/>
    </row>
    <row r="3430" spans="11:11">
      <c r="K3430" s="1626"/>
    </row>
    <row r="3431" spans="11:11">
      <c r="K3431" s="1626"/>
    </row>
    <row r="3432" spans="11:11">
      <c r="K3432" s="1626"/>
    </row>
    <row r="3433" spans="11:11">
      <c r="K3433" s="1626"/>
    </row>
    <row r="3434" spans="11:11">
      <c r="K3434" s="1626"/>
    </row>
    <row r="3435" spans="11:11">
      <c r="K3435" s="1626"/>
    </row>
    <row r="3436" spans="11:11">
      <c r="K3436" s="1626"/>
    </row>
    <row r="3437" spans="11:11">
      <c r="K3437" s="1626"/>
    </row>
    <row r="3438" spans="11:11">
      <c r="K3438" s="1626"/>
    </row>
    <row r="3439" spans="11:11">
      <c r="K3439" s="1626"/>
    </row>
    <row r="3440" spans="11:11">
      <c r="K3440" s="1626"/>
    </row>
    <row r="3441" spans="11:11">
      <c r="K3441" s="1626"/>
    </row>
    <row r="3442" spans="11:11">
      <c r="K3442" s="1626"/>
    </row>
    <row r="3443" spans="11:11">
      <c r="K3443" s="1626"/>
    </row>
    <row r="3444" spans="11:11">
      <c r="K3444" s="1626"/>
    </row>
    <row r="3445" spans="11:11">
      <c r="K3445" s="1626"/>
    </row>
    <row r="3446" spans="11:11">
      <c r="K3446" s="1626"/>
    </row>
    <row r="3447" spans="11:11">
      <c r="K3447" s="1626"/>
    </row>
    <row r="3448" spans="11:11">
      <c r="K3448" s="1626"/>
    </row>
    <row r="3449" spans="11:11">
      <c r="K3449" s="1626"/>
    </row>
    <row r="3450" spans="11:11">
      <c r="K3450" s="1626"/>
    </row>
    <row r="3451" spans="11:11">
      <c r="K3451" s="1626"/>
    </row>
    <row r="3452" spans="11:11">
      <c r="K3452" s="1626"/>
    </row>
    <row r="3453" spans="11:11">
      <c r="K3453" s="1626"/>
    </row>
    <row r="3454" spans="11:11">
      <c r="K3454" s="1626"/>
    </row>
    <row r="3455" spans="11:11">
      <c r="K3455" s="1626"/>
    </row>
    <row r="3456" spans="11:11">
      <c r="K3456" s="1626"/>
    </row>
    <row r="3457" spans="11:11">
      <c r="K3457" s="1626"/>
    </row>
    <row r="3458" spans="11:11">
      <c r="K3458" s="1626"/>
    </row>
    <row r="3459" spans="11:11">
      <c r="K3459" s="1626"/>
    </row>
    <row r="3460" spans="11:11">
      <c r="K3460" s="1626"/>
    </row>
    <row r="3461" spans="11:11">
      <c r="K3461" s="1626"/>
    </row>
    <row r="3462" spans="11:11">
      <c r="K3462" s="1626"/>
    </row>
    <row r="3463" spans="11:11">
      <c r="K3463" s="1626"/>
    </row>
    <row r="3464" spans="11:11">
      <c r="K3464" s="1626"/>
    </row>
    <row r="3465" spans="11:11">
      <c r="K3465" s="1626"/>
    </row>
    <row r="3466" spans="11:11">
      <c r="K3466" s="1626"/>
    </row>
    <row r="3467" spans="11:11">
      <c r="K3467" s="1626"/>
    </row>
    <row r="3468" spans="11:11">
      <c r="K3468" s="1626"/>
    </row>
    <row r="3469" spans="11:11">
      <c r="K3469" s="1626"/>
    </row>
    <row r="3470" spans="11:11">
      <c r="K3470" s="1626"/>
    </row>
    <row r="3471" spans="11:11">
      <c r="K3471" s="1626"/>
    </row>
    <row r="3472" spans="11:11">
      <c r="K3472" s="1626"/>
    </row>
    <row r="3473" spans="11:11">
      <c r="K3473" s="1626"/>
    </row>
    <row r="3474" spans="11:11">
      <c r="K3474" s="1626"/>
    </row>
    <row r="3475" spans="11:11">
      <c r="K3475" s="1626"/>
    </row>
    <row r="3476" spans="11:11">
      <c r="K3476" s="1626"/>
    </row>
    <row r="3477" spans="11:11">
      <c r="K3477" s="1626"/>
    </row>
    <row r="3478" spans="11:11">
      <c r="K3478" s="1626"/>
    </row>
    <row r="3479" spans="11:11">
      <c r="K3479" s="1626"/>
    </row>
    <row r="3480" spans="11:11">
      <c r="K3480" s="1626"/>
    </row>
    <row r="3481" spans="11:11">
      <c r="K3481" s="1626"/>
    </row>
    <row r="3482" spans="11:11">
      <c r="K3482" s="1626"/>
    </row>
    <row r="3483" spans="11:11">
      <c r="K3483" s="1626"/>
    </row>
    <row r="3484" spans="11:11">
      <c r="K3484" s="1626"/>
    </row>
    <row r="3485" spans="11:11">
      <c r="K3485" s="1626"/>
    </row>
    <row r="3486" spans="11:11">
      <c r="K3486" s="1626"/>
    </row>
    <row r="3487" spans="11:11">
      <c r="K3487" s="1626"/>
    </row>
    <row r="3488" spans="11:11">
      <c r="K3488" s="1626"/>
    </row>
    <row r="3489" spans="11:11">
      <c r="K3489" s="1626"/>
    </row>
    <row r="3490" spans="11:11">
      <c r="K3490" s="1626"/>
    </row>
    <row r="3491" spans="11:11">
      <c r="K3491" s="1626"/>
    </row>
    <row r="3492" spans="11:11">
      <c r="K3492" s="1626"/>
    </row>
    <row r="3493" spans="11:11">
      <c r="K3493" s="1626"/>
    </row>
    <row r="3494" spans="11:11">
      <c r="K3494" s="1626"/>
    </row>
    <row r="3495" spans="11:11">
      <c r="K3495" s="1626"/>
    </row>
    <row r="3496" spans="11:11">
      <c r="K3496" s="1626"/>
    </row>
    <row r="3497" spans="11:11">
      <c r="K3497" s="1626"/>
    </row>
    <row r="3498" spans="11:11">
      <c r="K3498" s="1626"/>
    </row>
    <row r="3499" spans="11:11">
      <c r="K3499" s="1626"/>
    </row>
    <row r="3500" spans="11:11">
      <c r="K3500" s="1626"/>
    </row>
    <row r="3501" spans="11:11">
      <c r="K3501" s="1626"/>
    </row>
    <row r="3502" spans="11:11">
      <c r="K3502" s="1626"/>
    </row>
    <row r="3503" spans="11:11">
      <c r="K3503" s="1626"/>
    </row>
    <row r="3504" spans="11:11">
      <c r="K3504" s="1626"/>
    </row>
    <row r="3505" spans="11:11">
      <c r="K3505" s="1626"/>
    </row>
    <row r="3506" spans="11:11">
      <c r="K3506" s="1626"/>
    </row>
    <row r="3507" spans="11:11">
      <c r="K3507" s="1626"/>
    </row>
    <row r="3508" spans="11:11">
      <c r="K3508" s="1626"/>
    </row>
    <row r="3509" spans="11:11">
      <c r="K3509" s="1626"/>
    </row>
    <row r="3510" spans="11:11">
      <c r="K3510" s="1626"/>
    </row>
    <row r="3511" spans="11:11">
      <c r="K3511" s="1626"/>
    </row>
    <row r="3512" spans="11:11">
      <c r="K3512" s="1626"/>
    </row>
    <row r="3513" spans="11:11">
      <c r="K3513" s="1626"/>
    </row>
    <row r="3514" spans="11:11">
      <c r="K3514" s="1626"/>
    </row>
    <row r="3515" spans="11:11">
      <c r="K3515" s="1626"/>
    </row>
    <row r="3516" spans="11:11">
      <c r="K3516" s="1626"/>
    </row>
    <row r="3517" spans="11:11">
      <c r="K3517" s="1626"/>
    </row>
    <row r="3518" spans="11:11">
      <c r="K3518" s="1626"/>
    </row>
    <row r="3519" spans="11:11">
      <c r="K3519" s="1626"/>
    </row>
    <row r="3520" spans="11:11">
      <c r="K3520" s="1626"/>
    </row>
    <row r="3521" spans="11:11">
      <c r="K3521" s="1626"/>
    </row>
    <row r="3522" spans="11:11">
      <c r="K3522" s="1626"/>
    </row>
    <row r="3523" spans="11:11">
      <c r="K3523" s="1626"/>
    </row>
    <row r="3524" spans="11:11">
      <c r="K3524" s="1626"/>
    </row>
    <row r="3525" spans="11:11">
      <c r="K3525" s="1626"/>
    </row>
    <row r="3526" spans="11:11">
      <c r="K3526" s="1626"/>
    </row>
    <row r="3527" spans="11:11">
      <c r="K3527" s="1626"/>
    </row>
    <row r="3528" spans="11:11">
      <c r="K3528" s="1626"/>
    </row>
    <row r="3529" spans="11:11">
      <c r="K3529" s="1626"/>
    </row>
    <row r="3530" spans="11:11">
      <c r="K3530" s="1626"/>
    </row>
    <row r="3531" spans="11:11">
      <c r="K3531" s="1626"/>
    </row>
    <row r="3532" spans="11:11">
      <c r="K3532" s="1626"/>
    </row>
    <row r="3533" spans="11:11">
      <c r="K3533" s="1626"/>
    </row>
    <row r="3534" spans="11:11">
      <c r="K3534" s="1626"/>
    </row>
    <row r="3535" spans="11:11">
      <c r="K3535" s="1626"/>
    </row>
    <row r="3536" spans="11:11">
      <c r="K3536" s="1626"/>
    </row>
    <row r="3537" spans="11:11">
      <c r="K3537" s="1626"/>
    </row>
    <row r="3538" spans="11:11">
      <c r="K3538" s="1626"/>
    </row>
    <row r="3539" spans="11:11">
      <c r="K3539" s="1626"/>
    </row>
    <row r="3540" spans="11:11">
      <c r="K3540" s="1626"/>
    </row>
    <row r="3541" spans="11:11">
      <c r="K3541" s="1626"/>
    </row>
    <row r="3542" spans="11:11">
      <c r="K3542" s="1626"/>
    </row>
    <row r="3543" spans="11:11">
      <c r="K3543" s="1626"/>
    </row>
    <row r="3544" spans="11:11">
      <c r="K3544" s="1626"/>
    </row>
    <row r="3545" spans="11:11">
      <c r="K3545" s="1626"/>
    </row>
    <row r="3546" spans="11:11">
      <c r="K3546" s="1626"/>
    </row>
    <row r="3547" spans="11:11">
      <c r="K3547" s="1626"/>
    </row>
    <row r="3548" spans="11:11">
      <c r="K3548" s="1626"/>
    </row>
    <row r="3549" spans="11:11">
      <c r="K3549" s="1626"/>
    </row>
    <row r="3550" spans="11:11">
      <c r="K3550" s="1626"/>
    </row>
    <row r="3551" spans="11:11">
      <c r="K3551" s="1626"/>
    </row>
    <row r="3552" spans="11:11">
      <c r="K3552" s="1626"/>
    </row>
    <row r="3553" spans="11:11">
      <c r="K3553" s="1626"/>
    </row>
    <row r="3554" spans="11:11">
      <c r="K3554" s="1626"/>
    </row>
    <row r="3555" spans="11:11">
      <c r="K3555" s="1626"/>
    </row>
    <row r="3556" spans="11:11">
      <c r="K3556" s="1626"/>
    </row>
    <row r="3557" spans="11:11">
      <c r="K3557" s="1626"/>
    </row>
    <row r="3558" spans="11:11">
      <c r="K3558" s="1626"/>
    </row>
    <row r="3559" spans="11:11">
      <c r="K3559" s="1626"/>
    </row>
    <row r="3560" spans="11:11">
      <c r="K3560" s="1626"/>
    </row>
    <row r="3561" spans="11:11">
      <c r="K3561" s="1626"/>
    </row>
    <row r="3562" spans="11:11">
      <c r="K3562" s="1626"/>
    </row>
    <row r="3563" spans="11:11">
      <c r="K3563" s="1626"/>
    </row>
    <row r="3564" spans="11:11">
      <c r="K3564" s="1626"/>
    </row>
    <row r="3565" spans="11:11">
      <c r="K3565" s="1626"/>
    </row>
    <row r="3566" spans="11:11">
      <c r="K3566" s="1626"/>
    </row>
    <row r="3567" spans="11:11">
      <c r="K3567" s="1626"/>
    </row>
    <row r="3568" spans="11:11">
      <c r="K3568" s="1626"/>
    </row>
    <row r="3569" spans="11:11">
      <c r="K3569" s="1626"/>
    </row>
    <row r="3570" spans="11:11">
      <c r="K3570" s="1626"/>
    </row>
    <row r="3571" spans="11:11">
      <c r="K3571" s="1626"/>
    </row>
    <row r="3572" spans="11:11">
      <c r="K3572" s="1626"/>
    </row>
    <row r="3573" spans="11:11">
      <c r="K3573" s="1626"/>
    </row>
    <row r="3574" spans="11:11">
      <c r="K3574" s="1626"/>
    </row>
    <row r="3575" spans="11:11">
      <c r="K3575" s="1626"/>
    </row>
    <row r="3576" spans="11:11">
      <c r="K3576" s="1626"/>
    </row>
    <row r="3577" spans="11:11">
      <c r="K3577" s="1626"/>
    </row>
    <row r="3578" spans="11:11">
      <c r="K3578" s="1626"/>
    </row>
    <row r="3579" spans="11:11">
      <c r="K3579" s="1626"/>
    </row>
    <row r="3580" spans="11:11">
      <c r="K3580" s="1626"/>
    </row>
    <row r="3581" spans="11:11">
      <c r="K3581" s="1626"/>
    </row>
    <row r="3582" spans="11:11">
      <c r="K3582" s="1626"/>
    </row>
    <row r="3583" spans="11:11">
      <c r="K3583" s="1626"/>
    </row>
    <row r="3584" spans="11:11">
      <c r="K3584" s="1626"/>
    </row>
    <row r="3585" spans="11:11">
      <c r="K3585" s="1626"/>
    </row>
    <row r="3586" spans="11:11">
      <c r="K3586" s="1626"/>
    </row>
    <row r="3587" spans="11:11">
      <c r="K3587" s="1626"/>
    </row>
    <row r="3588" spans="11:11">
      <c r="K3588" s="1626"/>
    </row>
    <row r="3589" spans="11:11">
      <c r="K3589" s="1626"/>
    </row>
    <row r="3590" spans="11:11">
      <c r="K3590" s="1626"/>
    </row>
    <row r="3591" spans="11:11">
      <c r="K3591" s="1626"/>
    </row>
    <row r="3592" spans="11:11">
      <c r="K3592" s="1626"/>
    </row>
    <row r="3593" spans="11:11">
      <c r="K3593" s="1626"/>
    </row>
    <row r="3594" spans="11:11">
      <c r="K3594" s="1626"/>
    </row>
    <row r="3595" spans="11:11">
      <c r="K3595" s="1626"/>
    </row>
    <row r="3596" spans="11:11">
      <c r="K3596" s="1626"/>
    </row>
    <row r="3597" spans="11:11">
      <c r="K3597" s="1626"/>
    </row>
    <row r="3598" spans="11:11">
      <c r="K3598" s="1626"/>
    </row>
    <row r="3599" spans="11:11">
      <c r="K3599" s="1626"/>
    </row>
    <row r="3600" spans="11:11">
      <c r="K3600" s="1626"/>
    </row>
    <row r="3601" spans="11:11">
      <c r="K3601" s="1626"/>
    </row>
    <row r="3602" spans="11:11">
      <c r="K3602" s="1626"/>
    </row>
    <row r="3603" spans="11:11">
      <c r="K3603" s="1626"/>
    </row>
    <row r="3604" spans="11:11">
      <c r="K3604" s="1626"/>
    </row>
    <row r="3605" spans="11:11">
      <c r="K3605" s="1626"/>
    </row>
    <row r="3606" spans="11:11">
      <c r="K3606" s="1626"/>
    </row>
    <row r="3607" spans="11:11">
      <c r="K3607" s="1626"/>
    </row>
    <row r="3608" spans="11:11">
      <c r="K3608" s="1626"/>
    </row>
    <row r="3609" spans="11:11">
      <c r="K3609" s="1626"/>
    </row>
    <row r="3610" spans="11:11">
      <c r="K3610" s="1626"/>
    </row>
    <row r="3611" spans="11:11">
      <c r="K3611" s="1626"/>
    </row>
    <row r="3612" spans="11:11">
      <c r="K3612" s="1626"/>
    </row>
    <row r="3613" spans="11:11">
      <c r="K3613" s="1626"/>
    </row>
    <row r="3614" spans="11:11">
      <c r="K3614" s="1626"/>
    </row>
    <row r="3615" spans="11:11">
      <c r="K3615" s="1626"/>
    </row>
    <row r="3616" spans="11:11">
      <c r="K3616" s="1626"/>
    </row>
    <row r="3617" spans="11:11">
      <c r="K3617" s="1626"/>
    </row>
    <row r="3618" spans="11:11">
      <c r="K3618" s="1626"/>
    </row>
    <row r="3619" spans="11:11">
      <c r="K3619" s="1626"/>
    </row>
    <row r="3620" spans="11:11">
      <c r="K3620" s="1626"/>
    </row>
    <row r="3621" spans="11:11">
      <c r="K3621" s="1626"/>
    </row>
    <row r="3622" spans="11:11">
      <c r="K3622" s="1626"/>
    </row>
    <row r="3623" spans="11:11">
      <c r="K3623" s="1626"/>
    </row>
    <row r="3624" spans="11:11">
      <c r="K3624" s="1626"/>
    </row>
    <row r="3625" spans="11:11">
      <c r="K3625" s="1626"/>
    </row>
    <row r="3626" spans="11:11">
      <c r="K3626" s="1626"/>
    </row>
    <row r="3627" spans="11:11">
      <c r="K3627" s="1626"/>
    </row>
    <row r="3628" spans="11:11">
      <c r="K3628" s="1626"/>
    </row>
    <row r="3629" spans="11:11">
      <c r="K3629" s="1626"/>
    </row>
    <row r="3630" spans="11:11">
      <c r="K3630" s="1626"/>
    </row>
    <row r="3631" spans="11:11">
      <c r="K3631" s="1626"/>
    </row>
    <row r="3632" spans="11:11">
      <c r="K3632" s="1626"/>
    </row>
    <row r="3633" spans="11:11">
      <c r="K3633" s="1626"/>
    </row>
    <row r="3634" spans="11:11">
      <c r="K3634" s="1626"/>
    </row>
    <row r="3635" spans="11:11">
      <c r="K3635" s="1626"/>
    </row>
    <row r="3636" spans="11:11">
      <c r="K3636" s="1626"/>
    </row>
    <row r="3637" spans="11:11">
      <c r="K3637" s="1626"/>
    </row>
    <row r="3638" spans="11:11">
      <c r="K3638" s="1626"/>
    </row>
    <row r="3639" spans="11:11">
      <c r="K3639" s="1626"/>
    </row>
    <row r="3640" spans="11:11">
      <c r="K3640" s="1626"/>
    </row>
    <row r="3641" spans="11:11">
      <c r="K3641" s="1626"/>
    </row>
    <row r="3642" spans="11:11">
      <c r="K3642" s="1626"/>
    </row>
    <row r="3643" spans="11:11">
      <c r="K3643" s="1626"/>
    </row>
    <row r="3644" spans="11:11">
      <c r="K3644" s="1626"/>
    </row>
    <row r="3645" spans="11:11">
      <c r="K3645" s="1626"/>
    </row>
    <row r="3646" spans="11:11">
      <c r="K3646" s="1626"/>
    </row>
    <row r="3647" spans="11:11">
      <c r="K3647" s="1626"/>
    </row>
    <row r="3648" spans="11:11">
      <c r="K3648" s="1626"/>
    </row>
    <row r="3649" spans="11:11">
      <c r="K3649" s="1626"/>
    </row>
    <row r="3650" spans="11:11">
      <c r="K3650" s="1626"/>
    </row>
    <row r="3651" spans="11:11">
      <c r="K3651" s="1626"/>
    </row>
    <row r="3652" spans="11:11">
      <c r="K3652" s="1626"/>
    </row>
    <row r="3653" spans="11:11">
      <c r="K3653" s="1626"/>
    </row>
    <row r="3654" spans="11:11">
      <c r="K3654" s="1626"/>
    </row>
    <row r="3655" spans="11:11">
      <c r="K3655" s="1626"/>
    </row>
    <row r="3656" spans="11:11">
      <c r="K3656" s="1626"/>
    </row>
    <row r="3657" spans="11:11">
      <c r="K3657" s="1626"/>
    </row>
    <row r="3658" spans="11:11">
      <c r="K3658" s="1626"/>
    </row>
    <row r="3659" spans="11:11">
      <c r="K3659" s="1626"/>
    </row>
    <row r="3660" spans="11:11">
      <c r="K3660" s="1626"/>
    </row>
    <row r="3661" spans="11:11">
      <c r="K3661" s="1626"/>
    </row>
    <row r="3662" spans="11:11">
      <c r="K3662" s="1626"/>
    </row>
    <row r="3663" spans="11:11">
      <c r="K3663" s="1626"/>
    </row>
    <row r="3664" spans="11:11">
      <c r="K3664" s="1626"/>
    </row>
    <row r="3665" spans="11:11">
      <c r="K3665" s="1626"/>
    </row>
    <row r="3666" spans="11:11">
      <c r="K3666" s="1626"/>
    </row>
    <row r="3667" spans="11:11">
      <c r="K3667" s="1626"/>
    </row>
    <row r="3668" spans="11:11">
      <c r="K3668" s="1626"/>
    </row>
    <row r="3669" spans="11:11">
      <c r="K3669" s="1626"/>
    </row>
    <row r="3670" spans="11:11">
      <c r="K3670" s="1626"/>
    </row>
    <row r="3671" spans="11:11">
      <c r="K3671" s="1626"/>
    </row>
    <row r="3672" spans="11:11">
      <c r="K3672" s="1626"/>
    </row>
    <row r="3673" spans="11:11">
      <c r="K3673" s="1626"/>
    </row>
    <row r="3674" spans="11:11">
      <c r="K3674" s="1626"/>
    </row>
    <row r="3675" spans="11:11">
      <c r="K3675" s="1626"/>
    </row>
    <row r="3676" spans="11:11">
      <c r="K3676" s="1626"/>
    </row>
    <row r="3677" spans="11:11">
      <c r="K3677" s="1626"/>
    </row>
    <row r="3678" spans="11:11">
      <c r="K3678" s="1626"/>
    </row>
    <row r="3679" spans="11:11">
      <c r="K3679" s="1626"/>
    </row>
    <row r="3680" spans="11:11">
      <c r="K3680" s="1626"/>
    </row>
    <row r="3681" spans="11:11">
      <c r="K3681" s="1626"/>
    </row>
    <row r="3682" spans="11:11">
      <c r="K3682" s="1626"/>
    </row>
    <row r="3683" spans="11:11">
      <c r="K3683" s="1626"/>
    </row>
    <row r="3684" spans="11:11">
      <c r="K3684" s="1626"/>
    </row>
    <row r="3685" spans="11:11">
      <c r="K3685" s="1626"/>
    </row>
    <row r="3686" spans="11:11">
      <c r="K3686" s="1626"/>
    </row>
    <row r="3687" spans="11:11">
      <c r="K3687" s="1626"/>
    </row>
    <row r="3688" spans="11:11">
      <c r="K3688" s="1626"/>
    </row>
    <row r="3689" spans="11:11">
      <c r="K3689" s="1626"/>
    </row>
    <row r="3690" spans="11:11">
      <c r="K3690" s="1626"/>
    </row>
    <row r="3691" spans="11:11">
      <c r="K3691" s="1626"/>
    </row>
    <row r="3692" spans="11:11">
      <c r="K3692" s="1626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6"/>
  <sheetViews>
    <sheetView showGridLines="0" topLeftCell="A214" zoomScale="85" zoomScaleNormal="85" workbookViewId="0">
      <selection activeCell="L246" sqref="L246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1500</v>
      </c>
      <c r="B1" t="s">
        <v>1518</v>
      </c>
      <c r="C1" t="s">
        <v>22</v>
      </c>
      <c r="D1" t="s">
        <v>1519</v>
      </c>
      <c r="E1" t="s">
        <v>1520</v>
      </c>
      <c r="F1" t="s">
        <v>1521</v>
      </c>
      <c r="G1" t="s">
        <v>1522</v>
      </c>
      <c r="H1" t="s">
        <v>1523</v>
      </c>
      <c r="I1" t="s">
        <v>1371</v>
      </c>
      <c r="J1" t="s">
        <v>1372</v>
      </c>
      <c r="K1" t="s">
        <v>1373</v>
      </c>
      <c r="L1" t="s">
        <v>1524</v>
      </c>
      <c r="M1" t="s">
        <v>1525</v>
      </c>
      <c r="N1" t="s">
        <v>1526</v>
      </c>
      <c r="O1" t="s">
        <v>1527</v>
      </c>
      <c r="P1" t="s">
        <v>1528</v>
      </c>
      <c r="Q1" t="s">
        <v>1529</v>
      </c>
    </row>
    <row r="2" spans="1:17" s="13" customFormat="1" ht="15.75">
      <c r="A2" t="s">
        <v>773</v>
      </c>
      <c r="B2" t="s">
        <v>1530</v>
      </c>
      <c r="C2" t="s">
        <v>1514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773</v>
      </c>
      <c r="B3" t="s">
        <v>1530</v>
      </c>
      <c r="C3" t="s">
        <v>849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773</v>
      </c>
      <c r="B4" t="s">
        <v>1530</v>
      </c>
      <c r="C4" t="s">
        <v>1514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773</v>
      </c>
      <c r="B5" t="s">
        <v>1530</v>
      </c>
      <c r="C5" t="s">
        <v>849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773</v>
      </c>
      <c r="B6" t="s">
        <v>1530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3.0300000000000001E-2</v>
      </c>
      <c r="Q6" s="234">
        <f ca="1">Resultado!C7</f>
        <v>3.0300000000000001E-2</v>
      </c>
    </row>
    <row r="7" spans="1:17" s="13" customFormat="1" ht="15.75">
      <c r="A7" t="s">
        <v>773</v>
      </c>
      <c r="B7" t="s">
        <v>1530</v>
      </c>
      <c r="C7" t="s">
        <v>1344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-0.33889999999999998</v>
      </c>
      <c r="Q7" s="234">
        <f ca="1">Resultado!C8</f>
        <v>-0.33889999999999998</v>
      </c>
    </row>
    <row r="8" spans="1:17" s="13" customFormat="1" ht="15.75">
      <c r="A8" t="s">
        <v>773</v>
      </c>
      <c r="B8" t="s">
        <v>1530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-0.30859999999999999</v>
      </c>
      <c r="Q8" s="234">
        <f ca="1">Resultado!C9</f>
        <v>-0.30859999999999999</v>
      </c>
    </row>
    <row r="9" spans="1:17" s="13" customFormat="1" ht="15.75">
      <c r="A9" t="s">
        <v>773</v>
      </c>
      <c r="B9" t="s">
        <v>1530</v>
      </c>
      <c r="C9" t="s">
        <v>1531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0.15557983304160264</v>
      </c>
      <c r="Q9" s="234">
        <f ca="1">IF(ISERROR(LnkTXTICMS),0,LnkTXTICMS)</f>
        <v>0.15557983304160264</v>
      </c>
    </row>
    <row r="10" spans="1:17" s="13" customFormat="1" ht="15.75">
      <c r="A10" t="s">
        <v>773</v>
      </c>
      <c r="B10" t="s">
        <v>1530</v>
      </c>
      <c r="C10" t="s">
        <v>1532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2.2164677892755068E-2</v>
      </c>
      <c r="Q10" s="234">
        <f ca="1">IF(ISERROR(LNKTXTPercPISCOFINS),0,LNKTXTPercPISCOFINS)</f>
        <v>2.2164677892755068E-2</v>
      </c>
    </row>
    <row r="11" spans="1:17" ht="15.75">
      <c r="A11" t="s">
        <v>773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773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773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135931.22338734809</v>
      </c>
      <c r="Q13" s="234">
        <f ca="1">Resultado!D17</f>
        <v>135931.22338734809</v>
      </c>
    </row>
    <row r="14" spans="1:17" ht="15.75">
      <c r="A14" t="s">
        <v>773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6440321.0822699992</v>
      </c>
      <c r="Q14" s="234">
        <f ca="1">Encargos!I19</f>
        <v>6440321.0822699992</v>
      </c>
    </row>
    <row r="15" spans="1:17" ht="15.75">
      <c r="A15" t="s">
        <v>773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773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2269797.1888881116</v>
      </c>
      <c r="Q16" s="234">
        <f>Resultado!D20</f>
        <v>2269797.1888881116</v>
      </c>
    </row>
    <row r="17" spans="1:17" ht="15.75">
      <c r="A17" t="s">
        <v>773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1037333.75823</v>
      </c>
      <c r="Q17" s="234">
        <f ca="1">Resultado!D21</f>
        <v>1037333.75823</v>
      </c>
    </row>
    <row r="18" spans="1:17" ht="15.75">
      <c r="A18" t="s">
        <v>773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773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773</v>
      </c>
      <c r="B20" t="s">
        <v>794</v>
      </c>
      <c r="C20" t="s">
        <v>1533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773</v>
      </c>
      <c r="B21" t="s">
        <v>794</v>
      </c>
      <c r="C21" t="s">
        <v>1534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67791.945926399989</v>
      </c>
      <c r="Q21" s="234">
        <f>Q22/(1-Q20)</f>
        <v>67791.945926399989</v>
      </c>
    </row>
    <row r="22" spans="1:17" ht="15.75">
      <c r="A22" t="s">
        <v>773</v>
      </c>
      <c r="B22" t="s">
        <v>794</v>
      </c>
      <c r="C22" t="s">
        <v>1535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67791.945926399989</v>
      </c>
      <c r="Q22" s="234">
        <f>CUSD!C3</f>
        <v>67791.945926399989</v>
      </c>
    </row>
    <row r="23" spans="1:17" ht="15.75">
      <c r="A23" t="s">
        <v>773</v>
      </c>
      <c r="B23" t="s">
        <v>794</v>
      </c>
      <c r="C23" s="9" t="s">
        <v>1236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2901280.7999999993</v>
      </c>
      <c r="Q23" s="234">
        <f>Resultado!D25</f>
        <v>2901280.7999999993</v>
      </c>
    </row>
    <row r="24" spans="1:17" ht="15.75">
      <c r="A24" t="s">
        <v>773</v>
      </c>
      <c r="B24" t="s">
        <v>794</v>
      </c>
      <c r="C24" t="s">
        <v>1264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519404.39999999991</v>
      </c>
      <c r="Q24" s="234">
        <f>Resultado!D26</f>
        <v>519404.39999999991</v>
      </c>
    </row>
    <row r="25" spans="1:17" ht="15.75">
      <c r="A25" t="s">
        <v>773</v>
      </c>
      <c r="B25" t="s">
        <v>794</v>
      </c>
      <c r="C25" t="s">
        <v>1536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773</v>
      </c>
      <c r="B26" t="s">
        <v>794</v>
      </c>
      <c r="C26" t="s">
        <v>1537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773</v>
      </c>
      <c r="B27" t="s">
        <v>794</v>
      </c>
      <c r="C27" t="s">
        <v>1538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773</v>
      </c>
      <c r="B28" t="s">
        <v>794</v>
      </c>
      <c r="C28" t="s">
        <v>1539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773</v>
      </c>
      <c r="B29" t="s">
        <v>794</v>
      </c>
      <c r="C29" t="s">
        <v>1540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772</v>
      </c>
      <c r="B30" t="s">
        <v>120</v>
      </c>
      <c r="C30" t="s">
        <v>822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773</v>
      </c>
      <c r="B31" t="s">
        <v>120</v>
      </c>
      <c r="C31" t="s">
        <v>822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86504.407129999992</v>
      </c>
      <c r="Q31" s="234">
        <f ca="1">Energia!C5</f>
        <v>86504.407129999992</v>
      </c>
    </row>
    <row r="32" spans="1:17" ht="15.75">
      <c r="A32" t="s">
        <v>773</v>
      </c>
      <c r="B32" t="s">
        <v>120</v>
      </c>
      <c r="C32" t="s">
        <v>1541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10250.727027944778</v>
      </c>
      <c r="Q32" s="234">
        <f ca="1">Energia!N17</f>
        <v>10250.727027944778</v>
      </c>
    </row>
    <row r="33" spans="1:17" ht="15.75">
      <c r="A33" t="s">
        <v>773</v>
      </c>
      <c r="B33" t="s">
        <v>120</v>
      </c>
      <c r="C33" t="s">
        <v>1542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1814.6369020552174</v>
      </c>
      <c r="Q33" s="234">
        <f ca="1">Energia!N16</f>
        <v>1814.6369020552174</v>
      </c>
    </row>
    <row r="34" spans="1:17" ht="15.75">
      <c r="A34" t="s">
        <v>773</v>
      </c>
      <c r="B34" t="s">
        <v>120</v>
      </c>
      <c r="C34" t="s">
        <v>1543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437.22658669159426</v>
      </c>
      <c r="Q34" s="234">
        <f ca="1">Energia!N18</f>
        <v>437.22658669159426</v>
      </c>
    </row>
    <row r="35" spans="1:17" ht="15.75">
      <c r="A35" t="s">
        <v>773</v>
      </c>
      <c r="B35" t="s">
        <v>120</v>
      </c>
      <c r="C35" t="s">
        <v>1544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2587.9086133084047</v>
      </c>
      <c r="Q35" s="234">
        <f ca="1">Energia!N19</f>
        <v>2587.9086133084047</v>
      </c>
    </row>
    <row r="36" spans="1:17" ht="15.75">
      <c r="A36" t="s">
        <v>773</v>
      </c>
      <c r="B36" t="s">
        <v>120</v>
      </c>
      <c r="C36" t="s">
        <v>1545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0.1227936802867703</v>
      </c>
      <c r="Q36" s="234">
        <f ca="1">Energia!N14</f>
        <v>0.1227936802867703</v>
      </c>
    </row>
    <row r="37" spans="1:17" s="12" customFormat="1" ht="15.75">
      <c r="A37" t="s">
        <v>773</v>
      </c>
      <c r="B37" t="s">
        <v>120</v>
      </c>
      <c r="C37" t="s">
        <v>1546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2.7748941170737718E-2</v>
      </c>
      <c r="Q37" s="234">
        <f ca="1">Energia!N13</f>
        <v>2.7748941170737718E-2</v>
      </c>
    </row>
    <row r="38" spans="1:17" s="12" customFormat="1" ht="15.75">
      <c r="A38" t="s">
        <v>773</v>
      </c>
      <c r="B38" t="s">
        <v>120</v>
      </c>
      <c r="C38" t="s">
        <v>1547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3.623815984567607E-2</v>
      </c>
      <c r="Q38" s="234">
        <f ca="1">Energia!N15</f>
        <v>3.623815984567607E-2</v>
      </c>
    </row>
    <row r="39" spans="1:17" s="15" customFormat="1" ht="15.75">
      <c r="A39" t="s">
        <v>773</v>
      </c>
      <c r="B39" t="s">
        <v>120</v>
      </c>
      <c r="C39" t="s">
        <v>1548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14179490.322595056</v>
      </c>
      <c r="Q39" s="234">
        <f ca="1">Energia!C14</f>
        <v>14179490.322595056</v>
      </c>
    </row>
    <row r="40" spans="1:17" ht="15.75">
      <c r="A40" t="s">
        <v>772</v>
      </c>
      <c r="B40" t="s">
        <v>120</v>
      </c>
      <c r="C40" t="s">
        <v>1549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163.91639215890962</v>
      </c>
      <c r="Q40" s="234">
        <f ca="1">Energia!C13</f>
        <v>163.91639215890962</v>
      </c>
    </row>
    <row r="41" spans="1:17" ht="15.75">
      <c r="A41" t="s">
        <v>772</v>
      </c>
      <c r="B41" t="s">
        <v>120</v>
      </c>
      <c r="C41" t="s">
        <v>1550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1247.13007399653</v>
      </c>
      <c r="Q41" s="234">
        <f>Energia!C19</f>
        <v>1247.13007399653</v>
      </c>
    </row>
    <row r="42" spans="1:17" ht="15.75">
      <c r="A42" t="s">
        <v>773</v>
      </c>
      <c r="B42" t="s">
        <v>120</v>
      </c>
      <c r="C42" t="s">
        <v>1551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64273.43367480053</v>
      </c>
      <c r="Q42" s="234">
        <f ca="1">Energia!C22</f>
        <v>64273.43367480053</v>
      </c>
    </row>
    <row r="43" spans="1:17" ht="15.75">
      <c r="A43" t="s">
        <v>773</v>
      </c>
      <c r="B43" t="s">
        <v>120</v>
      </c>
      <c r="C43" s="9" t="s">
        <v>1552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10648197.198430352</v>
      </c>
      <c r="Q43" s="234">
        <f ca="1">Energia!F22</f>
        <v>10648197.198430352</v>
      </c>
    </row>
    <row r="44" spans="1:17" s="12" customFormat="1" ht="15.75">
      <c r="A44" t="s">
        <v>773</v>
      </c>
      <c r="B44" t="s">
        <v>120</v>
      </c>
      <c r="C44" t="s">
        <v>1553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773</v>
      </c>
      <c r="B45" t="s">
        <v>120</v>
      </c>
      <c r="C45" t="s">
        <v>1554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773</v>
      </c>
      <c r="B46" t="s">
        <v>120</v>
      </c>
      <c r="C46" t="s">
        <v>1555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773</v>
      </c>
      <c r="B47" t="s">
        <v>120</v>
      </c>
      <c r="C47" s="9" t="s">
        <v>1556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 s="421">
        <f>VALUE(Energia!A28)</f>
        <v>396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773</v>
      </c>
      <c r="B48" t="s">
        <v>120</v>
      </c>
      <c r="C48" s="9" t="s">
        <v>1556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1">
        <f>VALUE(Energia!A29)</f>
        <v>396</v>
      </c>
      <c r="P48" s="234">
        <f t="shared" si="0"/>
        <v>0</v>
      </c>
      <c r="Q48" s="234">
        <f>Energia!F29</f>
        <v>0</v>
      </c>
    </row>
    <row r="49" spans="1:17" s="12" customFormat="1" ht="15.75">
      <c r="A49" t="s">
        <v>773</v>
      </c>
      <c r="B49" t="s">
        <v>120</v>
      </c>
      <c r="C49" s="9" t="s">
        <v>1556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773</v>
      </c>
      <c r="B50" t="s">
        <v>120</v>
      </c>
      <c r="C50" s="9" t="s">
        <v>1556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773</v>
      </c>
      <c r="B51" t="s">
        <v>120</v>
      </c>
      <c r="C51" s="9" t="s">
        <v>1556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773</v>
      </c>
      <c r="B52" t="s">
        <v>975</v>
      </c>
      <c r="C52" t="s">
        <v>967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71413.907999999996</v>
      </c>
      <c r="Q52" s="234">
        <f ca="1">FornecimentoE</f>
        <v>71413.907999999996</v>
      </c>
    </row>
    <row r="53" spans="1:17" s="12" customFormat="1" ht="15.75">
      <c r="A53" t="s">
        <v>773</v>
      </c>
      <c r="B53" t="s">
        <v>975</v>
      </c>
      <c r="C53" t="s">
        <v>988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773</v>
      </c>
      <c r="B54" t="s">
        <v>975</v>
      </c>
      <c r="C54" t="s">
        <v>1557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773</v>
      </c>
      <c r="B55" t="s">
        <v>975</v>
      </c>
      <c r="C55" t="s">
        <v>1558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2321.11</v>
      </c>
      <c r="Q55" s="234">
        <f ca="1">Calc_Mercado!C22</f>
        <v>2321.11</v>
      </c>
    </row>
    <row r="56" spans="1:17" s="12" customFormat="1" ht="15.75">
      <c r="A56" t="s">
        <v>773</v>
      </c>
      <c r="B56" t="s">
        <v>975</v>
      </c>
      <c r="C56" t="s">
        <v>992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773</v>
      </c>
      <c r="B57" t="s">
        <v>975</v>
      </c>
      <c r="C57" t="s">
        <v>1559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773</v>
      </c>
      <c r="B58" t="s">
        <v>975</v>
      </c>
      <c r="C58" t="s">
        <v>1560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773</v>
      </c>
      <c r="B59" t="s">
        <v>975</v>
      </c>
      <c r="C59" t="s">
        <v>1561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773</v>
      </c>
      <c r="B60" t="s">
        <v>975</v>
      </c>
      <c r="C60" t="s">
        <v>1562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773</v>
      </c>
      <c r="B61" t="s">
        <v>975</v>
      </c>
      <c r="C61" t="s">
        <v>1563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773</v>
      </c>
      <c r="B62" t="s">
        <v>975</v>
      </c>
      <c r="C62" t="s">
        <v>1564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6019.0920000000024</v>
      </c>
      <c r="Q62" s="234">
        <f ca="1">Calc_Mercado!C13</f>
        <v>6019.0920000000024</v>
      </c>
    </row>
    <row r="63" spans="1:17" s="12" customFormat="1" ht="15.75">
      <c r="A63" t="s">
        <v>773</v>
      </c>
      <c r="B63" t="s">
        <v>975</v>
      </c>
      <c r="C63" t="s">
        <v>1565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773</v>
      </c>
      <c r="B64" t="s">
        <v>975</v>
      </c>
      <c r="C64" t="s">
        <v>1566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65394.815999999992</v>
      </c>
      <c r="Q64" s="234">
        <f ca="1">FornecimentoE_BT</f>
        <v>65394.815999999992</v>
      </c>
    </row>
    <row r="65" spans="1:17" ht="15.75">
      <c r="A65" t="s">
        <v>773</v>
      </c>
      <c r="B65" t="s">
        <v>975</v>
      </c>
      <c r="C65" t="s">
        <v>967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55192361.424989976</v>
      </c>
      <c r="Q65" s="234">
        <f ca="1">Calc_Mercado!D8</f>
        <v>55192361.424989976</v>
      </c>
    </row>
    <row r="66" spans="1:17" ht="15.75">
      <c r="A66" t="s">
        <v>773</v>
      </c>
      <c r="B66" t="s">
        <v>975</v>
      </c>
      <c r="C66" t="s">
        <v>988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773</v>
      </c>
      <c r="B67" t="s">
        <v>975</v>
      </c>
      <c r="C67" t="s">
        <v>1557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773</v>
      </c>
      <c r="B68" t="s">
        <v>975</v>
      </c>
      <c r="C68" t="s">
        <v>1558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882707.88715999958</v>
      </c>
      <c r="Q68" s="234">
        <f ca="1">Calc_Mercado!D22</f>
        <v>882707.88715999958</v>
      </c>
    </row>
    <row r="69" spans="1:17" ht="15.75">
      <c r="A69" t="s">
        <v>773</v>
      </c>
      <c r="B69" t="s">
        <v>975</v>
      </c>
      <c r="C69" t="s">
        <v>992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773</v>
      </c>
      <c r="B70" t="s">
        <v>975</v>
      </c>
      <c r="C70" t="s">
        <v>1559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116875.92000000003</v>
      </c>
      <c r="Q70" s="234">
        <f ca="1">Calc_Mercado!D21</f>
        <v>116875.92000000003</v>
      </c>
    </row>
    <row r="71" spans="1:17" ht="15.75">
      <c r="A71" t="s">
        <v>773</v>
      </c>
      <c r="B71" t="s">
        <v>975</v>
      </c>
      <c r="C71" t="s">
        <v>1560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773</v>
      </c>
      <c r="B72" t="s">
        <v>975</v>
      </c>
      <c r="C72" t="s">
        <v>1561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773</v>
      </c>
      <c r="B73" t="s">
        <v>975</v>
      </c>
      <c r="C73" t="s">
        <v>1562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773</v>
      </c>
      <c r="B74" t="s">
        <v>975</v>
      </c>
      <c r="C74" t="s">
        <v>1563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773</v>
      </c>
      <c r="B75" t="s">
        <v>975</v>
      </c>
      <c r="C75" t="s">
        <v>1564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3956457.3260500007</v>
      </c>
      <c r="Q75" s="234">
        <f ca="1">Calc_Mercado!D13</f>
        <v>3956457.3260500007</v>
      </c>
    </row>
    <row r="76" spans="1:17" ht="15.75">
      <c r="A76" t="s">
        <v>773</v>
      </c>
      <c r="B76" t="s">
        <v>975</v>
      </c>
      <c r="C76" t="s">
        <v>1565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773</v>
      </c>
      <c r="B77" t="s">
        <v>975</v>
      </c>
      <c r="C77" t="s">
        <v>1566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51235904.098939978</v>
      </c>
      <c r="Q77" s="234">
        <f ca="1">Calc_Mercado!D15</f>
        <v>51235904.098939978</v>
      </c>
    </row>
    <row r="78" spans="1:17" ht="15.75">
      <c r="A78" t="s">
        <v>773</v>
      </c>
      <c r="B78" t="s">
        <v>975</v>
      </c>
      <c r="C78" t="s">
        <v>1567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772</v>
      </c>
      <c r="B79" t="s">
        <v>975</v>
      </c>
      <c r="C79" s="9" t="s">
        <v>1568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773</v>
      </c>
      <c r="B80" t="s">
        <v>975</v>
      </c>
      <c r="C80" t="s">
        <v>1569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71413.907999999996</v>
      </c>
      <c r="Q80" s="234">
        <f ca="1">LnkTXTEV</f>
        <v>71413.907999999996</v>
      </c>
    </row>
    <row r="81" spans="1:17" ht="15.75">
      <c r="A81" t="s">
        <v>773</v>
      </c>
      <c r="B81" t="s">
        <v>109</v>
      </c>
      <c r="C81" t="s">
        <v>1570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31500000</v>
      </c>
      <c r="Q81" s="234">
        <f>Resultado!D39</f>
        <v>31500000</v>
      </c>
    </row>
    <row r="82" spans="1:17" ht="15.75">
      <c r="A82" s="1616" t="s">
        <v>1586</v>
      </c>
      <c r="B82" s="1616" t="s">
        <v>1586</v>
      </c>
      <c r="C82" s="1616" t="s">
        <v>1586</v>
      </c>
      <c r="D82" s="1616">
        <v>99</v>
      </c>
      <c r="E82" s="1616">
        <v>99</v>
      </c>
      <c r="F82" s="1616">
        <v>999</v>
      </c>
      <c r="G82" s="1616">
        <v>999999</v>
      </c>
      <c r="H82" s="1616">
        <v>999</v>
      </c>
      <c r="I82" s="1616">
        <v>99</v>
      </c>
      <c r="J82" s="1616">
        <v>999</v>
      </c>
      <c r="K82" s="1616">
        <v>9</v>
      </c>
      <c r="L82" s="1616">
        <v>99</v>
      </c>
      <c r="M82" s="1616">
        <v>9</v>
      </c>
      <c r="N82" s="1616">
        <v>99</v>
      </c>
      <c r="O82" s="1616">
        <v>99999</v>
      </c>
      <c r="P82" s="402">
        <f t="shared" si="2"/>
        <v>0</v>
      </c>
      <c r="Q82" s="402">
        <v>0</v>
      </c>
    </row>
    <row r="83" spans="1:17" ht="15.75">
      <c r="A83" t="s">
        <v>773</v>
      </c>
      <c r="B83" t="s">
        <v>1377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si="2"/>
        <v>3584.3555228914488</v>
      </c>
      <c r="Q83" s="234">
        <f>Financeiros!D10</f>
        <v>3584.3555228914488</v>
      </c>
    </row>
    <row r="84" spans="1:17" ht="15.75">
      <c r="A84" t="s">
        <v>773</v>
      </c>
      <c r="B84" t="s">
        <v>1377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si="2"/>
        <v>814576.24641653104</v>
      </c>
      <c r="Q84" s="234">
        <f>Financeiros!D11</f>
        <v>814576.24641653104</v>
      </c>
    </row>
    <row r="85" spans="1:17" ht="15.75">
      <c r="A85" t="s">
        <v>773</v>
      </c>
      <c r="B85" t="s">
        <v>1377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-5969.0844393077859</v>
      </c>
      <c r="Q85" s="234">
        <f ca="1">Financeiros!D12</f>
        <v>-5969.0844393077859</v>
      </c>
    </row>
    <row r="86" spans="1:17" ht="15.75">
      <c r="A86" t="s">
        <v>773</v>
      </c>
      <c r="B86" t="s">
        <v>1377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-197044.79861084011</v>
      </c>
      <c r="Q86" s="234">
        <f ca="1">Financeiros!D13</f>
        <v>-197044.79861084011</v>
      </c>
    </row>
    <row r="87" spans="1:17" ht="15.75">
      <c r="A87" t="s">
        <v>773</v>
      </c>
      <c r="B87" t="s">
        <v>1377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773</v>
      </c>
      <c r="B88" t="s">
        <v>1377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-3516.6124902060506</v>
      </c>
      <c r="Q88" s="234">
        <f ca="1">Financeiros!D15</f>
        <v>-3516.6124902060506</v>
      </c>
    </row>
    <row r="89" spans="1:17" ht="15.75">
      <c r="A89" t="s">
        <v>773</v>
      </c>
      <c r="B89" t="s">
        <v>1377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-32483.060837864756</v>
      </c>
      <c r="Q89" s="234">
        <f ca="1">Financeiros!D16</f>
        <v>-32483.060837864756</v>
      </c>
    </row>
    <row r="90" spans="1:17" ht="15.75">
      <c r="A90" t="s">
        <v>773</v>
      </c>
      <c r="B90" t="s">
        <v>1377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773</v>
      </c>
      <c r="B91" t="s">
        <v>1377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773</v>
      </c>
      <c r="B92" t="s">
        <v>1377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773</v>
      </c>
      <c r="B93" t="s">
        <v>1377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773</v>
      </c>
      <c r="B94" t="s">
        <v>1377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203038.70292521745</v>
      </c>
      <c r="Q94" s="234">
        <f>Financeiros!D21</f>
        <v>203038.70292521745</v>
      </c>
    </row>
    <row r="95" spans="1:17" ht="15.75">
      <c r="A95" t="s">
        <v>773</v>
      </c>
      <c r="B95" t="s">
        <v>1377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36349.186080041211</v>
      </c>
      <c r="Q95" s="234">
        <f>Financeiros!D22</f>
        <v>36349.186080041211</v>
      </c>
    </row>
    <row r="96" spans="1:17" ht="15.75">
      <c r="A96" t="s">
        <v>773</v>
      </c>
      <c r="B96" t="s">
        <v>1377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773</v>
      </c>
      <c r="B97" t="s">
        <v>1377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773</v>
      </c>
      <c r="B98" t="s">
        <v>1377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1586</v>
      </c>
      <c r="B99" t="s">
        <v>1586</v>
      </c>
      <c r="C99" t="s">
        <v>1586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773</v>
      </c>
      <c r="B100" t="s">
        <v>1377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-2276.7511681570618</v>
      </c>
      <c r="Q100" s="234">
        <f>Financeiros!D27</f>
        <v>-2276.7511681570618</v>
      </c>
    </row>
    <row r="101" spans="1:17" ht="15.75">
      <c r="A101" t="s">
        <v>773</v>
      </c>
      <c r="B101" t="s">
        <v>1377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-23888195.526273698</v>
      </c>
      <c r="Q101" s="234">
        <f ca="1">Financeiros!D28</f>
        <v>-23888195.526273698</v>
      </c>
    </row>
    <row r="102" spans="1:17" ht="15.75">
      <c r="A102" t="s">
        <v>773</v>
      </c>
      <c r="B102" t="s">
        <v>1377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0</v>
      </c>
      <c r="Q102" s="234">
        <f>Financeiros!D29</f>
        <v>0</v>
      </c>
    </row>
    <row r="103" spans="1:17" ht="15.75">
      <c r="A103" t="s">
        <v>773</v>
      </c>
      <c r="B103" t="s">
        <v>1377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773</v>
      </c>
      <c r="B104" t="s">
        <v>1377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773</v>
      </c>
      <c r="B105" t="s">
        <v>1377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773</v>
      </c>
      <c r="B106" t="s">
        <v>1377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773</v>
      </c>
      <c r="B107" t="s">
        <v>1377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773</v>
      </c>
      <c r="B108" t="s">
        <v>1377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1176204.6459883365</v>
      </c>
      <c r="Q108" s="234">
        <f>Financeiros!D36</f>
        <v>1176204.6459883365</v>
      </c>
    </row>
    <row r="109" spans="1:17" ht="15.75">
      <c r="A109" t="s">
        <v>773</v>
      </c>
      <c r="B109" t="s">
        <v>1377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773</v>
      </c>
      <c r="B110" t="s">
        <v>1377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-952606.25</v>
      </c>
      <c r="Q110" s="234">
        <f>Financeiros!D38</f>
        <v>-952606.25</v>
      </c>
    </row>
    <row r="111" spans="1:17" ht="15.75">
      <c r="A111" t="s">
        <v>773</v>
      </c>
      <c r="B111" t="s">
        <v>1377</v>
      </c>
      <c r="C111" t="str">
        <f>Financeiros!C39</f>
        <v>Diferimento Pis Cofins TUSD 25% do valor remanecescente de 2020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3282.0178737718174</v>
      </c>
      <c r="Q111" s="234">
        <f>Financeiros!D39</f>
        <v>3282.0178737718174</v>
      </c>
    </row>
    <row r="112" spans="1:17" ht="15.75">
      <c r="A112" t="s">
        <v>773</v>
      </c>
      <c r="B112" t="s">
        <v>1377</v>
      </c>
      <c r="C112" t="str">
        <f>Financeiros!C40</f>
        <v>Diferimento Pis Cofins TE 25% do valor remanecescente de 2020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745867.36254677491</v>
      </c>
      <c r="Q112" s="234">
        <f>Financeiros!D40</f>
        <v>745867.36254677491</v>
      </c>
    </row>
    <row r="113" spans="1:17" ht="15.75">
      <c r="A113" t="s">
        <v>773</v>
      </c>
      <c r="B113" t="s">
        <v>1377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-3652.3295493700653</v>
      </c>
      <c r="Q113" s="234">
        <f>Financeiros!D41</f>
        <v>-3652.3295493700653</v>
      </c>
    </row>
    <row r="114" spans="1:17" ht="15.75">
      <c r="A114" t="s">
        <v>773</v>
      </c>
      <c r="B114" t="s">
        <v>1377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Financeiros!D45</f>
        <v>0</v>
      </c>
    </row>
    <row r="115" spans="1:17" ht="15.75">
      <c r="A115" t="s">
        <v>773</v>
      </c>
      <c r="B115" t="s">
        <v>1377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Financeiros!D46</f>
        <v>0</v>
      </c>
    </row>
    <row r="116" spans="1:17" ht="15.75">
      <c r="A116" t="s">
        <v>773</v>
      </c>
      <c r="B116" t="s">
        <v>1377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Financeiros!D47</f>
        <v>0</v>
      </c>
    </row>
    <row r="117" spans="1:17" ht="15.75">
      <c r="A117" t="s">
        <v>773</v>
      </c>
      <c r="B117" t="s">
        <v>1377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6.3787710286289845E-5</v>
      </c>
      <c r="Q117" s="234">
        <f ca="1">Financeiros!E10</f>
        <v>6.3787710286289845E-5</v>
      </c>
    </row>
    <row r="118" spans="1:17" ht="15.75">
      <c r="A118" t="s">
        <v>773</v>
      </c>
      <c r="B118" t="s">
        <v>1377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1.4496316919644111E-2</v>
      </c>
      <c r="Q118" s="234">
        <f ca="1">Financeiros!E11</f>
        <v>1.4496316919644111E-2</v>
      </c>
    </row>
    <row r="119" spans="1:17" ht="15.75">
      <c r="A119" t="s">
        <v>773</v>
      </c>
      <c r="B119" t="s">
        <v>1377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-1.0622669164854965E-4</v>
      </c>
      <c r="Q119" s="249">
        <f ca="1">Financeiros!E12</f>
        <v>-1.0622669164854965E-4</v>
      </c>
    </row>
    <row r="120" spans="1:17" ht="15.75">
      <c r="A120" t="s">
        <v>773</v>
      </c>
      <c r="B120" t="s">
        <v>1377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-3.5066377893980039E-3</v>
      </c>
      <c r="Q120" s="249">
        <f ca="1">Financeiros!E13</f>
        <v>-3.5066377893980039E-3</v>
      </c>
    </row>
    <row r="121" spans="1:17" ht="15.75">
      <c r="A121" t="s">
        <v>773</v>
      </c>
      <c r="B121" t="s">
        <v>1377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773</v>
      </c>
      <c r="B122" t="s">
        <v>1377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-6.2582145460129678E-5</v>
      </c>
      <c r="Q122" s="249">
        <f ca="1">Financeiros!E15</f>
        <v>-6.2582145460129678E-5</v>
      </c>
    </row>
    <row r="123" spans="1:17" ht="15.75">
      <c r="A123" t="s">
        <v>773</v>
      </c>
      <c r="B123" t="s">
        <v>1377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-5.7807325771807791E-4</v>
      </c>
      <c r="Q123" s="249">
        <f ca="1">Financeiros!E16</f>
        <v>-5.7807325771807791E-4</v>
      </c>
    </row>
    <row r="124" spans="1:17" ht="15.75">
      <c r="A124" t="s">
        <v>773</v>
      </c>
      <c r="B124" t="s">
        <v>1377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773</v>
      </c>
      <c r="B125" t="s">
        <v>1377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Financeiros!E18</f>
        <v>0</v>
      </c>
    </row>
    <row r="126" spans="1:17" ht="15.75">
      <c r="A126" t="s">
        <v>773</v>
      </c>
      <c r="B126" t="s">
        <v>1377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6">IF(ISNUMBER(Q126),Q126,0)</f>
        <v>0</v>
      </c>
      <c r="Q126" s="249">
        <f ca="1">Financeiros!E19</f>
        <v>0</v>
      </c>
    </row>
    <row r="127" spans="1:17" ht="15.75">
      <c r="A127" t="s">
        <v>773</v>
      </c>
      <c r="B127" t="s">
        <v>1377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6"/>
        <v>0</v>
      </c>
      <c r="Q127" s="249">
        <f ca="1">Financeiros!E20</f>
        <v>0</v>
      </c>
    </row>
    <row r="128" spans="1:17" ht="15.75">
      <c r="A128" t="s">
        <v>773</v>
      </c>
      <c r="B128" t="s">
        <v>1377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3.6133061791398836E-3</v>
      </c>
      <c r="Q128" s="249">
        <f ca="1">Financeiros!E21</f>
        <v>3.6133061791398836E-3</v>
      </c>
    </row>
    <row r="129" spans="1:17" ht="15.75">
      <c r="A129" t="s">
        <v>773</v>
      </c>
      <c r="B129" t="s">
        <v>1377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6.4687538275938136E-4</v>
      </c>
      <c r="Q129" s="249">
        <f ca="1">Financeiros!E22</f>
        <v>6.4687538275938136E-4</v>
      </c>
    </row>
    <row r="130" spans="1:17" ht="15.75">
      <c r="A130" t="s">
        <v>773</v>
      </c>
      <c r="B130" t="s">
        <v>1377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773</v>
      </c>
      <c r="B131" t="s">
        <v>1377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773</v>
      </c>
      <c r="B132" t="s">
        <v>1377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Financeiros!E25</f>
        <v>0</v>
      </c>
    </row>
    <row r="133" spans="1:17" ht="15.75">
      <c r="A133" t="s">
        <v>773</v>
      </c>
      <c r="B133" t="s">
        <v>1377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-4.0517393707424604E-5</v>
      </c>
      <c r="Q133" s="249">
        <f ca="1">Financeiros!E27</f>
        <v>-4.0517393707424604E-5</v>
      </c>
    </row>
    <row r="134" spans="1:17" ht="15.75">
      <c r="A134" t="s">
        <v>773</v>
      </c>
      <c r="B134" t="s">
        <v>1377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-0.42511778917036258</v>
      </c>
      <c r="Q134" s="249">
        <f ca="1">Financeiros!E28</f>
        <v>-0.42511778917036258</v>
      </c>
    </row>
    <row r="135" spans="1:17" ht="15.75">
      <c r="A135" t="s">
        <v>773</v>
      </c>
      <c r="B135" t="s">
        <v>1377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7">IF(ISNUMBER(Q135),Q135,0)</f>
        <v>0</v>
      </c>
      <c r="Q135" s="249">
        <f ca="1">Financeiros!E29</f>
        <v>0</v>
      </c>
    </row>
    <row r="136" spans="1:17" ht="15.75">
      <c r="A136" t="s">
        <v>773</v>
      </c>
      <c r="B136" t="s">
        <v>1377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7"/>
        <v>0</v>
      </c>
      <c r="Q136" s="249">
        <f ca="1">Financeiros!E30</f>
        <v>0</v>
      </c>
    </row>
    <row r="137" spans="1:17" ht="15.75">
      <c r="A137" t="s">
        <v>773</v>
      </c>
      <c r="B137" t="s">
        <v>1377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8">IF(ISNUMBER(Q137),Q137,0)</f>
        <v>0</v>
      </c>
      <c r="Q137" s="249">
        <f ca="1">Financeiros!E32</f>
        <v>0</v>
      </c>
    </row>
    <row r="138" spans="1:17" ht="15.75">
      <c r="A138" t="s">
        <v>773</v>
      </c>
      <c r="B138" t="s">
        <v>1377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8"/>
        <v>0</v>
      </c>
      <c r="Q138" s="249">
        <f ca="1">Financeiros!E32</f>
        <v>0</v>
      </c>
    </row>
    <row r="139" spans="1:17" ht="15.75">
      <c r="A139" t="s">
        <v>773</v>
      </c>
      <c r="B139" t="s">
        <v>1377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Financeiros!E33</f>
        <v>0</v>
      </c>
    </row>
    <row r="140" spans="1:17" ht="15.75">
      <c r="A140" t="s">
        <v>773</v>
      </c>
      <c r="B140" t="s">
        <v>1377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Financeiros!E34</f>
        <v>0</v>
      </c>
    </row>
    <row r="141" spans="1:17" ht="15.75">
      <c r="A141" t="s">
        <v>773</v>
      </c>
      <c r="B141" t="s">
        <v>1377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9">IF(ISNUMBER(Q141),Q141,0)</f>
        <v>0</v>
      </c>
      <c r="Q141" s="249">
        <f ca="1">Financeiros!E35</f>
        <v>0</v>
      </c>
    </row>
    <row r="142" spans="1:17" ht="15.75">
      <c r="A142" t="s">
        <v>773</v>
      </c>
      <c r="B142" t="s">
        <v>1377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9"/>
        <v>2.0931908321183659E-2</v>
      </c>
      <c r="Q142" s="249">
        <f ca="1">Financeiros!E36</f>
        <v>2.0931908321183659E-2</v>
      </c>
    </row>
    <row r="143" spans="1:17" ht="15.75">
      <c r="A143" t="s">
        <v>773</v>
      </c>
      <c r="B143" t="s">
        <v>1377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9"/>
        <v>0</v>
      </c>
      <c r="Q143" s="249">
        <f ca="1">Financeiros!E37</f>
        <v>0</v>
      </c>
    </row>
    <row r="144" spans="1:17" ht="15.75">
      <c r="A144" t="s">
        <v>773</v>
      </c>
      <c r="B144" t="s">
        <v>1377</v>
      </c>
      <c r="C144" t="str">
        <f>Financeiros!C39</f>
        <v>Diferimento Pis Cofins TUSD 25% do valor remanecescente de 2020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-1.6952718865033533E-2</v>
      </c>
      <c r="Q144" s="249">
        <f ca="1">Financeiros!E38</f>
        <v>-1.6952718865033533E-2</v>
      </c>
    </row>
    <row r="145" spans="1:17" ht="15.75">
      <c r="A145" t="s">
        <v>773</v>
      </c>
      <c r="B145" t="s">
        <v>1377</v>
      </c>
      <c r="C145" t="str">
        <f>Financeiros!C40</f>
        <v>Diferimento Pis Cofins TE 25% do valor remanecescente de 2020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9"/>
        <v>5.8407265671486755E-5</v>
      </c>
      <c r="Q145" s="249">
        <f ca="1">Financeiros!E39</f>
        <v>5.8407265671486755E-5</v>
      </c>
    </row>
    <row r="146" spans="1:17" ht="15.75">
      <c r="A146" t="s">
        <v>773</v>
      </c>
      <c r="B146" t="s">
        <v>1377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9"/>
        <v>1.3273563665847789E-2</v>
      </c>
      <c r="Q146" s="249">
        <f ca="1">Financeiros!E40</f>
        <v>1.3273563665847789E-2</v>
      </c>
    </row>
    <row r="147" spans="1:17" ht="15.75">
      <c r="A147" t="s">
        <v>773</v>
      </c>
      <c r="B147" t="s">
        <v>1377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0">IF(ISNUMBER(Q147),Q147,0)</f>
        <v>-6.4997385911466914E-5</v>
      </c>
      <c r="Q147" s="249">
        <f ca="1">Financeiros!E41</f>
        <v>-6.4997385911466914E-5</v>
      </c>
    </row>
    <row r="148" spans="1:17" ht="15.75">
      <c r="A148" t="s">
        <v>773</v>
      </c>
      <c r="B148" t="s">
        <v>1377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4">
        <f t="shared" si="10"/>
        <v>0</v>
      </c>
      <c r="Q148" s="249">
        <f>Financeiros!E42</f>
        <v>0</v>
      </c>
    </row>
    <row r="149" spans="1:17" ht="15.75">
      <c r="A149" t="s">
        <v>773</v>
      </c>
      <c r="B149" t="s">
        <v>1377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si="10"/>
        <v>0</v>
      </c>
      <c r="Q149" s="249">
        <f>Financeiros!E43</f>
        <v>0</v>
      </c>
    </row>
    <row r="150" spans="1:17" ht="15.75">
      <c r="A150" t="s">
        <v>773</v>
      </c>
      <c r="B150" t="s">
        <v>1377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-6.4997385911466914E-5</v>
      </c>
      <c r="Q150" s="249">
        <f ca="1">Financeiros!E41</f>
        <v>-6.4997385911466914E-5</v>
      </c>
    </row>
    <row r="151" spans="1:17" ht="15.75">
      <c r="A151" t="s">
        <v>773</v>
      </c>
      <c r="B151" t="s">
        <v>1377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Financeiros!E45</f>
        <v>0</v>
      </c>
    </row>
    <row r="152" spans="1:17" ht="15.75">
      <c r="A152" t="s">
        <v>773</v>
      </c>
      <c r="B152" t="s">
        <v>1377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0</v>
      </c>
      <c r="Q152" s="249">
        <f ca="1">Financeiros!E46</f>
        <v>0</v>
      </c>
    </row>
    <row r="153" spans="1:17" ht="15.75">
      <c r="A153" t="s">
        <v>773</v>
      </c>
      <c r="B153" t="s">
        <v>72</v>
      </c>
      <c r="C153" t="s">
        <v>1571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7"/>
        <v>1E-14</v>
      </c>
      <c r="Q153" s="234">
        <f>Encargos!O6</f>
        <v>1E-14</v>
      </c>
    </row>
    <row r="154" spans="1:17" ht="15.75">
      <c r="A154" t="s">
        <v>1572</v>
      </c>
      <c r="B154" t="s">
        <v>1573</v>
      </c>
      <c r="C154" t="s">
        <v>1574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7"/>
        <v>0</v>
      </c>
      <c r="Q154" s="234">
        <f>IF(CAPA!K9="Atrasado",1,0)</f>
        <v>0</v>
      </c>
    </row>
    <row r="155" spans="1:17" ht="15.75">
      <c r="A155" t="s">
        <v>1572</v>
      </c>
      <c r="B155" t="s">
        <v>1573</v>
      </c>
      <c r="C155" t="s">
        <v>1575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7"/>
        <v>0</v>
      </c>
      <c r="Q155" s="234">
        <f ca="1">IF(CAPA!C110="Revisão",1,0)</f>
        <v>0</v>
      </c>
    </row>
    <row r="156" spans="1:17" ht="15.75">
      <c r="A156" t="s">
        <v>1572</v>
      </c>
      <c r="B156" t="s">
        <v>1573</v>
      </c>
      <c r="C156" t="s">
        <v>1576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7"/>
        <v>1</v>
      </c>
      <c r="Q156" s="234">
        <v>1</v>
      </c>
    </row>
    <row r="157" spans="1:17" ht="15.75">
      <c r="A157" t="s">
        <v>773</v>
      </c>
      <c r="B157" t="s">
        <v>975</v>
      </c>
      <c r="C157" t="s">
        <v>1577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7"/>
        <v>0</v>
      </c>
      <c r="Q157" s="254">
        <f>IF(CAPA!P1="VERDADEIRO",0,Calc_Mercado!J15)</f>
        <v>0</v>
      </c>
    </row>
    <row r="158" spans="1:17" ht="15.75">
      <c r="A158" s="16" t="s">
        <v>773</v>
      </c>
      <c r="B158" s="16" t="s">
        <v>120</v>
      </c>
      <c r="C158" s="16" t="s">
        <v>822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7"/>
        <v>86504.407129999992</v>
      </c>
      <c r="Q158" s="234">
        <f ca="1">Energia!C5</f>
        <v>86504.407129999992</v>
      </c>
    </row>
    <row r="159" spans="1:17" ht="15.75">
      <c r="A159" s="16" t="s">
        <v>773</v>
      </c>
      <c r="B159" s="16" t="s">
        <v>120</v>
      </c>
      <c r="C159" s="16" t="s">
        <v>822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7"/>
        <v>14179490.322595056</v>
      </c>
      <c r="Q159" s="234">
        <f ca="1">Energia!C14</f>
        <v>14179490.322595056</v>
      </c>
    </row>
    <row r="160" spans="1:17" ht="15.75">
      <c r="A160" s="16" t="s">
        <v>773</v>
      </c>
      <c r="B160" s="16" t="s">
        <v>1578</v>
      </c>
      <c r="C160" s="16" t="s">
        <v>1579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7"/>
        <v>26396350.721296914</v>
      </c>
      <c r="Q160" s="234">
        <f ca="1">Resultado!D34</f>
        <v>26396350.721296914</v>
      </c>
    </row>
    <row r="161" spans="1:21" ht="15.75">
      <c r="A161" s="16" t="s">
        <v>773</v>
      </c>
      <c r="B161" s="16" t="s">
        <v>109</v>
      </c>
      <c r="C161" s="16" t="s">
        <v>837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7"/>
        <v>31500000</v>
      </c>
      <c r="Q161" s="234">
        <f>Resultado!D39</f>
        <v>31500000</v>
      </c>
    </row>
    <row r="162" spans="1:21" ht="15.75">
      <c r="A162" s="16" t="s">
        <v>773</v>
      </c>
      <c r="B162" s="16" t="s">
        <v>72</v>
      </c>
      <c r="C162" s="16" t="s">
        <v>837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7"/>
        <v>8728383.2527754605</v>
      </c>
      <c r="Q162" s="234">
        <f ca="1">Resultado!D14</f>
        <v>8728383.2527754605</v>
      </c>
    </row>
    <row r="163" spans="1:21" ht="15.75">
      <c r="A163" s="16" t="s">
        <v>773</v>
      </c>
      <c r="B163" s="16" t="s">
        <v>794</v>
      </c>
      <c r="C163" s="16" t="s">
        <v>837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7"/>
        <v>3488477.1459263992</v>
      </c>
      <c r="Q163" s="234">
        <f>Resultado!D24</f>
        <v>3488477.1459263992</v>
      </c>
    </row>
    <row r="164" spans="1:21" ht="15.75">
      <c r="A164" s="16" t="s">
        <v>773</v>
      </c>
      <c r="B164" s="16" t="s">
        <v>1578</v>
      </c>
      <c r="C164" s="16" t="s">
        <v>1580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7"/>
        <v>57896350.721296914</v>
      </c>
      <c r="Q164" s="234">
        <f ca="1">Resultado!C5</f>
        <v>57896350.721296914</v>
      </c>
    </row>
    <row r="165" spans="1:21" ht="15.75">
      <c r="A165" s="16" t="s">
        <v>773</v>
      </c>
      <c r="B165" s="16" t="s">
        <v>120</v>
      </c>
      <c r="C165" s="16" t="s">
        <v>1581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7"/>
        <v>3.623815984567607E-2</v>
      </c>
      <c r="Q165" s="234">
        <f ca="1">Energia!N15</f>
        <v>3.623815984567607E-2</v>
      </c>
    </row>
    <row r="166" spans="1:21" ht="15.75">
      <c r="A166" s="16" t="s">
        <v>773</v>
      </c>
      <c r="B166" s="16" t="s">
        <v>120</v>
      </c>
      <c r="C166" s="16" t="s">
        <v>1582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7"/>
        <v>3025.1351999999988</v>
      </c>
      <c r="Q166" s="234">
        <f ca="1">Energia!N18+Energia!N19</f>
        <v>3025.1351999999988</v>
      </c>
    </row>
    <row r="167" spans="1:21" ht="15.75">
      <c r="A167" s="16" t="s">
        <v>772</v>
      </c>
      <c r="B167" s="16" t="s">
        <v>120</v>
      </c>
      <c r="C167" s="16" t="s">
        <v>837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7"/>
        <v>17652501.85341147</v>
      </c>
      <c r="Q167" s="234">
        <f ca="1">Resultado!C33</f>
        <v>17652501.85341147</v>
      </c>
      <c r="R167" s="255"/>
      <c r="S167" s="255"/>
      <c r="T167" s="255"/>
      <c r="U167" s="255"/>
    </row>
    <row r="168" spans="1:21" ht="15.75">
      <c r="A168" s="16" t="s">
        <v>772</v>
      </c>
      <c r="B168" s="16" t="s">
        <v>1578</v>
      </c>
      <c r="C168" s="16" t="s">
        <v>1583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7"/>
        <v>56191945.232149981</v>
      </c>
      <c r="Q168" s="234">
        <f ca="1">Mercado_RA0_Reais</f>
        <v>56191945.232149981</v>
      </c>
    </row>
    <row r="169" spans="1:21" ht="15.75">
      <c r="A169" s="16" t="s">
        <v>773</v>
      </c>
      <c r="B169" s="16" t="s">
        <v>1377</v>
      </c>
      <c r="C169" s="16" t="s">
        <v>837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7"/>
        <v>-21837727.702991419</v>
      </c>
      <c r="Q169" s="234">
        <f ca="1">Financeiros!D7</f>
        <v>-21837727.702991419</v>
      </c>
    </row>
    <row r="170" spans="1:21" ht="15.75">
      <c r="A170" s="16" t="s">
        <v>773</v>
      </c>
      <c r="B170" s="16" t="s">
        <v>1377</v>
      </c>
      <c r="C170" s="16" t="s">
        <v>837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7"/>
        <v>-0.33885813016407468</v>
      </c>
      <c r="Q170" s="234">
        <f ca="1">Financeiros!E7</f>
        <v>-0.33885813016407468</v>
      </c>
    </row>
    <row r="171" spans="1:21" ht="15.75">
      <c r="A171" s="16" t="s">
        <v>773</v>
      </c>
      <c r="B171" s="16" t="s">
        <v>1584</v>
      </c>
      <c r="C171" s="16" t="s">
        <v>1585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7"/>
        <v>36058623.018305495</v>
      </c>
      <c r="Q171" s="234">
        <f ca="1">Resultado!C5+Financeiros!D7/(1+IF(Q157&gt;0,Q157,0))</f>
        <v>36058623.018305495</v>
      </c>
    </row>
    <row r="172" spans="1:21" ht="15.75">
      <c r="A172" t="s">
        <v>773</v>
      </c>
      <c r="B172" t="s">
        <v>72</v>
      </c>
      <c r="C172" t="s">
        <v>1571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7"/>
        <v>1E-14</v>
      </c>
      <c r="Q172" s="234">
        <f>Encargos!O6</f>
        <v>1E-14</v>
      </c>
    </row>
    <row r="173" spans="1:21" ht="15.75">
      <c r="A173" s="1008" t="s">
        <v>1586</v>
      </c>
      <c r="B173" s="1008" t="s">
        <v>1586</v>
      </c>
      <c r="C173" s="1008" t="s">
        <v>1586</v>
      </c>
      <c r="D173" s="1008">
        <v>99</v>
      </c>
      <c r="E173" s="1008">
        <v>99</v>
      </c>
      <c r="F173" s="1008">
        <v>999</v>
      </c>
      <c r="G173" s="1008">
        <v>999999</v>
      </c>
      <c r="H173" s="1008">
        <v>999</v>
      </c>
      <c r="I173" s="1008">
        <v>99</v>
      </c>
      <c r="J173" s="1008">
        <v>999</v>
      </c>
      <c r="K173" s="1008">
        <v>9</v>
      </c>
      <c r="L173" s="1008">
        <v>99</v>
      </c>
      <c r="M173" s="1008">
        <v>9</v>
      </c>
      <c r="N173" s="1008">
        <v>99</v>
      </c>
      <c r="O173" s="1008">
        <v>99999</v>
      </c>
      <c r="P173" s="401">
        <f t="shared" si="7"/>
        <v>0</v>
      </c>
      <c r="Q173" s="401">
        <v>0</v>
      </c>
    </row>
    <row r="174" spans="1:21" ht="15.75">
      <c r="A174" s="1008" t="s">
        <v>1586</v>
      </c>
      <c r="B174" s="1008" t="s">
        <v>1586</v>
      </c>
      <c r="C174" s="1008" t="s">
        <v>1586</v>
      </c>
      <c r="D174" s="1008">
        <v>99</v>
      </c>
      <c r="E174" s="1008">
        <v>99</v>
      </c>
      <c r="F174" s="1008">
        <v>999</v>
      </c>
      <c r="G174" s="1008">
        <v>999999</v>
      </c>
      <c r="H174" s="1008">
        <v>999</v>
      </c>
      <c r="I174" s="1008">
        <v>99</v>
      </c>
      <c r="J174" s="1008">
        <v>999</v>
      </c>
      <c r="K174" s="1008">
        <v>9</v>
      </c>
      <c r="L174" s="1008">
        <v>99</v>
      </c>
      <c r="M174" s="1008">
        <v>9</v>
      </c>
      <c r="N174" s="1008">
        <v>99</v>
      </c>
      <c r="O174" s="1008">
        <v>99999</v>
      </c>
      <c r="P174" s="401">
        <f t="shared" si="7"/>
        <v>0</v>
      </c>
      <c r="Q174" s="401">
        <v>0</v>
      </c>
    </row>
    <row r="175" spans="1:21" ht="15.75">
      <c r="A175" s="1008" t="s">
        <v>1586</v>
      </c>
      <c r="B175" s="1008" t="s">
        <v>1586</v>
      </c>
      <c r="C175" s="1008" t="s">
        <v>1586</v>
      </c>
      <c r="D175" s="1008">
        <v>99</v>
      </c>
      <c r="E175" s="1008">
        <v>99</v>
      </c>
      <c r="F175" s="1008">
        <v>999</v>
      </c>
      <c r="G175" s="1008">
        <v>999999</v>
      </c>
      <c r="H175" s="1008">
        <v>999</v>
      </c>
      <c r="I175" s="1008">
        <v>99</v>
      </c>
      <c r="J175" s="1008">
        <v>999</v>
      </c>
      <c r="K175" s="1008">
        <v>9</v>
      </c>
      <c r="L175" s="1008">
        <v>99</v>
      </c>
      <c r="M175" s="1008">
        <v>9</v>
      </c>
      <c r="N175" s="1008">
        <v>99</v>
      </c>
      <c r="O175" s="1008">
        <v>99999</v>
      </c>
      <c r="P175" s="401">
        <f t="shared" si="7"/>
        <v>0</v>
      </c>
      <c r="Q175" s="401">
        <v>0</v>
      </c>
    </row>
    <row r="176" spans="1:21" ht="15.75">
      <c r="A176" t="s">
        <v>773</v>
      </c>
      <c r="B176" t="s">
        <v>975</v>
      </c>
      <c r="C176" t="s">
        <v>1577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7"/>
        <v>0</v>
      </c>
      <c r="Q176" s="254">
        <f>IF(CAPA!P1="VERDADEIRO",0,Calc_Mercado!J15)</f>
        <v>0</v>
      </c>
    </row>
    <row r="177" spans="1:19" ht="15.75">
      <c r="A177" s="16" t="s">
        <v>773</v>
      </c>
      <c r="B177" s="16" t="s">
        <v>120</v>
      </c>
      <c r="C177" s="16" t="s">
        <v>822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7"/>
        <v>86504.407129999992</v>
      </c>
      <c r="Q177" s="234">
        <f ca="1">Energia!C5</f>
        <v>86504.407129999992</v>
      </c>
    </row>
    <row r="178" spans="1:19" ht="15.75">
      <c r="A178" s="16" t="s">
        <v>773</v>
      </c>
      <c r="B178" s="16" t="s">
        <v>120</v>
      </c>
      <c r="C178" s="16" t="s">
        <v>822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7"/>
        <v>14179490.322595056</v>
      </c>
      <c r="Q178" s="234">
        <f ca="1">Energia!C14</f>
        <v>14179490.322595056</v>
      </c>
    </row>
    <row r="179" spans="1:19" ht="15.75">
      <c r="A179" s="16" t="s">
        <v>773</v>
      </c>
      <c r="B179" s="16" t="s">
        <v>120</v>
      </c>
      <c r="C179" s="16" t="s">
        <v>1587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7"/>
        <v>15090.499129999997</v>
      </c>
      <c r="Q179" s="234">
        <f ca="1">SUM(LnkTXTPerdas)</f>
        <v>15090.499129999997</v>
      </c>
    </row>
    <row r="180" spans="1:19" ht="15.75">
      <c r="A180" s="16" t="s">
        <v>773</v>
      </c>
      <c r="B180" s="16" t="s">
        <v>1584</v>
      </c>
      <c r="C180" s="16" t="s">
        <v>1588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2">IF(ISNUMBER(Q180),Q180,0)</f>
        <v>66990</v>
      </c>
      <c r="Q180" s="234">
        <f ca="1">SUM(INDIRECT("dados_MercadoBase[D]"))</f>
        <v>66990</v>
      </c>
    </row>
    <row r="181" spans="1:19" ht="15.75">
      <c r="A181" s="16" t="s">
        <v>773</v>
      </c>
      <c r="B181" s="16" t="s">
        <v>1584</v>
      </c>
      <c r="C181" s="16" t="s">
        <v>1589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2"/>
        <v>73735.017999999967</v>
      </c>
      <c r="Q181" s="234">
        <f ca="1">SUM(INDIRECT("dados_MercadoBase[TUSD_E]"))</f>
        <v>73735.017999999967</v>
      </c>
    </row>
    <row r="182" spans="1:19" ht="15.75">
      <c r="A182" t="s">
        <v>772</v>
      </c>
      <c r="B182" t="s">
        <v>794</v>
      </c>
      <c r="C182" t="s">
        <v>1590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2"/>
        <v>2070052.8014501331</v>
      </c>
      <c r="Q182" s="234">
        <f ca="1">Resultado!C25</f>
        <v>2070052.8014501331</v>
      </c>
    </row>
    <row r="183" spans="1:19" ht="15.75">
      <c r="A183" t="s">
        <v>772</v>
      </c>
      <c r="B183" t="s">
        <v>794</v>
      </c>
      <c r="C183" t="s">
        <v>1264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2"/>
        <v>694657.64644569915</v>
      </c>
      <c r="Q183" s="234">
        <f ca="1">Resultado!C26</f>
        <v>694657.64644569915</v>
      </c>
    </row>
    <row r="184" spans="1:19" ht="15.75">
      <c r="A184" t="s">
        <v>772</v>
      </c>
      <c r="B184" t="s">
        <v>794</v>
      </c>
      <c r="C184" t="s">
        <v>1536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2"/>
        <v>0</v>
      </c>
      <c r="Q184" s="234">
        <f ca="1">Resultado!C31</f>
        <v>0</v>
      </c>
    </row>
    <row r="185" spans="1:19" ht="15.75">
      <c r="A185" t="s">
        <v>772</v>
      </c>
      <c r="B185" t="s">
        <v>794</v>
      </c>
      <c r="C185" t="s">
        <v>1537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2"/>
        <v>0</v>
      </c>
      <c r="Q185" s="234">
        <f>Resultado!C27</f>
        <v>0</v>
      </c>
    </row>
    <row r="186" spans="1:19" ht="15.75">
      <c r="A186" t="s">
        <v>772</v>
      </c>
      <c r="B186" t="s">
        <v>794</v>
      </c>
      <c r="C186" t="s">
        <v>1538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2"/>
        <v>0</v>
      </c>
      <c r="Q186" s="234">
        <f>Resultado!C28</f>
        <v>0</v>
      </c>
    </row>
    <row r="187" spans="1:19" ht="15.75">
      <c r="A187" s="9" t="s">
        <v>773</v>
      </c>
      <c r="B187" t="s">
        <v>794</v>
      </c>
      <c r="C187" s="9" t="s">
        <v>1591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2"/>
        <v>0</v>
      </c>
      <c r="Q187" s="254">
        <f>Resultado!D31</f>
        <v>0</v>
      </c>
    </row>
    <row r="188" spans="1:19" ht="15.75">
      <c r="A188" t="s">
        <v>773</v>
      </c>
      <c r="B188" t="s">
        <v>1584</v>
      </c>
      <c r="C188" s="9" t="s">
        <v>1592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2"/>
        <v>71413.907999999952</v>
      </c>
      <c r="Q188" s="234">
        <f ca="1">SUM(INDIRECT("dados_MercadoBase[TE_E]"))</f>
        <v>71413.907999999952</v>
      </c>
    </row>
    <row r="189" spans="1:19" ht="15.75">
      <c r="A189" t="s">
        <v>773</v>
      </c>
      <c r="B189" t="s">
        <v>1593</v>
      </c>
      <c r="C189" s="9" t="s">
        <v>1594</v>
      </c>
      <c r="D189" s="417">
        <v>1</v>
      </c>
      <c r="E189" s="417">
        <v>1</v>
      </c>
      <c r="F189" s="417">
        <v>15</v>
      </c>
      <c r="G189" s="417">
        <v>175</v>
      </c>
      <c r="H189" s="417">
        <v>999</v>
      </c>
      <c r="I189" s="417">
        <v>4</v>
      </c>
      <c r="J189" s="417">
        <v>999</v>
      </c>
      <c r="K189" s="417">
        <v>9</v>
      </c>
      <c r="L189" s="417">
        <v>99</v>
      </c>
      <c r="M189" s="417">
        <v>9</v>
      </c>
      <c r="N189" s="417">
        <v>4</v>
      </c>
      <c r="O189" s="417">
        <v>99999</v>
      </c>
      <c r="P189" s="419">
        <f>IF(ISNUMBER(Q189),Q189,0)</f>
        <v>9.9699999999999997E-2</v>
      </c>
      <c r="Q189" s="419">
        <f>VLOOKUP(LnkTXTSigla,Informacoes[],8,FALSE)</f>
        <v>9.9699999999999997E-2</v>
      </c>
    </row>
    <row r="190" spans="1:19" ht="15.75">
      <c r="A190" t="s">
        <v>773</v>
      </c>
      <c r="B190" t="s">
        <v>1593</v>
      </c>
      <c r="C190" s="9" t="s">
        <v>1595</v>
      </c>
      <c r="D190" s="417">
        <v>1</v>
      </c>
      <c r="E190" s="417">
        <v>1</v>
      </c>
      <c r="F190" s="417">
        <v>15</v>
      </c>
      <c r="G190" s="417">
        <v>174</v>
      </c>
      <c r="H190" s="417">
        <v>999</v>
      </c>
      <c r="I190" s="417">
        <v>4</v>
      </c>
      <c r="J190" s="417">
        <v>999</v>
      </c>
      <c r="K190" s="417">
        <v>9</v>
      </c>
      <c r="L190" s="417">
        <v>99</v>
      </c>
      <c r="M190" s="417">
        <v>9</v>
      </c>
      <c r="N190" s="417">
        <v>4</v>
      </c>
      <c r="O190" s="421">
        <v>99999</v>
      </c>
      <c r="P190" s="419">
        <f>IF(ISNUMBER(Q190),Q190,0)</f>
        <v>0.04</v>
      </c>
      <c r="Q190" s="419">
        <v>0.04</v>
      </c>
    </row>
    <row r="191" spans="1:19" ht="15.75">
      <c r="A191" t="s">
        <v>773</v>
      </c>
      <c r="B191" t="s">
        <v>1593</v>
      </c>
      <c r="C191" s="9" t="s">
        <v>1596</v>
      </c>
      <c r="D191" s="417">
        <v>1</v>
      </c>
      <c r="E191" s="417">
        <v>1</v>
      </c>
      <c r="F191" s="417">
        <v>196</v>
      </c>
      <c r="G191" s="417">
        <v>250</v>
      </c>
      <c r="H191" s="417">
        <v>999</v>
      </c>
      <c r="I191" s="417">
        <v>4</v>
      </c>
      <c r="J191" s="417">
        <v>999</v>
      </c>
      <c r="K191" s="417">
        <v>9</v>
      </c>
      <c r="L191" s="417">
        <v>99</v>
      </c>
      <c r="M191" s="417">
        <v>9</v>
      </c>
      <c r="N191" s="417">
        <v>3</v>
      </c>
      <c r="O191" s="421">
        <v>99999</v>
      </c>
      <c r="P191" s="418">
        <f>IF(ISNUMBER(Q191),Q191,0)</f>
        <v>17800000</v>
      </c>
      <c r="Q191" s="423">
        <f>CAPA!D32</f>
        <v>17800000</v>
      </c>
      <c r="S191" s="9"/>
    </row>
    <row r="192" spans="1:19" ht="15.75">
      <c r="A192" t="s">
        <v>773</v>
      </c>
      <c r="B192" t="s">
        <v>1593</v>
      </c>
      <c r="C192" s="9" t="s">
        <v>1597</v>
      </c>
      <c r="D192" s="417">
        <v>1</v>
      </c>
      <c r="E192" s="417">
        <v>1</v>
      </c>
      <c r="F192" s="417">
        <v>14</v>
      </c>
      <c r="G192" s="417">
        <v>31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254">
        <v>0</v>
      </c>
      <c r="Q192" s="254">
        <v>0</v>
      </c>
    </row>
    <row r="193" spans="1:17" ht="15.75">
      <c r="A193" t="s">
        <v>773</v>
      </c>
      <c r="B193" t="s">
        <v>1593</v>
      </c>
      <c r="C193" s="9" t="s">
        <v>1598</v>
      </c>
      <c r="D193" s="417">
        <v>1</v>
      </c>
      <c r="E193" s="417">
        <v>1</v>
      </c>
      <c r="F193" s="417">
        <v>15</v>
      </c>
      <c r="G193" s="417">
        <v>176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3</v>
      </c>
      <c r="O193" s="417">
        <v>99999</v>
      </c>
      <c r="P193" s="254">
        <f t="shared" si="12"/>
        <v>13700000</v>
      </c>
      <c r="Q193" s="254">
        <f>CAPA!D33</f>
        <v>13700000</v>
      </c>
    </row>
    <row r="194" spans="1:17" ht="15.75">
      <c r="A194" t="s">
        <v>773</v>
      </c>
      <c r="B194" t="s">
        <v>1593</v>
      </c>
      <c r="C194" s="9" t="s">
        <v>1599</v>
      </c>
      <c r="D194" s="417">
        <v>1</v>
      </c>
      <c r="E194" s="417">
        <v>1</v>
      </c>
      <c r="F194" s="417">
        <v>203</v>
      </c>
      <c r="G194" s="417">
        <v>247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17">
        <v>99999</v>
      </c>
      <c r="P194" s="234">
        <f t="shared" si="12"/>
        <v>31500000</v>
      </c>
      <c r="Q194" s="234">
        <f>Resultado!D39</f>
        <v>31500000</v>
      </c>
    </row>
    <row r="195" spans="1:17" ht="15.75">
      <c r="A195" t="s">
        <v>773</v>
      </c>
      <c r="B195" t="s">
        <v>1593</v>
      </c>
      <c r="C195" t="s">
        <v>254</v>
      </c>
      <c r="D195" s="417">
        <v>1</v>
      </c>
      <c r="E195" s="417">
        <v>1</v>
      </c>
      <c r="F195" s="417">
        <v>15</v>
      </c>
      <c r="G195" s="417">
        <v>194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34">
        <f t="shared" si="12"/>
        <v>0.1338</v>
      </c>
      <c r="Q195" s="249">
        <f>VLOOKUP(LnkTXTSigla,Informacoes[],16,FALSE)</f>
        <v>0.1338</v>
      </c>
    </row>
    <row r="196" spans="1:17" ht="15.75">
      <c r="A196" t="s">
        <v>1584</v>
      </c>
      <c r="B196" t="s">
        <v>1600</v>
      </c>
      <c r="C196" t="s">
        <v>1601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2"/>
        <v>18930.070800372632</v>
      </c>
      <c r="Q196" s="234">
        <f>'Tabelas e Gráficos'!BP288</f>
        <v>18930.070800372632</v>
      </c>
    </row>
    <row r="197" spans="1:17" ht="15.75">
      <c r="A197" t="s">
        <v>1584</v>
      </c>
      <c r="B197" t="s">
        <v>1600</v>
      </c>
      <c r="C197" t="s">
        <v>1602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2"/>
        <v>-0.86980559323365014</v>
      </c>
      <c r="Q197" s="234">
        <f>'Tabelas e Gráficos'!BP289</f>
        <v>-0.86980559323365014</v>
      </c>
    </row>
    <row r="198" spans="1:17" ht="15.75">
      <c r="A198" t="s">
        <v>1584</v>
      </c>
      <c r="B198" t="s">
        <v>1600</v>
      </c>
      <c r="C198" t="s">
        <v>1603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2"/>
        <v>0</v>
      </c>
      <c r="Q198" s="234">
        <f>'Tabelas e Gráficos'!BP290</f>
        <v>0</v>
      </c>
    </row>
    <row r="199" spans="1:17" ht="15.75">
      <c r="A199" t="s">
        <v>1584</v>
      </c>
      <c r="B199" t="s">
        <v>1600</v>
      </c>
      <c r="C199" t="s">
        <v>1604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2"/>
        <v>484.83010085120259</v>
      </c>
      <c r="Q199" s="234">
        <f>'Tabelas e Gráficos'!BP291</f>
        <v>484.83010085120259</v>
      </c>
    </row>
    <row r="200" spans="1:17" ht="15.75">
      <c r="A200" t="s">
        <v>1584</v>
      </c>
      <c r="B200" t="s">
        <v>1600</v>
      </c>
      <c r="C200" t="s">
        <v>1605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2"/>
        <v>2128.6652435808987</v>
      </c>
      <c r="Q200" s="234">
        <f>'Tabelas e Gráficos'!BP292</f>
        <v>2128.6652435808987</v>
      </c>
    </row>
    <row r="201" spans="1:17" ht="15.75">
      <c r="A201" t="s">
        <v>1584</v>
      </c>
      <c r="B201" t="s">
        <v>1600</v>
      </c>
      <c r="C201" t="s">
        <v>1606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2"/>
        <v>14375.894941642555</v>
      </c>
      <c r="Q201" s="234">
        <f>'Tabelas e Gráficos'!BP293</f>
        <v>14375.894941642555</v>
      </c>
    </row>
    <row r="202" spans="1:17" ht="15.75">
      <c r="A202" t="s">
        <v>1584</v>
      </c>
      <c r="B202" t="s">
        <v>1600</v>
      </c>
      <c r="C202" t="s">
        <v>1607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2"/>
        <v>20328.751305114634</v>
      </c>
      <c r="Q202" s="234">
        <f>'Tabelas e Gráficos'!BQ288</f>
        <v>20328.751305114634</v>
      </c>
    </row>
    <row r="203" spans="1:17" ht="15.75">
      <c r="A203" t="s">
        <v>1584</v>
      </c>
      <c r="B203" t="s">
        <v>1600</v>
      </c>
      <c r="C203" t="s">
        <v>1608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2"/>
        <v>1139.9168138338152</v>
      </c>
      <c r="Q203" s="234">
        <f>'Tabelas e Gráficos'!BQ289</f>
        <v>1139.9168138338152</v>
      </c>
    </row>
    <row r="204" spans="1:17" ht="15.75">
      <c r="A204" t="s">
        <v>1584</v>
      </c>
      <c r="B204" t="s">
        <v>1600</v>
      </c>
      <c r="C204" t="s">
        <v>1609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2"/>
        <v>0</v>
      </c>
      <c r="Q204" s="234">
        <f>'Tabelas e Gráficos'!BQ290</f>
        <v>0</v>
      </c>
    </row>
    <row r="205" spans="1:17" ht="15.75">
      <c r="A205" t="s">
        <v>1584</v>
      </c>
      <c r="B205" t="s">
        <v>1600</v>
      </c>
      <c r="C205" t="s">
        <v>1610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2"/>
        <v>3474.2647934119086</v>
      </c>
      <c r="Q205" s="234">
        <f>'Tabelas e Gráficos'!BQ291</f>
        <v>3474.2647934119086</v>
      </c>
    </row>
    <row r="206" spans="1:17" ht="15.75">
      <c r="A206" t="s">
        <v>1584</v>
      </c>
      <c r="B206" t="s">
        <v>1600</v>
      </c>
      <c r="C206" t="s">
        <v>1611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2"/>
        <v>121975.0372172011</v>
      </c>
      <c r="Q206" s="234">
        <f>'Tabelas e Gráficos'!BQ292</f>
        <v>121975.0372172011</v>
      </c>
    </row>
    <row r="207" spans="1:17" ht="15.75">
      <c r="A207" t="s">
        <v>1584</v>
      </c>
      <c r="B207" t="s">
        <v>1600</v>
      </c>
      <c r="C207" t="s">
        <v>1612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2"/>
        <v>38664.002220753566</v>
      </c>
      <c r="Q207" s="234">
        <f>'Tabelas e Gráficos'!BQ293</f>
        <v>38664.002220753566</v>
      </c>
    </row>
    <row r="208" spans="1:17" ht="15.75">
      <c r="A208" t="s">
        <v>1584</v>
      </c>
      <c r="B208" t="s">
        <v>1600</v>
      </c>
      <c r="C208" t="s">
        <v>1613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2"/>
        <v>39258.82210548727</v>
      </c>
      <c r="Q208" s="234">
        <f>'Tabelas e Gráficos'!BR288</f>
        <v>39258.82210548727</v>
      </c>
    </row>
    <row r="209" spans="1:17" ht="15.75">
      <c r="A209" t="s">
        <v>1584</v>
      </c>
      <c r="B209" t="s">
        <v>1600</v>
      </c>
      <c r="C209" t="s">
        <v>1614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2"/>
        <v>1139.0470082405816</v>
      </c>
      <c r="Q209" s="234">
        <f>'Tabelas e Gráficos'!BR289</f>
        <v>1139.0470082405816</v>
      </c>
    </row>
    <row r="210" spans="1:17" ht="15.75">
      <c r="A210" t="s">
        <v>1584</v>
      </c>
      <c r="B210" t="s">
        <v>1600</v>
      </c>
      <c r="C210" t="s">
        <v>1615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2"/>
        <v>0</v>
      </c>
      <c r="Q210" s="234">
        <f>'Tabelas e Gráficos'!BR290</f>
        <v>0</v>
      </c>
    </row>
    <row r="211" spans="1:17" ht="15.75">
      <c r="A211" t="s">
        <v>1584</v>
      </c>
      <c r="B211" t="s">
        <v>1600</v>
      </c>
      <c r="C211" t="s">
        <v>1616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2"/>
        <v>3959.0948942631112</v>
      </c>
      <c r="Q211" s="234">
        <f>'Tabelas e Gráficos'!BR291</f>
        <v>3959.0948942631112</v>
      </c>
    </row>
    <row r="212" spans="1:17" ht="15.75">
      <c r="A212" t="s">
        <v>1584</v>
      </c>
      <c r="B212" t="s">
        <v>1600</v>
      </c>
      <c r="C212" t="s">
        <v>1617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2"/>
        <v>124103.70246078199</v>
      </c>
      <c r="Q212" s="234">
        <f>'Tabelas e Gráficos'!BR292</f>
        <v>124103.70246078199</v>
      </c>
    </row>
    <row r="213" spans="1:17" ht="15.75">
      <c r="A213" t="s">
        <v>1584</v>
      </c>
      <c r="B213" t="s">
        <v>1600</v>
      </c>
      <c r="C213" t="s">
        <v>1618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2"/>
        <v>53039.897162396119</v>
      </c>
      <c r="Q213" s="234">
        <f>'Tabelas e Gráficos'!BR293</f>
        <v>53039.897162396119</v>
      </c>
    </row>
    <row r="214" spans="1:17" ht="15.75">
      <c r="A214" s="905" t="s">
        <v>773</v>
      </c>
      <c r="B214" s="905" t="s">
        <v>72</v>
      </c>
      <c r="C214" s="905" t="s">
        <v>1619</v>
      </c>
      <c r="D214" s="905">
        <v>2</v>
      </c>
      <c r="E214" s="905">
        <v>1</v>
      </c>
      <c r="F214" s="905">
        <v>51</v>
      </c>
      <c r="G214" s="905">
        <v>73</v>
      </c>
      <c r="H214" s="905">
        <v>999</v>
      </c>
      <c r="I214" s="905">
        <v>3</v>
      </c>
      <c r="J214" s="905">
        <v>15</v>
      </c>
      <c r="K214" s="905">
        <v>1</v>
      </c>
      <c r="L214" s="905">
        <v>99</v>
      </c>
      <c r="M214" s="905">
        <v>9</v>
      </c>
      <c r="N214" s="905">
        <v>3</v>
      </c>
      <c r="O214" s="905">
        <v>99999</v>
      </c>
      <c r="P214" s="234">
        <f t="shared" si="12"/>
        <v>0</v>
      </c>
      <c r="Q214" s="234">
        <f>Encargos!I20</f>
        <v>0</v>
      </c>
    </row>
    <row r="215" spans="1:17" ht="15.75">
      <c r="A215" s="905" t="s">
        <v>773</v>
      </c>
      <c r="B215" s="905" t="s">
        <v>1377</v>
      </c>
      <c r="C215" s="905" t="str">
        <f>Financeiros!C48</f>
        <v>CVE ccc</v>
      </c>
      <c r="D215" s="905">
        <v>2</v>
      </c>
      <c r="E215" s="905">
        <v>2</v>
      </c>
      <c r="F215" s="905">
        <f>Financeiros!F48</f>
        <v>22</v>
      </c>
      <c r="G215" s="905">
        <f>Financeiros!G48</f>
        <v>60</v>
      </c>
      <c r="H215" s="905">
        <f>Financeiros!H48</f>
        <v>241</v>
      </c>
      <c r="I215" s="905">
        <f>Financeiros!I48</f>
        <v>3</v>
      </c>
      <c r="J215" s="905">
        <f>Financeiros!J48</f>
        <v>13</v>
      </c>
      <c r="K215" s="905">
        <f>Financeiros!K48</f>
        <v>9</v>
      </c>
      <c r="L215" s="905">
        <v>99</v>
      </c>
      <c r="M215" s="905">
        <v>9</v>
      </c>
      <c r="N215" s="905">
        <v>3</v>
      </c>
      <c r="O215" s="905">
        <v>99999</v>
      </c>
      <c r="P215" s="980">
        <f t="shared" ref="P215" si="13">IF(ISNUMBER(Q215),Q215,0)</f>
        <v>0</v>
      </c>
      <c r="Q215" s="234">
        <f>Financeiros!D48</f>
        <v>0</v>
      </c>
    </row>
    <row r="216" spans="1:17" ht="15.75">
      <c r="A216" s="905" t="s">
        <v>773</v>
      </c>
      <c r="B216" s="905" t="s">
        <v>1377</v>
      </c>
      <c r="C216" s="905" t="str">
        <f>Financeiros!C49</f>
        <v>CVE cde</v>
      </c>
      <c r="D216" s="905">
        <v>2</v>
      </c>
      <c r="E216" s="905">
        <v>2</v>
      </c>
      <c r="F216" s="905">
        <f>Financeiros!F49</f>
        <v>22</v>
      </c>
      <c r="G216" s="905">
        <f>Financeiros!G49</f>
        <v>60</v>
      </c>
      <c r="H216" s="905">
        <f>Financeiros!H49</f>
        <v>241</v>
      </c>
      <c r="I216" s="905">
        <f>Financeiros!I49</f>
        <v>3</v>
      </c>
      <c r="J216" s="905">
        <f>Financeiros!J49</f>
        <v>15</v>
      </c>
      <c r="K216" s="905">
        <f>Financeiros!K49</f>
        <v>9</v>
      </c>
      <c r="L216" s="905">
        <v>99</v>
      </c>
      <c r="M216" s="905">
        <v>9</v>
      </c>
      <c r="N216" s="905">
        <v>3</v>
      </c>
      <c r="O216" s="905">
        <v>99999</v>
      </c>
      <c r="P216" s="980">
        <f t="shared" ref="P216:P276" si="14">IF(ISNUMBER(Q216),Q216,0)</f>
        <v>0</v>
      </c>
      <c r="Q216" s="234">
        <f>Financeiros!D49</f>
        <v>0</v>
      </c>
    </row>
    <row r="217" spans="1:17" ht="15.75">
      <c r="A217" s="905" t="s">
        <v>773</v>
      </c>
      <c r="B217" s="905" t="s">
        <v>1377</v>
      </c>
      <c r="C217" s="905" t="str">
        <f>Financeiros!C50</f>
        <v>CVE cde energia</v>
      </c>
      <c r="D217" s="905">
        <v>2</v>
      </c>
      <c r="E217" s="905">
        <v>2</v>
      </c>
      <c r="F217" s="905">
        <f>Financeiros!F50</f>
        <v>22</v>
      </c>
      <c r="G217" s="905">
        <f>Financeiros!G50</f>
        <v>60</v>
      </c>
      <c r="H217" s="905">
        <f>Financeiros!H50</f>
        <v>241</v>
      </c>
      <c r="I217" s="905">
        <f>Financeiros!I50</f>
        <v>3</v>
      </c>
      <c r="J217" s="905">
        <f>Financeiros!J50</f>
        <v>25</v>
      </c>
      <c r="K217" s="905">
        <f>Financeiros!K50</f>
        <v>9</v>
      </c>
      <c r="L217" s="905">
        <v>99</v>
      </c>
      <c r="M217" s="905">
        <v>9</v>
      </c>
      <c r="N217" s="905">
        <v>3</v>
      </c>
      <c r="O217" s="905">
        <v>99999</v>
      </c>
      <c r="P217" s="980">
        <f t="shared" si="14"/>
        <v>0</v>
      </c>
      <c r="Q217" s="234">
        <f>Financeiros!D50</f>
        <v>0</v>
      </c>
    </row>
    <row r="218" spans="1:17" ht="15.75">
      <c r="A218" s="905" t="s">
        <v>773</v>
      </c>
      <c r="B218" s="905" t="s">
        <v>1377</v>
      </c>
      <c r="C218" s="905" t="str">
        <f>Financeiros!C51</f>
        <v>CVE RB - Nodal</v>
      </c>
      <c r="D218" s="905">
        <v>2</v>
      </c>
      <c r="E218" s="905">
        <v>2</v>
      </c>
      <c r="F218" s="905">
        <f>Financeiros!F51</f>
        <v>22</v>
      </c>
      <c r="G218" s="905">
        <f>Financeiros!G51</f>
        <v>60</v>
      </c>
      <c r="H218" s="905">
        <f>Financeiros!H51</f>
        <v>241</v>
      </c>
      <c r="I218" s="905">
        <f>Financeiros!I51</f>
        <v>1</v>
      </c>
      <c r="J218" s="905">
        <f>Financeiros!J51</f>
        <v>1</v>
      </c>
      <c r="K218" s="905">
        <f>Financeiros!K51</f>
        <v>9</v>
      </c>
      <c r="L218" s="905">
        <v>99</v>
      </c>
      <c r="M218" s="905">
        <v>9</v>
      </c>
      <c r="N218" s="905">
        <v>3</v>
      </c>
      <c r="O218" s="905">
        <v>99999</v>
      </c>
      <c r="P218" s="980">
        <f t="shared" si="14"/>
        <v>0</v>
      </c>
      <c r="Q218" s="234">
        <f>Financeiros!D51</f>
        <v>0</v>
      </c>
    </row>
    <row r="219" spans="1:17" ht="15.75">
      <c r="A219" s="905" t="s">
        <v>773</v>
      </c>
      <c r="B219" s="905" t="s">
        <v>1377</v>
      </c>
      <c r="C219" s="905" t="str">
        <f>Financeiros!C52</f>
        <v>CVE RB - Fronteira</v>
      </c>
      <c r="D219" s="905">
        <v>2</v>
      </c>
      <c r="E219" s="905">
        <v>2</v>
      </c>
      <c r="F219" s="905">
        <f>Financeiros!F52</f>
        <v>22</v>
      </c>
      <c r="G219" s="905">
        <f>Financeiros!G52</f>
        <v>60</v>
      </c>
      <c r="H219" s="905">
        <f>Financeiros!H52</f>
        <v>241</v>
      </c>
      <c r="I219" s="905">
        <f>Financeiros!I52</f>
        <v>1</v>
      </c>
      <c r="J219" s="905">
        <f>Financeiros!J52</f>
        <v>1</v>
      </c>
      <c r="K219" s="905">
        <f>Financeiros!K52</f>
        <v>9</v>
      </c>
      <c r="L219" s="905">
        <v>99</v>
      </c>
      <c r="M219" s="905">
        <v>9</v>
      </c>
      <c r="N219" s="905">
        <v>3</v>
      </c>
      <c r="O219" s="905">
        <v>99999</v>
      </c>
      <c r="P219" s="980">
        <f t="shared" si="14"/>
        <v>0</v>
      </c>
      <c r="Q219" s="234">
        <f>Financeiros!D52</f>
        <v>0</v>
      </c>
    </row>
    <row r="220" spans="1:17" ht="15.75">
      <c r="A220" s="905" t="s">
        <v>773</v>
      </c>
      <c r="B220" s="905" t="s">
        <v>1377</v>
      </c>
      <c r="C220" s="905" t="str">
        <f>Financeiros!C53</f>
        <v>CVE RB - TUSDg EXP</v>
      </c>
      <c r="D220" s="905">
        <v>2</v>
      </c>
      <c r="E220" s="905">
        <v>2</v>
      </c>
      <c r="F220" s="905">
        <f>Financeiros!F53</f>
        <v>22</v>
      </c>
      <c r="G220" s="905">
        <f>Financeiros!G53</f>
        <v>60</v>
      </c>
      <c r="H220" s="905">
        <f>Financeiros!H53</f>
        <v>241</v>
      </c>
      <c r="I220" s="905">
        <f>Financeiros!I53</f>
        <v>1</v>
      </c>
      <c r="J220" s="905">
        <f>Financeiros!J53</f>
        <v>1</v>
      </c>
      <c r="K220" s="905">
        <f>Financeiros!K53</f>
        <v>9</v>
      </c>
      <c r="L220" s="905">
        <v>99</v>
      </c>
      <c r="M220" s="905">
        <v>9</v>
      </c>
      <c r="N220" s="905">
        <v>3</v>
      </c>
      <c r="O220" s="905">
        <v>99999</v>
      </c>
      <c r="P220" s="980">
        <f t="shared" si="14"/>
        <v>0</v>
      </c>
      <c r="Q220" s="234">
        <f>Financeiros!D53</f>
        <v>0</v>
      </c>
    </row>
    <row r="221" spans="1:17" ht="15.75">
      <c r="A221" s="905" t="s">
        <v>773</v>
      </c>
      <c r="B221" s="905" t="s">
        <v>1377</v>
      </c>
      <c r="C221" s="905" t="str">
        <f>Financeiros!C54</f>
        <v>CVE RB - TUSDg ONS</v>
      </c>
      <c r="D221" s="905">
        <v>2</v>
      </c>
      <c r="E221" s="905">
        <v>2</v>
      </c>
      <c r="F221" s="905">
        <f>Financeiros!F54</f>
        <v>22</v>
      </c>
      <c r="G221" s="905">
        <f>Financeiros!G54</f>
        <v>60</v>
      </c>
      <c r="H221" s="905">
        <f>Financeiros!H54</f>
        <v>241</v>
      </c>
      <c r="I221" s="905">
        <f>Financeiros!I54</f>
        <v>1</v>
      </c>
      <c r="J221" s="905">
        <f>Financeiros!J54</f>
        <v>1</v>
      </c>
      <c r="K221" s="905">
        <f>Financeiros!K54</f>
        <v>9</v>
      </c>
      <c r="L221" s="905">
        <v>99</v>
      </c>
      <c r="M221" s="905">
        <v>9</v>
      </c>
      <c r="N221" s="905">
        <v>3</v>
      </c>
      <c r="O221" s="905">
        <v>99999</v>
      </c>
      <c r="P221" s="980">
        <f t="shared" si="14"/>
        <v>0</v>
      </c>
      <c r="Q221" s="234">
        <f>Financeiros!D54</f>
        <v>0</v>
      </c>
    </row>
    <row r="222" spans="1:17" ht="15.75">
      <c r="A222" s="905" t="s">
        <v>773</v>
      </c>
      <c r="B222" s="905" t="s">
        <v>1377</v>
      </c>
      <c r="C222" s="905" t="str">
        <f>Financeiros!C55</f>
        <v>CVE RB - EUST Itaipu</v>
      </c>
      <c r="D222" s="905">
        <v>2</v>
      </c>
      <c r="E222" s="905">
        <v>2</v>
      </c>
      <c r="F222" s="905">
        <f>Financeiros!F55</f>
        <v>22</v>
      </c>
      <c r="G222" s="905">
        <f>Financeiros!G55</f>
        <v>60</v>
      </c>
      <c r="H222" s="905">
        <f>Financeiros!H55</f>
        <v>241</v>
      </c>
      <c r="I222" s="905">
        <f>Financeiros!I55</f>
        <v>1</v>
      </c>
      <c r="J222" s="905">
        <f>Financeiros!J55</f>
        <v>1</v>
      </c>
      <c r="K222" s="905">
        <f>Financeiros!K55</f>
        <v>9</v>
      </c>
      <c r="L222" s="905">
        <v>99</v>
      </c>
      <c r="M222" s="905">
        <v>9</v>
      </c>
      <c r="N222" s="905">
        <v>3</v>
      </c>
      <c r="O222" s="905">
        <v>99999</v>
      </c>
      <c r="P222" s="980">
        <f t="shared" si="14"/>
        <v>0</v>
      </c>
      <c r="Q222" s="234">
        <f>Financeiros!D55</f>
        <v>0</v>
      </c>
    </row>
    <row r="223" spans="1:17" ht="15.75">
      <c r="A223" s="905" t="s">
        <v>773</v>
      </c>
      <c r="B223" s="905" t="s">
        <v>1377</v>
      </c>
      <c r="C223" s="905" t="str">
        <f>Financeiros!C56</f>
        <v>CVE- Transporte Itaipu</v>
      </c>
      <c r="D223" s="905">
        <v>2</v>
      </c>
      <c r="E223" s="905">
        <v>2</v>
      </c>
      <c r="F223" s="905">
        <f>Financeiros!F56</f>
        <v>22</v>
      </c>
      <c r="G223" s="905">
        <f>Financeiros!G56</f>
        <v>60</v>
      </c>
      <c r="H223" s="905">
        <f>Financeiros!H56</f>
        <v>241</v>
      </c>
      <c r="I223" s="905">
        <f>Financeiros!I56</f>
        <v>1</v>
      </c>
      <c r="J223" s="905">
        <f>Financeiros!J56</f>
        <v>21</v>
      </c>
      <c r="K223" s="905">
        <f>Financeiros!K56</f>
        <v>9</v>
      </c>
      <c r="L223" s="905">
        <v>99</v>
      </c>
      <c r="M223" s="905">
        <v>9</v>
      </c>
      <c r="N223" s="905">
        <v>3</v>
      </c>
      <c r="O223" s="905">
        <v>99999</v>
      </c>
      <c r="P223" s="980">
        <f t="shared" si="14"/>
        <v>0</v>
      </c>
      <c r="Q223" s="234">
        <f>Financeiros!D56</f>
        <v>0</v>
      </c>
    </row>
    <row r="224" spans="1:17" ht="15.75">
      <c r="A224" s="905" t="s">
        <v>773</v>
      </c>
      <c r="B224" s="905" t="s">
        <v>1377</v>
      </c>
      <c r="C224" s="905" t="str">
        <f>Financeiros!C57</f>
        <v>CVE - Energia - Energia de Revenda</v>
      </c>
      <c r="D224" s="905">
        <v>2</v>
      </c>
      <c r="E224" s="905">
        <v>2</v>
      </c>
      <c r="F224" s="905">
        <f>Financeiros!F57</f>
        <v>22</v>
      </c>
      <c r="G224" s="905">
        <f>Financeiros!G57</f>
        <v>60</v>
      </c>
      <c r="H224" s="905">
        <f>Financeiros!H57</f>
        <v>241</v>
      </c>
      <c r="I224" s="905">
        <f>Financeiros!I57</f>
        <v>2</v>
      </c>
      <c r="J224" s="905">
        <f>Financeiros!J57</f>
        <v>11</v>
      </c>
      <c r="K224" s="905">
        <f>Financeiros!K57</f>
        <v>9</v>
      </c>
      <c r="L224" s="905">
        <v>99</v>
      </c>
      <c r="M224" s="905">
        <v>9</v>
      </c>
      <c r="N224" s="905">
        <v>3</v>
      </c>
      <c r="O224" s="905">
        <v>99999</v>
      </c>
      <c r="P224" s="980">
        <f t="shared" ca="1" si="14"/>
        <v>365851.62107282039</v>
      </c>
      <c r="Q224" s="234">
        <f ca="1">Financeiros!D57</f>
        <v>365851.62107282039</v>
      </c>
    </row>
    <row r="225" spans="1:17" ht="15.75">
      <c r="A225" s="905" t="s">
        <v>773</v>
      </c>
      <c r="B225" s="905" t="s">
        <v>1377</v>
      </c>
      <c r="C225" s="905" t="str">
        <f>Financeiros!C58</f>
        <v>CVE - Energia - Perda Não Técnica</v>
      </c>
      <c r="D225" s="905">
        <v>2</v>
      </c>
      <c r="E225" s="905">
        <v>2</v>
      </c>
      <c r="F225" s="905">
        <f>Financeiros!F58</f>
        <v>22</v>
      </c>
      <c r="G225" s="905">
        <f>Financeiros!G58</f>
        <v>60</v>
      </c>
      <c r="H225" s="905">
        <f>Financeiros!H58</f>
        <v>241</v>
      </c>
      <c r="I225" s="905">
        <f>Financeiros!I58</f>
        <v>2</v>
      </c>
      <c r="J225" s="905">
        <f>Financeiros!J58</f>
        <v>9</v>
      </c>
      <c r="K225" s="905">
        <f>Financeiros!K58</f>
        <v>9</v>
      </c>
      <c r="L225" s="905">
        <v>99</v>
      </c>
      <c r="M225" s="905">
        <v>9</v>
      </c>
      <c r="N225" s="905">
        <v>3</v>
      </c>
      <c r="O225" s="905">
        <v>99999</v>
      </c>
      <c r="P225" s="980">
        <f t="shared" ca="1" si="14"/>
        <v>9296.3383585654246</v>
      </c>
      <c r="Q225" s="234">
        <f ca="1">Financeiros!D58</f>
        <v>9296.3383585654246</v>
      </c>
    </row>
    <row r="226" spans="1:17" ht="15.75">
      <c r="A226" s="905" t="s">
        <v>773</v>
      </c>
      <c r="B226" s="905" t="s">
        <v>1377</v>
      </c>
      <c r="C226" s="905" t="str">
        <f>Financeiros!C59</f>
        <v>CVE - Energia - Perda Técnica</v>
      </c>
      <c r="D226" s="905">
        <v>2</v>
      </c>
      <c r="E226" s="905">
        <v>2</v>
      </c>
      <c r="F226" s="905">
        <f>Financeiros!F59</f>
        <v>22</v>
      </c>
      <c r="G226" s="905">
        <f>Financeiros!G59</f>
        <v>60</v>
      </c>
      <c r="H226" s="905">
        <f>Financeiros!H59</f>
        <v>241</v>
      </c>
      <c r="I226" s="905">
        <f>Financeiros!I59</f>
        <v>2</v>
      </c>
      <c r="J226" s="905">
        <f>Financeiros!J59</f>
        <v>8</v>
      </c>
      <c r="K226" s="905">
        <f>Financeiros!K59</f>
        <v>9</v>
      </c>
      <c r="L226" s="905">
        <v>99</v>
      </c>
      <c r="M226" s="905">
        <v>9</v>
      </c>
      <c r="N226" s="905">
        <v>3</v>
      </c>
      <c r="O226" s="905">
        <v>99999</v>
      </c>
      <c r="P226" s="980">
        <f t="shared" ca="1" si="14"/>
        <v>52514.211942421236</v>
      </c>
      <c r="Q226" s="234">
        <f ca="1">Financeiros!D59</f>
        <v>52514.211942421236</v>
      </c>
    </row>
    <row r="227" spans="1:17" ht="15.75">
      <c r="A227" s="905" t="s">
        <v>773</v>
      </c>
      <c r="B227" s="905" t="s">
        <v>1377</v>
      </c>
      <c r="C227" s="905" t="str">
        <f>Financeiros!C60</f>
        <v>CVE - Energia -  Perda de RB sobre a distribuição</v>
      </c>
      <c r="D227" s="905">
        <v>2</v>
      </c>
      <c r="E227" s="905">
        <v>2</v>
      </c>
      <c r="F227" s="905">
        <f>Financeiros!F60</f>
        <v>22</v>
      </c>
      <c r="G227" s="905">
        <f>Financeiros!G60</f>
        <v>60</v>
      </c>
      <c r="H227" s="905">
        <f>Financeiros!H60</f>
        <v>241</v>
      </c>
      <c r="I227" s="905">
        <f>Financeiros!I60</f>
        <v>2</v>
      </c>
      <c r="J227" s="905">
        <f>Financeiros!J60</f>
        <v>10</v>
      </c>
      <c r="K227" s="905">
        <f>Financeiros!K60</f>
        <v>9</v>
      </c>
      <c r="L227" s="905">
        <v>99</v>
      </c>
      <c r="M227" s="905">
        <v>9</v>
      </c>
      <c r="N227" s="905">
        <v>3</v>
      </c>
      <c r="O227" s="905">
        <v>99999</v>
      </c>
      <c r="P227" s="980">
        <f t="shared" ca="1" si="14"/>
        <v>2239.9006019563558</v>
      </c>
      <c r="Q227" s="234">
        <f ca="1">Financeiros!D60</f>
        <v>2239.9006019563558</v>
      </c>
    </row>
    <row r="228" spans="1:17" ht="15.75">
      <c r="A228" s="905" t="s">
        <v>773</v>
      </c>
      <c r="B228" s="905" t="s">
        <v>1377</v>
      </c>
      <c r="C228" s="905" t="str">
        <f>Financeiros!C61</f>
        <v>CVE - Energia -  Perda de RB sobre o mercado cativo</v>
      </c>
      <c r="D228" s="905">
        <v>2</v>
      </c>
      <c r="E228" s="905">
        <v>2</v>
      </c>
      <c r="F228" s="905">
        <f>Financeiros!F61</f>
        <v>22</v>
      </c>
      <c r="G228" s="905">
        <f>Financeiros!G61</f>
        <v>60</v>
      </c>
      <c r="H228" s="905">
        <f>Financeiros!H61</f>
        <v>241</v>
      </c>
      <c r="I228" s="905">
        <f>Financeiros!I61</f>
        <v>2</v>
      </c>
      <c r="J228" s="905">
        <f>Financeiros!J61</f>
        <v>24</v>
      </c>
      <c r="K228" s="905">
        <f>Financeiros!K61</f>
        <v>9</v>
      </c>
      <c r="L228" s="905">
        <v>99</v>
      </c>
      <c r="M228" s="905">
        <v>9</v>
      </c>
      <c r="N228" s="905">
        <v>3</v>
      </c>
      <c r="O228" s="905">
        <v>99999</v>
      </c>
      <c r="P228" s="980">
        <f t="shared" ca="1" si="14"/>
        <v>13257.789524236576</v>
      </c>
      <c r="Q228" s="234">
        <f ca="1">Financeiros!D61</f>
        <v>13257.789524236576</v>
      </c>
    </row>
    <row r="229" spans="1:17" ht="15.75">
      <c r="A229" s="905" t="s">
        <v>773</v>
      </c>
      <c r="B229" s="905" t="s">
        <v>1377</v>
      </c>
      <c r="C229" s="905" t="str">
        <f>Financeiros!C62</f>
        <v>CVE - Encargos - PROINFA</v>
      </c>
      <c r="D229" s="905">
        <v>2</v>
      </c>
      <c r="E229" s="905">
        <v>2</v>
      </c>
      <c r="F229" s="905">
        <f>Financeiros!F62</f>
        <v>22</v>
      </c>
      <c r="G229" s="905">
        <f>Financeiros!G62</f>
        <v>60</v>
      </c>
      <c r="H229" s="905">
        <f>Financeiros!H62</f>
        <v>241</v>
      </c>
      <c r="I229" s="905">
        <f>Financeiros!I62</f>
        <v>3</v>
      </c>
      <c r="J229" s="905">
        <f>Financeiros!J62</f>
        <v>18</v>
      </c>
      <c r="K229" s="905">
        <f>Financeiros!K62</f>
        <v>9</v>
      </c>
      <c r="L229" s="905">
        <v>99</v>
      </c>
      <c r="M229" s="905">
        <v>9</v>
      </c>
      <c r="N229" s="905">
        <v>3</v>
      </c>
      <c r="O229" s="905">
        <v>99999</v>
      </c>
      <c r="P229" s="980">
        <f t="shared" ca="1" si="14"/>
        <v>0</v>
      </c>
      <c r="Q229" s="234">
        <f ca="1">Financeiros!D62</f>
        <v>0</v>
      </c>
    </row>
    <row r="230" spans="1:17" ht="15.75">
      <c r="A230" s="905" t="s">
        <v>773</v>
      </c>
      <c r="B230" s="905" t="s">
        <v>1377</v>
      </c>
      <c r="C230" s="905" t="str">
        <f>Financeiros!C63</f>
        <v>CVE - Encargos - CFURH</v>
      </c>
      <c r="D230" s="905">
        <v>2</v>
      </c>
      <c r="E230" s="905">
        <v>2</v>
      </c>
      <c r="F230" s="905">
        <f>Financeiros!F63</f>
        <v>22</v>
      </c>
      <c r="G230" s="905">
        <f>Financeiros!G63</f>
        <v>60</v>
      </c>
      <c r="H230" s="905">
        <f>Financeiros!H63</f>
        <v>241</v>
      </c>
      <c r="I230" s="905">
        <f>Financeiros!I63</f>
        <v>3</v>
      </c>
      <c r="J230" s="905">
        <f>Financeiros!J63</f>
        <v>16</v>
      </c>
      <c r="K230" s="905">
        <f>Financeiros!K63</f>
        <v>9</v>
      </c>
      <c r="L230" s="905">
        <v>99</v>
      </c>
      <c r="M230" s="905">
        <v>9</v>
      </c>
      <c r="N230" s="905">
        <v>3</v>
      </c>
      <c r="O230" s="905">
        <v>99999</v>
      </c>
      <c r="P230" s="980">
        <f t="shared" si="14"/>
        <v>0</v>
      </c>
      <c r="Q230" s="234">
        <f>Financeiros!D63</f>
        <v>0</v>
      </c>
    </row>
    <row r="231" spans="1:17" ht="15.75">
      <c r="A231" s="905" t="s">
        <v>773</v>
      </c>
      <c r="B231" s="905" t="s">
        <v>1377</v>
      </c>
      <c r="C231" s="905" t="str">
        <f>Financeiros!C64</f>
        <v>CVE - Encargos - ESS/EER</v>
      </c>
      <c r="D231" s="905">
        <v>2</v>
      </c>
      <c r="E231" s="905">
        <v>2</v>
      </c>
      <c r="F231" s="905">
        <f>Financeiros!F64</f>
        <v>22</v>
      </c>
      <c r="G231" s="905">
        <f>Financeiros!G64</f>
        <v>60</v>
      </c>
      <c r="H231" s="905">
        <f>Financeiros!H64</f>
        <v>241</v>
      </c>
      <c r="I231" s="905">
        <f>Financeiros!I64</f>
        <v>3</v>
      </c>
      <c r="J231" s="905">
        <f>Financeiros!J64</f>
        <v>17</v>
      </c>
      <c r="K231" s="905">
        <f>Financeiros!K64</f>
        <v>9</v>
      </c>
      <c r="L231" s="905">
        <v>99</v>
      </c>
      <c r="M231" s="905">
        <v>9</v>
      </c>
      <c r="N231" s="905">
        <v>3</v>
      </c>
      <c r="O231" s="905">
        <v>99999</v>
      </c>
      <c r="P231" s="980">
        <f t="shared" si="14"/>
        <v>699864.49190000002</v>
      </c>
      <c r="Q231" s="234">
        <f>Financeiros!D64</f>
        <v>699864.49190000002</v>
      </c>
    </row>
    <row r="232" spans="1:17" ht="15.75">
      <c r="A232" s="905" t="s">
        <v>773</v>
      </c>
      <c r="B232" s="905" t="s">
        <v>1377</v>
      </c>
      <c r="C232" s="905" t="str">
        <f>Financeiros!C65</f>
        <v>Conta Escassez H. - Importação julho- agosto/2021 - RTA 2022 - Energia de Revenda</v>
      </c>
      <c r="D232" s="905">
        <v>2</v>
      </c>
      <c r="E232" s="905">
        <v>2</v>
      </c>
      <c r="F232" s="905">
        <f>Financeiros!F65</f>
        <v>22</v>
      </c>
      <c r="G232" s="905">
        <f>Financeiros!G65</f>
        <v>60</v>
      </c>
      <c r="H232" s="905">
        <f>Financeiros!H65</f>
        <v>240</v>
      </c>
      <c r="I232" s="905">
        <f>Financeiros!I65</f>
        <v>2</v>
      </c>
      <c r="J232" s="905">
        <f>Financeiros!J65</f>
        <v>11</v>
      </c>
      <c r="K232" s="905">
        <f>Financeiros!K65</f>
        <v>9</v>
      </c>
      <c r="L232" s="905">
        <v>99</v>
      </c>
      <c r="M232" s="905">
        <v>9</v>
      </c>
      <c r="N232" s="905">
        <v>3</v>
      </c>
      <c r="O232" s="905">
        <v>99999</v>
      </c>
      <c r="P232" s="980">
        <f t="shared" ca="1" si="14"/>
        <v>0</v>
      </c>
      <c r="Q232" s="234">
        <f ca="1">Financeiros!D65</f>
        <v>0</v>
      </c>
    </row>
    <row r="233" spans="1:17" ht="15.75">
      <c r="A233" s="905" t="s">
        <v>773</v>
      </c>
      <c r="B233" s="905" t="s">
        <v>1377</v>
      </c>
      <c r="C233" s="905" t="str">
        <f>Financeiros!C66</f>
        <v>Conta Escassez H. - Importação julho- agosto/2021 - RTA 2022 - Perda Não Técnica</v>
      </c>
      <c r="D233" s="905">
        <v>2</v>
      </c>
      <c r="E233" s="905">
        <v>2</v>
      </c>
      <c r="F233" s="905">
        <f>Financeiros!F66</f>
        <v>22</v>
      </c>
      <c r="G233" s="905">
        <f>Financeiros!G66</f>
        <v>60</v>
      </c>
      <c r="H233" s="905">
        <f>Financeiros!H66</f>
        <v>240</v>
      </c>
      <c r="I233" s="905">
        <f>Financeiros!I66</f>
        <v>2</v>
      </c>
      <c r="J233" s="905">
        <f>Financeiros!J66</f>
        <v>9</v>
      </c>
      <c r="K233" s="905">
        <f>Financeiros!K66</f>
        <v>9</v>
      </c>
      <c r="L233" s="905">
        <v>99</v>
      </c>
      <c r="M233" s="905">
        <v>9</v>
      </c>
      <c r="N233" s="905">
        <v>3</v>
      </c>
      <c r="O233" s="905">
        <v>99999</v>
      </c>
      <c r="P233" s="980">
        <f t="shared" ca="1" si="14"/>
        <v>0</v>
      </c>
      <c r="Q233" s="234">
        <f ca="1">Financeiros!D66</f>
        <v>0</v>
      </c>
    </row>
    <row r="234" spans="1:17" ht="15.75">
      <c r="A234" s="905" t="s">
        <v>773</v>
      </c>
      <c r="B234" s="905" t="s">
        <v>1377</v>
      </c>
      <c r="C234" s="905" t="str">
        <f>Financeiros!C67</f>
        <v>Conta Escassez H. - Importação julho- agosto/2021 - RTA 2022 - Perda Técnica</v>
      </c>
      <c r="D234" s="905">
        <v>2</v>
      </c>
      <c r="E234" s="905">
        <v>2</v>
      </c>
      <c r="F234" s="905">
        <f>Financeiros!F67</f>
        <v>22</v>
      </c>
      <c r="G234" s="905">
        <f>Financeiros!G67</f>
        <v>60</v>
      </c>
      <c r="H234" s="905">
        <f>Financeiros!H67</f>
        <v>240</v>
      </c>
      <c r="I234" s="905">
        <f>Financeiros!I67</f>
        <v>2</v>
      </c>
      <c r="J234" s="905">
        <f>Financeiros!J67</f>
        <v>8</v>
      </c>
      <c r="K234" s="905">
        <f>Financeiros!K67</f>
        <v>9</v>
      </c>
      <c r="L234" s="905">
        <v>99</v>
      </c>
      <c r="M234" s="905">
        <v>9</v>
      </c>
      <c r="N234" s="905">
        <v>3</v>
      </c>
      <c r="O234" s="905">
        <v>99999</v>
      </c>
      <c r="P234" s="980">
        <f t="shared" ca="1" si="14"/>
        <v>0</v>
      </c>
      <c r="Q234" s="234">
        <f ca="1">Financeiros!D67</f>
        <v>0</v>
      </c>
    </row>
    <row r="235" spans="1:17" ht="15.75">
      <c r="A235" s="905" t="s">
        <v>773</v>
      </c>
      <c r="B235" s="905" t="s">
        <v>1377</v>
      </c>
      <c r="C235" s="905" t="str">
        <f>Financeiros!C68</f>
        <v>Conta Escassez H. - Importação julho- agosto/2021 - RTA 2022 - Perda RB Perda RB sobre Dist.</v>
      </c>
      <c r="D235" s="905">
        <v>2</v>
      </c>
      <c r="E235" s="905">
        <v>2</v>
      </c>
      <c r="F235" s="905">
        <f>Financeiros!F68</f>
        <v>22</v>
      </c>
      <c r="G235" s="905">
        <f>Financeiros!G68</f>
        <v>60</v>
      </c>
      <c r="H235" s="905">
        <f>Financeiros!H68</f>
        <v>240</v>
      </c>
      <c r="I235" s="905">
        <f>Financeiros!I68</f>
        <v>2</v>
      </c>
      <c r="J235" s="905">
        <f>Financeiros!J68</f>
        <v>10</v>
      </c>
      <c r="K235" s="905">
        <f>Financeiros!K68</f>
        <v>9</v>
      </c>
      <c r="L235" s="905">
        <v>99</v>
      </c>
      <c r="M235" s="905">
        <v>9</v>
      </c>
      <c r="N235" s="905">
        <v>3</v>
      </c>
      <c r="O235" s="905">
        <v>99999</v>
      </c>
      <c r="P235" s="980">
        <f t="shared" ca="1" si="14"/>
        <v>0</v>
      </c>
      <c r="Q235" s="234">
        <f ca="1">Financeiros!D68</f>
        <v>0</v>
      </c>
    </row>
    <row r="236" spans="1:17" ht="15.75">
      <c r="A236" s="905" t="s">
        <v>773</v>
      </c>
      <c r="B236" s="905" t="s">
        <v>1377</v>
      </c>
      <c r="C236" s="905" t="str">
        <f>Financeiros!C69</f>
        <v>Conta Escassez H. - Importação julho- agosto/2021 - RTA 2022 - Perda RB sobre Merc. Cat.</v>
      </c>
      <c r="D236" s="905">
        <v>2</v>
      </c>
      <c r="E236" s="905">
        <v>2</v>
      </c>
      <c r="F236" s="905">
        <f>Financeiros!F69</f>
        <v>22</v>
      </c>
      <c r="G236" s="905">
        <f>Financeiros!G69</f>
        <v>60</v>
      </c>
      <c r="H236" s="905">
        <f>Financeiros!H69</f>
        <v>240</v>
      </c>
      <c r="I236" s="905">
        <f>Financeiros!I69</f>
        <v>2</v>
      </c>
      <c r="J236" s="905">
        <f>Financeiros!J69</f>
        <v>24</v>
      </c>
      <c r="K236" s="905">
        <f>Financeiros!K69</f>
        <v>9</v>
      </c>
      <c r="L236" s="905">
        <v>99</v>
      </c>
      <c r="M236" s="905">
        <v>9</v>
      </c>
      <c r="N236" s="905">
        <v>3</v>
      </c>
      <c r="O236" s="905">
        <v>99999</v>
      </c>
      <c r="P236" s="980">
        <f t="shared" ca="1" si="14"/>
        <v>0</v>
      </c>
      <c r="Q236" s="234">
        <f ca="1">Financeiros!D69</f>
        <v>0</v>
      </c>
    </row>
    <row r="237" spans="1:17" ht="15.75">
      <c r="A237" s="905" t="s">
        <v>773</v>
      </c>
      <c r="B237" s="905" t="s">
        <v>1377</v>
      </c>
      <c r="C237" s="905" t="str">
        <f>Financeiros!C70</f>
        <v>Conta Escassez H. - Bônus Redução Voluntária</v>
      </c>
      <c r="D237" s="905">
        <v>2</v>
      </c>
      <c r="E237" s="905">
        <v>2</v>
      </c>
      <c r="F237" s="905">
        <f>Financeiros!F70</f>
        <v>22</v>
      </c>
      <c r="G237" s="905">
        <f>Financeiros!G70</f>
        <v>60</v>
      </c>
      <c r="H237" s="905">
        <f>Financeiros!H70</f>
        <v>240</v>
      </c>
      <c r="I237" s="905">
        <f>Financeiros!I70</f>
        <v>3</v>
      </c>
      <c r="J237" s="905">
        <f>Financeiros!J70</f>
        <v>17</v>
      </c>
      <c r="K237" s="905">
        <f>Financeiros!K70</f>
        <v>9</v>
      </c>
      <c r="L237" s="905">
        <v>99</v>
      </c>
      <c r="M237" s="905">
        <v>9</v>
      </c>
      <c r="N237" s="905">
        <v>3</v>
      </c>
      <c r="O237" s="905">
        <v>99999</v>
      </c>
      <c r="P237" s="980">
        <f t="shared" si="14"/>
        <v>0</v>
      </c>
      <c r="Q237" s="234">
        <f>Financeiros!D70</f>
        <v>0</v>
      </c>
    </row>
    <row r="238" spans="1:17" ht="15.75">
      <c r="A238" s="905" t="s">
        <v>773</v>
      </c>
      <c r="B238" s="905" t="s">
        <v>1377</v>
      </c>
      <c r="C238" s="905" t="str">
        <f>Financeiros!C71</f>
        <v>Conta Escassez H. - Diferimento de energia - RTA 2022 - Energia de Revenda</v>
      </c>
      <c r="D238" s="905">
        <v>2</v>
      </c>
      <c r="E238" s="905">
        <v>2</v>
      </c>
      <c r="F238" s="905">
        <f>Financeiros!F71</f>
        <v>22</v>
      </c>
      <c r="G238" s="905">
        <f>Financeiros!G71</f>
        <v>60</v>
      </c>
      <c r="H238" s="905">
        <f>Financeiros!H71</f>
        <v>240</v>
      </c>
      <c r="I238" s="905">
        <f>Financeiros!I71</f>
        <v>2</v>
      </c>
      <c r="J238" s="905">
        <f>Financeiros!J71</f>
        <v>11</v>
      </c>
      <c r="K238" s="905">
        <f>Financeiros!K71</f>
        <v>9</v>
      </c>
      <c r="L238" s="905">
        <v>99</v>
      </c>
      <c r="M238" s="905">
        <v>9</v>
      </c>
      <c r="N238" s="905">
        <v>3</v>
      </c>
      <c r="O238" s="905">
        <v>99999</v>
      </c>
      <c r="P238" s="980">
        <f t="shared" ca="1" si="14"/>
        <v>0</v>
      </c>
      <c r="Q238" s="234">
        <f ca="1">Financeiros!D71</f>
        <v>0</v>
      </c>
    </row>
    <row r="239" spans="1:17" ht="15.75">
      <c r="A239" s="905" t="s">
        <v>773</v>
      </c>
      <c r="B239" s="905" t="s">
        <v>1377</v>
      </c>
      <c r="C239" s="905" t="str">
        <f>Financeiros!C72</f>
        <v>Conta Escassez H. - Diferimento de energia - RTA 2022 - Perda Não Técnica</v>
      </c>
      <c r="D239" s="905">
        <v>2</v>
      </c>
      <c r="E239" s="905">
        <v>2</v>
      </c>
      <c r="F239" s="905">
        <f>Financeiros!F72</f>
        <v>22</v>
      </c>
      <c r="G239" s="905">
        <f>Financeiros!G72</f>
        <v>60</v>
      </c>
      <c r="H239" s="905">
        <f>Financeiros!H72</f>
        <v>240</v>
      </c>
      <c r="I239" s="905">
        <f>Financeiros!I72</f>
        <v>2</v>
      </c>
      <c r="J239" s="905">
        <f>Financeiros!J72</f>
        <v>9</v>
      </c>
      <c r="K239" s="905">
        <f>Financeiros!K72</f>
        <v>9</v>
      </c>
      <c r="L239" s="905">
        <v>99</v>
      </c>
      <c r="M239" s="905">
        <v>9</v>
      </c>
      <c r="N239" s="905">
        <v>3</v>
      </c>
      <c r="O239" s="905">
        <v>99999</v>
      </c>
      <c r="P239" s="980">
        <f t="shared" ca="1" si="14"/>
        <v>0</v>
      </c>
      <c r="Q239" s="234">
        <f ca="1">Financeiros!D72</f>
        <v>0</v>
      </c>
    </row>
    <row r="240" spans="1:17" ht="15.75">
      <c r="A240" s="905" t="s">
        <v>773</v>
      </c>
      <c r="B240" s="905" t="s">
        <v>1377</v>
      </c>
      <c r="C240" s="905" t="str">
        <f>Financeiros!C73</f>
        <v>Conta Escassez H. - Diferimento de energia - RTA 2022 - Perda Técnica</v>
      </c>
      <c r="D240" s="905">
        <v>2</v>
      </c>
      <c r="E240" s="905">
        <v>2</v>
      </c>
      <c r="F240" s="905">
        <f>Financeiros!F73</f>
        <v>22</v>
      </c>
      <c r="G240" s="905">
        <f>Financeiros!G73</f>
        <v>60</v>
      </c>
      <c r="H240" s="905">
        <f>Financeiros!H73</f>
        <v>240</v>
      </c>
      <c r="I240" s="905">
        <f>Financeiros!I73</f>
        <v>2</v>
      </c>
      <c r="J240" s="905">
        <f>Financeiros!J73</f>
        <v>8</v>
      </c>
      <c r="K240" s="905">
        <f>Financeiros!K73</f>
        <v>9</v>
      </c>
      <c r="L240" s="905">
        <v>99</v>
      </c>
      <c r="M240" s="905">
        <v>9</v>
      </c>
      <c r="N240" s="905">
        <v>3</v>
      </c>
      <c r="O240" s="905">
        <v>99999</v>
      </c>
      <c r="P240" s="980">
        <f t="shared" ca="1" si="14"/>
        <v>0</v>
      </c>
      <c r="Q240" s="234">
        <f ca="1">Financeiros!D73</f>
        <v>0</v>
      </c>
    </row>
    <row r="241" spans="1:17" ht="15.75">
      <c r="A241" s="905" t="s">
        <v>773</v>
      </c>
      <c r="B241" s="905" t="s">
        <v>1377</v>
      </c>
      <c r="C241" s="905" t="str">
        <f>Financeiros!C74</f>
        <v>Conta Escassez H. - Diferimento de energia - RTA 2022 - Perda RB Perda RB sobre Dist.</v>
      </c>
      <c r="D241" s="905">
        <v>2</v>
      </c>
      <c r="E241" s="905">
        <v>2</v>
      </c>
      <c r="F241" s="905">
        <f>Financeiros!F74</f>
        <v>22</v>
      </c>
      <c r="G241" s="905">
        <f>Financeiros!G74</f>
        <v>60</v>
      </c>
      <c r="H241" s="905">
        <f>Financeiros!H74</f>
        <v>240</v>
      </c>
      <c r="I241" s="905">
        <f>Financeiros!I74</f>
        <v>2</v>
      </c>
      <c r="J241" s="905">
        <f>Financeiros!J74</f>
        <v>10</v>
      </c>
      <c r="K241" s="905">
        <f>Financeiros!K74</f>
        <v>9</v>
      </c>
      <c r="L241" s="905">
        <v>99</v>
      </c>
      <c r="M241" s="905">
        <v>9</v>
      </c>
      <c r="N241" s="905">
        <v>3</v>
      </c>
      <c r="O241" s="905">
        <v>99999</v>
      </c>
      <c r="P241" s="980">
        <f t="shared" ca="1" si="14"/>
        <v>0</v>
      </c>
      <c r="Q241" s="234">
        <f ca="1">Financeiros!D74</f>
        <v>0</v>
      </c>
    </row>
    <row r="242" spans="1:17" ht="15.75">
      <c r="A242" s="905" t="s">
        <v>773</v>
      </c>
      <c r="B242" s="905" t="s">
        <v>1377</v>
      </c>
      <c r="C242" s="905" t="str">
        <f>Financeiros!C75</f>
        <v>Conta Escassez H. - Diferimento de energia - RTA 2022 - Perda RB sobre Merc. Cat.</v>
      </c>
      <c r="D242" s="905">
        <v>2</v>
      </c>
      <c r="E242" s="905">
        <v>2</v>
      </c>
      <c r="F242" s="905">
        <f>Financeiros!F75</f>
        <v>22</v>
      </c>
      <c r="G242" s="905">
        <f>Financeiros!G75</f>
        <v>60</v>
      </c>
      <c r="H242" s="905">
        <f>Financeiros!H75</f>
        <v>240</v>
      </c>
      <c r="I242" s="905">
        <f>Financeiros!I75</f>
        <v>2</v>
      </c>
      <c r="J242" s="905">
        <f>Financeiros!J75</f>
        <v>24</v>
      </c>
      <c r="K242" s="905">
        <f>Financeiros!K75</f>
        <v>9</v>
      </c>
      <c r="L242" s="905">
        <v>99</v>
      </c>
      <c r="M242" s="905">
        <v>9</v>
      </c>
      <c r="N242" s="905">
        <v>3</v>
      </c>
      <c r="O242" s="905">
        <v>99999</v>
      </c>
      <c r="P242" s="980">
        <f t="shared" ca="1" si="14"/>
        <v>0</v>
      </c>
      <c r="Q242" s="234">
        <f ca="1">Financeiros!D75</f>
        <v>0</v>
      </c>
    </row>
    <row r="243" spans="1:17" ht="15.75">
      <c r="A243" s="905" t="s">
        <v>773</v>
      </c>
      <c r="B243" s="905" t="s">
        <v>1377</v>
      </c>
      <c r="C243" s="905" t="str">
        <f>Financeiros!C76</f>
        <v>Sobrecontratação/Reversão de Energia - Energia de Revenda</v>
      </c>
      <c r="D243" s="905">
        <v>2</v>
      </c>
      <c r="E243" s="905">
        <v>2</v>
      </c>
      <c r="F243" s="905">
        <f>Financeiros!F76</f>
        <v>22</v>
      </c>
      <c r="G243" s="905">
        <f>Financeiros!G76</f>
        <v>60</v>
      </c>
      <c r="H243" s="905">
        <f>Financeiros!H76</f>
        <v>106</v>
      </c>
      <c r="I243" s="905">
        <f>Financeiros!I76</f>
        <v>2</v>
      </c>
      <c r="J243" s="905">
        <f>Financeiros!J76</f>
        <v>11</v>
      </c>
      <c r="K243" s="905">
        <f>Financeiros!K76</f>
        <v>9</v>
      </c>
      <c r="L243" s="905">
        <v>99</v>
      </c>
      <c r="M243" s="905">
        <v>9</v>
      </c>
      <c r="N243" s="905">
        <v>3</v>
      </c>
      <c r="O243" s="905">
        <v>99999</v>
      </c>
      <c r="P243" s="980">
        <f t="shared" ca="1" si="14"/>
        <v>-78619.751857702999</v>
      </c>
      <c r="Q243" s="234">
        <f ca="1">Financeiros!D76</f>
        <v>-78619.751857702999</v>
      </c>
    </row>
    <row r="244" spans="1:17" ht="15.75">
      <c r="A244" s="905" t="s">
        <v>773</v>
      </c>
      <c r="B244" s="905" t="s">
        <v>1377</v>
      </c>
      <c r="C244" s="905" t="str">
        <f>Financeiros!C77</f>
        <v>Sobrecontratação/Reversão de Energia - Perda Não Técnica</v>
      </c>
      <c r="D244" s="905">
        <v>2</v>
      </c>
      <c r="E244" s="905">
        <v>2</v>
      </c>
      <c r="F244" s="905">
        <f>Financeiros!F77</f>
        <v>22</v>
      </c>
      <c r="G244" s="905">
        <f>Financeiros!G77</f>
        <v>60</v>
      </c>
      <c r="H244" s="905">
        <f>Financeiros!H77</f>
        <v>106</v>
      </c>
      <c r="I244" s="905">
        <f>Financeiros!I77</f>
        <v>2</v>
      </c>
      <c r="J244" s="905">
        <f>Financeiros!J77</f>
        <v>9</v>
      </c>
      <c r="K244" s="905">
        <f>Financeiros!K77</f>
        <v>9</v>
      </c>
      <c r="L244" s="905">
        <v>99</v>
      </c>
      <c r="M244" s="905">
        <v>9</v>
      </c>
      <c r="N244" s="905">
        <v>3</v>
      </c>
      <c r="O244" s="905">
        <v>99999</v>
      </c>
      <c r="P244" s="980">
        <f t="shared" ca="1" si="14"/>
        <v>-1997.7383530307864</v>
      </c>
      <c r="Q244" s="234">
        <f ca="1">Financeiros!D77</f>
        <v>-1997.7383530307864</v>
      </c>
    </row>
    <row r="245" spans="1:17" ht="15.75">
      <c r="A245" s="905" t="s">
        <v>773</v>
      </c>
      <c r="B245" s="905" t="s">
        <v>1377</v>
      </c>
      <c r="C245" s="905" t="str">
        <f>Financeiros!C78</f>
        <v>Sobrecontratação/Reversão de Energia - Perda Técnica</v>
      </c>
      <c r="D245" s="905">
        <v>2</v>
      </c>
      <c r="E245" s="905">
        <v>2</v>
      </c>
      <c r="F245" s="905">
        <f>Financeiros!F78</f>
        <v>22</v>
      </c>
      <c r="G245" s="905">
        <f>Financeiros!G78</f>
        <v>60</v>
      </c>
      <c r="H245" s="905">
        <f>Financeiros!H78</f>
        <v>106</v>
      </c>
      <c r="I245" s="905">
        <f>Financeiros!I78</f>
        <v>2</v>
      </c>
      <c r="J245" s="905">
        <f>Financeiros!J78</f>
        <v>8</v>
      </c>
      <c r="K245" s="905">
        <f>Financeiros!K78</f>
        <v>9</v>
      </c>
      <c r="L245" s="905">
        <v>99</v>
      </c>
      <c r="M245" s="905">
        <v>9</v>
      </c>
      <c r="N245" s="905">
        <v>3</v>
      </c>
      <c r="O245" s="905">
        <v>99999</v>
      </c>
      <c r="P245" s="980">
        <f t="shared" ca="1" si="14"/>
        <v>-11285.05129978418</v>
      </c>
      <c r="Q245" s="234">
        <f ca="1">Financeiros!D78</f>
        <v>-11285.05129978418</v>
      </c>
    </row>
    <row r="246" spans="1:17" ht="15.75">
      <c r="A246" s="905" t="s">
        <v>773</v>
      </c>
      <c r="B246" s="905" t="s">
        <v>1377</v>
      </c>
      <c r="C246" s="905" t="str">
        <f>Financeiros!C79</f>
        <v>Sobrecontratação/Reversão de Energia - Perda Rede Básica sobre Dist.</v>
      </c>
      <c r="D246" s="905">
        <v>2</v>
      </c>
      <c r="E246" s="905">
        <v>2</v>
      </c>
      <c r="F246" s="905">
        <f>Financeiros!F79</f>
        <v>22</v>
      </c>
      <c r="G246" s="905">
        <f>Financeiros!G79</f>
        <v>60</v>
      </c>
      <c r="H246" s="905">
        <f>Financeiros!H79</f>
        <v>106</v>
      </c>
      <c r="I246" s="905">
        <f>Financeiros!I79</f>
        <v>2</v>
      </c>
      <c r="J246" s="905">
        <f>Financeiros!J79</f>
        <v>10</v>
      </c>
      <c r="K246" s="905">
        <f>Financeiros!K79</f>
        <v>9</v>
      </c>
      <c r="L246" s="905">
        <v>99</v>
      </c>
      <c r="M246" s="905">
        <v>9</v>
      </c>
      <c r="N246" s="905">
        <v>3</v>
      </c>
      <c r="O246" s="905">
        <v>99999</v>
      </c>
      <c r="P246" s="980">
        <f t="shared" ca="1" si="14"/>
        <v>-481.3438546352009</v>
      </c>
      <c r="Q246" s="234">
        <f ca="1">Financeiros!D79</f>
        <v>-481.3438546352009</v>
      </c>
    </row>
    <row r="247" spans="1:17" ht="15.75">
      <c r="A247" s="905" t="s">
        <v>773</v>
      </c>
      <c r="B247" s="905" t="s">
        <v>1377</v>
      </c>
      <c r="C247" s="905" t="str">
        <f>Financeiros!C80</f>
        <v>Sobrecontratação/Reversão de Energia - Perda Rede Básica sobre mercado Cat.</v>
      </c>
      <c r="D247" s="905">
        <v>2</v>
      </c>
      <c r="E247" s="905">
        <v>2</v>
      </c>
      <c r="F247" s="905">
        <f>Financeiros!F80</f>
        <v>22</v>
      </c>
      <c r="G247" s="905">
        <f>Financeiros!G80</f>
        <v>60</v>
      </c>
      <c r="H247" s="905">
        <f>Financeiros!H80</f>
        <v>106</v>
      </c>
      <c r="I247" s="905">
        <f>Financeiros!I80</f>
        <v>2</v>
      </c>
      <c r="J247" s="905">
        <f>Financeiros!J80</f>
        <v>24</v>
      </c>
      <c r="K247" s="905">
        <f>Financeiros!K80</f>
        <v>9</v>
      </c>
      <c r="L247" s="905">
        <v>99</v>
      </c>
      <c r="M247" s="905">
        <v>9</v>
      </c>
      <c r="N247" s="905">
        <v>3</v>
      </c>
      <c r="O247" s="905">
        <v>99999</v>
      </c>
      <c r="P247" s="980">
        <f t="shared" ca="1" si="14"/>
        <v>-2849.0351348468289</v>
      </c>
      <c r="Q247" s="234">
        <f ca="1">Financeiros!D80</f>
        <v>-2849.0351348468289</v>
      </c>
    </row>
    <row r="248" spans="1:17" ht="15.75">
      <c r="A248" s="905" t="s">
        <v>773</v>
      </c>
      <c r="B248" s="905" t="s">
        <v>1377</v>
      </c>
      <c r="C248" s="905">
        <f>Financeiros!C81</f>
        <v>0</v>
      </c>
      <c r="D248" s="905">
        <v>2</v>
      </c>
      <c r="E248" s="905">
        <v>2</v>
      </c>
      <c r="F248" s="905">
        <v>999</v>
      </c>
      <c r="G248" s="905">
        <v>999999</v>
      </c>
      <c r="H248" s="905">
        <v>999</v>
      </c>
      <c r="I248" s="905">
        <v>99</v>
      </c>
      <c r="J248" s="905">
        <v>999</v>
      </c>
      <c r="K248" s="905">
        <v>9</v>
      </c>
      <c r="L248" s="905">
        <v>99</v>
      </c>
      <c r="M248" s="905">
        <v>9</v>
      </c>
      <c r="N248" s="905">
        <v>3</v>
      </c>
      <c r="O248" s="905">
        <v>99999</v>
      </c>
      <c r="P248" s="980">
        <f t="shared" si="14"/>
        <v>0</v>
      </c>
      <c r="Q248" s="234">
        <f>Financeiros!D81</f>
        <v>0</v>
      </c>
    </row>
    <row r="249" spans="1:17" ht="15.75">
      <c r="A249" s="905" t="s">
        <v>773</v>
      </c>
      <c r="B249" s="905" t="s">
        <v>1377</v>
      </c>
      <c r="C249" s="905" t="str">
        <f>Financeiros!C82</f>
        <v>Reversão de Risco Hidrológico</v>
      </c>
      <c r="D249" s="905">
        <v>2</v>
      </c>
      <c r="E249" s="905">
        <v>2</v>
      </c>
      <c r="F249" s="905">
        <f>Financeiros!F82</f>
        <v>22</v>
      </c>
      <c r="G249" s="905">
        <f>Financeiros!G82</f>
        <v>62</v>
      </c>
      <c r="H249" s="905">
        <f>Financeiros!H82</f>
        <v>220</v>
      </c>
      <c r="I249" s="905">
        <f>Financeiros!I82</f>
        <v>2</v>
      </c>
      <c r="J249" s="905">
        <f>Financeiros!J82</f>
        <v>30</v>
      </c>
      <c r="K249" s="905">
        <v>9</v>
      </c>
      <c r="L249" s="905">
        <v>99</v>
      </c>
      <c r="M249" s="905">
        <v>9</v>
      </c>
      <c r="N249" s="905">
        <v>3</v>
      </c>
      <c r="O249" s="905">
        <v>99999</v>
      </c>
      <c r="P249" s="980">
        <f t="shared" ref="P249" si="15">IF(ISNUMBER(Q249),Q249,0)</f>
        <v>-782677.23987553886</v>
      </c>
      <c r="Q249" s="234">
        <f>Financeiros!D82</f>
        <v>-782677.23987553886</v>
      </c>
    </row>
    <row r="250" spans="1:17" ht="15.75">
      <c r="A250" s="905" t="s">
        <v>773</v>
      </c>
      <c r="B250" s="905" t="s">
        <v>1377</v>
      </c>
      <c r="C250" s="905" t="s">
        <v>1620</v>
      </c>
      <c r="D250" s="905">
        <v>5</v>
      </c>
      <c r="E250" s="905">
        <v>2</v>
      </c>
      <c r="F250" s="905">
        <v>19</v>
      </c>
      <c r="G250" s="905">
        <v>65</v>
      </c>
      <c r="H250" s="905">
        <v>172</v>
      </c>
      <c r="I250" s="905">
        <v>1</v>
      </c>
      <c r="J250" s="905">
        <v>1</v>
      </c>
      <c r="K250" s="905">
        <v>9</v>
      </c>
      <c r="L250" s="905">
        <v>99</v>
      </c>
      <c r="M250" s="905">
        <v>9</v>
      </c>
      <c r="N250" s="905">
        <v>3</v>
      </c>
      <c r="O250" s="905">
        <v>99999</v>
      </c>
      <c r="P250" s="980">
        <f t="shared" si="14"/>
        <v>0</v>
      </c>
      <c r="Q250" s="234">
        <f>CVE!$D$12</f>
        <v>0</v>
      </c>
    </row>
    <row r="251" spans="1:17" ht="15.75">
      <c r="A251" s="905" t="s">
        <v>773</v>
      </c>
      <c r="B251" s="905" t="s">
        <v>1377</v>
      </c>
      <c r="C251" s="905" t="s">
        <v>1621</v>
      </c>
      <c r="D251" s="905">
        <v>5</v>
      </c>
      <c r="E251" s="905">
        <v>2</v>
      </c>
      <c r="F251" s="905">
        <v>19</v>
      </c>
      <c r="G251" s="905">
        <v>65</v>
      </c>
      <c r="H251" s="905">
        <v>172</v>
      </c>
      <c r="I251" s="905">
        <v>1</v>
      </c>
      <c r="J251" s="905">
        <v>21</v>
      </c>
      <c r="K251" s="905">
        <v>9</v>
      </c>
      <c r="L251" s="905">
        <v>99</v>
      </c>
      <c r="M251" s="905">
        <v>9</v>
      </c>
      <c r="N251" s="905">
        <v>3</v>
      </c>
      <c r="O251" s="905">
        <v>99999</v>
      </c>
      <c r="P251" s="980">
        <f t="shared" si="14"/>
        <v>0</v>
      </c>
      <c r="Q251" s="234">
        <f>CVE!$D$15</f>
        <v>0</v>
      </c>
    </row>
    <row r="252" spans="1:17" ht="15.75">
      <c r="A252" s="905" t="s">
        <v>773</v>
      </c>
      <c r="B252" s="905" t="s">
        <v>1377</v>
      </c>
      <c r="C252" s="905" t="s">
        <v>1622</v>
      </c>
      <c r="D252" s="905">
        <v>5</v>
      </c>
      <c r="E252" s="905">
        <v>2</v>
      </c>
      <c r="F252" s="905">
        <v>19</v>
      </c>
      <c r="G252" s="905">
        <v>65</v>
      </c>
      <c r="H252" s="905">
        <v>172</v>
      </c>
      <c r="I252" s="905">
        <v>2</v>
      </c>
      <c r="J252" s="905">
        <v>999</v>
      </c>
      <c r="K252" s="905">
        <v>9</v>
      </c>
      <c r="L252" s="905">
        <v>99</v>
      </c>
      <c r="M252" s="905">
        <v>9</v>
      </c>
      <c r="N252" s="905">
        <v>3</v>
      </c>
      <c r="O252" s="905">
        <v>99999</v>
      </c>
      <c r="P252" s="980">
        <f t="shared" si="14"/>
        <v>443159.8615</v>
      </c>
      <c r="Q252" s="234">
        <f>CVE!$D$13</f>
        <v>443159.8615</v>
      </c>
    </row>
    <row r="253" spans="1:17" ht="15.75">
      <c r="A253" s="905" t="s">
        <v>773</v>
      </c>
      <c r="B253" s="905" t="s">
        <v>1377</v>
      </c>
      <c r="C253" s="905" t="s">
        <v>1623</v>
      </c>
      <c r="D253" s="905">
        <v>5</v>
      </c>
      <c r="E253" s="905">
        <v>2</v>
      </c>
      <c r="F253" s="905">
        <v>19</v>
      </c>
      <c r="G253" s="905">
        <v>65</v>
      </c>
      <c r="H253" s="905">
        <v>172</v>
      </c>
      <c r="I253" s="905">
        <v>3</v>
      </c>
      <c r="J253" s="905">
        <v>13</v>
      </c>
      <c r="K253" s="905">
        <v>9</v>
      </c>
      <c r="L253" s="905">
        <v>99</v>
      </c>
      <c r="M253" s="905">
        <v>9</v>
      </c>
      <c r="N253" s="905">
        <v>3</v>
      </c>
      <c r="O253" s="905">
        <v>99999</v>
      </c>
      <c r="P253" s="980">
        <f t="shared" si="14"/>
        <v>0</v>
      </c>
      <c r="Q253" s="234">
        <f>CVE!$D$9</f>
        <v>0</v>
      </c>
    </row>
    <row r="254" spans="1:17" ht="15.75">
      <c r="A254" s="905" t="s">
        <v>773</v>
      </c>
      <c r="B254" s="905" t="s">
        <v>1377</v>
      </c>
      <c r="C254" s="905" t="s">
        <v>1624</v>
      </c>
      <c r="D254" s="905">
        <v>5</v>
      </c>
      <c r="E254" s="905">
        <v>2</v>
      </c>
      <c r="F254" s="905">
        <v>19</v>
      </c>
      <c r="G254" s="905">
        <v>65</v>
      </c>
      <c r="H254" s="905">
        <v>172</v>
      </c>
      <c r="I254" s="905">
        <v>3</v>
      </c>
      <c r="J254" s="905">
        <v>15</v>
      </c>
      <c r="K254" s="905">
        <v>9</v>
      </c>
      <c r="L254" s="905">
        <v>99</v>
      </c>
      <c r="M254" s="905">
        <v>9</v>
      </c>
      <c r="N254" s="905">
        <v>3</v>
      </c>
      <c r="O254" s="905">
        <v>99999</v>
      </c>
      <c r="P254" s="980">
        <f t="shared" si="14"/>
        <v>0</v>
      </c>
      <c r="Q254" s="234">
        <f>CVE!$D$10</f>
        <v>0</v>
      </c>
    </row>
    <row r="255" spans="1:17" ht="15.75">
      <c r="A255" s="905" t="s">
        <v>773</v>
      </c>
      <c r="B255" s="905" t="s">
        <v>1377</v>
      </c>
      <c r="C255" s="905" t="s">
        <v>1625</v>
      </c>
      <c r="D255" s="905">
        <v>5</v>
      </c>
      <c r="E255" s="905">
        <v>2</v>
      </c>
      <c r="F255" s="905">
        <v>19</v>
      </c>
      <c r="G255" s="905">
        <v>65</v>
      </c>
      <c r="H255" s="905">
        <v>172</v>
      </c>
      <c r="I255" s="905">
        <v>3</v>
      </c>
      <c r="J255" s="905">
        <v>16</v>
      </c>
      <c r="K255" s="905">
        <v>9</v>
      </c>
      <c r="L255" s="905">
        <v>99</v>
      </c>
      <c r="M255" s="905">
        <v>9</v>
      </c>
      <c r="N255" s="905">
        <v>3</v>
      </c>
      <c r="O255" s="905">
        <v>99999</v>
      </c>
      <c r="P255" s="980">
        <f t="shared" si="14"/>
        <v>0</v>
      </c>
      <c r="Q255" s="234">
        <f>CVE!$D$14</f>
        <v>0</v>
      </c>
    </row>
    <row r="256" spans="1:17" ht="15.75">
      <c r="A256" s="905" t="s">
        <v>773</v>
      </c>
      <c r="B256" s="905" t="s">
        <v>1377</v>
      </c>
      <c r="C256" s="905" t="s">
        <v>1626</v>
      </c>
      <c r="D256" s="905">
        <v>5</v>
      </c>
      <c r="E256" s="905">
        <v>2</v>
      </c>
      <c r="F256" s="905">
        <v>19</v>
      </c>
      <c r="G256" s="905">
        <v>65</v>
      </c>
      <c r="H256" s="905">
        <v>172</v>
      </c>
      <c r="I256" s="905">
        <v>3</v>
      </c>
      <c r="J256" s="905">
        <v>17</v>
      </c>
      <c r="K256" s="905">
        <v>9</v>
      </c>
      <c r="L256" s="905">
        <v>99</v>
      </c>
      <c r="M256" s="905">
        <v>9</v>
      </c>
      <c r="N256" s="905">
        <v>3</v>
      </c>
      <c r="O256" s="905">
        <v>99999</v>
      </c>
      <c r="P256" s="980">
        <f t="shared" si="14"/>
        <v>699864.49190000002</v>
      </c>
      <c r="Q256" s="234">
        <f>CVE!$D$17</f>
        <v>699864.49190000002</v>
      </c>
    </row>
    <row r="257" spans="1:17" ht="15.75">
      <c r="A257" s="905" t="s">
        <v>773</v>
      </c>
      <c r="B257" s="905" t="s">
        <v>1377</v>
      </c>
      <c r="C257" s="905" t="s">
        <v>1627</v>
      </c>
      <c r="D257" s="905">
        <v>5</v>
      </c>
      <c r="E257" s="905">
        <v>2</v>
      </c>
      <c r="F257" s="905">
        <v>19</v>
      </c>
      <c r="G257" s="905">
        <v>65</v>
      </c>
      <c r="H257" s="905">
        <v>172</v>
      </c>
      <c r="I257" s="905">
        <v>3</v>
      </c>
      <c r="J257" s="905">
        <v>18</v>
      </c>
      <c r="K257" s="905">
        <v>9</v>
      </c>
      <c r="L257" s="905">
        <v>99</v>
      </c>
      <c r="M257" s="905">
        <v>9</v>
      </c>
      <c r="N257" s="905">
        <v>3</v>
      </c>
      <c r="O257" s="905">
        <v>99999</v>
      </c>
      <c r="P257" s="980">
        <f t="shared" si="14"/>
        <v>0</v>
      </c>
      <c r="Q257" s="234">
        <f>CVE!$D$16</f>
        <v>0</v>
      </c>
    </row>
    <row r="258" spans="1:17" ht="15.75">
      <c r="A258" s="905" t="s">
        <v>773</v>
      </c>
      <c r="B258" s="905" t="s">
        <v>1377</v>
      </c>
      <c r="C258" s="905" t="s">
        <v>1395</v>
      </c>
      <c r="D258" s="905">
        <v>5</v>
      </c>
      <c r="E258" s="905">
        <v>2</v>
      </c>
      <c r="F258" s="905">
        <v>19</v>
      </c>
      <c r="G258" s="905">
        <v>65</v>
      </c>
      <c r="H258" s="905">
        <v>172</v>
      </c>
      <c r="I258" s="905">
        <v>2</v>
      </c>
      <c r="J258" s="905">
        <v>25</v>
      </c>
      <c r="K258" s="905">
        <v>9</v>
      </c>
      <c r="L258" s="905">
        <v>99</v>
      </c>
      <c r="M258" s="905">
        <v>9</v>
      </c>
      <c r="N258" s="905">
        <v>3</v>
      </c>
      <c r="O258" s="905">
        <v>99999</v>
      </c>
      <c r="P258" s="980">
        <f t="shared" si="14"/>
        <v>0</v>
      </c>
      <c r="Q258" s="234">
        <f>CVE!$D$11</f>
        <v>0</v>
      </c>
    </row>
    <row r="259" spans="1:17" ht="15.75">
      <c r="A259" s="905" t="s">
        <v>1628</v>
      </c>
      <c r="B259" s="905" t="s">
        <v>36</v>
      </c>
      <c r="C259" s="905" t="s">
        <v>1629</v>
      </c>
      <c r="D259" s="905">
        <v>4</v>
      </c>
      <c r="E259" s="905">
        <v>2</v>
      </c>
      <c r="F259" s="905">
        <v>19</v>
      </c>
      <c r="G259" s="905">
        <v>64</v>
      </c>
      <c r="H259" s="905">
        <v>95</v>
      </c>
      <c r="I259" s="905">
        <v>3</v>
      </c>
      <c r="J259" s="905">
        <v>13</v>
      </c>
      <c r="K259" s="905">
        <v>9</v>
      </c>
      <c r="L259" s="905">
        <v>99</v>
      </c>
      <c r="M259" s="905">
        <v>9</v>
      </c>
      <c r="N259" s="905">
        <v>3</v>
      </c>
      <c r="O259" s="905">
        <v>99999</v>
      </c>
      <c r="P259" s="980">
        <f t="shared" si="14"/>
        <v>0</v>
      </c>
      <c r="Q259" s="234">
        <f>CVE!$D$24</f>
        <v>0</v>
      </c>
    </row>
    <row r="260" spans="1:17" ht="15.75">
      <c r="A260" s="905" t="s">
        <v>1628</v>
      </c>
      <c r="B260" s="905" t="s">
        <v>36</v>
      </c>
      <c r="C260" s="905" t="s">
        <v>1630</v>
      </c>
      <c r="D260" s="905">
        <v>4</v>
      </c>
      <c r="E260" s="905">
        <v>2</v>
      </c>
      <c r="F260" s="905">
        <v>19</v>
      </c>
      <c r="G260" s="905">
        <v>64</v>
      </c>
      <c r="H260" s="905">
        <v>95</v>
      </c>
      <c r="I260" s="905">
        <v>3</v>
      </c>
      <c r="J260" s="905">
        <v>15</v>
      </c>
      <c r="K260" s="905">
        <v>9</v>
      </c>
      <c r="L260" s="905">
        <v>99</v>
      </c>
      <c r="M260" s="905">
        <v>9</v>
      </c>
      <c r="N260" s="905">
        <v>3</v>
      </c>
      <c r="O260" s="905">
        <v>99999</v>
      </c>
      <c r="P260" s="980">
        <f t="shared" si="14"/>
        <v>0</v>
      </c>
      <c r="Q260" s="234">
        <f>CVE!$D$25</f>
        <v>0</v>
      </c>
    </row>
    <row r="261" spans="1:17" ht="15.75">
      <c r="A261" s="905" t="s">
        <v>1628</v>
      </c>
      <c r="B261" s="905" t="s">
        <v>36</v>
      </c>
      <c r="C261" s="905" t="s">
        <v>1631</v>
      </c>
      <c r="D261" s="905">
        <v>4</v>
      </c>
      <c r="E261" s="905">
        <v>2</v>
      </c>
      <c r="F261" s="905">
        <v>19</v>
      </c>
      <c r="G261" s="905">
        <v>64</v>
      </c>
      <c r="H261" s="905">
        <v>95</v>
      </c>
      <c r="I261" s="905">
        <v>2</v>
      </c>
      <c r="J261" s="905">
        <v>25</v>
      </c>
      <c r="K261" s="905">
        <v>9</v>
      </c>
      <c r="L261" s="905">
        <v>99</v>
      </c>
      <c r="M261" s="905">
        <v>9</v>
      </c>
      <c r="N261" s="905">
        <v>3</v>
      </c>
      <c r="O261" s="905">
        <v>99999</v>
      </c>
      <c r="P261" s="980">
        <f t="shared" si="14"/>
        <v>0</v>
      </c>
      <c r="Q261" s="234">
        <f>CVE!$D$26</f>
        <v>0</v>
      </c>
    </row>
    <row r="262" spans="1:17" ht="15.75">
      <c r="A262" s="905" t="s">
        <v>1628</v>
      </c>
      <c r="B262" s="905" t="s">
        <v>36</v>
      </c>
      <c r="C262" s="905" t="s">
        <v>1632</v>
      </c>
      <c r="D262" s="905">
        <v>4</v>
      </c>
      <c r="E262" s="905">
        <v>2</v>
      </c>
      <c r="F262" s="905">
        <v>19</v>
      </c>
      <c r="G262" s="905">
        <v>64</v>
      </c>
      <c r="H262" s="905">
        <v>95</v>
      </c>
      <c r="I262" s="905">
        <v>1</v>
      </c>
      <c r="J262" s="905">
        <v>1</v>
      </c>
      <c r="K262" s="905">
        <v>9</v>
      </c>
      <c r="L262" s="905">
        <v>99</v>
      </c>
      <c r="M262" s="905">
        <v>9</v>
      </c>
      <c r="N262" s="905">
        <v>3</v>
      </c>
      <c r="O262" s="905">
        <v>99999</v>
      </c>
      <c r="P262" s="980">
        <f t="shared" si="14"/>
        <v>0</v>
      </c>
      <c r="Q262" s="234">
        <f>CVE!$D$27</f>
        <v>0</v>
      </c>
    </row>
    <row r="263" spans="1:17" ht="15.75">
      <c r="A263" s="905" t="s">
        <v>1628</v>
      </c>
      <c r="B263" s="905" t="s">
        <v>36</v>
      </c>
      <c r="C263" s="905" t="s">
        <v>1633</v>
      </c>
      <c r="D263" s="905">
        <v>4</v>
      </c>
      <c r="E263" s="905">
        <v>2</v>
      </c>
      <c r="F263" s="905">
        <v>19</v>
      </c>
      <c r="G263" s="905">
        <v>64</v>
      </c>
      <c r="H263" s="905">
        <v>95</v>
      </c>
      <c r="I263" s="905">
        <v>2</v>
      </c>
      <c r="J263" s="905">
        <v>999</v>
      </c>
      <c r="K263" s="905">
        <v>9</v>
      </c>
      <c r="L263" s="905">
        <v>99</v>
      </c>
      <c r="M263" s="905">
        <v>9</v>
      </c>
      <c r="N263" s="905">
        <v>3</v>
      </c>
      <c r="O263" s="905">
        <v>99999</v>
      </c>
      <c r="P263" s="980">
        <f t="shared" si="14"/>
        <v>0</v>
      </c>
      <c r="Q263" s="234">
        <f>CVE!$D$28</f>
        <v>0</v>
      </c>
    </row>
    <row r="264" spans="1:17" ht="15.75">
      <c r="A264" s="905" t="s">
        <v>1628</v>
      </c>
      <c r="B264" s="905" t="s">
        <v>36</v>
      </c>
      <c r="C264" s="905" t="s">
        <v>1634</v>
      </c>
      <c r="D264" s="905">
        <v>4</v>
      </c>
      <c r="E264" s="905">
        <v>2</v>
      </c>
      <c r="F264" s="905">
        <v>19</v>
      </c>
      <c r="G264" s="905">
        <v>64</v>
      </c>
      <c r="H264" s="905">
        <v>95</v>
      </c>
      <c r="I264" s="905">
        <v>3</v>
      </c>
      <c r="J264" s="905">
        <v>16</v>
      </c>
      <c r="K264" s="905">
        <v>9</v>
      </c>
      <c r="L264" s="905">
        <v>99</v>
      </c>
      <c r="M264" s="905">
        <v>9</v>
      </c>
      <c r="N264" s="905">
        <v>3</v>
      </c>
      <c r="O264" s="905">
        <v>99999</v>
      </c>
      <c r="P264" s="980">
        <f t="shared" si="14"/>
        <v>0</v>
      </c>
      <c r="Q264" s="234">
        <f>CVE!$D$29</f>
        <v>0</v>
      </c>
    </row>
    <row r="265" spans="1:17" ht="15.75">
      <c r="A265" s="905" t="s">
        <v>1628</v>
      </c>
      <c r="B265" s="905" t="s">
        <v>36</v>
      </c>
      <c r="C265" s="905" t="s">
        <v>1635</v>
      </c>
      <c r="D265" s="905">
        <v>4</v>
      </c>
      <c r="E265" s="905">
        <v>2</v>
      </c>
      <c r="F265" s="905">
        <v>19</v>
      </c>
      <c r="G265" s="905">
        <v>64</v>
      </c>
      <c r="H265" s="905">
        <v>95</v>
      </c>
      <c r="I265" s="905">
        <v>1</v>
      </c>
      <c r="J265" s="905">
        <v>21</v>
      </c>
      <c r="K265" s="905">
        <v>9</v>
      </c>
      <c r="L265" s="905">
        <v>99</v>
      </c>
      <c r="M265" s="905">
        <v>9</v>
      </c>
      <c r="N265" s="905">
        <v>3</v>
      </c>
      <c r="O265" s="905">
        <v>99999</v>
      </c>
      <c r="P265" s="980">
        <f t="shared" si="14"/>
        <v>0</v>
      </c>
      <c r="Q265" s="234">
        <f>CVE!$D$30</f>
        <v>0</v>
      </c>
    </row>
    <row r="266" spans="1:17" ht="15.75">
      <c r="A266" s="905" t="s">
        <v>1628</v>
      </c>
      <c r="B266" s="905" t="s">
        <v>36</v>
      </c>
      <c r="C266" s="905" t="s">
        <v>1636</v>
      </c>
      <c r="D266" s="905">
        <v>4</v>
      </c>
      <c r="E266" s="905">
        <v>2</v>
      </c>
      <c r="F266" s="905">
        <v>19</v>
      </c>
      <c r="G266" s="905">
        <v>64</v>
      </c>
      <c r="H266" s="905">
        <v>95</v>
      </c>
      <c r="I266" s="905">
        <v>3</v>
      </c>
      <c r="J266" s="905">
        <v>18</v>
      </c>
      <c r="K266" s="905">
        <v>9</v>
      </c>
      <c r="L266" s="905">
        <v>99</v>
      </c>
      <c r="M266" s="905">
        <v>9</v>
      </c>
      <c r="N266" s="905">
        <v>3</v>
      </c>
      <c r="O266" s="905">
        <v>99999</v>
      </c>
      <c r="P266" s="980">
        <f t="shared" si="14"/>
        <v>0</v>
      </c>
      <c r="Q266" s="234">
        <f>CVE!$D$31</f>
        <v>0</v>
      </c>
    </row>
    <row r="267" spans="1:17" ht="15.75">
      <c r="A267" s="905" t="s">
        <v>1628</v>
      </c>
      <c r="B267" s="905" t="s">
        <v>36</v>
      </c>
      <c r="C267" s="905" t="s">
        <v>1637</v>
      </c>
      <c r="D267" s="905">
        <v>4</v>
      </c>
      <c r="E267" s="905">
        <v>2</v>
      </c>
      <c r="F267" s="905">
        <v>19</v>
      </c>
      <c r="G267" s="905">
        <v>64</v>
      </c>
      <c r="H267" s="905">
        <v>95</v>
      </c>
      <c r="I267" s="905">
        <v>3</v>
      </c>
      <c r="J267" s="905">
        <v>17</v>
      </c>
      <c r="K267" s="905">
        <v>9</v>
      </c>
      <c r="L267" s="905">
        <v>99</v>
      </c>
      <c r="M267" s="905">
        <v>9</v>
      </c>
      <c r="N267" s="905">
        <v>3</v>
      </c>
      <c r="O267" s="905">
        <v>99999</v>
      </c>
      <c r="P267" s="980">
        <f t="shared" si="14"/>
        <v>0</v>
      </c>
      <c r="Q267" s="234">
        <f>CVE!$D$32</f>
        <v>0</v>
      </c>
    </row>
    <row r="268" spans="1:17" ht="15.75">
      <c r="A268" s="905" t="s">
        <v>773</v>
      </c>
      <c r="B268" s="905" t="s">
        <v>120</v>
      </c>
      <c r="C268" s="905" t="str">
        <f>Energia!$B$20</f>
        <v>Angra</v>
      </c>
      <c r="D268" s="905">
        <v>1</v>
      </c>
      <c r="E268" s="905">
        <v>1</v>
      </c>
      <c r="F268" s="905">
        <v>8</v>
      </c>
      <c r="G268" s="905">
        <v>999999</v>
      </c>
      <c r="H268" s="905">
        <v>999</v>
      </c>
      <c r="I268" s="905">
        <v>2</v>
      </c>
      <c r="J268" s="905">
        <v>999</v>
      </c>
      <c r="K268" s="905">
        <v>9</v>
      </c>
      <c r="L268" s="905">
        <v>99</v>
      </c>
      <c r="M268" s="905">
        <v>9</v>
      </c>
      <c r="N268" s="905">
        <v>2</v>
      </c>
      <c r="O268" s="905">
        <v>99999</v>
      </c>
      <c r="P268" s="980">
        <f t="shared" ca="1" si="14"/>
        <v>2354.0231337852406</v>
      </c>
      <c r="Q268" s="234">
        <f ca="1">Energia!$C$20</f>
        <v>2354.0231337852406</v>
      </c>
    </row>
    <row r="269" spans="1:17" ht="15.75">
      <c r="A269" s="905" t="s">
        <v>773</v>
      </c>
      <c r="B269" s="905" t="s">
        <v>120</v>
      </c>
      <c r="C269" s="905" t="str">
        <f>Energia!B20</f>
        <v>Angra</v>
      </c>
      <c r="D269" s="905">
        <v>1</v>
      </c>
      <c r="E269" s="905">
        <v>1</v>
      </c>
      <c r="F269" s="905">
        <v>8</v>
      </c>
      <c r="G269" s="905">
        <v>999999</v>
      </c>
      <c r="H269" s="905">
        <v>999</v>
      </c>
      <c r="I269" s="905">
        <v>2</v>
      </c>
      <c r="J269" s="905">
        <v>999</v>
      </c>
      <c r="K269" s="905">
        <v>9</v>
      </c>
      <c r="L269" s="905">
        <v>99</v>
      </c>
      <c r="M269" s="905">
        <v>9</v>
      </c>
      <c r="N269" s="905">
        <v>3</v>
      </c>
      <c r="O269" s="905">
        <v>99999</v>
      </c>
      <c r="P269" s="980">
        <f t="shared" ca="1" si="14"/>
        <v>821907.17716111674</v>
      </c>
      <c r="Q269" s="234">
        <f ca="1">Energia!$F$20</f>
        <v>821907.17716111674</v>
      </c>
    </row>
    <row r="270" spans="1:17" ht="15.75">
      <c r="A270" s="905" t="s">
        <v>773</v>
      </c>
      <c r="B270" s="905" t="s">
        <v>120</v>
      </c>
      <c r="C270" s="905" t="str">
        <f>Energia!$B$21</f>
        <v>CCGF</v>
      </c>
      <c r="D270" s="905">
        <v>1</v>
      </c>
      <c r="E270" s="905">
        <v>1</v>
      </c>
      <c r="F270" s="905">
        <v>17</v>
      </c>
      <c r="G270" s="905">
        <v>999999</v>
      </c>
      <c r="H270" s="905">
        <v>999</v>
      </c>
      <c r="I270" s="905">
        <v>2</v>
      </c>
      <c r="J270" s="905">
        <v>999</v>
      </c>
      <c r="K270" s="905">
        <v>9</v>
      </c>
      <c r="L270" s="905">
        <v>99</v>
      </c>
      <c r="M270" s="905">
        <v>9</v>
      </c>
      <c r="N270" s="905">
        <v>2</v>
      </c>
      <c r="O270" s="905">
        <v>0</v>
      </c>
      <c r="P270" s="980">
        <f t="shared" ca="1" si="14"/>
        <v>18629.820247417687</v>
      </c>
      <c r="Q270" s="234">
        <f ca="1">Energia!$C$21</f>
        <v>18629.820247417687</v>
      </c>
    </row>
    <row r="271" spans="1:17" ht="15.75">
      <c r="A271" s="905" t="s">
        <v>773</v>
      </c>
      <c r="B271" s="905" t="s">
        <v>120</v>
      </c>
      <c r="C271" s="905" t="str">
        <f>Energia!$B$21</f>
        <v>CCGF</v>
      </c>
      <c r="D271" s="905">
        <v>1</v>
      </c>
      <c r="E271" s="905">
        <v>1</v>
      </c>
      <c r="F271" s="905">
        <v>17</v>
      </c>
      <c r="G271" s="905">
        <v>999999</v>
      </c>
      <c r="H271" s="905">
        <v>999</v>
      </c>
      <c r="I271" s="905">
        <v>2</v>
      </c>
      <c r="J271" s="905">
        <v>999</v>
      </c>
      <c r="K271" s="905">
        <v>9</v>
      </c>
      <c r="L271" s="905">
        <v>99</v>
      </c>
      <c r="M271" s="905">
        <v>9</v>
      </c>
      <c r="N271" s="905">
        <v>3</v>
      </c>
      <c r="O271" s="905">
        <v>0</v>
      </c>
      <c r="P271" s="980">
        <f t="shared" ca="1" si="14"/>
        <v>2709385.9470035867</v>
      </c>
      <c r="Q271" s="234">
        <f ca="1">Energia!$F$21</f>
        <v>2709385.9470035867</v>
      </c>
    </row>
    <row r="272" spans="1:17" ht="15.75">
      <c r="A272" s="1607" t="s">
        <v>773</v>
      </c>
      <c r="B272" s="1608" t="s">
        <v>72</v>
      </c>
      <c r="C272" s="1608" t="s">
        <v>2195</v>
      </c>
      <c r="D272" s="1608">
        <v>1</v>
      </c>
      <c r="E272" s="1608">
        <v>1</v>
      </c>
      <c r="F272" s="1608">
        <v>999</v>
      </c>
      <c r="G272" s="1608">
        <v>999999</v>
      </c>
      <c r="H272" s="1608">
        <v>999</v>
      </c>
      <c r="I272" s="1608">
        <v>3</v>
      </c>
      <c r="J272" s="1608">
        <v>35</v>
      </c>
      <c r="K272" s="1608">
        <v>9</v>
      </c>
      <c r="L272" s="1608">
        <v>99</v>
      </c>
      <c r="M272" s="1608">
        <v>9</v>
      </c>
      <c r="N272" s="1608">
        <v>3</v>
      </c>
      <c r="O272" s="1608">
        <v>99999</v>
      </c>
      <c r="P272" s="980">
        <f>IF(ISNUMBER(Q272),Q272,0)</f>
        <v>2230167.0454119011</v>
      </c>
      <c r="Q272" s="967">
        <f>Encargos!L17</f>
        <v>2230167.0454119011</v>
      </c>
    </row>
    <row r="273" spans="1:17" ht="15.75">
      <c r="A273" s="1609" t="s">
        <v>773</v>
      </c>
      <c r="B273" s="1609" t="s">
        <v>72</v>
      </c>
      <c r="C273" s="1609" t="s">
        <v>2198</v>
      </c>
      <c r="D273" s="1609">
        <v>2</v>
      </c>
      <c r="E273" s="1609">
        <v>1</v>
      </c>
      <c r="F273" s="1609">
        <v>51</v>
      </c>
      <c r="G273" s="1609">
        <v>999999</v>
      </c>
      <c r="H273" s="1609">
        <v>999</v>
      </c>
      <c r="I273" s="1609">
        <v>3</v>
      </c>
      <c r="J273" s="1609">
        <v>28</v>
      </c>
      <c r="K273" s="1609">
        <v>2</v>
      </c>
      <c r="L273" s="1609">
        <v>99</v>
      </c>
      <c r="M273" s="1609">
        <v>9</v>
      </c>
      <c r="N273" s="1609">
        <v>3</v>
      </c>
      <c r="O273" s="1609">
        <v>99999</v>
      </c>
      <c r="P273" s="980">
        <f>IF(ISNUMBER(Q273),Q273,0)</f>
        <v>-1155000</v>
      </c>
      <c r="Q273" s="967">
        <f>Encargos!I21</f>
        <v>-1155000</v>
      </c>
    </row>
    <row r="274" spans="1:17" ht="15.75">
      <c r="A274" s="1609" t="s">
        <v>1572</v>
      </c>
      <c r="B274" s="1609" t="s">
        <v>120</v>
      </c>
      <c r="C274" s="1609" t="s">
        <v>2364</v>
      </c>
      <c r="D274" s="1609">
        <v>3</v>
      </c>
      <c r="E274" s="1609">
        <v>1</v>
      </c>
      <c r="F274" s="1609">
        <v>37</v>
      </c>
      <c r="G274" s="1609">
        <v>999999</v>
      </c>
      <c r="H274" s="1609">
        <v>999</v>
      </c>
      <c r="I274" s="1609">
        <v>99</v>
      </c>
      <c r="J274" s="1609">
        <v>999</v>
      </c>
      <c r="K274" s="1609">
        <v>9</v>
      </c>
      <c r="L274" s="1609">
        <v>99</v>
      </c>
      <c r="M274" s="1609">
        <v>9</v>
      </c>
      <c r="N274" s="1609">
        <v>8</v>
      </c>
      <c r="O274" s="1609">
        <v>99999</v>
      </c>
      <c r="P274" s="980">
        <f ca="1">IF(ISNUMBER(Q274),Q274,0)</f>
        <v>0.20242608378052449</v>
      </c>
      <c r="Q274" s="249">
        <f ca="1">Energia!L35</f>
        <v>0.20242608378052449</v>
      </c>
    </row>
    <row r="275" spans="1:17" s="906" customFormat="1" ht="14.1" customHeight="1">
      <c r="A275" s="905" t="s">
        <v>1586</v>
      </c>
      <c r="B275" s="905" t="s">
        <v>1586</v>
      </c>
      <c r="C275" s="905" t="s">
        <v>1586</v>
      </c>
      <c r="D275" s="905">
        <v>99</v>
      </c>
      <c r="E275" s="905">
        <v>99</v>
      </c>
      <c r="F275" s="905">
        <v>999</v>
      </c>
      <c r="G275" s="905">
        <v>999999</v>
      </c>
      <c r="H275" s="905">
        <v>999</v>
      </c>
      <c r="I275" s="905">
        <v>99</v>
      </c>
      <c r="J275" s="905">
        <v>999</v>
      </c>
      <c r="K275" s="905">
        <v>9</v>
      </c>
      <c r="L275" s="905">
        <v>99</v>
      </c>
      <c r="M275" s="905">
        <v>9</v>
      </c>
      <c r="N275" s="905">
        <v>99</v>
      </c>
      <c r="O275">
        <v>99999</v>
      </c>
      <c r="P275" s="967">
        <f t="shared" si="14"/>
        <v>0</v>
      </c>
      <c r="Q275" s="967"/>
    </row>
    <row r="276" spans="1:17" s="906" customFormat="1" ht="14.1" customHeight="1">
      <c r="A276" s="905" t="s">
        <v>1586</v>
      </c>
      <c r="B276" s="905" t="s">
        <v>1586</v>
      </c>
      <c r="C276" s="905" t="s">
        <v>1586</v>
      </c>
      <c r="D276" s="905">
        <v>99</v>
      </c>
      <c r="E276" s="905">
        <v>99</v>
      </c>
      <c r="F276" s="905">
        <v>999</v>
      </c>
      <c r="G276" s="905">
        <v>999999</v>
      </c>
      <c r="H276" s="905">
        <v>999</v>
      </c>
      <c r="I276" s="905">
        <v>99</v>
      </c>
      <c r="J276" s="905">
        <v>999</v>
      </c>
      <c r="K276" s="905">
        <v>9</v>
      </c>
      <c r="L276" s="905">
        <v>99</v>
      </c>
      <c r="M276" s="905">
        <v>9</v>
      </c>
      <c r="N276" s="905">
        <v>99</v>
      </c>
      <c r="O276">
        <v>99999</v>
      </c>
      <c r="P276" s="967">
        <f t="shared" si="14"/>
        <v>0</v>
      </c>
      <c r="Q276" s="967"/>
    </row>
    <row r="277" spans="1:17" ht="15.75">
      <c r="A277" s="905"/>
      <c r="B277" s="905"/>
      <c r="C277" s="905"/>
      <c r="D277" s="905"/>
      <c r="E277" s="905"/>
      <c r="F277" s="905"/>
      <c r="G277" s="905"/>
      <c r="H277" s="905"/>
      <c r="I277" s="905"/>
      <c r="J277" s="905"/>
      <c r="K277" s="905"/>
      <c r="L277" s="905"/>
      <c r="M277" s="905"/>
      <c r="N277" s="905"/>
      <c r="O277"/>
      <c r="P277" s="967"/>
      <c r="Q277" s="967"/>
    </row>
    <row r="278" spans="1:17" ht="15.75">
      <c r="A278" s="905"/>
      <c r="B278" s="905"/>
      <c r="C278" s="905"/>
      <c r="D278" s="905"/>
      <c r="E278" s="905"/>
      <c r="F278" s="905"/>
      <c r="G278" s="905"/>
      <c r="H278" s="905"/>
      <c r="I278" s="905"/>
      <c r="J278" s="905"/>
      <c r="K278" s="905"/>
      <c r="L278" s="905"/>
      <c r="M278" s="905"/>
      <c r="N278" s="905"/>
      <c r="O278"/>
      <c r="P278" s="967"/>
      <c r="Q278" s="967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ref="P279:P334" si="16">IF(ISNUMBER(Q279),Q279,0)</f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6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6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6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6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6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6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6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6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6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6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6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6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6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6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6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6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6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6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6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6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6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6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6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6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6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6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6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6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6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6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6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6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6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6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6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6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6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6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6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6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6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6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6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6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6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6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6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6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6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6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6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6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6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6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6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ref="P335:P398" si="17">IF(ISNUMBER(Q335),Q335,0)</f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7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7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7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7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7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7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7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7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7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7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7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7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7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7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7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7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7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7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7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7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7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7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7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7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7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7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7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7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7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7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7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7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7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7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7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7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7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7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7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7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7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7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7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7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7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7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7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7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7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7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7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7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7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7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7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7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7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7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ref="P399:P462" si="18">IF(ISNUMBER(Q399),Q399,0)</f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8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8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8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8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8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8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8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8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8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8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8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8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8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8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8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8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8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8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8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8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8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8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8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8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8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8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8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8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8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8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8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8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8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8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8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8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8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8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8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8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8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8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8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8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8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8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8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8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8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8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8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8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8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8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8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8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8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8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ref="P463:P526" si="19">IF(ISNUMBER(Q463),Q463,0)</f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9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9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9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9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9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9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9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9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9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9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9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9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9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9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9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9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9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9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9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9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9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9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9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9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9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9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9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9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9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9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9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9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9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9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9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9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9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9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9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9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9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9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9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9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9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9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9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9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19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9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9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9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9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9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9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9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9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9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ref="P527:P590" si="20">IF(ISNUMBER(Q527),Q527,0)</f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0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0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0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0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0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0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0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0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0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0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0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0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0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0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0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0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0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0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0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0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0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0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0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0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0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0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0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0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0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0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0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0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0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0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0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0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0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0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0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0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0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0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0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0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0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0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0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0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0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0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0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0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0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0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0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0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0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0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ref="P591:P654" si="21">IF(ISNUMBER(Q591),Q591,0)</f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1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1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1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1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1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1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1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1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1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1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1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1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1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1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1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1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1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1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1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1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1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1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1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1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1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1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1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1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1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1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1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1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1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1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1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1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1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1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1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1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1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1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1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1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1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1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1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1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1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1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1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1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1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1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1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1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1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1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ref="P655:P718" si="22">IF(ISNUMBER(Q655),Q655,0)</f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2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2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2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2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2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2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2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2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2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2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2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2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2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2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2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2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2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2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2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2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2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2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2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2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2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2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2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2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2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2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2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2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2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2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2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2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2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2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2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2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2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2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2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2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2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2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2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2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2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2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2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2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2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2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2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2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2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2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ref="P719:P782" si="23">IF(ISNUMBER(Q719),Q719,0)</f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3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3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3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3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3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3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3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3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3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3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3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3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3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3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3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3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3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3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3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3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3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3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3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3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3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3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3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3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3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3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3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3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3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3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3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3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3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3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3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3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3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3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3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3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3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3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3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3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3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3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3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3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3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3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3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3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3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3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ref="P783:P846" si="24">IF(ISNUMBER(Q783),Q783,0)</f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4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4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4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4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4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4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4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4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4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4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4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4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4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4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4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4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4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4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4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4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4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4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4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4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4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4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4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4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4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4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4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4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4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4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4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4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4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4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4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4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4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4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4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4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4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4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4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4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4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4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4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4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4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4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4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4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4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4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ref="P847:P910" si="25">IF(ISNUMBER(Q847),Q847,0)</f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5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5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5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5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5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5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5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5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5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5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5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5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5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5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5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5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5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5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5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5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5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5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5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5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5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5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5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5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5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5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5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5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5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5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5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5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5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5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5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5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5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5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5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5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5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5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5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5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5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5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5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5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5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5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5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5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5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5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ref="P911:P974" si="26">IF(ISNUMBER(Q911),Q911,0)</f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6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6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6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6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6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6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6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6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6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6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6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6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6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6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6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6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6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6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6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6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6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6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6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6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6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6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6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6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6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6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6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6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6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6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6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6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6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6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6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6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6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6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6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6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6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6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6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6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6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6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6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6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6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6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6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6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6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6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ref="P975:P1038" si="27">IF(ISNUMBER(Q975),Q975,0)</f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7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7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7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7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7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7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7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7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7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7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7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7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7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7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7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7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7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7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7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7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7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7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7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7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7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7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7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7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7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7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7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7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7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7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7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7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7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7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7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7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7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7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7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7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7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7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7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7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7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7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7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7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7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7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7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7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7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7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ref="P1039:P1102" si="28">IF(ISNUMBER(Q1039),Q1039,0)</f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8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8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8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8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8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8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8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8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8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8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8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8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8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8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8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8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8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8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8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8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8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8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8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8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8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8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8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8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8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8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8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8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8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8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8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8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8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8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8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8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8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8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8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8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8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8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8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8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8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8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8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8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8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8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8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8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8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8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ref="P1103:P1166" si="29">IF(ISNUMBER(Q1103),Q1103,0)</f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9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9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9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9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9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9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9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9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9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9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9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9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9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9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9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9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9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9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9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9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9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9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9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9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9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9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9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9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9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9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9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9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9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9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9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9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9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9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9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9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9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9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9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9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9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9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9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9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29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9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9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9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9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9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9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9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9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9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ref="P1167:P1230" si="30">IF(ISNUMBER(Q1167),Q1167,0)</f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0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0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0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0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0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0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0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0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0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0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0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0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0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0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0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0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0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0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0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0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0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0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0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0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0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0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0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0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0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0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0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0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0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0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0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0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0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0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0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0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0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0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0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0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0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0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0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0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0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0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0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0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0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0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0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0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0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0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ref="P1231:P1294" si="31">IF(ISNUMBER(Q1231),Q1231,0)</f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1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1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1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1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1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1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1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1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1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1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1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1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1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1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1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1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1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1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1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1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1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1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1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1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1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1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1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1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1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1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1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1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1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1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1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1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1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1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1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1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1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1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1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1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1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1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1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1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1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1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1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1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1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1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1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1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1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1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ref="P1295:P1358" si="32">IF(ISNUMBER(Q1295),Q1295,0)</f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2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2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2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2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2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2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2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2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2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2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2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2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2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2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2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2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2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2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2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2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2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2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2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2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2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2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2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2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2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2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2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2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2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2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2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2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2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2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2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2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2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2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2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2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2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2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2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2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2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2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2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2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2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2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2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2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2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2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ref="P1359:P1422" si="33">IF(ISNUMBER(Q1359),Q1359,0)</f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3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3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3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3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3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3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3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3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3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3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3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3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3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3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3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3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3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3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3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3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3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3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3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3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3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3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3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3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3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3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3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3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3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3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3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3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3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3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3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3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3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3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3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3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3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3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3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3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3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3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3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3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3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3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3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3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3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3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ref="P1423:P1486" si="34">IF(ISNUMBER(Q1423),Q1423,0)</f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4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4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4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4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4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4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4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4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4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4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4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4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4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4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4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4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4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4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4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4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4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4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4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4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4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4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4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4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4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4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4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4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4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4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4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4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4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4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4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4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4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4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4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4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4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4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4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4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4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4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4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4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4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4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4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4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4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4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ref="P1487:P1550" si="35">IF(ISNUMBER(Q1487),Q1487,0)</f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5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5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5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5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5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5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5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5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5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5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5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5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5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5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5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5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5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5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5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5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5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5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5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5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5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5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5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5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5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5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5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5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5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5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5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5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5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5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5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5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5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5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5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5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5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5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5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5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5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5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5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5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5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5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5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5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5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5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ref="P1551:P1614" si="36">IF(ISNUMBER(Q1551),Q1551,0)</f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6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6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6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6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6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6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6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6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6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6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6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6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6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6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6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6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6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6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6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6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6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6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6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6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6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6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6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6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6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6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6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6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6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6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6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6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6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6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6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6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6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6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6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6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6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6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6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6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6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6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6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6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6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6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6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6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6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6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ref="P1615:P1678" si="37">IF(ISNUMBER(Q1615),Q1615,0)</f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7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7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7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7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7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7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7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7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7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7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7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7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7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7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7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7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7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7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7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7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7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7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7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7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7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7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7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7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7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7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7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7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7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7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7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7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7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7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7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7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7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7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7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7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7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7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7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7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7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7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7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7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7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7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7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7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7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7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ref="P1679:P1733" si="38">IF(ISNUMBER(Q1679),Q1679,0)</f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8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8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8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8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8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8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8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8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8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8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8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8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8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8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8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8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8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8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8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8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8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8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8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8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8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8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8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8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8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8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8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8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8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8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8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8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8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8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8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8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8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8"/>
        <v>0</v>
      </c>
      <c r="Q1726" s="234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8"/>
        <v>0</v>
      </c>
      <c r="Q1727" s="248"/>
    </row>
    <row r="1728" spans="1:17">
      <c r="A1728" s="9" t="s">
        <v>773</v>
      </c>
      <c r="B1728" t="s">
        <v>794</v>
      </c>
      <c r="C1728" s="9" t="s">
        <v>1638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1</v>
      </c>
      <c r="N1728">
        <v>3</v>
      </c>
      <c r="O1728" s="14">
        <v>99999</v>
      </c>
      <c r="P1728" s="234">
        <f t="shared" si="38"/>
        <v>1395676.7999999998</v>
      </c>
      <c r="Q1728" s="234">
        <f>'Rede Básica + Ajuste'!D9</f>
        <v>1395676.7999999998</v>
      </c>
    </row>
    <row r="1729" spans="1:17">
      <c r="A1729" s="9" t="s">
        <v>773</v>
      </c>
      <c r="B1729" t="s">
        <v>794</v>
      </c>
      <c r="C1729" s="9" t="s">
        <v>1639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1</v>
      </c>
      <c r="K1729">
        <v>9</v>
      </c>
      <c r="L1729">
        <v>99</v>
      </c>
      <c r="M1729">
        <v>3</v>
      </c>
      <c r="N1729">
        <v>3</v>
      </c>
      <c r="O1729" s="14">
        <v>99999</v>
      </c>
      <c r="P1729" s="234">
        <f t="shared" si="38"/>
        <v>1505603.9999999995</v>
      </c>
      <c r="Q1729" s="234">
        <f>'Rede Básica + Ajuste'!D10</f>
        <v>1505603.9999999995</v>
      </c>
    </row>
    <row r="1730" spans="1:17">
      <c r="A1730" s="9" t="s">
        <v>773</v>
      </c>
      <c r="B1730" t="s">
        <v>794</v>
      </c>
      <c r="C1730" s="9" t="s">
        <v>1640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1</v>
      </c>
      <c r="N1730">
        <v>3</v>
      </c>
      <c r="O1730" s="14">
        <v>99999</v>
      </c>
      <c r="P1730" s="234">
        <f t="shared" si="38"/>
        <v>258998.39999999999</v>
      </c>
      <c r="Q1730" s="234">
        <f>'Rede Básica + Ajuste'!E9</f>
        <v>258998.39999999999</v>
      </c>
    </row>
    <row r="1731" spans="1:17">
      <c r="A1731" s="9" t="s">
        <v>773</v>
      </c>
      <c r="B1731" t="s">
        <v>794</v>
      </c>
      <c r="C1731" s="9" t="s">
        <v>1641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2</v>
      </c>
      <c r="K1731">
        <v>9</v>
      </c>
      <c r="L1731">
        <v>99</v>
      </c>
      <c r="M1731">
        <v>3</v>
      </c>
      <c r="N1731">
        <v>3</v>
      </c>
      <c r="O1731" s="14">
        <v>99999</v>
      </c>
      <c r="P1731" s="234">
        <f t="shared" si="38"/>
        <v>260405.99999999994</v>
      </c>
      <c r="Q1731" s="234">
        <f>'Rede Básica + Ajuste'!E10</f>
        <v>260405.99999999994</v>
      </c>
    </row>
    <row r="1732" spans="1:17">
      <c r="A1732" s="9" t="s">
        <v>773</v>
      </c>
      <c r="B1732" t="s">
        <v>794</v>
      </c>
      <c r="C1732" s="9" t="s">
        <v>1642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1</v>
      </c>
      <c r="N1732">
        <v>1</v>
      </c>
      <c r="O1732" s="14">
        <v>99999</v>
      </c>
      <c r="P1732" s="234">
        <f t="shared" si="38"/>
        <v>220.79999999999998</v>
      </c>
      <c r="Q1732" s="234">
        <f>'Rede Básica + Ajuste'!C9</f>
        <v>220.79999999999998</v>
      </c>
    </row>
    <row r="1733" spans="1:17">
      <c r="A1733" s="9" t="s">
        <v>773</v>
      </c>
      <c r="B1733" t="s">
        <v>794</v>
      </c>
      <c r="C1733" s="9" t="s">
        <v>1643</v>
      </c>
      <c r="D1733">
        <v>1</v>
      </c>
      <c r="E1733">
        <v>1</v>
      </c>
      <c r="F1733">
        <v>35</v>
      </c>
      <c r="G1733">
        <v>999</v>
      </c>
      <c r="H1733">
        <v>999</v>
      </c>
      <c r="I1733">
        <v>1</v>
      </c>
      <c r="J1733">
        <v>1</v>
      </c>
      <c r="K1733">
        <v>9</v>
      </c>
      <c r="L1733">
        <v>99</v>
      </c>
      <c r="M1733">
        <v>3</v>
      </c>
      <c r="N1733">
        <v>1</v>
      </c>
      <c r="O1733" s="14">
        <v>99999</v>
      </c>
      <c r="P1733" s="234">
        <f t="shared" si="38"/>
        <v>221.99999999999994</v>
      </c>
      <c r="Q1733" s="234">
        <f>'Rede Básica + Ajuste'!C10</f>
        <v>221.99999999999994</v>
      </c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511" t="s">
        <v>1644</v>
      </c>
      <c r="B1" s="506">
        <f>YEAR(SAS_RA0_DataInicio)*100+MONTH(SAS_RA0_DataInicio)</f>
        <v>202107</v>
      </c>
      <c r="D1" s="1511" t="s">
        <v>1645</v>
      </c>
      <c r="E1" s="1511" t="s">
        <v>1646</v>
      </c>
      <c r="F1" s="1511" t="s">
        <v>1647</v>
      </c>
    </row>
    <row r="2" spans="1:138" ht="15.75">
      <c r="A2" s="1511" t="s">
        <v>1648</v>
      </c>
      <c r="B2" s="506">
        <f>YEAR(SAS_RA0_DataFim)*100+MONTH(SAS_RA0_DataFim)</f>
        <v>202206</v>
      </c>
      <c r="D2" s="1512" t="str">
        <f>UPPER(VLOOKUP(LnkTXTSigla,Informacoes[],9,FALSE))</f>
        <v>RGE</v>
      </c>
      <c r="E2" s="506">
        <f>IF(_xlfn.MAXIFS(C:C,A:A,D2)&gt;B2,B2,_xlfn.MAXIFS(C:C,A:A,D2))</f>
        <v>0</v>
      </c>
      <c r="F2" s="508">
        <f>YEAR(SAS_RA0_DataFim)*100+MONTH(SAS_RA0_DataFim)-E2+1</f>
        <v>202207</v>
      </c>
    </row>
    <row r="3" spans="1:138" ht="15.75">
      <c r="A3" s="1513" t="s">
        <v>230</v>
      </c>
      <c r="B3" s="508">
        <f>YEAR(SAS_RA0_DataFim)*100+MONTH(SAS_RA0_DataFim)-MAX(C:C)+1</f>
        <v>202207</v>
      </c>
      <c r="D3" s="1512" t="str">
        <f>UPPER(VLOOKUP(LnkTXTSigla,Informacoes[],11,FALSE))</f>
        <v/>
      </c>
      <c r="E3" s="506">
        <f>IF(_xlfn.MAXIFS(C:C,A:A,D3)&gt;B2,B2,_xlfn.MAXIFS(C:C,A:A,D3))</f>
        <v>0</v>
      </c>
      <c r="F3" s="508">
        <f>YEAR(SAS_RA0_DataFim)*100+MONTH(SAS_RA0_DataFim)-E3+1</f>
        <v>202207</v>
      </c>
    </row>
    <row r="4" spans="1:138" ht="15.75">
      <c r="A4" s="522" t="s">
        <v>1649</v>
      </c>
      <c r="B4" s="523" t="s">
        <v>1650</v>
      </c>
    </row>
    <row r="6" spans="1:138" ht="15.75">
      <c r="A6" s="802"/>
      <c r="B6" s="803"/>
      <c r="C6" s="803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514" t="s">
        <v>1651</v>
      </c>
      <c r="B1" s="1515">
        <v>0</v>
      </c>
    </row>
    <row r="2" spans="1:2">
      <c r="A2" s="1514" t="s">
        <v>1652</v>
      </c>
      <c r="B2" s="1515">
        <v>0</v>
      </c>
    </row>
    <row r="3" spans="1:2">
      <c r="A3" s="1514" t="s">
        <v>1653</v>
      </c>
      <c r="B3" s="1515">
        <v>0</v>
      </c>
    </row>
    <row r="4" spans="1:2">
      <c r="A4" s="1514" t="s">
        <v>1654</v>
      </c>
      <c r="B4" s="1515">
        <v>0</v>
      </c>
    </row>
    <row r="5" spans="1:2">
      <c r="A5" s="1514" t="s">
        <v>1655</v>
      </c>
      <c r="B5" s="1515">
        <v>0</v>
      </c>
    </row>
    <row r="6" spans="1:2">
      <c r="A6" s="1514" t="s">
        <v>1656</v>
      </c>
      <c r="B6" s="1515">
        <v>0</v>
      </c>
    </row>
    <row r="7" spans="1:2">
      <c r="A7" s="1514" t="s">
        <v>1657</v>
      </c>
      <c r="B7" s="1515">
        <v>0</v>
      </c>
    </row>
    <row r="8" spans="1:2">
      <c r="A8" s="1514" t="s">
        <v>1658</v>
      </c>
      <c r="B8" s="1515">
        <v>0</v>
      </c>
    </row>
    <row r="9" spans="1:2">
      <c r="A9" s="1514" t="s">
        <v>1659</v>
      </c>
      <c r="B9" s="1515">
        <v>0.45</v>
      </c>
    </row>
    <row r="10" spans="1:2">
      <c r="A10" s="1514" t="s">
        <v>1660</v>
      </c>
      <c r="B10" s="1515">
        <v>0.4</v>
      </c>
    </row>
    <row r="11" spans="1:2">
      <c r="A11" s="1514" t="s">
        <v>1661</v>
      </c>
      <c r="B11" s="1514">
        <v>0.65</v>
      </c>
    </row>
    <row r="12" spans="1:2">
      <c r="A12" s="1514" t="s">
        <v>1662</v>
      </c>
      <c r="B12" s="1514">
        <v>0.4</v>
      </c>
    </row>
    <row r="13" spans="1:2">
      <c r="A13" s="1514" t="s">
        <v>1663</v>
      </c>
      <c r="B13" s="1514">
        <v>0.1</v>
      </c>
    </row>
    <row r="14" spans="1:2">
      <c r="A14" s="1514" t="s">
        <v>1664</v>
      </c>
      <c r="B14" s="1514">
        <v>0</v>
      </c>
    </row>
    <row r="15" spans="1:2">
      <c r="A15" s="1514" t="s">
        <v>1665</v>
      </c>
      <c r="B15" s="1514">
        <v>0.3</v>
      </c>
    </row>
    <row r="16" spans="1:2">
      <c r="A16" s="1514" t="s">
        <v>1666</v>
      </c>
      <c r="B16" s="1514">
        <v>0.3</v>
      </c>
    </row>
    <row r="17" spans="1:13">
      <c r="A17" s="1514" t="s">
        <v>1667</v>
      </c>
      <c r="B17" s="1514">
        <v>0.4</v>
      </c>
    </row>
    <row r="20" spans="1:13" ht="15">
      <c r="D20" s="1516" t="s">
        <v>1488</v>
      </c>
      <c r="E20" s="1516" t="s">
        <v>1040</v>
      </c>
      <c r="F20" s="1516" t="s">
        <v>1668</v>
      </c>
      <c r="G20" s="1516" t="s">
        <v>1669</v>
      </c>
      <c r="H20" s="1516" t="s">
        <v>1670</v>
      </c>
      <c r="I20" s="1516" t="s">
        <v>1671</v>
      </c>
      <c r="J20" s="1516" t="s">
        <v>1672</v>
      </c>
      <c r="K20" s="1516" t="s">
        <v>1673</v>
      </c>
      <c r="L20" s="1516" t="s">
        <v>1674</v>
      </c>
      <c r="M20" s="1516" t="s">
        <v>1124</v>
      </c>
    </row>
    <row r="21" spans="1:13" ht="30" hidden="1">
      <c r="D21" s="1517">
        <v>26</v>
      </c>
      <c r="E21" s="1518" t="s">
        <v>1675</v>
      </c>
      <c r="F21" s="1518" t="s">
        <v>137</v>
      </c>
      <c r="G21" s="1519">
        <v>41243</v>
      </c>
      <c r="H21" s="1520">
        <v>41243</v>
      </c>
      <c r="I21" s="1518" t="s">
        <v>1043</v>
      </c>
      <c r="J21" s="1518" t="s">
        <v>138</v>
      </c>
      <c r="K21" s="1517">
        <v>1663</v>
      </c>
      <c r="L21" s="1518" t="s">
        <v>1676</v>
      </c>
      <c r="M21" s="1518" t="s">
        <v>1677</v>
      </c>
    </row>
    <row r="22" spans="1:13" ht="30" hidden="1">
      <c r="D22" s="1517">
        <v>28</v>
      </c>
      <c r="E22" s="1518" t="s">
        <v>1678</v>
      </c>
      <c r="F22" s="1518" t="s">
        <v>1679</v>
      </c>
      <c r="G22" s="1519">
        <v>41214</v>
      </c>
      <c r="H22" s="483"/>
      <c r="I22" s="1518" t="s">
        <v>1043</v>
      </c>
      <c r="J22" s="1518" t="s">
        <v>138</v>
      </c>
      <c r="K22" s="1517">
        <v>1665</v>
      </c>
      <c r="L22" s="1518" t="s">
        <v>138</v>
      </c>
      <c r="M22" s="1518" t="s">
        <v>1677</v>
      </c>
    </row>
    <row r="23" spans="1:13" ht="30" hidden="1">
      <c r="D23" s="1517">
        <v>31</v>
      </c>
      <c r="E23" s="1518" t="s">
        <v>1680</v>
      </c>
      <c r="F23" s="1518" t="s">
        <v>139</v>
      </c>
      <c r="G23" s="1519">
        <v>41243</v>
      </c>
      <c r="H23" s="483"/>
      <c r="I23" s="1518" t="s">
        <v>1043</v>
      </c>
      <c r="J23" s="1518" t="s">
        <v>138</v>
      </c>
      <c r="K23" s="1517">
        <v>1666</v>
      </c>
      <c r="L23" s="1518" t="s">
        <v>138</v>
      </c>
      <c r="M23" s="1518" t="s">
        <v>1677</v>
      </c>
    </row>
    <row r="24" spans="1:13" ht="30" hidden="1">
      <c r="D24" s="1517">
        <v>32</v>
      </c>
      <c r="E24" s="1518" t="s">
        <v>1681</v>
      </c>
      <c r="F24" s="1518" t="s">
        <v>140</v>
      </c>
      <c r="G24" s="1519">
        <v>41094</v>
      </c>
      <c r="H24" s="483"/>
      <c r="I24" s="1518" t="s">
        <v>1043</v>
      </c>
      <c r="J24" s="1518" t="s">
        <v>138</v>
      </c>
      <c r="K24" s="1517">
        <v>1668</v>
      </c>
      <c r="L24" s="1518" t="s">
        <v>1682</v>
      </c>
      <c r="M24" s="1518" t="s">
        <v>1677</v>
      </c>
    </row>
    <row r="25" spans="1:13" ht="30" hidden="1">
      <c r="D25" s="1517">
        <v>37</v>
      </c>
      <c r="E25" s="1518" t="s">
        <v>1683</v>
      </c>
      <c r="F25" s="1518" t="s">
        <v>141</v>
      </c>
      <c r="G25" s="1519">
        <v>41149</v>
      </c>
      <c r="H25" s="483"/>
      <c r="I25" s="1518" t="s">
        <v>1043</v>
      </c>
      <c r="J25" s="1518" t="s">
        <v>138</v>
      </c>
      <c r="K25" s="1517">
        <v>1669</v>
      </c>
      <c r="L25" s="1518" t="s">
        <v>1684</v>
      </c>
      <c r="M25" s="1518" t="s">
        <v>1677</v>
      </c>
    </row>
    <row r="26" spans="1:13" ht="30" hidden="1">
      <c r="D26" s="1517">
        <v>38</v>
      </c>
      <c r="E26" s="1518" t="s">
        <v>1685</v>
      </c>
      <c r="F26" s="1518" t="s">
        <v>142</v>
      </c>
      <c r="G26" s="1519">
        <v>41180</v>
      </c>
      <c r="H26" s="1520">
        <v>41149</v>
      </c>
      <c r="I26" s="1518" t="s">
        <v>1043</v>
      </c>
      <c r="J26" s="1518" t="s">
        <v>138</v>
      </c>
      <c r="K26" s="1517">
        <v>1670</v>
      </c>
      <c r="L26" s="1518" t="s">
        <v>1686</v>
      </c>
      <c r="M26" s="1518" t="s">
        <v>1677</v>
      </c>
    </row>
    <row r="27" spans="1:13" ht="30" hidden="1">
      <c r="D27" s="1517">
        <v>39</v>
      </c>
      <c r="E27" s="1518" t="s">
        <v>1687</v>
      </c>
      <c r="F27" s="1518" t="s">
        <v>1688</v>
      </c>
      <c r="G27" s="1519">
        <v>41021</v>
      </c>
      <c r="H27" s="483"/>
      <c r="I27" s="1518" t="s">
        <v>1043</v>
      </c>
      <c r="J27" s="1518" t="s">
        <v>138</v>
      </c>
      <c r="K27" s="1517">
        <v>1671</v>
      </c>
      <c r="L27" s="1518" t="s">
        <v>1689</v>
      </c>
      <c r="M27" s="1518" t="s">
        <v>1677</v>
      </c>
    </row>
    <row r="28" spans="1:13" ht="30" hidden="1">
      <c r="D28" s="1517">
        <v>40</v>
      </c>
      <c r="E28" s="1518" t="s">
        <v>1690</v>
      </c>
      <c r="F28" s="1518" t="s">
        <v>144</v>
      </c>
      <c r="G28" s="1519">
        <v>41021</v>
      </c>
      <c r="H28" s="483"/>
      <c r="I28" s="1518" t="s">
        <v>1043</v>
      </c>
      <c r="J28" s="1518" t="s">
        <v>138</v>
      </c>
      <c r="K28" s="1517">
        <v>1672</v>
      </c>
      <c r="L28" s="1518" t="s">
        <v>1691</v>
      </c>
      <c r="M28" s="1518" t="s">
        <v>1677</v>
      </c>
    </row>
    <row r="29" spans="1:13" ht="30" hidden="1">
      <c r="D29" s="1517">
        <v>43</v>
      </c>
      <c r="E29" s="1518" t="s">
        <v>1692</v>
      </c>
      <c r="F29" s="1518" t="s">
        <v>145</v>
      </c>
      <c r="G29" s="1519">
        <v>41028</v>
      </c>
      <c r="H29" s="483"/>
      <c r="I29" s="1518" t="s">
        <v>1043</v>
      </c>
      <c r="J29" s="1518" t="s">
        <v>138</v>
      </c>
      <c r="K29" s="1517">
        <v>1674</v>
      </c>
      <c r="L29" s="1518" t="s">
        <v>1693</v>
      </c>
      <c r="M29" s="1518" t="s">
        <v>1677</v>
      </c>
    </row>
    <row r="30" spans="1:13" ht="30" hidden="1">
      <c r="D30" s="1517">
        <v>44</v>
      </c>
      <c r="E30" s="1518" t="s">
        <v>1694</v>
      </c>
      <c r="F30" s="1518" t="s">
        <v>146</v>
      </c>
      <c r="G30" s="1519">
        <v>41180</v>
      </c>
      <c r="H30" s="483"/>
      <c r="I30" s="1518" t="s">
        <v>1043</v>
      </c>
      <c r="J30" s="1518" t="s">
        <v>138</v>
      </c>
      <c r="K30" s="1517">
        <v>1675</v>
      </c>
      <c r="L30" s="1518" t="s">
        <v>1695</v>
      </c>
      <c r="M30" s="1518" t="s">
        <v>1677</v>
      </c>
    </row>
    <row r="31" spans="1:13" ht="30" hidden="1">
      <c r="D31" s="1517">
        <v>46</v>
      </c>
      <c r="E31" s="1518" t="s">
        <v>1696</v>
      </c>
      <c r="F31" s="1518" t="s">
        <v>147</v>
      </c>
      <c r="G31" s="1519">
        <v>41051</v>
      </c>
      <c r="H31" s="1520">
        <v>41257</v>
      </c>
      <c r="I31" s="1518" t="s">
        <v>1043</v>
      </c>
      <c r="J31" s="1518" t="s">
        <v>1697</v>
      </c>
      <c r="K31" s="1517">
        <v>1676</v>
      </c>
      <c r="L31" s="1518" t="s">
        <v>1698</v>
      </c>
      <c r="M31" s="1518" t="s">
        <v>1677</v>
      </c>
    </row>
    <row r="32" spans="1:13" ht="30" hidden="1">
      <c r="D32" s="1517">
        <v>47</v>
      </c>
      <c r="E32" s="1518" t="s">
        <v>1699</v>
      </c>
      <c r="F32" s="1518" t="s">
        <v>148</v>
      </c>
      <c r="G32" s="1519">
        <v>41021</v>
      </c>
      <c r="H32" s="483"/>
      <c r="I32" s="1518" t="s">
        <v>1043</v>
      </c>
      <c r="J32" s="1518" t="s">
        <v>138</v>
      </c>
      <c r="K32" s="1517">
        <v>1677</v>
      </c>
      <c r="L32" s="1518" t="s">
        <v>1700</v>
      </c>
      <c r="M32" s="1518" t="s">
        <v>1677</v>
      </c>
    </row>
    <row r="33" spans="4:13" ht="15" hidden="1">
      <c r="D33" s="1517">
        <v>51</v>
      </c>
      <c r="E33" s="1518" t="s">
        <v>1701</v>
      </c>
      <c r="F33" s="1518" t="s">
        <v>149</v>
      </c>
      <c r="G33" s="1519">
        <v>41235</v>
      </c>
      <c r="H33" s="1520">
        <v>41210</v>
      </c>
      <c r="I33" s="1518" t="s">
        <v>1043</v>
      </c>
      <c r="J33" s="1518" t="s">
        <v>1697</v>
      </c>
      <c r="K33" s="1517">
        <v>1682</v>
      </c>
      <c r="L33" s="1518" t="s">
        <v>1702</v>
      </c>
      <c r="M33" s="1518" t="s">
        <v>1677</v>
      </c>
    </row>
    <row r="34" spans="4:13" ht="15" hidden="1">
      <c r="D34" s="1517">
        <v>56</v>
      </c>
      <c r="E34" s="1518" t="s">
        <v>1703</v>
      </c>
      <c r="F34" s="1518" t="s">
        <v>1704</v>
      </c>
      <c r="G34" s="483"/>
      <c r="H34" s="483"/>
      <c r="I34" s="1518" t="s">
        <v>1043</v>
      </c>
      <c r="J34" s="1518" t="s">
        <v>138</v>
      </c>
      <c r="K34" s="1517">
        <v>1683</v>
      </c>
      <c r="L34" s="1518" t="s">
        <v>138</v>
      </c>
      <c r="M34" s="1518" t="s">
        <v>1677</v>
      </c>
    </row>
    <row r="35" spans="4:13" ht="30" hidden="1">
      <c r="D35" s="1517">
        <v>63</v>
      </c>
      <c r="E35" s="1518" t="s">
        <v>1705</v>
      </c>
      <c r="F35" s="1518" t="s">
        <v>150</v>
      </c>
      <c r="G35" s="1519">
        <v>41007</v>
      </c>
      <c r="H35" s="483"/>
      <c r="I35" s="1518" t="s">
        <v>1043</v>
      </c>
      <c r="J35" s="1518" t="s">
        <v>138</v>
      </c>
      <c r="K35" s="1517">
        <v>1688</v>
      </c>
      <c r="L35" s="1518" t="s">
        <v>1706</v>
      </c>
      <c r="M35" s="1518" t="s">
        <v>1677</v>
      </c>
    </row>
    <row r="36" spans="4:13" ht="30" hidden="1">
      <c r="D36" s="1517">
        <v>69</v>
      </c>
      <c r="E36" s="1518" t="s">
        <v>1707</v>
      </c>
      <c r="F36" s="1518" t="s">
        <v>1708</v>
      </c>
      <c r="G36" s="1519">
        <v>40990</v>
      </c>
      <c r="H36" s="1520">
        <v>42038</v>
      </c>
      <c r="I36" s="1518" t="s">
        <v>1043</v>
      </c>
      <c r="J36" s="1518" t="s">
        <v>138</v>
      </c>
      <c r="K36" s="1517">
        <v>1692</v>
      </c>
      <c r="L36" s="1518" t="s">
        <v>1709</v>
      </c>
      <c r="M36" s="1518" t="s">
        <v>1677</v>
      </c>
    </row>
    <row r="37" spans="4:13" ht="30" hidden="1">
      <c r="D37" s="1517">
        <v>70</v>
      </c>
      <c r="E37" s="1518" t="s">
        <v>1710</v>
      </c>
      <c r="F37" s="1518" t="s">
        <v>1711</v>
      </c>
      <c r="G37" s="1519">
        <v>40990</v>
      </c>
      <c r="H37" s="1520">
        <v>42038</v>
      </c>
      <c r="I37" s="1518" t="s">
        <v>1043</v>
      </c>
      <c r="J37" s="1518" t="s">
        <v>138</v>
      </c>
      <c r="K37" s="1517">
        <v>1693</v>
      </c>
      <c r="L37" s="1518" t="s">
        <v>1712</v>
      </c>
      <c r="M37" s="1518" t="s">
        <v>1677</v>
      </c>
    </row>
    <row r="38" spans="4:13" ht="30" hidden="1">
      <c r="D38" s="1517">
        <v>71</v>
      </c>
      <c r="E38" s="1518" t="s">
        <v>1713</v>
      </c>
      <c r="F38" s="1518" t="s">
        <v>1714</v>
      </c>
      <c r="G38" s="1519">
        <v>40990</v>
      </c>
      <c r="H38" s="1520">
        <v>42038</v>
      </c>
      <c r="I38" s="1518" t="s">
        <v>1043</v>
      </c>
      <c r="J38" s="1518" t="s">
        <v>138</v>
      </c>
      <c r="K38" s="1517">
        <v>1694</v>
      </c>
      <c r="L38" s="1518" t="s">
        <v>1715</v>
      </c>
      <c r="M38" s="1518" t="s">
        <v>1677</v>
      </c>
    </row>
    <row r="39" spans="4:13" ht="30" hidden="1">
      <c r="D39" s="1517">
        <v>72</v>
      </c>
      <c r="E39" s="1518" t="s">
        <v>1716</v>
      </c>
      <c r="F39" s="1518" t="s">
        <v>204</v>
      </c>
      <c r="G39" s="1519">
        <v>40990</v>
      </c>
      <c r="H39" s="1520">
        <v>42038</v>
      </c>
      <c r="I39" s="1518" t="s">
        <v>1043</v>
      </c>
      <c r="J39" s="1518" t="s">
        <v>138</v>
      </c>
      <c r="K39" s="1517">
        <v>1695</v>
      </c>
      <c r="L39" s="1518" t="s">
        <v>1717</v>
      </c>
      <c r="M39" s="1518" t="s">
        <v>1677</v>
      </c>
    </row>
    <row r="40" spans="4:13" ht="30" hidden="1">
      <c r="D40" s="1517">
        <v>73</v>
      </c>
      <c r="E40" s="1518" t="s">
        <v>1718</v>
      </c>
      <c r="F40" s="1518" t="s">
        <v>1719</v>
      </c>
      <c r="G40" s="1519">
        <v>40990</v>
      </c>
      <c r="H40" s="1520">
        <v>42038</v>
      </c>
      <c r="I40" s="1518" t="s">
        <v>1043</v>
      </c>
      <c r="J40" s="1518" t="s">
        <v>1697</v>
      </c>
      <c r="K40" s="1517">
        <v>1696</v>
      </c>
      <c r="L40" s="1518" t="s">
        <v>1720</v>
      </c>
      <c r="M40" s="1518" t="s">
        <v>1677</v>
      </c>
    </row>
    <row r="41" spans="4:13" ht="30" hidden="1">
      <c r="D41" s="1517">
        <v>75</v>
      </c>
      <c r="E41" s="1518" t="s">
        <v>1721</v>
      </c>
      <c r="F41" s="1518" t="s">
        <v>1722</v>
      </c>
      <c r="G41" s="1519">
        <v>41039</v>
      </c>
      <c r="H41" s="483"/>
      <c r="I41" s="1518" t="s">
        <v>1043</v>
      </c>
      <c r="J41" s="1518" t="s">
        <v>138</v>
      </c>
      <c r="K41" s="1517">
        <v>1697</v>
      </c>
      <c r="L41" s="1518" t="s">
        <v>1723</v>
      </c>
      <c r="M41" s="1518" t="s">
        <v>1677</v>
      </c>
    </row>
    <row r="42" spans="4:13" ht="30" hidden="1">
      <c r="D42" s="1517">
        <v>82</v>
      </c>
      <c r="E42" s="1518" t="s">
        <v>1724</v>
      </c>
      <c r="F42" s="1518" t="s">
        <v>151</v>
      </c>
      <c r="G42" s="1519">
        <v>41089</v>
      </c>
      <c r="H42" s="1520">
        <v>41084</v>
      </c>
      <c r="I42" s="1518" t="s">
        <v>1043</v>
      </c>
      <c r="J42" s="1518" t="s">
        <v>1697</v>
      </c>
      <c r="K42" s="1517">
        <v>1701</v>
      </c>
      <c r="L42" s="1518" t="s">
        <v>1725</v>
      </c>
      <c r="M42" s="1518" t="s">
        <v>1677</v>
      </c>
    </row>
    <row r="43" spans="4:13" ht="30" hidden="1">
      <c r="D43" s="1517">
        <v>83</v>
      </c>
      <c r="E43" s="1518" t="s">
        <v>1726</v>
      </c>
      <c r="F43" s="1518" t="s">
        <v>207</v>
      </c>
      <c r="G43" s="1519">
        <v>41147</v>
      </c>
      <c r="H43" s="483"/>
      <c r="I43" s="1518" t="s">
        <v>1043</v>
      </c>
      <c r="J43" s="1518" t="s">
        <v>1697</v>
      </c>
      <c r="K43" s="1517">
        <v>1702</v>
      </c>
      <c r="L43" s="1518" t="s">
        <v>1727</v>
      </c>
      <c r="M43" s="1518" t="s">
        <v>1677</v>
      </c>
    </row>
    <row r="44" spans="4:13" ht="30" hidden="1">
      <c r="D44" s="1517">
        <v>84</v>
      </c>
      <c r="E44" s="1518" t="s">
        <v>1728</v>
      </c>
      <c r="F44" s="1518" t="s">
        <v>1729</v>
      </c>
      <c r="G44" s="1519">
        <v>41089</v>
      </c>
      <c r="H44" s="483"/>
      <c r="I44" s="1518" t="s">
        <v>1043</v>
      </c>
      <c r="J44" s="1518" t="s">
        <v>1697</v>
      </c>
      <c r="K44" s="1517">
        <v>1703</v>
      </c>
      <c r="L44" s="1518" t="s">
        <v>1730</v>
      </c>
      <c r="M44" s="1518" t="s">
        <v>1677</v>
      </c>
    </row>
    <row r="45" spans="4:13" ht="30" hidden="1">
      <c r="D45" s="1517">
        <v>86</v>
      </c>
      <c r="E45" s="1518" t="s">
        <v>1731</v>
      </c>
      <c r="F45" s="1518" t="s">
        <v>152</v>
      </c>
      <c r="G45" s="1519">
        <v>41150</v>
      </c>
      <c r="H45" s="1520">
        <v>41865</v>
      </c>
      <c r="I45" s="1518" t="s">
        <v>1043</v>
      </c>
      <c r="J45" s="1518" t="s">
        <v>1697</v>
      </c>
      <c r="K45" s="1517">
        <v>1704</v>
      </c>
      <c r="L45" s="1518" t="s">
        <v>1732</v>
      </c>
      <c r="M45" s="1518" t="s">
        <v>1677</v>
      </c>
    </row>
    <row r="46" spans="4:13" ht="30" hidden="1">
      <c r="D46" s="1517">
        <v>87</v>
      </c>
      <c r="E46" s="1518" t="s">
        <v>1733</v>
      </c>
      <c r="F46" s="1518" t="s">
        <v>153</v>
      </c>
      <c r="G46" s="1519">
        <v>41150</v>
      </c>
      <c r="H46" s="1520">
        <v>41128</v>
      </c>
      <c r="I46" s="1518" t="s">
        <v>1043</v>
      </c>
      <c r="J46" s="1518" t="s">
        <v>1697</v>
      </c>
      <c r="K46" s="1517">
        <v>1705</v>
      </c>
      <c r="L46" s="1518" t="s">
        <v>1734</v>
      </c>
      <c r="M46" s="1518" t="s">
        <v>1677</v>
      </c>
    </row>
    <row r="47" spans="4:13" ht="30" hidden="1">
      <c r="D47" s="1517">
        <v>88</v>
      </c>
      <c r="E47" s="1518" t="s">
        <v>1735</v>
      </c>
      <c r="F47" s="1518" t="s">
        <v>1736</v>
      </c>
      <c r="G47" s="1519">
        <v>41150</v>
      </c>
      <c r="H47" s="1520">
        <v>41865</v>
      </c>
      <c r="I47" s="1518" t="s">
        <v>1043</v>
      </c>
      <c r="J47" s="1518" t="s">
        <v>1697</v>
      </c>
      <c r="K47" s="1517">
        <v>1706</v>
      </c>
      <c r="L47" s="1518" t="s">
        <v>1737</v>
      </c>
      <c r="M47" s="1518" t="s">
        <v>1677</v>
      </c>
    </row>
    <row r="48" spans="4:13" ht="15" hidden="1">
      <c r="D48" s="1517">
        <v>95</v>
      </c>
      <c r="E48" s="1518" t="s">
        <v>1738</v>
      </c>
      <c r="F48" s="1518" t="s">
        <v>154</v>
      </c>
      <c r="G48" s="1519">
        <v>41112</v>
      </c>
      <c r="H48" s="1520">
        <v>41089</v>
      </c>
      <c r="I48" s="1518" t="s">
        <v>1043</v>
      </c>
      <c r="J48" s="1518" t="s">
        <v>1697</v>
      </c>
      <c r="K48" s="1517">
        <v>1708</v>
      </c>
      <c r="L48" s="1518" t="s">
        <v>1739</v>
      </c>
      <c r="M48" s="1518" t="s">
        <v>1677</v>
      </c>
    </row>
    <row r="49" spans="4:13" ht="30" hidden="1">
      <c r="D49" s="1517">
        <v>103</v>
      </c>
      <c r="E49" s="1518" t="s">
        <v>1740</v>
      </c>
      <c r="F49" s="1518" t="s">
        <v>155</v>
      </c>
      <c r="G49" s="1519">
        <v>41235</v>
      </c>
      <c r="H49" s="1520">
        <v>41164</v>
      </c>
      <c r="I49" s="1518" t="s">
        <v>1043</v>
      </c>
      <c r="J49" s="1518" t="s">
        <v>1697</v>
      </c>
      <c r="K49" s="1517">
        <v>1710</v>
      </c>
      <c r="L49" s="1518" t="s">
        <v>1741</v>
      </c>
      <c r="M49" s="1518" t="s">
        <v>1677</v>
      </c>
    </row>
    <row r="50" spans="4:13" ht="30">
      <c r="D50" s="1517">
        <v>213</v>
      </c>
      <c r="E50" s="1518" t="s">
        <v>1742</v>
      </c>
      <c r="F50" s="1518" t="s">
        <v>1743</v>
      </c>
      <c r="G50" s="483"/>
      <c r="H50" s="483"/>
      <c r="I50" s="1518" t="s">
        <v>1043</v>
      </c>
      <c r="J50" s="1518" t="s">
        <v>138</v>
      </c>
      <c r="K50" s="1517">
        <v>1757</v>
      </c>
      <c r="L50" s="1518" t="s">
        <v>138</v>
      </c>
      <c r="M50" s="1518" t="s">
        <v>1257</v>
      </c>
    </row>
    <row r="51" spans="4:13" ht="30" hidden="1">
      <c r="D51" s="1517">
        <v>369</v>
      </c>
      <c r="E51" s="1518" t="s">
        <v>1744</v>
      </c>
      <c r="F51" s="1518" t="s">
        <v>156</v>
      </c>
      <c r="G51" s="1519">
        <v>41243</v>
      </c>
      <c r="H51" s="1520">
        <v>41243</v>
      </c>
      <c r="I51" s="1518" t="s">
        <v>1043</v>
      </c>
      <c r="J51" s="1518" t="s">
        <v>138</v>
      </c>
      <c r="K51" s="1517">
        <v>1770</v>
      </c>
      <c r="L51" s="1518" t="s">
        <v>1745</v>
      </c>
      <c r="M51" s="1518" t="s">
        <v>1677</v>
      </c>
    </row>
    <row r="52" spans="4:13" ht="15" hidden="1">
      <c r="D52" s="1517">
        <v>370</v>
      </c>
      <c r="E52" s="1518" t="s">
        <v>1746</v>
      </c>
      <c r="F52" s="1518" t="s">
        <v>1747</v>
      </c>
      <c r="G52" s="1519">
        <v>41214</v>
      </c>
      <c r="H52" s="1520">
        <v>41214</v>
      </c>
      <c r="I52" s="1518" t="s">
        <v>1043</v>
      </c>
      <c r="J52" s="1518" t="s">
        <v>138</v>
      </c>
      <c r="K52" s="1517">
        <v>1771</v>
      </c>
      <c r="L52" s="1518" t="s">
        <v>1748</v>
      </c>
      <c r="M52" s="1518" t="s">
        <v>1677</v>
      </c>
    </row>
    <row r="53" spans="4:13" ht="30" hidden="1">
      <c r="D53" s="1517">
        <v>371</v>
      </c>
      <c r="E53" s="1518" t="s">
        <v>1749</v>
      </c>
      <c r="F53" s="1518" t="s">
        <v>159</v>
      </c>
      <c r="G53" s="1519">
        <v>40762</v>
      </c>
      <c r="H53" s="483"/>
      <c r="I53" s="1518" t="s">
        <v>1043</v>
      </c>
      <c r="J53" s="1518" t="s">
        <v>138</v>
      </c>
      <c r="K53" s="1517">
        <v>1772</v>
      </c>
      <c r="L53" s="1518" t="s">
        <v>1750</v>
      </c>
      <c r="M53" s="1518" t="s">
        <v>1677</v>
      </c>
    </row>
    <row r="54" spans="4:13" ht="30" hidden="1">
      <c r="D54" s="1517">
        <v>380</v>
      </c>
      <c r="E54" s="1518" t="s">
        <v>1751</v>
      </c>
      <c r="F54" s="1518" t="s">
        <v>1752</v>
      </c>
      <c r="G54" s="1519">
        <v>41128</v>
      </c>
      <c r="H54" s="483"/>
      <c r="I54" s="1518" t="s">
        <v>1043</v>
      </c>
      <c r="J54" s="1518" t="s">
        <v>138</v>
      </c>
      <c r="K54" s="1517">
        <v>1777</v>
      </c>
      <c r="L54" s="1518" t="s">
        <v>1753</v>
      </c>
      <c r="M54" s="1518" t="s">
        <v>1677</v>
      </c>
    </row>
    <row r="55" spans="4:13" ht="30" hidden="1">
      <c r="D55" s="1517">
        <v>381</v>
      </c>
      <c r="E55" s="1518" t="s">
        <v>1754</v>
      </c>
      <c r="F55" s="1518" t="s">
        <v>161</v>
      </c>
      <c r="G55" s="1519">
        <v>41143</v>
      </c>
      <c r="H55" s="1520">
        <v>41136</v>
      </c>
      <c r="I55" s="1518" t="s">
        <v>1043</v>
      </c>
      <c r="J55" s="1518" t="s">
        <v>138</v>
      </c>
      <c r="K55" s="1517">
        <v>1778</v>
      </c>
      <c r="L55" s="1518" t="s">
        <v>1755</v>
      </c>
      <c r="M55" s="1518" t="s">
        <v>1677</v>
      </c>
    </row>
    <row r="56" spans="4:13" ht="30" hidden="1">
      <c r="D56" s="1517">
        <v>382</v>
      </c>
      <c r="E56" s="1518" t="s">
        <v>1756</v>
      </c>
      <c r="F56" s="1518" t="s">
        <v>162</v>
      </c>
      <c r="G56" s="1519">
        <v>40983</v>
      </c>
      <c r="H56" s="1520">
        <v>41220</v>
      </c>
      <c r="I56" s="1518" t="s">
        <v>1043</v>
      </c>
      <c r="J56" s="1518" t="s">
        <v>138</v>
      </c>
      <c r="K56" s="1517">
        <v>1779</v>
      </c>
      <c r="L56" s="1518" t="s">
        <v>1757</v>
      </c>
      <c r="M56" s="1518" t="s">
        <v>1677</v>
      </c>
    </row>
    <row r="57" spans="4:13" ht="30" hidden="1">
      <c r="D57" s="1517">
        <v>383</v>
      </c>
      <c r="E57" s="1518" t="s">
        <v>1758</v>
      </c>
      <c r="F57" s="1518" t="s">
        <v>492</v>
      </c>
      <c r="G57" s="1519">
        <v>40983</v>
      </c>
      <c r="H57" s="483"/>
      <c r="I57" s="1518" t="s">
        <v>1043</v>
      </c>
      <c r="J57" s="1518" t="s">
        <v>138</v>
      </c>
      <c r="K57" s="1517">
        <v>1780</v>
      </c>
      <c r="L57" s="1518" t="s">
        <v>1759</v>
      </c>
      <c r="M57" s="1518" t="s">
        <v>1677</v>
      </c>
    </row>
    <row r="58" spans="4:13" ht="30" hidden="1">
      <c r="D58" s="1517">
        <v>385</v>
      </c>
      <c r="E58" s="1518" t="s">
        <v>1760</v>
      </c>
      <c r="F58" s="1518" t="s">
        <v>164</v>
      </c>
      <c r="G58" s="1519">
        <v>41148</v>
      </c>
      <c r="H58" s="483"/>
      <c r="I58" s="1518" t="s">
        <v>1043</v>
      </c>
      <c r="J58" s="1518" t="s">
        <v>138</v>
      </c>
      <c r="K58" s="1517">
        <v>1782</v>
      </c>
      <c r="L58" s="1518" t="s">
        <v>1761</v>
      </c>
      <c r="M58" s="1518" t="s">
        <v>1677</v>
      </c>
    </row>
    <row r="59" spans="4:13" ht="30" hidden="1">
      <c r="D59" s="1517">
        <v>386</v>
      </c>
      <c r="E59" s="1518" t="s">
        <v>1762</v>
      </c>
      <c r="F59" s="1518" t="s">
        <v>1763</v>
      </c>
      <c r="G59" s="1519">
        <v>41039</v>
      </c>
      <c r="H59" s="483"/>
      <c r="I59" s="1518" t="s">
        <v>1043</v>
      </c>
      <c r="J59" s="1518" t="s">
        <v>138</v>
      </c>
      <c r="K59" s="1517">
        <v>1783</v>
      </c>
      <c r="L59" s="1518" t="s">
        <v>1764</v>
      </c>
      <c r="M59" s="1518" t="s">
        <v>1677</v>
      </c>
    </row>
    <row r="60" spans="4:13" ht="45" hidden="1">
      <c r="D60" s="1517">
        <v>390</v>
      </c>
      <c r="E60" s="1518" t="s">
        <v>1765</v>
      </c>
      <c r="F60" s="1518" t="s">
        <v>313</v>
      </c>
      <c r="G60" s="1519">
        <v>41094</v>
      </c>
      <c r="H60" s="483"/>
      <c r="I60" s="1518" t="s">
        <v>1043</v>
      </c>
      <c r="J60" s="1518" t="s">
        <v>138</v>
      </c>
      <c r="K60" s="1517">
        <v>1787</v>
      </c>
      <c r="L60" s="1518" t="s">
        <v>1766</v>
      </c>
      <c r="M60" s="1518" t="s">
        <v>1677</v>
      </c>
    </row>
    <row r="61" spans="4:13" ht="30" hidden="1">
      <c r="D61" s="1517">
        <v>391</v>
      </c>
      <c r="E61" s="1518" t="s">
        <v>1767</v>
      </c>
      <c r="F61" s="1518" t="s">
        <v>289</v>
      </c>
      <c r="G61" s="1519">
        <v>41205</v>
      </c>
      <c r="H61" s="483"/>
      <c r="I61" s="1518" t="s">
        <v>1043</v>
      </c>
      <c r="J61" s="1518" t="s">
        <v>138</v>
      </c>
      <c r="K61" s="1517">
        <v>1788</v>
      </c>
      <c r="L61" s="1518" t="s">
        <v>1768</v>
      </c>
      <c r="M61" s="1518" t="s">
        <v>1677</v>
      </c>
    </row>
    <row r="62" spans="4:13" ht="30" hidden="1">
      <c r="D62" s="1517">
        <v>396</v>
      </c>
      <c r="E62" s="1518" t="s">
        <v>1769</v>
      </c>
      <c r="F62" s="1518" t="s">
        <v>1770</v>
      </c>
      <c r="G62" s="1519">
        <v>41018</v>
      </c>
      <c r="H62" s="483"/>
      <c r="I62" s="1518" t="s">
        <v>1043</v>
      </c>
      <c r="J62" s="1518" t="s">
        <v>138</v>
      </c>
      <c r="K62" s="1517">
        <v>1792</v>
      </c>
      <c r="L62" s="1518" t="s">
        <v>1771</v>
      </c>
      <c r="M62" s="1518" t="s">
        <v>1677</v>
      </c>
    </row>
    <row r="63" spans="4:13" ht="15" hidden="1">
      <c r="D63" s="1517">
        <v>397</v>
      </c>
      <c r="E63" s="1518" t="s">
        <v>1772</v>
      </c>
      <c r="F63" s="1518" t="s">
        <v>206</v>
      </c>
      <c r="G63" s="1519">
        <v>41079</v>
      </c>
      <c r="H63" s="1520">
        <v>39922</v>
      </c>
      <c r="I63" s="1518" t="s">
        <v>1043</v>
      </c>
      <c r="J63" s="1518" t="s">
        <v>138</v>
      </c>
      <c r="K63" s="1517">
        <v>1793</v>
      </c>
      <c r="L63" s="1518" t="s">
        <v>1773</v>
      </c>
      <c r="M63" s="1518" t="s">
        <v>1677</v>
      </c>
    </row>
    <row r="64" spans="4:13" ht="30" hidden="1">
      <c r="D64" s="1517">
        <v>398</v>
      </c>
      <c r="E64" s="1518" t="s">
        <v>1774</v>
      </c>
      <c r="F64" s="1518" t="s">
        <v>167</v>
      </c>
      <c r="G64" s="1519">
        <v>41112</v>
      </c>
      <c r="H64" s="1520">
        <v>41089</v>
      </c>
      <c r="I64" s="1518" t="s">
        <v>1043</v>
      </c>
      <c r="J64" s="1518" t="s">
        <v>1697</v>
      </c>
      <c r="K64" s="1517">
        <v>1794</v>
      </c>
      <c r="L64" s="1518" t="s">
        <v>1775</v>
      </c>
      <c r="M64" s="1518" t="s">
        <v>1677</v>
      </c>
    </row>
    <row r="65" spans="4:13" ht="30" hidden="1">
      <c r="D65" s="1517">
        <v>399</v>
      </c>
      <c r="E65" s="1518" t="s">
        <v>1776</v>
      </c>
      <c r="F65" s="1518" t="s">
        <v>168</v>
      </c>
      <c r="G65" s="1519">
        <v>41112</v>
      </c>
      <c r="H65" s="1520">
        <v>41089</v>
      </c>
      <c r="I65" s="1518" t="s">
        <v>1043</v>
      </c>
      <c r="J65" s="1518" t="s">
        <v>1697</v>
      </c>
      <c r="K65" s="1517">
        <v>1795</v>
      </c>
      <c r="L65" s="1518" t="s">
        <v>1777</v>
      </c>
      <c r="M65" s="1518" t="s">
        <v>1677</v>
      </c>
    </row>
    <row r="66" spans="4:13" ht="30" hidden="1">
      <c r="D66" s="1517">
        <v>400</v>
      </c>
      <c r="E66" s="1518" t="s">
        <v>1778</v>
      </c>
      <c r="F66" s="1518" t="s">
        <v>169</v>
      </c>
      <c r="G66" s="1519">
        <v>41051</v>
      </c>
      <c r="H66" s="1520">
        <v>41018</v>
      </c>
      <c r="I66" s="1518" t="s">
        <v>1043</v>
      </c>
      <c r="J66" s="1518" t="s">
        <v>1697</v>
      </c>
      <c r="K66" s="1517">
        <v>1796</v>
      </c>
      <c r="L66" s="1518" t="s">
        <v>1779</v>
      </c>
      <c r="M66" s="1518" t="s">
        <v>1677</v>
      </c>
    </row>
    <row r="67" spans="4:13" ht="30" hidden="1">
      <c r="D67" s="1517">
        <v>401</v>
      </c>
      <c r="E67" s="1518" t="s">
        <v>1780</v>
      </c>
      <c r="F67" s="1518" t="s">
        <v>170</v>
      </c>
      <c r="G67" s="1519">
        <v>41112</v>
      </c>
      <c r="H67" s="1520">
        <v>41089</v>
      </c>
      <c r="I67" s="1518" t="s">
        <v>1043</v>
      </c>
      <c r="J67" s="1518" t="s">
        <v>1697</v>
      </c>
      <c r="K67" s="1517">
        <v>1797</v>
      </c>
      <c r="L67" s="1518" t="s">
        <v>1781</v>
      </c>
      <c r="M67" s="1518" t="s">
        <v>1677</v>
      </c>
    </row>
    <row r="68" spans="4:13" ht="30" hidden="1">
      <c r="D68" s="1517">
        <v>404</v>
      </c>
      <c r="E68" s="1518" t="s">
        <v>1782</v>
      </c>
      <c r="F68" s="1518" t="s">
        <v>171</v>
      </c>
      <c r="G68" s="1519">
        <v>41007</v>
      </c>
      <c r="H68" s="483"/>
      <c r="I68" s="1518" t="s">
        <v>1043</v>
      </c>
      <c r="J68" s="1518" t="s">
        <v>138</v>
      </c>
      <c r="K68" s="1517">
        <v>1800</v>
      </c>
      <c r="L68" s="1518" t="s">
        <v>1783</v>
      </c>
      <c r="M68" s="1518" t="s">
        <v>1677</v>
      </c>
    </row>
    <row r="69" spans="4:13" ht="30" hidden="1">
      <c r="D69" s="1517">
        <v>405</v>
      </c>
      <c r="E69" s="1518" t="s">
        <v>1784</v>
      </c>
      <c r="F69" s="1518" t="s">
        <v>173</v>
      </c>
      <c r="G69" s="1519">
        <v>41007</v>
      </c>
      <c r="H69" s="483"/>
      <c r="I69" s="1518" t="s">
        <v>1043</v>
      </c>
      <c r="J69" s="1518" t="s">
        <v>138</v>
      </c>
      <c r="K69" s="1517">
        <v>1802</v>
      </c>
      <c r="L69" s="1518" t="s">
        <v>1785</v>
      </c>
      <c r="M69" s="1518" t="s">
        <v>1677</v>
      </c>
    </row>
    <row r="70" spans="4:13" ht="30">
      <c r="D70" s="1517">
        <v>598</v>
      </c>
      <c r="E70" s="1518" t="s">
        <v>1786</v>
      </c>
      <c r="F70" s="1518" t="s">
        <v>1787</v>
      </c>
      <c r="G70" s="1519">
        <v>41485</v>
      </c>
      <c r="H70" s="483"/>
      <c r="I70" s="1518" t="s">
        <v>1043</v>
      </c>
      <c r="J70" s="1518" t="s">
        <v>1697</v>
      </c>
      <c r="K70" s="1517">
        <v>1855</v>
      </c>
      <c r="L70" s="1518" t="s">
        <v>1788</v>
      </c>
      <c r="M70" s="1518" t="s">
        <v>1257</v>
      </c>
    </row>
    <row r="71" spans="4:13" ht="30">
      <c r="D71" s="1517">
        <v>2351</v>
      </c>
      <c r="E71" s="1518" t="s">
        <v>1789</v>
      </c>
      <c r="F71" s="1518" t="s">
        <v>466</v>
      </c>
      <c r="G71" s="1519">
        <v>41485</v>
      </c>
      <c r="H71" s="483"/>
      <c r="I71" s="1518" t="s">
        <v>1043</v>
      </c>
      <c r="J71" s="1518" t="s">
        <v>1697</v>
      </c>
      <c r="K71" s="1517">
        <v>2062</v>
      </c>
      <c r="L71" s="1518" t="s">
        <v>1790</v>
      </c>
      <c r="M71" s="1518" t="s">
        <v>1257</v>
      </c>
    </row>
    <row r="72" spans="4:13" ht="45">
      <c r="D72" s="1517">
        <v>2381</v>
      </c>
      <c r="E72" s="1518" t="s">
        <v>1791</v>
      </c>
      <c r="F72" s="1518" t="s">
        <v>438</v>
      </c>
      <c r="G72" s="1519">
        <v>41485</v>
      </c>
      <c r="H72" s="483"/>
      <c r="I72" s="1518" t="s">
        <v>1043</v>
      </c>
      <c r="J72" s="1518" t="s">
        <v>1697</v>
      </c>
      <c r="K72" s="1517">
        <v>2066</v>
      </c>
      <c r="L72" s="1518" t="s">
        <v>1792</v>
      </c>
      <c r="M72" s="1518" t="s">
        <v>1257</v>
      </c>
    </row>
    <row r="73" spans="4:13" ht="30" hidden="1">
      <c r="D73" s="1517">
        <v>2513</v>
      </c>
      <c r="E73" s="1518" t="s">
        <v>1793</v>
      </c>
      <c r="F73" s="1518" t="s">
        <v>1794</v>
      </c>
      <c r="G73" s="1519">
        <v>40909</v>
      </c>
      <c r="H73" s="483"/>
      <c r="I73" s="1518" t="s">
        <v>1043</v>
      </c>
      <c r="J73" s="1518" t="s">
        <v>138</v>
      </c>
      <c r="K73" s="1517">
        <v>2076</v>
      </c>
      <c r="L73" s="1518" t="s">
        <v>138</v>
      </c>
      <c r="M73" s="1518" t="s">
        <v>138</v>
      </c>
    </row>
    <row r="74" spans="4:13" ht="45">
      <c r="D74" s="1517">
        <v>2763</v>
      </c>
      <c r="E74" s="1518" t="s">
        <v>1795</v>
      </c>
      <c r="F74" s="1518" t="s">
        <v>175</v>
      </c>
      <c r="G74" s="1519">
        <v>41485</v>
      </c>
      <c r="H74" s="483"/>
      <c r="I74" s="1518" t="s">
        <v>1043</v>
      </c>
      <c r="J74" s="1518" t="s">
        <v>1697</v>
      </c>
      <c r="K74" s="1517">
        <v>2111</v>
      </c>
      <c r="L74" s="1518" t="s">
        <v>1796</v>
      </c>
      <c r="M74" s="1518" t="s">
        <v>1257</v>
      </c>
    </row>
    <row r="75" spans="4:13" ht="45">
      <c r="D75" s="1517">
        <v>2783</v>
      </c>
      <c r="E75" s="1518" t="s">
        <v>1797</v>
      </c>
      <c r="F75" s="1518" t="s">
        <v>477</v>
      </c>
      <c r="G75" s="1519">
        <v>41485</v>
      </c>
      <c r="H75" s="483"/>
      <c r="I75" s="1518" t="s">
        <v>1043</v>
      </c>
      <c r="J75" s="1518" t="s">
        <v>1697</v>
      </c>
      <c r="K75" s="1517">
        <v>2114</v>
      </c>
      <c r="L75" s="1518" t="s">
        <v>1798</v>
      </c>
      <c r="M75" s="1518" t="s">
        <v>1257</v>
      </c>
    </row>
    <row r="76" spans="4:13" ht="15" hidden="1">
      <c r="D76" s="1517">
        <v>2866</v>
      </c>
      <c r="E76" s="1518" t="s">
        <v>1799</v>
      </c>
      <c r="F76" s="1518" t="s">
        <v>177</v>
      </c>
      <c r="G76" s="1519">
        <v>41084</v>
      </c>
      <c r="H76" s="483"/>
      <c r="I76" s="1518" t="s">
        <v>1043</v>
      </c>
      <c r="J76" s="1518" t="s">
        <v>138</v>
      </c>
      <c r="K76" s="1517">
        <v>2126</v>
      </c>
      <c r="L76" s="1518" t="s">
        <v>1800</v>
      </c>
      <c r="M76" s="1518" t="s">
        <v>1677</v>
      </c>
    </row>
    <row r="77" spans="4:13" ht="30" hidden="1">
      <c r="D77" s="1517">
        <v>2904</v>
      </c>
      <c r="E77" s="1518" t="s">
        <v>1801</v>
      </c>
      <c r="F77" s="1518" t="s">
        <v>1802</v>
      </c>
      <c r="G77" s="1519">
        <v>41150</v>
      </c>
      <c r="H77" s="1520">
        <v>41135</v>
      </c>
      <c r="I77" s="1518" t="s">
        <v>1043</v>
      </c>
      <c r="J77" s="1518" t="s">
        <v>1697</v>
      </c>
      <c r="K77" s="1517">
        <v>2134</v>
      </c>
      <c r="L77" s="1518" t="s">
        <v>1803</v>
      </c>
      <c r="M77" s="1518" t="s">
        <v>1677</v>
      </c>
    </row>
    <row r="78" spans="4:13" ht="30" hidden="1">
      <c r="D78" s="1517">
        <v>2937</v>
      </c>
      <c r="E78" s="1518" t="s">
        <v>1804</v>
      </c>
      <c r="F78" s="1518" t="s">
        <v>178</v>
      </c>
      <c r="G78" s="1519">
        <v>41205</v>
      </c>
      <c r="H78" s="483"/>
      <c r="I78" s="1518" t="s">
        <v>1043</v>
      </c>
      <c r="J78" s="1518" t="s">
        <v>138</v>
      </c>
      <c r="K78" s="1517">
        <v>2141</v>
      </c>
      <c r="L78" s="1518" t="s">
        <v>1805</v>
      </c>
      <c r="M78" s="1518" t="s">
        <v>1677</v>
      </c>
    </row>
    <row r="79" spans="4:13" ht="30">
      <c r="D79" s="1517">
        <v>3223</v>
      </c>
      <c r="E79" s="1518" t="s">
        <v>1806</v>
      </c>
      <c r="F79" s="1518" t="s">
        <v>450</v>
      </c>
      <c r="G79" s="1519">
        <v>41423</v>
      </c>
      <c r="H79" s="483"/>
      <c r="I79" s="1518" t="s">
        <v>1043</v>
      </c>
      <c r="J79" s="1518" t="s">
        <v>1697</v>
      </c>
      <c r="K79" s="1517">
        <v>2193</v>
      </c>
      <c r="L79" s="1518" t="s">
        <v>1807</v>
      </c>
      <c r="M79" s="1518" t="s">
        <v>1257</v>
      </c>
    </row>
    <row r="80" spans="4:13" ht="45">
      <c r="D80" s="1517">
        <v>3627</v>
      </c>
      <c r="E80" s="1518" t="s">
        <v>1808</v>
      </c>
      <c r="F80" s="1518" t="s">
        <v>461</v>
      </c>
      <c r="G80" s="1519">
        <v>41485</v>
      </c>
      <c r="H80" s="483"/>
      <c r="I80" s="1518" t="s">
        <v>1043</v>
      </c>
      <c r="J80" s="1518" t="s">
        <v>1697</v>
      </c>
      <c r="K80" s="1517">
        <v>2215</v>
      </c>
      <c r="L80" s="1518" t="s">
        <v>1809</v>
      </c>
      <c r="M80" s="1518" t="s">
        <v>1257</v>
      </c>
    </row>
    <row r="81" spans="4:13" ht="45">
      <c r="D81" s="1517">
        <v>4248</v>
      </c>
      <c r="E81" s="1518" t="s">
        <v>1810</v>
      </c>
      <c r="F81" s="1518" t="s">
        <v>1811</v>
      </c>
      <c r="G81" s="1519">
        <v>41485</v>
      </c>
      <c r="H81" s="483"/>
      <c r="I81" s="1518" t="s">
        <v>1043</v>
      </c>
      <c r="J81" s="1518" t="s">
        <v>1697</v>
      </c>
      <c r="K81" s="1517">
        <v>2245</v>
      </c>
      <c r="L81" s="1518" t="s">
        <v>1812</v>
      </c>
      <c r="M81" s="1518" t="s">
        <v>1257</v>
      </c>
    </row>
    <row r="82" spans="4:13" ht="105" hidden="1">
      <c r="D82" s="1517">
        <v>4950</v>
      </c>
      <c r="E82" s="1518" t="s">
        <v>1813</v>
      </c>
      <c r="F82" s="1518" t="s">
        <v>179</v>
      </c>
      <c r="G82" s="1519">
        <v>41057</v>
      </c>
      <c r="H82" s="1520">
        <v>41007</v>
      </c>
      <c r="I82" s="1518" t="s">
        <v>1043</v>
      </c>
      <c r="J82" s="1518" t="s">
        <v>138</v>
      </c>
      <c r="K82" s="1517">
        <v>2285</v>
      </c>
      <c r="L82" s="1518" t="s">
        <v>1814</v>
      </c>
      <c r="M82" s="1518" t="s">
        <v>1677</v>
      </c>
    </row>
    <row r="83" spans="4:13" ht="15" hidden="1">
      <c r="D83" s="1517">
        <v>5160</v>
      </c>
      <c r="E83" s="1518" t="s">
        <v>1815</v>
      </c>
      <c r="F83" s="1518" t="s">
        <v>181</v>
      </c>
      <c r="G83" s="1519">
        <v>41204</v>
      </c>
      <c r="H83" s="1520">
        <v>41147</v>
      </c>
      <c r="I83" s="1518" t="s">
        <v>1043</v>
      </c>
      <c r="J83" s="1518" t="s">
        <v>138</v>
      </c>
      <c r="K83" s="1517">
        <v>2313</v>
      </c>
      <c r="L83" s="1518" t="s">
        <v>1816</v>
      </c>
      <c r="M83" s="1518" t="s">
        <v>1677</v>
      </c>
    </row>
    <row r="84" spans="4:13" ht="30" hidden="1">
      <c r="D84" s="1517">
        <v>5216</v>
      </c>
      <c r="E84" s="1518" t="s">
        <v>1817</v>
      </c>
      <c r="F84" s="1518" t="s">
        <v>1818</v>
      </c>
      <c r="G84" s="1519">
        <v>41039</v>
      </c>
      <c r="H84" s="483"/>
      <c r="I84" s="1518" t="s">
        <v>1043</v>
      </c>
      <c r="J84" s="1518" t="s">
        <v>138</v>
      </c>
      <c r="K84" s="1517">
        <v>2330</v>
      </c>
      <c r="L84" s="1518" t="s">
        <v>1819</v>
      </c>
      <c r="M84" s="1518" t="s">
        <v>1677</v>
      </c>
    </row>
    <row r="85" spans="4:13" ht="30" hidden="1">
      <c r="D85" s="1517">
        <v>5217</v>
      </c>
      <c r="E85" s="1518" t="s">
        <v>1820</v>
      </c>
      <c r="F85" s="1518" t="s">
        <v>1821</v>
      </c>
      <c r="G85" s="1519">
        <v>41039</v>
      </c>
      <c r="H85" s="483"/>
      <c r="I85" s="1518" t="s">
        <v>1043</v>
      </c>
      <c r="J85" s="1518" t="s">
        <v>138</v>
      </c>
      <c r="K85" s="1517">
        <v>2331</v>
      </c>
      <c r="L85" s="1518" t="s">
        <v>1822</v>
      </c>
      <c r="M85" s="1518" t="s">
        <v>1677</v>
      </c>
    </row>
    <row r="86" spans="4:13" ht="45">
      <c r="D86" s="1517">
        <v>5274</v>
      </c>
      <c r="E86" s="1518" t="s">
        <v>1823</v>
      </c>
      <c r="F86" s="1518" t="s">
        <v>182</v>
      </c>
      <c r="G86" s="1519">
        <v>41393</v>
      </c>
      <c r="H86" s="483"/>
      <c r="I86" s="1518" t="s">
        <v>1043</v>
      </c>
      <c r="J86" s="1518" t="s">
        <v>1697</v>
      </c>
      <c r="K86" s="1517">
        <v>2339</v>
      </c>
      <c r="L86" s="1518" t="s">
        <v>1824</v>
      </c>
      <c r="M86" s="1518" t="s">
        <v>1257</v>
      </c>
    </row>
    <row r="87" spans="4:13" ht="45">
      <c r="D87" s="1517">
        <v>5351</v>
      </c>
      <c r="E87" s="1518" t="s">
        <v>1825</v>
      </c>
      <c r="F87" s="1518" t="s">
        <v>184</v>
      </c>
      <c r="G87" s="1519">
        <v>41212</v>
      </c>
      <c r="H87" s="483"/>
      <c r="I87" s="1518" t="s">
        <v>1043</v>
      </c>
      <c r="J87" s="1518" t="s">
        <v>1697</v>
      </c>
      <c r="K87" s="1517">
        <v>2340</v>
      </c>
      <c r="L87" s="1518" t="s">
        <v>1826</v>
      </c>
      <c r="M87" s="1518" t="s">
        <v>1257</v>
      </c>
    </row>
    <row r="88" spans="4:13" ht="60">
      <c r="D88" s="1517">
        <v>5352</v>
      </c>
      <c r="E88" s="1518" t="s">
        <v>1827</v>
      </c>
      <c r="F88" s="1518" t="s">
        <v>373</v>
      </c>
      <c r="G88" s="1519">
        <v>41182</v>
      </c>
      <c r="H88" s="483"/>
      <c r="I88" s="1518" t="s">
        <v>1043</v>
      </c>
      <c r="J88" s="1518" t="s">
        <v>1697</v>
      </c>
      <c r="K88" s="1517">
        <v>2341</v>
      </c>
      <c r="L88" s="1518" t="s">
        <v>1828</v>
      </c>
      <c r="M88" s="1518" t="s">
        <v>1257</v>
      </c>
    </row>
    <row r="89" spans="4:13" ht="45">
      <c r="D89" s="1517">
        <v>5353</v>
      </c>
      <c r="E89" s="1518" t="s">
        <v>1829</v>
      </c>
      <c r="F89" s="1518" t="s">
        <v>185</v>
      </c>
      <c r="G89" s="1519">
        <v>41182</v>
      </c>
      <c r="H89" s="483"/>
      <c r="I89" s="1518" t="s">
        <v>1043</v>
      </c>
      <c r="J89" s="1518" t="s">
        <v>1697</v>
      </c>
      <c r="K89" s="1517">
        <v>2342</v>
      </c>
      <c r="L89" s="1518" t="s">
        <v>1830</v>
      </c>
      <c r="M89" s="1518" t="s">
        <v>1257</v>
      </c>
    </row>
    <row r="90" spans="4:13" ht="30">
      <c r="D90" s="1517">
        <v>5355</v>
      </c>
      <c r="E90" s="1518" t="s">
        <v>1831</v>
      </c>
      <c r="F90" s="1518" t="s">
        <v>384</v>
      </c>
      <c r="G90" s="1519">
        <v>41182</v>
      </c>
      <c r="H90" s="483"/>
      <c r="I90" s="1518" t="s">
        <v>1043</v>
      </c>
      <c r="J90" s="1518" t="s">
        <v>1697</v>
      </c>
      <c r="K90" s="1517">
        <v>2343</v>
      </c>
      <c r="L90" s="1518" t="s">
        <v>1832</v>
      </c>
      <c r="M90" s="1518" t="s">
        <v>1257</v>
      </c>
    </row>
    <row r="91" spans="4:13" ht="30">
      <c r="D91" s="1517">
        <v>5363</v>
      </c>
      <c r="E91" s="1518" t="s">
        <v>1833</v>
      </c>
      <c r="F91" s="1518" t="s">
        <v>391</v>
      </c>
      <c r="G91" s="1519">
        <v>41182</v>
      </c>
      <c r="H91" s="483"/>
      <c r="I91" s="1518" t="s">
        <v>1043</v>
      </c>
      <c r="J91" s="1518" t="s">
        <v>1697</v>
      </c>
      <c r="K91" s="1517">
        <v>2344</v>
      </c>
      <c r="L91" s="1518" t="s">
        <v>1834</v>
      </c>
      <c r="M91" s="1518" t="s">
        <v>1257</v>
      </c>
    </row>
    <row r="92" spans="4:13" ht="30">
      <c r="D92" s="1517">
        <v>5364</v>
      </c>
      <c r="E92" s="1518" t="s">
        <v>1835</v>
      </c>
      <c r="F92" s="1518" t="s">
        <v>396</v>
      </c>
      <c r="G92" s="1519">
        <v>41182</v>
      </c>
      <c r="H92" s="483"/>
      <c r="I92" s="1518" t="s">
        <v>1043</v>
      </c>
      <c r="J92" s="1518" t="s">
        <v>1697</v>
      </c>
      <c r="K92" s="1517">
        <v>2345</v>
      </c>
      <c r="L92" s="1518" t="s">
        <v>1836</v>
      </c>
      <c r="M92" s="1518" t="s">
        <v>1257</v>
      </c>
    </row>
    <row r="93" spans="4:13" ht="30">
      <c r="D93" s="1517">
        <v>5365</v>
      </c>
      <c r="E93" s="1518" t="s">
        <v>1837</v>
      </c>
      <c r="F93" s="1518" t="s">
        <v>402</v>
      </c>
      <c r="G93" s="1519">
        <v>41182</v>
      </c>
      <c r="H93" s="483"/>
      <c r="I93" s="1518" t="s">
        <v>1043</v>
      </c>
      <c r="J93" s="1518" t="s">
        <v>1697</v>
      </c>
      <c r="K93" s="1517">
        <v>2346</v>
      </c>
      <c r="L93" s="1518" t="s">
        <v>1838</v>
      </c>
      <c r="M93" s="1518" t="s">
        <v>1257</v>
      </c>
    </row>
    <row r="94" spans="4:13" ht="45">
      <c r="D94" s="1517">
        <v>5366</v>
      </c>
      <c r="E94" s="1518" t="s">
        <v>1839</v>
      </c>
      <c r="F94" s="1518" t="s">
        <v>187</v>
      </c>
      <c r="G94" s="1519">
        <v>41182</v>
      </c>
      <c r="H94" s="483"/>
      <c r="I94" s="1518" t="s">
        <v>1043</v>
      </c>
      <c r="J94" s="1518" t="s">
        <v>1697</v>
      </c>
      <c r="K94" s="1517">
        <v>2347</v>
      </c>
      <c r="L94" s="1518" t="s">
        <v>1840</v>
      </c>
      <c r="M94" s="1518" t="s">
        <v>1257</v>
      </c>
    </row>
    <row r="95" spans="4:13" ht="30">
      <c r="D95" s="1517">
        <v>5367</v>
      </c>
      <c r="E95" s="1518" t="s">
        <v>1841</v>
      </c>
      <c r="F95" s="1518" t="s">
        <v>9</v>
      </c>
      <c r="G95" s="1519">
        <v>40899</v>
      </c>
      <c r="H95" s="483"/>
      <c r="I95" s="1518" t="s">
        <v>1043</v>
      </c>
      <c r="J95" s="1518" t="s">
        <v>1697</v>
      </c>
      <c r="K95" s="1517">
        <v>2348</v>
      </c>
      <c r="L95" s="1518" t="s">
        <v>1842</v>
      </c>
      <c r="M95" s="1518" t="s">
        <v>1257</v>
      </c>
    </row>
    <row r="96" spans="4:13" ht="30">
      <c r="D96" s="1517">
        <v>5368</v>
      </c>
      <c r="E96" s="1518" t="s">
        <v>1843</v>
      </c>
      <c r="F96" s="1518" t="s">
        <v>407</v>
      </c>
      <c r="G96" s="1519">
        <v>41182</v>
      </c>
      <c r="H96" s="483"/>
      <c r="I96" s="1518" t="s">
        <v>1043</v>
      </c>
      <c r="J96" s="1518" t="s">
        <v>1697</v>
      </c>
      <c r="K96" s="1517">
        <v>2349</v>
      </c>
      <c r="L96" s="1518" t="s">
        <v>1844</v>
      </c>
      <c r="M96" s="1518" t="s">
        <v>1257</v>
      </c>
    </row>
    <row r="97" spans="4:13" ht="30">
      <c r="D97" s="1517">
        <v>5369</v>
      </c>
      <c r="E97" s="1518" t="s">
        <v>1845</v>
      </c>
      <c r="F97" s="1518" t="s">
        <v>412</v>
      </c>
      <c r="G97" s="1519">
        <v>41182</v>
      </c>
      <c r="H97" s="483"/>
      <c r="I97" s="1518" t="s">
        <v>1043</v>
      </c>
      <c r="J97" s="1518" t="s">
        <v>1697</v>
      </c>
      <c r="K97" s="1517">
        <v>2350</v>
      </c>
      <c r="L97" s="1518" t="s">
        <v>1846</v>
      </c>
      <c r="M97" s="1518" t="s">
        <v>1257</v>
      </c>
    </row>
    <row r="98" spans="4:13" ht="30">
      <c r="D98" s="1517">
        <v>5370</v>
      </c>
      <c r="E98" s="1518" t="s">
        <v>1847</v>
      </c>
      <c r="F98" s="1518" t="s">
        <v>188</v>
      </c>
      <c r="G98" s="1519">
        <v>41182</v>
      </c>
      <c r="H98" s="483"/>
      <c r="I98" s="1518" t="s">
        <v>1043</v>
      </c>
      <c r="J98" s="1518" t="s">
        <v>1697</v>
      </c>
      <c r="K98" s="1517">
        <v>2351</v>
      </c>
      <c r="L98" s="1518" t="s">
        <v>1848</v>
      </c>
      <c r="M98" s="1518" t="s">
        <v>1257</v>
      </c>
    </row>
    <row r="99" spans="4:13" ht="30">
      <c r="D99" s="1517">
        <v>5371</v>
      </c>
      <c r="E99" s="1518" t="s">
        <v>1849</v>
      </c>
      <c r="F99" s="1518" t="s">
        <v>421</v>
      </c>
      <c r="G99" s="1519">
        <v>41182</v>
      </c>
      <c r="H99" s="483"/>
      <c r="I99" s="1518" t="s">
        <v>1043</v>
      </c>
      <c r="J99" s="1518" t="s">
        <v>1697</v>
      </c>
      <c r="K99" s="1517">
        <v>2352</v>
      </c>
      <c r="L99" s="1518" t="s">
        <v>1850</v>
      </c>
      <c r="M99" s="1518" t="s">
        <v>1257</v>
      </c>
    </row>
    <row r="100" spans="4:13" ht="30">
      <c r="D100" s="1517">
        <v>5373</v>
      </c>
      <c r="E100" s="1518" t="s">
        <v>1851</v>
      </c>
      <c r="F100" s="1518" t="s">
        <v>428</v>
      </c>
      <c r="G100" s="1519">
        <v>41182</v>
      </c>
      <c r="H100" s="483"/>
      <c r="I100" s="1518" t="s">
        <v>1043</v>
      </c>
      <c r="J100" s="1518" t="s">
        <v>1697</v>
      </c>
      <c r="K100" s="1517">
        <v>2353</v>
      </c>
      <c r="L100" s="1518" t="s">
        <v>1852</v>
      </c>
      <c r="M100" s="1518" t="s">
        <v>1257</v>
      </c>
    </row>
    <row r="101" spans="4:13" ht="45">
      <c r="D101" s="1517">
        <v>5377</v>
      </c>
      <c r="E101" s="1518" t="s">
        <v>1853</v>
      </c>
      <c r="F101" s="1518" t="s">
        <v>372</v>
      </c>
      <c r="G101" s="1519">
        <v>41393</v>
      </c>
      <c r="H101" s="483"/>
      <c r="I101" s="1518" t="s">
        <v>1043</v>
      </c>
      <c r="J101" s="1518" t="s">
        <v>1697</v>
      </c>
      <c r="K101" s="1517">
        <v>2355</v>
      </c>
      <c r="L101" s="1518" t="s">
        <v>1854</v>
      </c>
      <c r="M101" s="1518" t="s">
        <v>1257</v>
      </c>
    </row>
    <row r="102" spans="4:13" ht="45">
      <c r="D102" s="1517">
        <v>5378</v>
      </c>
      <c r="E102" s="1518" t="s">
        <v>1855</v>
      </c>
      <c r="F102" s="1518" t="s">
        <v>303</v>
      </c>
      <c r="G102" s="1519">
        <v>41393</v>
      </c>
      <c r="H102" s="483"/>
      <c r="I102" s="1518" t="s">
        <v>1043</v>
      </c>
      <c r="J102" s="1518" t="s">
        <v>1697</v>
      </c>
      <c r="K102" s="1517">
        <v>2356</v>
      </c>
      <c r="L102" s="1518" t="s">
        <v>1856</v>
      </c>
      <c r="M102" s="1518" t="s">
        <v>1257</v>
      </c>
    </row>
    <row r="103" spans="4:13" ht="45">
      <c r="D103" s="1517">
        <v>5379</v>
      </c>
      <c r="E103" s="1518" t="s">
        <v>1857</v>
      </c>
      <c r="F103" s="1518" t="s">
        <v>340</v>
      </c>
      <c r="G103" s="1519">
        <v>41212</v>
      </c>
      <c r="H103" s="483"/>
      <c r="I103" s="1518" t="s">
        <v>1043</v>
      </c>
      <c r="J103" s="1518" t="s">
        <v>1697</v>
      </c>
      <c r="K103" s="1517">
        <v>2357</v>
      </c>
      <c r="L103" s="1518" t="s">
        <v>1858</v>
      </c>
      <c r="M103" s="1518" t="s">
        <v>1257</v>
      </c>
    </row>
    <row r="104" spans="4:13" ht="45">
      <c r="D104" s="1517">
        <v>5381</v>
      </c>
      <c r="E104" s="1518" t="s">
        <v>1859</v>
      </c>
      <c r="F104" s="1518" t="s">
        <v>280</v>
      </c>
      <c r="G104" s="1519">
        <v>41152</v>
      </c>
      <c r="H104" s="483"/>
      <c r="I104" s="1518" t="s">
        <v>1043</v>
      </c>
      <c r="J104" s="1518" t="s">
        <v>1697</v>
      </c>
      <c r="K104" s="1517">
        <v>2358</v>
      </c>
      <c r="L104" s="1518" t="s">
        <v>1860</v>
      </c>
      <c r="M104" s="1518" t="s">
        <v>1257</v>
      </c>
    </row>
    <row r="105" spans="4:13" ht="45">
      <c r="D105" s="1517">
        <v>5382</v>
      </c>
      <c r="E105" s="1518" t="s">
        <v>1861</v>
      </c>
      <c r="F105" s="1518" t="s">
        <v>309</v>
      </c>
      <c r="G105" s="1519">
        <v>41101</v>
      </c>
      <c r="H105" s="483"/>
      <c r="I105" s="1518" t="s">
        <v>1043</v>
      </c>
      <c r="J105" s="1518" t="s">
        <v>1697</v>
      </c>
      <c r="K105" s="1517">
        <v>2359</v>
      </c>
      <c r="L105" s="1518" t="s">
        <v>1862</v>
      </c>
      <c r="M105" s="1518" t="s">
        <v>1257</v>
      </c>
    </row>
    <row r="106" spans="4:13" ht="45">
      <c r="D106" s="1517">
        <v>5384</v>
      </c>
      <c r="E106" s="1518" t="s">
        <v>1863</v>
      </c>
      <c r="F106" s="1518" t="s">
        <v>329</v>
      </c>
      <c r="G106" s="1519">
        <v>41423</v>
      </c>
      <c r="H106" s="483"/>
      <c r="I106" s="1518" t="s">
        <v>1043</v>
      </c>
      <c r="J106" s="1518" t="s">
        <v>1697</v>
      </c>
      <c r="K106" s="1517">
        <v>2360</v>
      </c>
      <c r="L106" s="1518" t="s">
        <v>1864</v>
      </c>
      <c r="M106" s="1518" t="s">
        <v>1257</v>
      </c>
    </row>
    <row r="107" spans="4:13" ht="45">
      <c r="D107" s="1517">
        <v>5385</v>
      </c>
      <c r="E107" s="1518" t="s">
        <v>1865</v>
      </c>
      <c r="F107" s="1518" t="s">
        <v>334</v>
      </c>
      <c r="G107" s="1519">
        <v>41379</v>
      </c>
      <c r="H107" s="483"/>
      <c r="I107" s="1518" t="s">
        <v>1043</v>
      </c>
      <c r="J107" s="1518" t="s">
        <v>1697</v>
      </c>
      <c r="K107" s="1517">
        <v>2361</v>
      </c>
      <c r="L107" s="1518" t="s">
        <v>1866</v>
      </c>
      <c r="M107" s="1518" t="s">
        <v>1257</v>
      </c>
    </row>
    <row r="108" spans="4:13" ht="45">
      <c r="D108" s="1517">
        <v>5386</v>
      </c>
      <c r="E108" s="1518" t="s">
        <v>1867</v>
      </c>
      <c r="F108" s="1518" t="s">
        <v>297</v>
      </c>
      <c r="G108" s="1519">
        <v>41212</v>
      </c>
      <c r="H108" s="483"/>
      <c r="I108" s="1518" t="s">
        <v>1043</v>
      </c>
      <c r="J108" s="1518" t="s">
        <v>1697</v>
      </c>
      <c r="K108" s="1517">
        <v>2362</v>
      </c>
      <c r="L108" s="1518" t="s">
        <v>1868</v>
      </c>
      <c r="M108" s="1518" t="s">
        <v>1257</v>
      </c>
    </row>
    <row r="109" spans="4:13" ht="15" hidden="1">
      <c r="D109" s="1517">
        <v>5697</v>
      </c>
      <c r="E109" s="1518" t="s">
        <v>1869</v>
      </c>
      <c r="F109" s="1518" t="s">
        <v>190</v>
      </c>
      <c r="G109" s="1519">
        <v>41143</v>
      </c>
      <c r="H109" s="1520">
        <v>41128</v>
      </c>
      <c r="I109" s="1518" t="s">
        <v>1043</v>
      </c>
      <c r="J109" s="1518" t="s">
        <v>138</v>
      </c>
      <c r="K109" s="1517">
        <v>2382</v>
      </c>
      <c r="L109" s="1518" t="s">
        <v>1870</v>
      </c>
      <c r="M109" s="1518" t="s">
        <v>1677</v>
      </c>
    </row>
    <row r="110" spans="4:13" ht="30" hidden="1">
      <c r="D110" s="1517">
        <v>5707</v>
      </c>
      <c r="E110" s="1518" t="s">
        <v>1871</v>
      </c>
      <c r="F110" s="1518" t="s">
        <v>191</v>
      </c>
      <c r="G110" s="1519">
        <v>41235</v>
      </c>
      <c r="H110" s="1520">
        <v>41207</v>
      </c>
      <c r="I110" s="1518" t="s">
        <v>1043</v>
      </c>
      <c r="J110" s="1518" t="s">
        <v>138</v>
      </c>
      <c r="K110" s="1517">
        <v>2386</v>
      </c>
      <c r="L110" s="1518" t="s">
        <v>1872</v>
      </c>
      <c r="M110" s="1518" t="s">
        <v>1677</v>
      </c>
    </row>
    <row r="111" spans="4:13" ht="15" hidden="1">
      <c r="D111" s="1517">
        <v>6072</v>
      </c>
      <c r="E111" s="1518" t="s">
        <v>1873</v>
      </c>
      <c r="F111" s="1518" t="s">
        <v>1874</v>
      </c>
      <c r="G111" s="1519">
        <v>41204</v>
      </c>
      <c r="H111" s="1520">
        <v>41164</v>
      </c>
      <c r="I111" s="1518" t="s">
        <v>1043</v>
      </c>
      <c r="J111" s="1518" t="s">
        <v>138</v>
      </c>
      <c r="K111" s="1517">
        <v>2407</v>
      </c>
      <c r="L111" s="1518" t="s">
        <v>1875</v>
      </c>
      <c r="M111" s="1518" t="s">
        <v>1677</v>
      </c>
    </row>
    <row r="112" spans="4:13" ht="30" hidden="1">
      <c r="D112" s="1517">
        <v>6585</v>
      </c>
      <c r="E112" s="1518" t="s">
        <v>1876</v>
      </c>
      <c r="F112" s="1518" t="s">
        <v>193</v>
      </c>
      <c r="G112" s="1519">
        <v>41082</v>
      </c>
      <c r="H112" s="1520">
        <v>41078</v>
      </c>
      <c r="I112" s="1518" t="s">
        <v>1043</v>
      </c>
      <c r="J112" s="1518" t="s">
        <v>138</v>
      </c>
      <c r="K112" s="1517">
        <v>2444</v>
      </c>
      <c r="L112" s="1518" t="s">
        <v>1877</v>
      </c>
      <c r="M112" s="1518" t="s">
        <v>1677</v>
      </c>
    </row>
    <row r="113" spans="4:13" ht="30" hidden="1">
      <c r="D113" s="1517">
        <v>6587</v>
      </c>
      <c r="E113" s="1518" t="s">
        <v>1878</v>
      </c>
      <c r="F113" s="1518" t="s">
        <v>194</v>
      </c>
      <c r="G113" s="1519">
        <v>41021</v>
      </c>
      <c r="H113" s="483"/>
      <c r="I113" s="1518" t="s">
        <v>1043</v>
      </c>
      <c r="J113" s="1518" t="s">
        <v>138</v>
      </c>
      <c r="K113" s="1517">
        <v>2445</v>
      </c>
      <c r="L113" s="1518" t="s">
        <v>1879</v>
      </c>
      <c r="M113" s="1518" t="s">
        <v>1677</v>
      </c>
    </row>
    <row r="114" spans="4:13" ht="30" hidden="1">
      <c r="D114" s="1517">
        <v>6600</v>
      </c>
      <c r="E114" s="1518" t="s">
        <v>1880</v>
      </c>
      <c r="F114" s="1518" t="s">
        <v>195</v>
      </c>
      <c r="G114" s="1519">
        <v>41149</v>
      </c>
      <c r="H114" s="483"/>
      <c r="I114" s="1518" t="s">
        <v>1043</v>
      </c>
      <c r="J114" s="1518" t="s">
        <v>138</v>
      </c>
      <c r="K114" s="1517">
        <v>2452</v>
      </c>
      <c r="L114" s="1518" t="s">
        <v>1881</v>
      </c>
      <c r="M114" s="1518" t="s">
        <v>1677</v>
      </c>
    </row>
    <row r="115" spans="4:13" ht="60">
      <c r="D115" s="1517">
        <v>6609</v>
      </c>
      <c r="E115" s="1518" t="s">
        <v>1882</v>
      </c>
      <c r="F115" s="1518" t="s">
        <v>322</v>
      </c>
      <c r="G115" s="1519">
        <v>41411</v>
      </c>
      <c r="H115" s="483"/>
      <c r="I115" s="1518" t="s">
        <v>1043</v>
      </c>
      <c r="J115" s="1518" t="s">
        <v>1697</v>
      </c>
      <c r="K115" s="1517">
        <v>2455</v>
      </c>
      <c r="L115" s="1518" t="s">
        <v>1883</v>
      </c>
      <c r="M115" s="1518" t="s">
        <v>1257</v>
      </c>
    </row>
    <row r="116" spans="4:13" ht="45">
      <c r="D116" s="1517">
        <v>6610</v>
      </c>
      <c r="E116" s="1518" t="s">
        <v>1884</v>
      </c>
      <c r="F116" s="1518" t="s">
        <v>316</v>
      </c>
      <c r="G116" s="1519">
        <v>41243</v>
      </c>
      <c r="H116" s="483"/>
      <c r="I116" s="1518" t="s">
        <v>1043</v>
      </c>
      <c r="J116" s="1518" t="s">
        <v>1697</v>
      </c>
      <c r="K116" s="1517">
        <v>2456</v>
      </c>
      <c r="L116" s="1518" t="s">
        <v>1885</v>
      </c>
      <c r="M116" s="1518" t="s">
        <v>1257</v>
      </c>
    </row>
    <row r="117" spans="4:13" ht="30" hidden="1">
      <c r="D117" s="1517">
        <v>6611</v>
      </c>
      <c r="E117" s="1518" t="s">
        <v>1886</v>
      </c>
      <c r="F117" s="1518" t="s">
        <v>197</v>
      </c>
      <c r="G117" s="1519">
        <v>40943</v>
      </c>
      <c r="H117" s="483"/>
      <c r="I117" s="1518" t="s">
        <v>1043</v>
      </c>
      <c r="J117" s="1518" t="s">
        <v>138</v>
      </c>
      <c r="K117" s="1517">
        <v>2457</v>
      </c>
      <c r="L117" s="1518" t="s">
        <v>1887</v>
      </c>
      <c r="M117" s="1518" t="s">
        <v>1677</v>
      </c>
    </row>
    <row r="118" spans="4:13" ht="30" hidden="1">
      <c r="D118" s="1517">
        <v>6612</v>
      </c>
      <c r="E118" s="1518" t="s">
        <v>1888</v>
      </c>
      <c r="F118" s="1518" t="s">
        <v>198</v>
      </c>
      <c r="G118" s="1519">
        <v>41082</v>
      </c>
      <c r="H118" s="1520">
        <v>41078</v>
      </c>
      <c r="I118" s="1518" t="s">
        <v>1043</v>
      </c>
      <c r="J118" s="1518" t="s">
        <v>1697</v>
      </c>
      <c r="K118" s="1517">
        <v>2458</v>
      </c>
      <c r="L118" s="1518" t="s">
        <v>1889</v>
      </c>
      <c r="M118" s="1518" t="s">
        <v>1677</v>
      </c>
    </row>
    <row r="119" spans="4:13" ht="30">
      <c r="D119" s="1517">
        <v>6896</v>
      </c>
      <c r="E119" s="1518" t="s">
        <v>1890</v>
      </c>
      <c r="F119" s="1518" t="s">
        <v>315</v>
      </c>
      <c r="G119" s="1519">
        <v>41182</v>
      </c>
      <c r="H119" s="483"/>
      <c r="I119" s="1518" t="s">
        <v>1043</v>
      </c>
      <c r="J119" s="1518" t="s">
        <v>1697</v>
      </c>
      <c r="K119" s="1517">
        <v>2479</v>
      </c>
      <c r="L119" s="1518" t="s">
        <v>1891</v>
      </c>
      <c r="M119" s="1518" t="s">
        <v>1257</v>
      </c>
    </row>
    <row r="120" spans="4:13" ht="45">
      <c r="D120" s="1517">
        <v>6897</v>
      </c>
      <c r="E120" s="1518" t="s">
        <v>1892</v>
      </c>
      <c r="F120" s="1518" t="s">
        <v>1893</v>
      </c>
      <c r="G120" s="1519">
        <v>41182</v>
      </c>
      <c r="H120" s="483"/>
      <c r="I120" s="1518" t="s">
        <v>1043</v>
      </c>
      <c r="J120" s="1518" t="s">
        <v>1697</v>
      </c>
      <c r="K120" s="1517">
        <v>2480</v>
      </c>
      <c r="L120" s="1518" t="s">
        <v>1894</v>
      </c>
      <c r="M120" s="1518" t="s">
        <v>1257</v>
      </c>
    </row>
    <row r="121" spans="4:13" ht="30">
      <c r="D121" s="1517">
        <v>6898</v>
      </c>
      <c r="E121" s="1518" t="s">
        <v>1895</v>
      </c>
      <c r="F121" s="1518" t="s">
        <v>362</v>
      </c>
      <c r="G121" s="1519">
        <v>41182</v>
      </c>
      <c r="H121" s="483"/>
      <c r="I121" s="1518" t="s">
        <v>1043</v>
      </c>
      <c r="J121" s="1518" t="s">
        <v>1697</v>
      </c>
      <c r="K121" s="1517">
        <v>2481</v>
      </c>
      <c r="L121" s="1518" t="s">
        <v>1896</v>
      </c>
      <c r="M121" s="1518" t="s">
        <v>1257</v>
      </c>
    </row>
    <row r="122" spans="4:13" ht="30">
      <c r="D122" s="1517">
        <v>7016</v>
      </c>
      <c r="E122" s="1518" t="s">
        <v>1897</v>
      </c>
      <c r="F122" s="1518" t="s">
        <v>433</v>
      </c>
      <c r="G122" s="1519">
        <v>41182</v>
      </c>
      <c r="H122" s="483"/>
      <c r="I122" s="1518" t="s">
        <v>1043</v>
      </c>
      <c r="J122" s="1518" t="s">
        <v>1697</v>
      </c>
      <c r="K122" s="1517">
        <v>2496</v>
      </c>
      <c r="L122" s="1518" t="s">
        <v>1898</v>
      </c>
      <c r="M122" s="1518" t="s">
        <v>1257</v>
      </c>
    </row>
    <row r="123" spans="4:13" ht="30" hidden="1">
      <c r="D123" s="1517">
        <v>7019</v>
      </c>
      <c r="E123" s="1518" t="s">
        <v>1899</v>
      </c>
      <c r="F123" s="1518" t="s">
        <v>200</v>
      </c>
      <c r="G123" s="1519">
        <v>41214</v>
      </c>
      <c r="H123" s="1520">
        <v>41214</v>
      </c>
      <c r="I123" s="1518" t="s">
        <v>1043</v>
      </c>
      <c r="J123" s="1518" t="s">
        <v>138</v>
      </c>
      <c r="K123" s="1517">
        <v>2497</v>
      </c>
      <c r="L123" s="1518" t="s">
        <v>1900</v>
      </c>
      <c r="M123" s="1518" t="s">
        <v>1677</v>
      </c>
    </row>
    <row r="124" spans="4:13" ht="30">
      <c r="D124" s="1517">
        <v>7371</v>
      </c>
      <c r="E124" s="1518" t="s">
        <v>1901</v>
      </c>
      <c r="F124" s="1518" t="s">
        <v>201</v>
      </c>
      <c r="G124" s="1519">
        <v>41485</v>
      </c>
      <c r="H124" s="483"/>
      <c r="I124" s="1518" t="s">
        <v>1043</v>
      </c>
      <c r="J124" s="1518" t="s">
        <v>1697</v>
      </c>
      <c r="K124" s="1517">
        <v>2527</v>
      </c>
      <c r="L124" s="1518" t="s">
        <v>1902</v>
      </c>
      <c r="M124" s="1518" t="s">
        <v>1257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1903</v>
      </c>
      <c r="G3" s="436" t="s">
        <v>1904</v>
      </c>
    </row>
    <row r="4" spans="2:7">
      <c r="B4" s="447" t="s">
        <v>1905</v>
      </c>
      <c r="C4" s="447" t="s">
        <v>1906</v>
      </c>
      <c r="D4" s="447" t="s">
        <v>936</v>
      </c>
      <c r="E4" s="436"/>
      <c r="F4" s="1521" t="s">
        <v>1907</v>
      </c>
      <c r="G4" s="1522" t="e">
        <f>(C10*G7)/G5</f>
        <v>#REF!</v>
      </c>
    </row>
    <row r="5" spans="2:7">
      <c r="B5" s="1523" t="s">
        <v>1908</v>
      </c>
      <c r="C5" s="1524"/>
      <c r="D5" s="1525"/>
      <c r="F5" s="1521" t="s">
        <v>1909</v>
      </c>
      <c r="G5" s="1526" t="e">
        <f>(((1+C7)^G6)*C7)/(((1+C7)^G6)-1)</f>
        <v>#REF!</v>
      </c>
    </row>
    <row r="6" spans="2:7">
      <c r="B6" s="1523" t="s">
        <v>1910</v>
      </c>
      <c r="C6" s="1524"/>
      <c r="D6" s="1525"/>
      <c r="F6" s="1521" t="s">
        <v>1911</v>
      </c>
      <c r="G6" s="1527" t="e">
        <f>G7/(C8*C9)</f>
        <v>#REF!</v>
      </c>
    </row>
    <row r="7" spans="2:7">
      <c r="B7" s="1523" t="s">
        <v>1912</v>
      </c>
      <c r="C7" s="1528">
        <f>'BD-NET'!Q189</f>
        <v>9.9699999999999997E-2</v>
      </c>
      <c r="D7" s="1525"/>
      <c r="F7" s="1521" t="s">
        <v>1913</v>
      </c>
      <c r="G7" s="1529">
        <f>12*(20000*C6+10000*C5)</f>
        <v>0</v>
      </c>
    </row>
    <row r="8" spans="2:7">
      <c r="B8" s="1523" t="s">
        <v>1914</v>
      </c>
      <c r="C8" s="1530" t="e">
        <f>C24</f>
        <v>#REF!</v>
      </c>
      <c r="D8" s="1531" t="s">
        <v>1915</v>
      </c>
    </row>
    <row r="9" spans="2:7">
      <c r="B9" s="1523" t="s">
        <v>1916</v>
      </c>
      <c r="C9" s="1532"/>
      <c r="D9" s="1525"/>
    </row>
    <row r="10" spans="2:7">
      <c r="B10" s="1523" t="s">
        <v>1917</v>
      </c>
      <c r="C10" s="1533" t="e">
        <f>F14</f>
        <v>#REF!</v>
      </c>
      <c r="D10" s="1525"/>
    </row>
    <row r="12" spans="2:7">
      <c r="B12" s="447" t="s">
        <v>1918</v>
      </c>
      <c r="C12" s="447" t="s">
        <v>802</v>
      </c>
      <c r="D12" s="447" t="s">
        <v>1919</v>
      </c>
      <c r="E12" s="447" t="s">
        <v>1920</v>
      </c>
      <c r="F12" s="447" t="s">
        <v>1921</v>
      </c>
    </row>
    <row r="13" spans="2:7" ht="13.5" thickBot="1">
      <c r="B13" s="1523" t="s">
        <v>1922</v>
      </c>
      <c r="C13" s="1534" t="e">
        <f>C38</f>
        <v>#REF!</v>
      </c>
      <c r="D13" s="1523"/>
      <c r="E13" s="1523"/>
      <c r="F13" s="1535"/>
    </row>
    <row r="14" spans="2:7" ht="13.5" thickBot="1">
      <c r="B14" s="1523" t="s">
        <v>1923</v>
      </c>
      <c r="C14" s="1534" t="e">
        <f>(C32+E55)*($C$38/$C$35)</f>
        <v>#REF!</v>
      </c>
      <c r="D14" s="1536" t="e">
        <f>$C$17*(C14/($C$14+$C$15+$C$16))</f>
        <v>#REF!</v>
      </c>
      <c r="E14" s="1537" t="e">
        <f>C14-D14</f>
        <v>#REF!</v>
      </c>
      <c r="F14" s="470" t="e">
        <f>E14/$C$13</f>
        <v>#REF!</v>
      </c>
      <c r="G14" s="471" t="s">
        <v>1924</v>
      </c>
    </row>
    <row r="15" spans="2:7">
      <c r="B15" s="1523" t="s">
        <v>1925</v>
      </c>
      <c r="C15" s="1534" t="e">
        <f>C27*($C$38/$C$35)</f>
        <v>#REF!</v>
      </c>
      <c r="D15" s="1536" t="e">
        <f>$C$17*(C15/($C$14+$C$15+$C$16))</f>
        <v>#REF!</v>
      </c>
      <c r="E15" s="1536" t="e">
        <f>C15-D15</f>
        <v>#REF!</v>
      </c>
      <c r="F15" s="1538" t="e">
        <f>E15/$C$13</f>
        <v>#REF!</v>
      </c>
    </row>
    <row r="16" spans="2:7">
      <c r="B16" s="1523" t="s">
        <v>1926</v>
      </c>
      <c r="C16" s="1534" t="e">
        <f>(C33+D54)*($C$38/$C$35)</f>
        <v>#REF!</v>
      </c>
      <c r="D16" s="1536" t="e">
        <f>$C$17*(C16/($C$14+$C$15+$C$16))</f>
        <v>#REF!</v>
      </c>
      <c r="E16" s="1536" t="e">
        <f>C16-D16</f>
        <v>#REF!</v>
      </c>
      <c r="F16" s="1539" t="e">
        <f>E16/$C$13</f>
        <v>#REF!</v>
      </c>
    </row>
    <row r="17" spans="2:6">
      <c r="B17" s="1523" t="s">
        <v>1927</v>
      </c>
      <c r="C17" s="1534" t="e">
        <f>C39</f>
        <v>#REF!</v>
      </c>
      <c r="D17" s="1523"/>
      <c r="E17" s="1523"/>
      <c r="F17" s="1540" t="e">
        <f>C17/C13</f>
        <v>#REF!</v>
      </c>
    </row>
    <row r="18" spans="2:6">
      <c r="D18" s="452" t="e">
        <f>SUM(D14:D17)</f>
        <v>#REF!</v>
      </c>
      <c r="F18" s="1541" t="e">
        <f>SUM(F14:F17)</f>
        <v>#REF!</v>
      </c>
    </row>
    <row r="19" spans="2:6">
      <c r="B19" s="443" t="s">
        <v>1928</v>
      </c>
    </row>
    <row r="20" spans="2:6">
      <c r="B20" s="443"/>
    </row>
    <row r="21" spans="2:6">
      <c r="B21" s="1542" t="s">
        <v>1929</v>
      </c>
      <c r="C21" s="1543" t="e">
        <f>LnkTxtPBCAOMCAA</f>
        <v>#NAME?</v>
      </c>
    </row>
    <row r="22" spans="2:6">
      <c r="B22" s="444" t="s">
        <v>1930</v>
      </c>
      <c r="C22" s="445">
        <v>1.15E-2</v>
      </c>
    </row>
    <row r="23" spans="2:6">
      <c r="B23" s="444" t="s">
        <v>1931</v>
      </c>
      <c r="C23" s="445">
        <v>0</v>
      </c>
    </row>
    <row r="24" spans="2:6">
      <c r="B24" s="1542" t="s">
        <v>1932</v>
      </c>
      <c r="C24" s="1543" t="e">
        <f>#REF!+#REF!</f>
        <v>#REF!</v>
      </c>
    </row>
    <row r="27" spans="2:6">
      <c r="B27" s="1542" t="s">
        <v>1933</v>
      </c>
      <c r="C27" s="1543" t="e">
        <f>#REF!</f>
        <v>#REF!</v>
      </c>
    </row>
    <row r="28" spans="2:6">
      <c r="B28" s="444" t="s">
        <v>1934</v>
      </c>
      <c r="C28" s="450" t="e">
        <f>#REF!</f>
        <v>#REF!</v>
      </c>
    </row>
    <row r="29" spans="2:6">
      <c r="B29" s="444" t="s">
        <v>1935</v>
      </c>
      <c r="C29" s="450"/>
    </row>
    <row r="30" spans="2:6">
      <c r="B30" s="444" t="s">
        <v>1936</v>
      </c>
      <c r="C30" s="450" t="e">
        <f>#REF!</f>
        <v>#REF!</v>
      </c>
    </row>
    <row r="31" spans="2:6">
      <c r="B31" s="1542" t="s">
        <v>1937</v>
      </c>
      <c r="C31" s="1543" t="e">
        <f>#REF!</f>
        <v>#REF!</v>
      </c>
    </row>
    <row r="32" spans="2:6">
      <c r="B32" s="444" t="s">
        <v>1938</v>
      </c>
      <c r="C32" s="450" t="e">
        <f>#REF!</f>
        <v>#REF!</v>
      </c>
    </row>
    <row r="33" spans="2:4">
      <c r="B33" s="444" t="s">
        <v>1939</v>
      </c>
      <c r="C33" s="450" t="e">
        <f>#REF!</f>
        <v>#REF!</v>
      </c>
    </row>
    <row r="34" spans="2:4">
      <c r="B34" s="444" t="s">
        <v>1940</v>
      </c>
      <c r="C34" s="450" t="e">
        <f>#REF!</f>
        <v>#REF!</v>
      </c>
    </row>
    <row r="35" spans="2:4">
      <c r="B35" s="1542" t="s">
        <v>1929</v>
      </c>
      <c r="C35" s="1543" t="e">
        <f>C21</f>
        <v>#NAME?</v>
      </c>
    </row>
    <row r="36" spans="2:4">
      <c r="B36" s="444" t="s">
        <v>1930</v>
      </c>
      <c r="C36" s="445">
        <f>C22</f>
        <v>1.15E-2</v>
      </c>
    </row>
    <row r="37" spans="2:4">
      <c r="B37" s="444" t="s">
        <v>1931</v>
      </c>
      <c r="C37" s="445">
        <f>C23</f>
        <v>0</v>
      </c>
    </row>
    <row r="38" spans="2:4">
      <c r="B38" s="1542" t="s">
        <v>1932</v>
      </c>
      <c r="C38" s="1543" t="e">
        <f>C24</f>
        <v>#REF!</v>
      </c>
    </row>
    <row r="39" spans="2:4">
      <c r="B39" s="444" t="s">
        <v>1941</v>
      </c>
      <c r="C39" s="450" t="e">
        <f>#REF!</f>
        <v>#REF!</v>
      </c>
    </row>
    <row r="40" spans="2:4">
      <c r="B40" s="1544" t="s">
        <v>1942</v>
      </c>
      <c r="C40" s="1545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1943</v>
      </c>
      <c r="C2" s="439"/>
      <c r="H2" s="440" t="s">
        <v>1944</v>
      </c>
    </row>
    <row r="3" spans="2:17">
      <c r="B3" s="1546" t="s">
        <v>1905</v>
      </c>
      <c r="C3" s="1546" t="s">
        <v>1906</v>
      </c>
      <c r="D3" s="1547" t="s">
        <v>936</v>
      </c>
      <c r="E3" s="1547" t="s">
        <v>1945</v>
      </c>
      <c r="F3" s="1547" t="s">
        <v>1946</v>
      </c>
      <c r="H3" s="440" t="s">
        <v>1947</v>
      </c>
      <c r="M3" s="435" t="s">
        <v>1948</v>
      </c>
      <c r="O3" s="435" t="s">
        <v>1948</v>
      </c>
      <c r="P3" s="435" t="s">
        <v>1948</v>
      </c>
    </row>
    <row r="4" spans="2:17">
      <c r="B4" s="1548" t="s">
        <v>1949</v>
      </c>
      <c r="C4" s="1549" t="e">
        <f>12*C5*(1-$E$13)*1/$E$16</f>
        <v>#DIV/0!</v>
      </c>
      <c r="D4" s="1525" t="s">
        <v>1950</v>
      </c>
      <c r="E4" s="1525"/>
      <c r="F4" s="1525"/>
      <c r="H4" s="1546" t="s">
        <v>1951</v>
      </c>
      <c r="I4" s="1546" t="s">
        <v>1952</v>
      </c>
      <c r="J4" s="1546" t="s">
        <v>1953</v>
      </c>
      <c r="K4" s="1546" t="s">
        <v>1954</v>
      </c>
      <c r="L4" s="1546" t="s">
        <v>1955</v>
      </c>
      <c r="M4" s="1546" t="s">
        <v>977</v>
      </c>
      <c r="N4" s="1546" t="s">
        <v>597</v>
      </c>
      <c r="O4" s="1546" t="s">
        <v>601</v>
      </c>
      <c r="P4" s="1546" t="s">
        <v>599</v>
      </c>
      <c r="Q4" s="1546" t="s">
        <v>602</v>
      </c>
    </row>
    <row r="5" spans="2:17">
      <c r="B5" s="1548" t="s">
        <v>1910</v>
      </c>
      <c r="C5" s="1550"/>
      <c r="D5" s="1525"/>
      <c r="E5" s="1525"/>
      <c r="F5" s="1525" t="s">
        <v>1956</v>
      </c>
      <c r="H5" s="1548" t="s">
        <v>1949</v>
      </c>
      <c r="I5" s="1549" t="e">
        <f t="shared" ref="I5:Q5" si="0">12*I6*(1-$E$13)*1/$E$16</f>
        <v>#DIV/0!</v>
      </c>
      <c r="J5" s="1549" t="e">
        <f t="shared" si="0"/>
        <v>#DIV/0!</v>
      </c>
      <c r="K5" s="1549" t="e">
        <f t="shared" si="0"/>
        <v>#DIV/0!</v>
      </c>
      <c r="L5" s="1549" t="e">
        <f t="shared" si="0"/>
        <v>#DIV/0!</v>
      </c>
      <c r="M5" s="1549" t="e">
        <f t="shared" si="0"/>
        <v>#DIV/0!</v>
      </c>
      <c r="N5" s="1549" t="e">
        <f t="shared" si="0"/>
        <v>#DIV/0!</v>
      </c>
      <c r="O5" s="1549" t="e">
        <f t="shared" si="0"/>
        <v>#DIV/0!</v>
      </c>
      <c r="P5" s="1549" t="e">
        <f t="shared" si="0"/>
        <v>#DIV/0!</v>
      </c>
      <c r="Q5" s="1549" t="e">
        <f t="shared" si="0"/>
        <v>#DIV/0!</v>
      </c>
    </row>
    <row r="6" spans="2:17">
      <c r="B6" s="1548" t="s">
        <v>1957</v>
      </c>
      <c r="C6" s="1551"/>
      <c r="D6" s="1525" t="s">
        <v>1958</v>
      </c>
      <c r="E6" s="1525"/>
      <c r="F6" s="1552"/>
      <c r="H6" s="1548" t="s">
        <v>1910</v>
      </c>
      <c r="I6" s="1553"/>
      <c r="J6" s="1553"/>
      <c r="K6" s="1553"/>
      <c r="L6" s="1553"/>
      <c r="M6" s="1524"/>
      <c r="N6" s="1554"/>
      <c r="O6" s="1524"/>
      <c r="P6" s="1524"/>
      <c r="Q6" s="1524"/>
    </row>
    <row r="7" spans="2:17">
      <c r="B7" s="1548" t="s">
        <v>1959</v>
      </c>
      <c r="C7" s="1551"/>
      <c r="D7" s="1525" t="s">
        <v>1960</v>
      </c>
      <c r="E7" s="1525"/>
      <c r="F7" s="1552"/>
      <c r="H7" s="1548" t="s">
        <v>1957</v>
      </c>
      <c r="I7" s="1869">
        <f>C6</f>
        <v>0</v>
      </c>
      <c r="J7" s="1870"/>
      <c r="K7" s="1870"/>
      <c r="L7" s="1870"/>
      <c r="M7" s="1870"/>
      <c r="N7" s="1870"/>
      <c r="O7" s="1870"/>
      <c r="P7" s="1870"/>
      <c r="Q7" s="1871"/>
    </row>
    <row r="8" spans="2:17">
      <c r="B8" s="1548" t="s">
        <v>1961</v>
      </c>
      <c r="C8" s="1555"/>
      <c r="D8" s="1525" t="s">
        <v>1962</v>
      </c>
      <c r="E8" s="1525" t="s">
        <v>1963</v>
      </c>
      <c r="F8" s="1556"/>
      <c r="G8" s="441"/>
      <c r="H8" s="1548" t="s">
        <v>1961</v>
      </c>
      <c r="I8" s="1872">
        <f>C8</f>
        <v>0</v>
      </c>
      <c r="J8" s="1873"/>
      <c r="K8" s="1873"/>
      <c r="L8" s="1873"/>
      <c r="M8" s="1873"/>
      <c r="N8" s="1873"/>
      <c r="O8" s="1873"/>
      <c r="P8" s="1873"/>
      <c r="Q8" s="1874"/>
    </row>
    <row r="9" spans="2:17">
      <c r="B9" s="1548" t="s">
        <v>1964</v>
      </c>
      <c r="C9" s="1551"/>
      <c r="D9" s="1525" t="s">
        <v>1965</v>
      </c>
      <c r="E9" s="1525"/>
      <c r="F9" s="1556"/>
      <c r="H9" s="1548" t="s">
        <v>1964</v>
      </c>
      <c r="I9" s="1869">
        <f>C9</f>
        <v>0</v>
      </c>
      <c r="J9" s="1870"/>
      <c r="K9" s="1870"/>
      <c r="L9" s="1870"/>
      <c r="M9" s="1870"/>
      <c r="N9" s="1870"/>
      <c r="O9" s="1870"/>
      <c r="P9" s="1870"/>
      <c r="Q9" s="1871"/>
    </row>
    <row r="10" spans="2:17">
      <c r="B10" s="1548" t="s">
        <v>1966</v>
      </c>
      <c r="C10" s="1555"/>
      <c r="D10" s="1525" t="s">
        <v>1967</v>
      </c>
      <c r="E10" s="1525" t="s">
        <v>1968</v>
      </c>
      <c r="F10" s="1556"/>
      <c r="G10" s="441"/>
      <c r="H10" s="1548" t="s">
        <v>1966</v>
      </c>
      <c r="I10" s="1875">
        <f>C10</f>
        <v>0</v>
      </c>
      <c r="J10" s="1876"/>
      <c r="K10" s="1876"/>
      <c r="L10" s="1876"/>
      <c r="M10" s="1876"/>
      <c r="N10" s="1876"/>
      <c r="O10" s="1876"/>
      <c r="P10" s="1876"/>
      <c r="Q10" s="1877"/>
    </row>
    <row r="12" spans="2:17">
      <c r="D12" s="438" t="s">
        <v>1969</v>
      </c>
    </row>
    <row r="13" spans="2:17">
      <c r="D13" s="1521" t="s">
        <v>1970</v>
      </c>
      <c r="E13" s="1557" t="e">
        <f>C10/C8</f>
        <v>#DIV/0!</v>
      </c>
      <c r="H13" s="440" t="s">
        <v>1971</v>
      </c>
      <c r="M13" s="442">
        <v>4.2321999999999997</v>
      </c>
    </row>
    <row r="14" spans="2:17">
      <c r="D14" s="1521" t="s">
        <v>1972</v>
      </c>
      <c r="E14" s="1558" t="e">
        <f>1/C9</f>
        <v>#DIV/0!</v>
      </c>
      <c r="H14" s="440" t="s">
        <v>1973</v>
      </c>
      <c r="M14" s="435">
        <v>1.01916916988504</v>
      </c>
    </row>
    <row r="15" spans="2:17">
      <c r="D15" s="1521" t="s">
        <v>1974</v>
      </c>
      <c r="E15" s="1559">
        <f>ROUND(C6/(1-C7),4)</f>
        <v>0</v>
      </c>
      <c r="H15" s="440" t="s">
        <v>1975</v>
      </c>
      <c r="M15" s="435">
        <f>M13*M14</f>
        <v>4.313327760787466</v>
      </c>
    </row>
    <row r="16" spans="2:17">
      <c r="D16" s="1521" t="s">
        <v>1909</v>
      </c>
      <c r="E16" s="1560" t="e">
        <f>(((1+E15)^E14)*E15)/((1+E15)^E14-1)</f>
        <v>#DIV/0!</v>
      </c>
      <c r="H16" s="440" t="s">
        <v>1976</v>
      </c>
      <c r="M16" s="435">
        <v>0.3</v>
      </c>
    </row>
    <row r="17" spans="2:13">
      <c r="H17" s="440" t="s">
        <v>1977</v>
      </c>
      <c r="M17" s="435">
        <v>0.4</v>
      </c>
    </row>
    <row r="18" spans="2:13">
      <c r="H18" s="440" t="s">
        <v>1978</v>
      </c>
      <c r="M18" s="435">
        <v>0</v>
      </c>
    </row>
    <row r="20" spans="2:13">
      <c r="B20" s="1542" t="s">
        <v>1929</v>
      </c>
      <c r="C20" s="1543" t="e">
        <f>'REN 473'!C21</f>
        <v>#NAME?</v>
      </c>
      <c r="E20" s="443" t="s">
        <v>1979</v>
      </c>
      <c r="F20" s="443"/>
    </row>
    <row r="21" spans="2:13">
      <c r="B21" s="444" t="s">
        <v>1930</v>
      </c>
      <c r="C21" s="445">
        <f>'REN 473'!C22</f>
        <v>1.15E-2</v>
      </c>
      <c r="E21" s="446" t="s">
        <v>855</v>
      </c>
      <c r="F21" s="447" t="s">
        <v>37</v>
      </c>
    </row>
    <row r="22" spans="2:13">
      <c r="B22" s="444" t="s">
        <v>1931</v>
      </c>
      <c r="C22" s="445">
        <f>'REN 473'!C23</f>
        <v>0</v>
      </c>
      <c r="E22" s="448" t="s">
        <v>1980</v>
      </c>
      <c r="F22" s="449"/>
    </row>
    <row r="23" spans="2:13">
      <c r="B23" s="1542" t="s">
        <v>1932</v>
      </c>
      <c r="C23" s="1543" t="e">
        <f>'REN 473'!C24</f>
        <v>#REF!</v>
      </c>
      <c r="E23" s="448" t="s">
        <v>1981</v>
      </c>
      <c r="F23" s="449"/>
    </row>
    <row r="24" spans="2:13">
      <c r="E24" s="448" t="s">
        <v>1982</v>
      </c>
      <c r="F24" s="449"/>
    </row>
    <row r="25" spans="2:13">
      <c r="B25" s="1542" t="s">
        <v>1933</v>
      </c>
      <c r="C25" s="1561"/>
      <c r="E25" s="448" t="s">
        <v>1983</v>
      </c>
      <c r="F25" s="449"/>
    </row>
    <row r="26" spans="2:13">
      <c r="B26" s="444" t="s">
        <v>1934</v>
      </c>
      <c r="C26" s="472"/>
      <c r="E26" s="1562" t="s">
        <v>1984</v>
      </c>
      <c r="F26" s="1563"/>
    </row>
    <row r="27" spans="2:13">
      <c r="B27" s="444" t="s">
        <v>1935</v>
      </c>
      <c r="C27" s="472"/>
      <c r="E27" s="448" t="s">
        <v>1985</v>
      </c>
      <c r="F27" s="451"/>
    </row>
    <row r="28" spans="2:13">
      <c r="B28" s="1544" t="s">
        <v>1936</v>
      </c>
      <c r="C28" s="1564"/>
      <c r="E28" s="1562" t="s">
        <v>1986</v>
      </c>
      <c r="F28" s="1563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1987</v>
      </c>
      <c r="C2" s="9" t="s">
        <v>37</v>
      </c>
    </row>
    <row r="3" spans="2:3">
      <c r="B3" s="64" t="s">
        <v>1988</v>
      </c>
      <c r="C3" t="e">
        <f t="shared" ref="C3:C66" ca="1" si="0">INDIRECT(B3)</f>
        <v>#REF!</v>
      </c>
    </row>
    <row r="4" spans="2:3">
      <c r="B4" s="64" t="s">
        <v>1989</v>
      </c>
      <c r="C4" t="e">
        <f t="shared" ca="1" si="0"/>
        <v>#REF!</v>
      </c>
    </row>
    <row r="5" spans="2:3">
      <c r="B5" s="64" t="s">
        <v>1990</v>
      </c>
      <c r="C5" t="e">
        <f t="shared" ca="1" si="0"/>
        <v>#REF!</v>
      </c>
    </row>
    <row r="6" spans="2:3">
      <c r="B6" s="64" t="s">
        <v>1991</v>
      </c>
      <c r="C6" t="e">
        <f t="shared" ca="1" si="0"/>
        <v>#REF!</v>
      </c>
    </row>
    <row r="7" spans="2:3">
      <c r="B7" s="64" t="s">
        <v>1992</v>
      </c>
      <c r="C7" t="e">
        <f t="shared" ca="1" si="0"/>
        <v>#REF!</v>
      </c>
    </row>
    <row r="8" spans="2:3">
      <c r="B8" s="64" t="s">
        <v>1993</v>
      </c>
      <c r="C8" t="e">
        <f t="shared" ca="1" si="0"/>
        <v>#REF!</v>
      </c>
    </row>
    <row r="9" spans="2:3">
      <c r="B9" s="64" t="s">
        <v>1994</v>
      </c>
      <c r="C9" t="e">
        <f t="shared" ca="1" si="0"/>
        <v>#REF!</v>
      </c>
    </row>
    <row r="10" spans="2:3">
      <c r="B10" s="64" t="s">
        <v>1995</v>
      </c>
      <c r="C10" t="e">
        <f t="shared" ca="1" si="0"/>
        <v>#REF!</v>
      </c>
    </row>
    <row r="11" spans="2:3">
      <c r="B11" s="64" t="s">
        <v>1996</v>
      </c>
      <c r="C11" t="e">
        <f t="shared" ca="1" si="0"/>
        <v>#REF!</v>
      </c>
    </row>
    <row r="12" spans="2:3">
      <c r="B12" s="63" t="s">
        <v>1997</v>
      </c>
      <c r="C12" t="e">
        <f t="shared" ca="1" si="0"/>
        <v>#REF!</v>
      </c>
    </row>
    <row r="13" spans="2:3">
      <c r="B13" s="63" t="s">
        <v>1998</v>
      </c>
      <c r="C13" t="e">
        <f t="shared" ca="1" si="0"/>
        <v>#REF!</v>
      </c>
    </row>
    <row r="14" spans="2:3">
      <c r="B14" s="63" t="s">
        <v>1999</v>
      </c>
      <c r="C14">
        <f t="shared" ca="1" si="0"/>
        <v>2022</v>
      </c>
    </row>
    <row r="15" spans="2:3">
      <c r="B15" s="63" t="s">
        <v>2000</v>
      </c>
      <c r="C15">
        <f t="shared" ca="1" si="0"/>
        <v>2022</v>
      </c>
    </row>
    <row r="16" spans="2:3">
      <c r="B16" s="63" t="s">
        <v>2001</v>
      </c>
      <c r="C16">
        <f t="shared" ca="1" si="0"/>
        <v>44772</v>
      </c>
    </row>
    <row r="17" spans="2:3">
      <c r="B17" s="63" t="s">
        <v>2002</v>
      </c>
      <c r="C17">
        <f t="shared" ca="1" si="0"/>
        <v>71413.907999999996</v>
      </c>
    </row>
    <row r="18" spans="2:3">
      <c r="B18" s="63" t="s">
        <v>2003</v>
      </c>
      <c r="C18">
        <f t="shared" ca="1" si="0"/>
        <v>0</v>
      </c>
    </row>
    <row r="19" spans="2:3">
      <c r="B19" s="63" t="s">
        <v>2004</v>
      </c>
      <c r="C19">
        <f t="shared" ca="1" si="0"/>
        <v>65394.815999999992</v>
      </c>
    </row>
    <row r="20" spans="2:3">
      <c r="B20" s="63" t="s">
        <v>2005</v>
      </c>
      <c r="C20" t="e">
        <f t="shared" ca="1" si="0"/>
        <v>#VALUE!</v>
      </c>
    </row>
    <row r="21" spans="2:3">
      <c r="B21" s="63" t="s">
        <v>2006</v>
      </c>
      <c r="C21">
        <f t="shared" ca="1" si="0"/>
        <v>3627</v>
      </c>
    </row>
    <row r="22" spans="2:3">
      <c r="B22" s="63" t="s">
        <v>1146</v>
      </c>
      <c r="C22">
        <f t="shared" ca="1" si="0"/>
        <v>242</v>
      </c>
    </row>
    <row r="23" spans="2:3">
      <c r="B23" s="63" t="s">
        <v>2007</v>
      </c>
      <c r="C23">
        <f t="shared" ca="1" si="0"/>
        <v>0.13861467761837179</v>
      </c>
    </row>
    <row r="24" spans="2:3">
      <c r="B24" s="63" t="s">
        <v>2008</v>
      </c>
      <c r="C24" t="e">
        <f t="shared" ca="1" si="0"/>
        <v>#REF!</v>
      </c>
    </row>
    <row r="25" spans="2:3">
      <c r="B25" s="63" t="s">
        <v>2009</v>
      </c>
      <c r="C25">
        <f t="shared" ca="1" si="0"/>
        <v>2321.11</v>
      </c>
    </row>
    <row r="26" spans="2:3">
      <c r="B26" s="63" t="s">
        <v>2010</v>
      </c>
      <c r="C26">
        <f t="shared" ca="1" si="0"/>
        <v>0</v>
      </c>
    </row>
    <row r="27" spans="2:3">
      <c r="B27" s="63" t="s">
        <v>2011</v>
      </c>
      <c r="C27" t="e">
        <f t="shared" ca="1" si="0"/>
        <v>#REF!</v>
      </c>
    </row>
    <row r="28" spans="2:3">
      <c r="B28" s="63" t="s">
        <v>2012</v>
      </c>
      <c r="C28" t="e">
        <f t="shared" ca="1" si="0"/>
        <v>#REF!</v>
      </c>
    </row>
    <row r="29" spans="2:3">
      <c r="B29" s="63" t="s">
        <v>2013</v>
      </c>
      <c r="C29">
        <f t="shared" ca="1" si="0"/>
        <v>0</v>
      </c>
    </row>
    <row r="30" spans="2:3">
      <c r="B30" s="63" t="s">
        <v>2014</v>
      </c>
      <c r="C30">
        <f t="shared" ca="1" si="0"/>
        <v>16717</v>
      </c>
    </row>
    <row r="31" spans="2:3">
      <c r="B31" s="63" t="s">
        <v>2015</v>
      </c>
      <c r="C31">
        <f t="shared" ca="1" si="0"/>
        <v>44772</v>
      </c>
    </row>
    <row r="32" spans="2:3">
      <c r="B32" s="63" t="s">
        <v>2016</v>
      </c>
      <c r="C32" t="e">
        <f t="shared" ca="1" si="0"/>
        <v>#REF!</v>
      </c>
    </row>
    <row r="33" spans="2:3">
      <c r="B33" s="63" t="s">
        <v>2017</v>
      </c>
      <c r="C33">
        <f t="shared" ca="1" si="0"/>
        <v>0.1777445109343577</v>
      </c>
    </row>
    <row r="34" spans="2:3">
      <c r="B34" s="63" t="s">
        <v>2018</v>
      </c>
      <c r="C34" t="e">
        <f t="shared" ca="1" si="0"/>
        <v>#REF!</v>
      </c>
    </row>
    <row r="35" spans="2:3">
      <c r="B35" s="63" t="s">
        <v>2019</v>
      </c>
      <c r="C35">
        <f t="shared" ca="1" si="0"/>
        <v>-2276.7511681570618</v>
      </c>
    </row>
    <row r="36" spans="2:3">
      <c r="B36" s="63" t="s">
        <v>2020</v>
      </c>
      <c r="C36" t="e">
        <f t="shared" ca="1" si="0"/>
        <v>#REF!</v>
      </c>
    </row>
    <row r="37" spans="2:3">
      <c r="B37" s="63" t="s">
        <v>2021</v>
      </c>
      <c r="C37" t="e">
        <f t="shared" ca="1" si="0"/>
        <v>#REF!</v>
      </c>
    </row>
    <row r="38" spans="2:3">
      <c r="B38" s="64" t="s">
        <v>2022</v>
      </c>
      <c r="C38" t="e">
        <f t="shared" ca="1" si="0"/>
        <v>#REF!</v>
      </c>
    </row>
    <row r="39" spans="2:3">
      <c r="B39" s="63" t="s">
        <v>2023</v>
      </c>
      <c r="C39" t="e">
        <f t="shared" ca="1" si="0"/>
        <v>#REF!</v>
      </c>
    </row>
    <row r="40" spans="2:3">
      <c r="B40" s="63" t="s">
        <v>2024</v>
      </c>
      <c r="C40" t="e">
        <f t="shared" ca="1" si="0"/>
        <v>#REF!</v>
      </c>
    </row>
    <row r="41" spans="2:3">
      <c r="B41" s="63" t="s">
        <v>2025</v>
      </c>
      <c r="C41">
        <f t="shared" ca="1" si="0"/>
        <v>2.8792243386260408E-2</v>
      </c>
    </row>
    <row r="42" spans="2:3">
      <c r="B42" s="63" t="s">
        <v>2026</v>
      </c>
      <c r="C42">
        <f t="shared" ca="1" si="0"/>
        <v>6.4864460085662934E-3</v>
      </c>
    </row>
    <row r="43" spans="2:3">
      <c r="B43" s="63" t="s">
        <v>2027</v>
      </c>
      <c r="C43">
        <f t="shared" ca="1" si="0"/>
        <v>3.0813199732107277E-2</v>
      </c>
    </row>
    <row r="44" spans="2:3">
      <c r="B44" s="63" t="s">
        <v>2028</v>
      </c>
      <c r="C44" t="e">
        <f t="shared" ca="1" si="0"/>
        <v>#REF!</v>
      </c>
    </row>
    <row r="45" spans="2:3">
      <c r="B45" s="63" t="s">
        <v>2029</v>
      </c>
      <c r="C45" t="e">
        <f t="shared" ca="1" si="0"/>
        <v>#REF!</v>
      </c>
    </row>
    <row r="46" spans="2:3">
      <c r="B46" s="63" t="s">
        <v>2030</v>
      </c>
      <c r="C46" t="e">
        <f t="shared" ca="1" si="0"/>
        <v>#REF!</v>
      </c>
    </row>
    <row r="47" spans="2:3">
      <c r="B47" s="63" t="s">
        <v>2031</v>
      </c>
      <c r="C47">
        <f t="shared" ca="1" si="0"/>
        <v>2.8792243386260408E-2</v>
      </c>
    </row>
    <row r="48" spans="2:3">
      <c r="B48" s="63" t="s">
        <v>2032</v>
      </c>
      <c r="C48">
        <f t="shared" ca="1" si="0"/>
        <v>14179490.322595056</v>
      </c>
    </row>
    <row r="49" spans="2:3">
      <c r="B49" s="63" t="s">
        <v>2033</v>
      </c>
      <c r="C49">
        <f t="shared" ca="1" si="0"/>
        <v>86504.407129999992</v>
      </c>
    </row>
    <row r="50" spans="2:3">
      <c r="B50" s="63" t="s">
        <v>2034</v>
      </c>
      <c r="C50">
        <f t="shared" ca="1" si="0"/>
        <v>0.40579999999999999</v>
      </c>
    </row>
    <row r="51" spans="2:3">
      <c r="B51" s="63" t="s">
        <v>2035</v>
      </c>
      <c r="C51">
        <f t="shared" ca="1" si="0"/>
        <v>71413.907999999996</v>
      </c>
    </row>
    <row r="52" spans="2:3">
      <c r="B52" s="63" t="s">
        <v>2036</v>
      </c>
      <c r="C52">
        <f t="shared" ca="1" si="0"/>
        <v>71413.907999999996</v>
      </c>
    </row>
    <row r="53" spans="2:3">
      <c r="B53" s="63" t="s">
        <v>2037</v>
      </c>
      <c r="C53">
        <f t="shared" ca="1" si="0"/>
        <v>0</v>
      </c>
    </row>
    <row r="54" spans="2:3">
      <c r="B54" s="63" t="s">
        <v>2038</v>
      </c>
      <c r="C54">
        <f t="shared" ca="1" si="0"/>
        <v>0.21616701049491932</v>
      </c>
    </row>
    <row r="55" spans="2:3">
      <c r="B55" s="63" t="s">
        <v>2039</v>
      </c>
      <c r="C55">
        <f t="shared" ca="1" si="0"/>
        <v>0</v>
      </c>
    </row>
    <row r="56" spans="2:3">
      <c r="B56" s="63" t="s">
        <v>2040</v>
      </c>
      <c r="C56">
        <f t="shared" ca="1" si="0"/>
        <v>0</v>
      </c>
    </row>
    <row r="57" spans="2:3">
      <c r="B57" s="63" t="s">
        <v>2041</v>
      </c>
      <c r="C57">
        <f t="shared" ca="1" si="0"/>
        <v>0.15557983304160264</v>
      </c>
    </row>
    <row r="58" spans="2:3">
      <c r="B58" s="63" t="s">
        <v>2042</v>
      </c>
      <c r="C58">
        <f t="shared" ca="1" si="0"/>
        <v>0.11886869625198027</v>
      </c>
    </row>
    <row r="59" spans="2:3">
      <c r="B59" s="63" t="s">
        <v>2043</v>
      </c>
      <c r="C59">
        <f t="shared" ca="1" si="0"/>
        <v>0.11886869625198027</v>
      </c>
    </row>
    <row r="60" spans="2:3">
      <c r="B60" s="63" t="s">
        <v>2044</v>
      </c>
      <c r="C60" t="e">
        <f t="shared" ca="1" si="0"/>
        <v>#REF!</v>
      </c>
    </row>
    <row r="61" spans="2:3">
      <c r="B61" s="63" t="s">
        <v>2045</v>
      </c>
      <c r="C61">
        <f t="shared" ca="1" si="0"/>
        <v>-6.1806216468714537E-2</v>
      </c>
    </row>
    <row r="62" spans="2:3">
      <c r="B62" s="63" t="s">
        <v>2046</v>
      </c>
      <c r="C62">
        <f t="shared" ca="1" si="0"/>
        <v>3.0300000000000001E-2</v>
      </c>
    </row>
    <row r="63" spans="2:3">
      <c r="B63" s="63" t="s">
        <v>2047</v>
      </c>
      <c r="C63">
        <f t="shared" ca="1" si="0"/>
        <v>5.9150641855747949E-2</v>
      </c>
    </row>
    <row r="64" spans="2:3">
      <c r="B64" s="63" t="s">
        <v>2048</v>
      </c>
      <c r="C64" t="e">
        <f t="shared" ca="1" si="0"/>
        <v>#REF!</v>
      </c>
    </row>
    <row r="65" spans="2:3">
      <c r="B65" s="63" t="s">
        <v>2049</v>
      </c>
      <c r="C65">
        <f t="shared" ca="1" si="0"/>
        <v>9.1365923580508865E-3</v>
      </c>
    </row>
    <row r="66" spans="2:3">
      <c r="B66" s="63" t="s">
        <v>2050</v>
      </c>
      <c r="C66">
        <f t="shared" ca="1" si="0"/>
        <v>2.119525470838177E-2</v>
      </c>
    </row>
    <row r="67" spans="2:3">
      <c r="B67" s="63" t="s">
        <v>2051</v>
      </c>
      <c r="C67">
        <f t="shared" ref="C67:C130" ca="1" si="1">INDIRECT(B67)</f>
        <v>1.1792166971017483E-2</v>
      </c>
    </row>
    <row r="68" spans="2:3">
      <c r="B68" s="63" t="s">
        <v>2052</v>
      </c>
      <c r="C68">
        <f t="shared" ca="1" si="1"/>
        <v>-0.30859999999999999</v>
      </c>
    </row>
    <row r="69" spans="2:3">
      <c r="B69" s="63" t="s">
        <v>2053</v>
      </c>
      <c r="C69">
        <f t="shared" ca="1" si="1"/>
        <v>-239013.55637821872</v>
      </c>
    </row>
    <row r="70" spans="2:3">
      <c r="B70" s="63" t="s">
        <v>2054</v>
      </c>
      <c r="C70" t="str">
        <f t="shared" ca="1" si="1"/>
        <v>Cooperativa Distribuidora de Energia Fronteira Noroeste</v>
      </c>
    </row>
    <row r="71" spans="2:3">
      <c r="B71" s="63" t="s">
        <v>2055</v>
      </c>
      <c r="C71">
        <f t="shared" ca="1" si="1"/>
        <v>0</v>
      </c>
    </row>
    <row r="72" spans="2:3">
      <c r="B72" s="63" t="s">
        <v>2056</v>
      </c>
      <c r="C72" t="str">
        <f t="shared" ca="1" si="1"/>
        <v>32/2010</v>
      </c>
    </row>
    <row r="73" spans="2:3">
      <c r="B73" s="63" t="s">
        <v>2057</v>
      </c>
      <c r="C73">
        <f t="shared" ca="1" si="1"/>
        <v>0</v>
      </c>
    </row>
    <row r="74" spans="2:3">
      <c r="B74" s="63" t="s">
        <v>2058</v>
      </c>
      <c r="C74">
        <f t="shared" ca="1" si="1"/>
        <v>0.45592425761624272</v>
      </c>
    </row>
    <row r="75" spans="2:3">
      <c r="B75" s="63" t="s">
        <v>2059</v>
      </c>
      <c r="C75">
        <f t="shared" ca="1" si="1"/>
        <v>0.54407574238375733</v>
      </c>
    </row>
    <row r="76" spans="2:3">
      <c r="B76" s="63" t="s">
        <v>2060</v>
      </c>
      <c r="C76">
        <f t="shared" ca="1" si="1"/>
        <v>0.15903184013244637</v>
      </c>
    </row>
    <row r="77" spans="2:3">
      <c r="B77" s="63" t="s">
        <v>2061</v>
      </c>
      <c r="C77">
        <f t="shared" ca="1" si="1"/>
        <v>2.2164677892755068E-2</v>
      </c>
    </row>
    <row r="78" spans="2:3">
      <c r="B78" s="63" t="s">
        <v>2062</v>
      </c>
      <c r="C78">
        <f t="shared" ca="1" si="1"/>
        <v>15090.499129999997</v>
      </c>
    </row>
    <row r="79" spans="2:3">
      <c r="B79" s="63" t="s">
        <v>2063</v>
      </c>
      <c r="C79">
        <f t="shared" ca="1" si="1"/>
        <v>0.1227936802867703</v>
      </c>
    </row>
    <row r="80" spans="2:3">
      <c r="B80" s="63" t="s">
        <v>2064</v>
      </c>
      <c r="C80">
        <f t="shared" ca="1" si="1"/>
        <v>818160.60193942254</v>
      </c>
    </row>
    <row r="81" spans="2:3">
      <c r="B81" s="63" t="s">
        <v>2065</v>
      </c>
      <c r="C81">
        <f t="shared" ca="1" si="1"/>
        <v>818160.60193942254</v>
      </c>
    </row>
    <row r="82" spans="2:3">
      <c r="B82" s="64" t="s">
        <v>2066</v>
      </c>
      <c r="C82">
        <f t="shared" ca="1" si="1"/>
        <v>1247.13007399653</v>
      </c>
    </row>
    <row r="83" spans="2:3">
      <c r="B83" s="63" t="s">
        <v>2067</v>
      </c>
      <c r="C83">
        <f t="shared" ca="1" si="1"/>
        <v>56191945.232149981</v>
      </c>
    </row>
    <row r="84" spans="2:3">
      <c r="B84" s="63" t="s">
        <v>2068</v>
      </c>
      <c r="C84">
        <f t="shared" ca="1" si="1"/>
        <v>0</v>
      </c>
    </row>
    <row r="85" spans="2:3">
      <c r="B85" s="63" t="s">
        <v>2069</v>
      </c>
      <c r="C85">
        <f t="shared" ca="1" si="1"/>
        <v>3420685.1999999993</v>
      </c>
    </row>
    <row r="86" spans="2:3">
      <c r="B86" s="63" t="s">
        <v>2070</v>
      </c>
      <c r="C86" t="str">
        <f t="shared" ca="1" si="1"/>
        <v>julho de 2021 a junho de 2022</v>
      </c>
    </row>
    <row r="87" spans="2:3">
      <c r="B87" s="63" t="s">
        <v>2071</v>
      </c>
      <c r="C87">
        <f t="shared" ca="1" si="1"/>
        <v>0</v>
      </c>
    </row>
    <row r="88" spans="2:3">
      <c r="B88" s="63" t="s">
        <v>2072</v>
      </c>
      <c r="C88" t="str">
        <f t="shared" ca="1" si="1"/>
        <v>Cooperluz</v>
      </c>
    </row>
    <row r="89" spans="2:3">
      <c r="B89" s="63" t="s">
        <v>2073</v>
      </c>
      <c r="C89">
        <f t="shared" ca="1" si="1"/>
        <v>-23888195.526273698</v>
      </c>
    </row>
    <row r="90" spans="2:3">
      <c r="B90" s="63" t="s">
        <v>2074</v>
      </c>
      <c r="C90" t="e">
        <f t="shared" ca="1" si="1"/>
        <v>#REF!</v>
      </c>
    </row>
    <row r="91" spans="2:3">
      <c r="B91" s="64" t="s">
        <v>2075</v>
      </c>
      <c r="C91">
        <f t="shared" ca="1" si="1"/>
        <v>67791.945926399989</v>
      </c>
    </row>
    <row r="92" spans="2:3">
      <c r="B92" s="64" t="s">
        <v>2076</v>
      </c>
      <c r="C92">
        <f t="shared" ca="1" si="1"/>
        <v>-0.19670000000000001</v>
      </c>
    </row>
    <row r="93" spans="2:3">
      <c r="B93" s="64" t="s">
        <v>2077</v>
      </c>
      <c r="C93">
        <f t="shared" ca="1" si="1"/>
        <v>0.61499999999999999</v>
      </c>
    </row>
    <row r="94" spans="2:3">
      <c r="B94" s="64" t="s">
        <v>2078</v>
      </c>
      <c r="C94">
        <f t="shared" ca="1" si="1"/>
        <v>0.23449999999999999</v>
      </c>
    </row>
    <row r="95" spans="2:3">
      <c r="B95" s="64" t="s">
        <v>2079</v>
      </c>
      <c r="C95" t="e">
        <f t="shared" ca="1" si="1"/>
        <v>#VALUE!</v>
      </c>
    </row>
    <row r="96" spans="2:3">
      <c r="B96" s="64" t="s">
        <v>2080</v>
      </c>
      <c r="C96" t="e">
        <f t="shared" ca="1" si="1"/>
        <v>#VALUE!</v>
      </c>
    </row>
    <row r="97" spans="2:3">
      <c r="B97" s="64" t="s">
        <v>2081</v>
      </c>
      <c r="C97" t="e">
        <f t="shared" ca="1" si="1"/>
        <v>#VALUE!</v>
      </c>
    </row>
    <row r="98" spans="2:3">
      <c r="B98" s="64" t="s">
        <v>2082</v>
      </c>
      <c r="C98" t="e">
        <f t="shared" ca="1" si="1"/>
        <v>#VALUE!</v>
      </c>
    </row>
    <row r="99" spans="2:3">
      <c r="B99" s="63" t="s">
        <v>2083</v>
      </c>
      <c r="C99" t="e">
        <f t="shared" ca="1" si="1"/>
        <v>#VALUE!</v>
      </c>
    </row>
    <row r="100" spans="2:3">
      <c r="B100" s="64" t="s">
        <v>2084</v>
      </c>
      <c r="C100" t="e">
        <f t="shared" ca="1" si="1"/>
        <v>#VALUE!</v>
      </c>
    </row>
    <row r="101" spans="2:3">
      <c r="B101" s="63" t="s">
        <v>2085</v>
      </c>
      <c r="C101" t="e">
        <f t="shared" ca="1" si="1"/>
        <v>#VALUE!</v>
      </c>
    </row>
    <row r="102" spans="2:3">
      <c r="B102" s="63" t="s">
        <v>2086</v>
      </c>
      <c r="C102" t="e">
        <f t="shared" ca="1" si="1"/>
        <v>#VALUE!</v>
      </c>
    </row>
    <row r="103" spans="2:3">
      <c r="B103" s="63" t="s">
        <v>2087</v>
      </c>
      <c r="C103" t="e">
        <f t="shared" ca="1" si="1"/>
        <v>#VALUE!</v>
      </c>
    </row>
    <row r="104" spans="2:3">
      <c r="B104" s="63" t="s">
        <v>2088</v>
      </c>
      <c r="C104" t="e">
        <f t="shared" ca="1" si="1"/>
        <v>#VALUE!</v>
      </c>
    </row>
    <row r="105" spans="2:3">
      <c r="B105" s="63" t="s">
        <v>2089</v>
      </c>
      <c r="C105" t="e">
        <f t="shared" ca="1" si="1"/>
        <v>#VALUE!</v>
      </c>
    </row>
    <row r="106" spans="2:3">
      <c r="B106" s="63" t="s">
        <v>2090</v>
      </c>
      <c r="C106" t="e">
        <f t="shared" ca="1" si="1"/>
        <v>#VALUE!</v>
      </c>
    </row>
    <row r="107" spans="2:3">
      <c r="B107" s="63" t="s">
        <v>2091</v>
      </c>
      <c r="C107" t="e">
        <f t="shared" ca="1" si="1"/>
        <v>#VALUE!</v>
      </c>
    </row>
    <row r="108" spans="2:3">
      <c r="B108" s="63" t="s">
        <v>2092</v>
      </c>
      <c r="C108" t="e">
        <f t="shared" ca="1" si="1"/>
        <v>#REF!</v>
      </c>
    </row>
    <row r="109" spans="2:3">
      <c r="B109" s="63" t="s">
        <v>2093</v>
      </c>
      <c r="C109" t="e">
        <f t="shared" ca="1" si="1"/>
        <v>#REF!</v>
      </c>
    </row>
    <row r="110" spans="2:3">
      <c r="B110" s="63" t="s">
        <v>2094</v>
      </c>
      <c r="C110" t="e">
        <f t="shared" ca="1" si="1"/>
        <v>#REF!</v>
      </c>
    </row>
    <row r="111" spans="2:3">
      <c r="B111" s="63" t="s">
        <v>2095</v>
      </c>
      <c r="C111" t="e">
        <f t="shared" ca="1" si="1"/>
        <v>#REF!</v>
      </c>
    </row>
    <row r="112" spans="2:3">
      <c r="B112" s="63" t="s">
        <v>2096</v>
      </c>
      <c r="C112" t="e">
        <f t="shared" ca="1" si="1"/>
        <v>#REF!</v>
      </c>
    </row>
    <row r="113" spans="2:3">
      <c r="B113" s="63" t="s">
        <v>2097</v>
      </c>
      <c r="C113" t="e">
        <f t="shared" ca="1" si="1"/>
        <v>#REF!</v>
      </c>
    </row>
    <row r="114" spans="2:3">
      <c r="B114" s="63" t="s">
        <v>2098</v>
      </c>
      <c r="C114" t="e">
        <f t="shared" ca="1" si="1"/>
        <v>#REF!</v>
      </c>
    </row>
    <row r="115" spans="2:3">
      <c r="B115" s="63" t="s">
        <v>2099</v>
      </c>
      <c r="C115">
        <f t="shared" ca="1" si="1"/>
        <v>0</v>
      </c>
    </row>
    <row r="116" spans="2:3">
      <c r="B116" s="64" t="s">
        <v>2100</v>
      </c>
      <c r="C116">
        <f t="shared" ca="1" si="1"/>
        <v>4359799.8740981584</v>
      </c>
    </row>
    <row r="117" spans="2:3">
      <c r="B117" s="63" t="s">
        <v>2101</v>
      </c>
      <c r="C117">
        <f t="shared" ca="1" si="1"/>
        <v>0</v>
      </c>
    </row>
    <row r="118" spans="2:3">
      <c r="B118" s="63" t="s">
        <v>2102</v>
      </c>
      <c r="C118">
        <f t="shared" ca="1" si="1"/>
        <v>0</v>
      </c>
    </row>
    <row r="119" spans="2:3">
      <c r="B119" s="64" t="s">
        <v>2103</v>
      </c>
      <c r="C119">
        <f t="shared" ca="1" si="1"/>
        <v>0</v>
      </c>
    </row>
    <row r="120" spans="2:3">
      <c r="B120" s="63" t="s">
        <v>2104</v>
      </c>
      <c r="C120">
        <f t="shared" ca="1" si="1"/>
        <v>224225.79157262601</v>
      </c>
    </row>
    <row r="121" spans="2:3">
      <c r="B121" s="63" t="s">
        <v>2105</v>
      </c>
      <c r="C121">
        <f t="shared" ca="1" si="1"/>
        <v>0</v>
      </c>
    </row>
    <row r="122" spans="2:3">
      <c r="B122" s="64" t="s">
        <v>2106</v>
      </c>
      <c r="C122">
        <f t="shared" ca="1" si="1"/>
        <v>0</v>
      </c>
    </row>
    <row r="123" spans="2:3">
      <c r="B123" s="63" t="s">
        <v>2107</v>
      </c>
      <c r="C123">
        <f t="shared" ca="1" si="1"/>
        <v>0</v>
      </c>
    </row>
    <row r="124" spans="2:3">
      <c r="B124" s="63" t="s">
        <v>2108</v>
      </c>
      <c r="C124">
        <f t="shared" ca="1" si="1"/>
        <v>0</v>
      </c>
    </row>
    <row r="125" spans="2:3">
      <c r="B125" s="64" t="s">
        <v>2109</v>
      </c>
      <c r="C125">
        <f t="shared" ca="1" si="1"/>
        <v>0</v>
      </c>
    </row>
    <row r="126" spans="2:3">
      <c r="B126" s="63" t="s">
        <v>2110</v>
      </c>
      <c r="C126">
        <f t="shared" ca="1" si="1"/>
        <v>684420.70118752972</v>
      </c>
    </row>
    <row r="127" spans="2:3">
      <c r="B127" s="63" t="s">
        <v>2111</v>
      </c>
      <c r="C127">
        <f t="shared" ca="1" si="1"/>
        <v>0</v>
      </c>
    </row>
    <row r="128" spans="2:3">
      <c r="B128" s="64" t="s">
        <v>2112</v>
      </c>
      <c r="C128">
        <f t="shared" ca="1" si="1"/>
        <v>136147.25831243768</v>
      </c>
    </row>
    <row r="129" spans="2:3">
      <c r="B129" s="63" t="s">
        <v>2113</v>
      </c>
      <c r="C129">
        <f t="shared" ca="1" si="1"/>
        <v>73735.017999999996</v>
      </c>
    </row>
    <row r="130" spans="2:3">
      <c r="B130" s="63" t="s">
        <v>2114</v>
      </c>
      <c r="C130">
        <f t="shared" ca="1" si="1"/>
        <v>56191945.232149981</v>
      </c>
    </row>
    <row r="131" spans="2:3">
      <c r="B131" s="64" t="s">
        <v>2115</v>
      </c>
      <c r="C131" t="str">
        <f t="shared" ref="C131:C194" ca="1" si="2">INDIRECT(B131)</f>
        <v>Verde</v>
      </c>
    </row>
    <row r="132" spans="2:3">
      <c r="B132" s="63" t="s">
        <v>2116</v>
      </c>
      <c r="C132" t="e">
        <f t="shared" ca="1" si="2"/>
        <v>#VALUE!</v>
      </c>
    </row>
    <row r="133" spans="2:3">
      <c r="B133" s="64" t="s">
        <v>2117</v>
      </c>
      <c r="C133" t="e">
        <f t="shared" ca="1" si="2"/>
        <v>#REF!</v>
      </c>
    </row>
    <row r="134" spans="2:3">
      <c r="B134" s="63" t="s">
        <v>2118</v>
      </c>
      <c r="C134" t="e">
        <f t="shared" ca="1" si="2"/>
        <v>#REF!</v>
      </c>
    </row>
    <row r="135" spans="2:3">
      <c r="B135" s="63" t="s">
        <v>2119</v>
      </c>
      <c r="C135">
        <f t="shared" ca="1" si="2"/>
        <v>44713</v>
      </c>
    </row>
    <row r="136" spans="2:3">
      <c r="B136" s="63" t="s">
        <v>2120</v>
      </c>
      <c r="C136">
        <f t="shared" ca="1" si="2"/>
        <v>44378</v>
      </c>
    </row>
    <row r="137" spans="2:3">
      <c r="B137" s="63" t="s">
        <v>2121</v>
      </c>
      <c r="C137" t="e">
        <f t="shared" ca="1" si="2"/>
        <v>#REF!</v>
      </c>
    </row>
    <row r="138" spans="2:3">
      <c r="B138" s="63" t="s">
        <v>2122</v>
      </c>
      <c r="C138" t="e">
        <f t="shared" ca="1" si="2"/>
        <v>#REF!</v>
      </c>
    </row>
    <row r="139" spans="2:3">
      <c r="B139" s="63" t="s">
        <v>2123</v>
      </c>
      <c r="C139" t="e">
        <f t="shared" ca="1" si="2"/>
        <v>#REF!</v>
      </c>
    </row>
    <row r="140" spans="2:3">
      <c r="B140" s="63" t="s">
        <v>2124</v>
      </c>
      <c r="C140">
        <f t="shared" ca="1" si="2"/>
        <v>0</v>
      </c>
    </row>
    <row r="141" spans="2:3">
      <c r="B141" s="63" t="s">
        <v>2125</v>
      </c>
      <c r="C141" t="e">
        <f t="shared" ca="1" si="2"/>
        <v>#VALUE!</v>
      </c>
    </row>
    <row r="142" spans="2:3">
      <c r="B142" s="63" t="s">
        <v>2126</v>
      </c>
      <c r="C142" t="e">
        <f t="shared" ca="1" si="2"/>
        <v>#VALUE!</v>
      </c>
    </row>
    <row r="143" spans="2:3">
      <c r="B143" s="63" t="s">
        <v>2127</v>
      </c>
      <c r="C143" t="e">
        <f t="shared" ca="1" si="2"/>
        <v>#VALUE!</v>
      </c>
    </row>
    <row r="144" spans="2:3">
      <c r="B144" s="63" t="s">
        <v>2128</v>
      </c>
      <c r="C144" t="e">
        <f t="shared" ca="1" si="2"/>
        <v>#VALUE!</v>
      </c>
    </row>
    <row r="145" spans="2:3">
      <c r="B145" s="63" t="s">
        <v>2129</v>
      </c>
      <c r="C145" t="e">
        <f t="shared" ca="1" si="2"/>
        <v>#VALUE!</v>
      </c>
    </row>
    <row r="146" spans="2:3">
      <c r="B146" s="64" t="s">
        <v>2130</v>
      </c>
      <c r="C146" t="e">
        <f t="shared" ca="1" si="2"/>
        <v>#REF!</v>
      </c>
    </row>
    <row r="147" spans="2:3">
      <c r="B147" s="64" t="s">
        <v>2131</v>
      </c>
      <c r="C147" t="e">
        <f t="shared" ca="1" si="2"/>
        <v>#REF!</v>
      </c>
    </row>
    <row r="148" spans="2:3">
      <c r="B148" s="64" t="s">
        <v>2132</v>
      </c>
      <c r="C148" t="e">
        <f t="shared" ca="1" si="2"/>
        <v>#REF!</v>
      </c>
    </row>
    <row r="149" spans="2:3">
      <c r="B149" s="64" t="s">
        <v>2133</v>
      </c>
      <c r="C149" t="e">
        <f t="shared" ca="1" si="2"/>
        <v>#REF!</v>
      </c>
    </row>
    <row r="150" spans="2:3">
      <c r="B150" s="64" t="s">
        <v>2134</v>
      </c>
      <c r="C150" t="e">
        <f t="shared" ca="1" si="2"/>
        <v>#REF!</v>
      </c>
    </row>
    <row r="151" spans="2:3">
      <c r="B151" s="64" t="s">
        <v>2135</v>
      </c>
      <c r="C151" t="e">
        <f t="shared" ca="1" si="2"/>
        <v>#REF!</v>
      </c>
    </row>
    <row r="152" spans="2:3">
      <c r="B152" s="64" t="s">
        <v>2136</v>
      </c>
      <c r="C152" t="e">
        <f t="shared" ca="1" si="2"/>
        <v>#REF!</v>
      </c>
    </row>
    <row r="153" spans="2:3">
      <c r="B153" s="64" t="s">
        <v>2137</v>
      </c>
      <c r="C153" t="e">
        <f t="shared" ca="1" si="2"/>
        <v>#REF!</v>
      </c>
    </row>
    <row r="154" spans="2:3">
      <c r="B154" s="63" t="s">
        <v>2138</v>
      </c>
      <c r="C154" t="e">
        <f t="shared" ca="1" si="2"/>
        <v>#VALUE!</v>
      </c>
    </row>
    <row r="155" spans="2:3">
      <c r="B155" s="63" t="s">
        <v>2139</v>
      </c>
      <c r="C155" t="e">
        <f t="shared" ca="1" si="2"/>
        <v>#VALUE!</v>
      </c>
    </row>
    <row r="156" spans="2:3">
      <c r="B156" s="63" t="s">
        <v>2140</v>
      </c>
      <c r="C156" t="e">
        <f t="shared" ca="1" si="2"/>
        <v>#VALUE!</v>
      </c>
    </row>
    <row r="157" spans="2:3">
      <c r="B157" s="63" t="s">
        <v>2141</v>
      </c>
      <c r="C157" t="e">
        <f t="shared" ca="1" si="2"/>
        <v>#VALUE!</v>
      </c>
    </row>
    <row r="158" spans="2:3">
      <c r="B158" s="63" t="s">
        <v>2142</v>
      </c>
      <c r="C158" t="e">
        <f t="shared" ca="1" si="2"/>
        <v>#REF!</v>
      </c>
    </row>
    <row r="159" spans="2:3">
      <c r="B159" s="63" t="s">
        <v>2143</v>
      </c>
      <c r="C159" t="e">
        <f t="shared" ca="1" si="2"/>
        <v>#VALUE!</v>
      </c>
    </row>
    <row r="160" spans="2:3">
      <c r="B160" s="63" t="s">
        <v>2144</v>
      </c>
      <c r="C160" t="e">
        <f t="shared" ca="1" si="2"/>
        <v>#VALUE!</v>
      </c>
    </row>
    <row r="161" spans="2:3">
      <c r="B161" s="63" t="s">
        <v>2145</v>
      </c>
      <c r="C161" t="e">
        <f t="shared" ca="1" si="2"/>
        <v>#VALUE!</v>
      </c>
    </row>
    <row r="162" spans="2:3">
      <c r="B162" s="63" t="s">
        <v>2146</v>
      </c>
      <c r="C162" t="e">
        <f t="shared" ca="1" si="2"/>
        <v>#VALUE!</v>
      </c>
    </row>
    <row r="163" spans="2:3">
      <c r="B163" s="63" t="s">
        <v>2147</v>
      </c>
      <c r="C163" t="e">
        <f t="shared" ca="1" si="2"/>
        <v>#VALUE!</v>
      </c>
    </row>
    <row r="164" spans="2:3">
      <c r="B164" s="63" t="s">
        <v>2148</v>
      </c>
      <c r="C164" t="e">
        <f t="shared" ca="1" si="2"/>
        <v>#VALUE!</v>
      </c>
    </row>
    <row r="165" spans="2:3">
      <c r="B165" s="63" t="s">
        <v>2149</v>
      </c>
      <c r="C165" t="e">
        <f t="shared" ca="1" si="2"/>
        <v>#VALUE!</v>
      </c>
    </row>
    <row r="166" spans="2:3">
      <c r="B166" s="63" t="s">
        <v>2150</v>
      </c>
      <c r="C166" t="e">
        <f t="shared" ca="1" si="2"/>
        <v>#VALUE!</v>
      </c>
    </row>
    <row r="167" spans="2:3">
      <c r="B167" s="63" t="s">
        <v>2151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34</vt:i4>
      </vt:variant>
      <vt:variant>
        <vt:lpstr>Intervalos Nomeados</vt:lpstr>
      </vt:variant>
      <vt:variant>
        <vt:i4>242</vt:i4>
      </vt:variant>
    </vt:vector>
  </HeadingPairs>
  <TitlesOfParts>
    <vt:vector size="276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PIS_COFINS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PIS_COFINS!GTIFPastaCapa</vt:lpstr>
      <vt:lpstr>PIS_COFINS!GTIFPastaCUSD</vt:lpstr>
      <vt:lpstr>GTIFPastaCVA</vt:lpstr>
      <vt:lpstr>PIS_COFINS!GTIFPastaEnergia</vt:lpstr>
      <vt:lpstr>PIS_COFINS!GTIFPastaFinanceiros</vt:lpstr>
      <vt:lpstr>PIS_COFINS!GTIFPastaIndexador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PIS_COFINS!LnkTxtConselho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PIS_COFINS!LnkTxtDRPData</vt:lpstr>
      <vt:lpstr>LnkTXTEEU</vt:lpstr>
      <vt:lpstr>LnkTxtEfeCDE</vt:lpstr>
      <vt:lpstr>LnkTXTEfEcoU</vt:lpstr>
      <vt:lpstr>LnkTXTEfeiEcoUl</vt:lpstr>
      <vt:lpstr>PIS_COFINS!LnkTxtEfeito</vt:lpstr>
      <vt:lpstr>LnkTXTEfeito</vt:lpstr>
      <vt:lpstr>PIS_COFINS!LnkTxtEfeitoAT</vt:lpstr>
      <vt:lpstr>LnkTXTEfeitoAT</vt:lpstr>
      <vt:lpstr>PIS_COFINS!LnkTxtEfeitoBT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LnkTxtNomeCompleto</vt:lpstr>
      <vt:lpstr>LnkTxtNomeResumido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PIS_COFINS!LnkTxtprevisaoriscohidro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PIS_COFINS!LnkTxtRI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PIS_COFINS!MercadoBase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2022-07-29T12:53:31Z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